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n" sheetId="1" r:id="rId4"/>
    <sheet state="hidden" name="Item Print" sheetId="2" r:id="rId5"/>
    <sheet state="hidden" name="Electronics" sheetId="3" r:id="rId6"/>
    <sheet state="hidden" name="ACO" sheetId="4" r:id="rId7"/>
    <sheet state="hidden" name="Labels" sheetId="5" r:id="rId8"/>
    <sheet state="hidden" name="Space code" sheetId="6" r:id="rId9"/>
    <sheet state="visible" name="STREAM 2026" sheetId="7" r:id="rId10"/>
    <sheet state="visible" name="Copy of STREAM 2026" sheetId="8" r:id="rId11"/>
    <sheet state="visible" name="stock of STREAM 2026" sheetId="9" r:id="rId12"/>
    <sheet state="visible" name="Copy of stock of STREAM 2026" sheetId="10" r:id="rId13"/>
    <sheet state="visible" name="tools stock" sheetId="11" r:id="rId14"/>
    <sheet state="visible" name="science and media" sheetId="12" r:id="rId15"/>
    <sheet state="visible" name="craft -safety" sheetId="13" r:id="rId16"/>
    <sheet state="visible" name="electronics full" sheetId="14" r:id="rId17"/>
    <sheet state="visible" name="electronics stock" sheetId="15" r:id="rId18"/>
    <sheet state="hidden" name="stock register" sheetId="16" r:id="rId19"/>
    <sheet state="hidden" name="code" sheetId="17" r:id="rId20"/>
    <sheet state="hidden" name="Electronics final" sheetId="18" r:id="rId21"/>
    <sheet state="hidden" name="ELectronics Slider 11" sheetId="19" r:id="rId22"/>
    <sheet state="hidden" name="Final Electronics" sheetId="20" r:id="rId23"/>
    <sheet state="hidden" name="Digital fabrication" sheetId="21" r:id="rId24"/>
    <sheet state="hidden" name="tools" sheetId="22" r:id="rId25"/>
    <sheet state="hidden" name="Media" sheetId="23" r:id="rId26"/>
    <sheet state="hidden" name="Craft" sheetId="24" r:id="rId27"/>
    <sheet state="hidden" name="Science" sheetId="25" r:id="rId28"/>
    <sheet state="hidden" name="other corners" sheetId="26" r:id="rId29"/>
    <sheet state="hidden" name="without box" sheetId="27" r:id="rId30"/>
    <sheet state="hidden" name="boxes" sheetId="28" r:id="rId31"/>
    <sheet state="hidden" name="hooks " sheetId="29" r:id="rId32"/>
    <sheet state="hidden" name="non bx sticker" sheetId="30" r:id="rId33"/>
    <sheet state="hidden" name="Sensor " sheetId="31" r:id="rId34"/>
    <sheet state="hidden" name="Omitted " sheetId="32" r:id="rId35"/>
    <sheet state="hidden" name="new items to be added" sheetId="33" r:id="rId36"/>
    <sheet state="hidden" name="item checking kannur" sheetId="34" r:id="rId37"/>
    <sheet state="hidden" name="Copy of item checking kannur" sheetId="35" r:id="rId38"/>
    <sheet state="hidden" name="Sheet2" sheetId="36" r:id="rId39"/>
    <sheet state="hidden" name="Sheet1" sheetId="37" r:id="rId40"/>
    <sheet state="hidden" name="Omitted" sheetId="38" r:id="rId41"/>
    <sheet state="hidden" name="Tomson-print - 44 Kit" sheetId="39" r:id="rId42"/>
    <sheet state="hidden" name="Tomson-checklist" sheetId="40" r:id="rId43"/>
    <sheet state="hidden" name="Mercy" sheetId="41" r:id="rId44"/>
    <sheet state="hidden" name="Uni-T" sheetId="42" r:id="rId45"/>
    <sheet state="hidden" name="Mercy itms" sheetId="43" r:id="rId46"/>
    <sheet state="hidden" name="Tomson-send" sheetId="44" r:id="rId47"/>
    <sheet state="hidden" name="Print - Template" sheetId="45" r:id="rId48"/>
    <sheet state="hidden" name="Statinal Purchase" sheetId="46" r:id="rId49"/>
    <sheet state="hidden" name="Lab" sheetId="47" r:id="rId50"/>
    <sheet state="hidden" name="Sheet4" sheetId="48" r:id="rId51"/>
    <sheet state="hidden" name="Sheet5" sheetId="49" r:id="rId52"/>
  </sheets>
  <definedNames>
    <definedName hidden="1" localSheetId="0" name="_xlnm._FilterDatabase">Main!$A$1:$S$411</definedName>
    <definedName hidden="1" localSheetId="1" name="_xlnm._FilterDatabase">'Item Print'!$A$4:$W$458</definedName>
    <definedName hidden="1" localSheetId="4" name="_xlnm._FilterDatabase">Labels!$A$1:$W$412</definedName>
    <definedName hidden="1" localSheetId="5" name="_xlnm._FilterDatabase">'Space code'!$A$1:$P$398</definedName>
    <definedName hidden="1" localSheetId="6" name="_xlnm._FilterDatabase">'STREAM 2026'!$A$1:$I$393</definedName>
    <definedName hidden="1" localSheetId="7" name="_xlnm._FilterDatabase">'Copy of STREAM 2026'!$A$1:$I$394</definedName>
    <definedName hidden="1" localSheetId="8" name="_xlnm._FilterDatabase">'stock of STREAM 2026'!$A$1:$H$394</definedName>
    <definedName hidden="1" localSheetId="9" name="_xlnm._FilterDatabase">'Copy of stock of STREAM 2026'!$A$1:$H$394</definedName>
    <definedName hidden="1" localSheetId="11" name="_xlnm._FilterDatabase">'science and media'!$A$1:$B$393</definedName>
    <definedName hidden="1" localSheetId="12" name="_xlnm._FilterDatabase">'craft -safety'!$A$1:$D$394</definedName>
    <definedName hidden="1" localSheetId="13" name="_xlnm._FilterDatabase">'electronics full'!$A$1:$C$390</definedName>
    <definedName hidden="1" localSheetId="15" name="_xlnm._FilterDatabase">'stock register'!$A$1:$Z$408</definedName>
    <definedName hidden="1" localSheetId="17" name="_xlnm._FilterDatabase">'Electronics final'!$A$1:$G$1</definedName>
    <definedName hidden="1" localSheetId="19" name="_xlnm._FilterDatabase">'Final Electronics'!$A$1:$C$1</definedName>
    <definedName hidden="1" localSheetId="26" name="_xlnm._FilterDatabase">'without box'!$A$1:$Z$405</definedName>
    <definedName hidden="1" localSheetId="29" name="_xlnm._FilterDatabase">'non bx sticker'!$A$1:$C$402</definedName>
    <definedName hidden="1" localSheetId="33" name="_xlnm._FilterDatabase">'item checking kannur'!$A$1:$AK$410</definedName>
    <definedName hidden="1" localSheetId="34" name="_xlnm._FilterDatabase">'Copy of item checking kannur'!$A$1:$V$410</definedName>
    <definedName hidden="1" localSheetId="43" name="_xlnm._FilterDatabase">'Tomson-send'!$A$1:$G$199</definedName>
  </definedNames>
  <calcPr/>
  <extLst>
    <ext uri="GoogleSheetsCustomDataVersion2">
      <go:sheetsCustomData xmlns:go="http://customooxmlschemas.google.com/" r:id="rId53" roundtripDataChecksum="2Oxu4V7sYXyPAkVXnOIRF3SmDieqa8+d+v9A33MortY="/>
    </ext>
  </extLst>
</workbook>
</file>

<file path=xl/sharedStrings.xml><?xml version="1.0" encoding="utf-8"?>
<sst xmlns="http://schemas.openxmlformats.org/spreadsheetml/2006/main" count="50191" uniqueCount="3748">
  <si>
    <t>#</t>
  </si>
  <si>
    <t>Unique ID</t>
  </si>
  <si>
    <t>Item</t>
  </si>
  <si>
    <t>Category</t>
  </si>
  <si>
    <t>Qty</t>
  </si>
  <si>
    <t>Quty</t>
  </si>
  <si>
    <t>Rate</t>
  </si>
  <si>
    <t>Total</t>
  </si>
  <si>
    <t>Section</t>
  </si>
  <si>
    <t>Display Mode</t>
  </si>
  <si>
    <t>Storage</t>
  </si>
  <si>
    <t>Label</t>
  </si>
  <si>
    <t>Specification</t>
  </si>
  <si>
    <t>IMG</t>
  </si>
  <si>
    <t>Avila</t>
  </si>
  <si>
    <t>C</t>
  </si>
  <si>
    <t>AT01/1</t>
  </si>
  <si>
    <t>AT01/01-C</t>
  </si>
  <si>
    <t>BOPP Self Adhesive Tape - Brown - 48mm</t>
  </si>
  <si>
    <t>Adhesive and tapes</t>
  </si>
  <si>
    <t>Craft station</t>
  </si>
  <si>
    <t>Hook</t>
  </si>
  <si>
    <t>Smart 44</t>
  </si>
  <si>
    <t>Adhesive and Tape</t>
  </si>
  <si>
    <t>Type : Female
Pitch : 2.54mm
No of Pins : 40</t>
  </si>
  <si>
    <t>AT01/2</t>
  </si>
  <si>
    <t>AT01/02-C</t>
  </si>
  <si>
    <t>Tape Dispenser</t>
  </si>
  <si>
    <t>3/4 inch</t>
  </si>
  <si>
    <t>AT01/3</t>
  </si>
  <si>
    <t>AT01/03-C</t>
  </si>
  <si>
    <t>BOPP Self Adhesive Tape - Transparent - 24 mm</t>
  </si>
  <si>
    <t>Capacity: 8x15 ml Tube
Centrifuge Speed : 3500 ~ 4000 RPM, 
No of tubes: 8 tubes
Operating Voltage: 220 V
Power Consumption: 220 W</t>
  </si>
  <si>
    <t>AT01/4</t>
  </si>
  <si>
    <t>AT01/04-C</t>
  </si>
  <si>
    <t>BOPP Self Adhesive Tape - Transparent - 48mm</t>
  </si>
  <si>
    <t>AT01/5</t>
  </si>
  <si>
    <t>AT01/05-C</t>
  </si>
  <si>
    <t>Mounting Tape - 18 mm (5 meter)</t>
  </si>
  <si>
    <t>Acid-free paper for drawing and sketching</t>
  </si>
  <si>
    <t>AT01/6</t>
  </si>
  <si>
    <t>AT01/06-C</t>
  </si>
  <si>
    <t xml:space="preserve">PVC Electrical Tape </t>
  </si>
  <si>
    <t>Accuracy:0.01gm, Capacity: 2 kg</t>
  </si>
  <si>
    <t>AT02</t>
  </si>
  <si>
    <t>AT02-C</t>
  </si>
  <si>
    <t>Fabric Glue</t>
  </si>
  <si>
    <t>Table top</t>
  </si>
  <si>
    <t>Material: Hardened steel
Shank Diameter: 1/2 inch and 3/4 inch</t>
  </si>
  <si>
    <t>AT01/7</t>
  </si>
  <si>
    <t>AT01/07-C</t>
  </si>
  <si>
    <t>Masking Tape - 18mm</t>
  </si>
  <si>
    <t>Measuring Cups and Spoons Set (Pack of 10)
Cup capacity: 1/8cup(15ml), 1/4cup(62ml), 1/3cup(83ml), 1/2cup(125ml), 1cup(250ml)
Spoon capacity: 1/4sp(0.6ml), 1/2sp(1.2ml), 1tsp(2.5ml), 1/2tbsp(5ml), 1tbsp(7.5ml)</t>
  </si>
  <si>
    <t>AT03</t>
  </si>
  <si>
    <t>AT03-C</t>
  </si>
  <si>
    <t>White Glue - 100ml</t>
  </si>
  <si>
    <t>.</t>
  </si>
  <si>
    <t>AT04</t>
  </si>
  <si>
    <t>AT04-C</t>
  </si>
  <si>
    <t>Instand Adissive - 20 ml</t>
  </si>
  <si>
    <t xml:space="preserve">Type : Micro
Operating Voltage : 12V
Operating Current : 50mA
Contact Material : Brass
Contact Resistance : 50mΩ
Insulation Resistance : 100MΩ
Operating Temperature Range : -20°C to +70°C
Operation Force : 3-5N
Body Material : Plastic
Pin Count : 4-pin
</t>
  </si>
  <si>
    <t>AT05</t>
  </si>
  <si>
    <t>AT05-C</t>
  </si>
  <si>
    <t>Acrylic paint - 200ml (6 Shades - B,W,R,B,Y,G)</t>
  </si>
  <si>
    <t>Art and craft supplies</t>
  </si>
  <si>
    <t>-</t>
  </si>
  <si>
    <t>Smart 22</t>
  </si>
  <si>
    <t>Acrylic Paint</t>
  </si>
  <si>
    <t>12" x 12", 3mm thickness, various colors</t>
  </si>
  <si>
    <t>AT06</t>
  </si>
  <si>
    <t>AT06-C</t>
  </si>
  <si>
    <t>Flip Paper Chart</t>
  </si>
  <si>
    <t>Crate</t>
  </si>
  <si>
    <t xml:space="preserve">7pcs double sided 14 shapes tool kit, working with clay, plasticise and other modelling compounds </t>
  </si>
  <si>
    <t>AT07</t>
  </si>
  <si>
    <t>AT07-C</t>
  </si>
  <si>
    <t>Clay modelling tools</t>
  </si>
  <si>
    <t>Vase</t>
  </si>
  <si>
    <t>48mm X 72 meter</t>
  </si>
  <si>
    <t>AT08</t>
  </si>
  <si>
    <t>AT08-C</t>
  </si>
  <si>
    <t>Construction Paper (100 sheet)</t>
  </si>
  <si>
    <t>VIP Stockwell</t>
  </si>
  <si>
    <t>Colour Paper</t>
  </si>
  <si>
    <t>‎Blade length: 75 Millimetres
Set of 120 Pcs</t>
  </si>
  <si>
    <t>AT10</t>
  </si>
  <si>
    <t>AT09-C</t>
  </si>
  <si>
    <t>Drawing Pencils (HB) Box</t>
  </si>
  <si>
    <t>Drill Set for Metal, Wood, &amp; Plastic, 1.5 - 10mm</t>
  </si>
  <si>
    <t>AT11</t>
  </si>
  <si>
    <t>AT11-C</t>
  </si>
  <si>
    <t>Eraser</t>
  </si>
  <si>
    <t>Model : ESP-01 ESP8266 Serial WIFI Transceiver 
802.11 b/g/n
Wi-Fi Direct (P2P), soft-AP
Integrated TCP/IP protocol stack
Integrated TR switch, balun, LNA, power amplifier and matching network
Integrated PLLs, regulators, DCXO and power management units
+19.5dBm output power in 802.11b mode
Power down leakage current of &lt;10uA
1MB Flash Memory
Dimensions: 25 x 15 x 11 mm (LxWxH)
PCB Thickness: 1mm
Weight: 2 gm
Integrated low power 32-bit CPU 
SDIO 1.1 / 2.0, SPI, UART
STBC, 1×1 MIMO, 2×1 MIMO
A-MPDU &amp; A-MSDU aggregation &amp; 0.4ms guard interval
Wake up and transmit packets in &lt; 2ms
Standby power consumption of &lt; 1.0mW (DTIM3)</t>
  </si>
  <si>
    <t>AT12</t>
  </si>
  <si>
    <t>AT12/01-C</t>
  </si>
  <si>
    <t>Mechanical Pencil - .5mm</t>
  </si>
  <si>
    <t>Hand drill and Multipurpose bits in sizes
from 0.5mm to 3mm</t>
  </si>
  <si>
    <t>AT12/02-C</t>
  </si>
  <si>
    <t>Mechanical Pencil Lead - .5mm HB</t>
  </si>
  <si>
    <t>AT13</t>
  </si>
  <si>
    <t>AT13-C</t>
  </si>
  <si>
    <t>Paint Brushes Set</t>
  </si>
  <si>
    <t>Colour mixing palette with mutiple compartments</t>
  </si>
  <si>
    <t>AT14</t>
  </si>
  <si>
    <t>AT14-C</t>
  </si>
  <si>
    <t>Palette</t>
  </si>
  <si>
    <t>28mm Multicolor - 100 pcs Set</t>
  </si>
  <si>
    <t>AT15</t>
  </si>
  <si>
    <t>AT15-C</t>
  </si>
  <si>
    <t>Popsicle Sticks - 500 Piece Kit</t>
  </si>
  <si>
    <t>Nakoda Venus</t>
  </si>
  <si>
    <t>Consumables</t>
  </si>
  <si>
    <t>Value : 100K
Diameter : 16mm
Type : Mono</t>
  </si>
  <si>
    <t>AT16</t>
  </si>
  <si>
    <t>AT16-C</t>
  </si>
  <si>
    <t>Sketch Pen</t>
  </si>
  <si>
    <t>Consumable</t>
  </si>
  <si>
    <t>AT17/2</t>
  </si>
  <si>
    <t>AT17/02-C</t>
  </si>
  <si>
    <t>Stainless Steel Ruler - 30 CM</t>
  </si>
  <si>
    <t>No-10</t>
  </si>
  <si>
    <t>AT18</t>
  </si>
  <si>
    <t>AT18-C</t>
  </si>
  <si>
    <t>Sticky Note</t>
  </si>
  <si>
    <t>20g</t>
  </si>
  <si>
    <t>AT19</t>
  </si>
  <si>
    <t>AT19-C</t>
  </si>
  <si>
    <t>Tissue Paper Roll</t>
  </si>
  <si>
    <t>Number : 2N3904
Type :General Purpose NPN Transistor
Max Collector-Emitter Voltage: 40V
Max Collector-Base Voltage: 60V
Max Emitter-Base Voltage: 6V
Continuous Collector Current: 200mA</t>
  </si>
  <si>
    <t>AT17/1</t>
  </si>
  <si>
    <t>AT17/01-C</t>
  </si>
  <si>
    <t>Transparent Scale Ruler</t>
  </si>
  <si>
    <t>Model:RM065
Resistance:100K
Material : Plastic</t>
  </si>
  <si>
    <t>AT20</t>
  </si>
  <si>
    <t>AT20-C</t>
  </si>
  <si>
    <t>Whiteboard Marker</t>
  </si>
  <si>
    <t>Cutter Plier With Spring -26 cm length</t>
  </si>
  <si>
    <t>M</t>
  </si>
  <si>
    <t>AV01</t>
  </si>
  <si>
    <t>AV01-M</t>
  </si>
  <si>
    <t>Podcast Mic</t>
  </si>
  <si>
    <t>Audio and Visual tools</t>
  </si>
  <si>
    <t xml:space="preserve">Media station </t>
  </si>
  <si>
    <t>Qty: 30gm</t>
  </si>
  <si>
    <t>x</t>
  </si>
  <si>
    <t>AV02</t>
  </si>
  <si>
    <t>AV02-M</t>
  </si>
  <si>
    <t>Lapel Mic</t>
  </si>
  <si>
    <t>Operating System: Windows or Linux
Screen size: 15.6 inches
Processor: Intel Core i3 or equivalent 
RAM:  8GB
Storage: 512 GB SSD
Graphics Card: dedicated graphics cards</t>
  </si>
  <si>
    <t>AV03</t>
  </si>
  <si>
    <t>AV03-M</t>
  </si>
  <si>
    <t>Laser Pointer</t>
  </si>
  <si>
    <t>Model : LCD1602 
Support with i2C
Character Color: Black
Backlight: Green
Supply Voltage: 5V
Board Dimensions (LxWxH) mm.: 80 x 36 x 10</t>
  </si>
  <si>
    <t>AV04</t>
  </si>
  <si>
    <t>AV04-M</t>
  </si>
  <si>
    <t>Ring Light</t>
  </si>
  <si>
    <t>45mm</t>
  </si>
  <si>
    <t>AV05</t>
  </si>
  <si>
    <t>AV05-M</t>
  </si>
  <si>
    <t>Smart TV</t>
  </si>
  <si>
    <t>Compactable for all Mobile Phones</t>
  </si>
  <si>
    <t>AV06</t>
  </si>
  <si>
    <t>AV06-M</t>
  </si>
  <si>
    <t>Smartphone Rig</t>
  </si>
  <si>
    <t>Model : MQ 2
Operating Voltage:+5V
Preheat Duration:20 s
Analog Output Voltage:0 to 5 V
Dimension:36x20x21 mm</t>
  </si>
  <si>
    <t>AV07</t>
  </si>
  <si>
    <t>AV07-M</t>
  </si>
  <si>
    <t>Tripod</t>
  </si>
  <si>
    <t>Model : HC-SR04
Operating Voltage: 5 V
Sonar Sensing Range: 2-400 cm
Max. Sensing Range: 450 cm
Frequency: 40 kHz</t>
  </si>
  <si>
    <t>AV08</t>
  </si>
  <si>
    <t>AV08-M</t>
  </si>
  <si>
    <t>VR Viewer</t>
  </si>
  <si>
    <t>500ml</t>
  </si>
  <si>
    <t>E</t>
  </si>
  <si>
    <t>BA01/1</t>
  </si>
  <si>
    <t>BA01/01-E</t>
  </si>
  <si>
    <t>18650 Battery Charger</t>
  </si>
  <si>
    <t>Batteries and accessaries</t>
  </si>
  <si>
    <t>Electronics Work station</t>
  </si>
  <si>
    <t>Slider 11</t>
  </si>
  <si>
    <t>Voltage: 3.7 V
Current :
Compactible with 18650 Battery</t>
  </si>
  <si>
    <t>BA02</t>
  </si>
  <si>
    <t>BA02-E</t>
  </si>
  <si>
    <t>Adapters-12V</t>
  </si>
  <si>
    <t>Electronics storage</t>
  </si>
  <si>
    <t>A4988 DRV8825 Driver Expansion Board</t>
  </si>
  <si>
    <t>BA01/2</t>
  </si>
  <si>
    <t>BA01/02-E</t>
  </si>
  <si>
    <t>Battery charging unit</t>
  </si>
  <si>
    <t>9V Snap Connector with wire, for 6F22
Length : 12cm</t>
  </si>
  <si>
    <t>BA03/1</t>
  </si>
  <si>
    <t>BA03/01-E</t>
  </si>
  <si>
    <t>Battery clip</t>
  </si>
  <si>
    <t>Alkon-big</t>
  </si>
  <si>
    <t>Battery clips</t>
  </si>
  <si>
    <t>9V Snap connector with DC pin(5.5mmX2.5mm)
Length : 11cm</t>
  </si>
  <si>
    <t>BA03/2</t>
  </si>
  <si>
    <t>BA03/02-E</t>
  </si>
  <si>
    <t>Battery clip with DC jack</t>
  </si>
  <si>
    <t>Compactabile for dual 18650 , 3.7 rechargable battery</t>
  </si>
  <si>
    <t>BA04/1</t>
  </si>
  <si>
    <t>BA04/01-E</t>
  </si>
  <si>
    <t>Battery holder-18650</t>
  </si>
  <si>
    <t>Battery holders</t>
  </si>
  <si>
    <t>Compactible with two AA batteries</t>
  </si>
  <si>
    <t>BA04/2</t>
  </si>
  <si>
    <t>BA04/02-E</t>
  </si>
  <si>
    <t>Battery holder-2X1</t>
  </si>
  <si>
    <t>Compactible with four AA batteries</t>
  </si>
  <si>
    <t>BA04/3</t>
  </si>
  <si>
    <t>BA04/03-E</t>
  </si>
  <si>
    <t>Battery holder-4X1</t>
  </si>
  <si>
    <t>250ml, Borosilicate</t>
  </si>
  <si>
    <t>BA05/1</t>
  </si>
  <si>
    <t>BA05/01-E</t>
  </si>
  <si>
    <t>Button cell ( 3v )</t>
  </si>
  <si>
    <t>Button cell</t>
  </si>
  <si>
    <t>100MM - pack of 100</t>
  </si>
  <si>
    <t>BA06</t>
  </si>
  <si>
    <t>BA06-E</t>
  </si>
  <si>
    <t>Power Bank</t>
  </si>
  <si>
    <t>Standard Quality, 3sockets. 5-meter length</t>
  </si>
  <si>
    <t>BA05/2</t>
  </si>
  <si>
    <t>BA05/02-E</t>
  </si>
  <si>
    <t>Rechargeable Battery 18650</t>
  </si>
  <si>
    <t>size : 6F22
Voltage :9V
Current :325mAH
Type : Ni-MH</t>
  </si>
  <si>
    <t>BA05/3</t>
  </si>
  <si>
    <t>BA05/03-E</t>
  </si>
  <si>
    <t>Rechargeable Battery 9V</t>
  </si>
  <si>
    <t>Size: AA
Voltage : 1.2V
Current : 2800mAH
Type: Ni-MH</t>
  </si>
  <si>
    <t>BA05/4</t>
  </si>
  <si>
    <t>BA05/04-E</t>
  </si>
  <si>
    <t>Rechargeable Battery- AA ,1.2V</t>
  </si>
  <si>
    <t>Type : SMPS
Output Voltage: 0-30V 
Voltage Stability : ≤0.2%
Output Current : 0-2A
Current Stability : ≤00.8%
Load Regulation : ≤0.2%
Ripple And Noise : ≤0.1%
Output Voltage: 0-30V 0-2A
Display : LED Digit 
Accuracy: ±1% ± 1 digits</t>
  </si>
  <si>
    <t>CC01</t>
  </si>
  <si>
    <t>CC01-E</t>
  </si>
  <si>
    <t>Alligator Connectors (alligator clip)</t>
  </si>
  <si>
    <t>Cables and Connectors</t>
  </si>
  <si>
    <t>4 Sizes (1 mm, 1.5 mm, 2 mm and 2.5 mm in Thickness) 
Length: 10 meter each</t>
  </si>
  <si>
    <t>CC02</t>
  </si>
  <si>
    <t>CC02-E</t>
  </si>
  <si>
    <t>DC Power Jack</t>
  </si>
  <si>
    <t>Voltage : 3V
RPM : 300
Shaft : Single</t>
  </si>
  <si>
    <t>CC03</t>
  </si>
  <si>
    <t>CC03-E</t>
  </si>
  <si>
    <t>HDMI Cable</t>
  </si>
  <si>
    <t>CC04/1</t>
  </si>
  <si>
    <t>CC04/01-E</t>
  </si>
  <si>
    <t>Heat Sleeve 2mm Black</t>
  </si>
  <si>
    <t>Slider 22</t>
  </si>
  <si>
    <t>Heat Sleeve</t>
  </si>
  <si>
    <t>size : 2mm
Color : Red
Length : 15m</t>
  </si>
  <si>
    <t>CC04/2</t>
  </si>
  <si>
    <t>CC04/02-E</t>
  </si>
  <si>
    <t>Heat Sleeve 2mm Red</t>
  </si>
  <si>
    <t>size : 3 mm
Color : Black
Length : 15m</t>
  </si>
  <si>
    <t>CC04/3</t>
  </si>
  <si>
    <t>CC04/03-E</t>
  </si>
  <si>
    <t>Heat Sleeve 3mm Black</t>
  </si>
  <si>
    <t>size : 3mm
Color : Red
Length : 15m</t>
  </si>
  <si>
    <t>CC04/4</t>
  </si>
  <si>
    <t>CC04/04-E</t>
  </si>
  <si>
    <t>Heat Sleeve 3mm Red</t>
  </si>
  <si>
    <t>IC : LM358P
PDIP-8 
High Gain Operational Amplifier</t>
  </si>
  <si>
    <t>CC05/1</t>
  </si>
  <si>
    <t>CC05/01-E</t>
  </si>
  <si>
    <t>Hook-up Wire Black</t>
  </si>
  <si>
    <t>Hook-up Wire</t>
  </si>
  <si>
    <t>Color : Blue
Gauge :22
Length :1m</t>
  </si>
  <si>
    <t>CC05/2</t>
  </si>
  <si>
    <t>CC05/02-E</t>
  </si>
  <si>
    <t>Hook-up Wire Blue</t>
  </si>
  <si>
    <t>Color : Green
Gauge :22
Length :1m</t>
  </si>
  <si>
    <t>CC05/3</t>
  </si>
  <si>
    <t>CC05/03-E</t>
  </si>
  <si>
    <t>Hook-up Wire Green</t>
  </si>
  <si>
    <t>Color : Red
Gauge :22
Length :1m</t>
  </si>
  <si>
    <t>CC05/4</t>
  </si>
  <si>
    <t>CC05/04-E</t>
  </si>
  <si>
    <t>Hook-up Wire Red</t>
  </si>
  <si>
    <t>Color : Yellow
Gauge :22
Length :1m</t>
  </si>
  <si>
    <t>CC05/5</t>
  </si>
  <si>
    <t>CC05/05-E</t>
  </si>
  <si>
    <t>Hook-up Wire Yellow</t>
  </si>
  <si>
    <t>Works with standard 0.5- inch glue sticks.</t>
  </si>
  <si>
    <t>CC06/1</t>
  </si>
  <si>
    <t>CC06/01-E</t>
  </si>
  <si>
    <t>Jumper Cable FF</t>
  </si>
  <si>
    <t>Jumper Cable</t>
  </si>
  <si>
    <t>Type : Male to Female
40P color DuPont line
Length: 200mm
Weight: 30 gm
Compatible with 2.54mm spacing pin headers
40pcs chromatic female to female color jump wire</t>
  </si>
  <si>
    <t>CC06/2</t>
  </si>
  <si>
    <t>CC06/02-E</t>
  </si>
  <si>
    <t>Jumper Cable MF</t>
  </si>
  <si>
    <t>Type : Male to Male
40P color DuPont line
Length: 200mm
Weight: 30 gm
Compatible with 2.54mm spacing pin headers
40pcs chromatic female to female color jump wire</t>
  </si>
  <si>
    <t>CC06/3</t>
  </si>
  <si>
    <t>CC06/03-E</t>
  </si>
  <si>
    <t>Jumper Cable MM</t>
  </si>
  <si>
    <t>4×4 Matrix Keypad Membrane Switch for Arduino
5 pins 2.54mm pitch connector, 4x 4type 16 keys
Operating Voltage (V): 12 DC</t>
  </si>
  <si>
    <t>CC07/1</t>
  </si>
  <si>
    <t>CC07/01-E</t>
  </si>
  <si>
    <t>USB Cable A to B</t>
  </si>
  <si>
    <t>Type : USB A to Micro USB (Normal B)
Length : 1.5m</t>
  </si>
  <si>
    <t>CC07/2</t>
  </si>
  <si>
    <t>CC07/02-E</t>
  </si>
  <si>
    <t>USB Cable Micro</t>
  </si>
  <si>
    <t>USB cable micro</t>
  </si>
  <si>
    <t>Type : USB 2.0 A to USB 2.0 Mini B) 
Length : 30cm
Up to 480 Mbps data transfer rate.
USB Type: Type-A to Mini-B
Weight: 15 gm
Length: 30 cm</t>
  </si>
  <si>
    <t>CC07/3</t>
  </si>
  <si>
    <t>CC07/03-E</t>
  </si>
  <si>
    <t>USB Cable Mini</t>
  </si>
  <si>
    <t>USB cable Mini</t>
  </si>
  <si>
    <t>Magnification: 50-1000X, Light source: LED lights</t>
  </si>
  <si>
    <t>CC08</t>
  </si>
  <si>
    <t>CC08-E</t>
  </si>
  <si>
    <t>USB Multiconnector</t>
  </si>
  <si>
    <t>18mm width</t>
  </si>
  <si>
    <t>CC09</t>
  </si>
  <si>
    <t>CC09-E</t>
  </si>
  <si>
    <t>Sterio Plug</t>
  </si>
  <si>
    <t>Sterio plug</t>
  </si>
  <si>
    <t>Multi colors</t>
  </si>
  <si>
    <t>N</t>
  </si>
  <si>
    <t>CS01</t>
  </si>
  <si>
    <t>CS01-N</t>
  </si>
  <si>
    <t>Broom</t>
  </si>
  <si>
    <t>Cleaning Supplies</t>
  </si>
  <si>
    <t>Essentials</t>
  </si>
  <si>
    <t>CS02</t>
  </si>
  <si>
    <t>CS02-N</t>
  </si>
  <si>
    <t>Dust Pan</t>
  </si>
  <si>
    <t>Laboratory hot plate Temp range 50 to 200 Degree C</t>
  </si>
  <si>
    <t>CS03</t>
  </si>
  <si>
    <t>CS03-N</t>
  </si>
  <si>
    <t>Sponge</t>
  </si>
  <si>
    <t>Pack of 100</t>
  </si>
  <si>
    <t>CS04</t>
  </si>
  <si>
    <t>CS04-N</t>
  </si>
  <si>
    <t>Vacuum Pump</t>
  </si>
  <si>
    <t>Weight: 10 Grams,
Operating Voltage: 1.5 to 3V</t>
  </si>
  <si>
    <t>CS05</t>
  </si>
  <si>
    <t>CS05-N</t>
  </si>
  <si>
    <t>Waste Bin</t>
  </si>
  <si>
    <t>T</t>
  </si>
  <si>
    <t>CT01/1</t>
  </si>
  <si>
    <t>CT01/01-T</t>
  </si>
  <si>
    <t>Adjustable Coping Hand Saw</t>
  </si>
  <si>
    <t>Cutting and shaping tools</t>
  </si>
  <si>
    <t>Tools Display Board</t>
  </si>
  <si>
    <t>Material: Chrome vanadium steel
Length: 8 inch
Jaw Capacity:  32 mm
Adjustment Mechanism: Worm gear</t>
  </si>
  <si>
    <t>CT01/2</t>
  </si>
  <si>
    <t>CT01/02-T</t>
  </si>
  <si>
    <t>Coping Hand Saw Blades</t>
  </si>
  <si>
    <t>Construction Paper</t>
  </si>
  <si>
    <t>1/8" Thick - available size</t>
  </si>
  <si>
    <t>CT03/2</t>
  </si>
  <si>
    <t>CT02/02-T</t>
  </si>
  <si>
    <t>Drill Bit Set</t>
  </si>
  <si>
    <t>Clock wise/anti clockwise modes power - Rotary Drill 600W 13MM</t>
  </si>
  <si>
    <t>CT03/1</t>
  </si>
  <si>
    <t>CT03/01-T</t>
  </si>
  <si>
    <t>Drill Machine</t>
  </si>
  <si>
    <t>Hand Drill Bench Clamp Drill Press Table Stand</t>
  </si>
  <si>
    <t>CT03/3</t>
  </si>
  <si>
    <t>CT03/03-T</t>
  </si>
  <si>
    <t>Drill Press Table Stand</t>
  </si>
  <si>
    <t>Current Rating: 1.5 Amps
Maximum Frequency: 60 Hz
Over-current, overload and short circuit protection.</t>
  </si>
  <si>
    <t>CT04/1</t>
  </si>
  <si>
    <t>CT04/01-T</t>
  </si>
  <si>
    <t>Hacksaw Blades</t>
  </si>
  <si>
    <t>Hacksaw frames are 10, or 12 inches in length</t>
  </si>
  <si>
    <t>CT04/2</t>
  </si>
  <si>
    <t>CT04/02-T</t>
  </si>
  <si>
    <t>Hacksaw Frame</t>
  </si>
  <si>
    <t>CT04/3</t>
  </si>
  <si>
    <t>CT04/03-T</t>
  </si>
  <si>
    <t>Mini Hacksaw Frame</t>
  </si>
  <si>
    <t xml:space="preserve">Wave length :650 nm 
Voltage: 3.0 V – 5 V.
Driver: APC circuit.
Line length: about 135 mm.
Transmit power: 58mW.
Operating Current: 40mA.
Operating temperature: -36◦C ~ 65◦C.
</t>
  </si>
  <si>
    <t>CT05/1</t>
  </si>
  <si>
    <t>CT05/01-T</t>
  </si>
  <si>
    <t>Rotary Cutter</t>
  </si>
  <si>
    <t>CT05/2</t>
  </si>
  <si>
    <t>CT05/02-T</t>
  </si>
  <si>
    <t>Rotary Cutter Blades</t>
  </si>
  <si>
    <t>180W, Electric Rotary Tool Kit Box For Grinding, Polishing, Engraving &amp; Finishing (B&amp;D)</t>
  </si>
  <si>
    <t>CT06</t>
  </si>
  <si>
    <t>CT06-T</t>
  </si>
  <si>
    <t>Rotary tool</t>
  </si>
  <si>
    <t>CT06/3</t>
  </si>
  <si>
    <t>CT06/03-T</t>
  </si>
  <si>
    <t>Utility Knife Blades 18MM</t>
  </si>
  <si>
    <t>9mm width 6 inch length Blades, 30 degree type</t>
  </si>
  <si>
    <t>CT06/4</t>
  </si>
  <si>
    <t>CT06/04-T</t>
  </si>
  <si>
    <t>Utility Knife Blades 9MM</t>
  </si>
  <si>
    <t>18MM width, retractable type</t>
  </si>
  <si>
    <t>CT06/1</t>
  </si>
  <si>
    <t>CT06/01-T</t>
  </si>
  <si>
    <t>Utility Knives 18MM</t>
  </si>
  <si>
    <t>6 inch length, 9mm width, retractable type, 30 Degree Graphic Art Knife, stainless steel body</t>
  </si>
  <si>
    <t>CT06/2</t>
  </si>
  <si>
    <t>CT06/02-T</t>
  </si>
  <si>
    <t>Utility Knives 9MM</t>
  </si>
  <si>
    <t>160mm length</t>
  </si>
  <si>
    <t>CT07/1</t>
  </si>
  <si>
    <t>CT07/01-T</t>
  </si>
  <si>
    <t>Utility Scissor 150mm</t>
  </si>
  <si>
    <t>250mm length</t>
  </si>
  <si>
    <t>CT07/02-T</t>
  </si>
  <si>
    <t>Utility Scissor 240mm</t>
  </si>
  <si>
    <t>CT07/2</t>
  </si>
  <si>
    <t>CT07/03-T</t>
  </si>
  <si>
    <t>Tailor Scissor 9 Inch</t>
  </si>
  <si>
    <t>DB02/3</t>
  </si>
  <si>
    <t>DB02/03-E</t>
  </si>
  <si>
    <t>Adiuno UNO CNC Shield V3</t>
  </si>
  <si>
    <t>Development Boards</t>
  </si>
  <si>
    <t>Adiuno uno CNC Shield V3</t>
  </si>
  <si>
    <t>Adjustible hand saw frame, Compatible for 75 Millimetres, Can be used for cutting Jewellery, Metal, Wood, Plastic &amp; Wax</t>
  </si>
  <si>
    <t>DB01/1</t>
  </si>
  <si>
    <t>DB01/01-E</t>
  </si>
  <si>
    <t>Arduino NANO</t>
  </si>
  <si>
    <t>Arduino nano &amp; shield</t>
  </si>
  <si>
    <t>Nano 328P Expansion Adapter Breakout Board IO Shield</t>
  </si>
  <si>
    <t>DB01/2</t>
  </si>
  <si>
    <t>DB01/02-E</t>
  </si>
  <si>
    <t>Arduino NANO shield</t>
  </si>
  <si>
    <t>Uno R3 CH340G 
ATmega328p
Development Board</t>
  </si>
  <si>
    <t>DB02/1</t>
  </si>
  <si>
    <t>DB02/01-E</t>
  </si>
  <si>
    <t>Arduino UNO (R3 smd)</t>
  </si>
  <si>
    <t>Arduino uno &amp; shield</t>
  </si>
  <si>
    <t>L293D Motor Driver/Servo Shield for Arduino</t>
  </si>
  <si>
    <t>DB02/2</t>
  </si>
  <si>
    <t>DB02/02-E</t>
  </si>
  <si>
    <t>Arduino UNO shield</t>
  </si>
  <si>
    <t>Head Material : Carbon Steel
Handle Material : wood
Weight: 220 grams/8oz</t>
  </si>
  <si>
    <t>DB03/4</t>
  </si>
  <si>
    <t>DB03/03-E</t>
  </si>
  <si>
    <t>ESP-01 ESP8266 WIFI Module</t>
  </si>
  <si>
    <t xml:space="preserve">Camera:OV2640 , 2MP For Face Recognization
Flash LED off: 180mA @ 5V.
Flash LED on to maximum brightness: 310mA @ 5V.
Deep-sleep: 6mA @ 5V min.
Modem-sleep: 20mA @ 5V min.
Light-sleep: 6.7mA @ 5V min.
</t>
  </si>
  <si>
    <t>DB03/04-E</t>
  </si>
  <si>
    <t>ESP32 CAM</t>
  </si>
  <si>
    <t>ESP32 CAM &amp; Shield</t>
  </si>
  <si>
    <t>ESP32-CAM-MB MICRO USB Download Module for ESP32 CAM Development Board
Chipset: CH340G</t>
  </si>
  <si>
    <t>DB03/2</t>
  </si>
  <si>
    <t>DB03/02-E</t>
  </si>
  <si>
    <t>ESP32 CAM Shield</t>
  </si>
  <si>
    <t>Model : ESP32 WiFi Bluetooth UNO D1 R32 Develop Board
Opertaing Voltage : DC 5 V-12 V
Analog input : 1 (maximum input 3.2 V)
Adapter : USB type B 
Type : D1 R32 , WiFi + Bluetooth + UNO
Size: 6.8x5.3 cm / 2.68x2.09 inches
Board : Micro USB board</t>
  </si>
  <si>
    <t>DB03/1</t>
  </si>
  <si>
    <t>DB03/01-E</t>
  </si>
  <si>
    <t>ESP32 WIFI Bluetooth UNO D1</t>
  </si>
  <si>
    <t>Thickness: 2 mm
Size: 1x2 m
Multiple colors</t>
  </si>
  <si>
    <t>DB04/1</t>
  </si>
  <si>
    <t>DB04/01-E</t>
  </si>
  <si>
    <t>Raspberry Pi Pico</t>
  </si>
  <si>
    <t>Raspberry Pi Pico &amp; Shield</t>
  </si>
  <si>
    <t>Compactible for : Nano 328P 
Input Voltage(V) : 3.3V,5V
Total Pins : 40
No. of Analog Pins : 8
No. of PWM Pin : 6
Length : 58mm
Width : 54mm
Height : 12mm</t>
  </si>
  <si>
    <t>DB04/2</t>
  </si>
  <si>
    <t>DB04/02-E</t>
  </si>
  <si>
    <t>Raspberry Pi Pico GPIO Expansion Board</t>
  </si>
  <si>
    <t>Model : 18650
Voltage :3.7 V
Current :3800mAh</t>
  </si>
  <si>
    <t>D</t>
  </si>
  <si>
    <t>DF01</t>
  </si>
  <si>
    <t>DF01-D</t>
  </si>
  <si>
    <t>3D Pen</t>
  </si>
  <si>
    <t>Didital fabrication</t>
  </si>
  <si>
    <t>Digital Fabrication</t>
  </si>
  <si>
    <t>slider 11</t>
  </si>
  <si>
    <t>Dia of Fil: 1.75mm, Nozzle Hole Size : 0.7mm</t>
  </si>
  <si>
    <t>DF02</t>
  </si>
  <si>
    <t>DF02-D</t>
  </si>
  <si>
    <t>3D Printer</t>
  </si>
  <si>
    <t>Print volume upto 19L, D26Cm v 36cm print dia
Material Compatibility PLA, ABS, and derivatives of PLA, Ninjaflex Quality Anti-bacterial/fungal Cover, carbon fiber. Touch screen, Wifi</t>
  </si>
  <si>
    <t>DF03</t>
  </si>
  <si>
    <t>DF03-D</t>
  </si>
  <si>
    <t>3D printer accessories</t>
  </si>
  <si>
    <t>Slider22</t>
  </si>
  <si>
    <t>DF04/3</t>
  </si>
  <si>
    <t>DF04-D</t>
  </si>
  <si>
    <t>PLA Filament</t>
  </si>
  <si>
    <t>Consumable 2</t>
  </si>
  <si>
    <t>500 ml</t>
  </si>
  <si>
    <t>DF05-D</t>
  </si>
  <si>
    <t>Laser Cutter / Engraver</t>
  </si>
  <si>
    <t>Laser Wavelength : 532nm
Output Power : 500mW
Operation Voltage : 3VDC
Output Model : CW/Pulse
Beam Divergence : &lt;1.4Mrad
Battery Source : 2xAAA Batteries</t>
  </si>
  <si>
    <t>Vinyl Cutter</t>
  </si>
  <si>
    <t>EC01</t>
  </si>
  <si>
    <t>EC01-E</t>
  </si>
  <si>
    <t>Active Buzzer</t>
  </si>
  <si>
    <t>Electronic components</t>
  </si>
  <si>
    <t>DC SMPS Adapter with 12V, 2A</t>
  </si>
  <si>
    <t>EC02/1</t>
  </si>
  <si>
    <t>EC02/01-E</t>
  </si>
  <si>
    <t>Breadboard</t>
  </si>
  <si>
    <t>Type : Mini
400 Solder-less Points
Size : 8.2cm X 5.5cm
Accept a variety of wire sizes 20-29AWG
Voltage,Current : 300V, 3-5A</t>
  </si>
  <si>
    <t>EC02/2</t>
  </si>
  <si>
    <t>EC02/02-E</t>
  </si>
  <si>
    <t>Breadboard Mini</t>
  </si>
  <si>
    <t>Model : MB102
Breadboard power supply module, compatible with 5V, 3.3V.
Input voltage: 6.5-12 V (DC) or USB power supply
Output voltage: 3.3V/5V can switch over
Maximum output current: &lt;700 mA</t>
  </si>
  <si>
    <t>EC03</t>
  </si>
  <si>
    <t>EC03-E</t>
  </si>
  <si>
    <t>Breadboard Power Supply Module</t>
  </si>
  <si>
    <t>Material: synthetic bristles</t>
  </si>
  <si>
    <t>EC04/1</t>
  </si>
  <si>
    <t>EC04/01-E</t>
  </si>
  <si>
    <t>Burg Strips F</t>
  </si>
  <si>
    <t>Type : Male
Pitch : 2.54mm
No of Pins : 40</t>
  </si>
  <si>
    <t>EC04/2</t>
  </si>
  <si>
    <t>EC04/02-E</t>
  </si>
  <si>
    <t>Burg Strips M</t>
  </si>
  <si>
    <t>Type : Male Right Angle
Pitch : 2.54mm 
No of Pins : 40</t>
  </si>
  <si>
    <t>EC04/3</t>
  </si>
  <si>
    <t>EC04/03-E</t>
  </si>
  <si>
    <t>Burg Strips M Right angle</t>
  </si>
  <si>
    <t>Model : CR2032
Voltage : 3V</t>
  </si>
  <si>
    <t>EC05/1</t>
  </si>
  <si>
    <t>EC05/01-E</t>
  </si>
  <si>
    <t>Capacitor 0.001 µF</t>
  </si>
  <si>
    <t>Alkon-small</t>
  </si>
  <si>
    <t>Value : 0.01 µF 
Type : Disc Capacitor</t>
  </si>
  <si>
    <t>EC05/2</t>
  </si>
  <si>
    <t>EC05/02-E</t>
  </si>
  <si>
    <t>Capacitor 0.01 µF</t>
  </si>
  <si>
    <t>Value : 0.047 µF 
Type : Disc Capacitor</t>
  </si>
  <si>
    <t>EC05/3</t>
  </si>
  <si>
    <t>EC05/03-E</t>
  </si>
  <si>
    <t>Capacitor 0.047 µF</t>
  </si>
  <si>
    <t>Value : 0.1 µF
Type : Disc Capacitor</t>
  </si>
  <si>
    <t>EC05/4</t>
  </si>
  <si>
    <t>EC05/04-E</t>
  </si>
  <si>
    <t>Capacitor 0.1 µF</t>
  </si>
  <si>
    <t>Value : 1 µF
Voltage : 63V
Type : Electrolytic Capacitor</t>
  </si>
  <si>
    <t>EC05/5</t>
  </si>
  <si>
    <t>EC05/05-E</t>
  </si>
  <si>
    <t>Capacitor 1 µF</t>
  </si>
  <si>
    <t>Value : 10 µF
Voltage : 63V
Type : Electrolytic Capacitor</t>
  </si>
  <si>
    <t>EC05/6</t>
  </si>
  <si>
    <t>EC05/06-E</t>
  </si>
  <si>
    <t>Capacitor 10 µF</t>
  </si>
  <si>
    <t>Value : 100 µF
Voltage : 25 V
Type : Electrolytic Capacitor</t>
  </si>
  <si>
    <t>EC05/7</t>
  </si>
  <si>
    <t>EC05/07-E</t>
  </si>
  <si>
    <t>Capacitor 100 µF</t>
  </si>
  <si>
    <t>Value : 1000 µF
Voltage : 25 V
Type : Electrolytic Capacitor</t>
  </si>
  <si>
    <t>EC05/8</t>
  </si>
  <si>
    <t>EC05/08-E</t>
  </si>
  <si>
    <t>Capacitor 1000 µF</t>
  </si>
  <si>
    <t>Value : 2.2 µF
Voltage : 63 V
Type : Electrolytic Capacitor</t>
  </si>
  <si>
    <t>EC05/9</t>
  </si>
  <si>
    <t>EC05/09-E</t>
  </si>
  <si>
    <t>Capacitor 2.2 µF</t>
  </si>
  <si>
    <t>Value : 22 µF
Voltage : 25 V
Type : Electrolytic Capacitor</t>
  </si>
  <si>
    <t>EC05/10</t>
  </si>
  <si>
    <t>EC05/10-E</t>
  </si>
  <si>
    <t>Capacitor 22 µF</t>
  </si>
  <si>
    <t>Value : 220 µF
Voltage : 25 V
Type : Electrolytic Capacitor</t>
  </si>
  <si>
    <t>EC05/11</t>
  </si>
  <si>
    <t>EC05/11-E</t>
  </si>
  <si>
    <t>Capacitor 220 µF</t>
  </si>
  <si>
    <t>Value : 2200 µF
Voltage : 25V
Type : Electrolytic Capacitor</t>
  </si>
  <si>
    <t>EC05/12</t>
  </si>
  <si>
    <t>EC05/12-E</t>
  </si>
  <si>
    <t>Capacitor 2200 µF</t>
  </si>
  <si>
    <t>Value : 27pF
Type : Disc Capacitor</t>
  </si>
  <si>
    <t>EC05/13</t>
  </si>
  <si>
    <t>EC05/13-E</t>
  </si>
  <si>
    <t>Capacitor 27 pF</t>
  </si>
  <si>
    <t>Value : 4.7 µF
Voltage : 
Type : Electrolytic Capacitor</t>
  </si>
  <si>
    <t>EC05/14</t>
  </si>
  <si>
    <t>EC05/14-E</t>
  </si>
  <si>
    <t>Capacitor 4.7 µF</t>
  </si>
  <si>
    <t>Value : 47 µF
Voltage : 
Type : Electrolytic Capacitor</t>
  </si>
  <si>
    <t>EC05/15</t>
  </si>
  <si>
    <t>EC05/15-E</t>
  </si>
  <si>
    <t>Capacitor 4.7 pF</t>
  </si>
  <si>
    <t>Value : 4.7 pF
Type : Disc Capacitor</t>
  </si>
  <si>
    <t>EC05/16</t>
  </si>
  <si>
    <t>EC05/16-E</t>
  </si>
  <si>
    <t>Capacitor 47 µF</t>
  </si>
  <si>
    <t>Value : 470 µF
Voltage : 25V
Type : Electrolytic Capacitor</t>
  </si>
  <si>
    <t>EC05/17</t>
  </si>
  <si>
    <t>EC05/17-E</t>
  </si>
  <si>
    <t>Capacitor 470 µF</t>
  </si>
  <si>
    <t>Dimensions: 35 x 25 mm (Diameter x Height)</t>
  </si>
  <si>
    <t>EC06</t>
  </si>
  <si>
    <t>EC06-E</t>
  </si>
  <si>
    <t>Counter IC (cd4017)</t>
  </si>
  <si>
    <t>Detail Knife Metal Grip Hand-held Paper Cutter</t>
  </si>
  <si>
    <t>EC07/1</t>
  </si>
  <si>
    <t>EC07/01-E</t>
  </si>
  <si>
    <t>Diode - IN 4007</t>
  </si>
  <si>
    <t>Zener Voltage Range (V): 6.4 – 7.2, 
Reverse Leakage Current (μA): &lt; 0.1</t>
  </si>
  <si>
    <t>EC07/2</t>
  </si>
  <si>
    <t>EC07/02-E</t>
  </si>
  <si>
    <t>Diode- IN 4148</t>
  </si>
  <si>
    <t>scalpel/lock blade
- 4.5" dissecting scissors
- 4.5" chrome plated forceps
- straight teasing needle
- angular teasing needle
-plastic pipete or dropper
- 6" plastic ruler</t>
  </si>
  <si>
    <t>EC08</t>
  </si>
  <si>
    <t>EC08-E</t>
  </si>
  <si>
    <t>High Gain Operational Amplifier</t>
  </si>
  <si>
    <t>alkon-big</t>
  </si>
  <si>
    <t>Color : Black
Gauge :22
Length :1m</t>
  </si>
  <si>
    <t>EC09/1</t>
  </si>
  <si>
    <t>EC09/01-E</t>
  </si>
  <si>
    <t>LED Blue</t>
  </si>
  <si>
    <t>57mm plastic housing with aluminium tikki, B22 holder, plastic transparent cap</t>
  </si>
  <si>
    <t>EC09/2</t>
  </si>
  <si>
    <t>EC09/02-E</t>
  </si>
  <si>
    <t>LED Green</t>
  </si>
  <si>
    <t>EC09/3</t>
  </si>
  <si>
    <t>EC09/03-E</t>
  </si>
  <si>
    <t>LED Red</t>
  </si>
  <si>
    <t>LED Density: 30 LEDs/m,
Light Color: cool white
Voltage: 12V DC
Length: 20 m</t>
  </si>
  <si>
    <t>EC09/4</t>
  </si>
  <si>
    <t>EC09/04-E</t>
  </si>
  <si>
    <t>LED White</t>
  </si>
  <si>
    <t>Color : Yellow
Size : 5mm
Wavelength : 570-580nm
Forward voltage : 2-3.4v
Forward current : 20mA</t>
  </si>
  <si>
    <t>EC09/5</t>
  </si>
  <si>
    <t>EC09/05-E</t>
  </si>
  <si>
    <t>LED Yellow</t>
  </si>
  <si>
    <t>M8 x 450mm, X Axis</t>
  </si>
  <si>
    <t>EC09/6</t>
  </si>
  <si>
    <t>EC09/06-E</t>
  </si>
  <si>
    <t>LED -RGB</t>
  </si>
  <si>
    <t>Diameter: 12 inch
Color Temperature: 3400K to 5600K.
Mount: PHONE HOLDER AND 7"feet tripod</t>
  </si>
  <si>
    <t>EC10</t>
  </si>
  <si>
    <t>EC10-E</t>
  </si>
  <si>
    <t>Magnetic Reed Switch</t>
  </si>
  <si>
    <t xml:space="preserve">3-axis magnetic electronic compass.
Operating Voltage: 3 -5 V DC.
Driver Chip: HMC5883L.
Communication: I2C protocol.
Measuring range: ± 1.3-8 Gauss.
</t>
  </si>
  <si>
    <t>EC11/1</t>
  </si>
  <si>
    <t>EC11/01-E</t>
  </si>
  <si>
    <t>MOSFET IRF540</t>
  </si>
  <si>
    <t>Model : Model : IRFZ44N
Type : N-Channel
Drain-Source Breakdown Voltage : 55V
Continuous Drain Current : 49A
Drain-Source Resistance : 0.0175Ohms
Gate-Source Voltage : 20V
Gate Charge (Qg) : 63 nC
Operating Temperature Range : -55 - 175°C
Power Dissipation (Pd) 94W</t>
  </si>
  <si>
    <t>EC11/2</t>
  </si>
  <si>
    <t>EC11/02-E</t>
  </si>
  <si>
    <t>MOSFET IRFZ44</t>
  </si>
  <si>
    <t>Model : L298N
Logical voltage: 5V
Drive voltage: 5V-35V
Logical current: 0-36mA
Drive current: 2A (max. single bridge)
Max power: 25W
Dimensions: 44 x 44 x 28 (LxWxH)mm</t>
  </si>
  <si>
    <t>EC12</t>
  </si>
  <si>
    <t>EC12-E</t>
  </si>
  <si>
    <t>Piezoelectric Plate</t>
  </si>
  <si>
    <t xml:space="preserve">Material:  Carbon Steel
Length: 8 inch
Jaw Capacity: 60 mm
Adjustment Mechanism: Screw type </t>
  </si>
  <si>
    <t>EC13/1</t>
  </si>
  <si>
    <t>EC13/01-E</t>
  </si>
  <si>
    <t>Pot Meter 100K</t>
  </si>
  <si>
    <t>Value : 10K
Diameter : 16mm
Type : Mono</t>
  </si>
  <si>
    <t>EC13/2</t>
  </si>
  <si>
    <t>EC13/02-E</t>
  </si>
  <si>
    <t>Pot Meter 10K</t>
  </si>
  <si>
    <t>Value : 1 K
Diameter : 16mm
Type : Mono</t>
  </si>
  <si>
    <t>EC13/3</t>
  </si>
  <si>
    <t>EC13/03-E</t>
  </si>
  <si>
    <t>Pot Meter 1K</t>
  </si>
  <si>
    <t>Value : 1M
Diameter : 16mm
Type : Mono</t>
  </si>
  <si>
    <t>EC13/4</t>
  </si>
  <si>
    <t>EC13/04-E</t>
  </si>
  <si>
    <t>Pot Meter 1M</t>
  </si>
  <si>
    <t>Voltage : 5V
Current : 5000mAh</t>
  </si>
  <si>
    <t>EC14/1</t>
  </si>
  <si>
    <t>EC14/01-E</t>
  </si>
  <si>
    <t>Resistor 100E</t>
  </si>
  <si>
    <t>Value : 10E
Power : 0.25W</t>
  </si>
  <si>
    <t>EC14/2</t>
  </si>
  <si>
    <t>EC14/02-E</t>
  </si>
  <si>
    <t>Resistor 10E</t>
  </si>
  <si>
    <t>Value : 10K
Power : 0.25W</t>
  </si>
  <si>
    <t>EC14/3</t>
  </si>
  <si>
    <t>EC14/03-E</t>
  </si>
  <si>
    <t>Resistor 10k</t>
  </si>
  <si>
    <t>Value : 120K
Power : 0.25W</t>
  </si>
  <si>
    <t>EC14/4</t>
  </si>
  <si>
    <t>EC14/04-E</t>
  </si>
  <si>
    <t>Resistor 120K</t>
  </si>
  <si>
    <t>Value : 180K
Power : 0.25W</t>
  </si>
  <si>
    <t>EC14/5</t>
  </si>
  <si>
    <t>EC14/05-E</t>
  </si>
  <si>
    <t>Resistor 180K</t>
  </si>
  <si>
    <t>Value : 1K
Power : 0.25W</t>
  </si>
  <si>
    <t>EC14/6</t>
  </si>
  <si>
    <t>EC14/06-E</t>
  </si>
  <si>
    <t>Resistor 1K</t>
  </si>
  <si>
    <t>Value : 1M
Power : 0.25W</t>
  </si>
  <si>
    <t>EC14/7</t>
  </si>
  <si>
    <t>EC14/07-E</t>
  </si>
  <si>
    <t>Resistor 1M</t>
  </si>
  <si>
    <t>Value : 2.2K
Power : 0.25W</t>
  </si>
  <si>
    <t>EC14/8</t>
  </si>
  <si>
    <t>EC14/08-E</t>
  </si>
  <si>
    <t>Resistor 2.2K</t>
  </si>
  <si>
    <t>Value : 220E
Power : 0.25W</t>
  </si>
  <si>
    <t>EC14/9</t>
  </si>
  <si>
    <t>EC14/09-E</t>
  </si>
  <si>
    <t>Resistor 220E</t>
  </si>
  <si>
    <t>Value : 220K
Power : 0.25W</t>
  </si>
  <si>
    <t>EC14/10</t>
  </si>
  <si>
    <t>EC14/10-E</t>
  </si>
  <si>
    <t>Resistor 220K</t>
  </si>
  <si>
    <t>Value : 22E
Power : 0.25W</t>
  </si>
  <si>
    <t>EC14/11</t>
  </si>
  <si>
    <t>EC14/11-E</t>
  </si>
  <si>
    <t>Resistor 22E</t>
  </si>
  <si>
    <t>Value : 22K
Power : 0.25W</t>
  </si>
  <si>
    <t>EC14/12</t>
  </si>
  <si>
    <t>EC14/12-E</t>
  </si>
  <si>
    <t>Resistor 22K</t>
  </si>
  <si>
    <t>Value : 27E
Power : 0.25W</t>
  </si>
  <si>
    <t>EC14/13</t>
  </si>
  <si>
    <t>EC14/13-E</t>
  </si>
  <si>
    <t>Resistor 27E</t>
  </si>
  <si>
    <t>Value : 330E
Power : 0.25W</t>
  </si>
  <si>
    <t>EC14/14</t>
  </si>
  <si>
    <t>EC14/14-E</t>
  </si>
  <si>
    <t>Resistor 330E</t>
  </si>
  <si>
    <t>Value : 330K
Power : 0.25W</t>
  </si>
  <si>
    <t>EC14/15</t>
  </si>
  <si>
    <t>EC14/15-E</t>
  </si>
  <si>
    <t>Resistor 330K</t>
  </si>
  <si>
    <t>Value : 33E
Power : 0.25W</t>
  </si>
  <si>
    <t>EC14/16</t>
  </si>
  <si>
    <t>EC14/16-E</t>
  </si>
  <si>
    <t>Resistor 33E</t>
  </si>
  <si>
    <t>Value : 33K
Power : 0.25W</t>
  </si>
  <si>
    <t>EC14/17</t>
  </si>
  <si>
    <t>EC14/17-E</t>
  </si>
  <si>
    <t>Resistor 33K</t>
  </si>
  <si>
    <t>Value : 390E
Power : 0.25W</t>
  </si>
  <si>
    <t>EC14/18</t>
  </si>
  <si>
    <t>EC14/18-E</t>
  </si>
  <si>
    <t>Resistor 390E</t>
  </si>
  <si>
    <t>Value : 390K
Power : 0.25W</t>
  </si>
  <si>
    <t>EC14/19</t>
  </si>
  <si>
    <t>EC14/19-E</t>
  </si>
  <si>
    <t>Resistor 390K</t>
  </si>
  <si>
    <t>Value : 39E
Power : 0.25W</t>
  </si>
  <si>
    <t>EC14/20</t>
  </si>
  <si>
    <t>EC14/20-E</t>
  </si>
  <si>
    <t>Resistor 39E</t>
  </si>
  <si>
    <t>Value : 39K
Power : 0.25W</t>
  </si>
  <si>
    <t>EC14/21</t>
  </si>
  <si>
    <t>EC14/21-E</t>
  </si>
  <si>
    <t>Resistor 39K</t>
  </si>
  <si>
    <t>Value : 4.7K
Power : 0.25W</t>
  </si>
  <si>
    <t>EC14/22</t>
  </si>
  <si>
    <t>EC14/22-E</t>
  </si>
  <si>
    <t>Resistor 4.7K</t>
  </si>
  <si>
    <t>Value : 560E 
Power : 0.25W</t>
  </si>
  <si>
    <t>EC14/23</t>
  </si>
  <si>
    <t>EC14/23-E</t>
  </si>
  <si>
    <t>Resistor 560E</t>
  </si>
  <si>
    <t>Value : 560K
Power : 0.25W</t>
  </si>
  <si>
    <t>EC14/24</t>
  </si>
  <si>
    <t>EC14/24-E</t>
  </si>
  <si>
    <t>Resistor 560K</t>
  </si>
  <si>
    <t>Value : 56E
Power : 0.25W</t>
  </si>
  <si>
    <t>EC14/25</t>
  </si>
  <si>
    <t>EC14/25-E</t>
  </si>
  <si>
    <t>Resistor 56E</t>
  </si>
  <si>
    <t>Value : 56K
Power : 0.25W</t>
  </si>
  <si>
    <t>EC14/26</t>
  </si>
  <si>
    <t>EC14/26-E</t>
  </si>
  <si>
    <t>Resistor 56K</t>
  </si>
  <si>
    <t>Value : 680K
Power : 0.25W</t>
  </si>
  <si>
    <t>EC14/27</t>
  </si>
  <si>
    <t>EC14/27-E</t>
  </si>
  <si>
    <t>Resistor 680K</t>
  </si>
  <si>
    <t>Value : 820E
Power : 0.25W</t>
  </si>
  <si>
    <t>EC14/28</t>
  </si>
  <si>
    <t>EC14/28-E</t>
  </si>
  <si>
    <t>Resistor 820E</t>
  </si>
  <si>
    <t>Value : 820K
Power : 0.25W</t>
  </si>
  <si>
    <t>EC14/29</t>
  </si>
  <si>
    <t>EC14/29-E</t>
  </si>
  <si>
    <t>Resistor 820K</t>
  </si>
  <si>
    <t>Value : 82E
Power : 0.25W</t>
  </si>
  <si>
    <t>EC14/30</t>
  </si>
  <si>
    <t>EC14/30-E</t>
  </si>
  <si>
    <t>Resistor 82E</t>
  </si>
  <si>
    <t>Value : 82K
Power : 0.25W</t>
  </si>
  <si>
    <t>EC14/31</t>
  </si>
  <si>
    <t>EC14/31-E</t>
  </si>
  <si>
    <t>Resistor 82K</t>
  </si>
  <si>
    <t>Value : 150E
Power : 0.25W</t>
  </si>
  <si>
    <t>EC14/32</t>
  </si>
  <si>
    <t>EC14/32-E</t>
  </si>
  <si>
    <t>Resistors 150E</t>
  </si>
  <si>
    <t>Value : 150K
Power : 0.25W</t>
  </si>
  <si>
    <t>EC14/33</t>
  </si>
  <si>
    <t>EC14/33-E</t>
  </si>
  <si>
    <t>Resistors 150K</t>
  </si>
  <si>
    <t>Value : 15E
Power : 0.25W</t>
  </si>
  <si>
    <t>EC14/34</t>
  </si>
  <si>
    <t>EC14/34-E</t>
  </si>
  <si>
    <t>Resistors 15E</t>
  </si>
  <si>
    <t>Value : 15K
Power : 0.25W</t>
  </si>
  <si>
    <t>EC14/35</t>
  </si>
  <si>
    <t>EC14/35-E</t>
  </si>
  <si>
    <t>Resistors 15K</t>
  </si>
  <si>
    <t>Value : 270E
Power : 0.25W</t>
  </si>
  <si>
    <t>EC14/36</t>
  </si>
  <si>
    <t>EC14/36-E</t>
  </si>
  <si>
    <t>Resistors 270E</t>
  </si>
  <si>
    <t>Value : 270K
Power : 0.25W</t>
  </si>
  <si>
    <t>EC14/37</t>
  </si>
  <si>
    <t>EC14/37-E</t>
  </si>
  <si>
    <t>Resistors 270K</t>
  </si>
  <si>
    <t>Value : 27K
Power : 0.25W</t>
  </si>
  <si>
    <t>EC14/38</t>
  </si>
  <si>
    <t>EC14/38-E</t>
  </si>
  <si>
    <t>Resistors 27K</t>
  </si>
  <si>
    <t>Value : 470E
Power : 0.25W</t>
  </si>
  <si>
    <t>EC14/39</t>
  </si>
  <si>
    <t>EC14/39-E</t>
  </si>
  <si>
    <t>Resistors 470E</t>
  </si>
  <si>
    <t>Value : 470K
Power : 0.25W</t>
  </si>
  <si>
    <t>EC14/40</t>
  </si>
  <si>
    <t>EC14/40-E</t>
  </si>
  <si>
    <t>Resistors 470K</t>
  </si>
  <si>
    <t>Value : 47E
Power : 0.25W</t>
  </si>
  <si>
    <t>EC14/41</t>
  </si>
  <si>
    <t>EC14/41-E</t>
  </si>
  <si>
    <t>Resistors 47E</t>
  </si>
  <si>
    <t>Value : 47K
Power : 0.25W</t>
  </si>
  <si>
    <t>EC14/42</t>
  </si>
  <si>
    <t>EC14/42-E</t>
  </si>
  <si>
    <t>Resistors 47K</t>
  </si>
  <si>
    <t>Return measuring tape 5Mx19mm</t>
  </si>
  <si>
    <t>EC15/1</t>
  </si>
  <si>
    <t>EC15/01-E</t>
  </si>
  <si>
    <t>Switch (Micro)</t>
  </si>
  <si>
    <t>Type : DPDT Self Locking Push Button Switch
Size: 8mm</t>
  </si>
  <si>
    <t>EC15/2</t>
  </si>
  <si>
    <t>EC15/02-E</t>
  </si>
  <si>
    <t>Switch (Push on-push off)</t>
  </si>
  <si>
    <t>Type: Rocker Switch 
Voltage : 250V
Current : 15A
Bezel size : 21mm x 15mm</t>
  </si>
  <si>
    <t>EC15/3</t>
  </si>
  <si>
    <t>EC15/03-E</t>
  </si>
  <si>
    <t>Switch (Rocker)</t>
  </si>
  <si>
    <t>Type : Slide Switch
Operation : DPDT
Color: Black
Size: 20*5.5*14mm
Voltage: 100V
Current: 2A</t>
  </si>
  <si>
    <t>EC15/4</t>
  </si>
  <si>
    <t>EC15/04-E</t>
  </si>
  <si>
    <t>Switch (Slide)</t>
  </si>
  <si>
    <t>Type: Toggle Switch
Voltage : 250V
Current :3A</t>
  </si>
  <si>
    <t>EC15/5</t>
  </si>
  <si>
    <t>EC15/05-E</t>
  </si>
  <si>
    <t>Switch (Toggle)</t>
  </si>
  <si>
    <t>Various Colors</t>
  </si>
  <si>
    <t>EC16</t>
  </si>
  <si>
    <t>EC16-E</t>
  </si>
  <si>
    <t>Timer IC - LM 555</t>
  </si>
  <si>
    <t>Available size</t>
  </si>
  <si>
    <t>EC17/1</t>
  </si>
  <si>
    <t>EC17/01-E</t>
  </si>
  <si>
    <t>Transistor - 2N3904</t>
  </si>
  <si>
    <t>Number : BC547
Type : NPN
Collector-Base Voltage (VCBO) : 50VDC
Collector-Emitter Voltage (VCEO) : 45VDC
Emitter-Base Voltage (VEBO) : 6VDC
Continuous Collector Current (IC) : 100mA
Output Capacitance (Cobo) : 4.5pF
Transition Frequency (fT) 300MHz
DC Current Gain (hFE) : 110-800
Operating Temperature Range : -55 - 150°C
Power Dissipation (PD) : 625mW</t>
  </si>
  <si>
    <t>EC17/2</t>
  </si>
  <si>
    <t>EC17/02-E</t>
  </si>
  <si>
    <t>Transistor - BC 547</t>
  </si>
  <si>
    <t>Number : BC548
Type : NPN 
DC Current Gain (hFE) : 800 maximum
Continuous Collector current (IC) : 500mA
Emitter Base Voltage (VBE) : 5V
Base Current(IB) : 5mA maximum</t>
  </si>
  <si>
    <t>EC17/3</t>
  </si>
  <si>
    <t>EC17/03-E</t>
  </si>
  <si>
    <t>Transistor - BC 548</t>
  </si>
  <si>
    <t>Number : BC557
The type of package is T092
Type: PNP
Collector Current (IC) Max is -100mA
Max Operating &amp; Storage Temperature ranges from -65 to +150 degree centigrade
Collector-Emitter Voltage or VCE Max is -45V
DC current gain Max or Min (hFE) is 125 – 800
Collector Base Voltage or VCB Max is-50V
Max fT or Transition Frequency is 100 MHz
Emitter-Base Voltage or VBE Max is -5V
Collector Dissipation or Pc Max is 500 mW
Peak Collector Current (Icm) is 200mA</t>
  </si>
  <si>
    <t>EC17/4</t>
  </si>
  <si>
    <t>EC17/04-E</t>
  </si>
  <si>
    <t>Transistor - BC 557</t>
  </si>
  <si>
    <t>Number : SL100
type : NPN
Collector-Emitter (CE) voltage : 50V
Output Capacitance : 20pf
Collector Base (CB) voltage : 60V
DC Current gain : 100 to 300 hfe
Emitter Base (EB) voltage : 5.0V
Dissipation of Collector Power (Max) : 0.8 W
Transistor Material : Si
Package is TO-39
Collector Current : 0.5A</t>
  </si>
  <si>
    <t>EC17/5</t>
  </si>
  <si>
    <t>EC17/05-E</t>
  </si>
  <si>
    <t>Transistor - SL100</t>
  </si>
  <si>
    <t xml:space="preserve">Number :2N2222A
Type : NPN
Collector Current : 800 mA
Collector Emitter Breakdown Voltage :40 V
Power - Max: 500 mW
</t>
  </si>
  <si>
    <t>EC17/6</t>
  </si>
  <si>
    <t>EC17/06-E</t>
  </si>
  <si>
    <t>Transistor- 2N2222A</t>
  </si>
  <si>
    <t>30 cm pack of 10</t>
  </si>
  <si>
    <t>EC18/1</t>
  </si>
  <si>
    <t>EC18/01-E</t>
  </si>
  <si>
    <t>Trimpot 10K</t>
  </si>
  <si>
    <t>Model:RM065
Resistance:10K
Material : Plastic</t>
  </si>
  <si>
    <t>EC18/2</t>
  </si>
  <si>
    <t>EC18/02-E</t>
  </si>
  <si>
    <t>Trimpot 100K</t>
  </si>
  <si>
    <t>Model:RM065
Resistance:1M
Material : Plastic</t>
  </si>
  <si>
    <t>EC18/3</t>
  </si>
  <si>
    <t>EC18/03-E</t>
  </si>
  <si>
    <t>Trimpot 1M</t>
  </si>
  <si>
    <t>Number: ADXL 345 
Numer of axis : 3
Supply Voltage : 3V-6V DC 
Built-in Voltage level convertor : (MOSFET based)
It can be interface with 3.3V or 5V Microcontroller.
Ultra-Low Power: 40uA in measurement mode, 0.1uA in standby@ 2.5V
Tap/Double Tap Detection
Free-Fall Detection
SPI and I2C interfaces
Measuring Range: ±16g
Measuring Values (-16g to +16g):
X: -235 to +270
Y: -240 to +260
Z: -240 to +270</t>
  </si>
  <si>
    <t>EC19</t>
  </si>
  <si>
    <t>EC19-E</t>
  </si>
  <si>
    <t>Vibrating Motor</t>
  </si>
  <si>
    <t xml:space="preserve">Type: Standalone viewer 
Display: LCD panels, 
Field of View: 110 degrees.
</t>
  </si>
  <si>
    <t>EM01</t>
  </si>
  <si>
    <t>EM01-E</t>
  </si>
  <si>
    <t>Amplifier module</t>
  </si>
  <si>
    <t>Electronic modules</t>
  </si>
  <si>
    <t>Nano Board R3 with CH340 chip,
Atmega 328p MPU</t>
  </si>
  <si>
    <t>EM02</t>
  </si>
  <si>
    <t>EM02-E</t>
  </si>
  <si>
    <t>Bluetooth module</t>
  </si>
  <si>
    <t>Model : BO1
Voltage : 3-12V
RPM : 200
Shaft : Single shaft</t>
  </si>
  <si>
    <t>EM03</t>
  </si>
  <si>
    <t>EM03-E</t>
  </si>
  <si>
    <t>Boost converter</t>
  </si>
  <si>
    <t>Metal paper fastener pack of 100 pc</t>
  </si>
  <si>
    <t>EM04</t>
  </si>
  <si>
    <t>EM04-E</t>
  </si>
  <si>
    <t>DC Cooling Fan</t>
  </si>
  <si>
    <t>DC pin daimeter : 5.5mm
Length : 15cm</t>
  </si>
  <si>
    <t>EM05</t>
  </si>
  <si>
    <t>EM05-E</t>
  </si>
  <si>
    <t>LCD Display ( green display )</t>
  </si>
  <si>
    <t>Model : LM393 based design.
Output Digital – 0V to 5V 
Adjustable trigger level from preset
Operating Voltage: 3.3V to 5V DC.
Operating Current: 15mA</t>
  </si>
  <si>
    <t>EM06</t>
  </si>
  <si>
    <t>EM06-E</t>
  </si>
  <si>
    <t>Mini Laser Diode Module</t>
  </si>
  <si>
    <t>Model : IRF540N
Drain to source voltage Vds is 100V
Gate to source voltage is ±20V
On Resistance Rds(on) of 44mohm at Vgs of 10V
Power dissipation Pd of 130W at 25°C
Continuous drain current Id of 33A at Vgs 10V and 25°C
Operating junction temperature range from -55°C to 175°C
Applications: Power Management, Industrial, Portable Devices, Consumer Electronics.</t>
  </si>
  <si>
    <t>EM07</t>
  </si>
  <si>
    <t>EM07-E</t>
  </si>
  <si>
    <t>OLED display</t>
  </si>
  <si>
    <t>Set of 8 
Round shape: 0,2,4,6
Flat shape: 1,2,4,6</t>
  </si>
  <si>
    <t>EM08</t>
  </si>
  <si>
    <t>EM08-E</t>
  </si>
  <si>
    <t>Solar electric cell</t>
  </si>
  <si>
    <t xml:space="preserve">Type: Single sided Dot 
Dimension : 3x2 inches
Base Material: FR4
Copper Thickness: 1-4 OZ
Board Thickness: 1.6mm
</t>
  </si>
  <si>
    <t>EM09</t>
  </si>
  <si>
    <t>EM09-E</t>
  </si>
  <si>
    <t>Solenoid valve</t>
  </si>
  <si>
    <t>The main chip: ISD1820.
Operating Voltage: DC 3V-5V.
Loudspeaker: 8Ω, 0.5W.
An easy to use 10 seconds of voice recording.
High-quality, natural voice restored.</t>
  </si>
  <si>
    <t>EM10</t>
  </si>
  <si>
    <t>EM10-E</t>
  </si>
  <si>
    <t>Speaker Module</t>
  </si>
  <si>
    <t>EM11</t>
  </si>
  <si>
    <t>EM11-E</t>
  </si>
  <si>
    <t>Water Pump module</t>
  </si>
  <si>
    <t>Material: Chrome vanadium steel
Jaw Capacity: 46 mm
Locking Mechanism: Ratchet mechanism</t>
  </si>
  <si>
    <t>EM12</t>
  </si>
  <si>
    <t>EM12-E</t>
  </si>
  <si>
    <t>Battery Charger module</t>
  </si>
  <si>
    <t>Alkon big</t>
  </si>
  <si>
    <t>Bamboo Skewers</t>
  </si>
  <si>
    <t>Compactible with AA, AAA and 9V 6F22</t>
  </si>
  <si>
    <t>EM13</t>
  </si>
  <si>
    <t>EM13-E</t>
  </si>
  <si>
    <t>GPS Module</t>
  </si>
  <si>
    <t>EM14</t>
  </si>
  <si>
    <t>EM14-E</t>
  </si>
  <si>
    <t>JoyStick module</t>
  </si>
  <si>
    <t>Type : Female to Female
40P color DuPont line
Length: 200mm
Weight: 30 gm
Compatible with 2.54mm spacing pin headers
40pcs chromatic female to female color jump wire</t>
  </si>
  <si>
    <t>EM15</t>
  </si>
  <si>
    <t>EM15-E</t>
  </si>
  <si>
    <t>Keypad module</t>
  </si>
  <si>
    <t>EM16</t>
  </si>
  <si>
    <t>EM16-E</t>
  </si>
  <si>
    <t>Micro SD card Reader Module</t>
  </si>
  <si>
    <t>Operating voltage 3.3V-5V
Outputs digital switching output (high and low levels 0 and 1
Operating current (Vcc=5V): 4-8mA
Microphone sensitivity (1Khz): 52-48dB
Microphone Impedance: 2.2KΩ
Microphone Frequency: 16-20Khz
Microphone S/N ratio: 54dB</t>
  </si>
  <si>
    <t>EM17</t>
  </si>
  <si>
    <t>EM17-E</t>
  </si>
  <si>
    <t>Motor Driver - L298P</t>
  </si>
  <si>
    <t>M8</t>
  </si>
  <si>
    <t>EM18</t>
  </si>
  <si>
    <t>EM18-E</t>
  </si>
  <si>
    <t>RF Modules (RC 522)</t>
  </si>
  <si>
    <t>Type : RFID Reader/Writer RC522 SPI S50
Voltage: DC 3.3V (Do not use 5V supply)
Operating Current :13-26mA
Idle Current :10-13mA
Operating Frequency: 13.56MHz
Supports ISO/IEC 14443 A/MIFARE
Typical operating distance : 50 mm</t>
  </si>
  <si>
    <t>EM19</t>
  </si>
  <si>
    <t>EM19-E</t>
  </si>
  <si>
    <t>RFID Tag and Reader</t>
  </si>
  <si>
    <t xml:space="preserve">LED Configuration : Common Cathode
Forward voltage : 3.3 ~ 5V
Reverse current : 50µA
Continuous forward current : 20mA
Power dissipation : 100mW
LED Diameter : 5mm
No of Pin : 4
Operating Temperature : -40 ~ 85°C
</t>
  </si>
  <si>
    <t>ES01</t>
  </si>
  <si>
    <t>ES01-N</t>
  </si>
  <si>
    <t>Power Strip Adapters</t>
  </si>
  <si>
    <t>Oven-bake clay for sculpting and modeling</t>
  </si>
  <si>
    <t>ES02</t>
  </si>
  <si>
    <t>ES02-N</t>
  </si>
  <si>
    <t>Security Camera</t>
  </si>
  <si>
    <t>Model : MG90S
Gear Type : Metal
Dimensions: 23 x 12.2 x 29mm
Operating Speed (4.8V no load): 0.11sec / 60 degrees
Operating Speed (6.0V no load): 0.10sec / 60 degrees
Stall Torque (4.8V): 2.0 kg/cm
Stall Torque (6.0V): 2.5 kg/cm
Temperature Range: 0 to 55 degree C
Rotation angle: 360 °
Dead Band Width: 15 Microsecond
Operation Voltage: 4.8 – 6.0 Volts</t>
  </si>
  <si>
    <t>ES03</t>
  </si>
  <si>
    <t>ES03-M</t>
  </si>
  <si>
    <t>Laptop</t>
  </si>
  <si>
    <t>ES04</t>
  </si>
  <si>
    <t>ES04-M</t>
  </si>
  <si>
    <t>Router</t>
  </si>
  <si>
    <t>FS01/1</t>
  </si>
  <si>
    <t>FS01/01-C</t>
  </si>
  <si>
    <t>Binder Clip 15mm</t>
  </si>
  <si>
    <t>Fasteners</t>
  </si>
  <si>
    <t>width 25mm pack of 12</t>
  </si>
  <si>
    <t>FS01/2</t>
  </si>
  <si>
    <t>FS01/02-C</t>
  </si>
  <si>
    <t>Binder Clip 25mm</t>
  </si>
  <si>
    <t>Width 51mm pack of 12</t>
  </si>
  <si>
    <t>FS01/3</t>
  </si>
  <si>
    <t>FS01/03-C</t>
  </si>
  <si>
    <t>Binder Clip 51mm</t>
  </si>
  <si>
    <t>Model : HC-05
Bluetooth v2.0+EDR
2.4GHz ISM band frequency
Supported baud rate: 9600 (default), 19200,38400, 57600, 115200, 230400, 460800.
Speed: Asynchronous: 2.1Mbps(Max) / 160 kbps, Synchronous: 1Mbps/1Mbps
Power supply: 3.6V to 6V DC
Passkey: 1234</t>
  </si>
  <si>
    <t>FS02/1</t>
  </si>
  <si>
    <t>FS02/01-C</t>
  </si>
  <si>
    <t>Cable Tie 100mm</t>
  </si>
  <si>
    <t>200MM- pack of 100</t>
  </si>
  <si>
    <t>FS02/2</t>
  </si>
  <si>
    <t>FS02/02-C</t>
  </si>
  <si>
    <t>Cable Tie 200mm</t>
  </si>
  <si>
    <t>FS02/3</t>
  </si>
  <si>
    <t>FS02/03-C</t>
  </si>
  <si>
    <t>Cable Tie 300mm</t>
  </si>
  <si>
    <t>Number : TTP223B
Power supply voltage(VCC): 2.0, 3, 5.5 V.
Output high VOH: 0.8VCC V
Output low VOL: 0.3VCC V
Response time (touch mode) : 60 mS
Response time (low power mode) : 220 mS</t>
  </si>
  <si>
    <t>FS03</t>
  </si>
  <si>
    <t>FS03-C</t>
  </si>
  <si>
    <t>Plastic Twine</t>
  </si>
  <si>
    <t>Size: 114 X 10 X 2mm
Quantity: Pack 100
Material: Wooden</t>
  </si>
  <si>
    <t>FS04/1</t>
  </si>
  <si>
    <t>FS04/01-C</t>
  </si>
  <si>
    <t>Rubber Band 1.5 inch</t>
  </si>
  <si>
    <t>1/2 inch, 500gm</t>
  </si>
  <si>
    <t>FS04/2</t>
  </si>
  <si>
    <t>FS04/02-C</t>
  </si>
  <si>
    <t>Rubber Band 1/2 inch</t>
  </si>
  <si>
    <t>4 inch, 500gm</t>
  </si>
  <si>
    <t>FS04/3</t>
  </si>
  <si>
    <t>FS04/03-C</t>
  </si>
  <si>
    <t>Rubber Band 4 inch</t>
  </si>
  <si>
    <t>FS04/4</t>
  </si>
  <si>
    <t>FS04/04-C</t>
  </si>
  <si>
    <t>Rubber Band 7 inch</t>
  </si>
  <si>
    <t>lex length: 5.6 cm.
Total Length: 2.2″ (7.5 cm).
Life Cycle : &gt;1 million.
Height : 0.43mm (0.017″),
Flat Resistance: 10K Ohms ±30%.
Power Rating: 0.5 Watts.</t>
  </si>
  <si>
    <t>FS05/1</t>
  </si>
  <si>
    <t>FS05/01-T</t>
  </si>
  <si>
    <t>Stapler</t>
  </si>
  <si>
    <t>Staples No. 10-1M</t>
  </si>
  <si>
    <t>FS05/2</t>
  </si>
  <si>
    <t>FS05/02-T</t>
  </si>
  <si>
    <t>Stapler Pin</t>
  </si>
  <si>
    <t>Head Material : Carbon Steel
Handle Material : Steel, Rubber 
Weight : 500gm</t>
  </si>
  <si>
    <t>HT01</t>
  </si>
  <si>
    <t>HT01-T</t>
  </si>
  <si>
    <t>Adjustble Wrench</t>
  </si>
  <si>
    <t>Hand tools</t>
  </si>
  <si>
    <t>Self-hardening clay for sculpting and modeling</t>
  </si>
  <si>
    <t>HT02</t>
  </si>
  <si>
    <t>HT02-T</t>
  </si>
  <si>
    <t>Allen Key Set</t>
  </si>
  <si>
    <t>HT03/1</t>
  </si>
  <si>
    <t>HT03/01-T</t>
  </si>
  <si>
    <t>Ball pein Hammer</t>
  </si>
  <si>
    <t>Party balloons, various colors, pack of 100 pcs</t>
  </si>
  <si>
    <t>HT03/2</t>
  </si>
  <si>
    <t>HT03/02-T</t>
  </si>
  <si>
    <t>Steel Shaft Claw Hammer-8 inch</t>
  </si>
  <si>
    <t>Nema 17 ,4.2Kg</t>
  </si>
  <si>
    <t>HT04</t>
  </si>
  <si>
    <t>HT04-T</t>
  </si>
  <si>
    <t>Bench Wise with Clamp</t>
  </si>
  <si>
    <t>width 15mm pack of 12</t>
  </si>
  <si>
    <t>HT06/1</t>
  </si>
  <si>
    <t>HT06/01-T</t>
  </si>
  <si>
    <t>Combination Plier</t>
  </si>
  <si>
    <t>250ml</t>
  </si>
  <si>
    <t>HT06/2</t>
  </si>
  <si>
    <t>HT06/02-T</t>
  </si>
  <si>
    <t>Cutting plier</t>
  </si>
  <si>
    <t>Voltage : 12V
Current : 0.15A
Dimension : (80mmX80mmX25mm)</t>
  </si>
  <si>
    <t>HT06/3</t>
  </si>
  <si>
    <t>HT06/03-T</t>
  </si>
  <si>
    <t>Long Nose Plier</t>
  </si>
  <si>
    <t xml:space="preserve">Type: Liquefied Petroleum Isobutane Propane Gas Sensor 
Model: MQ-6
Operating Voltage: 5V DC
Detecting Range:200-10000 ppm
Relative Humidity:&lt;95% RH
</t>
  </si>
  <si>
    <t>HT07</t>
  </si>
  <si>
    <t>HT07-T</t>
  </si>
  <si>
    <t>Dissection Set</t>
  </si>
  <si>
    <t>140x Magnification, 2um resolution</t>
  </si>
  <si>
    <t>HT08</t>
  </si>
  <si>
    <t>HT08-T</t>
  </si>
  <si>
    <t>File set</t>
  </si>
  <si>
    <t>Round filter paper 125mm, pack of 100</t>
  </si>
  <si>
    <t>HT09</t>
  </si>
  <si>
    <t>HT09-T</t>
  </si>
  <si>
    <t>Flexible Cutting Mat</t>
  </si>
  <si>
    <t>2mm thick 8X4 feet size</t>
  </si>
  <si>
    <t>HT10/1</t>
  </si>
  <si>
    <t>HT10/01-T</t>
  </si>
  <si>
    <t>Hot glue gun</t>
  </si>
  <si>
    <t>HT10/3</t>
  </si>
  <si>
    <t>HT10/02-T</t>
  </si>
  <si>
    <t>Hot Glue Sticks</t>
  </si>
  <si>
    <t>Biconvex Lens - D: 25mm or 37mm, FL: 45mm</t>
  </si>
  <si>
    <t>HT11</t>
  </si>
  <si>
    <t>HT11-T</t>
  </si>
  <si>
    <t>Linesman Tester</t>
  </si>
  <si>
    <t>Pliers: 4.5-inch size</t>
  </si>
  <si>
    <t>HT12</t>
  </si>
  <si>
    <t>HT12-T</t>
  </si>
  <si>
    <t>Measuring Cups and Spoons</t>
  </si>
  <si>
    <t>Plastic Measuring Jugs Set 1000mL, 2000mL, 500mL, 100 mL</t>
  </si>
  <si>
    <t>HT13</t>
  </si>
  <si>
    <t>HT13-T</t>
  </si>
  <si>
    <t>Return measuring tape</t>
  </si>
  <si>
    <t xml:space="preserve">Operating voltage: 5V.
Quiescent Current: 4mA.
Receiving frequency: 315MHz.
Receiver sensitivity: -105 dB.
Communication Distance (m): 20 ~ 200 meter.
</t>
  </si>
  <si>
    <t>HT14</t>
  </si>
  <si>
    <t>HT14-T</t>
  </si>
  <si>
    <t>Rubber mallet</t>
  </si>
  <si>
    <t>Cloth with
rubberized/nitrile palm
coating.</t>
  </si>
  <si>
    <t>HT15</t>
  </si>
  <si>
    <t>HT15-T</t>
  </si>
  <si>
    <t>Sand Paper</t>
  </si>
  <si>
    <t>HT16/1</t>
  </si>
  <si>
    <t>HT16/01-T</t>
  </si>
  <si>
    <t>SCREW DRIVER PH1 x 100mm</t>
  </si>
  <si>
    <t>HT16/2</t>
  </si>
  <si>
    <t>HT16/02-T</t>
  </si>
  <si>
    <t>SCREW DRIVER PH2 x 100mm</t>
  </si>
  <si>
    <t>HT16/3</t>
  </si>
  <si>
    <t>HT16/03-T</t>
  </si>
  <si>
    <t>SCREW DRIVER Slotted 5mm x 100mm</t>
  </si>
  <si>
    <t>HT16/4</t>
  </si>
  <si>
    <t>HT16/04-T</t>
  </si>
  <si>
    <t>SCREW DRIVER Slotted 6.5mm x 100mm</t>
  </si>
  <si>
    <t>Pitch 1/100, Size 25mm</t>
  </si>
  <si>
    <t>HT17/5</t>
  </si>
  <si>
    <t>HT17/05-T</t>
  </si>
  <si>
    <t>Screwdriver 2in1 200mm</t>
  </si>
  <si>
    <t>HT17/6</t>
  </si>
  <si>
    <t>HT17/06-T</t>
  </si>
  <si>
    <t>Screwdriver 2in1 300mm</t>
  </si>
  <si>
    <t>Internet connected Home security camera</t>
  </si>
  <si>
    <t>HT17/7</t>
  </si>
  <si>
    <t>HT17/07-T</t>
  </si>
  <si>
    <t xml:space="preserve">Screw Driver Set-Precision </t>
  </si>
  <si>
    <t>Thickness: 18mm 
Size: 3 x 6 Inch
Multiple colors</t>
  </si>
  <si>
    <t>HT18/1</t>
  </si>
  <si>
    <t>HT18-T</t>
  </si>
  <si>
    <t xml:space="preserve">Screws Set </t>
  </si>
  <si>
    <t>HT19/1</t>
  </si>
  <si>
    <t>HT19/01-T</t>
  </si>
  <si>
    <t>Silicone dispensor</t>
  </si>
  <si>
    <t>280 ml, compactable with dispenser</t>
  </si>
  <si>
    <t>HT19/2</t>
  </si>
  <si>
    <t>HT19/02-T</t>
  </si>
  <si>
    <t>Silicone Sealant</t>
  </si>
  <si>
    <t>10 colour set</t>
  </si>
  <si>
    <t>HT20</t>
  </si>
  <si>
    <t>HT20-T</t>
  </si>
  <si>
    <t>Spirit level</t>
  </si>
  <si>
    <t>Material: Cellulose, polyurethane, or other</t>
  </si>
  <si>
    <t>HT21</t>
  </si>
  <si>
    <t>HT21-T</t>
  </si>
  <si>
    <t>Tailors Tape</t>
  </si>
  <si>
    <t>Humidity measuring range: 20%~90%RH(0~50 degree (temperature compensation).
Temperature measuring range: 0~+50degree.
Humidity measurement accuracy: ±5.0%RH.
Temperature measurement accuracy: ±2.0degree.
Low power consumption.</t>
  </si>
  <si>
    <t>HT22</t>
  </si>
  <si>
    <t>HT22-T</t>
  </si>
  <si>
    <t>Temperature Heat Gun</t>
  </si>
  <si>
    <t>Calibrated directly in Degree Celsius (Centigrade)
Scale factor : 10.0 mV/°C 
Accuracy : 0.5°C (at a25°C)
Operating Voltage: 4 to 30 V
Drain Current : 60 mA 
Self-heating : 0.08°C in still air
Non-linearity : 0.25°C</t>
  </si>
  <si>
    <t>HT23</t>
  </si>
  <si>
    <t>HT23-T</t>
  </si>
  <si>
    <t>Tweezer Set</t>
  </si>
  <si>
    <t>HT24</t>
  </si>
  <si>
    <t>HT24-T</t>
  </si>
  <si>
    <t>Wire Stripper</t>
  </si>
  <si>
    <t>S</t>
  </si>
  <si>
    <t>LA01/1</t>
  </si>
  <si>
    <t>LA01/01-S</t>
  </si>
  <si>
    <t>Beaker</t>
  </si>
  <si>
    <t>Lab appratus</t>
  </si>
  <si>
    <t>Science Lab Corner</t>
  </si>
  <si>
    <t>LA01/2</t>
  </si>
  <si>
    <t>LA01/02-S</t>
  </si>
  <si>
    <t>Beaker 500mL</t>
  </si>
  <si>
    <t>2000mm, GT2</t>
  </si>
  <si>
    <t>LA02</t>
  </si>
  <si>
    <t>LA02-S</t>
  </si>
  <si>
    <t>Conical Flask</t>
  </si>
  <si>
    <t>Size:  A4
Quantity: 100 sheets per pack
Thickness: 70 gsm, dark colors</t>
  </si>
  <si>
    <t>LA03</t>
  </si>
  <si>
    <t>LA03-S</t>
  </si>
  <si>
    <t>Dropper</t>
  </si>
  <si>
    <t>10 ml</t>
  </si>
  <si>
    <t>LA04</t>
  </si>
  <si>
    <t>LA04-S</t>
  </si>
  <si>
    <t>Filter Paper</t>
  </si>
  <si>
    <t>Powder Type Fire Extinguisher 2KG</t>
  </si>
  <si>
    <t>LA05</t>
  </si>
  <si>
    <t>LA05-S</t>
  </si>
  <si>
    <t>Glass Stirring Rod</t>
  </si>
  <si>
    <t>11 mm x 200mm Hot Melt Glue Stick</t>
  </si>
  <si>
    <t>LA06</t>
  </si>
  <si>
    <t>LA06-S</t>
  </si>
  <si>
    <t>Google Cardboard Lens</t>
  </si>
  <si>
    <t xml:space="preserve">Model :NEO-6M GPS Module with EPROM
5Hz position update rate.
The cold start time of 38 s and Hot start time of 1 s.
Configurable from 4800 Baud to 115200 Baud rates. (default 9600).
SuperSense ® Indoor GPS: -162 dBm tracking sensitivity.
Support SBAS (WAAS, EGNOS, MSAS, GAGAN).
Separated 18 x 18mm GPS antenna.
</t>
  </si>
  <si>
    <t>LA07</t>
  </si>
  <si>
    <t>LA07-S</t>
  </si>
  <si>
    <t>Graduated Cylinder</t>
  </si>
  <si>
    <t>Size: 10 inch  (pack of 10)</t>
  </si>
  <si>
    <t>LA08</t>
  </si>
  <si>
    <t>LA08-S</t>
  </si>
  <si>
    <t>Measuring Jug</t>
  </si>
  <si>
    <t>0.5 mm</t>
  </si>
  <si>
    <t>LA09</t>
  </si>
  <si>
    <t>LA09-S</t>
  </si>
  <si>
    <t>Micro Pippette</t>
  </si>
  <si>
    <t>SD card Type : Micro
Power supply: 4.5V – 5.5V, 3.3V 
Compactible with Ardiuno nano, uno
Control Interface: GND, VCC, MISO, MOSI, SCK, CS
Size: 45 x 28mm</t>
  </si>
  <si>
    <t>LA10/2</t>
  </si>
  <si>
    <t>LA10/02-S</t>
  </si>
  <si>
    <t>Microscope Cover Glass</t>
  </si>
  <si>
    <t>Microscope slides</t>
  </si>
  <si>
    <t>26x76mm (1"x3") 1-1.2mm thick (Pack of 50Nos.)</t>
  </si>
  <si>
    <t>LA10/1</t>
  </si>
  <si>
    <t>LA10/01-S</t>
  </si>
  <si>
    <t>Microscope Slides</t>
  </si>
  <si>
    <t xml:space="preserve">  </t>
  </si>
  <si>
    <t>LA11</t>
  </si>
  <si>
    <t>LA11-S</t>
  </si>
  <si>
    <t>Petri Dishes</t>
  </si>
  <si>
    <t>Diameter : 27mm
Sound pressure level: 85DB 10cm
The input voltage: 30vp-p max
Operating Temperature: -20~70</t>
  </si>
  <si>
    <t>LA12</t>
  </si>
  <si>
    <t>LA12-S</t>
  </si>
  <si>
    <t>Pippette Set</t>
  </si>
  <si>
    <t>Model: ZRD-09
Working Voltage: 5～20V DC
Static Current:＜65µA, @5V
Level Output: High Level, 3V; Low Level, 0V
Trigger Mode Repeatable/Unrepeatable
Delay Time 3~300S(adjustable)
Blocking Time Default as 4S
PCB Size 32×24×24mm（L×W×H）
Detection Angle 100°(Depend on the Lens)
Working Temperature -10℃ ~ +70℃
Fresnel Lens Size Diameter 23mm(default)
Detection Distance 4~8m(adjustable)</t>
  </si>
  <si>
    <t>LA13</t>
  </si>
  <si>
    <t>LA13-S</t>
  </si>
  <si>
    <t>Plastic Funnel</t>
  </si>
  <si>
    <t>50ml, plastic, non sterile</t>
  </si>
  <si>
    <t>LA14</t>
  </si>
  <si>
    <t>LA14-S</t>
  </si>
  <si>
    <t>Plastic Syringe</t>
  </si>
  <si>
    <t>50 m length</t>
  </si>
  <si>
    <t>LA15</t>
  </si>
  <si>
    <t>LA15-S</t>
  </si>
  <si>
    <t>PP Sink for Lab</t>
  </si>
  <si>
    <t>PH0, PH1, Flat head - 1.4mm, 2mm, 2.4mm, 3mm</t>
  </si>
  <si>
    <t>LA16</t>
  </si>
  <si>
    <t>LA16-S</t>
  </si>
  <si>
    <t>Sample Collection Bottle</t>
  </si>
  <si>
    <t>Grit Values - 80, 100, 120, 200, 300. 5 Nos of each</t>
  </si>
  <si>
    <t>LA17</t>
  </si>
  <si>
    <t>LA17-S</t>
  </si>
  <si>
    <t>Spirit Lamp</t>
  </si>
  <si>
    <t>300mm length-12" with 3 vials</t>
  </si>
  <si>
    <t>LA18/1</t>
  </si>
  <si>
    <t>LA18/01-S</t>
  </si>
  <si>
    <t>Test Tube</t>
  </si>
  <si>
    <t>Plastic Body</t>
  </si>
  <si>
    <t>LA18/2</t>
  </si>
  <si>
    <t>LA18/02-S</t>
  </si>
  <si>
    <t>Test Tube Stand</t>
  </si>
  <si>
    <t>Temperature Coefficient Type: NTC
Thermal Time Constant: 10s
Resistance 10kΩ
Tolerance: ±1%
Maximum Power Rating: 75mW
Maximum Operating Temperature: +150°C
Minimum Operating Temperature: -80°C
Dimensions(dia.): 2 mm
Length: 30mm</t>
  </si>
  <si>
    <t>LA19</t>
  </si>
  <si>
    <t>LA19-S</t>
  </si>
  <si>
    <t>Wash Bottle</t>
  </si>
  <si>
    <t>Material: Plastic, Capacity: 25 litres</t>
  </si>
  <si>
    <t>LA20</t>
  </si>
  <si>
    <t>LA20-S</t>
  </si>
  <si>
    <t>Watch Glass</t>
  </si>
  <si>
    <t xml:space="preserve">Model : YF-S201
Working Voltage: 5 to 18V DC (min tested working voltage 4.5V).
Max current draw: 15mA @ 5V.
Working Flow Rate: 1 to 30 Liters/Minute.
Maximum water pressure: 2.0 MPa.
Flow rate pulse characteristics: Frequency (Hz) = 7.5 * Flow rate (L/min).
</t>
  </si>
  <si>
    <t>LI01/1</t>
  </si>
  <si>
    <t>LI01/01-E</t>
  </si>
  <si>
    <t>Digital Multi Meter</t>
  </si>
  <si>
    <t>Laboratory instrument</t>
  </si>
  <si>
    <t>Type: Auto Range
DC voltage (V) : 200mV/2V/20V/200V/600V , ±(0.5%＋2)
AC voltage (V) : 600V, ±(0.7%+3)
DC current (A) : 10A, ±(1%+2)
AC current (A) : 10A, ±(1.2%+3)
Resistance (Ω) : 200Ω/2kΩ/20kΩ/200kΩ/2MΩ/20MΩ/200MΩ, ±(0.8%+2)
Capacitance (F) : 2mF, ±(4%+8)
Display count : 2000 
Diode Open Voltage 3.0V 
Other Features : Data Hold ,Low Battery Display, NCV 
Continuity Buzzer &lt;70 ±30Ω</t>
  </si>
  <si>
    <t>LI01/2</t>
  </si>
  <si>
    <t>LI01/02-E</t>
  </si>
  <si>
    <t>Digital Multi Meter- Auto Range</t>
  </si>
  <si>
    <t>Bandwidth : 70MHz
Channels : 2
Sampling rate : 500MS/s
Rise time : &lt;7ns
Memory depth : 25kpts
Waveform capture rate : &gt;2, 000wfms/s
Vertical scale (V/div) : 1mV/div〜20V/div
Time base scale (s/div) : 10ns/div〜50s/div
Frequency counter : 6 bits
EXT: ±3V
Holdoff range : 80ns〜1.5s
Edge trigger types : Rise, fall, rise &amp; fall
Interfaces : USB-OTG</t>
  </si>
  <si>
    <t>LI02</t>
  </si>
  <si>
    <t>LI02-E</t>
  </si>
  <si>
    <t>Digital Oscilloscope</t>
  </si>
  <si>
    <t>Benchtop</t>
  </si>
  <si>
    <t>LI03</t>
  </si>
  <si>
    <t>LI03-E</t>
  </si>
  <si>
    <t>Regulated power supply</t>
  </si>
  <si>
    <t>Value : 100E
Power : 0.25W</t>
  </si>
  <si>
    <t>LI04</t>
  </si>
  <si>
    <t>LI04-E</t>
  </si>
  <si>
    <t>Soldering Station</t>
  </si>
  <si>
    <t>Material : Lead/Tin
Net Weight: 50gm</t>
  </si>
  <si>
    <t>LI05</t>
  </si>
  <si>
    <t>LI05-S</t>
  </si>
  <si>
    <t>Centrifuge</t>
  </si>
  <si>
    <t>Size:  A1
Quantity: 100 sheets per pack
Thickness: 150 gsm, dark colors</t>
  </si>
  <si>
    <t>LI06</t>
  </si>
  <si>
    <t>LI06-S</t>
  </si>
  <si>
    <t>Digital Anemometer</t>
  </si>
  <si>
    <t>Range: 50m</t>
  </si>
  <si>
    <t>LI07</t>
  </si>
  <si>
    <t>LI07-S</t>
  </si>
  <si>
    <t>Digital Laser Distance Meter</t>
  </si>
  <si>
    <t>LI08</t>
  </si>
  <si>
    <t>LI08-S</t>
  </si>
  <si>
    <t>Digital Light Meter</t>
  </si>
  <si>
    <t>Type: Manual
DC voltage (V) : 200mV/2V/20V/200V/600V , (±(0.5%＋3))
AC voltage (V) : 600V, ±(1.2%+10)
DC current (A) : 10A, ±(3%+10)
AC current (A) : 10A, ±(1.2%+3)
Resistance (Ω) : 200Ω/2kΩ/20kΩ/200kΩ/2MΩ/20MΩ/200MΩ, ±(0.8%+2)
Display count : 2000 
Diode Open Voltage 3.0V 
Other Features : Data Hold ,Low Battery Display 
Continuity Buzzer &lt;70 ±30Ω</t>
  </si>
  <si>
    <t>LI09</t>
  </si>
  <si>
    <t>LI09-S</t>
  </si>
  <si>
    <t>Digital pH Meter</t>
  </si>
  <si>
    <t>LI10</t>
  </si>
  <si>
    <t>LI10-S</t>
  </si>
  <si>
    <t>Digital Soil Moisture Meter</t>
  </si>
  <si>
    <t>LI11</t>
  </si>
  <si>
    <t>LI11-S</t>
  </si>
  <si>
    <t>Digital Sound Level Meter</t>
  </si>
  <si>
    <t>LI12</t>
  </si>
  <si>
    <t>LI12-S</t>
  </si>
  <si>
    <t>Digital Temp/Humidity Meter</t>
  </si>
  <si>
    <t>Material: stainless steel and plastic
Measuring Range: 0 to 150 mm
Resolution: 0.01mm
Accuracy: +/- 0.03 mm</t>
  </si>
  <si>
    <t>LI13</t>
  </si>
  <si>
    <t>LI13-S</t>
  </si>
  <si>
    <t>Mini Microscope</t>
  </si>
  <si>
    <t>9W Philips Type Direct on board LED module
size: 40mm
Lifetime: 20,000 hours
Material: Aluminium Alloy
Color: cool white</t>
  </si>
  <si>
    <t>LI14</t>
  </si>
  <si>
    <t>LI14-S</t>
  </si>
  <si>
    <t>Electric Hot Plate</t>
  </si>
  <si>
    <t>PVC 3/4 inch 60 FT</t>
  </si>
  <si>
    <t>LI15</t>
  </si>
  <si>
    <t>LI15-S</t>
  </si>
  <si>
    <t>Electronic Weighing Scale</t>
  </si>
  <si>
    <t>Pencil eraser</t>
  </si>
  <si>
    <t>LI16</t>
  </si>
  <si>
    <t>LI16-S</t>
  </si>
  <si>
    <t>IR Thermometer</t>
  </si>
  <si>
    <t>2-axis joystick with push button function
Dimensions: 34 x 34 x 15 (LxWxH) mm.
Weight: 10gm (without Hat).
2.54mm pin interface leads.
Operating Voltage: 5V.</t>
  </si>
  <si>
    <t>LI17</t>
  </si>
  <si>
    <t>LI17-S</t>
  </si>
  <si>
    <t>Microscope</t>
  </si>
  <si>
    <t>Square 18x18mm (Pack of 50Nos.)</t>
  </si>
  <si>
    <t>LI18</t>
  </si>
  <si>
    <t>LI18-S</t>
  </si>
  <si>
    <t>Screw Guage</t>
  </si>
  <si>
    <t>Various Size &amp; Specs - M3X8MM, M3X12MM, ..</t>
  </si>
  <si>
    <t>LI19</t>
  </si>
  <si>
    <t>LI19-S</t>
  </si>
  <si>
    <t>USB Microscope</t>
  </si>
  <si>
    <t>LI20</t>
  </si>
  <si>
    <t>LI20-T</t>
  </si>
  <si>
    <t>Digital Vernier Calliper</t>
  </si>
  <si>
    <t>Maximum Repetitive Peak Reverse Voltage (VRRM): 1000V.
Maximum RMS voltage (VRMS): 700V.
Maximum Average Forward Rectified Current(IF(AV)): 1A</t>
  </si>
  <si>
    <t>LB02</t>
  </si>
  <si>
    <t>LB01-E</t>
  </si>
  <si>
    <t>DOB LED 9W</t>
  </si>
  <si>
    <t>LED bulb kit</t>
  </si>
  <si>
    <t>DIY LED Bulb Accessaries</t>
  </si>
  <si>
    <t>1inch X 5Meter</t>
  </si>
  <si>
    <t>LB03/2</t>
  </si>
  <si>
    <t>LB02-E</t>
  </si>
  <si>
    <t>Driver Doard 9W</t>
  </si>
  <si>
    <t>Developer kit, programmable</t>
  </si>
  <si>
    <t>LB04</t>
  </si>
  <si>
    <t>LB03-E</t>
  </si>
  <si>
    <t>Heat Sink Compound</t>
  </si>
  <si>
    <t>DIY LED bulb acessaries</t>
  </si>
  <si>
    <t>size : 2mm
Color : Black
Length : 15m</t>
  </si>
  <si>
    <t>LB05</t>
  </si>
  <si>
    <t>LB04-E</t>
  </si>
  <si>
    <t>LED Bulb Body</t>
  </si>
  <si>
    <t>Crater</t>
  </si>
  <si>
    <t>DIY LED Bulb kit</t>
  </si>
  <si>
    <t>Color : Green
Size : 5mm
Wavelength : 500-530nm
Forward voltage : 3.4V 
Forward current : 20mA</t>
  </si>
  <si>
    <t>LB06</t>
  </si>
  <si>
    <t>LB06-T</t>
  </si>
  <si>
    <t>LED Punching Machine</t>
  </si>
  <si>
    <t>Color : Red
Size : 5mm
Wavelength : 630nm
Forward voltage : 2.0V 
Forward current : 20mA</t>
  </si>
  <si>
    <t>LB07</t>
  </si>
  <si>
    <t>LB07-T</t>
  </si>
  <si>
    <t>Tikki Ffitting Machine</t>
  </si>
  <si>
    <t>No: NE555
Output current (maximum) : 200 mA
Maximum Power dissipation : 600 mW
Power consumption : 30 mW at 5 V, 225 mW at 15 V
Operating temperature : 0 to 70 °C</t>
  </si>
  <si>
    <t>MW01</t>
  </si>
  <si>
    <t>MW01-E</t>
  </si>
  <si>
    <t>360 Servo Motor (MG996)</t>
  </si>
  <si>
    <t>Motors and wheels</t>
  </si>
  <si>
    <t>MG996R Continous Rotation 360 Degree Servo Motor</t>
  </si>
  <si>
    <t>MW02/1</t>
  </si>
  <si>
    <t>MW02/01-E</t>
  </si>
  <si>
    <t>BO1 Motor 200RPM</t>
  </si>
  <si>
    <t>Model : BO1
Voltage : 3-12V
RPM : 60
Shaft : Single shaft</t>
  </si>
  <si>
    <t>MW02/2</t>
  </si>
  <si>
    <t>MW02/02-E</t>
  </si>
  <si>
    <t>BO1 Motor 60RPM</t>
  </si>
  <si>
    <t>BO1 Motors</t>
  </si>
  <si>
    <t>Compactible with BO1
Diameter : 66mm
Width : 26.6mm</t>
  </si>
  <si>
    <t>MW03</t>
  </si>
  <si>
    <t>MW03-E</t>
  </si>
  <si>
    <t>BO1 Robotic Wheel</t>
  </si>
  <si>
    <t>DC-DC Boost Module
Input voltage: 0.9-5V DC
Output voltage: 5V DC
Output Current: 500-600mA
Load regulation: ±1%
Voltage regulation: ±0.5%</t>
  </si>
  <si>
    <t>MW04</t>
  </si>
  <si>
    <t>MW04-E</t>
  </si>
  <si>
    <t>Castor Wheel</t>
  </si>
  <si>
    <t>1 inch celllotape dispensor</t>
  </si>
  <si>
    <t>MW05</t>
  </si>
  <si>
    <t>MW05-E</t>
  </si>
  <si>
    <t>Dc Toy Motor</t>
  </si>
  <si>
    <t>Material : Cu Braid
Length : 1M
Width : 2.5mm</t>
  </si>
  <si>
    <t>MW06</t>
  </si>
  <si>
    <t>MW06-E</t>
  </si>
  <si>
    <t>Servo Motor mini (MG90)</t>
  </si>
  <si>
    <t>Operating Voltage: DC 4.8-6V
Modes : Manual, Auto, External 
Output Signal : 1.5ms+_0.5ms</t>
  </si>
  <si>
    <t>MW07</t>
  </si>
  <si>
    <t>MW07-E</t>
  </si>
  <si>
    <t>Servo Motor Tester</t>
  </si>
  <si>
    <t>MW08</t>
  </si>
  <si>
    <t>MW08-E</t>
  </si>
  <si>
    <t>Stepper Motor</t>
  </si>
  <si>
    <t>Model ： 28BYJ-48
Voltage: DC 5V
Diameter: 25mm
Step Angle: 5.625 x 1/64
Reduction Ratio: 1/64
Rated voltage ： 5VDC
Number of Phase ： 4
Speed Variation Ratio ： 1/64
Stride Angle ： 5.625° /64
Frequency : 100Hz
DC resistance ： 50Ω±7%(25℃)
Idle In-traction Frequency : &gt; 600Hz
Idle Out-traction Frequency : &gt; 1000Hz
In-traction Torque &gt;34.3mN.m(120Hz)
Self-positioning Torque &gt;34.3mN.m
Friction torque : 600-1200 gf.cm
Pull in torque : 300 gf.cm
Insulated resistance &gt;10MΩ(500V)
Insulated electricity power ：600VAC/1mA/1s
Rise in Temperature &lt;40K(120Hz
Noise &lt;35dB(120Hz,No load,10cm)</t>
  </si>
  <si>
    <t>MW09</t>
  </si>
  <si>
    <t>MW09-E</t>
  </si>
  <si>
    <t>Stepper Motor with Driver Board</t>
  </si>
  <si>
    <t>Size :3.5mm 
Type: Stereo pin
Length :25cm</t>
  </si>
  <si>
    <t>PB01</t>
  </si>
  <si>
    <t>PB01-T</t>
  </si>
  <si>
    <t>Faucet Screw Extractor</t>
  </si>
  <si>
    <t>Plumbing Kit</t>
  </si>
  <si>
    <t>74mm Steel Needle File Set</t>
  </si>
  <si>
    <t>PB02</t>
  </si>
  <si>
    <t>PB02-T</t>
  </si>
  <si>
    <t>Pipe Wrench</t>
  </si>
  <si>
    <t>PB03</t>
  </si>
  <si>
    <t>PB03-T</t>
  </si>
  <si>
    <t>PVC Solvent Cement</t>
  </si>
  <si>
    <t>Plumbing items</t>
  </si>
  <si>
    <t>Processor : RP2040 microcontroller 
Dual-core Arm Cortex M0+ processor, the flexible clock running up to 133 MHz
Memory: 264KB of SRAM, and 2MB of onboard Flash memory
Pins : 26 × multi-function GPIO pins
2 × SPI, 2 × I2C, 2 × UART, 3 × 12-bit ADC, 16 × controllable PWM channels
Onboard temperature sensor</t>
  </si>
  <si>
    <t>PB04</t>
  </si>
  <si>
    <t>PB04-T</t>
  </si>
  <si>
    <t>Thread Sealing Tape</t>
  </si>
  <si>
    <t>M8x480mm</t>
  </si>
  <si>
    <t>PB05</t>
  </si>
  <si>
    <t>PB05-T</t>
  </si>
  <si>
    <t>Water Pump Plier</t>
  </si>
  <si>
    <t>3 different colour minimum</t>
  </si>
  <si>
    <t>PM01</t>
  </si>
  <si>
    <t>PM01-C</t>
  </si>
  <si>
    <t>Acrylic Sheet</t>
  </si>
  <si>
    <t>Prototyping materials</t>
  </si>
  <si>
    <t>Type: Active Buzzer
Voltage : 5V
Diameter :12mm
Height: 9mm
Pitch : 8mm</t>
  </si>
  <si>
    <t>PM02/1</t>
  </si>
  <si>
    <t>PM02/01-C</t>
  </si>
  <si>
    <t>Air Dry Clay</t>
  </si>
  <si>
    <t>Air dry clay</t>
  </si>
  <si>
    <t>MQ-135 AQ Sensor</t>
  </si>
  <si>
    <t>PM02/2</t>
  </si>
  <si>
    <t>PM02/02-C</t>
  </si>
  <si>
    <t>Poymer Clay</t>
  </si>
  <si>
    <t>Poymer clay</t>
  </si>
  <si>
    <t>PM03</t>
  </si>
  <si>
    <t>PM03-C</t>
  </si>
  <si>
    <t>Aluminium Craft Station Wire</t>
  </si>
  <si>
    <t>Alligator connectors</t>
  </si>
  <si>
    <t>Thickness: 14 microns.
Length: 20 meters.
Width: 30cm</t>
  </si>
  <si>
    <t>PM04</t>
  </si>
  <si>
    <t>PM04-C</t>
  </si>
  <si>
    <t>Aluminium Foil</t>
  </si>
  <si>
    <t>LM386 Amplifier Module,
Operating Voltage 4-12V,
Power 325mW</t>
  </si>
  <si>
    <t>PM05</t>
  </si>
  <si>
    <t>PM05-C</t>
  </si>
  <si>
    <t>TP4056 1A Li-ion lithium Battery Charging Module 
Input interface: Type C
Current Protection: Yes
Charging mode: Linear charging.
Current: 1A adjustable.
Charge precision: 1.5%.
Input voltage: 4.5V-5.5V.
Full charge voltage: 4.2V.</t>
  </si>
  <si>
    <t>PM08/1</t>
  </si>
  <si>
    <t>PM08/01-C</t>
  </si>
  <si>
    <t>Foam Core Board 2 MM</t>
  </si>
  <si>
    <t>5mm thick, 8X4 feet size</t>
  </si>
  <si>
    <t>PM08/2</t>
  </si>
  <si>
    <t>PM08/02-C</t>
  </si>
  <si>
    <t>Foam Core Board 5 MM</t>
  </si>
  <si>
    <t>Force Sensor Resistor Square 38.1mm
Ultra-thin; 0.45 mm
Robust; up to 10 million actuations</t>
  </si>
  <si>
    <t>PM06</t>
  </si>
  <si>
    <t>PM06-C</t>
  </si>
  <si>
    <t>Corrugated Cardboard</t>
  </si>
  <si>
    <t>C Name: CD4017BE
Package/Case: DIP-16</t>
  </si>
  <si>
    <t>PM07</t>
  </si>
  <si>
    <t>PM07-C</t>
  </si>
  <si>
    <t>EVA Foam Sheet roll</t>
  </si>
  <si>
    <t>PM09</t>
  </si>
  <si>
    <t>PM09-C</t>
  </si>
  <si>
    <t>OHP Sheet</t>
  </si>
  <si>
    <t>OHP sheet</t>
  </si>
  <si>
    <t>Size :0.96 inch 
Color :blue 
Driver IC: SSD1306
Support wide voltage: 3.3V-5V DC
Communication: IIC
Working temperature: -30-80 degrees</t>
  </si>
  <si>
    <t>PM10</t>
  </si>
  <si>
    <t>PM10-C</t>
  </si>
  <si>
    <t>PU Foam Sheet</t>
  </si>
  <si>
    <t>GT2, 16 teeth</t>
  </si>
  <si>
    <t>PM11</t>
  </si>
  <si>
    <t>PM11-C</t>
  </si>
  <si>
    <t>Silicon Tube</t>
  </si>
  <si>
    <t>Gun Type, compactable with silicone sealant</t>
  </si>
  <si>
    <t>Y</t>
  </si>
  <si>
    <t>SY01</t>
  </si>
  <si>
    <t>SY01-Y</t>
  </si>
  <si>
    <t>Fire Extinguisher</t>
  </si>
  <si>
    <t>Safety items</t>
  </si>
  <si>
    <t>Safety corner</t>
  </si>
  <si>
    <t>Standard Medical First aid kit</t>
  </si>
  <si>
    <t>SY02</t>
  </si>
  <si>
    <t>SY02-Y</t>
  </si>
  <si>
    <t>First Aid Box</t>
  </si>
  <si>
    <t>Adhesive bandages (various sizes), Sterile gauze pads and adhesive tape, Antiseptic wipes or solution, Scissors, Burn gel or burn dressings, Pain Relieving Cream/Gel</t>
  </si>
  <si>
    <t>SY03</t>
  </si>
  <si>
    <t>SY03-Y</t>
  </si>
  <si>
    <t>First-Aid Supplies</t>
  </si>
  <si>
    <t>Flat Rubber band 7 inch 500gm</t>
  </si>
  <si>
    <t>SY04</t>
  </si>
  <si>
    <t>SY04-Y</t>
  </si>
  <si>
    <t>Lab Coat</t>
  </si>
  <si>
    <t>Disposable nitrile gloves, pack of 100 pcs</t>
  </si>
  <si>
    <t>SY05</t>
  </si>
  <si>
    <t>SY05-Y</t>
  </si>
  <si>
    <t>Laboratory Gloves</t>
  </si>
  <si>
    <t>Dual channel</t>
  </si>
  <si>
    <t>SY06</t>
  </si>
  <si>
    <t>SY06-Y</t>
  </si>
  <si>
    <t>Rubber Apron</t>
  </si>
  <si>
    <t>1 1/2 inch, 500gm</t>
  </si>
  <si>
    <t>SY07</t>
  </si>
  <si>
    <t>SY07-Y</t>
  </si>
  <si>
    <t>Safety Gloves Pairs</t>
  </si>
  <si>
    <t>Polycarbonate Safety goggles</t>
  </si>
  <si>
    <t>SY08</t>
  </si>
  <si>
    <t>SY08-Y</t>
  </si>
  <si>
    <t>Safety Goggles</t>
  </si>
  <si>
    <t>Filtering efficienct against 0.3-micron NaCl particle</t>
  </si>
  <si>
    <t>SY09</t>
  </si>
  <si>
    <t>SY09-Y</t>
  </si>
  <si>
    <t>Safety Mask</t>
  </si>
  <si>
    <t>30ml with label</t>
  </si>
  <si>
    <t>SM01</t>
  </si>
  <si>
    <t>SM01-E</t>
  </si>
  <si>
    <t>Air Quality Sensor</t>
  </si>
  <si>
    <t>Sensor modules</t>
  </si>
  <si>
    <t>Length : 40cm
Multi Coloured</t>
  </si>
  <si>
    <t>SM02</t>
  </si>
  <si>
    <t>SM02-E</t>
  </si>
  <si>
    <t>Capacitative Touch Switch Module (touch sensor)</t>
  </si>
  <si>
    <t>Value : 0.001 µF 
Type : Disc Capacitor</t>
  </si>
  <si>
    <t>SM03</t>
  </si>
  <si>
    <t>SM03-E</t>
  </si>
  <si>
    <t>Color Sensor</t>
  </si>
  <si>
    <t>8 inch combination plier designed for gripping, holding and cutting wires</t>
  </si>
  <si>
    <t>SM04</t>
  </si>
  <si>
    <t>SM04-E</t>
  </si>
  <si>
    <t>Flex Sensor</t>
  </si>
  <si>
    <t>A3 Size with Marked Pattern and Grids (18" X 12")</t>
  </si>
  <si>
    <t>SM05</t>
  </si>
  <si>
    <t>SM05-E</t>
  </si>
  <si>
    <t>Force Pressure Sensor</t>
  </si>
  <si>
    <t>200X6mm pack of 12 pc</t>
  </si>
  <si>
    <t>SM06</t>
  </si>
  <si>
    <t>SM06-E</t>
  </si>
  <si>
    <t>IR Obstacle Svoidance Module</t>
  </si>
  <si>
    <t>Model : TSOP1738
Supply Voltage: 5 V
Power consumption: 0.4 to 1.0 mA
Min. Ee irradiation: 0.35 mW/m2 typ.
Angle of detection: 90
Dimensions of the casing (mm): 12.5 x 10 x Thickness 5.8
Temperature range: -25 C to +85 C</t>
  </si>
  <si>
    <t>SM07</t>
  </si>
  <si>
    <t>SM07-E</t>
  </si>
  <si>
    <t>IR Reciever Sensor Module</t>
  </si>
  <si>
    <t>Model : BFD-1000
Five Channel Infrared Tracking Module Tracing Sensor
Input voltage: 3.0 V – 5.5 V
Output form: digital output (high and low level)
Distance Range :0 – 5 cm</t>
  </si>
  <si>
    <t>SM08</t>
  </si>
  <si>
    <t>SM08-E</t>
  </si>
  <si>
    <t>IR Sensors Array Module (ir proximity)</t>
  </si>
  <si>
    <t>Non-Contact Digital Laser Infrared Thermometer, Temparature Range: -50 To 550 Degree</t>
  </si>
  <si>
    <t>SM09</t>
  </si>
  <si>
    <t>SM09-E</t>
  </si>
  <si>
    <t>LDR Module</t>
  </si>
  <si>
    <t>Color : Blue 
Size : 5mm
Wavelength : 435-440 nm
Forward voltage : 3.4V 
Forward current : 30mA</t>
  </si>
  <si>
    <t>SM10</t>
  </si>
  <si>
    <t>SM10-E</t>
  </si>
  <si>
    <t>LPG Sensor</t>
  </si>
  <si>
    <t>Mode: Normally Open
Glass Length: 14mm
Glass Diameter: 2mm
Total Length: 45mm
Max. Switching Voltage: 300 VDC
Min. Breakdown Voltage: 150 VDC
Max. Contact Rating: 10W
Max. Switching Current: 0.55 A
Max. Operate time: 0.45 ms</t>
  </si>
  <si>
    <t>SM11</t>
  </si>
  <si>
    <t>SM11-E</t>
  </si>
  <si>
    <t>Magnetometer Sensor</t>
  </si>
  <si>
    <t>1 inch x 20 Meters</t>
  </si>
  <si>
    <t>SM12</t>
  </si>
  <si>
    <t>SM12-E</t>
  </si>
  <si>
    <t>Microphone Module</t>
  </si>
  <si>
    <t>SM13</t>
  </si>
  <si>
    <t>SM13-E</t>
  </si>
  <si>
    <t>PIR Motion Sensor Module</t>
  </si>
  <si>
    <t>Compatible 1000 Grams Filament PLA, various colors</t>
  </si>
  <si>
    <t>SM14</t>
  </si>
  <si>
    <t>SM14-E</t>
  </si>
  <si>
    <t>Pulse Oxymeter Heart Rate Sensor</t>
  </si>
  <si>
    <t xml:space="preserve">Operating Voltage: 3 to 5VDC
Operating Current: 4mA
Sensor Output: Digital
Senor Diameter: 30mm
</t>
  </si>
  <si>
    <t>SM15</t>
  </si>
  <si>
    <t>SM15-E</t>
  </si>
  <si>
    <t>Pulse Rate Heart Sensor</t>
  </si>
  <si>
    <t>SM16</t>
  </si>
  <si>
    <t>SM16-E</t>
  </si>
  <si>
    <t>Smoke Sensor (gas sensor)</t>
  </si>
  <si>
    <t xml:space="preserve">Parameter : Soil Moisture, Soil Humidity
Dual output mode, analog output more accurate
Operating Voltage: 3.3V~5V
Chip: LM393 comparator 
</t>
  </si>
  <si>
    <t>SM17</t>
  </si>
  <si>
    <t>SM17-E</t>
  </si>
  <si>
    <t>Soil Moisture Sensor Module</t>
  </si>
  <si>
    <t>Type : Mini
Voltage : 6V
Current : 80mA</t>
  </si>
  <si>
    <t>SM18</t>
  </si>
  <si>
    <t>SM18-E</t>
  </si>
  <si>
    <t>Sound Playback Module (Voice recorder isd 1820)</t>
  </si>
  <si>
    <t>Impedence : 8 Ohms
Power : 0.5W
size : 2 inch (Diameter)</t>
  </si>
  <si>
    <t>SM19</t>
  </si>
  <si>
    <t>SM19-E</t>
  </si>
  <si>
    <t>Temp &amp; Humidity Sensor Module</t>
  </si>
  <si>
    <t>800W Dual speed</t>
  </si>
  <si>
    <t>SM20</t>
  </si>
  <si>
    <t>SM20-E</t>
  </si>
  <si>
    <t>Temperature Sensor (LM 35D)</t>
  </si>
  <si>
    <t>15ml</t>
  </si>
  <si>
    <t>SM21</t>
  </si>
  <si>
    <t>SM21-E</t>
  </si>
  <si>
    <t>Thermistor</t>
  </si>
  <si>
    <t>Material: PTFE 
Thickness: 0.1 mm
Width: 12 mm
Length: 10 m</t>
  </si>
  <si>
    <t>SM22</t>
  </si>
  <si>
    <t>SM22-E</t>
  </si>
  <si>
    <t>Triple Axis Accelerometer (HMC Compass 5883)</t>
  </si>
  <si>
    <t>52 inch aluminum tripod, lightweight, comes with mobile phone holder mount</t>
  </si>
  <si>
    <t>SW01</t>
  </si>
  <si>
    <t>SW01-C</t>
  </si>
  <si>
    <t>Sewing Machine</t>
  </si>
  <si>
    <t>Sewing kit</t>
  </si>
  <si>
    <t>SW02</t>
  </si>
  <si>
    <t>SW02-C</t>
  </si>
  <si>
    <t>Sewing Needle</t>
  </si>
  <si>
    <t>T&amp;Needle Box</t>
  </si>
  <si>
    <t>SW03</t>
  </si>
  <si>
    <t>SW03-C</t>
  </si>
  <si>
    <t>Sewing Thread</t>
  </si>
  <si>
    <t>SW04</t>
  </si>
  <si>
    <t>SW04-T</t>
  </si>
  <si>
    <t>Sewing Seam Ripper</t>
  </si>
  <si>
    <t>Polyester Sewing Thread 100 Tubes (50 Shades Each 2 in no) Set</t>
  </si>
  <si>
    <t>SW05</t>
  </si>
  <si>
    <t>SW05-T</t>
  </si>
  <si>
    <t>Sewing Thread Cutter</t>
  </si>
  <si>
    <t>Inside diameter:4mm Outside diameter: 6mm
Length: 10 meter
clear, flexible</t>
  </si>
  <si>
    <t>SM23</t>
  </si>
  <si>
    <t>SM23-E</t>
  </si>
  <si>
    <t>Ultrasonic Sensor Module</t>
  </si>
  <si>
    <t>Type : USB A to USB B
Length : 1.5m</t>
  </si>
  <si>
    <t>SM24</t>
  </si>
  <si>
    <t>SM24-E</t>
  </si>
  <si>
    <t>Water Flow Sensor</t>
  </si>
  <si>
    <t>Operating Voltage : 3 ~ 6V
Operating Current : 130 ~ 220mA
Flow Rate : 80 ~ 120 L/H
Maximum Lift : 40 ~ 110 mm
Continuous Working Life : 500 hours
Driving Mode : DC, Magnetic Driving
Material : Engineering Plastic
Outlet Outside Diameter : 7.5 mm
Outlet Inside Diameter : 5 mm</t>
  </si>
  <si>
    <t>SD01</t>
  </si>
  <si>
    <t>SD01-E</t>
  </si>
  <si>
    <t>DE-soldering Cu Braid (Solder Wick)</t>
  </si>
  <si>
    <t>Soldering kit</t>
  </si>
  <si>
    <t>Soldering items storage</t>
  </si>
  <si>
    <t>Metaic
Length : 20cm</t>
  </si>
  <si>
    <t>SD02</t>
  </si>
  <si>
    <t>SD02-E</t>
  </si>
  <si>
    <t>De-Soldering Pump</t>
  </si>
  <si>
    <t>Used for ambient temperature, humidity, dew point temperature, wind speed &amp; air volume
Features:
Data Hold, Auto Power Off (APO), USB Real Time data uploading functions</t>
  </si>
  <si>
    <t>SD03/1</t>
  </si>
  <si>
    <t>SD03/01-E</t>
  </si>
  <si>
    <t>Solder Board 3X2 (PCB)</t>
  </si>
  <si>
    <t>PCB</t>
  </si>
  <si>
    <t xml:space="preserve">Type: Single sided Dot 
Dimension : 6x4 inches
Base Material: FR4
Copper Thickness: 1-4 OZ
Board Thickness: 1.6mm
</t>
  </si>
  <si>
    <t>SD03/2</t>
  </si>
  <si>
    <t>SD03/02-E</t>
  </si>
  <si>
    <t>Solder Board 6X4 (PCB)</t>
  </si>
  <si>
    <t>Model : 1.2D
Compatible For 936/937 Soldering Station or Iron
Tip Diameter : 1.2 D
Dimensions : 4.4x0.7 cm</t>
  </si>
  <si>
    <t>SD04/1</t>
  </si>
  <si>
    <t>SD04/01-E</t>
  </si>
  <si>
    <t>Soldering Bit 1.2D</t>
  </si>
  <si>
    <t>Type: Needle
Model : BN25N3 
Power : 25W</t>
  </si>
  <si>
    <t>SD04/2</t>
  </si>
  <si>
    <t>SD04/02-E</t>
  </si>
  <si>
    <t>Soldering Bit Needle</t>
  </si>
  <si>
    <t>Type: Spade
Model: BN25S3 
Power : 25W</t>
  </si>
  <si>
    <t>SD04/3</t>
  </si>
  <si>
    <t>SD04/03-E</t>
  </si>
  <si>
    <t>Soldering Bit Spade</t>
  </si>
  <si>
    <t>Weight : 10gm</t>
  </si>
  <si>
    <t>SD05</t>
  </si>
  <si>
    <t>SD05-E</t>
  </si>
  <si>
    <t>Soldering Flux</t>
  </si>
  <si>
    <t>Model : TE-801 
Multi-function LED Magnifier PCB Soldering iron Stand Holder Table
Magnifying glass : 35X 12X w/ 2-LED Light</t>
  </si>
  <si>
    <t>SD06</t>
  </si>
  <si>
    <t>SD06-E</t>
  </si>
  <si>
    <t>Soldering Helping Hand with Light</t>
  </si>
  <si>
    <t>Voltage : 230 V
Power : 25W</t>
  </si>
  <si>
    <t>SD07</t>
  </si>
  <si>
    <t>SD07-E</t>
  </si>
  <si>
    <t>Soldering Iron</t>
  </si>
  <si>
    <t xml:space="preserve">Material: Silicone
Size: 45x30cm
Heat Resistance: Up to 500°C
Feature: designated areas for components and soldering iron placement </t>
  </si>
  <si>
    <t>SD08</t>
  </si>
  <si>
    <t>SD08-E</t>
  </si>
  <si>
    <t>Soldering Mat</t>
  </si>
  <si>
    <t>Spring Holder Length	
80 Mm</t>
  </si>
  <si>
    <t>SD09</t>
  </si>
  <si>
    <t>SD09-E</t>
  </si>
  <si>
    <t>Soldering Stand</t>
  </si>
  <si>
    <t>Power : 60 W 
Temperature Range : 200 to 480deg
Stability : +_2 deg C
Input Voltage : 230 VAC
Output Voltage : 24V
Tip to Ground Resistance: &lt;2 Ohm</t>
  </si>
  <si>
    <t>SD10</t>
  </si>
  <si>
    <t>SD10-E</t>
  </si>
  <si>
    <t>Soldering Wire Lead/Tin</t>
  </si>
  <si>
    <t>Model : 12V DC 1/2" Solenoid Valve
Rated Operating Voltage : 12V DC
Rated Current : 0.6A
Operation Mode : Normally Closed
Power Consumption : 8W
Pressure : 0.02- 0.8Mpa
Inlet and outlet Dimeter : 1/2" (outer diameter) hose
Dimensions (mm) LxWxH : 80 x 88 x 50
Weight (gm) : 100</t>
  </si>
  <si>
    <t xml:space="preserve">STREAM Hub Items List </t>
  </si>
  <si>
    <t xml:space="preserve">  School Name:                                                                                                                                     Dist:</t>
  </si>
  <si>
    <t>Art and Craft Supplies</t>
  </si>
  <si>
    <t>Audio and Visual Tools</t>
  </si>
  <si>
    <t>China</t>
  </si>
  <si>
    <t>Impex</t>
  </si>
  <si>
    <t>china</t>
  </si>
  <si>
    <t>Batteries and Accessaries</t>
  </si>
  <si>
    <t>tomson</t>
  </si>
  <si>
    <t>Mercy</t>
  </si>
  <si>
    <t>Cutting and Shaping Tools</t>
  </si>
  <si>
    <t>15-106</t>
  </si>
  <si>
    <t>X30Ti</t>
  </si>
  <si>
    <t>SDH600-IN</t>
  </si>
  <si>
    <t>0-20-807</t>
  </si>
  <si>
    <t>STHT0-10194</t>
  </si>
  <si>
    <t>Didital Fabrication</t>
  </si>
  <si>
    <t>Electronic Components</t>
  </si>
  <si>
    <t>Electronic Modules</t>
  </si>
  <si>
    <t>Electronics Essentials</t>
  </si>
  <si>
    <t>TP-Link</t>
  </si>
  <si>
    <t>Clips and Fasteners</t>
  </si>
  <si>
    <t>Hand Tools</t>
  </si>
  <si>
    <t>54-032</t>
  </si>
  <si>
    <t xml:space="preserve">51-152 </t>
  </si>
  <si>
    <t>70-461</t>
  </si>
  <si>
    <t>STHT84108-8</t>
  </si>
  <si>
    <t>70-462</t>
  </si>
  <si>
    <t>BDHT22148</t>
  </si>
  <si>
    <t>69-GR20B</t>
  </si>
  <si>
    <t>66-120</t>
  </si>
  <si>
    <t>STHT36127-812</t>
  </si>
  <si>
    <t>STHT57527-8</t>
  </si>
  <si>
    <t>STMT60805-8</t>
  </si>
  <si>
    <t>STMT60809-8</t>
  </si>
  <si>
    <t>STHT65187-8</t>
  </si>
  <si>
    <t>STHT65191-8</t>
  </si>
  <si>
    <t>62-270</t>
  </si>
  <si>
    <t>66-052</t>
  </si>
  <si>
    <t>BDHT81570</t>
  </si>
  <si>
    <t>STHT42072-8</t>
  </si>
  <si>
    <t>STXH1800</t>
  </si>
  <si>
    <t>Lab Appratus</t>
  </si>
  <si>
    <t>Laboratory Instrument &amp; Tools</t>
  </si>
  <si>
    <t>Uni-T</t>
  </si>
  <si>
    <t>soldron</t>
  </si>
  <si>
    <t>Hanna</t>
  </si>
  <si>
    <t>LED Bulb Kit</t>
  </si>
  <si>
    <t>Motors and Wheels</t>
  </si>
  <si>
    <t xml:space="preserve"> </t>
  </si>
  <si>
    <t>Prototyping Materials</t>
  </si>
  <si>
    <t>Safety Items</t>
  </si>
  <si>
    <t>Sensor Modules</t>
  </si>
  <si>
    <t>Soldering Kit</t>
  </si>
  <si>
    <t>Storage Containers</t>
  </si>
  <si>
    <t>Alkon aco 39</t>
  </si>
  <si>
    <t>Alkon Mini</t>
  </si>
  <si>
    <t>Alkon Big</t>
  </si>
  <si>
    <t xml:space="preserve">venus </t>
  </si>
  <si>
    <t>Total/
schl</t>
  </si>
  <si>
    <t>Toy motor</t>
  </si>
  <si>
    <t>Rechargable Battery 18650</t>
  </si>
  <si>
    <t>Solder Board 3X2</t>
  </si>
  <si>
    <t>Solder Board 6X4</t>
  </si>
  <si>
    <t>Colour Sensor</t>
  </si>
  <si>
    <t>Triple Axis Accelerometer</t>
  </si>
  <si>
    <t>(HMC Compass 5883)</t>
  </si>
  <si>
    <t>Smoke Sensor</t>
  </si>
  <si>
    <t>ACO 39 (small shell)</t>
  </si>
  <si>
    <t>ACO 60  (small shell)</t>
  </si>
  <si>
    <t>ACO 18 (Big shell)</t>
  </si>
  <si>
    <t>Space Code</t>
  </si>
  <si>
    <t>ACO39(1,1)</t>
  </si>
  <si>
    <t>ACO60(1,1)</t>
  </si>
  <si>
    <t xml:space="preserve">LM 386 Audio Amplifier module     </t>
  </si>
  <si>
    <t>ACO18(1,1)</t>
  </si>
  <si>
    <t>ACO39(1,2)</t>
  </si>
  <si>
    <t>Resistor 15E</t>
  </si>
  <si>
    <t>Sound Sensor Module (Microphone Module)</t>
  </si>
  <si>
    <t>ACO18(1,2)</t>
  </si>
  <si>
    <t>RF Modules</t>
  </si>
  <si>
    <t>ACO39(1,3)</t>
  </si>
  <si>
    <t>ACO60(1,2)</t>
  </si>
  <si>
    <t>Sound Playback Module (Voice recorder ISD 1820)</t>
  </si>
  <si>
    <t>ACO18(1,3)</t>
  </si>
  <si>
    <t>Heart Rate Sensor module</t>
  </si>
  <si>
    <t>ACO39(1,4)</t>
  </si>
  <si>
    <t>MQ 135 (Air Quality Sensor)</t>
  </si>
  <si>
    <t>ACO18(2,1)</t>
  </si>
  <si>
    <t>Pulse Sensor Module</t>
  </si>
  <si>
    <t>ACO39(1,5)</t>
  </si>
  <si>
    <t>ACO60(1,3)</t>
  </si>
  <si>
    <t>MQ 2 (Smoke Sensor)</t>
  </si>
  <si>
    <t>ACO18(2,2)</t>
  </si>
  <si>
    <t>ACO39(1,6)</t>
  </si>
  <si>
    <t>MQ 6 (LPG Sensor)</t>
  </si>
  <si>
    <t>ACO18(2,3)</t>
  </si>
  <si>
    <t>Accelerometer(3 Axis)</t>
  </si>
  <si>
    <t>ACO39(2,1)</t>
  </si>
  <si>
    <t>Resistor 47E</t>
  </si>
  <si>
    <t>ACO60(1,4)</t>
  </si>
  <si>
    <t>IR Proximity Sensor Module</t>
  </si>
  <si>
    <t>ACO18(3,1)</t>
  </si>
  <si>
    <t>ACO39(2,2)</t>
  </si>
  <si>
    <t>ACO39(2,3)</t>
  </si>
  <si>
    <t>ACO60(1,5)</t>
  </si>
  <si>
    <t>IR Sensors Array Module</t>
  </si>
  <si>
    <t>ACO18(3,2)</t>
  </si>
  <si>
    <t>ACO39(2,4)</t>
  </si>
  <si>
    <t>PIR Motion Detector Module</t>
  </si>
  <si>
    <t>ACO18(3,3)</t>
  </si>
  <si>
    <t>IR Reciever Sensor Module(TSOP 1738)</t>
  </si>
  <si>
    <t>Resistor 150E</t>
  </si>
  <si>
    <t>ACO60(1,6)</t>
  </si>
  <si>
    <t>ACO18(4,1)</t>
  </si>
  <si>
    <t>Temperature Sensor(LM 35 D)</t>
  </si>
  <si>
    <t>ACO39(2,5)</t>
  </si>
  <si>
    <t>ACO18(4,2)</t>
  </si>
  <si>
    <t>Thermistor(NTC 10K 5MM)</t>
  </si>
  <si>
    <t>Resistor 270E</t>
  </si>
  <si>
    <t>ACO60(2,1)</t>
  </si>
  <si>
    <t>ACO18(4,3)</t>
  </si>
  <si>
    <t>ACO39(2,6)</t>
  </si>
  <si>
    <t>ACO18(5,1)</t>
  </si>
  <si>
    <t>Buzzer Element</t>
  </si>
  <si>
    <t>ACO60(2,2)</t>
  </si>
  <si>
    <t>ACO18(5,2)</t>
  </si>
  <si>
    <t>blank sticker (18 shells)</t>
  </si>
  <si>
    <t>Resistor 470E</t>
  </si>
  <si>
    <t>ACO18(5,3)</t>
  </si>
  <si>
    <t>ACO60(2,3)</t>
  </si>
  <si>
    <t>Blue OLED display</t>
  </si>
  <si>
    <t>ACO18(6,1)</t>
  </si>
  <si>
    <t>ACO 39 (Big shell)</t>
  </si>
  <si>
    <t>ACO18(6,2)</t>
  </si>
  <si>
    <t>ACO39(6,1)</t>
  </si>
  <si>
    <t>ACO60(2,4)</t>
  </si>
  <si>
    <t>BLANK (1)</t>
  </si>
  <si>
    <t>ACO18(6,3)</t>
  </si>
  <si>
    <t>ACO39(6,2)</t>
  </si>
  <si>
    <t>Mini Solar Panel</t>
  </si>
  <si>
    <t>ACO60(2,5)</t>
  </si>
  <si>
    <t>HMC 5883 Compass Sensor (Magnetometer Sensor)</t>
  </si>
  <si>
    <t>ACO39(6,3)</t>
  </si>
  <si>
    <t>Capacitative Touch Switch Module</t>
  </si>
  <si>
    <t>ACO60(2,6)</t>
  </si>
  <si>
    <t>ACO39(7,1)</t>
  </si>
  <si>
    <t>ACO60(3,1)</t>
  </si>
  <si>
    <t>ACO39(7,2)</t>
  </si>
  <si>
    <t>ACO60(3,2)</t>
  </si>
  <si>
    <t>ACO39(7,3)</t>
  </si>
  <si>
    <t>ACO39(8,1)</t>
  </si>
  <si>
    <t>ACO60(3,3)</t>
  </si>
  <si>
    <t>ACO39(8,2)</t>
  </si>
  <si>
    <t>ACO39(8,3)</t>
  </si>
  <si>
    <t>ACO60(3,4)</t>
  </si>
  <si>
    <t>ACO60(3,5)</t>
  </si>
  <si>
    <t>ACO60(3,6)</t>
  </si>
  <si>
    <t>ACO60(4,1)</t>
  </si>
  <si>
    <t>ACO60(4,2)</t>
  </si>
  <si>
    <t>ACO60(4,3)</t>
  </si>
  <si>
    <t>ACO60(4,4)</t>
  </si>
  <si>
    <t>ACO60(4,5)</t>
  </si>
  <si>
    <t>ACO60(4,6)</t>
  </si>
  <si>
    <t>ACO60(5,1)</t>
  </si>
  <si>
    <t>ACO60(5,2)</t>
  </si>
  <si>
    <t>ACO60(5,3)</t>
  </si>
  <si>
    <t>ACO60(5,4)</t>
  </si>
  <si>
    <t>ACO60(5,5)</t>
  </si>
  <si>
    <t>ACO60(5,6)</t>
  </si>
  <si>
    <t>ACO60(6,1)</t>
  </si>
  <si>
    <t>ACO60(6,2)</t>
  </si>
  <si>
    <t>ACO60(6,3)</t>
  </si>
  <si>
    <t>ACO60(6,4)</t>
  </si>
  <si>
    <t>ACO60(6,5)</t>
  </si>
  <si>
    <t>ACO60(6,6)</t>
  </si>
  <si>
    <t xml:space="preserve">micro Switch </t>
  </si>
  <si>
    <t>ACO60(7,1)</t>
  </si>
  <si>
    <t>micro Switch (Push on-push off)</t>
  </si>
  <si>
    <t>ACO60(7,2)</t>
  </si>
  <si>
    <t>Counter IC CD 4017</t>
  </si>
  <si>
    <t>ACO60(7,3)</t>
  </si>
  <si>
    <t>IC LM 358</t>
  </si>
  <si>
    <t>ACO60(7,4)</t>
  </si>
  <si>
    <t>ACO60(7,5)</t>
  </si>
  <si>
    <t>blank sticker (7 shells)</t>
  </si>
  <si>
    <t>ACO60(9,1)</t>
  </si>
  <si>
    <t>ACO60(9,2)</t>
  </si>
  <si>
    <t>ACO60(9,3)</t>
  </si>
  <si>
    <t>ACO60(9,4)</t>
  </si>
  <si>
    <t>ACO60(9,5)</t>
  </si>
  <si>
    <t>ACO60(9,6)</t>
  </si>
  <si>
    <t>ACO60(10,1)</t>
  </si>
  <si>
    <t>ACO60(10,2)</t>
  </si>
  <si>
    <t>ACO60(10,3)</t>
  </si>
  <si>
    <t>Jumper wire M-F</t>
  </si>
  <si>
    <t>ACO60(10,4)</t>
  </si>
  <si>
    <t>Jumper wire M-M</t>
  </si>
  <si>
    <t>ACO60(10,5)</t>
  </si>
  <si>
    <t>Jumper wire F-F</t>
  </si>
  <si>
    <t>ACO60(10,6)</t>
  </si>
  <si>
    <t>N Qty</t>
  </si>
  <si>
    <t>Thripunithura</t>
  </si>
  <si>
    <t>Avil</t>
  </si>
  <si>
    <t>Brand/ Cmt</t>
  </si>
  <si>
    <t xml:space="preserve">Required </t>
  </si>
  <si>
    <t xml:space="preserve">Double side Tape - 18 mm </t>
  </si>
  <si>
    <t>White Glue</t>
  </si>
  <si>
    <t>Instand Adissive</t>
  </si>
  <si>
    <t>Acrylic paint (B,W,R,B,Y,G)</t>
  </si>
  <si>
    <t>Painting</t>
  </si>
  <si>
    <t>Clay Modelling Tools</t>
  </si>
  <si>
    <t>Clay</t>
  </si>
  <si>
    <t>Drawing Pencils (HB)</t>
  </si>
  <si>
    <t>Mechanical Pencil Lead - .5mm (HB)</t>
  </si>
  <si>
    <t>SL11</t>
  </si>
  <si>
    <t>Popsicle Sticks</t>
  </si>
  <si>
    <t>Stainless Steel Ruler</t>
  </si>
  <si>
    <t>Rulers</t>
  </si>
  <si>
    <t>Sheet</t>
  </si>
  <si>
    <t>CMC, CT6</t>
  </si>
  <si>
    <t xml:space="preserve">Media </t>
  </si>
  <si>
    <t>KW222</t>
  </si>
  <si>
    <t xml:space="preserve">Laser </t>
  </si>
  <si>
    <t>smart 44</t>
  </si>
  <si>
    <t>Battery</t>
  </si>
  <si>
    <t>12V Adapters</t>
  </si>
  <si>
    <t>Power supply</t>
  </si>
  <si>
    <t>Kensoic Battery Charging Unit</t>
  </si>
  <si>
    <t xml:space="preserve">Battery </t>
  </si>
  <si>
    <t>Battery Clip</t>
  </si>
  <si>
    <t>Battery Clip with DC Jack</t>
  </si>
  <si>
    <t>Battery Holder-18650</t>
  </si>
  <si>
    <t>Battery Holder-2X1</t>
  </si>
  <si>
    <t>Battery Holder-4X1</t>
  </si>
  <si>
    <t>Button Cell</t>
  </si>
  <si>
    <t>Alligator Connectors</t>
  </si>
  <si>
    <t>ACO-18</t>
  </si>
  <si>
    <t>Heat shrink Sleeve 2mm Black</t>
  </si>
  <si>
    <t>Heat shrink Sleeve 2mm Red</t>
  </si>
  <si>
    <t>Heat shrink Sleeve 3mm Black</t>
  </si>
  <si>
    <t>Heat shrink Sleeve 3mm Red</t>
  </si>
  <si>
    <t>Jumper Cables</t>
  </si>
  <si>
    <t>omited</t>
  </si>
  <si>
    <t>3.5mm Sterio Plug</t>
  </si>
  <si>
    <t>Cleaning</t>
  </si>
  <si>
    <t>Rotary Tool</t>
  </si>
  <si>
    <t>Utility Knife Blades 18mm</t>
  </si>
  <si>
    <t>Utility Knife Blades 9mm</t>
  </si>
  <si>
    <t>Utility Knives 18mm</t>
  </si>
  <si>
    <t>Utility Knives 9mm</t>
  </si>
  <si>
    <t>Ardiuno UNO CNC Shield V3</t>
  </si>
  <si>
    <t>Arduino Shield</t>
  </si>
  <si>
    <t>Arduino NANO Shield</t>
  </si>
  <si>
    <t>Arduino UNO</t>
  </si>
  <si>
    <t>Arduino UNO Shield</t>
  </si>
  <si>
    <t>Robu</t>
  </si>
  <si>
    <t>ESP</t>
  </si>
  <si>
    <t>3D printing</t>
  </si>
  <si>
    <t>PLA Filament (1KG)</t>
  </si>
  <si>
    <t>Nakoda Everyday</t>
  </si>
  <si>
    <t>Sound</t>
  </si>
  <si>
    <t>Breadboard Big</t>
  </si>
  <si>
    <t>Capacitor</t>
  </si>
  <si>
    <t>IC</t>
  </si>
  <si>
    <t>Diode</t>
  </si>
  <si>
    <t xml:space="preserve">LED </t>
  </si>
  <si>
    <t>Arduino Modules</t>
  </si>
  <si>
    <t>MOSFET</t>
  </si>
  <si>
    <t>Potentiometers</t>
  </si>
  <si>
    <t>Resistors</t>
  </si>
  <si>
    <t>Switchs</t>
  </si>
  <si>
    <t>Timer IC -NE 555</t>
  </si>
  <si>
    <t>Transistors</t>
  </si>
  <si>
    <t>Motor essentials</t>
  </si>
  <si>
    <t>LCD Display</t>
  </si>
  <si>
    <t>Display</t>
  </si>
  <si>
    <t>Alkon 39</t>
  </si>
  <si>
    <t>Arduino Motor Shield - L 298</t>
  </si>
  <si>
    <t>Power Extention Box</t>
  </si>
  <si>
    <t>NV</t>
  </si>
  <si>
    <t>CUSAT</t>
  </si>
  <si>
    <t>UN Knw</t>
  </si>
  <si>
    <t>more number</t>
  </si>
  <si>
    <t>Measuring devices</t>
  </si>
  <si>
    <t>less number</t>
  </si>
  <si>
    <t>bo</t>
  </si>
  <si>
    <t xml:space="preserve">Mercy </t>
  </si>
  <si>
    <t>Lab Glass apparatus</t>
  </si>
  <si>
    <t xml:space="preserve">Lab Plastic apparatus </t>
  </si>
  <si>
    <t>Optics</t>
  </si>
  <si>
    <t xml:space="preserve">Microscopy </t>
  </si>
  <si>
    <t>slider 22</t>
  </si>
  <si>
    <t>smart44</t>
  </si>
  <si>
    <t>Regulated power supply (0-30V)</t>
  </si>
  <si>
    <t>Lab apparatus</t>
  </si>
  <si>
    <t>DIY Microscope</t>
  </si>
  <si>
    <t>smart 22</t>
  </si>
  <si>
    <t>NV-FC</t>
  </si>
  <si>
    <t>Stepper Motor 
28BYJ-48</t>
  </si>
  <si>
    <t>Plumbing Items</t>
  </si>
  <si>
    <t>Polymer Clay</t>
  </si>
  <si>
    <t>Aluminium Craft Wire</t>
  </si>
  <si>
    <t>Aluminium</t>
  </si>
  <si>
    <t>CT5</t>
  </si>
  <si>
    <t xml:space="preserve">Foams </t>
  </si>
  <si>
    <t xml:space="preserve">Safety </t>
  </si>
  <si>
    <t xml:space="preserve">Sewing </t>
  </si>
  <si>
    <t>General Purpose PCB Board 3X2</t>
  </si>
  <si>
    <t>General Purpose PCB Board 6X4</t>
  </si>
  <si>
    <t xml:space="preserve">Laser Cutter / Engraver 
10W / Atomstack or Creality </t>
  </si>
  <si>
    <t>Plotter</t>
  </si>
  <si>
    <t>DF06-D</t>
  </si>
  <si>
    <t>Laser cutter accessories</t>
  </si>
  <si>
    <t>DF07-D</t>
  </si>
  <si>
    <t>CNC plotter</t>
  </si>
  <si>
    <t>DF08-D</t>
  </si>
  <si>
    <t>Vinyl Sheets</t>
  </si>
  <si>
    <t>LI20-S</t>
  </si>
  <si>
    <t>steel spatula</t>
  </si>
  <si>
    <t>CT06/05-T</t>
  </si>
  <si>
    <t>Precision Knife</t>
  </si>
  <si>
    <t>POT</t>
  </si>
  <si>
    <r>
      <rPr>
        <rFont val="docs-Calibri"/>
        <color rgb="FF000000"/>
        <sz val="11.0"/>
      </rPr>
      <t>A4988 Stepper Motor CNC Driver</t>
    </r>
  </si>
  <si>
    <t>New
Qty</t>
  </si>
  <si>
    <t>space code</t>
  </si>
  <si>
    <t>CML1-KW222/1</t>
  </si>
  <si>
    <t>CMC</t>
  </si>
  <si>
    <t>SM44</t>
  </si>
  <si>
    <t>CML1-SM22/6</t>
  </si>
  <si>
    <t>TSL, ESL-P</t>
  </si>
  <si>
    <t>CML1-SM44/1</t>
  </si>
  <si>
    <t>SL22</t>
  </si>
  <si>
    <t>CML1-SL22/5</t>
  </si>
  <si>
    <t>CMR2-SL22/4, CBR2</t>
  </si>
  <si>
    <t>CMR1-SM22/3, CSL</t>
  </si>
  <si>
    <t>CMR1-SM22/1</t>
  </si>
  <si>
    <t>CMR2-SL22/4</t>
  </si>
  <si>
    <t>CMR2-SL11/2</t>
  </si>
  <si>
    <t>CMR1-KW222/3</t>
  </si>
  <si>
    <t>CMR2-SL11/1</t>
  </si>
  <si>
    <t>CMR1-SM22/1, CSL</t>
  </si>
  <si>
    <t>FC</t>
  </si>
  <si>
    <t>CMR2-FC</t>
  </si>
  <si>
    <t>MWB, CMR1-SM22/1</t>
  </si>
  <si>
    <t>MC4</t>
  </si>
  <si>
    <t>MC4-KW222/1</t>
  </si>
  <si>
    <t>SSL</t>
  </si>
  <si>
    <t>MC5</t>
  </si>
  <si>
    <t>MTV</t>
  </si>
  <si>
    <t>MR2</t>
  </si>
  <si>
    <t>MR1</t>
  </si>
  <si>
    <t>MC2-SM44/1</t>
  </si>
  <si>
    <t>ETR3-SL11/13</t>
  </si>
  <si>
    <t>ETR3-SM22/8</t>
  </si>
  <si>
    <t>ETR3-SM22/7</t>
  </si>
  <si>
    <t>ETR3-SL11/7</t>
  </si>
  <si>
    <t>ETR1-SM44/1</t>
  </si>
  <si>
    <t>ETR1-SL11/9</t>
  </si>
  <si>
    <t>ETR3-SM22/6</t>
  </si>
  <si>
    <t>ETR1-SL11/8</t>
  </si>
  <si>
    <t>ETR1-SL11/10</t>
  </si>
  <si>
    <t>EBR1-SM22/11</t>
  </si>
  <si>
    <t>ETR2-SL22/10</t>
  </si>
  <si>
    <t>ETR2-SL22/7</t>
  </si>
  <si>
    <t>EBR1-SM44/2</t>
  </si>
  <si>
    <t>EBR1-SM22/10</t>
  </si>
  <si>
    <t>EBR1-SL22/6</t>
  </si>
  <si>
    <t>Z</t>
  </si>
  <si>
    <t>Cleaning corner</t>
  </si>
  <si>
    <t>TSL</t>
  </si>
  <si>
    <t>TBL1</t>
  </si>
  <si>
    <t>BOX</t>
  </si>
  <si>
    <t>TSL, TBL1</t>
  </si>
  <si>
    <t>TBL1-FC</t>
  </si>
  <si>
    <t>CBL1-SL22/3</t>
  </si>
  <si>
    <t>CBL1-SL22/3, CMC-P</t>
  </si>
  <si>
    <t>CBL2-SM22/2, CMC-P</t>
  </si>
  <si>
    <t>CBL2-SM22/4</t>
  </si>
  <si>
    <t>ETL3-SL22/11</t>
  </si>
  <si>
    <t>ETL1-SM22/3</t>
  </si>
  <si>
    <t>ETL2-SM22/2</t>
  </si>
  <si>
    <t>ACO18</t>
  </si>
  <si>
    <t>ETL1-SM22/4</t>
  </si>
  <si>
    <t>ETL1-SM22/1</t>
  </si>
  <si>
    <t>DML2-SL11/1</t>
  </si>
  <si>
    <t>DMC</t>
  </si>
  <si>
    <t>DBL1-SM22/1</t>
  </si>
  <si>
    <t>NE1</t>
  </si>
  <si>
    <t>DBL1-NE1/1</t>
  </si>
  <si>
    <t>ACO39</t>
  </si>
  <si>
    <t>ETR2-SL22/8</t>
  </si>
  <si>
    <t>ETR2-SL22/9</t>
  </si>
  <si>
    <t>ETR2-SL11/12</t>
  </si>
  <si>
    <t>SM44, ACO60</t>
  </si>
  <si>
    <t>EBR1-SM44/2, ACO60(10,3)</t>
  </si>
  <si>
    <t>EBR1-SM44/2, ACO60(10,1)</t>
  </si>
  <si>
    <t>EBR1-SM44/2, ACO60(10,2)</t>
  </si>
  <si>
    <t>ACO60</t>
  </si>
  <si>
    <t>ACO60(9,1), EBL1-SL22/1</t>
  </si>
  <si>
    <t>ACO60(9,2), EBL1-SL22/1</t>
  </si>
  <si>
    <t>ACO60(9,3), EBL1-SL22/1</t>
  </si>
  <si>
    <t>ACO60(9,4), EBL1-SL22/1</t>
  </si>
  <si>
    <t>ACO60(9,5), EBL1-SL22/1</t>
  </si>
  <si>
    <t>ACO60(9,6), EBL1-SL22/1</t>
  </si>
  <si>
    <t>Timer IC - NE 555</t>
  </si>
  <si>
    <t>ACO60(7,6)</t>
  </si>
  <si>
    <t>ETL3-SL22/2</t>
  </si>
  <si>
    <t>ETL2-SL11/2</t>
  </si>
  <si>
    <t>ACO30</t>
  </si>
  <si>
    <t>ETL3-SL11/6</t>
  </si>
  <si>
    <t>ETL2-SL11/3</t>
  </si>
  <si>
    <t>ETL3-SL11/4</t>
  </si>
  <si>
    <t>ETL2-SL11/1</t>
  </si>
  <si>
    <t>MWB-NV/1</t>
  </si>
  <si>
    <t>Media corner</t>
  </si>
  <si>
    <t>MC3</t>
  </si>
  <si>
    <t>CML2-SL22/2</t>
  </si>
  <si>
    <t>CBR1-KW222/2</t>
  </si>
  <si>
    <t>CBR1-SM44/2</t>
  </si>
  <si>
    <t>CML2-SL22/1</t>
  </si>
  <si>
    <t>CMR1</t>
  </si>
  <si>
    <t>TSL, CML2</t>
  </si>
  <si>
    <t>CML2-SM22/5</t>
  </si>
  <si>
    <t>ESL</t>
  </si>
  <si>
    <t>CR</t>
  </si>
  <si>
    <t>DMR2</t>
  </si>
  <si>
    <t>TSL.</t>
  </si>
  <si>
    <t>TSL/P</t>
  </si>
  <si>
    <t>TSL, TSL/P, ESL</t>
  </si>
  <si>
    <t>Beaker 250 ml</t>
  </si>
  <si>
    <t>STL2, SBL1</t>
  </si>
  <si>
    <t>SSL-P</t>
  </si>
  <si>
    <t>SBL2-KW222/1</t>
  </si>
  <si>
    <t>MC2-SL22/1</t>
  </si>
  <si>
    <t>STL2</t>
  </si>
  <si>
    <t>STL3</t>
  </si>
  <si>
    <t>SBL1</t>
  </si>
  <si>
    <t>STR3-SL11/2</t>
  </si>
  <si>
    <t>STR2-SM44/3</t>
  </si>
  <si>
    <t>STR1-SM44/1</t>
  </si>
  <si>
    <t>SSL, SBL2-SL11/1</t>
  </si>
  <si>
    <t>SBL2-SL11/1</t>
  </si>
  <si>
    <t>EBL2-SM44/3</t>
  </si>
  <si>
    <t>STL1</t>
  </si>
  <si>
    <t>STR3-SM44/2</t>
  </si>
  <si>
    <t>EBR2-CR/1</t>
  </si>
  <si>
    <t>EBC-NV/1</t>
  </si>
  <si>
    <t>ETP</t>
  </si>
  <si>
    <t>ETL2-SM22/5</t>
  </si>
  <si>
    <t>ETL3-SL22/4</t>
  </si>
  <si>
    <t>ETL3-SL22/3</t>
  </si>
  <si>
    <t>EBL1-SM22/9</t>
  </si>
  <si>
    <t>EBL1-SL11/14</t>
  </si>
  <si>
    <t>ETL3-SL22/12</t>
  </si>
  <si>
    <t>ETL3-SL22/5</t>
  </si>
  <si>
    <t>TBR2</t>
  </si>
  <si>
    <t>CR-FC</t>
  </si>
  <si>
    <t>TBR2-FC</t>
  </si>
  <si>
    <t>CMR1-SM22/3</t>
  </si>
  <si>
    <t>CT6</t>
  </si>
  <si>
    <t>CTP</t>
  </si>
  <si>
    <t>CT7</t>
  </si>
  <si>
    <t>CT8</t>
  </si>
  <si>
    <t>safty corner</t>
  </si>
  <si>
    <t>SBR2-CR/1</t>
  </si>
  <si>
    <t>SBR1-SM22/2</t>
  </si>
  <si>
    <t>SBR1-SM44/4</t>
  </si>
  <si>
    <t>SBR1-SM22/1</t>
  </si>
  <si>
    <t xml:space="preserve"> Heart Rate Sensor</t>
  </si>
  <si>
    <t>ETL3-SL11/5</t>
  </si>
  <si>
    <t>CBL2</t>
  </si>
  <si>
    <t>CBL2, CMC/P</t>
  </si>
  <si>
    <t>ETR2-SL11/11</t>
  </si>
  <si>
    <t>DBR2</t>
  </si>
  <si>
    <t>SSL/P</t>
  </si>
  <si>
    <t>CBL1-SL22/3, CMC-P, SSL-P</t>
  </si>
  <si>
    <t>LED Blue, LED Green, LED Red, LED White, LED Yellow,LED -RGB</t>
  </si>
  <si>
    <t>EBL1-SL22/1</t>
  </si>
  <si>
    <t>DB02/04-E</t>
  </si>
  <si>
    <t>A4988 Stepper Motor Driver for CNC</t>
  </si>
  <si>
    <t>ESP32 C3</t>
  </si>
  <si>
    <t xml:space="preserve">Raspberry pi 5 </t>
  </si>
  <si>
    <t>Micro Vacuum Pump</t>
  </si>
  <si>
    <t>7805 voltage regulator</t>
  </si>
  <si>
    <t>BLDC motor</t>
  </si>
  <si>
    <t xml:space="preserve">enamelled copper wire, 27 gauge, 10 meter </t>
  </si>
  <si>
    <t>Alcohol Sensor MQ3</t>
  </si>
  <si>
    <t>Rotary Encoder Module</t>
  </si>
  <si>
    <t>Relay module</t>
  </si>
  <si>
    <t>BLDC Motor Driver</t>
  </si>
  <si>
    <t xml:space="preserve">Wireless mic </t>
  </si>
  <si>
    <t>Audio and Visual equipment</t>
  </si>
  <si>
    <t>Methylene Blue</t>
  </si>
  <si>
    <t>Chem</t>
  </si>
  <si>
    <t>Phenolphthalein</t>
  </si>
  <si>
    <t>Safranin Stain solution</t>
  </si>
  <si>
    <t>Universal Indicators</t>
  </si>
  <si>
    <t>Food color</t>
  </si>
  <si>
    <t xml:space="preserve">transparent nailpolish </t>
  </si>
  <si>
    <t>Isopropanol:</t>
  </si>
  <si>
    <t>2L</t>
  </si>
  <si>
    <t>Distilled/Deionized Water</t>
  </si>
  <si>
    <t>5L</t>
  </si>
  <si>
    <t>Neodimium Magnet</t>
  </si>
  <si>
    <t xml:space="preserve">Lab Aparatus </t>
  </si>
  <si>
    <t>galvanometer</t>
  </si>
  <si>
    <t>lab</t>
  </si>
  <si>
    <t>Handheld magnifying glass</t>
  </si>
  <si>
    <t xml:space="preserve">Tools </t>
  </si>
  <si>
    <t>Compass</t>
  </si>
  <si>
    <t>TDS meter</t>
  </si>
  <si>
    <t xml:space="preserve">6 inch toothed forcep </t>
  </si>
  <si>
    <t xml:space="preserve">tools </t>
  </si>
  <si>
    <t>needle forcep</t>
  </si>
  <si>
    <t>STR3</t>
  </si>
  <si>
    <t>STOCK</t>
  </si>
  <si>
    <t>done</t>
  </si>
  <si>
    <t>page type</t>
  </si>
  <si>
    <t>page size</t>
  </si>
  <si>
    <t>arera</t>
  </si>
  <si>
    <t>CML1</t>
  </si>
  <si>
    <t>DBR1</t>
  </si>
  <si>
    <t>Science corner</t>
  </si>
  <si>
    <t>STL2, STP</t>
  </si>
  <si>
    <t>STL3, SBL1</t>
  </si>
  <si>
    <t>STP-SM22/2</t>
  </si>
  <si>
    <t>STP-SM44/4</t>
  </si>
  <si>
    <t>STP-SM22/1</t>
  </si>
  <si>
    <t>TSL, TTP</t>
  </si>
  <si>
    <t>Item name</t>
  </si>
  <si>
    <t xml:space="preserve">quantity </t>
  </si>
  <si>
    <t>Storage Code</t>
  </si>
  <si>
    <t>box no.</t>
  </si>
  <si>
    <t>Space Code-Storage/box no</t>
  </si>
  <si>
    <t xml:space="preserve">SLIDER 11 </t>
  </si>
  <si>
    <t>SLIDER 22, SMART 22, SMART 44</t>
  </si>
  <si>
    <t>ACO 39 (small shell) ESL</t>
  </si>
  <si>
    <t>ETL1</t>
  </si>
  <si>
    <t>ETL2</t>
  </si>
  <si>
    <t>Raspberry Pi Pico
Raspberry Pi Pico GPIO Expansion Board</t>
  </si>
  <si>
    <t>DB04/01-E
DB04/02-E</t>
  </si>
  <si>
    <t>Resistor 10E
Resistor 15E</t>
  </si>
  <si>
    <t>EC14/02-E
EC14/34-E</t>
  </si>
  <si>
    <t>Arduino Motor Shield - L 298
Arduino NANO Shield</t>
  </si>
  <si>
    <t>EM17-E
DB01/02-E</t>
  </si>
  <si>
    <t>Resistor 22E
Resistor 27E</t>
  </si>
  <si>
    <t>EC14/11-E
EC14/13-E</t>
  </si>
  <si>
    <t>Arduino UNO
Arduino NANO</t>
  </si>
  <si>
    <t>DB02/01-E
DB01/01-E</t>
  </si>
  <si>
    <t>RF Module</t>
  </si>
  <si>
    <t>Resistor 33E
Resistor 39E</t>
  </si>
  <si>
    <t>EC14/16-E
EC14/20-E</t>
  </si>
  <si>
    <t>ETL3</t>
  </si>
  <si>
    <t>ESP32 CAM Shield
ESP32 WIFI Bluetooth UNO D1</t>
  </si>
  <si>
    <t>DB03/02-E
DB03/01-E</t>
  </si>
  <si>
    <t>Resistor 47E
Resistor 56E</t>
  </si>
  <si>
    <t>EC14/41-E
EC14/25-E</t>
  </si>
  <si>
    <t>360 Servo Motor (MG996)
Servo Motor mini (MG90)</t>
  </si>
  <si>
    <t>MW01-E
MW06-E</t>
  </si>
  <si>
    <t>Resistor 82E
Resistor 100E</t>
  </si>
  <si>
    <t>EC14/30-E
EC14/01-E</t>
  </si>
  <si>
    <t>LED Blue
LED Green
LED Red
LED White
LED Yellow
LED RGB</t>
  </si>
  <si>
    <t>EC09/01-E
EC09/02-E
EC09/03-E
EC09/04-E
EC09/05-E
EC09/06-E</t>
  </si>
  <si>
    <t>EBL1</t>
  </si>
  <si>
    <t>Resistor 150E
Resistor 220E</t>
  </si>
  <si>
    <t>EC14/32-E
EC14/09-E</t>
  </si>
  <si>
    <t>Battery Clip, Battery Clip with DC Jack, DC Power Jack, 3.5mm Sterio Plug</t>
  </si>
  <si>
    <t>BA03/01-E, BA03/02-E, CC02-E, CC09-E</t>
  </si>
  <si>
    <t>ETR3</t>
  </si>
  <si>
    <t>Resistor 270E
Resistor 330E</t>
  </si>
  <si>
    <t>EC14/36-E
EC14/14-E</t>
  </si>
  <si>
    <t>IR Proximity Sensor Module
LDR Module</t>
  </si>
  <si>
    <t>SM06-E
SM09-E</t>
  </si>
  <si>
    <t>ETR1</t>
  </si>
  <si>
    <t>Resistor 390E
Resistor 470E</t>
  </si>
  <si>
    <t>EC14/18-E
EC14/39-E</t>
  </si>
  <si>
    <t>Rechargeable Battery 9V, Button Cell</t>
  </si>
  <si>
    <t>BA05/03-E, BA05/01-E</t>
  </si>
  <si>
    <t>Resistor 560E
Resistor 820E</t>
  </si>
  <si>
    <t>EC14/23-E
EC14/28-E</t>
  </si>
  <si>
    <t>EBC</t>
  </si>
  <si>
    <t>Stepper Motor with driver</t>
  </si>
  <si>
    <t>Magnetic Reed Switch
IR Reciever Sensor Module(TSOP 1738)</t>
  </si>
  <si>
    <t>EC10-E
SM07-E</t>
  </si>
  <si>
    <t>Resistor 1K
Resistor 2.2K</t>
  </si>
  <si>
    <t>EC14/06-E
EC14/08-E</t>
  </si>
  <si>
    <t>General Purpose PCB Board 3X2, 6X4</t>
  </si>
  <si>
    <t>SD03/01-E, SD03/02-E</t>
  </si>
  <si>
    <t>ETR2</t>
  </si>
  <si>
    <t>Temperature Sensor(LM 35 D)
Thermistor(NTC 10K 5MM)</t>
  </si>
  <si>
    <t>SM20-E
SM21-E</t>
  </si>
  <si>
    <t>Resistor 4.7K
Resistor 10k</t>
  </si>
  <si>
    <t>EC14/22-E
EC14/03-E</t>
  </si>
  <si>
    <t>EBR1</t>
  </si>
  <si>
    <t>Active Buzzer
Buzzer Element</t>
  </si>
  <si>
    <t>EC01-E
EC12-E</t>
  </si>
  <si>
    <t>Resistors 15K
Resistor 22K</t>
  </si>
  <si>
    <t>EC14/35-E
EC14/12-E</t>
  </si>
  <si>
    <t>LED Blue, Green, Red, White, Yellow, RGB</t>
  </si>
  <si>
    <t>EC09/01-06-E</t>
  </si>
  <si>
    <t>Battery Holder-18650
Battery Holder-2X1
Battery Holder-4X1</t>
  </si>
  <si>
    <t>BA04/01-E
BA04/02-E
BA04/03-E</t>
  </si>
  <si>
    <t>Resistors 27K
Resistor 33K</t>
  </si>
  <si>
    <t>EC14/38-E
EC14/17-E</t>
  </si>
  <si>
    <t>Hook-up Wire Black
Hook-up Wire Blue
Hook-up Wire Green
Hook-up Wire Red
Hook-up Wire Yellow</t>
  </si>
  <si>
    <t>CC05/01-E
CC05/02-E
CC05/03-E
CC05/04-E
CC05/05-E</t>
  </si>
  <si>
    <t>Resistor 39K
Resistors 47K</t>
  </si>
  <si>
    <t>EC14/21-E
EC14/42-E</t>
  </si>
  <si>
    <t>Resistor 56K
Resistor 82K</t>
  </si>
  <si>
    <t>EC14/26-E
EC14/31-E</t>
  </si>
  <si>
    <t>Resistor 120K
Resistors 150K</t>
  </si>
  <si>
    <t>EC14/04-E
EC14/33-E</t>
  </si>
  <si>
    <t>Heat shrink Sleeve 2mm Black
Heat shrink Sleeve 2mm Red
Heat shrink Sleeve 3mm Black
Heat shrink Sleeve 3mm Red</t>
  </si>
  <si>
    <t>CC04/01-E
CC04/02-E
CC04/03-E
CC04/04-E</t>
  </si>
  <si>
    <t>Keypad module
Mini Solar Panel</t>
  </si>
  <si>
    <t>EM15-E
EM08-E</t>
  </si>
  <si>
    <t>Resistor 180K
Resistor 220K</t>
  </si>
  <si>
    <t>EC14/05-E
EC14/10-E</t>
  </si>
  <si>
    <t>HMC 5883 Compass Sensor (Magnetometer Sensor)
Capacitative Touch Switch Module</t>
  </si>
  <si>
    <t>SM11-E
SM02-E</t>
  </si>
  <si>
    <t>Resistors 270K
Resistor 330K</t>
  </si>
  <si>
    <t>EC14/37-E
EC14/15-E</t>
  </si>
  <si>
    <t>Pot Meter 1K
Pot Meter 10K</t>
  </si>
  <si>
    <t>EC13/03-E
EC13/02-E</t>
  </si>
  <si>
    <t>Resistor 390K
Resistors 470K</t>
  </si>
  <si>
    <t>EC14/19-E
EC14/40-E</t>
  </si>
  <si>
    <t>Pot Meter 100K
Pot Meter 1M</t>
  </si>
  <si>
    <t>EC13/01-E
EC13/04-E</t>
  </si>
  <si>
    <t>Resistor 560K
Resistor 680K</t>
  </si>
  <si>
    <t>EC14/24-E
EC14/27-E</t>
  </si>
  <si>
    <t>Resistor 820K
Resistor 1M</t>
  </si>
  <si>
    <t>EC14/29-E
EC14/07-E</t>
  </si>
  <si>
    <t>Trimpot 10K.
Trimpot 100K
Trimpot 1M</t>
  </si>
  <si>
    <t>EC18/01-E
EC18/02-E
EC18/03-E</t>
  </si>
  <si>
    <t>Jumper Cable FF
Jumper Cable MF
Jumper Cable MM
Burg Strips M
Burg Strips M Right angle
Burg Strips F</t>
  </si>
  <si>
    <t>CC06/01-E
CC06/02-E
CC06/03-E
EC04/02-E
EC04/03-E
EC04/01-E</t>
  </si>
  <si>
    <t>Diode - IN 4007
Diode- IN 4148</t>
  </si>
  <si>
    <t>EC07/01-E
EC07/02-E</t>
  </si>
  <si>
    <t>Digital Multi Meter
Digital Multi Meter- Auto Range</t>
  </si>
  <si>
    <t>LI01/01-E
LI01/02-E</t>
  </si>
  <si>
    <t>EBL2</t>
  </si>
  <si>
    <t>Vibrating Motor
Dc Toy Motor</t>
  </si>
  <si>
    <t>EC19-E
MW05-E</t>
  </si>
  <si>
    <t>MOSFET IRF540
MOSFET IRFZ44</t>
  </si>
  <si>
    <t>EC11/01-E
EC11/02-E</t>
  </si>
  <si>
    <t xml:space="preserve">Ardiuno UNO CNC Shield V3
A4988 Stepper Motor CNC Driver </t>
  </si>
  <si>
    <t>DB02/03-E
DB02/04-E</t>
  </si>
  <si>
    <t>Capacitor 0.01 µF
Capacitor 0.001 µF</t>
  </si>
  <si>
    <t>EC05/02-E
EC05/01-E</t>
  </si>
  <si>
    <t>Capacitor 0.1 µF
Capacitor 0.047 µF</t>
  </si>
  <si>
    <t>EC05/04-E
EC05/03-E</t>
  </si>
  <si>
    <t>Battery Clip, DC Power Jack</t>
  </si>
  <si>
    <t>Battery Clip with DC Jack, 3.5mm Sterio Plug</t>
  </si>
  <si>
    <t>BA03/01-E, CC02-E</t>
  </si>
  <si>
    <t>BA03/02-E, CC09-E</t>
  </si>
  <si>
    <t>Capacitor 27 pF
Capacitor 4.7 pF</t>
  </si>
  <si>
    <t>EC05/13-E
EC05/15-E</t>
  </si>
  <si>
    <t>Nacoda Venus</t>
  </si>
  <si>
    <t>Transistor- 2N2222A
Transistor - 2N3904</t>
  </si>
  <si>
    <t>EC17/06-E
EC17/01-E</t>
  </si>
  <si>
    <t>Transistor - BC 547
Transistor - BC 548
Transistor - BC 557</t>
  </si>
  <si>
    <t>EC17/02-E
EC17/03-E
EC17/04-E</t>
  </si>
  <si>
    <t>Soldering Bit 1.2D
Soldering Bit Needle
Soldering Bit Spade
DE-soldering Cu Braid (Solder Wick)
De-Soldering Pump
Soldering Flux
Soldering Iron
Soldering Stand
Soldering Wire Lead/Tin
Soldering Mat
Heat Sink Compound</t>
  </si>
  <si>
    <t>SD04/01-E
SD04/02-E
SD04/03-E
SD01-E
SD02-E
SD05-E
SD07-E
SD09-E
SD10-E
SD08-E
LB03-E</t>
  </si>
  <si>
    <t>Capacitor 1 µF
Capacitor 2.2 µF</t>
  </si>
  <si>
    <t>EC05/05-E
EC05/09-E</t>
  </si>
  <si>
    <t>Capacitor 4.7 µF
Capacitor 10 µF</t>
  </si>
  <si>
    <t>EC05/14-E
EC05/06-E</t>
  </si>
  <si>
    <t>Capacitor 22 µF
Capacitor 47 µF</t>
  </si>
  <si>
    <t>EC05/10-E
EC05/16-E</t>
  </si>
  <si>
    <t>Capacitor 100 µF
Capacitor 220 µF</t>
  </si>
  <si>
    <t>EC05/07-E
EC05/11-E</t>
  </si>
  <si>
    <t>Capacitor 470 µF
Capacitor 1000 µF</t>
  </si>
  <si>
    <t>EC05/17-E
EC05/08-E</t>
  </si>
  <si>
    <t>micro Switch 
micro Switch (on-off)</t>
  </si>
  <si>
    <t>EC15/01-E
EC15/02-E</t>
  </si>
  <si>
    <t xml:space="preserve">LED Blue </t>
  </si>
  <si>
    <t>blank sticker (25 shells)</t>
  </si>
  <si>
    <t xml:space="preserve">BA05/03-E </t>
  </si>
  <si>
    <t>LED RGB</t>
  </si>
  <si>
    <t>EBR2</t>
  </si>
  <si>
    <t>micro Switch (on-off)</t>
  </si>
  <si>
    <t>DML2</t>
  </si>
  <si>
    <t>3D printer accessories
Laser cutter accessories</t>
  </si>
  <si>
    <t>DF03-D 
DF06-D</t>
  </si>
  <si>
    <t>DBL1</t>
  </si>
  <si>
    <t>Nakoda Everyday 1000</t>
  </si>
  <si>
    <t>MC2</t>
  </si>
  <si>
    <t>Power Extension Box</t>
  </si>
  <si>
    <t>MWB</t>
  </si>
  <si>
    <t>Lapel Mic
HDMI Cable
USB Multiconnector</t>
  </si>
  <si>
    <t>AV02-M
CC03-E
CC08-E</t>
  </si>
  <si>
    <t>DATA SHEETS</t>
  </si>
  <si>
    <t>SMART 22</t>
  </si>
  <si>
    <t>ML1</t>
  </si>
  <si>
    <t>CMR2</t>
  </si>
  <si>
    <t>SLIDER 22</t>
  </si>
  <si>
    <t>Stapler
Stapler Pin</t>
  </si>
  <si>
    <t>FS05/01-T
FS05/02-T</t>
  </si>
  <si>
    <t>CML2</t>
  </si>
  <si>
    <t>Binder Clip 15mm
Binder Clip 25mm
Binder Clip 51mm</t>
  </si>
  <si>
    <t>FS01/01-C
FS01/02-C
FS01/03-C</t>
  </si>
  <si>
    <t>Utility Knife Blades 18mm
Utility Knife Blades 9mm
Utility Knives 18mm
Utility Knives 9mm</t>
  </si>
  <si>
    <t>CT06/03-T
CT06/04-T
CT06/01-T
CT06/02-T</t>
  </si>
  <si>
    <t>CBL1</t>
  </si>
  <si>
    <t>Acrylic paint (B,W,R,B,Y,G)
Paint Brushes Set</t>
  </si>
  <si>
    <t>AT05-C
AT13-C</t>
  </si>
  <si>
    <t>6 paint bottle, 2 set brush</t>
  </si>
  <si>
    <t>Masking Tape - 18mm
Plastic Twine</t>
  </si>
  <si>
    <t>AT01/07-C
FS03-C</t>
  </si>
  <si>
    <t>SMART 44</t>
  </si>
  <si>
    <t>Fabric Glue
White Glue
Instant Adhesive
Air Dry Clay</t>
  </si>
  <si>
    <t>AT02-C
AT03-C
AT04-C
PM02/01-C</t>
  </si>
  <si>
    <t>Rubber Band 1.5 inch
Rubber Band 1/2 inch
Rubber Band 4 inch
Rubber Band 7 inch</t>
  </si>
  <si>
    <t>FS04/01-C
FS04/02-C
FS04/03-C
FS04/04-C</t>
  </si>
  <si>
    <t>CBR1</t>
  </si>
  <si>
    <t>Transparent Scale Ruler
Stainless Steel Ruler
Eraser
Mechanical Pencil - .5mm
Mechanical Pencil Lead - .5mm (HB)
Drawing Pencils (HB)
Whiteboard Marker</t>
  </si>
  <si>
    <t>AT17/01-C
AT17/02-C
AT11-C
AT12/01-C
AT12/02-C
AT09-C
AT20-C</t>
  </si>
  <si>
    <t>Utility Scissor 150mm
Utility Scissor 240mm</t>
  </si>
  <si>
    <t>CT07/01-T
CT07/02-T</t>
  </si>
  <si>
    <t>Polymer Clay
Clay Modelling Tools</t>
  </si>
  <si>
    <t>PM02/02-C
AT07-C</t>
  </si>
  <si>
    <t>4 in box, 1 in display</t>
  </si>
  <si>
    <t>Tailor Scissor 9 Inch
Tailors Tape</t>
  </si>
  <si>
    <t>CT07/03-T
HT21-T</t>
  </si>
  <si>
    <t xml:space="preserve">Tape - Transparent - 24 mm
Double side Tape - 18 mm </t>
  </si>
  <si>
    <t>AT01/03-C
AT01/05-C</t>
  </si>
  <si>
    <t>Adhesive Tape - Brown - 48mm
Adhesive Tape - Transparent - 48mm</t>
  </si>
  <si>
    <t>AT01/01-C
AT01/04-C</t>
  </si>
  <si>
    <t>kw222</t>
  </si>
  <si>
    <t>Cable Tie 100mm
Cable Tie 200mm
Cable Tie 300mm</t>
  </si>
  <si>
    <t>FS02/01-C
FS02/02-C
FS02/03-C</t>
  </si>
  <si>
    <t>Popsicle Sticks
Bamboo Skewers</t>
  </si>
  <si>
    <t>AT15-C
PM05-C</t>
  </si>
  <si>
    <t>Without Box</t>
  </si>
  <si>
    <t>shelf Code</t>
  </si>
  <si>
    <t>Plastic Syringe
Plastic Funnel
Filter Paper</t>
  </si>
  <si>
    <t>LA14-S
LA13-S
LA04-S</t>
  </si>
  <si>
    <t>SBL2</t>
  </si>
  <si>
    <t>Test Tube
Watch Glass</t>
  </si>
  <si>
    <t>LA18/01-S
LA20-S</t>
  </si>
  <si>
    <t>Microscope Cover Glass
Microscope Slides</t>
  </si>
  <si>
    <t>LA10/02-S
LA10/01-S</t>
  </si>
  <si>
    <t>STP</t>
  </si>
  <si>
    <t>STR1</t>
  </si>
  <si>
    <t>STR2</t>
  </si>
  <si>
    <t>Direct stickers</t>
  </si>
  <si>
    <t>No. of stickers</t>
  </si>
  <si>
    <t>CML2-KW222/1</t>
  </si>
  <si>
    <t>yes</t>
  </si>
  <si>
    <t>CML2-SM44/2</t>
  </si>
  <si>
    <t>TSL, ESL</t>
  </si>
  <si>
    <t>CMR2-SM44/1</t>
  </si>
  <si>
    <t>CML2-SL22/5</t>
  </si>
  <si>
    <t>CMR1-SL22/4, CMR1</t>
  </si>
  <si>
    <t>CMR1-SL22/4</t>
  </si>
  <si>
    <t>CMR1-SL11/2</t>
  </si>
  <si>
    <t>CML2-KW222/3</t>
  </si>
  <si>
    <t>CMR1-SL11/1</t>
  </si>
  <si>
    <t>CML2-FC</t>
  </si>
  <si>
    <t>ETR1-SL11/7</t>
  </si>
  <si>
    <t>ETR1-SM22/6</t>
  </si>
  <si>
    <t>EBR2-SM44/2</t>
  </si>
  <si>
    <t>ETR1-SL22/6</t>
  </si>
  <si>
    <t>CML1-SL22/3</t>
  </si>
  <si>
    <t>CML1-SL22/3, CMC-P</t>
  </si>
  <si>
    <t>CML1-SM22/2, CMC-P</t>
  </si>
  <si>
    <t>ETL1-SM22/2</t>
  </si>
  <si>
    <t>EBR2-SM44/2, ACO60(10,3)</t>
  </si>
  <si>
    <t>EBR2-SM44/2, ACO60(10,1)</t>
  </si>
  <si>
    <t>EBR2-SM44/2, ACO60(10,2)</t>
  </si>
  <si>
    <t>TML1</t>
  </si>
  <si>
    <t>STL2/FC</t>
  </si>
  <si>
    <t>SSL, SBL2</t>
  </si>
  <si>
    <t>food continer</t>
  </si>
  <si>
    <t>pot</t>
  </si>
  <si>
    <t>boxes</t>
  </si>
  <si>
    <t>total</t>
  </si>
  <si>
    <t>electronics</t>
  </si>
  <si>
    <t>media</t>
  </si>
  <si>
    <t>Digital fab</t>
  </si>
  <si>
    <t>craft</t>
  </si>
  <si>
    <t>science</t>
  </si>
  <si>
    <t>Tools</t>
  </si>
  <si>
    <t>used</t>
  </si>
  <si>
    <t>Remaiing</t>
  </si>
  <si>
    <t xml:space="preserve">sl11 </t>
  </si>
  <si>
    <t>sl22</t>
  </si>
  <si>
    <t>sm22</t>
  </si>
  <si>
    <t>sm44</t>
  </si>
  <si>
    <t>NE</t>
  </si>
  <si>
    <t>st12</t>
  </si>
  <si>
    <t>Cratus</t>
  </si>
  <si>
    <t>berth</t>
  </si>
  <si>
    <t>slat wall hook big</t>
  </si>
  <si>
    <t>slat wall hook  small</t>
  </si>
  <si>
    <t>J hook wall sticker</t>
  </si>
  <si>
    <t>Nail wall sticker</t>
  </si>
  <si>
    <t xml:space="preserve">double sided wall sticker </t>
  </si>
  <si>
    <t>Pot</t>
  </si>
  <si>
    <t>D. fabrication</t>
  </si>
  <si>
    <t>tools</t>
  </si>
  <si>
    <t>Craft</t>
  </si>
  <si>
    <t>Extra</t>
  </si>
  <si>
    <t>Beaker 250 mL</t>
  </si>
  <si>
    <t>Beaker 500 mL</t>
  </si>
  <si>
    <t xml:space="preserve">STL2 </t>
  </si>
  <si>
    <t>Measuring Jug set</t>
  </si>
  <si>
    <t>SBL3</t>
  </si>
  <si>
    <t>Steel Spatula</t>
  </si>
  <si>
    <t xml:space="preserve">1 Lab </t>
  </si>
  <si>
    <t>Small passive buzzer module KY-006</t>
  </si>
  <si>
    <t>2-color LED module KY-011</t>
  </si>
  <si>
    <t>Hit sensor module KY-031</t>
  </si>
  <si>
    <t>Vibration switch module KY-002</t>
  </si>
  <si>
    <t>Photo resistor module KY-018</t>
  </si>
  <si>
    <t>Key switch module KY-004</t>
  </si>
  <si>
    <t>Tilt switch module KY-020</t>
  </si>
  <si>
    <t>3-color full-color LED SMD modules KY-009</t>
  </si>
  <si>
    <t>Infrared emission sensor module KY-005</t>
  </si>
  <si>
    <t>3-color LED module KY-016</t>
  </si>
  <si>
    <t>Mercury open optical module KY-017</t>
  </si>
  <si>
    <t>2-color LED module 3MM KY-029</t>
  </si>
  <si>
    <t>Active buzzer module KY-012</t>
  </si>
  <si>
    <t>Temperature sensor module KY-013</t>
  </si>
  <si>
    <t>Automatic flashing colorful LED module KY-034</t>
  </si>
  <si>
    <t>Mini magnetic reed modules KY-021</t>
  </si>
  <si>
    <t>Hall magnetic sensor module KY-003</t>
  </si>
  <si>
    <t>Infrared sensor receiver module KY-022</t>
  </si>
  <si>
    <t>Class Bihor magnetic sensor KY-035</t>
  </si>
  <si>
    <t>Magic light cup module KY-027</t>
  </si>
  <si>
    <t>Rotary encoder module KY-040</t>
  </si>
  <si>
    <t>Optical broken module KY-010</t>
  </si>
  <si>
    <t>Detect the heartbeat module KY-039</t>
  </si>
  <si>
    <t>Reed module KY-025</t>
  </si>
  <si>
    <t>Obstacle avoidance sensor module KY-032</t>
  </si>
  <si>
    <t>Tracking sensor module KY-033</t>
  </si>
  <si>
    <t>Microphone sound sensor module KY-038</t>
  </si>
  <si>
    <t>Laser sensor module KY-008</t>
  </si>
  <si>
    <t>5V relay module KY-019</t>
  </si>
  <si>
    <t>Temperature sensor module KY-001</t>
  </si>
  <si>
    <t>Temperature sensor module KY-028</t>
  </si>
  <si>
    <t>Linear magnetic Hall sensors KY-024</t>
  </si>
  <si>
    <t>Flame sensor module KY-026</t>
  </si>
  <si>
    <t>Sensitive microphone sensor module KY-037</t>
  </si>
  <si>
    <t>Temperature and humidity sensor module KY-015</t>
  </si>
  <si>
    <t>XY-axis joystick module KY-023</t>
  </si>
  <si>
    <t>Metal touch sensor module KY-036</t>
  </si>
  <si>
    <t>PS2 Game JoyStick Module</t>
  </si>
  <si>
    <t>1 Channel Relay 5V</t>
  </si>
  <si>
    <t>Sound Sensor Module</t>
  </si>
  <si>
    <t>Small Microphone Sound Sensor Module</t>
  </si>
  <si>
    <t>TCRT5000 Tracking Module</t>
  </si>
  <si>
    <t>IR Obstacle Avoidance Sensor Module</t>
  </si>
  <si>
    <t>The Flame Sensor Module</t>
  </si>
  <si>
    <t>Linear Magnetic Hall sensor</t>
  </si>
  <si>
    <t>Touch Module</t>
  </si>
  <si>
    <t>Digital Temperature Module</t>
  </si>
  <si>
    <t>Active Buzzer Module</t>
  </si>
  <si>
    <t>Passive Buzzer Module</t>
  </si>
  <si>
    <t>DIP 3 Color LED Module</t>
  </si>
  <si>
    <t>SMD 3 Color LED Module</t>
  </si>
  <si>
    <t>5mm Two-Color LED Module</t>
  </si>
  <si>
    <t>3mm Two-Color LED Module</t>
  </si>
  <si>
    <t>Dry Reed Pipe Module</t>
  </si>
  <si>
    <t>Mini Dry Reed Pipe Module</t>
  </si>
  <si>
    <t>Finger Detecting Heartbeat Module</t>
  </si>
  <si>
    <t>7 Color Flashing LED Module</t>
  </si>
  <si>
    <t>Laser Module</t>
  </si>
  <si>
    <t>Tactile Switch Module</t>
  </si>
  <si>
    <t>Vibration Switch Module</t>
  </si>
  <si>
    <t>Blue Rotary Encoder Module for Arduino with Demo Code</t>
  </si>
  <si>
    <t>Magic Cup Light Module</t>
  </si>
  <si>
    <t>Mercury Medallion Module</t>
  </si>
  <si>
    <t>Tilt Switch Module</t>
  </si>
  <si>
    <t>Photosensitive Resistor Sensor Module</t>
  </si>
  <si>
    <t>DHT11 Temperature and Humidity Sensor Module</t>
  </si>
  <si>
    <t>Hall Magnetic Sensor Module</t>
  </si>
  <si>
    <t>DS18B20 Temperature Sensor Module</t>
  </si>
  <si>
    <t>Analog Temperature Module</t>
  </si>
  <si>
    <t>Infrared Transmit Sensor Module</t>
  </si>
  <si>
    <t>Infrared Receiver Module for Arduino</t>
  </si>
  <si>
    <t>The Knock Sensor Module</t>
  </si>
  <si>
    <t>Broken Light Module</t>
  </si>
  <si>
    <r>
      <rPr>
        <rFont val="Calibri"/>
        <color theme="1"/>
        <sz val="11.0"/>
      </rPr>
      <t>36 Grid Box, Size: 27.5</t>
    </r>
    <r>
      <rPr>
        <rFont val="Calibri"/>
        <i/>
        <color theme="1"/>
        <sz val="11.0"/>
      </rPr>
      <t>17.5</t>
    </r>
    <r>
      <rPr>
        <rFont val="Calibri"/>
        <color theme="1"/>
        <sz val="11.0"/>
      </rPr>
      <t>4.3cm</t>
    </r>
  </si>
  <si>
    <t>CH001</t>
  </si>
  <si>
    <t>Activated charcoal</t>
  </si>
  <si>
    <t>Chemicals</t>
  </si>
  <si>
    <t>500g</t>
  </si>
  <si>
    <t xml:space="preserve">Chemical storage </t>
  </si>
  <si>
    <t>CH002</t>
  </si>
  <si>
    <t>Aluminium potassium sulphate</t>
  </si>
  <si>
    <t>CH003</t>
  </si>
  <si>
    <t>Ammonium dihydrogen phosphate</t>
  </si>
  <si>
    <t>1Kg</t>
  </si>
  <si>
    <t>CH004</t>
  </si>
  <si>
    <t>Bleaching powder</t>
  </si>
  <si>
    <t>CH005</t>
  </si>
  <si>
    <t>Borax</t>
  </si>
  <si>
    <t>CH006</t>
  </si>
  <si>
    <t>Calcium chloride</t>
  </si>
  <si>
    <t>CH007</t>
  </si>
  <si>
    <t>Citric acid</t>
  </si>
  <si>
    <t>500 gm</t>
  </si>
  <si>
    <t>CH008</t>
  </si>
  <si>
    <t>Copper sulphate</t>
  </si>
  <si>
    <t>CH009</t>
  </si>
  <si>
    <t>Corn Starch – Powdered</t>
  </si>
  <si>
    <t>1kg</t>
  </si>
  <si>
    <t>CH010</t>
  </si>
  <si>
    <t>Dishwash making kit</t>
  </si>
  <si>
    <t>5 set each</t>
  </si>
  <si>
    <t>CH011</t>
  </si>
  <si>
    <t>DM Water</t>
  </si>
  <si>
    <t>Deionised water 5L</t>
  </si>
  <si>
    <t>CH012</t>
  </si>
  <si>
    <t>Gelatine powder</t>
  </si>
  <si>
    <t>CH013</t>
  </si>
  <si>
    <t>Glycerine</t>
  </si>
  <si>
    <t>CH014</t>
  </si>
  <si>
    <t>Handwash making kit</t>
  </si>
  <si>
    <t>4 set each</t>
  </si>
  <si>
    <t>CH015</t>
  </si>
  <si>
    <t>Isopropyl alcohol</t>
  </si>
  <si>
    <t>CH016</t>
  </si>
  <si>
    <t>Liquid soap</t>
  </si>
  <si>
    <t>5 liter</t>
  </si>
  <si>
    <t>CH017</t>
  </si>
  <si>
    <t>Methylene blue</t>
  </si>
  <si>
    <t>125ml</t>
  </si>
  <si>
    <t>CH018</t>
  </si>
  <si>
    <t>Plaster of paris</t>
  </si>
  <si>
    <t>CH019</t>
  </si>
  <si>
    <t>Safranin</t>
  </si>
  <si>
    <t>CH020</t>
  </si>
  <si>
    <t>Silica gel white coarse</t>
  </si>
  <si>
    <t>500 gm / (3 - 8 mesh)</t>
  </si>
  <si>
    <t>CH021</t>
  </si>
  <si>
    <t>Soap making kit</t>
  </si>
  <si>
    <t>3 set each</t>
  </si>
  <si>
    <t>CH022</t>
  </si>
  <si>
    <t>Sodium bicarbonate</t>
  </si>
  <si>
    <t>CH023</t>
  </si>
  <si>
    <t>Sodium hydroxide (pellet)</t>
  </si>
  <si>
    <t>CH024</t>
  </si>
  <si>
    <t>Soil testing kit</t>
  </si>
  <si>
    <t>For the estimation of N,P,K &amp; pH</t>
  </si>
  <si>
    <t>CH025</t>
  </si>
  <si>
    <t>Table salt</t>
  </si>
  <si>
    <t>CH026</t>
  </si>
  <si>
    <t>Universal indicator solution</t>
  </si>
  <si>
    <t>125 ml</t>
  </si>
  <si>
    <t>CH027</t>
  </si>
  <si>
    <t>Vinegar</t>
  </si>
  <si>
    <t>1L</t>
  </si>
  <si>
    <t>CH028</t>
  </si>
  <si>
    <t>Water test kit</t>
  </si>
  <si>
    <t>1 Set, 100 samples minimum</t>
  </si>
  <si>
    <t>SU002/1</t>
  </si>
  <si>
    <t>Bag clip 2.4 inch</t>
  </si>
  <si>
    <t>Supplies</t>
  </si>
  <si>
    <t>Bag sealer cliip, plastic material 2.4 inch</t>
  </si>
  <si>
    <t>SU002/2</t>
  </si>
  <si>
    <t>Bag clip 4 inch</t>
  </si>
  <si>
    <t>Bag sealer cliip, plastic material 4 inch</t>
  </si>
  <si>
    <t>SU005</t>
  </si>
  <si>
    <t>Board Pin</t>
  </si>
  <si>
    <t>100 Piece set</t>
  </si>
  <si>
    <t>SU009</t>
  </si>
  <si>
    <t>Cotton thread</t>
  </si>
  <si>
    <t>20m spool of thick strings various colour</t>
  </si>
  <si>
    <t>EC060/1</t>
  </si>
  <si>
    <t>Voltage Regulator IC 7805</t>
  </si>
  <si>
    <t>IC No: KA7805
Maximum input Voltage : 35V
Output Current up to 1A
Output Voltages of 5V
Thermal Overload Protection
Short Circuit Protection</t>
  </si>
  <si>
    <t>Electronics station-Alkon small</t>
  </si>
  <si>
    <t>EC060/2</t>
  </si>
  <si>
    <t>Voltage Regulator IC 7809</t>
  </si>
  <si>
    <t>IC No: KA7805
Maximum input Voltage : 35V
Output Current up to 1A
Output Voltages of 9V
Thermal Overload Protection
Short Circuit Protection</t>
  </si>
  <si>
    <t>EC060/3</t>
  </si>
  <si>
    <t>Voltage Regulator IC 7812</t>
  </si>
  <si>
    <t>IC No: KA7812
Maximum input Voltage : 35V
Output Current up to 1A
Output Voltages of 12V
Thermal Overload Protection
Short Circuit Protection</t>
  </si>
  <si>
    <t>EC002</t>
  </si>
  <si>
    <t>7-Segment display</t>
  </si>
  <si>
    <t>TM1637
LED 4-Digit Display Module,</t>
  </si>
  <si>
    <t>EC004/2</t>
  </si>
  <si>
    <t>Adapters-5V</t>
  </si>
  <si>
    <t>DC SMPS Adapter with 5V, 2A</t>
  </si>
  <si>
    <t>EC021</t>
  </si>
  <si>
    <t>Booster module</t>
  </si>
  <si>
    <t xml:space="preserve">Model :LM2596S
Type: DC-DC Buck Converter
Input voltage: 3-40V
Output voltage: 1.5-35V(Adjustable)
Output current: Rated current is 2A, maximum 3A
Switching Frequency: 150KHz
Operating temperature:Industrial grade (-40 to +85 )
Conversion efficiency: 92%(highest)
</t>
  </si>
  <si>
    <t>EC059</t>
  </si>
  <si>
    <t>LED Matrix Module</t>
  </si>
  <si>
    <t>Driver Chip: MAX7219
Type: 8X8 Matrix
Input Voltage: 3.7 to 5.3 V
Input Current: 320 mA
Display Dimensions: 32x32x6 (LxWxH) mm
PCD Dimensions: 50×32 (LxW) mm</t>
  </si>
  <si>
    <t>EC064</t>
  </si>
  <si>
    <t>SD card Reader</t>
  </si>
  <si>
    <t xml:space="preserve">SD Card Type : Micro 
Model: C286.
USB Card Reader.
Interface: USB2.0.
Reader Type: USB Flash Drive.
Supported Memory Cards: Micro SD/HC.
</t>
  </si>
  <si>
    <t>MA001</t>
  </si>
  <si>
    <t>A4 Bundle</t>
  </si>
  <si>
    <t>Materials</t>
  </si>
  <si>
    <t>A4 75 gsm Printer Paper bundle</t>
  </si>
  <si>
    <t>SU008/5</t>
  </si>
  <si>
    <t>Color Masking Tape</t>
  </si>
  <si>
    <t>1 inch x 20 Meters, various colors</t>
  </si>
  <si>
    <t>EC057/2</t>
  </si>
  <si>
    <t>LED driver</t>
  </si>
  <si>
    <t>Voltage :12V-24V 
Current :8A 
Type: Adjustable Dimmer Switch For Single LED Strip</t>
  </si>
  <si>
    <t>EC058</t>
  </si>
  <si>
    <t>LED strip</t>
  </si>
  <si>
    <t>Voltage :24V 
Type: Cold White 5050 SMD LED Strip
Length : 5Meter</t>
  </si>
  <si>
    <t>EC079</t>
  </si>
  <si>
    <t>Relay Module</t>
  </si>
  <si>
    <t xml:space="preserve">DC operating Voltage : 5V
Channel : 2
AC Output Voltage : 250V
AC Output Current : 10A
Max DC voltage : 30V 
Max DC current : 10A
Switching : 8550 transistor-driven
</t>
  </si>
  <si>
    <t>EC033/1</t>
  </si>
  <si>
    <t>DC Toy Fan Blade</t>
  </si>
  <si>
    <t>Material : plastic 
No of leaf : 4
Diameter : 7cm</t>
  </si>
  <si>
    <t>Electronics station-Alkon big</t>
  </si>
  <si>
    <t>MA014</t>
  </si>
  <si>
    <t>Paper Cups</t>
  </si>
  <si>
    <t>Size: 90ml or Available size, Quantity: pack of 100</t>
  </si>
  <si>
    <t>MA015</t>
  </si>
  <si>
    <t>Paper Straws</t>
  </si>
  <si>
    <t>Size: Available size
Quantity: pack of 100</t>
  </si>
  <si>
    <t>SU027</t>
  </si>
  <si>
    <t>Velcrow</t>
  </si>
  <si>
    <t>width 1 inch, hook and loop set, 10 meter length</t>
  </si>
  <si>
    <t>SU013</t>
  </si>
  <si>
    <t>Jute Rope</t>
  </si>
  <si>
    <t>2 Ply 100 m Jute Rope for Craft Decoration.</t>
  </si>
  <si>
    <t>Fabric marker</t>
  </si>
  <si>
    <t>3D scanner</t>
  </si>
  <si>
    <t>Electronic Devices</t>
  </si>
  <si>
    <t>Rapid prototyping station</t>
  </si>
  <si>
    <t>Sewing pattern</t>
  </si>
  <si>
    <t>Fume hood</t>
  </si>
  <si>
    <t>Lab Apparatus</t>
  </si>
  <si>
    <t>Science lab storage</t>
  </si>
  <si>
    <t>Digital Spectrometer</t>
  </si>
  <si>
    <t>TS030/1</t>
  </si>
  <si>
    <t>Rivet Gun</t>
  </si>
  <si>
    <t>Dia: 3.2,4.0,4.8 mm</t>
  </si>
  <si>
    <t>Tools display</t>
  </si>
  <si>
    <t>stanley</t>
  </si>
  <si>
    <t>Wire crimper</t>
  </si>
  <si>
    <t>TS030/2</t>
  </si>
  <si>
    <t xml:space="preserve">Rivets </t>
  </si>
  <si>
    <t>Assortment set, pack pof 100</t>
  </si>
  <si>
    <t>LA014</t>
  </si>
  <si>
    <t>Portable pH meter</t>
  </si>
  <si>
    <t>0.01 Accuracy Pocket Size with 0-14 PH Testing Range</t>
  </si>
  <si>
    <t>Science lab</t>
  </si>
  <si>
    <t>ED016</t>
  </si>
  <si>
    <t>Laser Printer</t>
  </si>
  <si>
    <t>Laser black &amp; white</t>
  </si>
  <si>
    <t>ED009</t>
  </si>
  <si>
    <t>Diy mini plotter kit</t>
  </si>
  <si>
    <t>Dimensions 61.5 × 42.5 × 13.5 cm</t>
  </si>
  <si>
    <t>Electronics station</t>
  </si>
  <si>
    <t>SU029/1</t>
  </si>
  <si>
    <t>Ziploc pouch 10X8</t>
  </si>
  <si>
    <t>10X8 inch pack of 100</t>
  </si>
  <si>
    <t>SU029/2</t>
  </si>
  <si>
    <t>Ziploc pouch 3x4</t>
  </si>
  <si>
    <t>3x4 inch pack of 101</t>
  </si>
  <si>
    <t>TS023</t>
  </si>
  <si>
    <t>Trigger clamp</t>
  </si>
  <si>
    <t>Size: 150mm</t>
  </si>
  <si>
    <t>Tools Display</t>
  </si>
  <si>
    <t>Electronics</t>
  </si>
  <si>
    <t>cctv camera</t>
  </si>
  <si>
    <t>wifi router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</si>
  <si>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</si>
  <si>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</si>
  <si>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</si>
  <si>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</si>
  <si>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</si>
  <si>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</si>
  <si>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</si>
  <si>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</si>
  <si>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</si>
  <si>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</si>
  <si>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</si>
  <si>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</si>
  <si>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</si>
  <si>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</si>
  <si>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s29</t>
  </si>
  <si>
    <t>Beaker 250 ML</t>
  </si>
  <si>
    <t>Check</t>
  </si>
  <si>
    <t>Adhesive and Tapes</t>
  </si>
  <si>
    <t>AT</t>
  </si>
  <si>
    <t>AC</t>
  </si>
  <si>
    <t>AV</t>
  </si>
  <si>
    <t>BA</t>
  </si>
  <si>
    <t>CC</t>
  </si>
  <si>
    <t>CS</t>
  </si>
  <si>
    <t>CT</t>
  </si>
  <si>
    <t>DB</t>
  </si>
  <si>
    <t>DF</t>
  </si>
  <si>
    <t>EC</t>
  </si>
  <si>
    <t>EM</t>
  </si>
  <si>
    <t>ES</t>
  </si>
  <si>
    <t>FS</t>
  </si>
  <si>
    <t>HT</t>
  </si>
  <si>
    <t>LA</t>
  </si>
  <si>
    <t>LI</t>
  </si>
  <si>
    <t>LB</t>
  </si>
  <si>
    <t>MW</t>
  </si>
  <si>
    <t>PB</t>
  </si>
  <si>
    <t>PM</t>
  </si>
  <si>
    <t>SY</t>
  </si>
  <si>
    <t>SM</t>
  </si>
  <si>
    <t>SW</t>
  </si>
  <si>
    <t>SD</t>
  </si>
  <si>
    <t>vinyl cutter</t>
  </si>
  <si>
    <t xml:space="preserve">        </t>
  </si>
  <si>
    <t>EC083</t>
  </si>
  <si>
    <t>Pen drive</t>
  </si>
  <si>
    <t>16GB, USB 3.0</t>
  </si>
  <si>
    <t>Electronics Storage Boxes</t>
  </si>
  <si>
    <t>E-</t>
  </si>
  <si>
    <t>Linear bearing rod</t>
  </si>
  <si>
    <t>M8 x 350mm, Y axis</t>
  </si>
  <si>
    <t>LM8UU</t>
  </si>
  <si>
    <t>Linear bearings</t>
  </si>
  <si>
    <t>M3 x 80mm, Z Axis</t>
  </si>
  <si>
    <t>Linear rod</t>
  </si>
  <si>
    <t>7.5'' Spark Detecting 2-in-1 Screwdriver 5mm 100-500V AC</t>
  </si>
  <si>
    <t>Threaded rod</t>
  </si>
  <si>
    <t>Belt</t>
  </si>
  <si>
    <t>Cast iron benchwise with 4 inch jaw opening</t>
  </si>
  <si>
    <t>Nuts</t>
  </si>
  <si>
    <t>A4 size - pack of 100 pc</t>
  </si>
  <si>
    <t>Pulley</t>
  </si>
  <si>
    <t>LED peak wavelength: 660nm/880nm
LED power supply voltage: 3.3~5V
Detection signal type: light reflection signal (PPG)
Output signal interface: I2C interface
Communication interface voltage: 1.8~3.3V~5V (optional)
Board reserved assembly hole size: 0.5 x 8.5mm</t>
  </si>
  <si>
    <t>No</t>
  </si>
  <si>
    <t>Name</t>
  </si>
  <si>
    <t>Zone</t>
  </si>
  <si>
    <t>Column1</t>
  </si>
  <si>
    <t>Column2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</si>
  <si>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</si>
  <si>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</si>
  <si>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</si>
  <si>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</si>
  <si>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</si>
  <si>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</si>
  <si>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</si>
  <si>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</si>
  <si>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</t>
  </si>
  <si>
    <t>Box 10</t>
  </si>
  <si>
    <t>Box 11</t>
  </si>
  <si>
    <t>EC109</t>
  </si>
  <si>
    <t>Airtight</t>
  </si>
  <si>
    <t>EC001</t>
  </si>
  <si>
    <t>360 servo motor</t>
  </si>
  <si>
    <t>EC003</t>
  </si>
  <si>
    <t>Active buzzer</t>
  </si>
  <si>
    <t>EC004/1</t>
  </si>
  <si>
    <t>EC005</t>
  </si>
  <si>
    <t>Air quality sensor</t>
  </si>
  <si>
    <t>Electronics-Sensor kit</t>
  </si>
  <si>
    <t>EC006</t>
  </si>
  <si>
    <t xml:space="preserve">Alligator connectors </t>
  </si>
  <si>
    <t>EC007</t>
  </si>
  <si>
    <t>EC008</t>
  </si>
  <si>
    <t>Arduino nano</t>
  </si>
  <si>
    <t>EC009</t>
  </si>
  <si>
    <t>Arduino nano shield</t>
  </si>
  <si>
    <t>EC010</t>
  </si>
  <si>
    <t>Arduino uno</t>
  </si>
  <si>
    <t>EC011</t>
  </si>
  <si>
    <t>Arduino uno shield</t>
  </si>
  <si>
    <t>EC013</t>
  </si>
  <si>
    <t>EC014</t>
  </si>
  <si>
    <t>EC015</t>
  </si>
  <si>
    <t>EC016/1</t>
  </si>
  <si>
    <t>EC016/2</t>
  </si>
  <si>
    <t>EC016/3</t>
  </si>
  <si>
    <t>EC019</t>
  </si>
  <si>
    <t>EC020/1</t>
  </si>
  <si>
    <t>EC020/2</t>
  </si>
  <si>
    <t>EC020/3</t>
  </si>
  <si>
    <t>BO1 robotic Wheel</t>
  </si>
  <si>
    <t>EC022/1</t>
  </si>
  <si>
    <t>Mb102 Bread Board
830 Solder-less Points
Size : 5.5 cm x 16.5cm
Phosphor bronze nickel plated spring clips.
Accept a variety of wire sizes 20-29AWG</t>
  </si>
  <si>
    <t>EC022/2</t>
  </si>
  <si>
    <t>EC023</t>
  </si>
  <si>
    <t>EC024/1</t>
  </si>
  <si>
    <t>EC024/2</t>
  </si>
  <si>
    <t>EC024/3</t>
  </si>
  <si>
    <t>EC025</t>
  </si>
  <si>
    <t>EC027/3</t>
  </si>
  <si>
    <t>EC027/4</t>
  </si>
  <si>
    <t>EC027/5</t>
  </si>
  <si>
    <t>EC027/1</t>
  </si>
  <si>
    <t>EC027/6</t>
  </si>
  <si>
    <t>EC027/7</t>
  </si>
  <si>
    <t>EC027/8</t>
  </si>
  <si>
    <t>EC027/9</t>
  </si>
  <si>
    <t>EC027/10</t>
  </si>
  <si>
    <t>EC027/11</t>
  </si>
  <si>
    <t>EC027/12</t>
  </si>
  <si>
    <t>EC027/2</t>
  </si>
  <si>
    <t>EC027/13</t>
  </si>
  <si>
    <t>EC027/15</t>
  </si>
  <si>
    <t>EC027/14</t>
  </si>
  <si>
    <t>EC027/16</t>
  </si>
  <si>
    <t>EC027/17</t>
  </si>
  <si>
    <t>EC028</t>
  </si>
  <si>
    <t>Castor wheel</t>
  </si>
  <si>
    <t>EC030</t>
  </si>
  <si>
    <t>Counter IC</t>
  </si>
  <si>
    <t>EC031</t>
  </si>
  <si>
    <t>EC032</t>
  </si>
  <si>
    <t>DC power jack</t>
  </si>
  <si>
    <t>EC033/2</t>
  </si>
  <si>
    <t>Dc toy motor</t>
  </si>
  <si>
    <t>EC034</t>
  </si>
  <si>
    <t>Electronics storage-soldering kit</t>
  </si>
  <si>
    <t>EC035</t>
  </si>
  <si>
    <t>EC036/1</t>
  </si>
  <si>
    <t>EC036/2</t>
  </si>
  <si>
    <t>EC037</t>
  </si>
  <si>
    <t>EC038</t>
  </si>
  <si>
    <t>EC039</t>
  </si>
  <si>
    <t>EC040</t>
  </si>
  <si>
    <t>EC044/1</t>
  </si>
  <si>
    <t>EC044/2</t>
  </si>
  <si>
    <t>EC044/3</t>
  </si>
  <si>
    <t>EC044/4</t>
  </si>
  <si>
    <t>EC045</t>
  </si>
  <si>
    <t>EC046/1</t>
  </si>
  <si>
    <t>EC046/2</t>
  </si>
  <si>
    <t>EC046/3</t>
  </si>
  <si>
    <t>EC046/4</t>
  </si>
  <si>
    <t>EC046/5</t>
  </si>
  <si>
    <t>EC049</t>
  </si>
  <si>
    <t>IR Obstacle avoidance module</t>
  </si>
  <si>
    <t>Mode : Active Low
Type : Obstacle avoider module
Detection distance: 2 ~ 30cm
Detection angle: 35 °
Comparator chip: LM393
3mm screw holes for easy mounting</t>
  </si>
  <si>
    <t>EC051/1</t>
  </si>
  <si>
    <t>EC051/2</t>
  </si>
  <si>
    <t>EC051/3</t>
  </si>
  <si>
    <t>EC055</t>
  </si>
  <si>
    <t>EC057/1</t>
  </si>
  <si>
    <t>EC057/3</t>
  </si>
  <si>
    <t>EC057/4</t>
  </si>
  <si>
    <t>EC057/5</t>
  </si>
  <si>
    <t>Color : White
Size : 5mm
Wavelength : 556nm
Forward voltage : 3-5v
Forward current : 20mA</t>
  </si>
  <si>
    <t>EC057/6</t>
  </si>
  <si>
    <t>EC063</t>
  </si>
  <si>
    <t>EC065</t>
  </si>
  <si>
    <t>EC066</t>
  </si>
  <si>
    <t>EC054</t>
  </si>
  <si>
    <t>EC067/1</t>
  </si>
  <si>
    <t>EC067/2</t>
  </si>
  <si>
    <t>EC053</t>
  </si>
  <si>
    <t>EC068</t>
  </si>
  <si>
    <t>EC069</t>
  </si>
  <si>
    <t>EC070</t>
  </si>
  <si>
    <t>EC071/1</t>
  </si>
  <si>
    <t>EC071/2</t>
  </si>
  <si>
    <t>EC071/3</t>
  </si>
  <si>
    <t>EC071/4</t>
  </si>
  <si>
    <t>EC072</t>
  </si>
  <si>
    <t>EC076</t>
  </si>
  <si>
    <t>EC077</t>
  </si>
  <si>
    <t>EC078</t>
  </si>
  <si>
    <t>EC017</t>
  </si>
  <si>
    <t>EC018</t>
  </si>
  <si>
    <t>EC080/2</t>
  </si>
  <si>
    <t>EC080/1</t>
  </si>
  <si>
    <t>EC080/3</t>
  </si>
  <si>
    <t>EC080/40</t>
  </si>
  <si>
    <t>EC080/41</t>
  </si>
  <si>
    <t>EC080/37</t>
  </si>
  <si>
    <t>EC080/4</t>
  </si>
  <si>
    <t>EC080/38</t>
  </si>
  <si>
    <t>EC080/26</t>
  </si>
  <si>
    <t>EC080/28</t>
  </si>
  <si>
    <t>EC080/25</t>
  </si>
  <si>
    <t>EC080/27</t>
  </si>
  <si>
    <t>EC080/5</t>
  </si>
  <si>
    <t>EC080/18</t>
  </si>
  <si>
    <t>EC080/20</t>
  </si>
  <si>
    <t>EC080/17</t>
  </si>
  <si>
    <t>EC080/19</t>
  </si>
  <si>
    <t>EC080/30</t>
  </si>
  <si>
    <t>EC080/32</t>
  </si>
  <si>
    <t>EC080/29</t>
  </si>
  <si>
    <t>EC080/31</t>
  </si>
  <si>
    <t>EC080/39</t>
  </si>
  <si>
    <t>EC080/22</t>
  </si>
  <si>
    <t>EC080/24</t>
  </si>
  <si>
    <t>EC080/21</t>
  </si>
  <si>
    <t>EC080/23</t>
  </si>
  <si>
    <t>EC080/42</t>
  </si>
  <si>
    <t>EC080/34</t>
  </si>
  <si>
    <t>EC080/36</t>
  </si>
  <si>
    <t>EC080/33</t>
  </si>
  <si>
    <t>EC080/35</t>
  </si>
  <si>
    <t>EC080/14</t>
  </si>
  <si>
    <t>EC080/16</t>
  </si>
  <si>
    <t>EC080/13</t>
  </si>
  <si>
    <t>EC080/15</t>
  </si>
  <si>
    <t>EC080/6</t>
  </si>
  <si>
    <t>EC080/8</t>
  </si>
  <si>
    <t>EC080/7</t>
  </si>
  <si>
    <t>EC080/10</t>
  </si>
  <si>
    <t>EC080/12</t>
  </si>
  <si>
    <t>EC080/9</t>
  </si>
  <si>
    <t>EC080/11</t>
  </si>
  <si>
    <t>EC082</t>
  </si>
  <si>
    <t>EC057/7</t>
  </si>
  <si>
    <t>RGB LEDs</t>
  </si>
  <si>
    <t>EC084</t>
  </si>
  <si>
    <t>Servo motor</t>
  </si>
  <si>
    <t>EC085</t>
  </si>
  <si>
    <t>EC086</t>
  </si>
  <si>
    <t>EC087</t>
  </si>
  <si>
    <t>Soil Moisture Sensor module</t>
  </si>
  <si>
    <t>EC088</t>
  </si>
  <si>
    <t>EC089/1</t>
  </si>
  <si>
    <t>EC089/2</t>
  </si>
  <si>
    <t>EC091</t>
  </si>
  <si>
    <t>EC095</t>
  </si>
  <si>
    <t>EC096</t>
  </si>
  <si>
    <t>EC098</t>
  </si>
  <si>
    <t>EC099</t>
  </si>
  <si>
    <t>EC012</t>
  </si>
  <si>
    <t>EC100/1</t>
  </si>
  <si>
    <t>EC100/2</t>
  </si>
  <si>
    <t>EC100/3</t>
  </si>
  <si>
    <t>EC100/4</t>
  </si>
  <si>
    <t>EC100/5</t>
  </si>
  <si>
    <t>EC101</t>
  </si>
  <si>
    <t>Temp &amp; humidity sensor module</t>
  </si>
  <si>
    <t>EC102</t>
  </si>
  <si>
    <t>Temperature Sensor</t>
  </si>
  <si>
    <t>EC103</t>
  </si>
  <si>
    <t>EC104</t>
  </si>
  <si>
    <t>EC105/1</t>
  </si>
  <si>
    <t>EC105/2</t>
  </si>
  <si>
    <t>EC105/3</t>
  </si>
  <si>
    <t>EC105/4</t>
  </si>
  <si>
    <t>EC105/5</t>
  </si>
  <si>
    <t>EC105/6</t>
  </si>
  <si>
    <t>EC106/1</t>
  </si>
  <si>
    <t>EC106/2</t>
  </si>
  <si>
    <t>EC106/3</t>
  </si>
  <si>
    <t>EC108</t>
  </si>
  <si>
    <t>EC110/1</t>
  </si>
  <si>
    <t>EC110/2</t>
  </si>
  <si>
    <t>EC110/3</t>
  </si>
  <si>
    <t>EC111</t>
  </si>
  <si>
    <t>EC113</t>
  </si>
  <si>
    <t>EC026</t>
  </si>
  <si>
    <t>EC029</t>
  </si>
  <si>
    <t>Color sensor</t>
  </si>
  <si>
    <t>Model : TCS34725 Color Sensor RGB Module
Operating Voltage: 3.3V
Supply Voltage: 3.3V-5V</t>
  </si>
  <si>
    <t>EC041</t>
  </si>
  <si>
    <t>EC042</t>
  </si>
  <si>
    <t>EC043</t>
  </si>
  <si>
    <t>EC047</t>
  </si>
  <si>
    <t>IR Reciever Sensor module</t>
  </si>
  <si>
    <t>EC048</t>
  </si>
  <si>
    <t>IR Sensors Array module</t>
  </si>
  <si>
    <t>EC050</t>
  </si>
  <si>
    <t>EC052</t>
  </si>
  <si>
    <t>EC056</t>
  </si>
  <si>
    <t>EC061</t>
  </si>
  <si>
    <t>EC062</t>
  </si>
  <si>
    <t>Magnetometer sensor</t>
  </si>
  <si>
    <t>EC074</t>
  </si>
  <si>
    <t>Pulse Oxymeter Heart rate sensor</t>
  </si>
  <si>
    <t>EC075</t>
  </si>
  <si>
    <t>EC081</t>
  </si>
  <si>
    <t>EC097</t>
  </si>
  <si>
    <t>Sound Playback Module</t>
  </si>
  <si>
    <t>EC107</t>
  </si>
  <si>
    <t>Triple Axis accelerometer</t>
  </si>
  <si>
    <t>EC112</t>
  </si>
  <si>
    <t>Name-1</t>
  </si>
  <si>
    <t>Name-2</t>
  </si>
  <si>
    <t>Comments</t>
  </si>
  <si>
    <t>18650 BATTERY CHARGER</t>
  </si>
  <si>
    <t>□</t>
  </si>
  <si>
    <t>BUZZER MINI 5V IMP</t>
  </si>
  <si>
    <t>12V 2A SMPS ADAPTER ALIVE</t>
  </si>
  <si>
    <t>MQ-135 GAS SENSOR MODULE(ADIY)</t>
  </si>
  <si>
    <t>ALLIGATOR CLIPS WITH WIRE (PACK OF 10)</t>
  </si>
  <si>
    <t>AUDIO AMPLIFIER MODULE LM 386</t>
  </si>
  <si>
    <t>ARDUINO NANO SOLDERED V8 PORT (ADIY)</t>
  </si>
  <si>
    <t>ARDUINO NANO EXPANSION SHIELD</t>
  </si>
  <si>
    <t>ARDUINO UNO R3 SMD</t>
  </si>
  <si>
    <t>ARDUINO UNO + ESP 32 DEVELOPMENT BOARD</t>
  </si>
  <si>
    <t>9V CHARGER KENSONIC POWER ADAPTER</t>
  </si>
  <si>
    <t>BATTERY SNAP 9V</t>
  </si>
  <si>
    <t>BATTERY SNAP WITH DC PIN (9V)</t>
  </si>
  <si>
    <t>2 CELL HOLDER 18650 WITH COVER</t>
  </si>
  <si>
    <t>2 CELL HOLDER AA WITH COVER + SWITCH</t>
  </si>
  <si>
    <t>4 CELL HOLDER AA FLAT TYPE</t>
  </si>
  <si>
    <t>BLUETOOTH MODULE W/PIN HC 05</t>
  </si>
  <si>
    <t>MOTOR BO1 200RPM</t>
  </si>
  <si>
    <t>MOTOR BO1 60RPM SINGLE SHAFT</t>
  </si>
  <si>
    <t>BO WHEEL BIG</t>
  </si>
  <si>
    <t>BREAD BOARD MB-102</t>
  </si>
  <si>
    <t>BREAD BOARD 400 POINTS</t>
  </si>
  <si>
    <t>POWER SUPPLY FOR BREAD BOARD</t>
  </si>
  <si>
    <t>BURG STRIP 40X1 FEMALE STRAIGHT</t>
  </si>
  <si>
    <t>BURG STRIP 40x1 STRAIGHT (M)</t>
  </si>
  <si>
    <t>BURG STRIP 40x1 R/A (M)</t>
  </si>
  <si>
    <t>PANASONIC CR-2032</t>
  </si>
  <si>
    <t>TOUCH SENSOR (THUMP) MODULE TTP 223 (ADIY)</t>
  </si>
  <si>
    <t>DIS CAP 0.001 AEC</t>
  </si>
  <si>
    <t>DIS CAP 0.01 AEC</t>
  </si>
  <si>
    <t>DIS CAP 0.047 AEC</t>
  </si>
  <si>
    <t>DIS CAP 0.1 AEC</t>
  </si>
  <si>
    <t>EL CAP 1/63 3NIX</t>
  </si>
  <si>
    <t>EL CAP 10/63 3NIX</t>
  </si>
  <si>
    <t>EL CAP 100/25 3NIX</t>
  </si>
  <si>
    <t>EL CAP 1000/25 3NIX</t>
  </si>
  <si>
    <t>EL CAP 2.2/63 KEL</t>
  </si>
  <si>
    <t>EL CAP 22/25 KEL</t>
  </si>
  <si>
    <t>EL CAP 220/25 3NIX</t>
  </si>
  <si>
    <t>EL CAP 2200/25 3NIX</t>
  </si>
  <si>
    <t>DIS CAP 27PF AEC</t>
  </si>
  <si>
    <t>EL CAP 4.7/63 3NIX</t>
  </si>
  <si>
    <t>DIS CAP 4.7PF AEC</t>
  </si>
  <si>
    <t>EL CAP 47/25 3NIX</t>
  </si>
  <si>
    <t>EL CAP 470/25 3NIX</t>
  </si>
  <si>
    <t>CASTOR WHEEL TRANSPARENT</t>
  </si>
  <si>
    <t>COLOUR SENSOR RGB TCS 34725</t>
  </si>
  <si>
    <t>IC CD 4017 BE TEX</t>
  </si>
  <si>
    <t>FAN 3IN 12v 8025 DC COMFCON</t>
  </si>
  <si>
    <t>DC PIN W/W MALE</t>
  </si>
  <si>
    <t>TOY MOTOR SMALL</t>
  </si>
  <si>
    <t>DESOLDERING WIK 1MTR ROLL</t>
  </si>
  <si>
    <t>DESOLDERING PUMP ARMSOL</t>
  </si>
  <si>
    <t>IN 4007 DOAT DIODE</t>
  </si>
  <si>
    <t>IN 4148 DIODE</t>
  </si>
  <si>
    <t>WIFI MODULE ESP 8266-01</t>
  </si>
  <si>
    <t>ESP 32 CAM BOARD WITH OV2640</t>
  </si>
  <si>
    <t>ESP 32 CAM SHIELD</t>
  </si>
  <si>
    <t>FLEX SENSOR 2.2 INCH</t>
  </si>
  <si>
    <t>FORCE SENSOR 38.1MM SQUARE</t>
  </si>
  <si>
    <t>UBLOX NEO 6M -0- 001</t>
  </si>
  <si>
    <t>2MM HS SLEEVE BLACK</t>
  </si>
  <si>
    <t>2MM HS SLEEVE RED</t>
  </si>
  <si>
    <t>3MM HS SLEEVE BLACK</t>
  </si>
  <si>
    <t>3MM HS SLEEVE RED</t>
  </si>
  <si>
    <t>IC LM 358 TEX</t>
  </si>
  <si>
    <t>HOOK UP WIRE 1/22 BLACK</t>
  </si>
  <si>
    <t>HOOK UP WIRE 1/22 BLUE</t>
  </si>
  <si>
    <t>HOOK UP WIRE 1/22 GREEN</t>
  </si>
  <si>
    <t>HOOK UP WIRE 1/22 RED</t>
  </si>
  <si>
    <t>HOOK UP WIRE 1/22 YELLOW</t>
  </si>
  <si>
    <t>IR PROXIMITY SENSOR BOARD (ADIY)</t>
  </si>
  <si>
    <t>BLACK SENSOR TSOP 1738</t>
  </si>
  <si>
    <t>IR SENSOR ARRAY 5 WAY</t>
  </si>
  <si>
    <t>JOYSTICK MODULE + KNOB (ADIY)</t>
  </si>
  <si>
    <t>JUMPER WIRE STRIP F/F (SET OF 40)</t>
  </si>
  <si>
    <t>JUMPER WIRE STRIP M/F (SET OF 40)</t>
  </si>
  <si>
    <t>JUMPER WIRE STRIP M/M (SET OF 40)</t>
  </si>
  <si>
    <t>KEYPAD 4X4 MEMBRANE</t>
  </si>
  <si>
    <t>16x2 GREEN DISPLAY WITH I2C</t>
  </si>
  <si>
    <t>LDR SENSOR MODULE(ADIY)</t>
  </si>
  <si>
    <t xml:space="preserve">LED 5MM B/BLUE E.LIGHT </t>
  </si>
  <si>
    <t>LED 5MM G/GREEN E.LIGHT</t>
  </si>
  <si>
    <t>LED 5MM R/RED E.LIGHT</t>
  </si>
  <si>
    <t>LED 5MM W/WHITE E.LIGHT</t>
  </si>
  <si>
    <t>LED 5MM Y/YELLOW E.LIGHT</t>
  </si>
  <si>
    <t>MQ-6 GAS SENSOR MODULE (ADIY)</t>
  </si>
  <si>
    <t>REED SWITCH 14MM</t>
  </si>
  <si>
    <t>HMC 5883 COMPASS SENSOR</t>
  </si>
  <si>
    <t>MICRO SD CARD MODULE</t>
  </si>
  <si>
    <t>SOUND SENSOR MODULE (ADIY)</t>
  </si>
  <si>
    <t>LASER DIODE 6.5MM DOT</t>
  </si>
  <si>
    <t>IRF 540 100V/23A &lt;77mE (N) MFET</t>
  </si>
  <si>
    <t>IRFZ 44N 55V/49A &lt;0.175E (N) MFET IR</t>
  </si>
  <si>
    <t>ARDUINO MOTOR SHIELD L 298</t>
  </si>
  <si>
    <t>OLED 4PIN 128X64 DISPLAY MODULE 0.96 BLUE</t>
  </si>
  <si>
    <t>BUZZER ELEMENT 27MM</t>
  </si>
  <si>
    <t>PIR SENSOR MODULE HC SR 501</t>
  </si>
  <si>
    <t>Potentiometer 100K</t>
  </si>
  <si>
    <t>POT METER 16MM 100K SATO</t>
  </si>
  <si>
    <t>Potentiometer 10K</t>
  </si>
  <si>
    <t>POT METER 16MM 10K SATO</t>
  </si>
  <si>
    <t>Potentiometer 1K</t>
  </si>
  <si>
    <t>POT METER 16MM 1K SATO</t>
  </si>
  <si>
    <t>Potentiometer 1M</t>
  </si>
  <si>
    <t>POT METER 16MM 1M SATO</t>
  </si>
  <si>
    <t>MOB POWER BANK 10000MAH</t>
  </si>
  <si>
    <t>HEART RATE SENSOR MODULE MAX 30102</t>
  </si>
  <si>
    <t>PULSE SENSOR MODULE</t>
  </si>
  <si>
    <t>FLY PICO RP2040 BOARD (ADIY)</t>
  </si>
  <si>
    <t>IO EXPANSION MODULE FOR RASPBERRY PI-PICO</t>
  </si>
  <si>
    <t>BATTERY 18650 3.7V 3800MAH OSEL-901 (PAIR)</t>
  </si>
  <si>
    <t>BATTERY 9V RECHARGEABLE 325MHZ</t>
  </si>
  <si>
    <t>BATTERY AA RECHARGEBLE 2800MAH OSL-201</t>
  </si>
  <si>
    <t>100E 0.25W CFR 5%</t>
  </si>
  <si>
    <t>10E 0.25W CFR 5%</t>
  </si>
  <si>
    <t>10K 0.25W CFR 5%</t>
  </si>
  <si>
    <t>120K 0.25W CFR 5%</t>
  </si>
  <si>
    <t>180K 0.25W CFR 5%</t>
  </si>
  <si>
    <t>1K 0.25W CFR 5%</t>
  </si>
  <si>
    <t>1M 0.25W CFR 5%</t>
  </si>
  <si>
    <t>2K2 0.25W CFR 5%</t>
  </si>
  <si>
    <t>220E 0.25W CFR 5%</t>
  </si>
  <si>
    <t>220K 0.25W CFR 5%</t>
  </si>
  <si>
    <t>22E 0.25W CFR 5%</t>
  </si>
  <si>
    <t>22K 0.25W CFR 5%</t>
  </si>
  <si>
    <t>27E 0.25W CFR</t>
  </si>
  <si>
    <t>330E 0.25W CFR 5%</t>
  </si>
  <si>
    <t>330K 0.25W CFR</t>
  </si>
  <si>
    <t>33E 0.25W CFR 5%</t>
  </si>
  <si>
    <t>33K 0.25W CFR 5%</t>
  </si>
  <si>
    <t>390E 0.25W CFR 5%</t>
  </si>
  <si>
    <t>390K 0.25W CFR 5%</t>
  </si>
  <si>
    <t>39E 0.25W CFR 5%</t>
  </si>
  <si>
    <t>39K 0.25W CFR 5%</t>
  </si>
  <si>
    <t>4K7 0.25W CFR 5%</t>
  </si>
  <si>
    <t>560E 0.25W CFR 5%</t>
  </si>
  <si>
    <t>560K 0.25W CFR</t>
  </si>
  <si>
    <t>56E 0.25W CFR</t>
  </si>
  <si>
    <t>56K 0.25W CFR 5%</t>
  </si>
  <si>
    <t>680K 0.25W CFR 5%</t>
  </si>
  <si>
    <t>820E 0.25W CFR 5%</t>
  </si>
  <si>
    <t>820K 0.25W CFR 5%</t>
  </si>
  <si>
    <t>82E 0.25W CFR</t>
  </si>
  <si>
    <t>82K 0.25W CFR 5%</t>
  </si>
  <si>
    <t>150E 0.25W CFR</t>
  </si>
  <si>
    <t>150K 0.25W CFR 5%</t>
  </si>
  <si>
    <t>270E 0.25W CFR 5%</t>
  </si>
  <si>
    <t>270K 0.25W CFR</t>
  </si>
  <si>
    <t>27K 0.25W CFR 5%</t>
  </si>
  <si>
    <t>470E 0.25W CFR 5%</t>
  </si>
  <si>
    <t>470K 0.25W CFR 5%</t>
  </si>
  <si>
    <t>47E 0.25W CFR 5%</t>
  </si>
  <si>
    <t>47K 0.25W CFR 5%</t>
  </si>
  <si>
    <t>RF MODULE RF 433MHZ GREEN</t>
  </si>
  <si>
    <t>RF ID READER WRITER MODULE RC 522</t>
  </si>
  <si>
    <t>LED 5MM RGB 4PIN CLEAR C/C</t>
  </si>
  <si>
    <t>SERVO MOTOR MG90</t>
  </si>
  <si>
    <t>Servo motor 30 degree</t>
  </si>
  <si>
    <t>SERVO MOTOR MG996 (360 DEGREE)</t>
  </si>
  <si>
    <t>SERVO MOTOR TESTER</t>
  </si>
  <si>
    <t>MQ-2 GAS SENSOR MODULE (ADIY)</t>
  </si>
  <si>
    <t>SOIL MOISTURE SENSOR/HYGROMETER (ADIY)</t>
  </si>
  <si>
    <t>MINI SOLAR PANAL 6V 80MA</t>
  </si>
  <si>
    <t>PCB 2X3 KS-32 DOT</t>
  </si>
  <si>
    <t>PCB 6X4 KS-64 DOT</t>
  </si>
  <si>
    <t>SOLDERING FLUX 10GM white</t>
  </si>
  <si>
    <t>LEAD/TIN WIRE 50GM HYFLOW</t>
  </si>
  <si>
    <t>SOLENOID VALVE 12V</t>
  </si>
  <si>
    <t>VOICE RECORDER MODULE ISD 1820</t>
  </si>
  <si>
    <t>SPEAKER 2 INCH</t>
  </si>
  <si>
    <t>ULN2003 STEPPER MOTOR DRIVER WITH MOTOR</t>
  </si>
  <si>
    <t>STEREO PLUG 3.5MM WITH WIRE</t>
  </si>
  <si>
    <t>MICRO SWITCH 6X6X10 NO.493</t>
  </si>
  <si>
    <t>MICRO SWITCH 6PIN ON-OFF</t>
  </si>
  <si>
    <t>KRSF-11 04-7-03 (B) (ELCOM)</t>
  </si>
  <si>
    <t>SLIDE SWITCH SMALL ON-OFF NO.546</t>
  </si>
  <si>
    <t>TOGGLE SWITCH MINI 3A 3PIN SATO</t>
  </si>
  <si>
    <t>HUMIDITY SENSOR DHT-11 MODULE(ADIY)</t>
  </si>
  <si>
    <t>LM 35 D</t>
  </si>
  <si>
    <t>NTC 10K 5MM</t>
  </si>
  <si>
    <t>IC NE 555 TEX</t>
  </si>
  <si>
    <t>TRAN 2N 3904 CDIL</t>
  </si>
  <si>
    <t>TRAN BC 547B CDIL</t>
  </si>
  <si>
    <t>TRAN BC 548 CDIL</t>
  </si>
  <si>
    <t>TRAN BC 557 CDIL</t>
  </si>
  <si>
    <t>CL 100 CDIL TRANSISTOR</t>
  </si>
  <si>
    <t>TRAN 2N 2222 PVC CDIL</t>
  </si>
  <si>
    <t>PRESET 100K CERMET</t>
  </si>
  <si>
    <t>PRESET 10K CERMET</t>
  </si>
  <si>
    <t>PRESET 1M CERMET</t>
  </si>
  <si>
    <t>3 AXIS ACCELEROMETER ADXL 345</t>
  </si>
  <si>
    <t>ULTRASONIC MODULE SR 04</t>
  </si>
  <si>
    <t>A TO B USB CABLE 1.5 MTR</t>
  </si>
  <si>
    <t xml:space="preserve">USB PVC CABLE V8 2.4AMP FT-1022 </t>
  </si>
  <si>
    <t>VIBRATION MOTOR FLAT</t>
  </si>
  <si>
    <t>WATER FLOW SENSOR YF-S201 1/2 INCH</t>
  </si>
  <si>
    <t>WATER PUMP SMALL 6V</t>
  </si>
  <si>
    <t>Vendor</t>
  </si>
  <si>
    <t>TS002/1</t>
  </si>
  <si>
    <t>X</t>
  </si>
  <si>
    <t>TS002/2</t>
  </si>
  <si>
    <t>TS003/1</t>
  </si>
  <si>
    <t>TS003/2</t>
  </si>
  <si>
    <t>TS003/3</t>
  </si>
  <si>
    <t>TS005/1</t>
  </si>
  <si>
    <t>Drill bit set</t>
  </si>
  <si>
    <t>TS005/2</t>
  </si>
  <si>
    <t>TS006</t>
  </si>
  <si>
    <t>TS008/2</t>
  </si>
  <si>
    <t>TS008/3</t>
  </si>
  <si>
    <t>TS009/1</t>
  </si>
  <si>
    <t>TS009/2</t>
  </si>
  <si>
    <t>Hot glue gun-cordless</t>
  </si>
  <si>
    <t>TS010</t>
  </si>
  <si>
    <t>TS014</t>
  </si>
  <si>
    <t>Precision Screw Driver Set</t>
  </si>
  <si>
    <t>TS015</t>
  </si>
  <si>
    <t>TS017</t>
  </si>
  <si>
    <t>Screw Driver Set</t>
  </si>
  <si>
    <t>TS018/1</t>
  </si>
  <si>
    <t>TS019</t>
  </si>
  <si>
    <t>TS022</t>
  </si>
  <si>
    <t>TS025/3</t>
  </si>
  <si>
    <t>Utility knives 18MM</t>
  </si>
  <si>
    <t>TS028</t>
  </si>
  <si>
    <t>Wire stripper</t>
  </si>
  <si>
    <t>TS029/1</t>
  </si>
  <si>
    <t>Rotary cutter</t>
  </si>
  <si>
    <t>TS029/2</t>
  </si>
  <si>
    <t>Rotary cutter Blades</t>
  </si>
  <si>
    <t>Pipe wrench</t>
  </si>
  <si>
    <t>Adjustble wrench</t>
  </si>
  <si>
    <t>Water pump plier</t>
  </si>
  <si>
    <t>Vacuum pump</t>
  </si>
  <si>
    <t>44 Labs</t>
  </si>
  <si>
    <t>Audio plug</t>
  </si>
  <si>
    <t>Li-ion Battery Charger 3.7V</t>
  </si>
  <si>
    <t xml:space="preserve">Laptop 
Qty: 5 
Rate: 30000 
Media station </t>
  </si>
  <si>
    <t>Capacitor 27 pF 
Qty: 100 
Rate: 5 
Electronics station-Alkon small</t>
  </si>
  <si>
    <t>Safety Gloves Pairs 
Qty: 15 
Rate: 70 
Safety corner</t>
  </si>
  <si>
    <t>Plastic funnel 
Qty: 10 
Rate: 20 
Science lab storage</t>
  </si>
  <si>
    <t>CNC machine 
Qty: 1 
Rate: 50000 
Rapid prototyping station</t>
  </si>
  <si>
    <t>Capacitor 4.7 pF 
Qty: 100 
Rate: 5 
Electronics station-Alkon small</t>
  </si>
  <si>
    <t>Dissection Set 
Qty: 2 
Rate: 500 
Tools display</t>
  </si>
  <si>
    <t>Pot Meter 1K 
Qty: 20 
Rate: 10 
Electronics station-Alkon big</t>
  </si>
  <si>
    <t>Fume hood 
Qty: 1 
Rate: 50000 
Science lab storage</t>
  </si>
  <si>
    <t>Capacitor 0.001 µF 
Qty: 100 
Rate: 5 
Electronics station-Alkon small</t>
  </si>
  <si>
    <t>Adapters-12V 
Qty: 10 
Rate: 100 
Electronics storage</t>
  </si>
  <si>
    <t>Soldering mat 
Qty: 1
 Rate: 200 
Electronics station</t>
  </si>
  <si>
    <t>Digital Spectrometer
 Qty: 1 
Rate: 50000 
Science lab storage</t>
  </si>
  <si>
    <t>Capacitor 0.01 µF 
Qty: 100 
Rate: 5 
Electronics station-Alkon small</t>
  </si>
  <si>
    <t>Paintbrushes 
Qty: 5 
Rate: 200 
Craft station</t>
  </si>
  <si>
    <t>Filter Paper 
Qty: 1
 Rate: 200 
Science lab storage</t>
  </si>
  <si>
    <t>3D Printer 
Qty: 1 
Rate: 35000 
Rapid prototyping station</t>
  </si>
  <si>
    <t>Capacitor 0.047 µF 
Qty: 100 
Rate: 5 
Electronics station-Alkon small</t>
  </si>
  <si>
    <t>Chart paper 
Qty: 1 
Rate: 1000 
Craft station</t>
  </si>
  <si>
    <t>Rubber band 1.5 inch 
Qty: 1 
Rate: 200 
Craft station</t>
  </si>
  <si>
    <t xml:space="preserve">Smart TV 
Qty: 1 
Rate: 35000 
Media station </t>
  </si>
  <si>
    <t>Transistor - 2N3904 
Qty: 100 
Rate: 5 
Electronics station-Alkon small</t>
  </si>
  <si>
    <t xml:space="preserve">Lapel Mic 
Qty: 1 
Rate: 1000 
Media station </t>
  </si>
  <si>
    <t>Rubber band 1/2 inch 
Qty: 1 
Rate: 200 
Craft station</t>
  </si>
  <si>
    <t xml:space="preserve">VR Viewer 
Qty: 1 
Rate: 35000 
Media station </t>
  </si>
  <si>
    <t>Transistor - BC 547 
Qty: 100 
Rate: 5 
Electronics station-Alkon small</t>
  </si>
  <si>
    <t xml:space="preserve">Smartphone Rig 
Qty: 1 
Rate: 1000 
Media station </t>
  </si>
  <si>
    <t>Rubber band 4 inch 
Qty: 1 
Rate: 200 
Craft station</t>
  </si>
  <si>
    <t>Drone Making Kit
Qty: 2 
Rate: 13000 
Electronics station</t>
  </si>
  <si>
    <t>Transistor - BC 548 
Qty: 100 
Rate: 5 
Electronics station-Alkon small</t>
  </si>
  <si>
    <t xml:space="preserve">USB microscope 
Qty: 1 
Rate: 1000 
Science lab </t>
  </si>
  <si>
    <t>Flat Rubber band 7 inch 
Qty: 1 
Rate: 200 
Craft station</t>
  </si>
  <si>
    <t>Digital Oscilloscope 
Qty: 1 
Rate: 25000 
Electronics station</t>
  </si>
  <si>
    <t>Transistor - BC 557 
Qty: 100 
Rate: 5 
Electronics station-Alkon small</t>
  </si>
  <si>
    <t>Micro Pippette 
Qty: 1 
Rate: 1000 
Science lab storage</t>
  </si>
  <si>
    <t>Hook-up Wire Black 
Qty: 10 
Rate: 20 
Electronics storage</t>
  </si>
  <si>
    <t>3D scanner 
Qty: 1 
Rate: 20000 
Rapid prototyping station</t>
  </si>
  <si>
    <t>Transistor - SL100 
Qty: 100 
Rate: 5 
Electronics station-Alkon small</t>
  </si>
  <si>
    <t>Pippette set 
Qty: 2 
Rate: 500 ♦Science lab storage</t>
  </si>
  <si>
    <t>Hook-up Wire Blue 
Qty: 10 
Rate: 20 
Electronics storage</t>
  </si>
  <si>
    <t>Laser cutter/engraver 
Qty: 1 
Rate: 15000 
Rapid prototyping station</t>
  </si>
  <si>
    <t>Transistor- 2N2222A 
Qty: 100 
Rate: 5 
Electronics station-Alkon small</t>
  </si>
  <si>
    <t>Rotary cutter 
Qty: 2 
Rate: 500 
Tools display</t>
  </si>
  <si>
    <t>Hook-up Wire Green 
Qty: 10 
Rate: 20 
Electronics storage</t>
  </si>
  <si>
    <t>Vinyl cutter 
Qty: 1 
Rate: 10000 
Rapid prototyping station</t>
  </si>
  <si>
    <t>Dropper bottles 
Qty: 100 
Rate: 5 
Science lab storage</t>
  </si>
  <si>
    <t>Poymer clay 
Qty: 5 
Rate: 200 
Craft station</t>
  </si>
  <si>
    <t>Hook-up Wire Red
 Qty: 10 
Rate: 20 
Electronics storage</t>
  </si>
  <si>
    <t>Sewing Machine
 Qty: 1 
Rate: 10000 
Rapid prototyping station</t>
  </si>
  <si>
    <t xml:space="preserve">Laser pointer 
Qty: 2 
Rate: 250 
Science lab </t>
  </si>
  <si>
    <t>Foam core board 5mm 
Qty: 5 
Rate: 200 
Material storage</t>
  </si>
  <si>
    <t>Hook-up Wire Yellow 
Qty: 10
 Rate: 20 
Electronics storage</t>
  </si>
  <si>
    <t>Sewing pattern 
Qty: 10 
Rate: 1000 
Rapid prototyping station</t>
  </si>
  <si>
    <t>Audio plug 
Qty: 10 
Rate: 50 
Electronics station-Alkon big</t>
  </si>
  <si>
    <t>Solar electric cell 
Qty: 10 
Rate: 100 
Electronics storage</t>
  </si>
  <si>
    <t>Sketch pen 
Qty: 5 
Rate: 40 
Craft station</t>
  </si>
  <si>
    <t xml:space="preserve">Laser Printer 
Qty: 1 
Rate: 10000 
Media station </t>
  </si>
  <si>
    <t>sponge for cleaning 
Qty: 5 
Rate: 100 
Cleaning Corner</t>
  </si>
  <si>
    <t>Soldering Wire Lead/Tin 
Qty: 10 
Rate: 100 
Electronics storage-soldering kit</t>
  </si>
  <si>
    <t>Velcrow 
Qty: 1 
Rate: 200 
Craft station</t>
  </si>
  <si>
    <t>Safety mask 
Qty: 60 
Rate: 150 
Safety corner</t>
  </si>
  <si>
    <t>Craft knife blades 
Qty: 4 
Rate: 120 
Tools display</t>
  </si>
  <si>
    <t>De-Soldering Pump 
Qty: 10 
Rate: 100 
Electronics storage-solenoid kit</t>
  </si>
  <si>
    <t>Aluminium craft Wire 
Qty: 1 
Rate: 200 
Craft station</t>
  </si>
  <si>
    <t>DIY Paper Microscope 
Qty: 30 
Rate: 300 
Science lab storage</t>
  </si>
  <si>
    <t>Petri dishes 
Qty: 30 
Rate: 15 
Science lab storage</t>
  </si>
  <si>
    <t>Conical flask 
Qty: 10 
Rate: 100 
Science lab</t>
  </si>
  <si>
    <t>Spirit level
 Qty: 1 
Rate: 180 
Tools display</t>
  </si>
  <si>
    <t>Servo motor 
Qty: 30 
Rate: 250
 Electronics storage</t>
  </si>
  <si>
    <t>LDR Module 
Qty: 15 
Rate: 30 
Electronics-Sensor kit</t>
  </si>
  <si>
    <t xml:space="preserve">Beaker 
Qty: 10 
Rate: 100 
Science lab </t>
  </si>
  <si>
    <t>Coping Hand Saw blades 
Qty: 1
 Rate: 180
 Tools display</t>
  </si>
  <si>
    <t>Arduino nano 
shield 
Qty: 15 
Rate: 500 
Electronics storage</t>
  </si>
  <si>
    <t>Vibrating Motor 
Qty: 20 
Rate: 20 
Electronics station-Alkon big</t>
  </si>
  <si>
    <t>Stainless Steel Ruler 
Qty: 10 
Rate: 100
 Tools display</t>
  </si>
  <si>
    <t>Test tube stand 
Qty: 1
 Rate: 150 
Science lab</t>
  </si>
  <si>
    <t>Arduino uno shield 
Qty: 10 
Rate: 700 
Electronics storage</t>
  </si>
  <si>
    <t>Micro SD card Reader Module 
Qty: 10 
Rate: 40 
Electronics-Sensor kit</t>
  </si>
  <si>
    <t>Stapler 
Qty: 10
 Rate: 100 
Tools display</t>
  </si>
  <si>
    <t>Aviation snip 
Qty: 1 
Rate: 150 
Tools display</t>
  </si>
  <si>
    <t>Arduino uno 
Qty: 15 
Rate: 450 
Electronics storage</t>
  </si>
  <si>
    <t>Water Pump module 
Qty: 10 
Rate: 40 
Electronics station-Alkon big</t>
  </si>
  <si>
    <t>Utility knives 9MM 
Qty: 10 
Rate: 100
 Tools display</t>
  </si>
  <si>
    <t>Alligator connectors  
Qty: 20 
Rate: 7.5 
Electronics storage</t>
  </si>
  <si>
    <t>Arduino nano 
Qty: 15 
Rate: 400 
Electronics storage</t>
  </si>
  <si>
    <t>Microphone Module 
Qty: 10 
Rate: 40 
Electronics-Sensor kit</t>
  </si>
  <si>
    <t>Utility scissor 150mm 
Qty: 10 
Rate: 100 
Tools display</t>
  </si>
  <si>
    <t>Hacksaw Frame 
Qty: 1
 Rate: 150
 Tools display</t>
  </si>
  <si>
    <t>Acrylic paint 
Qty: 20 
Rate: 300 
Craft station</t>
  </si>
  <si>
    <t>Soil Moisture Sensor module 
Qty: 10 
Rate: 40 
Electronics-Sensor kit</t>
  </si>
  <si>
    <t>Wire stripper
 Qty: 10 
Rate: 100
 Tools display</t>
  </si>
  <si>
    <t>Cello tape dispenser 
Qty: 1
 Rate: 150
 Craft station</t>
  </si>
  <si>
    <t>3D Pen 
Qty: 5 
Rate: 1200 
Rapid prototyping station</t>
  </si>
  <si>
    <t>Microscope cover glass 
Qty: 2 
Rate: 200 
Science lab storage</t>
  </si>
  <si>
    <t>Tailers measuring tape
 Qty: 5
Rate: 100
 Tools display</t>
  </si>
  <si>
    <t>Spirit Lamp 
Qty: 1 Rate: 
150 
Science lab storage</t>
  </si>
  <si>
    <t>RFID Tag and Reader 
Qty: 10 
Rate: 500 
Electronics-Sensor kit</t>
  </si>
  <si>
    <t>Clear Packaging tape 
Qty: 5 
Rate: 80 
Craft station</t>
  </si>
  <si>
    <t>Castor wheel 
Qty: 20 
Rate: 50 
Electronics station-Alkon big</t>
  </si>
  <si>
    <t>Heat Sleeve 3mm Black
 Qty: 1 
Rate: 150 
Electronics storage</t>
  </si>
  <si>
    <t>Raspberry Pi Pico GPIO Expansion Board 
Qty: 10 
Rate: 500 
Electronics storage</t>
  </si>
  <si>
    <t>Double-sided Tape 
Qty: 5 
Rate: 80 
Craft station</t>
  </si>
  <si>
    <t>Piezoelectric Plate 
Qty: 20 
Rate: 50 
Electronics station-Alkon big</t>
  </si>
  <si>
    <t>Heat Sleeve 3mm Red 
Qty: 1 
Rate: 150 
Electronics storage</t>
  </si>
  <si>
    <t>Diy mini plotter kit 
Qty: 2 
Rate: 2500 
Electronics station</t>
  </si>
  <si>
    <t>Electrical Tape 
Qty: 5 
Rate: 80 
Craft station</t>
  </si>
  <si>
    <t>Burg Strips M Right angle
 Qty: 50
 Rate: 20 
Electronics station-Alkon big</t>
  </si>
  <si>
    <t>Heat Sleeve 2mm Black 
Qty: 1 
Rate: 150 
Electronics storage</t>
  </si>
  <si>
    <t>ESP32 CAM 
Qty: 15 
Rate: 300
 Electronics storage</t>
  </si>
  <si>
    <t>Masking tape 
Qty: 5 
Rate: 80 
Craft station</t>
  </si>
  <si>
    <t>Burg Strips F 
Qty: 100
 Rate: 10 
Electronics station-Alkon big</t>
  </si>
  <si>
    <t>Heat Sleeve 2mm Red 
Qty: 1 
Rate: 150 
Electronics storage</t>
  </si>
  <si>
    <t>Hot glue gun 
Qty: 9 
Rate: 500 
Tools display</t>
  </si>
  <si>
    <t>Synthethic Clay 
Qty: 8 
Rate: 50 
Craft station</t>
  </si>
  <si>
    <t>Soldering Helping hand with light 
Qty: 2 
Rate: 500 
Electronics station</t>
  </si>
  <si>
    <t>Glass stirring rod 
Qty: 1
 Rate: 150
 Science lab</t>
  </si>
  <si>
    <t>Raspberry Pi Pico
Qty: 10 
Rate: 400 
Electronics storage</t>
  </si>
  <si>
    <t>DC power jack 
Qty: 20 
Rate: 20 
Electronics station-Alkon big</t>
  </si>
  <si>
    <t>Digital Multi Meter- Auto Range 
Qty: 1 
Rate: 1000 
Electronics station</t>
  </si>
  <si>
    <t>Test tube 
Qty: 10 
Rate: 15 
Science lab</t>
  </si>
  <si>
    <t>Stepper Motor with Driver Board
 Qty: 10 
Rate: 400 
Electronics storage</t>
  </si>
  <si>
    <t>Pot Meter 100K 
Qty: 20 
Rate: 20 
Electronics station-Alkon big</t>
  </si>
  <si>
    <t>Pulse Oxymeter Heart rate sensor 
Qty: 10 
Rate: 95 
Electronics-Sensor kit</t>
  </si>
  <si>
    <t>Jute Rope 
Qty: 10 
Rate: 15
 Craft station</t>
  </si>
  <si>
    <t>Rechargeable Battery- AA ,1.2V
 Qty: 40 
Rate: 100 
Electronics storage</t>
  </si>
  <si>
    <t>Soldering Bit Needle 
Qty: 20 
Rate: 20 
Electronics storage-soldering kit</t>
  </si>
  <si>
    <t>RF Modules 
Qty: 10
 Rate: 95 
Electronics-Sensor kit</t>
  </si>
  <si>
    <t>Cello transparent tape
 Qty: 5
 Rate: 25 
Craft station</t>
  </si>
  <si>
    <t>PP sink for lab 
Qty: 1 
Rate: 4000 
Science lab storage</t>
  </si>
  <si>
    <t>Soldering Bit Spade 
Qty: 20 
Rate: 20 
Electronics storage-soldering kit</t>
  </si>
  <si>
    <t>Servo Motor Tester 
Qty: 10
 Rate: 90 
Electronics storage</t>
  </si>
  <si>
    <t>Tissue paper 
Qty: 5 
Rate: 25 
Craft station</t>
  </si>
  <si>
    <t>360 servo motor 
Qty: 15 
Rate: 250 
Electronics storage</t>
  </si>
  <si>
    <t>Pen drive 
Qty: 1 
Rate: 400 
Electronics storage</t>
  </si>
  <si>
    <t>Cable Tie 300mm 
Qty: 5 
Rate: 180 
Craft station</t>
  </si>
  <si>
    <t>Battery clip
 Qty: 20
 Rate: 6 
Electronics station-Alkon big</t>
  </si>
  <si>
    <t>ESP32 WIFI Bluetooth UNO D1 
Qty: 15 
Rate: 250 
Electronics storage</t>
  </si>
  <si>
    <t>Jumper Cable FF 
Qty: 10 
Rate: 40 
Electronics storage</t>
  </si>
  <si>
    <t>Breadboard 
Qty: 15
 Rate: 60 
Electronics storage</t>
  </si>
  <si>
    <t>Dust Pan 
Qty: 1 
Rate: 100 
Cleaning Corner</t>
  </si>
  <si>
    <t>Digital Multi Meter 
Qty: 7 
Rate: 500 
Electronics storage</t>
  </si>
  <si>
    <t>Jumper Cable MF 
Qty: 10 
Rate: 40 
Electronics storage</t>
  </si>
  <si>
    <t>Button cell 
Qty: 30 
Rate: 30 
Electronics station-Alkon big</t>
  </si>
  <si>
    <t>Graduated cylinder 
Qty: 1 
Rate: 100 
Science lab storage</t>
  </si>
  <si>
    <t>OLED display 
Qty: 10 
Rate: 300 
Electronics storage</t>
  </si>
  <si>
    <t>Jumper Cable MM 
Qty: 10 
Rate: 40 
Electronics storage</t>
  </si>
  <si>
    <t>BO1 robotic Wheel 
Qty: 30
 Rate: 30 
Electronics storage</t>
  </si>
  <si>
    <t>Ball pein Hammer 
Qty: 1
 Rate: 100 
Tools display</t>
  </si>
  <si>
    <t>Soldering Iron 
Qty: 10 
Rate: 300 
Electronics storage-soldering kit</t>
  </si>
  <si>
    <t>JoyStick module 
Qty: 10 
Rate: 40 
Electronics-Sensor kit</t>
  </si>
  <si>
    <t>LPG Sensor 
Qty: 10 
Rate: 90 
Electronics-Sensor kit</t>
  </si>
  <si>
    <t>Combination Plier 
Qty: 1 
Rate: 100 
Tools display</t>
  </si>
  <si>
    <t>Amplifier module 
Qty: 10 
Rate: 300 
Electronics-Sensor kit</t>
  </si>
  <si>
    <t>Keypad module 
Qty: 10 
Rate: 40 
Electronics-Sensor kit</t>
  </si>
  <si>
    <t>First aid box 
Qty: 1 
Rate: 850 
Safety corner</t>
  </si>
  <si>
    <t>Long Nose Plier 
Qty: 1 
Rate: 100
 Tools display</t>
  </si>
  <si>
    <t>Air quality sensor 
Qty: 10 
Rate: 300 
Electronics-Sensor kit</t>
  </si>
  <si>
    <t>OHP sheet 
Qty: 1 
Rate: 400 
Craft station</t>
  </si>
  <si>
    <t>Active buzzer 
Qty: 20 
Rate: 40 
Electronics station-Alkon big</t>
  </si>
  <si>
    <t>Micro Mini Screws set 
Qty: 1 
Rate: 100
 Tools display</t>
  </si>
  <si>
    <t>IR Obstacle avoidance module 
Qty: 10 
Rate: 300 
Electronics-Sensor kit</t>
  </si>
  <si>
    <t>Dropper 
Qty: 2 
Rate: 200 
Science lab storage</t>
  </si>
  <si>
    <t>Battery holder-4X1
 Qty: 20 
Rate: 40 
Electronics storage</t>
  </si>
  <si>
    <t>Screw Set 
Qty: 1 
Rate: 100 
Tools display</t>
  </si>
  <si>
    <t>Rechargeable Battery 9V 
Qty: 15 
Rate: 200 
Electronics storage</t>
  </si>
  <si>
    <t>Glue Sticks 
Qty: 50 
Rate: 8 
Tools display</t>
  </si>
  <si>
    <t>Trigger clamp Qty: 2 
Rate: 400 
Tools display</t>
  </si>
  <si>
    <t>Rivets
 Qty: 1 
Rate: 100 
Tools display</t>
  </si>
  <si>
    <t>Breadboard Power Supply 
Module 
Qty: 15 
Rate: 200 
Electronics storage</t>
  </si>
  <si>
    <t>Silicon tubing 
Qty: 1 
Rate: 400 
Craft station</t>
  </si>
  <si>
    <t>Rotary cutter Blades 
Qty: 10 
Rate: 80 
Tools display</t>
  </si>
  <si>
    <t>Binder clip 51mm 
Qty: 2 
Rate: 50
 Craft station</t>
  </si>
  <si>
    <t>ESP32 CAM Shield 
Qty: 15 
Rate: 200 
Electronics storage</t>
  </si>
  <si>
    <t>Super Glue 
Qty: 5 
Rate: 70 
Craft station</t>
  </si>
  <si>
    <t>LED Blue 
Qty: 500 
Rate: 1.5 
Electronics station-Alkon small</t>
  </si>
  <si>
    <t>Paper Straws 
Qty: 5 
Rate: 20 
Craft station</t>
  </si>
  <si>
    <t>Motor Driver - L298P 
Qty: 15 
Rate: 200 
Electronics storage</t>
  </si>
  <si>
    <t>Mechanical pencil 
Qty: 10 
Rate: 35 
Craft station</t>
  </si>
  <si>
    <t>LED Green
 Qty: 500
 Rate: 1.5 
Electronics station-Alkon small</t>
  </si>
  <si>
    <t>Binder clip 15mm 
Qty: 5 
Rate: 20 
Craft station</t>
  </si>
  <si>
    <t>LCD Display 
Qty: 15 
Rate: 200 
Electronics storage</t>
  </si>
  <si>
    <t>Measuring jug 
Qty: 1 
Rate: 350 
Science lab</t>
  </si>
  <si>
    <t>LED Red 
Qty: 500 
Rate: 1.5 
Electronics station-Alkon small</t>
  </si>
  <si>
    <t>Brads 
Qty: 5
 Rate: 20
 Craft station</t>
  </si>
  <si>
    <t>Bluetooth module 
Qty: 15 
Rate: 200 
Electronics-Sensor kit</t>
  </si>
  <si>
    <t>Drawing Pencils 
Qty: 5 
Rate: 70 
Craft station</t>
  </si>
  <si>
    <t>LED White
 Qty: 500
 Rate: 1.5 
Electronics station-Alkon small</t>
  </si>
  <si>
    <t>Eraser 
Qty: 10 
Rate: 10 
Craft station</t>
  </si>
  <si>
    <t>PIR Motion Detector Module 
Qty: 15 
Rate: 200 
Electronics-Sensor kit</t>
  </si>
  <si>
    <t>Ziploc pouch 10X8 
Qty: 1 
Rate: 350 
Craft station</t>
  </si>
  <si>
    <t>LED Yellow 
Qty: 500 
Rate: 1.5 
Electronics station-Alkon small</t>
  </si>
  <si>
    <t>Timer IC - LM 555 
Qty: 20 
Rate: 5 
Electronics station-Alkon big</t>
  </si>
  <si>
    <t>Drawing paper
 Qty: 30 
Rate: 100 
Craft station</t>
  </si>
  <si>
    <t>Screw guage 
Qty: 2 
Rate: 160 
Science lab</t>
  </si>
  <si>
    <t>Ultrasonic Sensor Module
 Qty: 15
 Rate: 50 
Electronics-Sensor kit</t>
  </si>
  <si>
    <t>Thermistor 
Qty: 20 
Rate: 5 
Electronics station-Alkon small</t>
  </si>
  <si>
    <t>Capacitor 2200 µF 
Qty: 100 
Rate: 30 
Electronics station-Alkon small</t>
  </si>
  <si>
    <t>Switch (Micro) 
Qty: 100 
Rate: 3 
Electronics station-Alkon big</t>
  </si>
  <si>
    <t>Smoke Sensor 
Qty: 10 
Rate: 75 
Electronics-Sensor kit</t>
  </si>
  <si>
    <t>Hacksaw blades 
Qty: 20 
Rate: 5
 Tools display</t>
  </si>
  <si>
    <t>Capacitor 1000 µF 
Qty: 100 
Rate: 30 
Electronics station-Alkon small</t>
  </si>
  <si>
    <t>Mini Laser Diode Module 
Qty: 20 
Rate: 15 
Electronics station-Alkon big</t>
  </si>
  <si>
    <t>Temperature Sensor 
Qty: 15 
Rate: 50 
Electronics station-Alkon small</t>
  </si>
  <si>
    <t>Resistor 10E
 Qty: 100 
Rate: 1 
Electronics station-Alkon small</t>
  </si>
  <si>
    <t>Power Strip Adapters 
Qty: 6 
Rate: 500</t>
  </si>
  <si>
    <t>Drill bit set 
Qty: 1 
Rate: 300 
Tools display</t>
  </si>
  <si>
    <t>Brown packaging tape 
Qty: 5 
Rate: 150 
Craft station</t>
  </si>
  <si>
    <t>Resistors 470E 
Qty: 100 
Rate: 1 
Electronics station-Alkon small</t>
  </si>
  <si>
    <t>EVA Foam Sheet roll 
Qty: 10 
Rate: 280 
Material storage</t>
  </si>
  <si>
    <t>Precision Screw Driver Set 
Qty: 1 
Rate: 300 Tools display</t>
  </si>
  <si>
    <t>USB cable micro 
Qty: 15 
Rate: 50 
Electronics storage</t>
  </si>
  <si>
    <t>Resistors 47K 
Qty: 100 
Rate: 1 
Electronics station-Alkon small</t>
  </si>
  <si>
    <t>Power Bank 
Qty: 5 
Rate: 500 
Electronics storage</t>
  </si>
  <si>
    <t>Silicone Sealant 
Qty: 1 
Rate: 300 
Tools display</t>
  </si>
  <si>
    <t>Burg Strips M 
Qty: 50 
Rate: 15 
Electronics station-Alkon big</t>
  </si>
  <si>
    <t>Resistors 470K 
Qty: 100 
Rate: 1 
Electronics station-Alkon small</t>
  </si>
  <si>
    <t>Lab coat 
Qty: 5 
Rate: 500 
Safety corner</t>
  </si>
  <si>
    <t>Rivet Gun 
Qty: 1 
Rate: 300 
Tools display</t>
  </si>
  <si>
    <t>PU Foam sheet 
Qty: 10
 Rate: 72 
Material storage</t>
  </si>
  <si>
    <t>Resistors 15E 
Qty: 100 
Rate: 1 
Electronics station-Alkon small</t>
  </si>
  <si>
    <t>Corrugated Cardboard 
Qty: 50 
Rate: 50 
Material storage</t>
  </si>
  <si>
    <t>MOSFET IRFZ44 
Qty: 10 
Rate: 30 
Electronics station-Alkon small</t>
  </si>
  <si>
    <t>PETG Filament 
Qty: 1 
Rate: 700
 Rapid prototyping station</t>
  </si>
  <si>
    <t>Resistors 150E 
Qty: 100
 Rate: 1 
Electronics station-Alkon small</t>
  </si>
  <si>
    <t>Soldering Station 
Qty: 1 
Rate: 2500 
Electronics station</t>
  </si>
  <si>
    <t>Solder Board 6X4 
Qty: 10 
Rate: 30 
Electronics storage-soldering kit</t>
  </si>
  <si>
    <t>Cable Tie 200mm 
Qty: 5 
Rate: 130
 Craft station</t>
  </si>
  <si>
    <t>Resistors 15K 
Qty: 100 
Rate: 1 
Electronics station-Alkon small</t>
  </si>
  <si>
    <t>Li-ion Battery Charger 3.7V 
Qty: 10 
Rate: 250 
Electronics storage</t>
  </si>
  <si>
    <t>Battery clip with DC jack 
Qty: 15 
Rate: 20 
Electronics station-Alkon big</t>
  </si>
  <si>
    <t>Temp &amp; humidity sensor module 
Qty: 10 
Rate: 60 
Electronics-Sensor kit</t>
  </si>
  <si>
    <t>Resistors 150K 
Qty: 100
 Rate: 1 
Electronics station-Alkon small</t>
  </si>
  <si>
    <t>Solenoid valve 
Qty: 10 
Rate: 250 
Electronics storage</t>
  </si>
  <si>
    <t>Pot Meter 10K 
Qty: 20 
Rate: 15 
Electronics station-Alkon big</t>
  </si>
  <si>
    <t>Safety goggles 
Qty: 30 
Rate: 20 
Safety corner</t>
  </si>
  <si>
    <t>Resistor 33E
 Qty: 100 
Rate: 1 
Electronics station-Alkon small</t>
  </si>
  <si>
    <t>Drill Machine 
Qty: 1 
Rate: 2500 
Tools display</t>
  </si>
  <si>
    <t>Magnetic Reed Switch 
Qty: 20 
Rate: 15 
Electronics station-Alkon small</t>
  </si>
  <si>
    <t>ABS Filament 
Qty: 1
 Rate: 600 
Rapid prototyping station</t>
  </si>
  <si>
    <t>Resistor 330E Qty: 100 
Rate: 1 
Electronics station-Alkon small</t>
  </si>
  <si>
    <t>Flex Sensor 
Qty: 10 
Rate: 250 
Electronics-Sensor kit</t>
  </si>
  <si>
    <t>School glue 
Qty: 5 
Rate: 60 
Craft station</t>
  </si>
  <si>
    <t>Sewing thread 
Qty: 2 
Rate: 300 
Craft station</t>
  </si>
  <si>
    <t>Resistor 33K 
Qty: 100 
Rate: 1 
Electronics station-Alkon small</t>
  </si>
  <si>
    <t>Force Pressure Sensor 
Qty: 10 
Rate: 250 
Electronics-Sensor kit</t>
  </si>
  <si>
    <t>Capacitative Touch Switch Module 
Qty: 10 
Rate: 30 
Electronics-Sensor kit</t>
  </si>
  <si>
    <t>Breadboard Mini 
Qty: 15 
Rate: 40 
Electronics storage</t>
  </si>
  <si>
    <t>Resistor 100E 
Qty: 100 
Rate: 1 
Electronics station-Alkon small</t>
  </si>
  <si>
    <t>GPS Module 
Qty: 10 
Rate: 250 
Electronics-Sensor kit</t>
  </si>
  <si>
    <t>IR Reciever Sensor module 
Qty: 10 
Rate: 30 
Electronics-Sensor kit</t>
  </si>
  <si>
    <t>High Gain Operational Amplifier Qty: 20 Rate: 30 Electronics-Sensor kit</t>
  </si>
  <si>
    <t>Resistor 330K Qty: 100 Rate: 1 Electronics station-Alkon small</t>
  </si>
  <si>
    <t>IR Sensors Array module 
Qty: 10 
Rate: 250 
Electronics-Sensor kit</t>
  </si>
  <si>
    <t>Micro Hand Twist Drill Bits Set 
Qty: 2 
Rate: 150 
Tools display</t>
  </si>
  <si>
    <t>Battery holder-2X1 
Qty: 30 
Rate: 20 
Electronics storage</t>
  </si>
  <si>
    <t>Resistor 56E 
Qty: 100 
Rate: 1 
Electronics station-Alkon small</t>
  </si>
  <si>
    <t>Waste Bin 
Qty: 3 
Rate: 800 
Cleaning Corner</t>
  </si>
  <si>
    <t>Balloons 
Qty: 2 
Rate: 150 
Craft station</t>
  </si>
  <si>
    <t>Solder Board 3X2 
Qty: 30
 Rate: 20 
Electronics storage-soldering kit</t>
  </si>
  <si>
    <t>Resistor 560E 
Qty: 100 
Rate: 1 
Electronics station-Alkon small</t>
  </si>
  <si>
    <t>Sample collection bottle 
Qty: 100 
Rate: 20 
Science lab storage</t>
  </si>
  <si>
    <t>Palette 
Qty: 5 
Rate: 50 
Craft station</t>
  </si>
  <si>
    <t>Capacitor 2.2 µF 
Qty: 50 
Rate: 10 
Electronics station-Alkon small</t>
  </si>
  <si>
    <t>Resistor 56K
 Qty: 100
 Rate: 1 
Electronics station-Alkon small</t>
  </si>
  <si>
    <t xml:space="preserve">Headphone 
Qty: 1 
Rate: 2000 
Media station </t>
  </si>
  <si>
    <t>Counter IC 
Qty: 10 
Rate: 25 
Electronics station-Alkon big</t>
  </si>
  <si>
    <t>Capacitor 4.7 µF 
Qty: 50 
Rate: 10 
Electronics station-Alkon small</t>
  </si>
  <si>
    <t>Resistor 560K 
Qty: 100 
Rate: 1 
Electronics station-Alkon small</t>
  </si>
  <si>
    <t>Security camera 
Qty: 1 
Rate: 2000</t>
  </si>
  <si>
    <t>Stapler pin 
Qty: 5 
Rate: 50 
Tools display</t>
  </si>
  <si>
    <t>Capacitor 1 µF 
Qty: 50 
Rate: 10 
Electronics station-Alkon small</t>
  </si>
  <si>
    <t>Resistor 22E
 Qty: 100 
Rate: 1 
Electronics station-Alkon small</t>
  </si>
  <si>
    <t>Google cardboard lens 
Qty: 20 
Rate: 100 
Science lab storage</t>
  </si>
  <si>
    <t>Utility knife blades 18MM 
Qty: 5
 Rate: 50 
Tools display</t>
  </si>
  <si>
    <t>Sand Paper 
Qty: 25
 Rate: 20 
Tools display</t>
  </si>
  <si>
    <t>Resistor 220E 
Qty: 100
 Rate: 1 
Electronics station-Alkon small</t>
  </si>
  <si>
    <t>Capacitor 220 µF 
Qty: 100 
Rate: 20 
Electronics station-Alkon small</t>
  </si>
  <si>
    <t>Utility knife blades 9MM 
Qty: 5 
Rate: 50 
Tools display</t>
  </si>
  <si>
    <t xml:space="preserve">Ring Light 
Qty: 1 
Rate: 500
 Media station </t>
  </si>
  <si>
    <t>Resistor 22K 
Qty: 100 
Rate: 1 
Electronics station-Alkon small</t>
  </si>
  <si>
    <t>Capacitor 470 µF 
Qty: 100 
Rate: 20 
Electronics station-Alkon small</t>
  </si>
  <si>
    <t>Aluminium foil 
Qty: 5 
Rate: 50 
Craft station</t>
  </si>
  <si>
    <t>ABS Filement
 Qty: 1 
Rate: 500
 Rapid prototyping station</t>
  </si>
  <si>
    <t>Resistor 220K 
Qty: 100 
Rate: 1 
Electronics station-Alkon small</t>
  </si>
  <si>
    <t>Capacitor 100 µF 
Qty: 100 
Rate: 20 
Electronics station-Alkon small</t>
  </si>
  <si>
    <t>Cable Tie 100mm 
Qty: 5 
Rate: 50 
Craft station</t>
  </si>
  <si>
    <t>Fire extinguisher (handy units)
 Qty: 1
 Rate: 500 
Safety corner</t>
  </si>
  <si>
    <t>Resistor 39E 
Qty: 100 
Rate: 1 
Electronics station-Alkon small</t>
  </si>
  <si>
    <t>RGB LEDs 
Qty: 100 
Rate: 20 
Electronics station-Alkon small</t>
  </si>
  <si>
    <t>Craft knife 
Qty: 5 
Rate: 50 
Tools display</t>
  </si>
  <si>
    <t>First-Aid Supplies 
Qty: 1
 Rate: 500
 Safety corner</t>
  </si>
  <si>
    <t>Resistor 10k
 Qty: 100 
Rate: 1 
Electronics station-Alkon small</t>
  </si>
  <si>
    <t>Flexible Cutting Mat 
Qty: 10 
Rate: 200 
Tools display</t>
  </si>
  <si>
    <t>Sticky Note 
Qty: 10 
Rate: 25 
Craft station</t>
  </si>
  <si>
    <t>Portable pH meter 
Qty: 1
 Rate: 500 
Science lab</t>
  </si>
  <si>
    <t>Resistor 390E 
Qty: 100 
Rate: 1 
Electronics station-Alkon small</t>
  </si>
  <si>
    <t>Digital Vernier Calliper 
Qty: 1 
Rate: 2000 
Tools display</t>
  </si>
  <si>
    <t>Plastic Twine 
Qty: 1
 Rate: 250
 Craft station</t>
  </si>
  <si>
    <t xml:space="preserve">Electronic Weighing Scale 
Qty: 1 
Rate: 500
 Science lab </t>
  </si>
  <si>
    <t>Resistor 39K
 Qty: 100
 Rate: 1 
Electronics station-Alkon small</t>
  </si>
  <si>
    <t>Color sensor 
Qty: 10 
Rate: 200 
Electronics-Sensor kit</t>
  </si>
  <si>
    <t>Trimpot 100K 
Qty: 20 
Rate: 10 
Electronics station-Alkon small</t>
  </si>
  <si>
    <t>IR thermometer 
Qty: 1
 Rate: 500
 Tools display</t>
  </si>
  <si>
    <t>Resistor 390K 
Qty: 100
 Rate: 1 
Electronics station-Alkon small</t>
  </si>
  <si>
    <t>Mini Hacksaw 
Frame 
Qty: 10 
Rate: 170 
Tools display</t>
  </si>
  <si>
    <t>Trimpot 10K 
Qty: 20 
Rate: 10 
Electronics station-Alkon small</t>
  </si>
  <si>
    <t>Drill Press Table Stand 
Qty: 1 
Rate: 500
 Tools display</t>
  </si>
  <si>
    <t>Resistor 82E 
Qty: 100 
Rate: 1 
Electronics station-Alkon small</t>
  </si>
  <si>
    <t>BO1 Motor 200RPM 
Qty: 30 
Rate: 55 
Electronics storage</t>
  </si>
  <si>
    <t>Trimpot 1M 
Qty: 20
 Rate: 10 
Electronics station-Alkon small</t>
  </si>
  <si>
    <t>Hot glue gun-cordless 
Qty: 1 
Rate: 500
 Tools display</t>
  </si>
  <si>
    <t>Resistor 820E 
Qty: 100
 Rate: 1 
Electronics station-Alkon small</t>
  </si>
  <si>
    <t>BO1 Motor 60RPM 
Qty: 30 
Rate: 55 
Electronics storage</t>
  </si>
  <si>
    <t>Whiteboard marker
 Qty: 10 
Rate: 20 
Craft station</t>
  </si>
  <si>
    <t>Bench wise with clamp
 Qty: 1 
Rate: 500 
Tools display</t>
  </si>
  <si>
    <t>Resistor 82K 
Qty: 100 
Rate: 1 
Electronics station-Alkon small</t>
  </si>
  <si>
    <t>Regulated power supply 
Qty: 1 
Rate: 1500 
Electronics station</t>
  </si>
  <si>
    <t>Dc toy motor 
Qty: 10 
Rate: 20 
Electronics station-Alkon big</t>
  </si>
  <si>
    <t>Construction Paper 
Qty: 5 
Rate: 100 
Craft station</t>
  </si>
  <si>
    <t>Resistor 820K 
Qty: 100 
Rate: 1 
Electronics station-Alkon small</t>
  </si>
  <si>
    <t xml:space="preserve">Router 
Qty: 1 
Rate: 1500 
Media station </t>
  </si>
  <si>
    <t>Broom 
Qty: 1 
Rate: 200 
Cleaning Corner</t>
  </si>
  <si>
    <t>Paper Cups 
Qty: 5
 Rate: 100 
Craft station</t>
  </si>
  <si>
    <t>Resistor 1K 
Qty: 100 
Rate: 1 
Electronics station-Alkon small</t>
  </si>
  <si>
    <t>Temperature Heat Gun 
Qty: 1 
Rate: 1500 
Tools display</t>
  </si>
  <si>
    <t>Soldering Stand 
Qty: 1 
Rate: 200 
Electronics storage-soldering kit</t>
  </si>
  <si>
    <t>Foam core board 2mm
 Qty: 5 
Rate: 100 
Material storage</t>
  </si>
  <si>
    <t>Resistor 2.2K 
Qty: 100 
Rate: 1 
Electronics station-Alkon small</t>
  </si>
  <si>
    <t>PLA Filament 
Qty: 3 
Rate: 500 
Rapid prototyping station</t>
  </si>
  <si>
    <t>Adjustable Coping Hand Saw 
Qty: 1 
Rate: 200 
Tools display</t>
  </si>
  <si>
    <t>Utility knives 18MM
 Qty: 5 
Rate: 100
 Tools display</t>
  </si>
  <si>
    <t>Resistor 4.7K 
Qty: 100
 Rate: 1 
Electronics station-Alkon small</t>
  </si>
  <si>
    <t>Air dry clay 
Qty: 5 
Rate: 300 
Craft station</t>
  </si>
  <si>
    <t>Steel Shaft Claw Hammer-8 inch 
Qty: 1 
Rate: 200 
Tools display</t>
  </si>
  <si>
    <t>Clay modelling tools 
Qty: 10
 Rate: 50
 Craft station</t>
  </si>
  <si>
    <t>Resistor 1M 
Qty: 100
Rate: 1 Electronics station-Alkon small</t>
  </si>
  <si>
    <t>Battery charging unit 
Qty: 5 
Rate: 300 
Electronics storage</t>
  </si>
  <si>
    <t>File set 
Qty: 1 
Rate: 200 
Tools display</t>
  </si>
  <si>
    <t>Fabric marker 
Qty: 10 
Rate: 50
 Craft station</t>
  </si>
  <si>
    <t>Resistor 120K 
Qty: 100 
Rate: 1 
Electronics station-Alkon small</t>
  </si>
  <si>
    <t>Acrylic sheet 
Qty: 10 
Rate: 150 
Craft station</t>
  </si>
  <si>
    <t>Linesman Tester 
Qty: 1 
Rate: 200 
Tools display</t>
  </si>
  <si>
    <t>DC Toy Fan Blade 
Qty: 10
 Rate: 50 
Electronics station-Alkon big</t>
  </si>
  <si>
    <t>Resistor 180K 
Qty: 100 
Rate: 1 
Electronics station-Alkon small</t>
  </si>
  <si>
    <t>DC Cooling Fan 
Qty: 10 
Rate: 150 
Electronics storage</t>
  </si>
  <si>
    <t>Return measuring tape 
Qty: 1 
Rate: 200 
Tools display</t>
  </si>
  <si>
    <t>Battery holder-18650 
Qty: 10 
Rate: 50 
Electronics storage</t>
  </si>
  <si>
    <t>Resistor 680K 
Qty: 100 
Rate: 1 
Electronics station-Alkon small</t>
  </si>
  <si>
    <t>ESP-01 ESP8266 WIFI Module 
Qty: 10 
Rate: 150 
Electronics storage</t>
  </si>
  <si>
    <t>Screw Driver Set 
Qty: 1 
Rate: 200 
Tools display</t>
  </si>
  <si>
    <t>Speaker Module 
Qty: 10
 Rate: 50 
Electronics storage</t>
  </si>
  <si>
    <t>Resistor 27E 
Qty: 100 
Rate: 1 
Electronics station-Alkon small</t>
  </si>
  <si>
    <t>Rechargable Battery 18650 
Qty: 10 
Rate: 150 
Electronics storage</t>
  </si>
  <si>
    <t>Silicone dispensor 
Qty: 1 
Rate: 200 
Tools display</t>
  </si>
  <si>
    <t>USB Cable A to B 
Qty: 10
 Rate: 50 
Electronics storage</t>
  </si>
  <si>
    <t>Resistors 270E 
Qty: 100 
Rate: 1 
Electronics station-Alkon small</t>
  </si>
  <si>
    <t>Water Flow Sensor 
Qty: 10 
Rate: 150 
Electronics-Sensor kit</t>
  </si>
  <si>
    <t>Wire crimper 
Qty: 1 
Rate: 200 
Tools display</t>
  </si>
  <si>
    <t>USB cable Mini 
Qty: 10
 Rate: 50 
Electronics storage</t>
  </si>
  <si>
    <t>Resistors 27K 
Qty: 100 
Rate: 1 
Electronics station-Alkon small</t>
  </si>
  <si>
    <t>Utility scissor 240mm 
Qty: 10 
Rate: 150 
Tools display</t>
  </si>
  <si>
    <t>Laboratory gloves 
Qty: 2 
Rate: 100 
Safety corner</t>
  </si>
  <si>
    <t>Soldering Flux 
Qty: 10 
Rate: 50 
Electronics storage- soldering kit</t>
  </si>
  <si>
    <t>Resistors 270K 
Qty: 100 
Rate: 1 
Electronics station-Alkon small</t>
  </si>
  <si>
    <t>Capacitor 22 µF 
Qty: 100 
Rate: 15 
Electronics station-Alkon small</t>
  </si>
  <si>
    <t>Wash bottle 
Qty: 2 
Rate: 100 
Science lab</t>
  </si>
  <si>
    <t>Plastic Beaker  
Qty: 10
 Rate: 50 
Science lab storage</t>
  </si>
  <si>
    <t>Resistors 47E
 Qty: 100 
Rate: 1 
Electronics station-Alkon small</t>
  </si>
  <si>
    <t>Capacitor 47 µF 
Qty: 100 
Rate: 15 
Electronics station-Alkon small</t>
  </si>
  <si>
    <t>Microscope slides 
Qty: 2 
Rate: 100 
Science lab storage</t>
  </si>
  <si>
    <t>Transparent scale ruler 
Qty: 10 
Rate: 50
 Tools display</t>
  </si>
  <si>
    <t>Diode - IN 4007 
Qty: 20 
Rate: 5 
Electronics station-Alkon small</t>
  </si>
  <si>
    <t>Capacitor 10 µF 
Qty: 100 
Rate: 15 
Electronics station-Alkon small</t>
  </si>
  <si>
    <t>Measuring cups and spoons 
Qty: 2 
Rate: 100 
Tools display</t>
  </si>
  <si>
    <t>Pot Meter 1M 
Qty: 20
 Rate: 25 
Electronics station-Alkon big</t>
  </si>
  <si>
    <t>Diode- IN 4148 
Qty: 20 
Rate: 5 
Electronics station-Alkon small</t>
  </si>
  <si>
    <t xml:space="preserve">Electric hot plate 
Qty: 1 
Rate: 1500 
Science lab </t>
  </si>
  <si>
    <t>Binder clip 25mm 
Qty: 5 
Rate: 40 
Craft station</t>
  </si>
  <si>
    <t>Switch (Push on-push off) 
Qty: 50 
Rate: 10 
Electronics station-Alkon big</t>
  </si>
  <si>
    <t>Ziploc pouch 3x4 
Qty: 1
 Rate: 100
 Craft station</t>
  </si>
  <si>
    <t>Magnetometer sensor 
Qty: 10 
Rate: 150 
Electronics-Sensor kit</t>
  </si>
  <si>
    <t>Popsicle sticks 
Qty: 10 
Rate: 20 
Craft station</t>
  </si>
  <si>
    <t>Switch (Rocker)
 Qty: 50 
Rate: 10 
Electronics station-Alkon big</t>
  </si>
  <si>
    <t>Sewing needle
 Qty: 1 
Rate: 90 
Craft station</t>
  </si>
  <si>
    <t>Triple Axis accelerometer 
Qty: 10 
Rate: 150 
Electronics-Sensor kit</t>
  </si>
  <si>
    <t>MOSFET IRF540 
Qty: 10 
Rate: 20 
Electronics station-Alkon small</t>
  </si>
  <si>
    <t>Switch (Slide)
 Qty: 50 
Rate: 10 
Electronics station-Alkon big</t>
  </si>
  <si>
    <t>Bamboo Skewers 
Qty: 4 
Rate: 20 
Craft station</t>
  </si>
  <si>
    <t xml:space="preserve">Tripod 
Qty: 1 
Rate: 1500 
Media station </t>
  </si>
  <si>
    <t>Soldering Bit 1.2D 
Qty: 10 
Rate: 20 
Electronics storage-soldering kit</t>
  </si>
  <si>
    <t>Switch (Toggle) 
Qty: 50 
Rate: 10 
Electronics station-Alkon big</t>
  </si>
  <si>
    <t>Paper Clips( gem clip) 
Qty: 2 
Rate: 40 
Craft station</t>
  </si>
  <si>
    <t>Sound Playback Module 
Qty: 10 
Rate: 130 
Electronics-Sensor kit</t>
  </si>
  <si>
    <t>DE-soldering Cu Braid (Solder Wick) 
Qty: 10 
Rate: 20 
Electronics storage-solenoid kit</t>
  </si>
  <si>
    <t>Capacitor 0.1 µF 
Qty: 100 
Rate: 5 
Electronics station-Alkon small</t>
  </si>
  <si>
    <t>Stainless steel razor blade
 Qty: 1 
Rate: 50 
Science lab storage</t>
  </si>
  <si>
    <t>Pulse Rate Heart Sensor 
Qty: 10 
Rate: 125 
Electronics-Sensor kit</t>
  </si>
  <si>
    <t>Plastic Syringe 
Qty: 10 
Rate: 20 
Science lab storage</t>
  </si>
  <si>
    <t>Rubber mallet
Qty: 1
Rate: 260
Tools display</t>
  </si>
  <si>
    <t>Rotary tool
Qty: 1
Rate:  3500
Tools display</t>
  </si>
  <si>
    <t>Rubber apron
Qty: 100 
Rate: 5 
Science lab</t>
  </si>
  <si>
    <t>Qty 1 Lab</t>
  </si>
  <si>
    <t>Total Qty</t>
  </si>
  <si>
    <t>Paint Brushes set</t>
  </si>
  <si>
    <t>Popsicle sticks - 500 Piece Kit</t>
  </si>
  <si>
    <t>sponge for cleaning</t>
  </si>
  <si>
    <t>Utility knife blades 18MM</t>
  </si>
  <si>
    <t>Utility knife blades 9MM</t>
  </si>
  <si>
    <t>Utility knives 9MM</t>
  </si>
  <si>
    <t>Utility scissor 150mm</t>
  </si>
  <si>
    <t>Utility scissor 240mm</t>
  </si>
  <si>
    <t>Binder clip 15mm</t>
  </si>
  <si>
    <t>Binder clip 25mm</t>
  </si>
  <si>
    <t>Binder clip 51mm</t>
  </si>
  <si>
    <t>Rubber band 1.5 inch</t>
  </si>
  <si>
    <t>Rubber band 1/2 inch</t>
  </si>
  <si>
    <t>Rubber band 4 inch</t>
  </si>
  <si>
    <t>Rubber band 7 inch</t>
  </si>
  <si>
    <t>Aluminium foil</t>
  </si>
  <si>
    <t>Foam core board 2mm</t>
  </si>
  <si>
    <t>Foam core board 5mm</t>
  </si>
  <si>
    <t>Fire extinguisher (handy units)</t>
  </si>
  <si>
    <t>First aid box</t>
  </si>
  <si>
    <t>Stapler pin</t>
  </si>
  <si>
    <t>Measuring cups and spoons</t>
  </si>
  <si>
    <t>Tailors tape</t>
  </si>
  <si>
    <t>Acrylic sheet</t>
  </si>
  <si>
    <t>PU Foam sheet</t>
  </si>
  <si>
    <t>Silicon tubing</t>
  </si>
  <si>
    <t>Lab coat</t>
  </si>
  <si>
    <t>Rubber apron</t>
  </si>
  <si>
    <t>Sewing needle Kit</t>
  </si>
  <si>
    <t>Sewing Thread Set</t>
  </si>
  <si>
    <t>Sewing seam ripper</t>
  </si>
  <si>
    <t>Sewing thread cutter</t>
  </si>
  <si>
    <t xml:space="preserve">Beaker 250ml - Borosilicate </t>
  </si>
  <si>
    <t xml:space="preserve">Beaker 500ml - Borosilicate </t>
  </si>
  <si>
    <t xml:space="preserve">Conical Flask 250ml - Borosilicate </t>
  </si>
  <si>
    <t>Filter Paper Set</t>
  </si>
  <si>
    <t>Measuring Jug set (Different Size)</t>
  </si>
  <si>
    <t>Microscope Cover Glass set</t>
  </si>
  <si>
    <t>Microscope Slides set</t>
  </si>
  <si>
    <t>Petri Dishes - Plastic</t>
  </si>
  <si>
    <t>Plastic Syringe - 50ml - No needle</t>
  </si>
  <si>
    <t xml:space="preserve">Test Tube - Borosilicate </t>
  </si>
  <si>
    <t>Microscope Binocular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</si>
</sst>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59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strike/>
      <sz val="12.0"/>
      <color theme="1"/>
      <name val="Calibri"/>
    </font>
    <font>
      <sz val="12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i/>
      <sz val="10.0"/>
      <color theme="1"/>
      <name val="Arial"/>
    </font>
    <font>
      <sz val="11.0"/>
      <color rgb="FF000000"/>
      <name val="Calibri"/>
    </font>
    <font>
      <color theme="1"/>
      <name val="Calibri"/>
    </font>
    <font>
      <sz val="12.0"/>
      <color rgb="FFFF0000"/>
      <name val="Calibri"/>
    </font>
    <font>
      <b/>
      <sz val="20.0"/>
      <color theme="1"/>
      <name val="Calibri"/>
    </font>
    <font/>
    <font>
      <b/>
      <sz val="16.0"/>
      <color theme="1"/>
      <name val="Calibri"/>
    </font>
    <font>
      <b/>
      <sz val="15.0"/>
      <color theme="1"/>
      <name val="Calibri"/>
    </font>
    <font>
      <b/>
      <sz val="11.0"/>
      <color theme="1"/>
      <name val="Calibri"/>
    </font>
    <font>
      <sz val="12.0"/>
      <color theme="4"/>
      <name val="Calibri"/>
    </font>
    <font>
      <sz val="12.0"/>
      <color theme="9"/>
      <name val="Calibri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sz val="12.0"/>
      <color rgb="FF000000"/>
      <name val="Calibri"/>
    </font>
    <font>
      <color theme="1"/>
      <name val="Calibri"/>
      <scheme val="minor"/>
    </font>
    <font>
      <strike/>
      <sz val="10.0"/>
      <color theme="1"/>
      <name val="Arial"/>
    </font>
    <font>
      <strike/>
      <sz val="11.0"/>
      <color theme="1"/>
      <name val="Calibri"/>
    </font>
    <font>
      <sz val="11.0"/>
      <color theme="1"/>
      <name val="Arial"/>
    </font>
    <font>
      <sz val="11.0"/>
      <color rgb="FF434343"/>
      <name val="Roboto"/>
    </font>
    <font>
      <sz val="12.0"/>
      <color rgb="FF434343"/>
      <name val="Roboto"/>
    </font>
    <font>
      <b/>
      <sz val="15.0"/>
      <color theme="1"/>
      <name val="Arial"/>
    </font>
    <font>
      <sz val="16.0"/>
      <color theme="1"/>
      <name val="Calibri"/>
    </font>
    <font>
      <sz val="16.0"/>
      <color theme="1"/>
      <name val="Arial"/>
    </font>
    <font>
      <sz val="16.0"/>
      <color theme="1"/>
      <name val="Calibri"/>
      <scheme val="minor"/>
    </font>
    <font>
      <b/>
      <color theme="1"/>
      <name val="Calibri"/>
      <scheme val="minor"/>
    </font>
    <font>
      <strike/>
      <color theme="1"/>
      <name val="Calibri"/>
    </font>
    <font>
      <b/>
      <sz val="10.0"/>
      <color rgb="FF000000"/>
      <name val="Arial"/>
    </font>
    <font>
      <b/>
      <color theme="1"/>
      <name val="Arial"/>
    </font>
    <font>
      <b/>
      <sz val="26.0"/>
      <color theme="1"/>
      <name val="Arial"/>
    </font>
    <font>
      <b/>
      <sz val="19.0"/>
      <color theme="1"/>
      <name val="Arial"/>
    </font>
    <font>
      <b/>
      <sz val="24.0"/>
      <color theme="1"/>
      <name val="Arial"/>
    </font>
    <font>
      <b/>
      <sz val="27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b/>
      <sz val="25.0"/>
      <color theme="1"/>
      <name val="Arial"/>
    </font>
    <font>
      <sz val="9.0"/>
      <color rgb="FF000000"/>
      <name val="Arial"/>
    </font>
    <font>
      <color rgb="FF000000"/>
      <name val="Calibri"/>
    </font>
    <font>
      <b/>
      <sz val="11.0"/>
      <color rgb="FF000000"/>
      <name val="Arial"/>
    </font>
    <font>
      <sz val="15.0"/>
      <color theme="1"/>
      <name val="Calibri"/>
    </font>
    <font>
      <strike/>
      <sz val="15.0"/>
      <color theme="1"/>
      <name val="Calibri"/>
    </font>
    <font>
      <color rgb="FF434343"/>
      <name val="Roboto"/>
    </font>
    <font>
      <b/>
      <sz val="11.0"/>
      <color rgb="FF000000"/>
      <name val="Calibri"/>
    </font>
    <font>
      <sz val="10.0"/>
      <color rgb="FFFF0000"/>
      <name val="Arial"/>
    </font>
    <font>
      <sz val="11.0"/>
      <color rgb="FFFF0000"/>
      <name val="Calibri"/>
    </font>
    <font>
      <strike/>
      <sz val="12.0"/>
      <color rgb="FFFF000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6.0"/>
      <color theme="1"/>
      <name val="Aptos Narrow"/>
    </font>
    <font>
      <b/>
      <sz val="12.0"/>
      <color rgb="FF000000"/>
      <name val="Calibri"/>
    </font>
    <font>
      <b/>
      <sz val="14.0"/>
      <color theme="1"/>
      <name val="Calibri"/>
    </font>
  </fonts>
  <fills count="5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FFCCFF"/>
        <bgColor rgb="FFFFCCFF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rgb="FF00CC99"/>
        <bgColor rgb="FF00CC99"/>
      </patternFill>
    </fill>
    <fill>
      <patternFill patternType="solid">
        <fgColor rgb="FFF4B083"/>
        <bgColor rgb="FFF4B083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C00000"/>
        <bgColor rgb="FFC00000"/>
      </patternFill>
    </fill>
    <fill>
      <patternFill patternType="solid">
        <fgColor rgb="FFF6B0F8"/>
        <bgColor rgb="FFF6B0F8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  <fill>
      <patternFill patternType="solid">
        <fgColor rgb="FF90F8D3"/>
        <bgColor rgb="FF90F8D3"/>
      </patternFill>
    </fill>
    <fill>
      <patternFill patternType="solid">
        <fgColor rgb="FFD6DCE4"/>
        <bgColor rgb="FFD6DCE4"/>
      </patternFill>
    </fill>
    <fill>
      <patternFill patternType="solid">
        <fgColor rgb="FFEFEFEF"/>
        <bgColor rgb="FFEFEFEF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rgb="FFC4E3FC"/>
        <bgColor rgb="FFC4E3FC"/>
      </patternFill>
    </fill>
    <fill>
      <patternFill patternType="solid">
        <fgColor rgb="FFEAEDF1"/>
        <bgColor rgb="FFEAEDF1"/>
      </patternFill>
    </fill>
    <fill>
      <patternFill patternType="solid">
        <fgColor rgb="FFECECEC"/>
        <bgColor rgb="FFECECEC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CCFFFF"/>
        <bgColor rgb="FFCCFFFF"/>
      </patternFill>
    </fill>
    <fill>
      <patternFill patternType="solid">
        <fgColor rgb="FFF2EDB0"/>
        <bgColor rgb="FFF2EDB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9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vertical="center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readingOrder="1" shrinkToFit="0" vertical="center" wrapText="1"/>
    </xf>
    <xf borderId="1" fillId="3" fontId="8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readingOrder="1" shrinkToFit="0" vertical="center" wrapText="1"/>
    </xf>
    <xf borderId="1" fillId="3" fontId="6" numFmtId="0" xfId="0" applyAlignment="1" applyBorder="1" applyFont="1">
      <alignment vertical="center"/>
    </xf>
    <xf quotePrefix="1" borderId="1" fillId="3" fontId="7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0" fillId="4" fontId="5" numFmtId="0" xfId="0" applyAlignment="1" applyFont="1">
      <alignment horizontal="center" vertical="center"/>
    </xf>
    <xf borderId="0" fillId="0" fontId="10" numFmtId="0" xfId="0" applyFont="1"/>
    <xf borderId="0" fillId="0" fontId="11" numFmtId="0" xfId="0" applyAlignment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3" fillId="3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2" fillId="3" fontId="12" numFmtId="0" xfId="0" applyAlignment="1" applyBorder="1" applyFont="1">
      <alignment horizontal="center" shrinkToFit="0" vertical="center" wrapText="1"/>
    </xf>
    <xf borderId="4" fillId="0" fontId="13" numFmtId="0" xfId="0" applyBorder="1" applyFont="1"/>
    <xf borderId="5" fillId="0" fontId="13" numFmtId="0" xfId="0" applyBorder="1" applyFont="1"/>
    <xf borderId="6" fillId="3" fontId="12" numFmtId="0" xfId="0" applyAlignment="1" applyBorder="1" applyFont="1">
      <alignment horizontal="center" vertical="center"/>
    </xf>
    <xf borderId="3" fillId="3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2" fillId="0" fontId="14" numFmtId="0" xfId="0" applyAlignment="1" applyBorder="1" applyFont="1">
      <alignment horizontal="left" shrinkToFit="0" vertical="center" wrapText="1"/>
    </xf>
    <xf borderId="6" fillId="3" fontId="5" numFmtId="0" xfId="0" applyAlignment="1" applyBorder="1" applyFont="1">
      <alignment vertical="center"/>
    </xf>
    <xf borderId="3" fillId="3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7" fillId="5" fontId="15" numFmtId="0" xfId="0" applyAlignment="1" applyBorder="1" applyFill="1" applyFont="1">
      <alignment horizontal="left" vertical="center"/>
    </xf>
    <xf borderId="8" fillId="5" fontId="15" numFmtId="0" xfId="0" applyAlignment="1" applyBorder="1" applyFont="1">
      <alignment horizontal="left" vertical="center"/>
    </xf>
    <xf borderId="8" fillId="5" fontId="15" numFmtId="0" xfId="0" applyAlignment="1" applyBorder="1" applyFont="1">
      <alignment horizontal="left" shrinkToFit="0" vertical="center" wrapText="1"/>
    </xf>
    <xf borderId="6" fillId="5" fontId="15" numFmtId="0" xfId="0" applyAlignment="1" applyBorder="1" applyFont="1">
      <alignment horizontal="left" vertical="center"/>
    </xf>
    <xf borderId="6" fillId="3" fontId="15" numFmtId="0" xfId="0" applyAlignment="1" applyBorder="1" applyFont="1">
      <alignment horizontal="left" vertical="center"/>
    </xf>
    <xf borderId="3" fillId="3" fontId="15" numFmtId="0" xfId="0" applyAlignment="1" applyBorder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5" numFmtId="16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1" fillId="6" fontId="1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9" fillId="3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10" fillId="3" fontId="4" numFmtId="0" xfId="0" applyAlignment="1" applyBorder="1" applyFont="1">
      <alignment horizontal="center" vertical="center"/>
    </xf>
    <xf borderId="11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9" fillId="3" fontId="16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0" fillId="0" fontId="7" numFmtId="164" xfId="0" applyFont="1" applyNumberFormat="1"/>
    <xf borderId="0" fillId="0" fontId="11" numFmtId="164" xfId="0" applyAlignment="1" applyFont="1" applyNumberForma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3" fillId="3" fontId="11" numFmtId="0" xfId="0" applyAlignment="1" applyBorder="1" applyFont="1">
      <alignment horizontal="center" vertical="center"/>
    </xf>
    <xf borderId="3" fillId="3" fontId="11" numFmtId="164" xfId="0" applyAlignment="1" applyBorder="1" applyFont="1" applyNumberFormat="1">
      <alignment horizontal="center" vertical="center"/>
    </xf>
    <xf borderId="3" fillId="3" fontId="5" numFmtId="164" xfId="0" applyAlignment="1" applyBorder="1" applyFont="1" applyNumberFormat="1">
      <alignment horizontal="center" vertical="center"/>
    </xf>
    <xf borderId="3" fillId="3" fontId="7" numFmtId="0" xfId="0" applyBorder="1" applyFont="1"/>
    <xf borderId="3" fillId="3" fontId="17" numFmtId="164" xfId="0" applyAlignment="1" applyBorder="1" applyFont="1" applyNumberFormat="1">
      <alignment horizontal="center" vertical="center"/>
    </xf>
    <xf borderId="3" fillId="3" fontId="18" numFmtId="164" xfId="0" applyAlignment="1" applyBorder="1" applyFont="1" applyNumberFormat="1">
      <alignment horizontal="center" vertical="center"/>
    </xf>
    <xf borderId="6" fillId="3" fontId="5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1" fillId="7" fontId="6" numFmtId="0" xfId="0" applyAlignment="1" applyBorder="1" applyFill="1" applyFont="1">
      <alignment shrinkToFit="0" vertical="center" wrapText="1"/>
    </xf>
    <xf borderId="1" fillId="8" fontId="6" numFmtId="0" xfId="0" applyAlignment="1" applyBorder="1" applyFill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8" fontId="19" numFmtId="0" xfId="0" applyAlignment="1" applyBorder="1" applyFont="1">
      <alignment horizontal="left"/>
    </xf>
    <xf borderId="1" fillId="7" fontId="6" numFmtId="0" xfId="0" applyAlignment="1" applyBorder="1" applyFont="1">
      <alignment vertical="center"/>
    </xf>
    <xf borderId="2" fillId="2" fontId="3" numFmtId="0" xfId="0" applyAlignment="1" applyBorder="1" applyFont="1">
      <alignment horizontal="center"/>
    </xf>
    <xf borderId="0" fillId="0" fontId="6" numFmtId="0" xfId="0" applyAlignment="1" applyFont="1">
      <alignment shrinkToFit="0" wrapText="1"/>
    </xf>
    <xf borderId="0" fillId="2" fontId="3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1" fillId="2" fontId="3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20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4" fillId="0" fontId="6" numFmtId="0" xfId="0" applyAlignment="1" applyBorder="1" applyFont="1">
      <alignment shrinkToFit="0" wrapText="1"/>
    </xf>
    <xf borderId="15" fillId="0" fontId="6" numFmtId="0" xfId="0" applyAlignment="1" applyBorder="1" applyFont="1">
      <alignment horizontal="center"/>
    </xf>
    <xf borderId="1" fillId="8" fontId="20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bottom" wrapText="1"/>
    </xf>
    <xf borderId="5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vertical="bottom"/>
    </xf>
    <xf borderId="15" fillId="0" fontId="6" numFmtId="0" xfId="0" applyAlignment="1" applyBorder="1" applyFont="1">
      <alignment horizontal="center" vertical="bottom"/>
    </xf>
    <xf borderId="1" fillId="0" fontId="21" numFmtId="0" xfId="0" applyAlignment="1" applyBorder="1" applyFont="1">
      <alignment shrinkToFit="0" wrapText="1"/>
    </xf>
    <xf borderId="1" fillId="0" fontId="21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7" fillId="0" fontId="13" numFmtId="0" xfId="0" applyBorder="1" applyFont="1"/>
    <xf borderId="18" fillId="0" fontId="13" numFmtId="0" xfId="0" applyBorder="1" applyFont="1"/>
    <xf borderId="19" fillId="0" fontId="13" numFmtId="0" xfId="0" applyBorder="1" applyFont="1"/>
    <xf borderId="20" fillId="0" fontId="13" numFmtId="0" xfId="0" applyBorder="1" applyFont="1"/>
    <xf borderId="15" fillId="0" fontId="13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2" fillId="9" fontId="6" numFmtId="0" xfId="0" applyAlignment="1" applyBorder="1" applyFill="1" applyFont="1">
      <alignment shrinkToFit="0" vertical="center" wrapText="1"/>
    </xf>
    <xf borderId="5" fillId="0" fontId="6" numFmtId="0" xfId="0" applyAlignment="1" applyBorder="1" applyFont="1">
      <alignment horizontal="center"/>
    </xf>
    <xf borderId="0" fillId="0" fontId="21" numFmtId="0" xfId="0" applyAlignment="1" applyFont="1">
      <alignment horizontal="center"/>
    </xf>
    <xf borderId="14" fillId="0" fontId="6" numFmtId="0" xfId="0" applyAlignment="1" applyBorder="1" applyFont="1">
      <alignment shrinkToFit="0" vertical="bottom" wrapText="1"/>
    </xf>
    <xf borderId="0" fillId="0" fontId="21" numFmtId="0" xfId="0" applyAlignment="1" applyFont="1">
      <alignment shrinkToFit="0" wrapText="1"/>
    </xf>
    <xf borderId="21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readingOrder="0" vertical="center"/>
    </xf>
    <xf borderId="21" fillId="0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21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shrinkToFit="0" vertical="center" wrapText="1"/>
    </xf>
    <xf borderId="21" fillId="0" fontId="5" numFmtId="0" xfId="0" applyAlignment="1" applyBorder="1" applyFont="1">
      <alignment vertical="center"/>
    </xf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left" vertical="center"/>
    </xf>
    <xf borderId="21" fillId="0" fontId="5" numFmtId="0" xfId="0" applyAlignment="1" applyBorder="1" applyFont="1">
      <alignment horizontal="left" shrinkToFit="0" vertical="center" wrapText="1"/>
    </xf>
    <xf borderId="21" fillId="0" fontId="5" numFmtId="0" xfId="0" applyAlignment="1" applyBorder="1" applyFont="1">
      <alignment vertical="center"/>
    </xf>
    <xf borderId="21" fillId="10" fontId="5" numFmtId="0" xfId="0" applyAlignment="1" applyBorder="1" applyFill="1" applyFont="1">
      <alignment horizontal="left" vertical="center"/>
    </xf>
    <xf borderId="0" fillId="8" fontId="5" numFmtId="0" xfId="0" applyAlignment="1" applyFont="1">
      <alignment vertical="center"/>
    </xf>
    <xf borderId="21" fillId="0" fontId="5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left" shrinkToFit="0" vertical="center" wrapText="1"/>
    </xf>
    <xf borderId="21" fillId="8" fontId="5" numFmtId="0" xfId="0" applyAlignment="1" applyBorder="1" applyFont="1">
      <alignment horizontal="center" vertical="center"/>
    </xf>
    <xf borderId="21" fillId="8" fontId="5" numFmtId="0" xfId="0" applyAlignment="1" applyBorder="1" applyFont="1">
      <alignment shrinkToFit="0" vertical="center" wrapText="1"/>
    </xf>
    <xf borderId="21" fillId="8" fontId="5" numFmtId="0" xfId="0" applyAlignment="1" applyBorder="1" applyFont="1">
      <alignment vertical="center"/>
    </xf>
    <xf borderId="21" fillId="8" fontId="5" numFmtId="0" xfId="0" applyAlignment="1" applyBorder="1" applyFont="1">
      <alignment horizontal="center" shrinkToFit="0" vertical="center" wrapText="1"/>
    </xf>
    <xf borderId="21" fillId="8" fontId="5" numFmtId="0" xfId="0" applyAlignment="1" applyBorder="1" applyFont="1">
      <alignment horizontal="left" vertical="center"/>
    </xf>
    <xf borderId="21" fillId="8" fontId="5" numFmtId="0" xfId="0" applyAlignment="1" applyBorder="1" applyFont="1">
      <alignment horizontal="left" shrinkToFit="0" vertical="center" wrapText="1"/>
    </xf>
    <xf borderId="21" fillId="8" fontId="4" numFmtId="0" xfId="0" applyAlignment="1" applyBorder="1" applyFont="1">
      <alignment horizontal="center" vertical="center"/>
    </xf>
    <xf borderId="21" fillId="8" fontId="5" numFmtId="0" xfId="0" applyAlignment="1" applyBorder="1" applyFont="1">
      <alignment horizontal="center" readingOrder="0" vertical="center"/>
    </xf>
    <xf borderId="21" fillId="8" fontId="5" numFmtId="0" xfId="0" applyAlignment="1" applyBorder="1" applyFont="1">
      <alignment vertical="center"/>
    </xf>
    <xf borderId="21" fillId="8" fontId="5" numFmtId="0" xfId="0" applyAlignment="1" applyBorder="1" applyFont="1">
      <alignment horizontal="left" vertical="center"/>
    </xf>
    <xf borderId="21" fillId="8" fontId="1" numFmtId="0" xfId="0" applyAlignment="1" applyBorder="1" applyFont="1">
      <alignment horizontal="center" vertical="center"/>
    </xf>
    <xf borderId="21" fillId="8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left" readingOrder="1" shrinkToFit="0" vertical="center" wrapText="1"/>
    </xf>
    <xf borderId="21" fillId="11" fontId="4" numFmtId="0" xfId="0" applyAlignment="1" applyBorder="1" applyFill="1" applyFont="1">
      <alignment horizontal="center" vertical="center"/>
    </xf>
    <xf borderId="21" fillId="11" fontId="4" numFmtId="0" xfId="0" applyAlignment="1" applyBorder="1" applyFont="1">
      <alignment shrinkToFit="0" vertical="center" wrapText="1"/>
    </xf>
    <xf borderId="21" fillId="11" fontId="4" numFmtId="0" xfId="0" applyAlignment="1" applyBorder="1" applyFont="1">
      <alignment vertical="center"/>
    </xf>
    <xf borderId="21" fillId="11" fontId="4" numFmtId="0" xfId="0" applyAlignment="1" applyBorder="1" applyFont="1">
      <alignment horizontal="center" shrinkToFit="0" vertical="center" wrapText="1"/>
    </xf>
    <xf borderId="21" fillId="11" fontId="4" numFmtId="0" xfId="0" applyAlignment="1" applyBorder="1" applyFont="1">
      <alignment horizontal="left" vertical="center"/>
    </xf>
    <xf borderId="21" fillId="11" fontId="4" numFmtId="0" xfId="0" applyAlignment="1" applyBorder="1" applyFont="1">
      <alignment horizontal="left" shrinkToFit="0" vertical="center" wrapText="1"/>
    </xf>
    <xf borderId="21" fillId="11" fontId="4" numFmtId="0" xfId="0" applyAlignment="1" applyBorder="1" applyFont="1">
      <alignment horizontal="center" readingOrder="0" vertical="center"/>
    </xf>
    <xf borderId="0" fillId="8" fontId="5" numFmtId="0" xfId="0" applyAlignment="1" applyFont="1">
      <alignment readingOrder="0" vertical="center"/>
    </xf>
    <xf borderId="21" fillId="8" fontId="5" numFmtId="0" xfId="0" applyAlignment="1" applyBorder="1" applyFont="1">
      <alignment readingOrder="0" vertical="center"/>
    </xf>
    <xf borderId="21" fillId="8" fontId="5" numFmtId="0" xfId="0" applyAlignment="1" applyBorder="1" applyFont="1">
      <alignment horizontal="center" readingOrder="1" shrinkToFit="0" vertical="center" wrapText="1"/>
    </xf>
    <xf borderId="21" fillId="8" fontId="5" numFmtId="0" xfId="0" applyAlignment="1" applyBorder="1" applyFont="1">
      <alignment horizontal="center" readingOrder="1" shrinkToFit="0" vertical="center" wrapText="1"/>
    </xf>
    <xf borderId="21" fillId="8" fontId="4" numFmtId="0" xfId="0" applyAlignment="1" applyBorder="1" applyFont="1">
      <alignment horizontal="center" readingOrder="0" vertical="center"/>
    </xf>
    <xf borderId="0" fillId="10" fontId="5" numFmtId="0" xfId="0" applyAlignment="1" applyFont="1">
      <alignment vertical="center"/>
    </xf>
    <xf borderId="0" fillId="0" fontId="5" numFmtId="0" xfId="0" applyAlignment="1" applyFont="1">
      <alignment vertical="center"/>
    </xf>
    <xf borderId="21" fillId="8" fontId="5" numFmtId="0" xfId="0" applyAlignment="1" applyBorder="1" applyFont="1">
      <alignment readingOrder="0" shrinkToFit="0" vertical="center" wrapText="1"/>
    </xf>
    <xf borderId="0" fillId="10" fontId="5" numFmtId="0" xfId="0" applyAlignment="1" applyFont="1">
      <alignment readingOrder="0" vertical="center"/>
    </xf>
    <xf quotePrefix="1" borderId="21" fillId="0" fontId="5" numFmtId="0" xfId="0" applyAlignment="1" applyBorder="1" applyFont="1">
      <alignment horizontal="left" shrinkToFit="0" vertical="center" wrapText="1"/>
    </xf>
    <xf borderId="21" fillId="0" fontId="22" numFmtId="0" xfId="0" applyAlignment="1" applyBorder="1" applyFont="1">
      <alignment shrinkToFit="0" vertical="center" wrapText="1"/>
    </xf>
    <xf borderId="21" fillId="12" fontId="5" numFmtId="0" xfId="0" applyAlignment="1" applyBorder="1" applyFill="1" applyFont="1">
      <alignment horizontal="center" vertical="center"/>
    </xf>
    <xf borderId="21" fillId="12" fontId="5" numFmtId="0" xfId="0" applyAlignment="1" applyBorder="1" applyFont="1">
      <alignment shrinkToFit="0" vertical="center" wrapText="1"/>
    </xf>
    <xf borderId="21" fillId="12" fontId="5" numFmtId="0" xfId="0" applyAlignment="1" applyBorder="1" applyFont="1">
      <alignment vertical="center"/>
    </xf>
    <xf borderId="21" fillId="12" fontId="5" numFmtId="0" xfId="0" applyAlignment="1" applyBorder="1" applyFont="1">
      <alignment horizontal="center" shrinkToFit="0" vertical="center" wrapText="1"/>
    </xf>
    <xf borderId="21" fillId="12" fontId="5" numFmtId="0" xfId="0" applyAlignment="1" applyBorder="1" applyFont="1">
      <alignment horizontal="left" vertical="center"/>
    </xf>
    <xf borderId="21" fillId="12" fontId="5" numFmtId="0" xfId="0" applyAlignment="1" applyBorder="1" applyFont="1">
      <alignment horizontal="left" shrinkToFit="0" vertical="center" wrapText="1"/>
    </xf>
    <xf borderId="21" fillId="12" fontId="1" numFmtId="0" xfId="0" applyAlignment="1" applyBorder="1" applyFont="1">
      <alignment horizontal="center" vertical="center"/>
    </xf>
    <xf borderId="21" fillId="12" fontId="5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shrinkToFit="0" vertical="center" wrapText="1"/>
    </xf>
    <xf borderId="21" fillId="8" fontId="5" numFmtId="0" xfId="0" applyAlignment="1" applyBorder="1" applyFont="1">
      <alignment horizontal="left" readingOrder="1" shrinkToFit="0" vertical="center" wrapText="1"/>
    </xf>
    <xf borderId="21" fillId="8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21" fillId="0" fontId="22" numFmtId="0" xfId="0" applyAlignment="1" applyBorder="1" applyFont="1">
      <alignment horizontal="left" shrinkToFit="0" vertical="center" wrapText="1"/>
    </xf>
    <xf borderId="21" fillId="13" fontId="5" numFmtId="0" xfId="0" applyAlignment="1" applyBorder="1" applyFill="1" applyFont="1">
      <alignment horizontal="center" vertical="center"/>
    </xf>
    <xf borderId="21" fillId="13" fontId="5" numFmtId="0" xfId="0" applyAlignment="1" applyBorder="1" applyFont="1">
      <alignment shrinkToFit="0" vertical="center" wrapText="1"/>
    </xf>
    <xf borderId="21" fillId="13" fontId="5" numFmtId="0" xfId="0" applyAlignment="1" applyBorder="1" applyFont="1">
      <alignment vertical="center"/>
    </xf>
    <xf borderId="21" fillId="13" fontId="5" numFmtId="0" xfId="0" applyAlignment="1" applyBorder="1" applyFont="1">
      <alignment horizontal="center" shrinkToFit="0" vertical="center" wrapText="1"/>
    </xf>
    <xf borderId="21" fillId="13" fontId="5" numFmtId="0" xfId="0" applyAlignment="1" applyBorder="1" applyFont="1">
      <alignment horizontal="left" vertical="center"/>
    </xf>
    <xf borderId="21" fillId="13" fontId="5" numFmtId="0" xfId="0" applyAlignment="1" applyBorder="1" applyFont="1">
      <alignment horizontal="left" shrinkToFit="0" vertical="center" wrapText="1"/>
    </xf>
    <xf borderId="21" fillId="13" fontId="1" numFmtId="0" xfId="0" applyAlignment="1" applyBorder="1" applyFont="1">
      <alignment horizontal="center" vertical="center"/>
    </xf>
    <xf borderId="21" fillId="8" fontId="5" numFmtId="0" xfId="0" applyAlignment="1" applyBorder="1" applyFont="1">
      <alignment horizontal="left" readingOrder="0" vertical="center"/>
    </xf>
    <xf borderId="21" fillId="8" fontId="1" numFmtId="0" xfId="0" applyAlignment="1" applyBorder="1" applyFont="1">
      <alignment horizontal="left" vertical="center"/>
    </xf>
    <xf borderId="21" fillId="11" fontId="5" numFmtId="0" xfId="0" applyAlignment="1" applyBorder="1" applyFont="1">
      <alignment horizontal="left" vertical="center"/>
    </xf>
    <xf borderId="21" fillId="11" fontId="1" numFmtId="0" xfId="0" applyAlignment="1" applyBorder="1" applyFont="1">
      <alignment horizontal="left" vertical="center"/>
    </xf>
    <xf borderId="21" fillId="11" fontId="5" numFmtId="0" xfId="0" applyAlignment="1" applyBorder="1" applyFont="1">
      <alignment horizontal="center" readingOrder="0" vertical="center"/>
    </xf>
    <xf borderId="21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1" fillId="0" fontId="23" numFmtId="0" xfId="0" applyAlignment="1" applyBorder="1" applyFont="1">
      <alignment horizontal="left" readingOrder="0" shrinkToFit="0" wrapText="1"/>
    </xf>
    <xf borderId="2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readingOrder="1" shrinkToFit="0" vertical="center" wrapText="1"/>
    </xf>
    <xf borderId="1" fillId="11" fontId="4" numFmtId="0" xfId="0" applyAlignment="1" applyBorder="1" applyFont="1">
      <alignment horizontal="center" vertical="center"/>
    </xf>
    <xf borderId="1" fillId="11" fontId="24" numFmtId="0" xfId="0" applyAlignment="1" applyBorder="1" applyFont="1">
      <alignment shrinkToFit="0" vertical="center" wrapText="1"/>
    </xf>
    <xf borderId="1" fillId="11" fontId="25" numFmtId="0" xfId="0" applyAlignment="1" applyBorder="1" applyFont="1">
      <alignment vertical="center"/>
    </xf>
    <xf borderId="1" fillId="11" fontId="4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horizontal="left" vertical="center"/>
    </xf>
    <xf borderId="1" fillId="11" fontId="24" numFmtId="0" xfId="0" applyAlignment="1" applyBorder="1" applyFont="1">
      <alignment horizontal="center" shrinkToFit="0" vertical="center" wrapText="1"/>
    </xf>
    <xf borderId="1" fillId="11" fontId="4" numFmtId="0" xfId="0" applyAlignment="1" applyBorder="1" applyFont="1">
      <alignment horizontal="left" shrinkToFit="0" vertical="center" wrapText="1"/>
    </xf>
    <xf borderId="1" fillId="11" fontId="5" numFmtId="0" xfId="0" applyAlignment="1" applyBorder="1" applyFont="1">
      <alignment horizontal="center" readingOrder="0" vertical="center"/>
    </xf>
    <xf borderId="1" fillId="11" fontId="6" numFmtId="0" xfId="0" applyAlignment="1" applyBorder="1" applyFont="1">
      <alignment shrinkToFit="0" vertical="center" wrapText="1"/>
    </xf>
    <xf borderId="1" fillId="11" fontId="7" numFmtId="0" xfId="0" applyAlignment="1" applyBorder="1" applyFont="1">
      <alignment vertical="center"/>
    </xf>
    <xf borderId="1" fillId="11" fontId="5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borderId="1" fillId="0" fontId="5" numFmtId="0" xfId="0" applyAlignment="1" applyBorder="1" applyFont="1">
      <alignment horizontal="center" readingOrder="1" shrinkToFit="0" vertical="center" wrapText="1"/>
    </xf>
    <xf quotePrefix="1" borderId="1" fillId="0" fontId="7" numFmtId="0" xfId="0" applyAlignment="1" applyBorder="1" applyFont="1">
      <alignment horizontal="left" shrinkToFit="0" vertical="center" wrapText="1"/>
    </xf>
    <xf borderId="15" fillId="0" fontId="21" numFmtId="0" xfId="0" applyAlignment="1" applyBorder="1" applyFont="1">
      <alignment horizontal="center"/>
    </xf>
    <xf borderId="14" fillId="0" fontId="21" numFmtId="0" xfId="0" applyAlignment="1" applyBorder="1" applyFont="1">
      <alignment shrinkToFit="0" wrapText="1"/>
    </xf>
    <xf borderId="15" fillId="0" fontId="5" numFmtId="0" xfId="0" applyAlignment="1" applyBorder="1" applyFont="1">
      <alignment horizontal="center" vertical="center"/>
    </xf>
    <xf borderId="14" fillId="0" fontId="6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1" fillId="0" fontId="10" numFmtId="0" xfId="0" applyBorder="1" applyFont="1"/>
    <xf borderId="0" fillId="11" fontId="6" numFmtId="0" xfId="0" applyAlignment="1" applyFont="1">
      <alignment shrinkToFit="0" vertical="center" wrapText="1"/>
    </xf>
    <xf borderId="3" fillId="0" fontId="5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left" vertical="top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11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1" shrinkToFit="0" vertical="center" wrapText="1"/>
    </xf>
    <xf borderId="0" fillId="0" fontId="5" numFmtId="0" xfId="0" applyAlignment="1" applyFont="1">
      <alignment horizontal="center" readingOrder="1" shrinkToFit="0" vertical="center" wrapText="1"/>
    </xf>
    <xf borderId="1" fillId="0" fontId="7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0" fontId="7" numFmtId="0" xfId="0" applyBorder="1" applyFont="1"/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14" fontId="27" numFmtId="0" xfId="0" applyAlignment="1" applyBorder="1" applyFill="1" applyFont="1">
      <alignment shrinkToFit="0" vertical="bottom" wrapText="1"/>
    </xf>
    <xf borderId="1" fillId="14" fontId="27" numFmtId="0" xfId="0" applyAlignment="1" applyBorder="1" applyFont="1">
      <alignment horizontal="center" readingOrder="0" shrinkToFit="0" vertical="bottom" wrapText="0"/>
    </xf>
    <xf borderId="1" fillId="14" fontId="28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bottom"/>
    </xf>
    <xf borderId="1" fillId="14" fontId="27" numFmtId="0" xfId="0" applyAlignment="1" applyBorder="1" applyFont="1">
      <alignment shrinkToFit="0" vertical="bottom" wrapText="1"/>
    </xf>
    <xf borderId="1" fillId="14" fontId="27" numFmtId="0" xfId="0" applyAlignment="1" applyBorder="1" applyFont="1">
      <alignment horizontal="center" shrinkToFit="0" vertical="bottom" wrapText="0"/>
    </xf>
    <xf borderId="1" fillId="14" fontId="28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8" fontId="27" numFmtId="0" xfId="0" applyAlignment="1" applyBorder="1" applyFont="1">
      <alignment shrinkToFit="0" vertical="bottom" wrapText="1"/>
    </xf>
    <xf borderId="1" fillId="8" fontId="27" numFmtId="0" xfId="0" applyAlignment="1" applyBorder="1" applyFont="1">
      <alignment horizontal="center" shrinkToFit="0" vertical="bottom" wrapText="0"/>
    </xf>
    <xf borderId="1" fillId="8" fontId="28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vertical="bottom"/>
    </xf>
    <xf borderId="1" fillId="14" fontId="27" numFmtId="0" xfId="0" applyAlignment="1" applyBorder="1" applyFont="1">
      <alignment shrinkToFit="0" vertical="bottom" wrapText="0"/>
    </xf>
    <xf borderId="1" fillId="14" fontId="27" numFmtId="0" xfId="0" applyAlignment="1" applyBorder="1" applyFont="1">
      <alignment horizontal="center" readingOrder="0" shrinkToFit="0" vertical="bottom" wrapText="0"/>
    </xf>
    <xf borderId="1" fillId="8" fontId="28" numFmtId="0" xfId="0" applyAlignment="1" applyBorder="1" applyFont="1">
      <alignment horizontal="center" readingOrder="0" shrinkToFit="0" vertical="bottom" wrapText="0"/>
    </xf>
    <xf borderId="1" fillId="14" fontId="28" numFmtId="0" xfId="0" applyAlignment="1" applyBorder="1" applyFont="1">
      <alignment horizontal="center" readingOrder="0" shrinkToFit="0" vertical="bottom" wrapText="0"/>
    </xf>
    <xf borderId="1" fillId="8" fontId="27" numFmtId="0" xfId="0" applyAlignment="1" applyBorder="1" applyFont="1">
      <alignment shrinkToFit="0" vertical="bottom" wrapText="0"/>
    </xf>
    <xf borderId="1" fillId="8" fontId="27" numFmtId="0" xfId="0" applyAlignment="1" applyBorder="1" applyFont="1">
      <alignment horizontal="center" readingOrder="0" shrinkToFit="0" vertical="bottom" wrapText="0"/>
    </xf>
    <xf borderId="2" fillId="0" fontId="23" numFmtId="0" xfId="0" applyBorder="1" applyFont="1"/>
    <xf borderId="0" fillId="11" fontId="5" numFmtId="0" xfId="0" applyAlignment="1" applyFont="1">
      <alignment horizontal="center" vertical="center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vertical="center"/>
    </xf>
    <xf borderId="1" fillId="0" fontId="31" numFmtId="0" xfId="0" applyAlignment="1" applyBorder="1" applyFont="1">
      <alignment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vertical="center"/>
    </xf>
    <xf borderId="1" fillId="0" fontId="30" numFmtId="0" xfId="0" applyAlignment="1" applyBorder="1" applyFont="1">
      <alignment horizontal="center" readingOrder="0" vertical="center"/>
    </xf>
    <xf borderId="0" fillId="0" fontId="32" numFmtId="0" xfId="0" applyFont="1"/>
    <xf borderId="2" fillId="0" fontId="32" numFmtId="0" xfId="0" applyBorder="1" applyFont="1"/>
    <xf borderId="0" fillId="0" fontId="30" numFmtId="0" xfId="0" applyAlignment="1" applyFont="1">
      <alignment horizontal="center" vertical="center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vertical="center"/>
    </xf>
    <xf borderId="0" fillId="0" fontId="30" numFmtId="0" xfId="0" applyAlignment="1" applyFont="1">
      <alignment horizontal="center" shrinkToFit="0" vertical="center" wrapText="1"/>
    </xf>
    <xf borderId="1" fillId="0" fontId="30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bottom"/>
    </xf>
    <xf borderId="0" fillId="0" fontId="2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3" numFmtId="0" xfId="0" applyAlignment="1" applyFont="1">
      <alignment horizontal="left" vertical="top"/>
    </xf>
    <xf borderId="2" fillId="0" fontId="5" numFmtId="0" xfId="0" applyAlignment="1" applyBorder="1" applyFont="1">
      <alignment horizontal="center" readingOrder="0" vertical="center"/>
    </xf>
    <xf borderId="1" fillId="15" fontId="1" numFmtId="0" xfId="0" applyAlignment="1" applyBorder="1" applyFill="1" applyFont="1">
      <alignment horizontal="center" shrinkToFit="0" vertical="center" wrapText="1"/>
    </xf>
    <xf borderId="1" fillId="15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15" fontId="33" numFmtId="0" xfId="0" applyAlignment="1" applyFont="1">
      <alignment horizontal="center" readingOrder="0" vertical="center"/>
    </xf>
    <xf borderId="9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12" fillId="11" fontId="5" numFmtId="0" xfId="0" applyAlignment="1" applyBorder="1" applyFont="1">
      <alignment horizontal="center" vertical="center"/>
    </xf>
    <xf borderId="13" fillId="11" fontId="5" numFmtId="0" xfId="0" applyAlignment="1" applyBorder="1" applyFont="1">
      <alignment horizontal="center" vertical="center"/>
    </xf>
    <xf borderId="11" fillId="11" fontId="5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13" fillId="11" fontId="4" numFmtId="0" xfId="0" applyAlignment="1" applyBorder="1" applyFont="1">
      <alignment horizontal="center" vertical="center"/>
    </xf>
    <xf borderId="11" fillId="11" fontId="4" numFmtId="0" xfId="0" applyAlignment="1" applyBorder="1" applyFont="1">
      <alignment horizontal="center" vertical="center"/>
    </xf>
    <xf borderId="12" fillId="11" fontId="16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shrinkToFit="0" vertical="center" wrapText="1"/>
    </xf>
    <xf borderId="0" fillId="11" fontId="23" numFmtId="0" xfId="0" applyAlignment="1" applyFont="1">
      <alignment horizontal="center" readingOrder="0" vertical="center"/>
    </xf>
    <xf borderId="0" fillId="16" fontId="23" numFmtId="0" xfId="0" applyAlignment="1" applyFill="1" applyFont="1">
      <alignment horizontal="center" readingOrder="0" vertical="center"/>
    </xf>
    <xf borderId="0" fillId="3" fontId="23" numFmtId="0" xfId="0" applyAlignment="1" applyFont="1">
      <alignment horizontal="center" readingOrder="0" vertical="center"/>
    </xf>
    <xf borderId="12" fillId="11" fontId="4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shrinkToFit="0" wrapText="1"/>
    </xf>
    <xf borderId="1" fillId="11" fontId="10" numFmtId="0" xfId="0" applyAlignment="1" applyBorder="1" applyFont="1">
      <alignment shrinkToFit="0" wrapText="1"/>
    </xf>
    <xf borderId="10" fillId="0" fontId="4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readingOrder="1" shrinkToFit="0" vertical="center" wrapText="1"/>
    </xf>
    <xf borderId="1" fillId="11" fontId="5" numFmtId="0" xfId="0" applyAlignment="1" applyBorder="1" applyFont="1">
      <alignment horizontal="center" readingOrder="1" shrinkToFit="0" vertical="center" wrapText="1"/>
    </xf>
    <xf borderId="0" fillId="11" fontId="4" numFmtId="0" xfId="0" applyAlignment="1" applyFont="1">
      <alignment horizontal="center" vertical="center"/>
    </xf>
    <xf borderId="1" fillId="11" fontId="6" numFmtId="0" xfId="0" applyAlignment="1" applyBorder="1" applyFont="1">
      <alignment readingOrder="0" shrinkToFit="0" vertical="center" wrapText="1"/>
    </xf>
    <xf borderId="9" fillId="0" fontId="16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0" fillId="17" fontId="23" numFmtId="0" xfId="0" applyAlignment="1" applyFill="1" applyFont="1">
      <alignment horizontal="center" readingOrder="0" vertical="center"/>
    </xf>
    <xf borderId="1" fillId="11" fontId="10" numFmtId="0" xfId="0" applyBorder="1" applyFont="1"/>
    <xf borderId="1" fillId="11" fontId="7" numFmtId="0" xfId="0" applyAlignment="1" applyBorder="1" applyFont="1">
      <alignment horizontal="left" shrinkToFit="0" vertical="center" wrapText="1"/>
    </xf>
    <xf borderId="9" fillId="11" fontId="5" numFmtId="0" xfId="0" applyAlignment="1" applyBorder="1" applyFont="1">
      <alignment horizontal="center" vertical="center"/>
    </xf>
    <xf borderId="10" fillId="11" fontId="5" numFmtId="0" xfId="0" applyAlignment="1" applyBorder="1" applyFont="1">
      <alignment horizontal="center" vertical="center"/>
    </xf>
    <xf borderId="3" fillId="11" fontId="5" numFmtId="0" xfId="0" applyAlignment="1" applyBorder="1" applyFont="1">
      <alignment horizontal="center" vertical="center"/>
    </xf>
    <xf borderId="0" fillId="11" fontId="11" numFmtId="0" xfId="0" applyAlignment="1" applyFont="1">
      <alignment horizontal="center" vertical="center"/>
    </xf>
    <xf borderId="1" fillId="12" fontId="6" numFmtId="0" xfId="0" applyAlignment="1" applyBorder="1" applyFont="1">
      <alignment shrinkToFit="0" vertical="center" wrapText="1"/>
    </xf>
    <xf borderId="1" fillId="12" fontId="7" numFmtId="0" xfId="0" applyAlignment="1" applyBorder="1" applyFont="1">
      <alignment vertical="center"/>
    </xf>
    <xf borderId="1" fillId="12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ont="1">
      <alignment horizontal="left" shrinkToFit="0" vertical="center" wrapText="1"/>
    </xf>
    <xf borderId="12" fillId="12" fontId="5" numFmtId="0" xfId="0" applyAlignment="1" applyBorder="1" applyFont="1">
      <alignment horizontal="center" vertical="center"/>
    </xf>
    <xf borderId="13" fillId="12" fontId="5" numFmtId="0" xfId="0" applyAlignment="1" applyBorder="1" applyFont="1">
      <alignment horizontal="center" vertical="center"/>
    </xf>
    <xf borderId="11" fillId="12" fontId="5" numFmtId="0" xfId="0" applyAlignment="1" applyBorder="1" applyFont="1">
      <alignment horizontal="center" vertical="center"/>
    </xf>
    <xf borderId="0" fillId="12" fontId="11" numFmtId="0" xfId="0" applyAlignment="1" applyFon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12" fillId="12" fontId="16" numFmtId="0" xfId="0" applyAlignment="1" applyBorder="1" applyFont="1">
      <alignment horizontal="center" vertical="center"/>
    </xf>
    <xf borderId="0" fillId="12" fontId="5" numFmtId="0" xfId="0" applyAlignment="1" applyFont="1">
      <alignment horizontal="center" vertical="center"/>
    </xf>
    <xf borderId="1" fillId="11" fontId="6" numFmtId="0" xfId="0" applyAlignment="1" applyBorder="1" applyFont="1">
      <alignment horizontal="left" readingOrder="1" shrinkToFit="0" vertical="center" wrapText="1"/>
    </xf>
    <xf borderId="0" fillId="11" fontId="7" numFmtId="0" xfId="0" applyAlignment="1" applyFont="1">
      <alignment vertical="center"/>
    </xf>
    <xf borderId="0" fillId="11" fontId="5" numFmtId="0" xfId="0" applyAlignment="1" applyFont="1">
      <alignment horizontal="center" shrinkToFit="0" vertical="center" wrapText="1"/>
    </xf>
    <xf borderId="0" fillId="11" fontId="5" numFmtId="0" xfId="0" applyAlignment="1" applyFont="1">
      <alignment horizontal="left" shrinkToFit="0" vertical="center" wrapText="1"/>
    </xf>
    <xf borderId="0" fillId="16" fontId="5" numFmtId="0" xfId="0" applyAlignment="1" applyFont="1">
      <alignment horizontal="center" vertical="center"/>
    </xf>
    <xf borderId="0" fillId="16" fontId="6" numFmtId="0" xfId="0" applyAlignment="1" applyFont="1">
      <alignment shrinkToFit="0" vertical="center" wrapText="1"/>
    </xf>
    <xf borderId="0" fillId="16" fontId="7" numFmtId="0" xfId="0" applyAlignment="1" applyFont="1">
      <alignment vertical="center"/>
    </xf>
    <xf borderId="0" fillId="16" fontId="5" numFmtId="0" xfId="0" applyAlignment="1" applyFont="1">
      <alignment horizontal="center" shrinkToFit="0" vertical="center" wrapText="1"/>
    </xf>
    <xf borderId="0" fillId="16" fontId="5" numFmtId="0" xfId="0" applyAlignment="1" applyFont="1">
      <alignment horizontal="left" shrinkToFit="0" vertical="center" wrapText="1"/>
    </xf>
    <xf borderId="0" fillId="16" fontId="11" numFmtId="0" xfId="0" applyAlignment="1" applyFont="1">
      <alignment horizontal="center" vertical="center"/>
    </xf>
    <xf borderId="0" fillId="18" fontId="10" numFmtId="0" xfId="0" applyFill="1" applyFont="1"/>
    <xf borderId="0" fillId="18" fontId="10" numFmtId="0" xfId="0" applyAlignment="1" applyFont="1">
      <alignment shrinkToFit="0" wrapText="1"/>
    </xf>
    <xf borderId="0" fillId="18" fontId="10" numFmtId="0" xfId="0" applyAlignment="1" applyFont="1">
      <alignment vertical="top"/>
    </xf>
    <xf borderId="0" fillId="18" fontId="10" numFmtId="0" xfId="0" applyAlignment="1" applyFont="1">
      <alignment horizontal="left"/>
    </xf>
    <xf borderId="0" fillId="0" fontId="10" numFmtId="0" xfId="0" applyAlignment="1" applyFont="1">
      <alignment vertical="top"/>
    </xf>
    <xf borderId="0" fillId="0" fontId="10" numFmtId="0" xfId="0" applyAlignment="1" applyFont="1">
      <alignment horizontal="left"/>
    </xf>
    <xf borderId="0" fillId="0" fontId="34" numFmtId="0" xfId="0" applyFont="1"/>
    <xf borderId="1" fillId="0" fontId="24" numFmtId="0" xfId="0" applyAlignment="1" applyBorder="1" applyFont="1">
      <alignment shrinkToFit="0" vertical="center" wrapText="1"/>
    </xf>
    <xf borderId="0" fillId="0" fontId="34" numFmtId="0" xfId="0" applyAlignment="1" applyFont="1">
      <alignment shrinkToFit="0" wrapText="1"/>
    </xf>
    <xf borderId="1" fillId="18" fontId="35" numFmtId="0" xfId="0" applyAlignment="1" applyBorder="1" applyFont="1">
      <alignment horizontal="center" shrinkToFit="0" vertical="center" wrapText="1"/>
    </xf>
    <xf borderId="5" fillId="18" fontId="35" numFmtId="0" xfId="0" applyAlignment="1" applyBorder="1" applyFont="1">
      <alignment horizontal="center" shrinkToFit="0" vertical="center" wrapText="1"/>
    </xf>
    <xf borderId="18" fillId="19" fontId="36" numFmtId="0" xfId="0" applyAlignment="1" applyBorder="1" applyFill="1" applyFont="1">
      <alignment horizontal="center" shrinkToFit="0" vertical="center" wrapText="1"/>
    </xf>
    <xf borderId="0" fillId="18" fontId="37" numFmtId="0" xfId="0" applyAlignment="1" applyFont="1">
      <alignment horizontal="center" shrinkToFit="0" vertical="center" wrapText="1"/>
    </xf>
    <xf borderId="18" fillId="18" fontId="36" numFmtId="0" xfId="0" applyAlignment="1" applyBorder="1" applyFont="1">
      <alignment horizontal="center" shrinkToFit="0" vertical="center" wrapText="1"/>
    </xf>
    <xf borderId="0" fillId="18" fontId="38" numFmtId="0" xfId="0" applyAlignment="1" applyFont="1">
      <alignment horizontal="center" shrinkToFit="0" vertical="center" wrapText="1"/>
    </xf>
    <xf borderId="0" fillId="18" fontId="10" numFmtId="0" xfId="0" applyAlignment="1" applyFont="1">
      <alignment shrinkToFit="0" vertical="center" wrapText="1"/>
    </xf>
    <xf borderId="2" fillId="18" fontId="39" numFmtId="0" xfId="0" applyAlignment="1" applyBorder="1" applyFont="1">
      <alignment horizontal="center" shrinkToFit="0" vertical="center" wrapText="1"/>
    </xf>
    <xf borderId="0" fillId="18" fontId="6" numFmtId="0" xfId="0" applyAlignment="1" applyFont="1">
      <alignment shrinkToFit="0" vertical="center" wrapText="1"/>
    </xf>
    <xf borderId="0" fillId="18" fontId="40" numFmtId="0" xfId="0" applyAlignment="1" applyFont="1">
      <alignment horizontal="center" shrinkToFit="0" vertical="center" wrapText="1"/>
    </xf>
    <xf borderId="2" fillId="18" fontId="40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vertical="center"/>
    </xf>
    <xf borderId="23" fillId="0" fontId="13" numFmtId="0" xfId="0" applyBorder="1" applyFont="1"/>
    <xf borderId="1" fillId="0" fontId="36" numFmtId="0" xfId="0" applyAlignment="1" applyBorder="1" applyFont="1">
      <alignment horizontal="center" shrinkToFit="0" vertical="center" wrapText="1"/>
    </xf>
    <xf borderId="5" fillId="0" fontId="3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0" fillId="0" fontId="7" numFmtId="0" xfId="0" applyFont="1"/>
    <xf borderId="0" fillId="0" fontId="10" numFmtId="0" xfId="0" applyAlignment="1" applyFont="1">
      <alignment vertical="center"/>
    </xf>
    <xf borderId="14" fillId="0" fontId="6" numFmtId="0" xfId="0" applyAlignment="1" applyBorder="1" applyFont="1">
      <alignment vertical="center"/>
    </xf>
    <xf borderId="1" fillId="0" fontId="21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vertical="center"/>
    </xf>
    <xf borderId="1" fillId="0" fontId="21" numFmtId="0" xfId="0" applyAlignment="1" applyBorder="1" applyFont="1">
      <alignment horizontal="right" vertical="center"/>
    </xf>
    <xf borderId="1" fillId="0" fontId="21" numFmtId="0" xfId="0" applyAlignment="1" applyBorder="1" applyFont="1">
      <alignment readingOrder="0" vertical="center"/>
    </xf>
    <xf borderId="22" fillId="0" fontId="21" numFmtId="0" xfId="0" applyAlignment="1" applyBorder="1" applyFont="1">
      <alignment vertical="center"/>
    </xf>
    <xf borderId="1" fillId="0" fontId="21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horizontal="center" readingOrder="0" vertical="center"/>
    </xf>
    <xf borderId="22" fillId="0" fontId="21" numFmtId="0" xfId="0" applyAlignment="1" applyBorder="1" applyFont="1">
      <alignment shrinkToFit="0" vertical="center" wrapText="1"/>
    </xf>
    <xf borderId="22" fillId="0" fontId="21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horizontal="center" readingOrder="0" vertical="center"/>
    </xf>
    <xf borderId="22" fillId="0" fontId="20" numFmtId="0" xfId="0" applyAlignment="1" applyBorder="1" applyFont="1">
      <alignment shrinkToFit="0" vertical="center" wrapText="1"/>
    </xf>
    <xf borderId="22" fillId="0" fontId="21" numFmtId="0" xfId="0" applyAlignment="1" applyBorder="1" applyFont="1">
      <alignment readingOrder="0" vertical="center"/>
    </xf>
    <xf borderId="14" fillId="0" fontId="6" numFmtId="0" xfId="0" applyAlignment="1" applyBorder="1" applyFont="1">
      <alignment readingOrder="0" shrinkToFit="0" vertical="center" wrapText="1"/>
    </xf>
    <xf borderId="15" fillId="0" fontId="6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center" vertical="center"/>
    </xf>
    <xf borderId="22" fillId="0" fontId="21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readingOrder="0" shrinkToFit="0" wrapText="1"/>
    </xf>
    <xf borderId="24" fillId="0" fontId="6" numFmtId="0" xfId="0" applyAlignment="1" applyBorder="1" applyFont="1">
      <alignment vertical="center"/>
    </xf>
    <xf borderId="1" fillId="0" fontId="21" numFmtId="0" xfId="0" applyAlignment="1" applyBorder="1" applyFont="1">
      <alignment horizontal="right" shrinkToFit="0" vertical="center" wrapText="1"/>
    </xf>
    <xf borderId="0" fillId="0" fontId="21" numFmtId="0" xfId="0" applyAlignment="1" applyFont="1">
      <alignment shrinkToFit="0" vertical="center" wrapText="1"/>
    </xf>
    <xf borderId="2" fillId="0" fontId="3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readingOrder="0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2" fillId="16" fontId="6" numFmtId="0" xfId="0" applyAlignment="1" applyBorder="1" applyFont="1">
      <alignment shrinkToFit="0" vertical="center" wrapText="1"/>
    </xf>
    <xf borderId="1" fillId="16" fontId="6" numFmtId="0" xfId="0" applyAlignment="1" applyBorder="1" applyFont="1">
      <alignment vertical="center"/>
    </xf>
    <xf borderId="0" fillId="0" fontId="10" numFmtId="0" xfId="0" applyAlignment="1" applyFont="1">
      <alignment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20" numFmtId="0" xfId="0" applyAlignment="1" applyBorder="1" applyFont="1">
      <alignment shrinkToFit="0" vertical="center" wrapText="1"/>
    </xf>
    <xf borderId="1" fillId="0" fontId="41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readingOrder="0" shrinkToFit="0" wrapText="1"/>
    </xf>
    <xf borderId="1" fillId="0" fontId="23" numFmtId="0" xfId="0" applyAlignment="1" applyBorder="1" applyFont="1">
      <alignment readingOrder="0"/>
    </xf>
    <xf borderId="1" fillId="0" fontId="23" numFmtId="0" xfId="0" applyBorder="1" applyFont="1"/>
    <xf borderId="24" fillId="0" fontId="6" numFmtId="0" xfId="0" applyAlignment="1" applyBorder="1" applyFont="1">
      <alignment horizontal="center" vertical="center"/>
    </xf>
    <xf borderId="0" fillId="18" fontId="38" numFmtId="0" xfId="0" applyAlignment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vertical="center"/>
    </xf>
    <xf borderId="1" fillId="0" fontId="21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/>
    </xf>
    <xf borderId="22" fillId="0" fontId="21" numFmtId="0" xfId="0" applyAlignment="1" applyBorder="1" applyFont="1">
      <alignment shrinkToFit="0" wrapText="1"/>
    </xf>
    <xf borderId="22" fillId="0" fontId="10" numFmtId="0" xfId="0" applyAlignment="1" applyBorder="1" applyFont="1">
      <alignment vertical="center"/>
    </xf>
    <xf borderId="17" fillId="0" fontId="10" numFmtId="0" xfId="0" applyAlignment="1" applyBorder="1" applyFont="1">
      <alignment vertical="center"/>
    </xf>
    <xf borderId="17" fillId="0" fontId="21" numFmtId="0" xfId="0" applyAlignment="1" applyBorder="1" applyFont="1">
      <alignment vertical="center"/>
    </xf>
    <xf borderId="16" fillId="0" fontId="40" numFmtId="0" xfId="0" applyAlignment="1" applyBorder="1" applyFont="1">
      <alignment horizontal="center" shrinkToFit="0" vertical="center" wrapText="1"/>
    </xf>
    <xf borderId="19" fillId="0" fontId="40" numFmtId="0" xfId="0" applyAlignment="1" applyBorder="1" applyFont="1">
      <alignment horizontal="center" shrinkToFit="0" vertical="center" wrapText="1"/>
    </xf>
    <xf borderId="20" fillId="0" fontId="40" numFmtId="0" xfId="0" applyAlignment="1" applyBorder="1" applyFont="1">
      <alignment horizontal="center" shrinkToFit="0" vertical="center" wrapText="1"/>
    </xf>
    <xf borderId="15" fillId="0" fontId="40" numFmtId="0" xfId="0" applyAlignment="1" applyBorder="1" applyFont="1">
      <alignment horizontal="center" shrinkToFit="0" vertical="center" wrapText="1"/>
    </xf>
    <xf borderId="1" fillId="2" fontId="36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vertical="center"/>
    </xf>
    <xf borderId="1" fillId="4" fontId="21" numFmtId="0" xfId="0" applyAlignment="1" applyBorder="1" applyFont="1">
      <alignment horizontal="right" vertical="center"/>
    </xf>
    <xf borderId="1" fillId="4" fontId="42" numFmtId="0" xfId="0" applyAlignment="1" applyBorder="1" applyFont="1">
      <alignment horizontal="left" shrinkToFit="0" wrapText="1"/>
    </xf>
    <xf borderId="1" fillId="4" fontId="42" numFmtId="0" xfId="0" applyAlignment="1" applyBorder="1" applyFont="1">
      <alignment horizontal="center" shrinkToFit="0" wrapText="1"/>
    </xf>
    <xf borderId="1" fillId="4" fontId="21" numFmtId="0" xfId="0" applyAlignment="1" applyBorder="1" applyFont="1">
      <alignment horizontal="right" shrinkToFit="0" vertical="center" wrapText="1"/>
    </xf>
    <xf borderId="1" fillId="4" fontId="42" numFmtId="0" xfId="0" applyAlignment="1" applyBorder="1" applyFont="1">
      <alignment horizontal="left"/>
    </xf>
    <xf borderId="1" fillId="4" fontId="42" numFmtId="0" xfId="0" applyAlignment="1" applyBorder="1" applyFont="1">
      <alignment horizontal="center"/>
    </xf>
    <xf borderId="1" fillId="2" fontId="35" numFmtId="0" xfId="0" applyAlignment="1" applyBorder="1" applyFont="1">
      <alignment horizontal="center" shrinkToFit="0" vertical="center" wrapText="1"/>
    </xf>
    <xf borderId="5" fillId="2" fontId="35" numFmtId="0" xfId="0" applyAlignment="1" applyBorder="1" applyFont="1">
      <alignment horizontal="center" shrinkToFit="0" vertical="center" wrapText="1"/>
    </xf>
    <xf borderId="18" fillId="19" fontId="36" numFmtId="0" xfId="0" applyAlignment="1" applyBorder="1" applyFont="1">
      <alignment horizontal="center" shrinkToFit="0" wrapText="1"/>
    </xf>
    <xf borderId="0" fillId="2" fontId="37" numFmtId="0" xfId="0" applyAlignment="1" applyFont="1">
      <alignment horizontal="center" shrinkToFit="0" wrapText="1"/>
    </xf>
    <xf borderId="0" fillId="2" fontId="38" numFmtId="0" xfId="0" applyAlignment="1" applyFont="1">
      <alignment horizontal="center" shrinkToFit="0" wrapText="1"/>
    </xf>
    <xf borderId="0" fillId="19" fontId="10" numFmtId="0" xfId="0" applyAlignment="1" applyFont="1">
      <alignment shrinkToFit="0" wrapText="1"/>
    </xf>
    <xf borderId="2" fillId="2" fontId="39" numFmtId="0" xfId="0" applyAlignment="1" applyBorder="1" applyFont="1">
      <alignment horizontal="center" shrinkToFit="0" wrapText="1"/>
    </xf>
    <xf borderId="0" fillId="19" fontId="6" numFmtId="0" xfId="0" applyAlignment="1" applyFont="1">
      <alignment shrinkToFit="0" wrapText="1"/>
    </xf>
    <xf borderId="0" fillId="2" fontId="40" numFmtId="0" xfId="0" applyAlignment="1" applyFont="1">
      <alignment horizontal="center" shrinkToFit="0" wrapText="1"/>
    </xf>
    <xf borderId="2" fillId="2" fontId="40" numFmtId="0" xfId="0" applyAlignment="1" applyBorder="1" applyFont="1">
      <alignment horizontal="center" shrinkToFit="0" wrapText="1"/>
    </xf>
    <xf borderId="22" fillId="12" fontId="6" numFmtId="0" xfId="0" applyAlignment="1" applyBorder="1" applyFont="1">
      <alignment shrinkToFit="0" vertical="center" wrapText="1"/>
    </xf>
    <xf borderId="22" fillId="20" fontId="6" numFmtId="0" xfId="0" applyAlignment="1" applyBorder="1" applyFill="1" applyFont="1">
      <alignment vertical="center"/>
    </xf>
    <xf borderId="5" fillId="2" fontId="36" numFmtId="0" xfId="0" applyAlignment="1" applyBorder="1" applyFont="1">
      <alignment horizontal="center" shrinkToFit="0" vertical="center" wrapText="1"/>
    </xf>
    <xf borderId="5" fillId="2" fontId="36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14" fillId="0" fontId="13" numFmtId="0" xfId="0" applyBorder="1" applyFont="1"/>
    <xf borderId="1" fillId="21" fontId="21" numFmtId="0" xfId="0" applyBorder="1" applyFill="1" applyFont="1"/>
    <xf borderId="1" fillId="21" fontId="21" numFmtId="0" xfId="0" applyAlignment="1" applyBorder="1" applyFont="1">
      <alignment horizontal="right"/>
    </xf>
    <xf borderId="1" fillId="20" fontId="21" numFmtId="0" xfId="0" applyBorder="1" applyFont="1"/>
    <xf borderId="22" fillId="0" fontId="21" numFmtId="0" xfId="0" applyBorder="1" applyFont="1"/>
    <xf borderId="1" fillId="0" fontId="21" numFmtId="0" xfId="0" applyAlignment="1" applyBorder="1" applyFont="1">
      <alignment shrinkToFit="0" vertical="bottom" wrapText="1"/>
    </xf>
    <xf borderId="1" fillId="0" fontId="21" numFmtId="0" xfId="0" applyAlignment="1" applyBorder="1" applyFont="1">
      <alignment horizontal="center" vertical="bottom"/>
    </xf>
    <xf borderId="22" fillId="12" fontId="21" numFmtId="0" xfId="0" applyAlignment="1" applyBorder="1" applyFont="1">
      <alignment shrinkToFit="0" wrapText="1"/>
    </xf>
    <xf borderId="22" fillId="12" fontId="21" numFmtId="0" xfId="0" applyAlignment="1" applyBorder="1" applyFont="1">
      <alignment horizontal="right" shrinkToFit="0" wrapText="1"/>
    </xf>
    <xf borderId="22" fillId="20" fontId="21" numFmtId="0" xfId="0" applyBorder="1" applyFont="1"/>
    <xf borderId="1" fillId="22" fontId="21" numFmtId="0" xfId="0" applyBorder="1" applyFill="1" applyFont="1"/>
    <xf borderId="1" fillId="4" fontId="21" numFmtId="0" xfId="0" applyBorder="1" applyFont="1"/>
    <xf borderId="22" fillId="21" fontId="21" numFmtId="0" xfId="0" applyBorder="1" applyFont="1"/>
    <xf borderId="22" fillId="21" fontId="21" numFmtId="0" xfId="0" applyAlignment="1" applyBorder="1" applyFont="1">
      <alignment horizontal="right"/>
    </xf>
    <xf borderId="22" fillId="23" fontId="21" numFmtId="0" xfId="0" applyBorder="1" applyFill="1" applyFont="1"/>
    <xf borderId="1" fillId="21" fontId="6" numFmtId="0" xfId="0" applyAlignment="1" applyBorder="1" applyFont="1">
      <alignment vertical="center"/>
    </xf>
    <xf borderId="1" fillId="20" fontId="6" numFmtId="0" xfId="0" applyAlignment="1" applyBorder="1" applyFont="1">
      <alignment vertical="center"/>
    </xf>
    <xf borderId="24" fillId="0" fontId="13" numFmtId="0" xfId="0" applyBorder="1" applyFont="1"/>
    <xf borderId="22" fillId="22" fontId="21" numFmtId="0" xfId="0" applyBorder="1" applyFont="1"/>
    <xf borderId="22" fillId="22" fontId="6" numFmtId="0" xfId="0" applyAlignment="1" applyBorder="1" applyFont="1">
      <alignment vertical="center"/>
    </xf>
    <xf borderId="22" fillId="0" fontId="6" numFmtId="0" xfId="0" applyBorder="1" applyFont="1"/>
    <xf borderId="1" fillId="23" fontId="21" numFmtId="0" xfId="0" applyBorder="1" applyFont="1"/>
    <xf borderId="22" fillId="24" fontId="21" numFmtId="0" xfId="0" applyBorder="1" applyFill="1" applyFont="1"/>
    <xf borderId="22" fillId="24" fontId="21" numFmtId="0" xfId="0" applyAlignment="1" applyBorder="1" applyFont="1">
      <alignment horizontal="right"/>
    </xf>
    <xf borderId="1" fillId="22" fontId="6" numFmtId="0" xfId="0" applyAlignment="1" applyBorder="1" applyFont="1">
      <alignment vertical="center"/>
    </xf>
    <xf borderId="22" fillId="24" fontId="6" numFmtId="0" xfId="0" applyAlignment="1" applyBorder="1" applyFont="1">
      <alignment vertical="center"/>
    </xf>
    <xf borderId="22" fillId="25" fontId="21" numFmtId="0" xfId="0" applyBorder="1" applyFill="1" applyFont="1"/>
    <xf borderId="1" fillId="25" fontId="21" numFmtId="0" xfId="0" applyBorder="1" applyFont="1"/>
    <xf borderId="1" fillId="24" fontId="21" numFmtId="0" xfId="0" applyBorder="1" applyFont="1"/>
    <xf borderId="1" fillId="24" fontId="21" numFmtId="0" xfId="0" applyAlignment="1" applyBorder="1" applyFont="1">
      <alignment horizontal="right"/>
    </xf>
    <xf borderId="1" fillId="4" fontId="6" numFmtId="0" xfId="0" applyAlignment="1" applyBorder="1" applyFont="1">
      <alignment vertical="center"/>
    </xf>
    <xf borderId="1" fillId="26" fontId="21" numFmtId="0" xfId="0" applyBorder="1" applyFill="1" applyFont="1"/>
    <xf borderId="1" fillId="0" fontId="21" numFmtId="0" xfId="0" applyBorder="1" applyFont="1"/>
    <xf borderId="0" fillId="19" fontId="21" numFmtId="0" xfId="0" applyAlignment="1" applyFont="1">
      <alignment shrinkToFit="0" wrapText="1"/>
    </xf>
    <xf borderId="24" fillId="0" fontId="6" numFmtId="0" xfId="0" applyAlignment="1" applyBorder="1" applyFont="1">
      <alignment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1" fillId="12" fontId="21" numFmtId="0" xfId="0" applyAlignment="1" applyBorder="1" applyFont="1">
      <alignment shrinkToFit="0" wrapText="1"/>
    </xf>
    <xf borderId="1" fillId="12" fontId="21" numFmtId="0" xfId="0" applyAlignment="1" applyBorder="1" applyFont="1">
      <alignment horizontal="right" shrinkToFit="0" wrapText="1"/>
    </xf>
    <xf borderId="1" fillId="24" fontId="6" numFmtId="0" xfId="0" applyAlignment="1" applyBorder="1" applyFont="1">
      <alignment vertical="center"/>
    </xf>
    <xf borderId="0" fillId="0" fontId="21" numFmtId="0" xfId="0" applyAlignment="1" applyFont="1">
      <alignment shrinkToFit="0" vertical="bottom" wrapText="1"/>
    </xf>
    <xf borderId="22" fillId="27" fontId="21" numFmtId="0" xfId="0" applyBorder="1" applyFill="1" applyFont="1"/>
    <xf borderId="22" fillId="27" fontId="21" numFmtId="0" xfId="0" applyAlignment="1" applyBorder="1" applyFont="1">
      <alignment horizontal="right"/>
    </xf>
    <xf borderId="24" fillId="0" fontId="20" numFmtId="0" xfId="0" applyAlignment="1" applyBorder="1" applyFont="1">
      <alignment shrinkToFit="0" vertical="center" wrapText="1"/>
    </xf>
    <xf borderId="1" fillId="23" fontId="6" numFmtId="0" xfId="0" applyAlignment="1" applyBorder="1" applyFont="1">
      <alignment vertical="center"/>
    </xf>
    <xf borderId="22" fillId="21" fontId="6" numFmtId="0" xfId="0" applyAlignment="1" applyBorder="1" applyFont="1">
      <alignment vertical="center"/>
    </xf>
    <xf borderId="22" fillId="23" fontId="6" numFmtId="0" xfId="0" applyAlignment="1" applyBorder="1" applyFont="1">
      <alignment vertical="center"/>
    </xf>
    <xf borderId="16" fillId="0" fontId="40" numFmtId="0" xfId="0" applyAlignment="1" applyBorder="1" applyFont="1">
      <alignment horizontal="center"/>
    </xf>
    <xf borderId="22" fillId="27" fontId="6" numFmtId="0" xfId="0" applyAlignment="1" applyBorder="1" applyFont="1">
      <alignment vertical="center"/>
    </xf>
    <xf borderId="22" fillId="25" fontId="6" numFmtId="0" xfId="0" applyAlignment="1" applyBorder="1" applyFont="1">
      <alignment vertical="center"/>
    </xf>
    <xf borderId="1" fillId="28" fontId="21" numFmtId="0" xfId="0" applyBorder="1" applyFill="1" applyFont="1"/>
    <xf borderId="1" fillId="25" fontId="6" numFmtId="0" xfId="0" applyAlignment="1" applyBorder="1" applyFont="1">
      <alignment vertical="center"/>
    </xf>
    <xf borderId="22" fillId="29" fontId="21" numFmtId="0" xfId="0" applyBorder="1" applyFill="1" applyFont="1"/>
    <xf borderId="0" fillId="19" fontId="10" numFmtId="0" xfId="0" applyFont="1"/>
    <xf borderId="1" fillId="26" fontId="6" numFmtId="0" xfId="0" applyAlignment="1" applyBorder="1" applyFont="1">
      <alignment vertical="center"/>
    </xf>
    <xf borderId="1" fillId="28" fontId="6" numFmtId="0" xfId="0" applyAlignment="1" applyBorder="1" applyFont="1">
      <alignment vertical="center"/>
    </xf>
    <xf borderId="22" fillId="29" fontId="6" numFmtId="0" xfId="0" applyAlignment="1" applyBorder="1" applyFont="1">
      <alignment vertical="center"/>
    </xf>
    <xf borderId="22" fillId="30" fontId="10" numFmtId="0" xfId="0" applyAlignment="1" applyBorder="1" applyFill="1" applyFont="1">
      <alignment vertical="center"/>
    </xf>
    <xf borderId="2" fillId="19" fontId="10" numFmtId="0" xfId="0" applyBorder="1" applyFont="1"/>
    <xf borderId="16" fillId="0" fontId="43" numFmtId="0" xfId="0" applyAlignment="1" applyBorder="1" applyFont="1">
      <alignment horizontal="center"/>
    </xf>
    <xf borderId="1" fillId="4" fontId="5" numFmtId="0" xfId="0" applyAlignment="1" applyBorder="1" applyFont="1">
      <alignment horizontal="center" shrinkToFit="0" wrapText="1"/>
    </xf>
    <xf borderId="1" fillId="4" fontId="10" numFmtId="0" xfId="0" applyAlignment="1" applyBorder="1" applyFont="1">
      <alignment shrinkToFit="0" wrapText="1"/>
    </xf>
    <xf borderId="0" fillId="31" fontId="5" numFmtId="0" xfId="0" applyAlignment="1" applyFill="1" applyFont="1">
      <alignment horizontal="center"/>
    </xf>
    <xf borderId="0" fillId="0" fontId="23" numFmtId="0" xfId="0" applyAlignment="1" applyFont="1">
      <alignment readingOrder="0"/>
    </xf>
    <xf borderId="1" fillId="11" fontId="21" numFmtId="0" xfId="0" applyAlignment="1" applyBorder="1" applyFont="1">
      <alignment shrinkToFit="0" wrapText="1"/>
    </xf>
    <xf borderId="1" fillId="11" fontId="5" numFmtId="0" xfId="0" applyAlignment="1" applyBorder="1" applyFont="1">
      <alignment horizontal="center"/>
    </xf>
    <xf borderId="0" fillId="11" fontId="7" numFmtId="0" xfId="0" applyFont="1"/>
    <xf borderId="1" fillId="0" fontId="21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/>
    </xf>
    <xf borderId="0" fillId="0" fontId="7" numFmtId="0" xfId="0" applyFont="1"/>
    <xf borderId="0" fillId="31" fontId="5" numFmtId="0" xfId="0" applyAlignment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11" fontId="7" numFmtId="0" xfId="0" applyAlignment="1" applyBorder="1" applyFont="1">
      <alignment shrinkToFit="0" vertical="bottom" wrapText="1"/>
    </xf>
    <xf borderId="1" fillId="11" fontId="5" numFmtId="0" xfId="0" applyAlignment="1" applyBorder="1" applyFont="1">
      <alignment horizontal="center" shrinkToFit="0" vertical="bottom" wrapText="1"/>
    </xf>
    <xf borderId="0" fillId="11" fontId="7" numFmtId="0" xfId="0" applyAlignment="1" applyFont="1">
      <alignment vertical="bottom"/>
    </xf>
    <xf borderId="1" fillId="11" fontId="5" numFmtId="0" xfId="0" applyAlignment="1" applyBorder="1" applyFont="1">
      <alignment horizontal="center" shrinkToFit="0" wrapText="1"/>
    </xf>
    <xf borderId="1" fillId="11" fontId="21" numFmtId="0" xfId="0" applyAlignment="1" applyBorder="1" applyFont="1">
      <alignment shrinkToFit="0" wrapText="1"/>
    </xf>
    <xf borderId="1" fillId="11" fontId="5" numFmtId="0" xfId="0" applyAlignment="1" applyBorder="1" applyFont="1">
      <alignment horizontal="center"/>
    </xf>
    <xf borderId="0" fillId="11" fontId="7" numFmtId="0" xfId="0" applyFont="1"/>
    <xf borderId="1" fillId="0" fontId="21" numFmtId="0" xfId="0" applyBorder="1" applyFont="1"/>
    <xf borderId="0" fillId="0" fontId="5" numFmtId="0" xfId="0" applyAlignment="1" applyFont="1">
      <alignment horizontal="center"/>
    </xf>
    <xf borderId="1" fillId="4" fontId="6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left" vertical="center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left" vertical="center"/>
    </xf>
    <xf borderId="1" fillId="0" fontId="23" numFmtId="0" xfId="0" applyBorder="1" applyFont="1"/>
    <xf borderId="1" fillId="31" fontId="5" numFmtId="0" xfId="0" applyAlignment="1" applyBorder="1" applyFont="1">
      <alignment horizontal="center"/>
    </xf>
    <xf borderId="1" fillId="0" fontId="7" numFmtId="0" xfId="0" applyBorder="1" applyFont="1"/>
    <xf borderId="1" fillId="31" fontId="5" numFmtId="0" xfId="0" applyAlignment="1" applyBorder="1" applyFont="1">
      <alignment horizontal="center" readingOrder="0"/>
    </xf>
    <xf borderId="2" fillId="2" fontId="37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1" fillId="2" fontId="36" numFmtId="0" xfId="0" applyAlignment="1" applyBorder="1" applyFont="1">
      <alignment horizontal="left" shrinkToFit="0" vertical="center" wrapText="1"/>
    </xf>
    <xf borderId="1" fillId="4" fontId="21" numFmtId="0" xfId="0" applyAlignment="1" applyBorder="1" applyFont="1">
      <alignment horizontal="left" vertical="center"/>
    </xf>
    <xf borderId="1" fillId="4" fontId="21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vertical="center"/>
    </xf>
    <xf borderId="1" fillId="0" fontId="21" numFmtId="0" xfId="0" applyAlignment="1" applyBorder="1" applyFont="1">
      <alignment horizontal="left" vertical="center"/>
    </xf>
    <xf borderId="0" fillId="2" fontId="37" numFmtId="0" xfId="0" applyAlignment="1" applyFont="1">
      <alignment horizontal="center" shrinkToFit="0" vertical="center" wrapText="1"/>
    </xf>
    <xf borderId="0" fillId="4" fontId="10" numFmtId="0" xfId="0" applyAlignment="1" applyFont="1">
      <alignment horizontal="left" vertical="center"/>
    </xf>
    <xf borderId="1" fillId="4" fontId="26" numFmtId="0" xfId="0" applyBorder="1" applyFont="1"/>
    <xf borderId="0" fillId="0" fontId="26" numFmtId="0" xfId="0" applyFont="1"/>
    <xf borderId="0" fillId="0" fontId="5" numFmtId="0" xfId="0" applyAlignment="1" applyFont="1">
      <alignment horizontal="left" vertical="center"/>
    </xf>
    <xf borderId="0" fillId="8" fontId="44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1" fillId="4" fontId="7" numFmtId="0" xfId="0" applyBorder="1" applyFont="1"/>
    <xf borderId="0" fillId="0" fontId="21" numFmtId="0" xfId="0" applyAlignment="1" applyFont="1">
      <alignment horizontal="left" shrinkToFit="0" vertical="center" wrapText="1"/>
    </xf>
    <xf borderId="1" fillId="4" fontId="7" numFmtId="0" xfId="0" applyAlignment="1" applyBorder="1" applyFont="1">
      <alignment vertical="bottom"/>
    </xf>
    <xf borderId="1" fillId="4" fontId="26" numFmtId="0" xfId="0" applyAlignment="1" applyBorder="1" applyFont="1">
      <alignment vertical="bottom"/>
    </xf>
    <xf borderId="1" fillId="15" fontId="20" numFmtId="0" xfId="0" applyAlignment="1" applyBorder="1" applyFont="1">
      <alignment shrinkToFit="0" vertical="center" wrapText="1"/>
    </xf>
    <xf borderId="1" fillId="15" fontId="22" numFmtId="0" xfId="0" applyAlignment="1" applyBorder="1" applyFont="1">
      <alignment horizontal="center" vertical="center"/>
    </xf>
    <xf borderId="1" fillId="15" fontId="45" numFmtId="0" xfId="0" applyAlignment="1" applyBorder="1" applyFont="1">
      <alignment horizontal="left" vertical="center"/>
    </xf>
    <xf borderId="0" fillId="0" fontId="10" numFmtId="0" xfId="0" applyAlignment="1" applyFont="1">
      <alignment horizontal="left" readingOrder="0" vertical="center"/>
    </xf>
    <xf borderId="1" fillId="2" fontId="46" numFmtId="0" xfId="0" applyAlignment="1" applyBorder="1" applyFont="1">
      <alignment horizontal="left" shrinkToFit="0" vertical="center" wrapText="1"/>
    </xf>
    <xf borderId="1" fillId="0" fontId="46" numFmtId="0" xfId="0" applyAlignment="1" applyBorder="1" applyFont="1">
      <alignment horizontal="left" shrinkToFit="0" vertical="center" wrapText="1"/>
    </xf>
    <xf borderId="1" fillId="4" fontId="26" numFmtId="0" xfId="0" applyAlignment="1" applyBorder="1" applyFont="1">
      <alignment horizontal="left" shrinkToFit="0" vertical="center" wrapText="1"/>
    </xf>
    <xf borderId="22" fillId="4" fontId="26" numFmtId="0" xfId="0" applyAlignment="1" applyBorder="1" applyFont="1">
      <alignment horizontal="left" shrinkToFit="0" vertical="center" wrapText="1"/>
    </xf>
    <xf borderId="1" fillId="4" fontId="26" numFmtId="0" xfId="0" applyAlignment="1" applyBorder="1" applyFont="1">
      <alignment horizontal="left" vertical="center"/>
    </xf>
    <xf borderId="1" fillId="4" fontId="26" numFmtId="0" xfId="0" applyAlignment="1" applyBorder="1" applyFont="1">
      <alignment horizontal="left" shrinkToFit="0" wrapText="1"/>
    </xf>
    <xf borderId="0" fillId="0" fontId="10" numFmtId="0" xfId="0" applyAlignment="1" applyFont="1">
      <alignment horizontal="center" shrinkToFit="0" wrapText="1"/>
    </xf>
    <xf borderId="1" fillId="31" fontId="5" numFmtId="0" xfId="0" applyAlignment="1" applyBorder="1" applyFont="1">
      <alignment horizontal="center"/>
    </xf>
    <xf borderId="1" fillId="11" fontId="7" numFmtId="0" xfId="0" applyBorder="1" applyFont="1"/>
    <xf borderId="0" fillId="0" fontId="7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0" fontId="47" numFmtId="0" xfId="0" applyAlignment="1" applyFont="1">
      <alignment horizontal="center" vertical="center"/>
    </xf>
    <xf borderId="0" fillId="11" fontId="5" numFmtId="0" xfId="0" applyAlignment="1" applyFont="1">
      <alignment horizontal="center" shrinkToFit="0" wrapText="1"/>
    </xf>
    <xf borderId="0" fillId="0" fontId="6" numFmtId="0" xfId="0" applyAlignment="1" applyFont="1">
      <alignment vertical="center"/>
    </xf>
    <xf borderId="9" fillId="11" fontId="16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10" fillId="11" fontId="4" numFmtId="0" xfId="0" applyAlignment="1" applyBorder="1" applyFont="1">
      <alignment horizontal="center" vertical="center"/>
    </xf>
    <xf borderId="0" fillId="11" fontId="10" numFmtId="0" xfId="0" applyFont="1"/>
    <xf borderId="3" fillId="11" fontId="4" numFmtId="0" xfId="0" applyAlignment="1" applyBorder="1" applyFont="1">
      <alignment horizontal="center" vertical="center"/>
    </xf>
    <xf borderId="1" fillId="13" fontId="5" numFmtId="0" xfId="0" applyAlignment="1" applyBorder="1" applyFont="1">
      <alignment horizontal="center" vertical="center"/>
    </xf>
    <xf borderId="1" fillId="13" fontId="6" numFmtId="0" xfId="0" applyAlignment="1" applyBorder="1" applyFont="1">
      <alignment shrinkToFit="0" vertical="center" wrapText="1"/>
    </xf>
    <xf borderId="0" fillId="13" fontId="5" numFmtId="0" xfId="0" applyAlignment="1" applyFont="1">
      <alignment horizontal="center" vertical="center"/>
    </xf>
    <xf borderId="1" fillId="13" fontId="5" numFmtId="0" xfId="0" applyAlignment="1" applyBorder="1" applyFont="1">
      <alignment horizontal="center" shrinkToFit="0" vertical="center" wrapText="1"/>
    </xf>
    <xf borderId="1" fillId="13" fontId="7" numFmtId="0" xfId="0" applyAlignment="1" applyBorder="1" applyFont="1">
      <alignment vertical="center"/>
    </xf>
    <xf borderId="1" fillId="13" fontId="5" numFmtId="0" xfId="0" applyAlignment="1" applyBorder="1" applyFont="1">
      <alignment horizontal="left" shrinkToFit="0" vertical="center" wrapText="1"/>
    </xf>
    <xf borderId="9" fillId="13" fontId="5" numFmtId="0" xfId="0" applyAlignment="1" applyBorder="1" applyFont="1">
      <alignment horizontal="center" vertical="center"/>
    </xf>
    <xf borderId="10" fillId="13" fontId="5" numFmtId="0" xfId="0" applyAlignment="1" applyBorder="1" applyFont="1">
      <alignment horizontal="center" vertical="center"/>
    </xf>
    <xf borderId="11" fillId="13" fontId="5" numFmtId="0" xfId="0" applyAlignment="1" applyBorder="1" applyFont="1">
      <alignment horizontal="center" vertical="center"/>
    </xf>
    <xf borderId="3" fillId="13" fontId="5" numFmtId="0" xfId="0" applyAlignment="1" applyBorder="1" applyFont="1">
      <alignment horizontal="center" vertical="center"/>
    </xf>
    <xf borderId="12" fillId="13" fontId="5" numFmtId="0" xfId="0" applyAlignment="1" applyBorder="1" applyFont="1">
      <alignment horizontal="center" vertical="center"/>
    </xf>
    <xf borderId="13" fillId="13" fontId="5" numFmtId="0" xfId="0" applyAlignment="1" applyBorder="1" applyFont="1">
      <alignment horizontal="center" vertical="center"/>
    </xf>
    <xf borderId="9" fillId="13" fontId="16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3" fillId="11" fontId="11" numFmtId="0" xfId="0" applyAlignment="1" applyBorder="1" applyFont="1">
      <alignment horizontal="center" vertical="center"/>
    </xf>
    <xf borderId="0" fillId="11" fontId="47" numFmtId="0" xfId="0" applyAlignment="1" applyFont="1">
      <alignment horizontal="center" vertical="center"/>
    </xf>
    <xf borderId="9" fillId="12" fontId="5" numFmtId="0" xfId="0" applyAlignment="1" applyBorder="1" applyFont="1">
      <alignment horizontal="center" vertical="center"/>
    </xf>
    <xf borderId="10" fillId="12" fontId="5" numFmtId="0" xfId="0" applyAlignment="1" applyBorder="1" applyFont="1">
      <alignment horizontal="center" vertical="center"/>
    </xf>
    <xf borderId="3" fillId="12" fontId="11" numFmtId="0" xfId="0" applyAlignment="1" applyBorder="1" applyFont="1">
      <alignment horizontal="center" vertical="center"/>
    </xf>
    <xf borderId="9" fillId="11" fontId="4" numFmtId="0" xfId="0" applyAlignment="1" applyBorder="1" applyFont="1">
      <alignment horizontal="center" vertical="center"/>
    </xf>
    <xf borderId="0" fillId="0" fontId="48" numFmtId="0" xfId="0" applyAlignment="1" applyFont="1">
      <alignment horizontal="center" vertical="center"/>
    </xf>
    <xf borderId="0" fillId="0" fontId="47" numFmtId="0" xfId="0" applyAlignment="1" applyFont="1">
      <alignment horizontal="center" readingOrder="0" vertical="center"/>
    </xf>
    <xf borderId="1" fillId="18" fontId="10" numFmtId="0" xfId="0" applyBorder="1" applyFont="1"/>
    <xf borderId="1" fillId="16" fontId="21" numFmtId="0" xfId="0" applyAlignment="1" applyBorder="1" applyFont="1">
      <alignment shrinkToFit="0" vertical="center" wrapText="1"/>
    </xf>
    <xf borderId="1" fillId="32" fontId="21" numFmtId="0" xfId="0" applyAlignment="1" applyBorder="1" applyFill="1" applyFont="1">
      <alignment shrinkToFit="0" vertical="center" wrapText="1"/>
    </xf>
    <xf borderId="1" fillId="32" fontId="10" numFmtId="0" xfId="0" applyBorder="1" applyFont="1"/>
    <xf borderId="1" fillId="16" fontId="10" numFmtId="0" xfId="0" applyBorder="1" applyFont="1"/>
    <xf borderId="1" fillId="0" fontId="10" numFmtId="0" xfId="0" applyAlignment="1" applyBorder="1" applyFont="1">
      <alignment readingOrder="0"/>
    </xf>
    <xf borderId="1" fillId="32" fontId="10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1" fillId="32" fontId="10" numFmtId="0" xfId="0" applyAlignment="1" applyBorder="1" applyFont="1">
      <alignment horizontal="center"/>
    </xf>
    <xf borderId="1" fillId="32" fontId="10" numFmtId="0" xfId="0" applyAlignment="1" applyBorder="1" applyFont="1">
      <alignment horizontal="center" readingOrder="0"/>
    </xf>
    <xf borderId="1" fillId="33" fontId="10" numFmtId="0" xfId="0" applyAlignment="1" applyBorder="1" applyFill="1" applyFont="1">
      <alignment horizontal="right"/>
    </xf>
    <xf borderId="1" fillId="21" fontId="10" numFmtId="0" xfId="0" applyBorder="1" applyFont="1"/>
    <xf borderId="1" fillId="0" fontId="4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bottom"/>
    </xf>
    <xf borderId="1" fillId="0" fontId="26" numFmtId="0" xfId="0" applyAlignment="1" applyBorder="1" applyFont="1">
      <alignment shrinkToFit="0" vertical="bottom" wrapText="1"/>
    </xf>
    <xf borderId="1" fillId="21" fontId="47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readingOrder="0"/>
    </xf>
    <xf borderId="11" fillId="34" fontId="5" numFmtId="0" xfId="0" applyAlignment="1" applyBorder="1" applyFill="1" applyFont="1">
      <alignment shrinkToFit="0" vertical="top" wrapText="1"/>
    </xf>
    <xf borderId="11" fillId="34" fontId="4" numFmtId="0" xfId="0" applyAlignment="1" applyBorder="1" applyFont="1">
      <alignment shrinkToFit="0" vertical="top" wrapText="1"/>
    </xf>
    <xf borderId="11" fillId="34" fontId="5" numFmtId="0" xfId="0" applyAlignment="1" applyBorder="1" applyFont="1">
      <alignment horizontal="center" shrinkToFit="0" vertical="top" wrapText="1"/>
    </xf>
    <xf borderId="11" fillId="34" fontId="7" numFmtId="0" xfId="0" applyAlignment="1" applyBorder="1" applyFont="1">
      <alignment vertical="top"/>
    </xf>
    <xf borderId="10" fillId="34" fontId="5" numFmtId="0" xfId="0" applyAlignment="1" applyBorder="1" applyFont="1">
      <alignment shrinkToFit="0" vertical="top" wrapText="1"/>
    </xf>
    <xf borderId="11" fillId="35" fontId="4" numFmtId="0" xfId="0" applyAlignment="1" applyBorder="1" applyFill="1" applyFont="1">
      <alignment shrinkToFit="0" vertical="top" wrapText="1"/>
    </xf>
    <xf borderId="11" fillId="35" fontId="4" numFmtId="0" xfId="0" applyAlignment="1" applyBorder="1" applyFont="1">
      <alignment horizontal="center" shrinkToFit="0" vertical="top" wrapText="1"/>
    </xf>
    <xf borderId="11" fillId="0" fontId="4" numFmtId="0" xfId="0" applyAlignment="1" applyBorder="1" applyFont="1">
      <alignment shrinkToFit="0" vertical="top" wrapText="1"/>
    </xf>
    <xf borderId="11" fillId="35" fontId="7" numFmtId="0" xfId="0" applyAlignment="1" applyBorder="1" applyFont="1">
      <alignment vertical="top"/>
    </xf>
    <xf borderId="10" fillId="35" fontId="4" numFmtId="0" xfId="0" applyAlignment="1" applyBorder="1" applyFont="1">
      <alignment shrinkToFit="0" vertical="top" wrapText="1"/>
    </xf>
    <xf borderId="3" fillId="8" fontId="7" numFmtId="0" xfId="0" applyAlignment="1" applyBorder="1" applyFont="1">
      <alignment vertical="top"/>
    </xf>
    <xf borderId="11" fillId="35" fontId="5" numFmtId="0" xfId="0" applyAlignment="1" applyBorder="1" applyFont="1">
      <alignment shrinkToFit="0" vertical="top" wrapText="1"/>
    </xf>
    <xf borderId="11" fillId="0" fontId="5" numFmtId="0" xfId="0" applyAlignment="1" applyBorder="1" applyFont="1">
      <alignment shrinkToFit="0" vertical="top" wrapText="1"/>
    </xf>
    <xf borderId="10" fillId="35" fontId="5" numFmtId="0" xfId="0" applyAlignment="1" applyBorder="1" applyFont="1">
      <alignment shrinkToFit="0" vertical="top" wrapText="1"/>
    </xf>
    <xf borderId="11" fillId="30" fontId="4" numFmtId="0" xfId="0" applyAlignment="1" applyBorder="1" applyFont="1">
      <alignment shrinkToFit="0" vertical="top" wrapText="1"/>
    </xf>
    <xf borderId="11" fillId="30" fontId="4" numFmtId="0" xfId="0" applyAlignment="1" applyBorder="1" applyFont="1">
      <alignment horizontal="center" shrinkToFit="0" vertical="top" wrapText="1"/>
    </xf>
    <xf borderId="11" fillId="30" fontId="7" numFmtId="0" xfId="0" applyAlignment="1" applyBorder="1" applyFont="1">
      <alignment vertical="top"/>
    </xf>
    <xf borderId="10" fillId="30" fontId="5" numFmtId="0" xfId="0" applyAlignment="1" applyBorder="1" applyFont="1">
      <alignment shrinkToFit="0" vertical="top" wrapText="1"/>
    </xf>
    <xf borderId="11" fillId="36" fontId="4" numFmtId="0" xfId="0" applyAlignment="1" applyBorder="1" applyFill="1" applyFont="1">
      <alignment shrinkToFit="0" vertical="top" wrapText="1"/>
    </xf>
    <xf borderId="11" fillId="36" fontId="4" numFmtId="0" xfId="0" applyAlignment="1" applyBorder="1" applyFont="1">
      <alignment horizontal="center" shrinkToFit="0" vertical="top" wrapText="1"/>
    </xf>
    <xf borderId="11" fillId="36" fontId="7" numFmtId="0" xfId="0" applyAlignment="1" applyBorder="1" applyFont="1">
      <alignment vertical="top"/>
    </xf>
    <xf borderId="10" fillId="36" fontId="4" numFmtId="0" xfId="0" applyAlignment="1" applyBorder="1" applyFont="1">
      <alignment shrinkToFit="0" vertical="top" wrapText="1"/>
    </xf>
    <xf borderId="11" fillId="8" fontId="5" numFmtId="0" xfId="0" applyAlignment="1" applyBorder="1" applyFont="1">
      <alignment horizontal="center" shrinkToFit="0" vertical="top" wrapText="1"/>
    </xf>
    <xf borderId="11" fillId="0" fontId="7" numFmtId="0" xfId="0" applyAlignment="1" applyBorder="1" applyFont="1">
      <alignment vertical="top"/>
    </xf>
    <xf borderId="13" fillId="0" fontId="7" numFmtId="0" xfId="0" applyAlignment="1" applyBorder="1" applyFont="1">
      <alignment vertical="top"/>
    </xf>
    <xf borderId="11" fillId="11" fontId="4" numFmtId="0" xfId="0" applyAlignment="1" applyBorder="1" applyFont="1">
      <alignment shrinkToFit="0" vertical="top" wrapText="1"/>
    </xf>
    <xf borderId="11" fillId="36" fontId="5" numFmtId="0" xfId="0" applyAlignment="1" applyBorder="1" applyFont="1">
      <alignment shrinkToFit="0" vertical="top" wrapText="1"/>
    </xf>
    <xf borderId="11" fillId="36" fontId="5" numFmtId="0" xfId="0" applyAlignment="1" applyBorder="1" applyFont="1">
      <alignment horizontal="center" shrinkToFit="0" vertical="top" wrapText="1"/>
    </xf>
    <xf borderId="10" fillId="36" fontId="5" numFmtId="0" xfId="0" applyAlignment="1" applyBorder="1" applyFont="1">
      <alignment shrinkToFit="0" vertical="top" wrapText="1"/>
    </xf>
    <xf borderId="11" fillId="34" fontId="4" numFmtId="0" xfId="0" applyAlignment="1" applyBorder="1" applyFont="1">
      <alignment horizontal="center" shrinkToFit="0" wrapText="1"/>
    </xf>
    <xf borderId="11" fillId="34" fontId="4" numFmtId="0" xfId="0" applyAlignment="1" applyBorder="1" applyFont="1">
      <alignment shrinkToFit="0" wrapText="1"/>
    </xf>
    <xf borderId="11" fillId="34" fontId="7" numFmtId="0" xfId="0" applyBorder="1" applyFont="1"/>
    <xf borderId="10" fillId="34" fontId="4" numFmtId="0" xfId="0" applyAlignment="1" applyBorder="1" applyFont="1">
      <alignment horizontal="center" shrinkToFit="0" wrapText="1"/>
    </xf>
    <xf borderId="3" fillId="8" fontId="7" numFmtId="0" xfId="0" applyBorder="1" applyFont="1"/>
    <xf borderId="11" fillId="8" fontId="7" numFmtId="0" xfId="0" applyAlignment="1" applyBorder="1" applyFont="1">
      <alignment vertical="top"/>
    </xf>
    <xf borderId="11" fillId="36" fontId="11" numFmtId="0" xfId="0" applyAlignment="1" applyBorder="1" applyFont="1">
      <alignment shrinkToFit="0" vertical="top" wrapText="1"/>
    </xf>
    <xf borderId="11" fillId="37" fontId="7" numFmtId="0" xfId="0" applyAlignment="1" applyBorder="1" applyFill="1" applyFont="1">
      <alignment vertical="top"/>
    </xf>
    <xf borderId="11" fillId="36" fontId="5" numFmtId="0" xfId="0" applyAlignment="1" applyBorder="1" applyFont="1">
      <alignment horizontal="center" vertical="top"/>
    </xf>
    <xf borderId="11" fillId="38" fontId="5" numFmtId="0" xfId="0" applyAlignment="1" applyBorder="1" applyFill="1" applyFont="1">
      <alignment shrinkToFit="0" vertical="top" wrapText="1"/>
    </xf>
    <xf borderId="11" fillId="38" fontId="5" numFmtId="0" xfId="0" applyAlignment="1" applyBorder="1" applyFont="1">
      <alignment horizontal="center" shrinkToFit="0" vertical="top" wrapText="1"/>
    </xf>
    <xf borderId="11" fillId="38" fontId="5" numFmtId="0" xfId="0" applyAlignment="1" applyBorder="1" applyFont="1">
      <alignment horizontal="center" vertical="top"/>
    </xf>
    <xf borderId="11" fillId="38" fontId="7" numFmtId="0" xfId="0" applyAlignment="1" applyBorder="1" applyFont="1">
      <alignment vertical="top"/>
    </xf>
    <xf borderId="11" fillId="0" fontId="16" numFmtId="0" xfId="0" applyAlignment="1" applyBorder="1" applyFont="1">
      <alignment horizontal="center" vertical="top"/>
    </xf>
    <xf borderId="11" fillId="39" fontId="5" numFmtId="0" xfId="0" applyAlignment="1" applyBorder="1" applyFill="1" applyFont="1">
      <alignment shrinkToFit="0" vertical="top" wrapText="1"/>
    </xf>
    <xf borderId="11" fillId="39" fontId="5" numFmtId="0" xfId="0" applyAlignment="1" applyBorder="1" applyFont="1">
      <alignment horizontal="center" vertical="top"/>
    </xf>
    <xf borderId="11" fillId="39" fontId="7" numFmtId="0" xfId="0" applyAlignment="1" applyBorder="1" applyFont="1">
      <alignment vertical="top"/>
    </xf>
    <xf borderId="11" fillId="39" fontId="5" numFmtId="0" xfId="0" applyAlignment="1" applyBorder="1" applyFont="1">
      <alignment horizontal="center" shrinkToFit="0" vertical="top" wrapText="1"/>
    </xf>
    <xf borderId="11" fillId="40" fontId="5" numFmtId="0" xfId="0" applyAlignment="1" applyBorder="1" applyFill="1" applyFont="1">
      <alignment horizontal="center" shrinkToFit="0" vertical="top" wrapText="1"/>
    </xf>
    <xf borderId="11" fillId="40" fontId="5" numFmtId="0" xfId="0" applyAlignment="1" applyBorder="1" applyFont="1">
      <alignment shrinkToFit="0" vertical="top" wrapText="1"/>
    </xf>
    <xf borderId="11" fillId="40" fontId="7" numFmtId="0" xfId="0" applyAlignment="1" applyBorder="1" applyFont="1">
      <alignment vertical="top"/>
    </xf>
    <xf borderId="11" fillId="8" fontId="5" numFmtId="0" xfId="0" applyAlignment="1" applyBorder="1" applyFont="1">
      <alignment horizontal="center" vertical="top"/>
    </xf>
    <xf borderId="11" fillId="40" fontId="5" numFmtId="0" xfId="0" applyAlignment="1" applyBorder="1" applyFont="1">
      <alignment horizontal="center" vertical="top"/>
    </xf>
    <xf borderId="11" fillId="40" fontId="11" numFmtId="0" xfId="0" applyAlignment="1" applyBorder="1" applyFont="1">
      <alignment shrinkToFit="0" vertical="top" wrapText="1"/>
    </xf>
    <xf borderId="11" fillId="41" fontId="5" numFmtId="0" xfId="0" applyAlignment="1" applyBorder="1" applyFill="1" applyFont="1">
      <alignment horizontal="center" shrinkToFit="0" vertical="top" wrapText="1"/>
    </xf>
    <xf borderId="11" fillId="41" fontId="5" numFmtId="0" xfId="0" applyAlignment="1" applyBorder="1" applyFont="1">
      <alignment shrinkToFit="0" vertical="top" wrapText="1"/>
    </xf>
    <xf borderId="11" fillId="41" fontId="7" numFmtId="0" xfId="0" applyBorder="1" applyFont="1"/>
    <xf borderId="1" fillId="42" fontId="4" numFmtId="0" xfId="0" applyAlignment="1" applyBorder="1" applyFill="1" applyFont="1">
      <alignment horizontal="center" shrinkToFit="0" vertical="top" wrapText="1"/>
    </xf>
    <xf borderId="1" fillId="42" fontId="4" numFmtId="0" xfId="0" applyAlignment="1" applyBorder="1" applyFont="1">
      <alignment shrinkToFit="0" vertical="top" wrapText="1"/>
    </xf>
    <xf borderId="1" fillId="42" fontId="7" numFmtId="0" xfId="0" applyBorder="1" applyFont="1"/>
    <xf borderId="1" fillId="42" fontId="5" numFmtId="0" xfId="0" applyAlignment="1" applyBorder="1" applyFont="1">
      <alignment horizontal="center" shrinkToFit="0" vertical="top" wrapText="1"/>
    </xf>
    <xf borderId="1" fillId="0" fontId="16" numFmtId="0" xfId="0" applyAlignment="1" applyBorder="1" applyFont="1">
      <alignment horizontal="center" vertical="top"/>
    </xf>
    <xf borderId="1" fillId="43" fontId="5" numFmtId="0" xfId="0" applyAlignment="1" applyBorder="1" applyFill="1" applyFont="1">
      <alignment horizontal="center" shrinkToFit="0" vertical="top" wrapText="1"/>
    </xf>
    <xf borderId="1" fillId="43" fontId="5" numFmtId="0" xfId="0" applyAlignment="1" applyBorder="1" applyFont="1">
      <alignment shrinkToFit="0" vertical="top" wrapText="1"/>
    </xf>
    <xf borderId="1" fillId="43" fontId="7" numFmtId="0" xfId="0" applyBorder="1" applyFont="1"/>
    <xf borderId="1" fillId="0" fontId="7" numFmtId="0" xfId="0" applyAlignment="1" applyBorder="1" applyFont="1">
      <alignment vertical="top"/>
    </xf>
    <xf borderId="1" fillId="36" fontId="5" numFmtId="0" xfId="0" applyAlignment="1" applyBorder="1" applyFont="1">
      <alignment horizontal="center" shrinkToFit="0" vertical="top" wrapText="1"/>
    </xf>
    <xf borderId="1" fillId="36" fontId="5" numFmtId="0" xfId="0" applyAlignment="1" applyBorder="1" applyFont="1">
      <alignment shrinkToFit="0" vertical="top" wrapText="1"/>
    </xf>
    <xf borderId="1" fillId="36" fontId="7" numFmtId="0" xfId="0" applyBorder="1" applyFont="1"/>
    <xf borderId="1" fillId="8" fontId="7" numFmtId="0" xfId="0" applyAlignment="1" applyBorder="1" applyFont="1">
      <alignment vertical="top"/>
    </xf>
    <xf borderId="1" fillId="40" fontId="5" numFmtId="0" xfId="0" applyAlignment="1" applyBorder="1" applyFont="1">
      <alignment horizontal="center" shrinkToFit="0" vertical="top" wrapText="1"/>
    </xf>
    <xf borderId="1" fillId="40" fontId="5" numFmtId="0" xfId="0" applyAlignment="1" applyBorder="1" applyFont="1">
      <alignment shrinkToFit="0" vertical="top" wrapText="1"/>
    </xf>
    <xf borderId="1" fillId="40" fontId="7" numFmtId="0" xfId="0" applyBorder="1" applyFont="1"/>
    <xf borderId="1" fillId="40" fontId="7" numFmtId="0" xfId="0" applyAlignment="1" applyBorder="1" applyFont="1">
      <alignment vertical="top"/>
    </xf>
    <xf borderId="1" fillId="16" fontId="1" numFmtId="0" xfId="0" applyAlignment="1" applyBorder="1" applyFont="1">
      <alignment horizontal="center" shrinkToFit="0" vertical="center" wrapText="1"/>
    </xf>
    <xf borderId="1" fillId="16" fontId="2" numFmtId="0" xfId="0" applyAlignment="1" applyBorder="1" applyFont="1">
      <alignment horizontal="left" shrinkToFit="0" vertical="center" wrapText="1"/>
    </xf>
    <xf borderId="1" fillId="16" fontId="1" numFmtId="0" xfId="0" applyAlignment="1" applyBorder="1" applyFont="1">
      <alignment horizontal="center" vertical="center"/>
    </xf>
    <xf borderId="0" fillId="16" fontId="23" numFmtId="0" xfId="0" applyFont="1"/>
    <xf borderId="1" fillId="16" fontId="5" numFmtId="0" xfId="0" applyAlignment="1" applyBorder="1" applyFont="1">
      <alignment horizontal="center" vertical="center"/>
    </xf>
    <xf borderId="1" fillId="16" fontId="49" numFmtId="0" xfId="0" applyAlignment="1" applyBorder="1" applyFont="1">
      <alignment horizontal="left" shrinkToFit="0" wrapText="1"/>
    </xf>
    <xf borderId="1" fillId="16" fontId="49" numFmtId="0" xfId="0" applyAlignment="1" applyBorder="1" applyFont="1">
      <alignment horizontal="center" shrinkToFit="0" wrapText="0"/>
    </xf>
    <xf borderId="1" fillId="16" fontId="28" numFmtId="0" xfId="0" applyAlignment="1" applyBorder="1" applyFont="1">
      <alignment horizontal="center" readingOrder="0" shrinkToFit="0" vertical="center" wrapText="0"/>
    </xf>
    <xf borderId="1" fillId="16" fontId="5" numFmtId="0" xfId="0" applyAlignment="1" applyBorder="1" applyFont="1">
      <alignment horizontal="left" shrinkToFit="0" vertical="center" wrapText="1"/>
    </xf>
    <xf borderId="1" fillId="16" fontId="5" numFmtId="0" xfId="0" applyAlignment="1" applyBorder="1" applyFont="1">
      <alignment horizontal="center" readingOrder="0" vertical="center"/>
    </xf>
    <xf borderId="1" fillId="16" fontId="49" numFmtId="0" xfId="0" applyAlignment="1" applyBorder="1" applyFont="1">
      <alignment horizontal="left" shrinkToFit="0" wrapText="1"/>
    </xf>
    <xf borderId="1" fillId="16" fontId="49" numFmtId="0" xfId="0" applyAlignment="1" applyBorder="1" applyFont="1">
      <alignment horizontal="left" shrinkToFit="0" wrapText="0"/>
    </xf>
    <xf borderId="1" fillId="16" fontId="49" numFmtId="0" xfId="0" applyAlignment="1" applyBorder="1" applyFont="1">
      <alignment horizontal="left" readingOrder="0" shrinkToFit="0" wrapText="1"/>
    </xf>
    <xf borderId="1" fillId="16" fontId="23" numFmtId="0" xfId="0" applyAlignment="1" applyBorder="1" applyFont="1">
      <alignment horizontal="left" readingOrder="0"/>
    </xf>
    <xf borderId="1" fillId="16" fontId="49" numFmtId="0" xfId="0" applyAlignment="1" applyBorder="1" applyFont="1">
      <alignment horizontal="center" readingOrder="0" shrinkToFit="0" wrapText="0"/>
    </xf>
    <xf borderId="1" fillId="16" fontId="23" numFmtId="0" xfId="0" applyAlignment="1" applyBorder="1" applyFont="1">
      <alignment horizontal="center" readingOrder="0"/>
    </xf>
    <xf borderId="1" fillId="16" fontId="23" numFmtId="0" xfId="0" applyBorder="1" applyFont="1"/>
    <xf borderId="0" fillId="0" fontId="23" numFmtId="0" xfId="0" applyAlignment="1" applyFont="1">
      <alignment horizontal="left"/>
    </xf>
    <xf borderId="1" fillId="44" fontId="1" numFmtId="0" xfId="0" applyAlignment="1" applyBorder="1" applyFill="1" applyFont="1">
      <alignment horizontal="center" shrinkToFit="0" vertical="center" wrapText="1"/>
    </xf>
    <xf borderId="1" fillId="44" fontId="2" numFmtId="0" xfId="0" applyAlignment="1" applyBorder="1" applyFont="1">
      <alignment horizontal="center" shrinkToFit="0" vertical="center" wrapText="1"/>
    </xf>
    <xf borderId="1" fillId="44" fontId="1" numFmtId="0" xfId="0" applyAlignment="1" applyBorder="1" applyFont="1">
      <alignment horizontal="center" vertical="center"/>
    </xf>
    <xf borderId="1" fillId="44" fontId="1" numFmtId="0" xfId="0" applyAlignment="1" applyBorder="1" applyFont="1">
      <alignment horizontal="left" shrinkToFit="0" vertical="top" wrapText="1"/>
    </xf>
    <xf borderId="1" fillId="44" fontId="3" numFmtId="0" xfId="0" applyAlignment="1" applyBorder="1" applyFont="1">
      <alignment horizontal="center" shrinkToFit="0" vertical="center" wrapText="1"/>
    </xf>
    <xf borderId="0" fillId="44" fontId="1" numFmtId="0" xfId="0" applyAlignment="1" applyFont="1">
      <alignment horizontal="center" vertical="center"/>
    </xf>
    <xf borderId="1" fillId="0" fontId="5" numFmtId="0" xfId="0" applyAlignment="1" applyBorder="1" applyFont="1">
      <alignment horizontal="left" shrinkToFit="0" vertical="top" wrapText="1"/>
    </xf>
    <xf borderId="9" fillId="12" fontId="16" numFmtId="0" xfId="0" applyAlignment="1" applyBorder="1" applyFont="1">
      <alignment horizontal="center" vertical="center"/>
    </xf>
    <xf borderId="3" fillId="1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33" numFmtId="0" xfId="0" applyAlignment="1" applyBorder="1" applyFont="1">
      <alignment horizontal="center" readingOrder="0" vertical="center"/>
    </xf>
    <xf borderId="0" fillId="0" fontId="5" numFmtId="0" xfId="0" applyFont="1"/>
    <xf borderId="11" fillId="3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34" fontId="5" numFmtId="0" xfId="0" applyAlignment="1" applyBorder="1" applyFont="1">
      <alignment horizontal="center" vertical="top"/>
    </xf>
    <xf borderId="11" fillId="35" fontId="4" numFmtId="0" xfId="0" applyAlignment="1" applyBorder="1" applyFont="1">
      <alignment horizontal="center" vertical="top"/>
    </xf>
    <xf borderId="3" fillId="3" fontId="5" numFmtId="0" xfId="0" applyAlignment="1" applyBorder="1" applyFont="1">
      <alignment vertical="top"/>
    </xf>
    <xf borderId="11" fillId="35" fontId="5" numFmtId="0" xfId="0" applyAlignment="1" applyBorder="1" applyFont="1">
      <alignment horizontal="center" vertical="top"/>
    </xf>
    <xf borderId="3" fillId="3" fontId="4" numFmtId="0" xfId="0" applyAlignment="1" applyBorder="1" applyFont="1">
      <alignment vertical="top"/>
    </xf>
    <xf borderId="11" fillId="30" fontId="4" numFmtId="0" xfId="0" applyAlignment="1" applyBorder="1" applyFont="1">
      <alignment horizontal="center" vertical="top"/>
    </xf>
    <xf borderId="11" fillId="36" fontId="4" numFmtId="0" xfId="0" applyAlignment="1" applyBorder="1" applyFont="1">
      <alignment horizontal="center" vertical="top"/>
    </xf>
    <xf borderId="11" fillId="3" fontId="5" numFmtId="0" xfId="0" applyAlignment="1" applyBorder="1" applyFont="1">
      <alignment horizontal="center" shrinkToFit="0" vertical="top" wrapText="1"/>
    </xf>
    <xf borderId="11" fillId="0" fontId="5" numFmtId="0" xfId="0" applyAlignment="1" applyBorder="1" applyFont="1">
      <alignment horizontal="center" vertical="top"/>
    </xf>
    <xf borderId="13" fillId="0" fontId="5" numFmtId="0" xfId="0" applyAlignment="1" applyBorder="1" applyFont="1">
      <alignment shrinkToFit="0" vertical="top" wrapText="1"/>
    </xf>
    <xf borderId="11" fillId="12" fontId="5" numFmtId="0" xfId="0" applyAlignment="1" applyBorder="1" applyFont="1">
      <alignment horizontal="center" shrinkToFit="0" vertical="top" wrapText="1"/>
    </xf>
    <xf borderId="11" fillId="34" fontId="4" numFmtId="0" xfId="0" applyAlignment="1" applyBorder="1" applyFont="1">
      <alignment horizontal="center" shrinkToFit="0" vertical="center" wrapText="1"/>
    </xf>
    <xf borderId="11" fillId="34" fontId="4" numFmtId="0" xfId="0" applyAlignment="1" applyBorder="1" applyFont="1">
      <alignment horizontal="left" shrinkToFit="0" vertical="center" wrapText="1"/>
    </xf>
    <xf borderId="11" fillId="34" fontId="4" numFmtId="0" xfId="0" applyAlignment="1" applyBorder="1" applyFont="1">
      <alignment horizontal="center" vertical="center"/>
    </xf>
    <xf borderId="10" fillId="34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11" fillId="36" fontId="5" numFmtId="0" xfId="0" applyAlignment="1" applyBorder="1" applyFont="1">
      <alignment horizontal="left" shrinkToFit="0" vertical="top" wrapText="1"/>
    </xf>
    <xf borderId="11" fillId="3" fontId="5" numFmtId="0" xfId="0" applyAlignment="1" applyBorder="1" applyFont="1">
      <alignment horizontal="center" vertical="top"/>
    </xf>
    <xf borderId="3" fillId="3" fontId="5" numFmtId="0" xfId="0" applyAlignment="1" applyBorder="1" applyFont="1">
      <alignment horizontal="center" vertical="top"/>
    </xf>
    <xf borderId="11" fillId="36" fontId="11" numFmtId="0" xfId="0" applyAlignment="1" applyBorder="1" applyFont="1">
      <alignment horizontal="left" shrinkToFit="0" vertical="top" wrapText="1"/>
    </xf>
    <xf borderId="11" fillId="36" fontId="7" numFmtId="0" xfId="0" applyAlignment="1" applyBorder="1" applyFont="1">
      <alignment horizontal="center" vertical="top"/>
    </xf>
    <xf borderId="11" fillId="38" fontId="5" numFmtId="0" xfId="0" applyAlignment="1" applyBorder="1" applyFont="1">
      <alignment horizontal="left" shrinkToFit="0" vertical="top" wrapText="1"/>
    </xf>
    <xf borderId="11" fillId="45" fontId="5" numFmtId="0" xfId="0" applyAlignment="1" applyBorder="1" applyFill="1" applyFont="1">
      <alignment horizontal="center" vertical="top"/>
    </xf>
    <xf borderId="11" fillId="0" fontId="5" numFmtId="0" xfId="0" applyAlignment="1" applyBorder="1" applyFont="1">
      <alignment horizontal="left" shrinkToFit="0" vertical="top" wrapText="1"/>
    </xf>
    <xf borderId="3" fillId="3" fontId="4" numFmtId="0" xfId="0" applyAlignment="1" applyBorder="1" applyFont="1">
      <alignment horizontal="center" vertical="top"/>
    </xf>
    <xf borderId="0" fillId="0" fontId="7" numFmtId="0" xfId="0" applyAlignment="1" applyFont="1">
      <alignment shrinkToFit="0" wrapText="1"/>
    </xf>
    <xf borderId="11" fillId="39" fontId="5" numFmtId="0" xfId="0" applyAlignment="1" applyBorder="1" applyFont="1">
      <alignment horizontal="left" shrinkToFit="0" vertical="top" wrapText="1"/>
    </xf>
    <xf borderId="11" fillId="40" fontId="5" numFmtId="0" xfId="0" applyAlignment="1" applyBorder="1" applyFont="1">
      <alignment horizontal="left" shrinkToFit="0" vertical="top" wrapText="1"/>
    </xf>
    <xf borderId="11" fillId="40" fontId="11" numFmtId="0" xfId="0" applyAlignment="1" applyBorder="1" applyFont="1">
      <alignment horizontal="left" shrinkToFit="0" vertical="top" wrapText="1"/>
    </xf>
    <xf borderId="11" fillId="41" fontId="5" numFmtId="0" xfId="0" applyAlignment="1" applyBorder="1" applyFont="1">
      <alignment horizontal="left" shrinkToFit="0" vertical="top" wrapText="1"/>
    </xf>
    <xf borderId="11" fillId="41" fontId="5" numFmtId="0" xfId="0" applyAlignment="1" applyBorder="1" applyFont="1">
      <alignment horizontal="center" vertical="top"/>
    </xf>
    <xf borderId="11" fillId="41" fontId="5" numFmtId="0" xfId="0" applyAlignment="1" applyBorder="1" applyFont="1">
      <alignment horizontal="center" vertical="center"/>
    </xf>
    <xf borderId="1" fillId="42" fontId="4" numFmtId="0" xfId="0" applyAlignment="1" applyBorder="1" applyFont="1">
      <alignment horizontal="left" shrinkToFit="0" vertical="top" wrapText="1"/>
    </xf>
    <xf borderId="1" fillId="42" fontId="5" numFmtId="0" xfId="0" applyAlignment="1" applyBorder="1" applyFont="1">
      <alignment horizontal="center" vertical="top"/>
    </xf>
    <xf borderId="1" fillId="42" fontId="5" numFmtId="0" xfId="0" applyAlignment="1" applyBorder="1" applyFont="1">
      <alignment horizontal="center" vertical="center"/>
    </xf>
    <xf borderId="1" fillId="43" fontId="5" numFmtId="0" xfId="0" applyAlignment="1" applyBorder="1" applyFont="1">
      <alignment horizontal="left" shrinkToFit="0" vertical="top" wrapText="1"/>
    </xf>
    <xf borderId="1" fillId="43" fontId="5" numFmtId="0" xfId="0" applyAlignment="1" applyBorder="1" applyFont="1">
      <alignment horizontal="center" vertical="top"/>
    </xf>
    <xf borderId="1" fillId="43" fontId="5" numFmtId="0" xfId="0" applyAlignment="1" applyBorder="1" applyFont="1">
      <alignment horizontal="center" vertical="center"/>
    </xf>
    <xf borderId="1" fillId="36" fontId="5" numFmtId="0" xfId="0" applyAlignment="1" applyBorder="1" applyFont="1">
      <alignment horizontal="left" shrinkToFit="0" vertical="top" wrapText="1"/>
    </xf>
    <xf borderId="1" fillId="36" fontId="5" numFmtId="0" xfId="0" applyAlignment="1" applyBorder="1" applyFont="1">
      <alignment horizontal="center" vertical="top"/>
    </xf>
    <xf borderId="1" fillId="36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top"/>
    </xf>
    <xf borderId="1" fillId="40" fontId="5" numFmtId="0" xfId="0" applyAlignment="1" applyBorder="1" applyFont="1">
      <alignment horizontal="left" shrinkToFit="0" vertical="top" wrapText="1"/>
    </xf>
    <xf borderId="1" fillId="40" fontId="5" numFmtId="0" xfId="0" applyAlignment="1" applyBorder="1" applyFont="1">
      <alignment horizontal="center" vertical="top"/>
    </xf>
    <xf borderId="1" fillId="40" fontId="5" numFmtId="0" xfId="0" applyAlignment="1" applyBorder="1" applyFont="1">
      <alignment horizontal="center" vertical="center"/>
    </xf>
    <xf borderId="1" fillId="0" fontId="50" numFmtId="0" xfId="0" applyAlignment="1" applyBorder="1" applyFont="1">
      <alignment horizontal="center" vertical="top"/>
    </xf>
    <xf borderId="1" fillId="46" fontId="5" numFmtId="0" xfId="0" applyAlignment="1" applyBorder="1" applyFill="1" applyFont="1">
      <alignment horizontal="center" shrinkToFit="0" vertical="top" wrapText="1"/>
    </xf>
    <xf borderId="1" fillId="46" fontId="5" numFmtId="0" xfId="0" applyAlignment="1" applyBorder="1" applyFont="1">
      <alignment horizontal="left" shrinkToFit="0" vertical="top" wrapText="1"/>
    </xf>
    <xf borderId="1" fillId="46" fontId="5" numFmtId="0" xfId="0" applyAlignment="1" applyBorder="1" applyFont="1">
      <alignment horizontal="center" vertical="top"/>
    </xf>
    <xf borderId="1" fillId="46" fontId="5" numFmtId="0" xfId="0" applyAlignment="1" applyBorder="1" applyFont="1">
      <alignment horizontal="center" vertical="center"/>
    </xf>
    <xf borderId="1" fillId="47" fontId="11" numFmtId="0" xfId="0" applyAlignment="1" applyBorder="1" applyFill="1" applyFont="1">
      <alignment horizontal="center" vertical="center"/>
    </xf>
    <xf borderId="1" fillId="47" fontId="51" numFmtId="0" xfId="0" applyAlignment="1" applyBorder="1" applyFont="1">
      <alignment shrinkToFit="0" vertical="center" wrapText="1"/>
    </xf>
    <xf borderId="1" fillId="47" fontId="52" numFmtId="0" xfId="0" applyAlignment="1" applyBorder="1" applyFont="1">
      <alignment vertical="center"/>
    </xf>
    <xf borderId="1" fillId="47" fontId="11" numFmtId="0" xfId="0" applyAlignment="1" applyBorder="1" applyFont="1">
      <alignment horizontal="center" readingOrder="1" shrinkToFit="0" vertical="center" wrapText="1"/>
    </xf>
    <xf borderId="1" fillId="47" fontId="51" numFmtId="0" xfId="0" applyAlignment="1" applyBorder="1" applyFont="1">
      <alignment shrinkToFit="0" wrapText="1"/>
    </xf>
    <xf borderId="1" fillId="47" fontId="51" numFmtId="0" xfId="0" applyAlignment="1" applyBorder="1" applyFont="1">
      <alignment horizontal="left" readingOrder="1" shrinkToFit="0" vertical="center" wrapText="1"/>
    </xf>
    <xf borderId="12" fillId="0" fontId="11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1" fillId="48" fontId="11" numFmtId="0" xfId="0" applyAlignment="1" applyBorder="1" applyFill="1" applyFont="1">
      <alignment horizontal="center" vertical="center"/>
    </xf>
    <xf borderId="1" fillId="48" fontId="51" numFmtId="0" xfId="0" applyAlignment="1" applyBorder="1" applyFont="1">
      <alignment shrinkToFit="0" vertical="center" wrapText="1"/>
    </xf>
    <xf borderId="1" fillId="48" fontId="52" numFmtId="0" xfId="0" applyAlignment="1" applyBorder="1" applyFont="1">
      <alignment vertical="center"/>
    </xf>
    <xf borderId="1" fillId="48" fontId="11" numFmtId="0" xfId="0" applyAlignment="1" applyBorder="1" applyFont="1">
      <alignment horizontal="center" readingOrder="1" shrinkToFit="0" vertical="center" wrapText="1"/>
    </xf>
    <xf borderId="1" fillId="48" fontId="51" numFmtId="0" xfId="0" applyAlignment="1" applyBorder="1" applyFont="1">
      <alignment shrinkToFit="0" wrapText="1"/>
    </xf>
    <xf borderId="1" fillId="48" fontId="51" numFmtId="0" xfId="0" applyAlignment="1" applyBorder="1" applyFont="1">
      <alignment horizontal="left" readingOrder="1" shrinkToFit="0" vertical="center" wrapText="1"/>
    </xf>
    <xf borderId="9" fillId="48" fontId="11" numFmtId="0" xfId="0" applyAlignment="1" applyBorder="1" applyFont="1">
      <alignment horizontal="center" vertical="center"/>
    </xf>
    <xf borderId="10" fillId="48" fontId="11" numFmtId="0" xfId="0" applyAlignment="1" applyBorder="1" applyFont="1">
      <alignment horizontal="center" vertical="center"/>
    </xf>
    <xf borderId="11" fillId="48" fontId="11" numFmtId="0" xfId="0" applyAlignment="1" applyBorder="1" applyFont="1">
      <alignment horizontal="center" vertical="center"/>
    </xf>
    <xf borderId="1" fillId="48" fontId="11" numFmtId="0" xfId="0" applyAlignment="1" applyBorder="1" applyFont="1">
      <alignment horizontal="left" shrinkToFit="0" vertical="center" wrapText="1"/>
    </xf>
    <xf borderId="9" fillId="48" fontId="11" numFmtId="0" xfId="0" applyAlignment="1" applyBorder="1" applyFont="1">
      <alignment horizontal="center" shrinkToFit="0" vertical="center" wrapText="1"/>
    </xf>
    <xf borderId="11" fillId="47" fontId="11" numFmtId="0" xfId="0" applyAlignment="1" applyBorder="1" applyFont="1">
      <alignment horizontal="center" vertical="center"/>
    </xf>
    <xf borderId="25" fillId="47" fontId="51" numFmtId="0" xfId="0" applyAlignment="1" applyBorder="1" applyFont="1">
      <alignment shrinkToFit="0" vertical="center" wrapText="1"/>
    </xf>
    <xf borderId="3" fillId="47" fontId="52" numFmtId="0" xfId="0" applyAlignment="1" applyBorder="1" applyFont="1">
      <alignment vertical="center"/>
    </xf>
    <xf borderId="11" fillId="47" fontId="11" numFmtId="0" xfId="0" applyAlignment="1" applyBorder="1" applyFont="1">
      <alignment horizontal="center" readingOrder="1" shrinkToFit="0" vertical="center" wrapText="1"/>
    </xf>
    <xf borderId="25" fillId="47" fontId="51" numFmtId="0" xfId="0" applyAlignment="1" applyBorder="1" applyFont="1">
      <alignment shrinkToFit="0" wrapText="1"/>
    </xf>
    <xf borderId="11" fillId="47" fontId="53" numFmtId="0" xfId="0" applyAlignment="1" applyBorder="1" applyFont="1">
      <alignment horizontal="left" shrinkToFit="0" vertical="center" wrapText="1"/>
    </xf>
    <xf borderId="25" fillId="48" fontId="51" numFmtId="0" xfId="0" applyAlignment="1" applyBorder="1" applyFont="1">
      <alignment shrinkToFit="0" vertical="center" wrapText="1"/>
    </xf>
    <xf borderId="3" fillId="48" fontId="52" numFmtId="0" xfId="0" applyAlignment="1" applyBorder="1" applyFont="1">
      <alignment vertical="center"/>
    </xf>
    <xf borderId="11" fillId="48" fontId="11" numFmtId="0" xfId="0" applyAlignment="1" applyBorder="1" applyFont="1">
      <alignment horizontal="center" readingOrder="1" shrinkToFit="0" vertical="center" wrapText="1"/>
    </xf>
    <xf borderId="25" fillId="48" fontId="51" numFmtId="0" xfId="0" applyAlignment="1" applyBorder="1" applyFont="1">
      <alignment shrinkToFit="0" wrapText="1"/>
    </xf>
    <xf borderId="11" fillId="48" fontId="11" numFmtId="0" xfId="0" applyAlignment="1" applyBorder="1" applyFont="1">
      <alignment horizontal="left" shrinkToFit="0" vertical="center" wrapText="1"/>
    </xf>
    <xf borderId="6" fillId="49" fontId="16" numFmtId="0" xfId="0" applyAlignment="1" applyBorder="1" applyFill="1" applyFont="1">
      <alignment horizontal="center" shrinkToFit="0" vertical="center" wrapText="1"/>
    </xf>
    <xf borderId="1" fillId="49" fontId="16" numFmtId="0" xfId="0" applyAlignment="1" applyBorder="1" applyFont="1">
      <alignment horizontal="center" shrinkToFit="0" vertical="center" wrapText="1"/>
    </xf>
    <xf borderId="1" fillId="49" fontId="1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49" fontId="1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1" fillId="50" fontId="54" numFmtId="0" xfId="0" applyAlignment="1" applyBorder="1" applyFill="1" applyFont="1">
      <alignment horizontal="center" shrinkToFit="0" vertical="center" wrapText="1"/>
    </xf>
    <xf borderId="1" fillId="50" fontId="54" numFmtId="0" xfId="0" applyAlignment="1" applyBorder="1" applyFont="1">
      <alignment shrinkToFit="0" vertical="center" wrapText="1"/>
    </xf>
    <xf borderId="1" fillId="50" fontId="54" numFmtId="0" xfId="0" applyAlignment="1" applyBorder="1" applyFont="1">
      <alignment horizontal="left" shrinkToFit="0" vertical="center" wrapText="1"/>
    </xf>
    <xf borderId="1" fillId="50" fontId="55" numFmtId="0" xfId="0" applyAlignment="1" applyBorder="1" applyFont="1">
      <alignment horizontal="center" shrinkToFit="0" vertical="center" wrapText="1"/>
    </xf>
    <xf borderId="1" fillId="0" fontId="55" numFmtId="0" xfId="0" applyAlignment="1" applyBorder="1" applyFont="1">
      <alignment horizontal="center" shrinkToFit="0" vertical="center" wrapText="1"/>
    </xf>
    <xf borderId="1" fillId="0" fontId="55" numFmtId="0" xfId="0" applyAlignment="1" applyBorder="1" applyFont="1">
      <alignment shrinkToFit="0" vertical="center" wrapText="1"/>
    </xf>
    <xf borderId="1" fillId="0" fontId="55" numFmtId="0" xfId="0" applyAlignment="1" applyBorder="1" applyFont="1">
      <alignment horizontal="left" shrinkToFit="0" vertical="center" wrapText="1"/>
    </xf>
    <xf borderId="1" fillId="0" fontId="56" numFmtId="0" xfId="0" applyAlignment="1" applyBorder="1" applyFont="1">
      <alignment horizontal="center" shrinkToFit="0" vertical="center" wrapText="1"/>
    </xf>
    <xf borderId="1" fillId="0" fontId="55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/>
    </xf>
    <xf borderId="0" fillId="0" fontId="30" numFmtId="0" xfId="0" applyAlignment="1" applyFont="1">
      <alignment horizontal="center"/>
    </xf>
    <xf borderId="1" fillId="51" fontId="1" numFmtId="0" xfId="0" applyAlignment="1" applyBorder="1" applyFill="1" applyFont="1">
      <alignment horizontal="left" shrinkToFit="0" vertical="center" wrapText="1"/>
    </xf>
    <xf borderId="1" fillId="51" fontId="1" numFmtId="164" xfId="0" applyAlignment="1" applyBorder="1" applyFont="1" applyNumberFormat="1">
      <alignment horizontal="left" shrinkToFit="0" vertical="center" wrapText="1"/>
    </xf>
    <xf borderId="1" fillId="51" fontId="1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1" fillId="0" fontId="7" numFmtId="164" xfId="0" applyAlignment="1" applyBorder="1" applyFont="1" applyNumberFormat="1">
      <alignment horizontal="left" vertical="center"/>
    </xf>
    <xf borderId="0" fillId="0" fontId="7" numFmtId="164" xfId="0" applyAlignment="1" applyFont="1" applyNumberFormat="1">
      <alignment horizontal="left" vertical="center"/>
    </xf>
    <xf borderId="1" fillId="6" fontId="1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1" fillId="51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center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left" shrinkToFit="0" vertical="center" wrapText="1"/>
    </xf>
    <xf borderId="1" fillId="3" fontId="1" numFmtId="164" xfId="0" applyAlignment="1" applyBorder="1" applyFont="1" applyNumberFormat="1">
      <alignment horizontal="left" shrinkToFit="0" vertical="center" wrapText="1"/>
    </xf>
    <xf borderId="1" fillId="3" fontId="57" numFmtId="0" xfId="0" applyAlignment="1" applyBorder="1" applyFont="1">
      <alignment horizontal="center" vertical="top"/>
    </xf>
    <xf borderId="1" fillId="3" fontId="5" numFmtId="0" xfId="0" applyAlignment="1" applyBorder="1" applyFont="1">
      <alignment horizontal="left" vertical="top"/>
    </xf>
    <xf borderId="11" fillId="3" fontId="1" numFmtId="0" xfId="0" applyAlignment="1" applyBorder="1" applyFont="1">
      <alignment horizontal="center" shrinkToFit="0" vertical="top" wrapText="1"/>
    </xf>
    <xf borderId="11" fillId="3" fontId="1" numFmtId="0" xfId="0" applyAlignment="1" applyBorder="1" applyFont="1">
      <alignment horizontal="left" shrinkToFit="0" vertical="top" wrapText="1"/>
    </xf>
    <xf borderId="11" fillId="3" fontId="1" numFmtId="0" xfId="0" applyAlignment="1" applyBorder="1" applyFont="1">
      <alignment horizontal="center" vertical="top"/>
    </xf>
    <xf borderId="11" fillId="3" fontId="5" numFmtId="0" xfId="0" applyAlignment="1" applyBorder="1" applyFont="1">
      <alignment horizontal="left" shrinkToFit="0" vertical="top" wrapText="1"/>
    </xf>
    <xf borderId="3" fillId="3" fontId="7" numFmtId="0" xfId="0" applyAlignment="1" applyBorder="1" applyFont="1">
      <alignment horizontal="center" vertical="top"/>
    </xf>
    <xf borderId="11" fillId="3" fontId="9" numFmtId="0" xfId="0" applyAlignment="1" applyBorder="1" applyFont="1">
      <alignment shrinkToFit="0" vertical="top" wrapText="1"/>
    </xf>
    <xf borderId="26" fillId="3" fontId="5" numFmtId="0" xfId="0" applyAlignment="1" applyBorder="1" applyFont="1">
      <alignment horizontal="center" vertical="top"/>
    </xf>
    <xf borderId="26" fillId="3" fontId="5" numFmtId="0" xfId="0" applyAlignment="1" applyBorder="1" applyFont="1">
      <alignment horizontal="left" vertical="top"/>
    </xf>
    <xf borderId="26" fillId="3" fontId="5" numFmtId="0" xfId="0" applyAlignment="1" applyBorder="1" applyFont="1">
      <alignment horizontal="left" shrinkToFit="0" vertical="top" wrapText="1"/>
    </xf>
    <xf borderId="11" fillId="0" fontId="16" numFmtId="0" xfId="0" applyAlignment="1" applyBorder="1" applyFont="1">
      <alignment horizontal="center" vertical="center"/>
    </xf>
    <xf borderId="11" fillId="42" fontId="5" numFmtId="0" xfId="0" applyAlignment="1" applyBorder="1" applyFont="1">
      <alignment horizontal="center" vertical="center"/>
    </xf>
    <xf borderId="11" fillId="0" fontId="58" numFmtId="0" xfId="0" applyAlignment="1" applyBorder="1" applyFont="1">
      <alignment horizontal="center" shrinkToFit="0" vertical="center" wrapText="1"/>
    </xf>
    <xf borderId="11" fillId="52" fontId="5" numFmtId="0" xfId="0" applyAlignment="1" applyBorder="1" applyFill="1" applyFont="1">
      <alignment horizontal="center" vertical="center"/>
    </xf>
    <xf borderId="11" fillId="53" fontId="5" numFmtId="0" xfId="0" applyAlignment="1" applyBorder="1" applyFill="1" applyFont="1">
      <alignment horizontal="center" vertical="center"/>
    </xf>
    <xf borderId="11" fillId="39" fontId="5" numFmtId="0" xfId="0" applyAlignment="1" applyBorder="1" applyFont="1">
      <alignment horizontal="center" vertical="center"/>
    </xf>
    <xf borderId="11" fillId="38" fontId="5" numFmtId="0" xfId="0" applyAlignment="1" applyBorder="1" applyFont="1">
      <alignment horizontal="center" vertical="center"/>
    </xf>
    <xf borderId="11" fillId="40" fontId="5" numFmtId="0" xfId="0" applyAlignment="1" applyBorder="1" applyFont="1">
      <alignment horizontal="center" vertical="center"/>
    </xf>
    <xf borderId="11" fillId="34" fontId="5" numFmtId="0" xfId="0" applyAlignment="1" applyBorder="1" applyFont="1">
      <alignment horizontal="center" vertical="center"/>
    </xf>
    <xf borderId="11" fillId="46" fontId="5" numFmtId="0" xfId="0" applyAlignment="1" applyBorder="1" applyFont="1">
      <alignment horizontal="center" vertical="center"/>
    </xf>
    <xf borderId="11" fillId="43" fontId="5" numFmtId="0" xfId="0" applyAlignment="1" applyBorder="1" applyFont="1">
      <alignment horizontal="center" vertical="center"/>
    </xf>
    <xf borderId="11" fillId="36" fontId="5" numFmtId="0" xfId="0" applyAlignment="1" applyBorder="1" applyFont="1">
      <alignment horizontal="center" vertical="center"/>
    </xf>
    <xf borderId="11" fillId="54" fontId="5" numFmtId="0" xfId="0" applyAlignment="1" applyBorder="1" applyFill="1" applyFont="1">
      <alignment horizontal="center" vertical="center"/>
    </xf>
    <xf borderId="11" fillId="45" fontId="5" numFmtId="0" xfId="0" applyAlignment="1" applyBorder="1" applyFont="1">
      <alignment horizontal="center" vertical="center"/>
    </xf>
    <xf borderId="11" fillId="55" fontId="5" numFmtId="0" xfId="0" applyAlignment="1" applyBorder="1" applyFill="1" applyFont="1">
      <alignment horizontal="center" vertical="center"/>
    </xf>
    <xf borderId="11" fillId="26" fontId="4" numFmtId="0" xfId="0" applyAlignment="1" applyBorder="1" applyFont="1">
      <alignment horizontal="center" vertical="center"/>
    </xf>
    <xf borderId="11" fillId="26" fontId="5" numFmtId="0" xfId="0" applyAlignment="1" applyBorder="1" applyFont="1">
      <alignment horizontal="center" vertical="center"/>
    </xf>
    <xf borderId="11" fillId="38" fontId="4" numFmtId="0" xfId="0" applyAlignment="1" applyBorder="1" applyFont="1">
      <alignment horizontal="center" vertical="center"/>
    </xf>
    <xf borderId="11" fillId="52" fontId="5" numFmtId="0" xfId="0" applyAlignment="1" applyBorder="1" applyFont="1">
      <alignment horizontal="center" shrinkToFit="0" vertical="center" wrapText="1"/>
    </xf>
    <xf borderId="26" fillId="39" fontId="5" numFmtId="0" xfId="0" applyAlignment="1" applyBorder="1" applyFont="1">
      <alignment horizontal="center" vertical="center"/>
    </xf>
    <xf borderId="11" fillId="0" fontId="7" numFmtId="0" xfId="0" applyBorder="1" applyFont="1"/>
    <xf borderId="26" fillId="0" fontId="5" numFmtId="0" xfId="0" applyAlignment="1" applyBorder="1" applyFont="1">
      <alignment horizontal="center" vertical="center"/>
    </xf>
    <xf borderId="0" fillId="0" fontId="58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left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left" shrinkToFit="0" vertical="center" wrapText="1"/>
    </xf>
    <xf borderId="1" fillId="12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1" fillId="8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1" fillId="7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0">
    <dxf>
      <font>
        <color rgb="FF9C5700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>
        <color rgb="FF000000"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0">
    <tableStyle count="2" pivot="0" name="STREAM 2026-style">
      <tableStyleElement dxfId="12" type="firstRowStripe"/>
      <tableStyleElement dxfId="13" type="secondRowStripe"/>
    </tableStyle>
    <tableStyle count="2" pivot="0" name="Copy of STREAM 2026-style">
      <tableStyleElement dxfId="12" type="firstRowStripe"/>
      <tableStyleElement dxfId="13" type="secondRowStripe"/>
    </tableStyle>
    <tableStyle count="2" pivot="0" name="stock of STREAM 2026-style">
      <tableStyleElement dxfId="12" type="firstRowStripe"/>
      <tableStyleElement dxfId="13" type="secondRowStripe"/>
    </tableStyle>
    <tableStyle count="2" pivot="0" name="Copy of stock of STREAM 2026-style">
      <tableStyleElement dxfId="12" type="firstRowStripe"/>
      <tableStyleElement dxfId="13" type="secondRowStripe"/>
    </tableStyle>
    <tableStyle count="2" pivot="0" name="tools stock-style">
      <tableStyleElement dxfId="12" type="firstRowStripe"/>
      <tableStyleElement dxfId="13" type="secondRowStripe"/>
    </tableStyle>
    <tableStyle count="2" pivot="0" name="craft -safety-style">
      <tableStyleElement dxfId="12" type="firstRowStripe"/>
      <tableStyleElement dxfId="13" type="secondRowStripe"/>
    </tableStyle>
    <tableStyle count="2" pivot="0" name="electronics full-style">
      <tableStyleElement dxfId="12" type="firstRowStripe"/>
      <tableStyleElement dxfId="13" type="secondRowStripe"/>
    </tableStyle>
    <tableStyle count="2" pivot="0" name="electronics stock-style">
      <tableStyleElement dxfId="12" type="firstRowStripe"/>
      <tableStyleElement dxfId="13" type="secondRowStripe"/>
    </tableStyle>
    <tableStyle count="2" pivot="0" name="new items to be added-style">
      <tableStyleElement dxfId="12" type="firstRowStripe"/>
      <tableStyleElement dxfId="13" type="secondRowStripe"/>
    </tableStyle>
    <tableStyle count="3" pivot="0" name="Tomson-print - 44 Kit-style">
      <tableStyleElement dxfId="17" type="headerRow"/>
      <tableStyleElement dxfId="18" type="firstRowStripe"/>
      <tableStyleElement dxfId="1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customschemas.google.com/relationships/workbookmetadata" Target="metadata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4.jpg"/><Relationship Id="rId4" Type="http://schemas.openxmlformats.org/officeDocument/2006/relationships/image" Target="../media/image3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265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294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268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268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261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262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262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262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38</xdr:col>
      <xdr:colOff>0</xdr:colOff>
      <xdr:row>0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262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262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258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38</xdr:col>
      <xdr:colOff>0</xdr:colOff>
      <xdr:row>0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264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265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476375" cy="14763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1476375" cy="14763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1476375" cy="147637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1476375" cy="147637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1238250" cy="1571625"/>
    <xdr:pic>
      <xdr:nvPicPr>
        <xdr:cNvPr id="0" name="image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476375" cy="147637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1476375" cy="1476375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281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37</xdr:col>
      <xdr:colOff>0</xdr:colOff>
      <xdr:row>268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268</xdr:row>
      <xdr:rowOff>0</xdr:rowOff>
    </xdr:from>
    <xdr:ext cx="314325" cy="314325"/>
    <xdr:sp>
      <xdr:nvSpPr>
        <xdr:cNvPr descr="Stanley Metric Cushion Grip Standard Screwdriver 6.5x100 Mm, Stmt60826-8 at  Rs 119.0 | Stanley Screwdriver Set, स्टैनली पेंचकस और पेंचकस सेट - IB  Monotaro Private Limited, New Delhi | ID: 2852230192355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405:F41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TREAM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C406:F42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opy of STREAM 2026-style" showColumnStripes="0" showFirstColumn="1" showLastColumn="1" showRowStripes="1"/>
</table>
</file>

<file path=xl/tables/table3.xml><?xml version="1.0" encoding="utf-8"?>
<table xmlns="http://schemas.openxmlformats.org/spreadsheetml/2006/main" headerRowCount="0" ref="B406:F42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stock of STREAM 2026-style" showColumnStripes="0" showFirstColumn="1" showLastColumn="1" showRowStripes="1"/>
</table>
</file>

<file path=xl/tables/table4.xml><?xml version="1.0" encoding="utf-8"?>
<table xmlns="http://schemas.openxmlformats.org/spreadsheetml/2006/main" headerRowCount="0" ref="B406:F420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Copy of stock of STREAM 2026-style" showColumnStripes="0" showFirstColumn="1" showLastColumn="1" showRowStripes="1"/>
</table>
</file>

<file path=xl/tables/table5.xml><?xml version="1.0" encoding="utf-8"?>
<table xmlns="http://schemas.openxmlformats.org/spreadsheetml/2006/main" headerRowCount="0" ref="B46:D60" displayName="Table_5" name="Table_5" id="5">
  <tableColumns count="3">
    <tableColumn name="Column1" id="1"/>
    <tableColumn name="Column2" id="2"/>
    <tableColumn name="Column3" id="3"/>
  </tableColumns>
  <tableStyleInfo name="tools stock-style" showColumnStripes="0" showFirstColumn="1" showLastColumn="1" showRowStripes="1"/>
</table>
</file>

<file path=xl/tables/table6.xml><?xml version="1.0" encoding="utf-8"?>
<table xmlns="http://schemas.openxmlformats.org/spreadsheetml/2006/main" headerRowCount="0" ref="B406:AK575" displayName="Table_6" name="Table_6" id="6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craft -safety-style" showColumnStripes="0" showFirstColumn="1" showLastColumn="1" showRowStripes="1"/>
</table>
</file>

<file path=xl/tables/table7.xml><?xml version="1.0" encoding="utf-8"?>
<table xmlns="http://schemas.openxmlformats.org/spreadsheetml/2006/main" headerRowCount="0" ref="B402:B416" displayName="Table_7" name="Table_7" id="7">
  <tableColumns count="1">
    <tableColumn name="Column1" id="1"/>
  </tableColumns>
  <tableStyleInfo name="electronics full-style" showColumnStripes="0" showFirstColumn="1" showLastColumn="1" showRowStripes="1"/>
</table>
</file>

<file path=xl/tables/table8.xml><?xml version="1.0" encoding="utf-8"?>
<table xmlns="http://schemas.openxmlformats.org/spreadsheetml/2006/main" headerRowCount="0" ref="B46:D60" displayName="Table_8" name="Table_8" id="8">
  <tableColumns count="3">
    <tableColumn name="Column1" id="1"/>
    <tableColumn name="Column2" id="2"/>
    <tableColumn name="Column3" id="3"/>
  </tableColumns>
  <tableStyleInfo name="electronics stock-style" showColumnStripes="0" showFirstColumn="1" showLastColumn="1" showRowStripes="1"/>
</table>
</file>

<file path=xl/tables/table9.xml><?xml version="1.0" encoding="utf-8"?>
<table xmlns="http://schemas.openxmlformats.org/spreadsheetml/2006/main" headerRowCount="0" ref="C2:E13" displayName="Table_9" name="Table_9" id="9">
  <tableColumns count="3">
    <tableColumn name="Column1" id="1"/>
    <tableColumn name="Column2" id="2"/>
    <tableColumn name="Column3" id="3"/>
  </tableColumns>
  <tableStyleInfo name="new items to be added-style" showColumnStripes="0" showFirstColumn="1" showLastColumn="1" showRowStripes="1"/>
</table>
</file>

<file path=xl/tables/table10.xml><?xml version="1.0" encoding="utf-8"?>
<table xmlns="http://schemas.openxmlformats.org/spreadsheetml/2006/main" ref="A1:W199" displayName="Table_10" name="Table_10" id="10">
  <tableColumns count="23">
    <tableColumn name="No" id="1"/>
    <tableColumn name="Unique ID" id="2"/>
    <tableColumn name="Name" id="3"/>
    <tableColumn name="Qty" id="4"/>
    <tableColumn name="Rate" id="5"/>
    <tableColumn name="Total" id="6"/>
    <tableColumn name="Category" id="7"/>
    <tableColumn name="Specification" id="8"/>
    <tableColumn name="IMG" id="9"/>
    <tableColumn name="Zone" id="10"/>
    <tableColumn name="Column1" id="11"/>
    <tableColumn name="Column2" id="12"/>
    <tableColumn name="Box 1" id="13"/>
    <tableColumn name="Box 2" id="14"/>
    <tableColumn name="Box 3" id="15"/>
    <tableColumn name="Box 4" id="16"/>
    <tableColumn name="Box 5" id="17"/>
    <tableColumn name="Box 6" id="18"/>
    <tableColumn name="Box 7" id="19"/>
    <tableColumn name="Box 8" id="20"/>
    <tableColumn name="Box 9" id="21"/>
    <tableColumn name="Box 10" id="22"/>
    <tableColumn name="Box 11" id="23"/>
  </tableColumns>
  <tableStyleInfo name="Tomson-print - 44 K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9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10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hidden="1" min="2" max="2" width="10.43"/>
    <col customWidth="1" hidden="1" min="3" max="3" width="9.14"/>
    <col customWidth="1" min="4" max="4" width="16.29"/>
    <col customWidth="1" min="5" max="5" width="44.14"/>
    <col customWidth="1" min="6" max="6" width="23.29"/>
    <col customWidth="1" min="7" max="7" width="10.57"/>
    <col customWidth="1" min="8" max="8" width="11.86"/>
    <col customWidth="1" hidden="1" min="9" max="9" width="11.29"/>
    <col customWidth="1" hidden="1" min="10" max="10" width="11.86"/>
    <col customWidth="1" min="11" max="11" width="24.0"/>
    <col customWidth="1" hidden="1" min="12" max="12" width="20.43"/>
    <col customWidth="1" hidden="1" min="13" max="13" width="14.86"/>
    <col customWidth="1" hidden="1" min="14" max="14" width="23.29"/>
    <col customWidth="1" hidden="1" min="15" max="15" width="128.43"/>
    <col customWidth="1" min="16" max="16" width="11.14"/>
    <col customWidth="1" min="17" max="17" width="11.57"/>
    <col customWidth="1" min="18" max="18" width="14.71"/>
    <col customWidth="1" min="19" max="19" width="10.71"/>
    <col customWidth="1" min="20" max="20" width="6.57"/>
    <col customWidth="1" min="21" max="21" width="8.71"/>
    <col customWidth="1" min="22" max="27" width="9.29"/>
  </cols>
  <sheetData>
    <row r="1" ht="24.0" customHeight="1">
      <c r="A1" s="1" t="s">
        <v>0</v>
      </c>
      <c r="B1" s="1"/>
      <c r="C1" s="1"/>
      <c r="D1" s="1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3" t="s">
        <v>11</v>
      </c>
      <c r="O1" s="1" t="s">
        <v>12</v>
      </c>
      <c r="P1" s="4" t="s">
        <v>13</v>
      </c>
      <c r="Q1" s="4" t="s">
        <v>14</v>
      </c>
      <c r="R1" s="4" t="s">
        <v>4</v>
      </c>
      <c r="S1" s="5"/>
      <c r="T1" s="5"/>
      <c r="U1" s="5"/>
      <c r="V1" s="5"/>
      <c r="W1" s="5"/>
      <c r="X1" s="5"/>
      <c r="Y1" s="5"/>
      <c r="Z1" s="5"/>
      <c r="AA1" s="5"/>
    </row>
    <row r="2" ht="44.25" customHeight="1">
      <c r="A2" s="6">
        <v>1.0</v>
      </c>
      <c r="B2" s="6" t="s">
        <v>15</v>
      </c>
      <c r="C2" s="6" t="s">
        <v>16</v>
      </c>
      <c r="D2" s="6" t="s">
        <v>17</v>
      </c>
      <c r="E2" s="7" t="s">
        <v>18</v>
      </c>
      <c r="F2" s="8" t="s">
        <v>19</v>
      </c>
      <c r="G2" s="9">
        <v>5.0</v>
      </c>
      <c r="H2" s="9">
        <v>6.0</v>
      </c>
      <c r="I2" s="9">
        <v>150.0</v>
      </c>
      <c r="J2" s="6">
        <f t="shared" ref="J2:J18" si="1">I2*H2</f>
        <v>900</v>
      </c>
      <c r="K2" s="6" t="s">
        <v>20</v>
      </c>
      <c r="L2" s="7" t="s">
        <v>21</v>
      </c>
      <c r="M2" s="7" t="s">
        <v>22</v>
      </c>
      <c r="N2" s="7" t="s">
        <v>23</v>
      </c>
      <c r="O2" s="10" t="s">
        <v>24</v>
      </c>
      <c r="P2" s="6" t="str">
        <f>IMAGE("https://m.media-amazon.com/images/I/61ZBVWoGgCL._SL1500_.jpg",1)</f>
        <v/>
      </c>
      <c r="Q2" s="11">
        <v>0.0</v>
      </c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45.0" customHeight="1">
      <c r="A3" s="6">
        <v>2.0</v>
      </c>
      <c r="B3" s="6" t="s">
        <v>15</v>
      </c>
      <c r="C3" s="6" t="s">
        <v>25</v>
      </c>
      <c r="D3" s="6" t="s">
        <v>26</v>
      </c>
      <c r="E3" s="7" t="s">
        <v>27</v>
      </c>
      <c r="F3" s="8" t="s">
        <v>19</v>
      </c>
      <c r="G3" s="9">
        <v>1.0</v>
      </c>
      <c r="H3" s="9">
        <v>2.0</v>
      </c>
      <c r="I3" s="9">
        <v>150.0</v>
      </c>
      <c r="J3" s="6">
        <f t="shared" si="1"/>
        <v>300</v>
      </c>
      <c r="K3" s="6" t="s">
        <v>20</v>
      </c>
      <c r="L3" s="7" t="s">
        <v>21</v>
      </c>
      <c r="M3" s="7" t="s">
        <v>22</v>
      </c>
      <c r="N3" s="7"/>
      <c r="O3" s="10" t="s">
        <v>28</v>
      </c>
      <c r="P3" s="6" t="str">
        <f>IMAGE("https://5.imimg.com/data5/BN/FC/MY-25588345/omega-cell-tape-dispenser-500x500.jpg",1)</f>
        <v/>
      </c>
      <c r="Q3" s="11">
        <v>0.0</v>
      </c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45.0" customHeight="1">
      <c r="A4" s="6">
        <v>3.0</v>
      </c>
      <c r="B4" s="6" t="s">
        <v>15</v>
      </c>
      <c r="C4" s="6" t="s">
        <v>29</v>
      </c>
      <c r="D4" s="6" t="s">
        <v>30</v>
      </c>
      <c r="E4" s="7" t="s">
        <v>31</v>
      </c>
      <c r="F4" s="8" t="s">
        <v>19</v>
      </c>
      <c r="G4" s="9">
        <v>5.0</v>
      </c>
      <c r="H4" s="9">
        <v>6.0</v>
      </c>
      <c r="I4" s="13">
        <v>25.0</v>
      </c>
      <c r="J4" s="6">
        <f t="shared" si="1"/>
        <v>150</v>
      </c>
      <c r="K4" s="6" t="s">
        <v>20</v>
      </c>
      <c r="L4" s="7" t="s">
        <v>21</v>
      </c>
      <c r="M4" s="7" t="s">
        <v>22</v>
      </c>
      <c r="N4" s="7" t="s">
        <v>23</v>
      </c>
      <c r="O4" s="10" t="s">
        <v>32</v>
      </c>
      <c r="P4" s="6" t="str">
        <f>IMAGE("https://m.media-amazon.com/images/I/21wXjA1iP5L.jpg",1)</f>
        <v/>
      </c>
      <c r="Q4" s="14">
        <v>0.0</v>
      </c>
      <c r="R4" s="5"/>
      <c r="S4" s="5"/>
      <c r="T4" s="5"/>
      <c r="U4" s="5"/>
      <c r="V4" s="5"/>
      <c r="W4" s="5"/>
      <c r="X4" s="5"/>
      <c r="Y4" s="5"/>
      <c r="Z4" s="5"/>
      <c r="AA4" s="5"/>
    </row>
    <row r="5" ht="45.0" customHeight="1">
      <c r="A5" s="6">
        <v>4.0</v>
      </c>
      <c r="B5" s="6" t="s">
        <v>15</v>
      </c>
      <c r="C5" s="6" t="s">
        <v>33</v>
      </c>
      <c r="D5" s="6" t="s">
        <v>34</v>
      </c>
      <c r="E5" s="7" t="s">
        <v>35</v>
      </c>
      <c r="F5" s="8" t="s">
        <v>19</v>
      </c>
      <c r="G5" s="9">
        <v>5.0</v>
      </c>
      <c r="H5" s="9">
        <v>6.0</v>
      </c>
      <c r="I5" s="9">
        <v>80.0</v>
      </c>
      <c r="J5" s="6">
        <f t="shared" si="1"/>
        <v>480</v>
      </c>
      <c r="K5" s="6" t="s">
        <v>20</v>
      </c>
      <c r="L5" s="7" t="s">
        <v>21</v>
      </c>
      <c r="M5" s="7" t="s">
        <v>22</v>
      </c>
      <c r="N5" s="7" t="s">
        <v>23</v>
      </c>
      <c r="O5" s="10"/>
      <c r="P5" s="6" t="str">
        <f>IMAGE("https://5.imimg.com/data5/YG/CD/MY-4112616/transparent-tape-500x500.jpg",1)</f>
        <v/>
      </c>
      <c r="Q5" s="11">
        <v>0.0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45.0" customHeight="1">
      <c r="A6" s="6">
        <v>5.0</v>
      </c>
      <c r="B6" s="6" t="s">
        <v>15</v>
      </c>
      <c r="C6" s="6" t="s">
        <v>36</v>
      </c>
      <c r="D6" s="6" t="s">
        <v>37</v>
      </c>
      <c r="E6" s="7" t="s">
        <v>38</v>
      </c>
      <c r="F6" s="8" t="s">
        <v>19</v>
      </c>
      <c r="G6" s="9">
        <v>5.0</v>
      </c>
      <c r="H6" s="9">
        <v>6.0</v>
      </c>
      <c r="I6" s="9">
        <v>80.0</v>
      </c>
      <c r="J6" s="6">
        <f t="shared" si="1"/>
        <v>480</v>
      </c>
      <c r="K6" s="6" t="s">
        <v>20</v>
      </c>
      <c r="L6" s="7" t="s">
        <v>21</v>
      </c>
      <c r="M6" s="7" t="s">
        <v>22</v>
      </c>
      <c r="N6" s="7" t="s">
        <v>23</v>
      </c>
      <c r="O6" s="10" t="s">
        <v>39</v>
      </c>
      <c r="P6" s="6" t="str">
        <f>IMAGE("https://m.media-amazon.com/images/I/61JiUrBk2-L._SL1082_.jpg",1)</f>
        <v/>
      </c>
      <c r="Q6" s="11">
        <v>0.0</v>
      </c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45.0" customHeight="1">
      <c r="A7" s="6">
        <v>6.0</v>
      </c>
      <c r="B7" s="6" t="s">
        <v>15</v>
      </c>
      <c r="C7" s="6" t="s">
        <v>40</v>
      </c>
      <c r="D7" s="6" t="s">
        <v>41</v>
      </c>
      <c r="E7" s="7" t="s">
        <v>42</v>
      </c>
      <c r="F7" s="8" t="s">
        <v>19</v>
      </c>
      <c r="G7" s="9">
        <v>5.0</v>
      </c>
      <c r="H7" s="9">
        <v>6.0</v>
      </c>
      <c r="I7" s="9">
        <v>80.0</v>
      </c>
      <c r="J7" s="6">
        <f t="shared" si="1"/>
        <v>480</v>
      </c>
      <c r="K7" s="6" t="s">
        <v>20</v>
      </c>
      <c r="L7" s="7" t="s">
        <v>21</v>
      </c>
      <c r="M7" s="7" t="s">
        <v>22</v>
      </c>
      <c r="N7" s="7" t="s">
        <v>23</v>
      </c>
      <c r="O7" s="10" t="s">
        <v>43</v>
      </c>
      <c r="P7" s="6" t="str">
        <f>IMAGE("https://m.media-amazon.com/images/I/51JAsOuirxL._SL1000_.jpg",1)</f>
        <v/>
      </c>
      <c r="Q7" s="11">
        <v>0.0</v>
      </c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45.0" customHeight="1">
      <c r="A8" s="6">
        <v>7.0</v>
      </c>
      <c r="B8" s="6" t="s">
        <v>15</v>
      </c>
      <c r="C8" s="6" t="s">
        <v>44</v>
      </c>
      <c r="D8" s="6" t="s">
        <v>45</v>
      </c>
      <c r="E8" s="7" t="s">
        <v>46</v>
      </c>
      <c r="F8" s="8" t="s">
        <v>19</v>
      </c>
      <c r="G8" s="6">
        <v>10.0</v>
      </c>
      <c r="H8" s="6">
        <v>10.0</v>
      </c>
      <c r="I8" s="6"/>
      <c r="J8" s="6">
        <f t="shared" si="1"/>
        <v>0</v>
      </c>
      <c r="K8" s="6" t="s">
        <v>20</v>
      </c>
      <c r="L8" s="7" t="s">
        <v>47</v>
      </c>
      <c r="M8" s="7" t="s">
        <v>22</v>
      </c>
      <c r="N8" s="7" t="s">
        <v>23</v>
      </c>
      <c r="O8" s="10" t="s">
        <v>48</v>
      </c>
      <c r="P8" s="6" t="str">
        <f>IMAGE("https://m.media-amazon.com/images/I/81zdeTxqkLL._SL1500_.jpg",1)</f>
        <v/>
      </c>
      <c r="Q8" s="11">
        <v>0.0</v>
      </c>
      <c r="R8" s="5"/>
      <c r="S8" s="5"/>
      <c r="T8" s="5"/>
      <c r="U8" s="5"/>
      <c r="V8" s="5"/>
      <c r="W8" s="5"/>
      <c r="X8" s="5"/>
      <c r="Y8" s="5"/>
      <c r="Z8" s="5"/>
      <c r="AA8" s="5"/>
    </row>
    <row r="9" ht="45.0" customHeight="1">
      <c r="A9" s="6">
        <v>8.0</v>
      </c>
      <c r="B9" s="6" t="s">
        <v>15</v>
      </c>
      <c r="C9" s="6" t="s">
        <v>49</v>
      </c>
      <c r="D9" s="6" t="s">
        <v>50</v>
      </c>
      <c r="E9" s="7" t="s">
        <v>51</v>
      </c>
      <c r="F9" s="8" t="s">
        <v>19</v>
      </c>
      <c r="G9" s="9">
        <v>5.0</v>
      </c>
      <c r="H9" s="9">
        <v>5.0</v>
      </c>
      <c r="I9" s="9">
        <v>80.0</v>
      </c>
      <c r="J9" s="6">
        <f t="shared" si="1"/>
        <v>400</v>
      </c>
      <c r="K9" s="6" t="s">
        <v>20</v>
      </c>
      <c r="L9" s="7" t="s">
        <v>21</v>
      </c>
      <c r="M9" s="7" t="s">
        <v>22</v>
      </c>
      <c r="N9" s="7" t="s">
        <v>23</v>
      </c>
      <c r="O9" s="10" t="s">
        <v>52</v>
      </c>
      <c r="P9" s="6" t="str">
        <f>IMAGE("https://megahardwarett.com/wp-content/uploads/2022/03/71TQZaRi6yL._AC_SX425_.jpg",1)</f>
        <v/>
      </c>
      <c r="Q9" s="14">
        <v>0.0</v>
      </c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45.0" customHeight="1">
      <c r="A10" s="6">
        <v>9.0</v>
      </c>
      <c r="B10" s="6" t="s">
        <v>15</v>
      </c>
      <c r="C10" s="6" t="s">
        <v>53</v>
      </c>
      <c r="D10" s="6" t="s">
        <v>54</v>
      </c>
      <c r="E10" s="7" t="s">
        <v>55</v>
      </c>
      <c r="F10" s="8" t="s">
        <v>19</v>
      </c>
      <c r="G10" s="9">
        <v>5.0</v>
      </c>
      <c r="H10" s="9">
        <v>10.0</v>
      </c>
      <c r="I10" s="9">
        <v>60.0</v>
      </c>
      <c r="J10" s="6">
        <f t="shared" si="1"/>
        <v>600</v>
      </c>
      <c r="K10" s="6" t="s">
        <v>20</v>
      </c>
      <c r="L10" s="7" t="s">
        <v>47</v>
      </c>
      <c r="M10" s="7" t="s">
        <v>22</v>
      </c>
      <c r="N10" s="7" t="s">
        <v>23</v>
      </c>
      <c r="O10" s="9" t="s">
        <v>56</v>
      </c>
      <c r="P10" s="6" t="str">
        <f>IMAGE("https://m.media-amazon.com/images/I/51xkFZnkVFL._SX466_.jpg",1)</f>
        <v/>
      </c>
      <c r="Q10" s="11">
        <v>0.0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45.0" customHeight="1">
      <c r="A11" s="6">
        <v>10.0</v>
      </c>
      <c r="B11" s="6" t="s">
        <v>15</v>
      </c>
      <c r="C11" s="6" t="s">
        <v>57</v>
      </c>
      <c r="D11" s="6" t="s">
        <v>58</v>
      </c>
      <c r="E11" s="7" t="s">
        <v>59</v>
      </c>
      <c r="F11" s="8" t="s">
        <v>19</v>
      </c>
      <c r="G11" s="9">
        <v>5.0</v>
      </c>
      <c r="H11" s="9">
        <v>10.0</v>
      </c>
      <c r="I11" s="9">
        <v>70.0</v>
      </c>
      <c r="J11" s="6">
        <f t="shared" si="1"/>
        <v>700</v>
      </c>
      <c r="K11" s="6" t="s">
        <v>20</v>
      </c>
      <c r="L11" s="7" t="s">
        <v>47</v>
      </c>
      <c r="M11" s="7" t="s">
        <v>22</v>
      </c>
      <c r="N11" s="7" t="s">
        <v>23</v>
      </c>
      <c r="O11" s="10" t="s">
        <v>60</v>
      </c>
      <c r="P11" s="6" t="str">
        <f>IMAGE("https://5.imimg.com/data5/LJ/PW/MY-3849711/loctite-401-super-glue-500x500.jpg",1)</f>
        <v/>
      </c>
      <c r="Q11" s="11">
        <v>0.0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45.0" customHeight="1">
      <c r="A12" s="6">
        <v>11.0</v>
      </c>
      <c r="B12" s="6" t="s">
        <v>15</v>
      </c>
      <c r="C12" s="6" t="s">
        <v>61</v>
      </c>
      <c r="D12" s="6" t="s">
        <v>62</v>
      </c>
      <c r="E12" s="7" t="s">
        <v>63</v>
      </c>
      <c r="F12" s="8" t="s">
        <v>64</v>
      </c>
      <c r="G12" s="9">
        <v>20.0</v>
      </c>
      <c r="H12" s="9">
        <v>60.0</v>
      </c>
      <c r="I12" s="9">
        <v>300.0</v>
      </c>
      <c r="J12" s="6">
        <f t="shared" si="1"/>
        <v>18000</v>
      </c>
      <c r="K12" s="6" t="s">
        <v>20</v>
      </c>
      <c r="L12" s="7" t="s">
        <v>65</v>
      </c>
      <c r="M12" s="7" t="s">
        <v>66</v>
      </c>
      <c r="N12" s="7" t="s">
        <v>67</v>
      </c>
      <c r="O12" s="10" t="s">
        <v>68</v>
      </c>
      <c r="P12" s="6" t="str">
        <f>IMAGE("https://5.imimg.com/data5/SELLER/Default/2020/9/EF/FR/SW/13763930/fevicryte-acrylic-colors-500x500.jpg",1)</f>
        <v/>
      </c>
      <c r="Q12" s="11">
        <v>0.0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45.0" customHeight="1">
      <c r="A13" s="6">
        <v>12.0</v>
      </c>
      <c r="B13" s="6" t="s">
        <v>15</v>
      </c>
      <c r="C13" s="6" t="s">
        <v>69</v>
      </c>
      <c r="D13" s="6" t="s">
        <v>70</v>
      </c>
      <c r="E13" s="7" t="s">
        <v>71</v>
      </c>
      <c r="F13" s="8" t="s">
        <v>64</v>
      </c>
      <c r="G13" s="9">
        <v>1.0</v>
      </c>
      <c r="H13" s="9">
        <v>25.0</v>
      </c>
      <c r="I13" s="13">
        <v>1000.0</v>
      </c>
      <c r="J13" s="6">
        <f t="shared" si="1"/>
        <v>25000</v>
      </c>
      <c r="K13" s="6" t="s">
        <v>20</v>
      </c>
      <c r="L13" s="7" t="s">
        <v>72</v>
      </c>
      <c r="M13" s="7" t="s">
        <v>65</v>
      </c>
      <c r="N13" s="7" t="s">
        <v>65</v>
      </c>
      <c r="O13" s="15" t="s">
        <v>73</v>
      </c>
      <c r="P13" s="6" t="str">
        <f>IMAGE("https://helloaugust.in/wp-content/uploads/2020/04/dark-colour-chart-paper-full-size-300x300.jpg",1)</f>
        <v/>
      </c>
      <c r="Q13" s="11">
        <v>0.0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45.0" customHeight="1">
      <c r="A14" s="6">
        <v>13.0</v>
      </c>
      <c r="B14" s="6" t="s">
        <v>15</v>
      </c>
      <c r="C14" s="6" t="s">
        <v>74</v>
      </c>
      <c r="D14" s="6" t="s">
        <v>75</v>
      </c>
      <c r="E14" s="7" t="s">
        <v>76</v>
      </c>
      <c r="F14" s="8" t="s">
        <v>64</v>
      </c>
      <c r="G14" s="6">
        <v>10.0</v>
      </c>
      <c r="H14" s="6">
        <v>10.0</v>
      </c>
      <c r="I14" s="6">
        <v>50.0</v>
      </c>
      <c r="J14" s="6">
        <f t="shared" si="1"/>
        <v>500</v>
      </c>
      <c r="K14" s="6" t="s">
        <v>20</v>
      </c>
      <c r="L14" s="7" t="s">
        <v>77</v>
      </c>
      <c r="M14" s="16" t="s">
        <v>65</v>
      </c>
      <c r="N14" s="7" t="s">
        <v>65</v>
      </c>
      <c r="O14" s="10" t="s">
        <v>78</v>
      </c>
      <c r="P14" s="6" t="str">
        <f>IMAGE("https://m.media-amazon.com/images/W/MEDIAX_792452-T2/images/I/611Q9E31rML._SL1500_.jpg",1)</f>
        <v/>
      </c>
      <c r="Q14" s="11">
        <v>0.0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45.0" customHeight="1">
      <c r="A15" s="6">
        <v>14.0</v>
      </c>
      <c r="B15" s="6" t="s">
        <v>15</v>
      </c>
      <c r="C15" s="6" t="s">
        <v>79</v>
      </c>
      <c r="D15" s="6" t="s">
        <v>80</v>
      </c>
      <c r="E15" s="7" t="s">
        <v>81</v>
      </c>
      <c r="F15" s="8" t="s">
        <v>64</v>
      </c>
      <c r="G15" s="9">
        <v>5.0</v>
      </c>
      <c r="H15" s="9">
        <v>5.0</v>
      </c>
      <c r="I15" s="13">
        <v>100.0</v>
      </c>
      <c r="J15" s="6">
        <f t="shared" si="1"/>
        <v>500</v>
      </c>
      <c r="K15" s="6" t="s">
        <v>20</v>
      </c>
      <c r="L15" s="7" t="s">
        <v>65</v>
      </c>
      <c r="M15" s="7" t="s">
        <v>82</v>
      </c>
      <c r="N15" s="7" t="s">
        <v>83</v>
      </c>
      <c r="O15" s="10" t="s">
        <v>84</v>
      </c>
      <c r="P15" s="6" t="str">
        <f>IMAGE("https://4.imimg.com/data4/TN/NP/MY-32886991/a4-colour-paper-500x500.jpg",1)</f>
        <v/>
      </c>
      <c r="Q15" s="11">
        <v>0.0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45.0" customHeight="1">
      <c r="A16" s="6">
        <v>15.0</v>
      </c>
      <c r="B16" s="6" t="s">
        <v>15</v>
      </c>
      <c r="C16" s="6" t="s">
        <v>85</v>
      </c>
      <c r="D16" s="6" t="s">
        <v>86</v>
      </c>
      <c r="E16" s="7" t="s">
        <v>87</v>
      </c>
      <c r="F16" s="8" t="s">
        <v>64</v>
      </c>
      <c r="G16" s="9">
        <v>5.0</v>
      </c>
      <c r="H16" s="9">
        <v>5.0</v>
      </c>
      <c r="I16" s="9">
        <v>70.0</v>
      </c>
      <c r="J16" s="6">
        <f t="shared" si="1"/>
        <v>350</v>
      </c>
      <c r="K16" s="6" t="s">
        <v>20</v>
      </c>
      <c r="L16" s="7" t="s">
        <v>77</v>
      </c>
      <c r="M16" s="16" t="s">
        <v>65</v>
      </c>
      <c r="N16" s="16" t="s">
        <v>65</v>
      </c>
      <c r="O16" s="10" t="s">
        <v>88</v>
      </c>
      <c r="P16" s="6" t="str">
        <f>IMAGE("https://www.htconline.in/images/thumbs/0019821_camlin-drawing-pencils-set-of-6.jpeg",1)</f>
        <v/>
      </c>
      <c r="Q16" s="11">
        <v>0.0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45.0" customHeight="1">
      <c r="A17" s="6">
        <v>16.0</v>
      </c>
      <c r="B17" s="6" t="s">
        <v>15</v>
      </c>
      <c r="C17" s="6" t="s">
        <v>89</v>
      </c>
      <c r="D17" s="6" t="s">
        <v>90</v>
      </c>
      <c r="E17" s="7" t="s">
        <v>91</v>
      </c>
      <c r="F17" s="8" t="s">
        <v>64</v>
      </c>
      <c r="G17" s="9">
        <v>10.0</v>
      </c>
      <c r="H17" s="9">
        <v>20.0</v>
      </c>
      <c r="I17" s="9">
        <v>10.0</v>
      </c>
      <c r="J17" s="6">
        <f t="shared" si="1"/>
        <v>200</v>
      </c>
      <c r="K17" s="6" t="s">
        <v>20</v>
      </c>
      <c r="L17" s="7" t="s">
        <v>77</v>
      </c>
      <c r="M17" s="16" t="s">
        <v>65</v>
      </c>
      <c r="N17" s="16" t="s">
        <v>65</v>
      </c>
      <c r="O17" s="10" t="s">
        <v>92</v>
      </c>
      <c r="P17" s="6" t="str">
        <f>IMAGE("https://upload.wikimedia.org/wikipedia/commons/e/e8/Office-pink-erasers.jpg",1)</f>
        <v/>
      </c>
      <c r="Q17" s="11">
        <v>0.0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45.0" customHeight="1">
      <c r="A18" s="6">
        <v>17.0</v>
      </c>
      <c r="B18" s="6" t="s">
        <v>15</v>
      </c>
      <c r="C18" s="6" t="s">
        <v>93</v>
      </c>
      <c r="D18" s="6" t="s">
        <v>94</v>
      </c>
      <c r="E18" s="7" t="s">
        <v>95</v>
      </c>
      <c r="F18" s="8" t="s">
        <v>64</v>
      </c>
      <c r="G18" s="9">
        <v>10.0</v>
      </c>
      <c r="H18" s="9">
        <v>10.0</v>
      </c>
      <c r="I18" s="9">
        <v>35.0</v>
      </c>
      <c r="J18" s="6">
        <f t="shared" si="1"/>
        <v>350</v>
      </c>
      <c r="K18" s="6" t="s">
        <v>20</v>
      </c>
      <c r="L18" s="7" t="s">
        <v>77</v>
      </c>
      <c r="M18" s="16" t="s">
        <v>65</v>
      </c>
      <c r="N18" s="16" t="s">
        <v>65</v>
      </c>
      <c r="O18" s="17" t="s">
        <v>96</v>
      </c>
      <c r="P18" s="6" t="str">
        <f>IMAGE("https://cdn.shopify.com/s/files/1/0064/3412/7939/products/Main-2_2baab3ae-c700-4dd7-acd2-e9442aee0358_2048x.jpg?v=1669799264",1)</f>
        <v/>
      </c>
      <c r="Q18" s="11">
        <v>0.0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45.0" customHeight="1">
      <c r="A19" s="6">
        <v>18.0</v>
      </c>
      <c r="B19" s="6"/>
      <c r="C19" s="6"/>
      <c r="D19" s="6" t="s">
        <v>97</v>
      </c>
      <c r="E19" s="7" t="s">
        <v>98</v>
      </c>
      <c r="F19" s="8" t="s">
        <v>64</v>
      </c>
      <c r="G19" s="9" t="s">
        <v>56</v>
      </c>
      <c r="H19" s="9">
        <v>10.0</v>
      </c>
      <c r="I19" s="9"/>
      <c r="J19" s="6"/>
      <c r="K19" s="6" t="s">
        <v>20</v>
      </c>
      <c r="L19" s="7" t="s">
        <v>77</v>
      </c>
      <c r="M19" s="16"/>
      <c r="N19" s="16"/>
      <c r="O19" s="17"/>
      <c r="P19" s="6" t="e">
        <v>#VALUE!</v>
      </c>
      <c r="Q19" s="11">
        <v>0.0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45.0" customHeight="1">
      <c r="A20" s="6">
        <v>19.0</v>
      </c>
      <c r="B20" s="6" t="s">
        <v>15</v>
      </c>
      <c r="C20" s="6" t="s">
        <v>99</v>
      </c>
      <c r="D20" s="6" t="s">
        <v>100</v>
      </c>
      <c r="E20" s="7" t="s">
        <v>101</v>
      </c>
      <c r="F20" s="8" t="s">
        <v>64</v>
      </c>
      <c r="G20" s="9">
        <v>5.0</v>
      </c>
      <c r="H20" s="9">
        <v>10.0</v>
      </c>
      <c r="I20" s="9">
        <v>200.0</v>
      </c>
      <c r="J20" s="6">
        <f t="shared" ref="J20:J84" si="2">I20*H20</f>
        <v>2000</v>
      </c>
      <c r="K20" s="6" t="s">
        <v>20</v>
      </c>
      <c r="L20" s="7" t="s">
        <v>77</v>
      </c>
      <c r="M20" s="16" t="s">
        <v>65</v>
      </c>
      <c r="N20" s="16" t="s">
        <v>65</v>
      </c>
      <c r="O20" s="10" t="s">
        <v>102</v>
      </c>
      <c r="P20" s="6" t="str">
        <f>IMAGE("https://i5.walmartimages.com/asr/2f51619b-ee1e-4e7f-9717-927459ae38b6.1308a61cc28d473c3122e46595affb79.jpeg",1)</f>
        <v/>
      </c>
      <c r="Q20" s="11">
        <v>0.0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45.0" customHeight="1">
      <c r="A21" s="6">
        <v>20.0</v>
      </c>
      <c r="B21" s="6" t="s">
        <v>15</v>
      </c>
      <c r="C21" s="6" t="s">
        <v>103</v>
      </c>
      <c r="D21" s="6" t="s">
        <v>104</v>
      </c>
      <c r="E21" s="7" t="s">
        <v>105</v>
      </c>
      <c r="F21" s="8" t="s">
        <v>64</v>
      </c>
      <c r="G21" s="9">
        <v>5.0</v>
      </c>
      <c r="H21" s="9">
        <v>5.0</v>
      </c>
      <c r="I21" s="9">
        <v>50.0</v>
      </c>
      <c r="J21" s="6">
        <f t="shared" si="2"/>
        <v>250</v>
      </c>
      <c r="K21" s="6" t="s">
        <v>20</v>
      </c>
      <c r="L21" s="7" t="s">
        <v>21</v>
      </c>
      <c r="M21" s="16" t="s">
        <v>65</v>
      </c>
      <c r="N21" s="16" t="s">
        <v>65</v>
      </c>
      <c r="O21" s="10" t="s">
        <v>106</v>
      </c>
      <c r="P21" s="6" t="str">
        <f>IMAGE("https://c8.alamy.com/comp/R7TP32/paint-palette-with-various-acrylic-paints-and-a-brush-R7TP32.jpg",1)</f>
        <v/>
      </c>
      <c r="Q21" s="11">
        <v>0.0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45.0" customHeight="1">
      <c r="A22" s="6">
        <v>21.0</v>
      </c>
      <c r="B22" s="6" t="s">
        <v>15</v>
      </c>
      <c r="C22" s="6" t="s">
        <v>107</v>
      </c>
      <c r="D22" s="6" t="s">
        <v>108</v>
      </c>
      <c r="E22" s="7" t="s">
        <v>109</v>
      </c>
      <c r="F22" s="8" t="s">
        <v>64</v>
      </c>
      <c r="G22" s="9">
        <v>10.0</v>
      </c>
      <c r="H22" s="9">
        <v>1.0</v>
      </c>
      <c r="I22" s="13">
        <v>20.0</v>
      </c>
      <c r="J22" s="6">
        <f t="shared" si="2"/>
        <v>20</v>
      </c>
      <c r="K22" s="6" t="s">
        <v>20</v>
      </c>
      <c r="L22" s="7" t="s">
        <v>77</v>
      </c>
      <c r="M22" s="7" t="s">
        <v>110</v>
      </c>
      <c r="N22" s="7" t="s">
        <v>111</v>
      </c>
      <c r="O22" s="10" t="s">
        <v>112</v>
      </c>
      <c r="P22" s="6" t="str">
        <f>IMAGE("https://i5.walmartimages.com/asr/093150f9-deec-44c1-a07d-a6985f3f45c7.dad44d94862d81eed55b6d8aef2937c1.jpeg?odnHeight=612&amp;odnWidth=612&amp;odnBg=FFFFFF",1)</f>
        <v/>
      </c>
      <c r="Q22" s="11">
        <v>0.0</v>
      </c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45.0" customHeight="1">
      <c r="A23" s="6">
        <v>22.0</v>
      </c>
      <c r="B23" s="6" t="s">
        <v>15</v>
      </c>
      <c r="C23" s="6" t="s">
        <v>113</v>
      </c>
      <c r="D23" s="6" t="s">
        <v>114</v>
      </c>
      <c r="E23" s="7" t="s">
        <v>115</v>
      </c>
      <c r="F23" s="8" t="s">
        <v>64</v>
      </c>
      <c r="G23" s="9">
        <v>5.0</v>
      </c>
      <c r="H23" s="9">
        <v>10.0</v>
      </c>
      <c r="I23" s="9">
        <v>40.0</v>
      </c>
      <c r="J23" s="6">
        <f t="shared" si="2"/>
        <v>400</v>
      </c>
      <c r="K23" s="6" t="s">
        <v>20</v>
      </c>
      <c r="L23" s="7" t="s">
        <v>77</v>
      </c>
      <c r="M23" s="7" t="s">
        <v>110</v>
      </c>
      <c r="N23" s="7" t="s">
        <v>116</v>
      </c>
      <c r="O23" s="6" t="s">
        <v>56</v>
      </c>
      <c r="P23" s="6" t="str">
        <f>IMAGE("https://m.media-amazon.com/images/I/81XeaSXczEL._SL1500_.jpg",1)</f>
        <v/>
      </c>
      <c r="Q23" s="11">
        <v>0.0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45.0" customHeight="1">
      <c r="A24" s="6">
        <v>23.0</v>
      </c>
      <c r="B24" s="6" t="s">
        <v>15</v>
      </c>
      <c r="C24" s="6" t="s">
        <v>117</v>
      </c>
      <c r="D24" s="6" t="s">
        <v>118</v>
      </c>
      <c r="E24" s="7" t="s">
        <v>119</v>
      </c>
      <c r="F24" s="8" t="s">
        <v>64</v>
      </c>
      <c r="G24" s="9">
        <v>10.0</v>
      </c>
      <c r="H24" s="9">
        <v>10.0</v>
      </c>
      <c r="I24" s="9">
        <v>100.0</v>
      </c>
      <c r="J24" s="6">
        <f t="shared" si="2"/>
        <v>1000</v>
      </c>
      <c r="K24" s="6" t="s">
        <v>20</v>
      </c>
      <c r="L24" s="7" t="s">
        <v>21</v>
      </c>
      <c r="M24" s="16" t="s">
        <v>65</v>
      </c>
      <c r="N24" s="16" t="s">
        <v>65</v>
      </c>
      <c r="O24" s="10" t="s">
        <v>120</v>
      </c>
      <c r="P24" s="6" t="str">
        <f>IMAGE("https://www.faithfulltools.com/images/xxlarge/FAIRULE150SS.jpg",1)</f>
        <v/>
      </c>
      <c r="Q24" s="11">
        <v>0.0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45.0" customHeight="1">
      <c r="A25" s="6">
        <v>24.0</v>
      </c>
      <c r="B25" s="6" t="s">
        <v>15</v>
      </c>
      <c r="C25" s="6" t="s">
        <v>121</v>
      </c>
      <c r="D25" s="6" t="s">
        <v>122</v>
      </c>
      <c r="E25" s="7" t="s">
        <v>123</v>
      </c>
      <c r="F25" s="8" t="s">
        <v>64</v>
      </c>
      <c r="G25" s="9">
        <v>10.0</v>
      </c>
      <c r="H25" s="9">
        <v>10.0</v>
      </c>
      <c r="I25" s="9">
        <v>25.0</v>
      </c>
      <c r="J25" s="6">
        <f t="shared" si="2"/>
        <v>250</v>
      </c>
      <c r="K25" s="6" t="s">
        <v>20</v>
      </c>
      <c r="L25" s="7" t="s">
        <v>77</v>
      </c>
      <c r="M25" s="16" t="s">
        <v>65</v>
      </c>
      <c r="N25" s="16" t="s">
        <v>65</v>
      </c>
      <c r="O25" s="10" t="s">
        <v>124</v>
      </c>
      <c r="P25" s="6" t="str">
        <f>IMAGE("https://images.meesho.com/images/products/60299132/dranx_512.jpg",1)</f>
        <v/>
      </c>
      <c r="Q25" s="11">
        <v>0.0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45.0" customHeight="1">
      <c r="A26" s="6">
        <v>25.0</v>
      </c>
      <c r="B26" s="6" t="s">
        <v>15</v>
      </c>
      <c r="C26" s="6" t="s">
        <v>125</v>
      </c>
      <c r="D26" s="6" t="s">
        <v>126</v>
      </c>
      <c r="E26" s="7" t="s">
        <v>127</v>
      </c>
      <c r="F26" s="8" t="s">
        <v>64</v>
      </c>
      <c r="G26" s="9">
        <v>5.0</v>
      </c>
      <c r="H26" s="9">
        <v>5.0</v>
      </c>
      <c r="I26" s="9">
        <v>25.0</v>
      </c>
      <c r="J26" s="6">
        <f t="shared" si="2"/>
        <v>125</v>
      </c>
      <c r="K26" s="6" t="s">
        <v>20</v>
      </c>
      <c r="L26" s="7" t="s">
        <v>65</v>
      </c>
      <c r="M26" s="16"/>
      <c r="N26" s="7"/>
      <c r="O26" s="10" t="s">
        <v>128</v>
      </c>
      <c r="P26" s="6" t="e">
        <v>#VALUE!</v>
      </c>
      <c r="Q26" s="11">
        <v>0.0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45.0" customHeight="1">
      <c r="A27" s="6">
        <v>26.0</v>
      </c>
      <c r="B27" s="6" t="s">
        <v>15</v>
      </c>
      <c r="C27" s="6" t="s">
        <v>129</v>
      </c>
      <c r="D27" s="6" t="s">
        <v>130</v>
      </c>
      <c r="E27" s="7" t="s">
        <v>131</v>
      </c>
      <c r="F27" s="8" t="s">
        <v>64</v>
      </c>
      <c r="G27" s="9">
        <v>10.0</v>
      </c>
      <c r="H27" s="9">
        <v>10.0</v>
      </c>
      <c r="I27" s="9">
        <v>50.0</v>
      </c>
      <c r="J27" s="6">
        <f t="shared" si="2"/>
        <v>500</v>
      </c>
      <c r="K27" s="6" t="s">
        <v>20</v>
      </c>
      <c r="L27" s="7"/>
      <c r="M27" s="7"/>
      <c r="N27" s="7"/>
      <c r="O27" s="10" t="s">
        <v>132</v>
      </c>
      <c r="P27" s="6" t="str">
        <f>IMAGE("https://5.imimg.com/data5/AO/GN/AU/SELLER-10873750/floppy-disk-1000x1000.jpg",1)</f>
        <v/>
      </c>
      <c r="Q27" s="11">
        <v>0.0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45.0" customHeight="1">
      <c r="A28" s="6">
        <v>27.0</v>
      </c>
      <c r="B28" s="6" t="s">
        <v>15</v>
      </c>
      <c r="C28" s="6" t="s">
        <v>133</v>
      </c>
      <c r="D28" s="6" t="s">
        <v>134</v>
      </c>
      <c r="E28" s="7" t="s">
        <v>135</v>
      </c>
      <c r="F28" s="8" t="s">
        <v>64</v>
      </c>
      <c r="G28" s="9">
        <v>10.0</v>
      </c>
      <c r="H28" s="9">
        <v>10.0</v>
      </c>
      <c r="I28" s="9">
        <v>20.0</v>
      </c>
      <c r="J28" s="6">
        <f t="shared" si="2"/>
        <v>200</v>
      </c>
      <c r="K28" s="6" t="s">
        <v>20</v>
      </c>
      <c r="L28" s="7" t="s">
        <v>77</v>
      </c>
      <c r="M28" s="16" t="s">
        <v>65</v>
      </c>
      <c r="N28" s="7"/>
      <c r="O28" s="10" t="s">
        <v>136</v>
      </c>
      <c r="P28" s="6" t="str">
        <f>IMAGE("https://m.media-amazon.com/images/I/717edTeWYZL._SL1500_.jpg",1)</f>
        <v/>
      </c>
      <c r="Q28" s="11">
        <v>0.0</v>
      </c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45.0" customHeight="1">
      <c r="A29" s="6">
        <v>28.0</v>
      </c>
      <c r="B29" s="6" t="s">
        <v>137</v>
      </c>
      <c r="C29" s="6" t="s">
        <v>138</v>
      </c>
      <c r="D29" s="6" t="s">
        <v>139</v>
      </c>
      <c r="E29" s="7" t="s">
        <v>140</v>
      </c>
      <c r="F29" s="8" t="s">
        <v>141</v>
      </c>
      <c r="G29" s="6">
        <v>1.0</v>
      </c>
      <c r="H29" s="6">
        <v>1.0</v>
      </c>
      <c r="I29" s="6">
        <v>2000.0</v>
      </c>
      <c r="J29" s="6">
        <f t="shared" si="2"/>
        <v>2000</v>
      </c>
      <c r="K29" s="6" t="s">
        <v>142</v>
      </c>
      <c r="L29" s="7"/>
      <c r="M29" s="7"/>
      <c r="N29" s="7"/>
      <c r="O29" s="10" t="s">
        <v>143</v>
      </c>
      <c r="P29" s="6" t="e">
        <v>#VALUE!</v>
      </c>
      <c r="Q29" s="11">
        <v>0.0</v>
      </c>
      <c r="R29" s="12"/>
      <c r="S29" s="12" t="s">
        <v>144</v>
      </c>
      <c r="T29" s="12">
        <v>2500.0</v>
      </c>
      <c r="U29" s="12">
        <f t="shared" ref="U29:U36" si="3">T29*H29</f>
        <v>2500</v>
      </c>
      <c r="V29" s="12"/>
      <c r="W29" s="12"/>
      <c r="X29" s="12"/>
      <c r="Y29" s="12"/>
      <c r="Z29" s="12"/>
      <c r="AA29" s="12"/>
    </row>
    <row r="30" ht="45.0" customHeight="1">
      <c r="A30" s="6">
        <v>29.0</v>
      </c>
      <c r="B30" s="6" t="s">
        <v>137</v>
      </c>
      <c r="C30" s="6" t="s">
        <v>145</v>
      </c>
      <c r="D30" s="6" t="s">
        <v>146</v>
      </c>
      <c r="E30" s="7" t="s">
        <v>147</v>
      </c>
      <c r="F30" s="8" t="s">
        <v>141</v>
      </c>
      <c r="G30" s="9">
        <v>1.0</v>
      </c>
      <c r="H30" s="9">
        <v>1.0</v>
      </c>
      <c r="I30" s="9">
        <v>1000.0</v>
      </c>
      <c r="J30" s="6">
        <f t="shared" si="2"/>
        <v>1000</v>
      </c>
      <c r="K30" s="6" t="s">
        <v>142</v>
      </c>
      <c r="L30" s="7"/>
      <c r="M30" s="7"/>
      <c r="N30" s="7"/>
      <c r="O30" s="10" t="s">
        <v>148</v>
      </c>
      <c r="P30" s="6" t="str">
        <f>IMAGE("https://i0.wp.com/www.deltastore.in/wp-content/uploads/2021/05/Untitled-design-95.png?fit=1080%2C1080&amp;ssl=1",1)</f>
        <v/>
      </c>
      <c r="Q30" s="11">
        <v>0.0</v>
      </c>
      <c r="R30" s="12"/>
      <c r="S30" s="12" t="s">
        <v>144</v>
      </c>
      <c r="T30" s="12">
        <v>1500.0</v>
      </c>
      <c r="U30" s="12">
        <f t="shared" si="3"/>
        <v>1500</v>
      </c>
      <c r="V30" s="12"/>
      <c r="W30" s="12"/>
      <c r="X30" s="12"/>
      <c r="Y30" s="12"/>
      <c r="Z30" s="12"/>
      <c r="AA30" s="12"/>
    </row>
    <row r="31" ht="45.0" customHeight="1">
      <c r="A31" s="6">
        <v>30.0</v>
      </c>
      <c r="B31" s="6" t="s">
        <v>137</v>
      </c>
      <c r="C31" s="6" t="s">
        <v>149</v>
      </c>
      <c r="D31" s="6" t="s">
        <v>150</v>
      </c>
      <c r="E31" s="7" t="s">
        <v>151</v>
      </c>
      <c r="F31" s="8" t="s">
        <v>141</v>
      </c>
      <c r="G31" s="9">
        <v>2.0</v>
      </c>
      <c r="H31" s="9">
        <v>2.0</v>
      </c>
      <c r="I31" s="9">
        <v>250.0</v>
      </c>
      <c r="J31" s="6">
        <f t="shared" si="2"/>
        <v>500</v>
      </c>
      <c r="K31" s="6" t="s">
        <v>142</v>
      </c>
      <c r="L31" s="7"/>
      <c r="M31" s="7"/>
      <c r="N31" s="7"/>
      <c r="O31" s="10" t="s">
        <v>152</v>
      </c>
      <c r="P31" s="6" t="str">
        <f>IMAGE("https://m.media-amazon.com/images/I/51KO2QtXE8L._SL1000_.jpg", 1)</f>
        <v/>
      </c>
      <c r="Q31" s="11">
        <v>0.0</v>
      </c>
      <c r="R31" s="12"/>
      <c r="S31" s="12" t="s">
        <v>144</v>
      </c>
      <c r="T31" s="12">
        <v>500.0</v>
      </c>
      <c r="U31" s="12">
        <f t="shared" si="3"/>
        <v>1000</v>
      </c>
      <c r="V31" s="12"/>
      <c r="W31" s="12"/>
      <c r="X31" s="12"/>
      <c r="Y31" s="12"/>
      <c r="Z31" s="12"/>
      <c r="AA31" s="12"/>
    </row>
    <row r="32" ht="45.0" customHeight="1">
      <c r="A32" s="6">
        <v>31.0</v>
      </c>
      <c r="B32" s="6" t="s">
        <v>137</v>
      </c>
      <c r="C32" s="6" t="s">
        <v>153</v>
      </c>
      <c r="D32" s="6" t="s">
        <v>154</v>
      </c>
      <c r="E32" s="7" t="s">
        <v>155</v>
      </c>
      <c r="F32" s="8" t="s">
        <v>141</v>
      </c>
      <c r="G32" s="9">
        <v>1.0</v>
      </c>
      <c r="H32" s="9">
        <v>1.0</v>
      </c>
      <c r="I32" s="9">
        <v>500.0</v>
      </c>
      <c r="J32" s="6">
        <f t="shared" si="2"/>
        <v>500</v>
      </c>
      <c r="K32" s="6" t="s">
        <v>142</v>
      </c>
      <c r="L32" s="7"/>
      <c r="M32" s="7"/>
      <c r="N32" s="7"/>
      <c r="O32" s="10" t="s">
        <v>156</v>
      </c>
      <c r="P32" s="6" t="str">
        <f>IMAGE("https://m.media-amazon.com/images/I/61Zlcg+2mNL.jpg")</f>
        <v/>
      </c>
      <c r="Q32" s="11">
        <v>0.0</v>
      </c>
      <c r="R32" s="12"/>
      <c r="S32" s="12" t="s">
        <v>144</v>
      </c>
      <c r="T32" s="12">
        <v>2000.0</v>
      </c>
      <c r="U32" s="12">
        <f t="shared" si="3"/>
        <v>2000</v>
      </c>
      <c r="V32" s="12"/>
      <c r="W32" s="12"/>
      <c r="X32" s="12"/>
      <c r="Y32" s="12"/>
      <c r="Z32" s="12"/>
      <c r="AA32" s="12"/>
    </row>
    <row r="33" ht="45.0" customHeight="1">
      <c r="A33" s="6">
        <v>32.0</v>
      </c>
      <c r="B33" s="6" t="s">
        <v>137</v>
      </c>
      <c r="C33" s="6" t="s">
        <v>157</v>
      </c>
      <c r="D33" s="6" t="s">
        <v>158</v>
      </c>
      <c r="E33" s="7" t="s">
        <v>159</v>
      </c>
      <c r="F33" s="8" t="s">
        <v>141</v>
      </c>
      <c r="G33" s="9">
        <v>1.0</v>
      </c>
      <c r="H33" s="9">
        <v>1.0</v>
      </c>
      <c r="I33" s="9">
        <v>35000.0</v>
      </c>
      <c r="J33" s="6">
        <f t="shared" si="2"/>
        <v>35000</v>
      </c>
      <c r="K33" s="6" t="s">
        <v>142</v>
      </c>
      <c r="L33" s="7"/>
      <c r="M33" s="7"/>
      <c r="N33" s="7"/>
      <c r="O33" s="10" t="s">
        <v>160</v>
      </c>
      <c r="P33" s="6" t="str">
        <f>IMAGE("https://c1.neweggimages.com/Productimage/24-001-864-04.jpg",1)</f>
        <v/>
      </c>
      <c r="Q33" s="11">
        <v>0.0</v>
      </c>
      <c r="R33" s="12"/>
      <c r="S33" s="12" t="s">
        <v>144</v>
      </c>
      <c r="T33" s="12">
        <v>35000.0</v>
      </c>
      <c r="U33" s="12">
        <f t="shared" si="3"/>
        <v>35000</v>
      </c>
      <c r="V33" s="12"/>
      <c r="W33" s="12"/>
      <c r="X33" s="12"/>
      <c r="Y33" s="12"/>
      <c r="Z33" s="12"/>
      <c r="AA33" s="12"/>
    </row>
    <row r="34" ht="45.0" customHeight="1">
      <c r="A34" s="6">
        <v>33.0</v>
      </c>
      <c r="B34" s="6" t="s">
        <v>137</v>
      </c>
      <c r="C34" s="6" t="s">
        <v>161</v>
      </c>
      <c r="D34" s="6" t="s">
        <v>162</v>
      </c>
      <c r="E34" s="7" t="s">
        <v>163</v>
      </c>
      <c r="F34" s="8" t="s">
        <v>141</v>
      </c>
      <c r="G34" s="9">
        <v>1.0</v>
      </c>
      <c r="H34" s="9">
        <v>1.0</v>
      </c>
      <c r="I34" s="9">
        <v>1000.0</v>
      </c>
      <c r="J34" s="6">
        <f t="shared" si="2"/>
        <v>1000</v>
      </c>
      <c r="K34" s="6" t="s">
        <v>142</v>
      </c>
      <c r="L34" s="7"/>
      <c r="M34" s="7"/>
      <c r="N34" s="7"/>
      <c r="O34" s="10" t="s">
        <v>164</v>
      </c>
      <c r="P34" s="6" t="str">
        <f>IMAGE("https://m.media-amazon.com/images/I/6100FnINmsL._SL1468_.jpg",1)</f>
        <v/>
      </c>
      <c r="Q34" s="11">
        <v>0.0</v>
      </c>
      <c r="R34" s="12"/>
      <c r="S34" s="12" t="s">
        <v>144</v>
      </c>
      <c r="T34" s="12">
        <v>1500.0</v>
      </c>
      <c r="U34" s="12">
        <f t="shared" si="3"/>
        <v>1500</v>
      </c>
      <c r="V34" s="12"/>
      <c r="W34" s="12"/>
      <c r="X34" s="12"/>
      <c r="Y34" s="12"/>
      <c r="Z34" s="12"/>
      <c r="AA34" s="12"/>
    </row>
    <row r="35" ht="45.0" customHeight="1">
      <c r="A35" s="6">
        <v>34.0</v>
      </c>
      <c r="B35" s="6" t="s">
        <v>137</v>
      </c>
      <c r="C35" s="6" t="s">
        <v>165</v>
      </c>
      <c r="D35" s="6" t="s">
        <v>166</v>
      </c>
      <c r="E35" s="7" t="s">
        <v>167</v>
      </c>
      <c r="F35" s="8" t="s">
        <v>141</v>
      </c>
      <c r="G35" s="9">
        <v>1.0</v>
      </c>
      <c r="H35" s="9">
        <v>1.0</v>
      </c>
      <c r="I35" s="9">
        <v>1500.0</v>
      </c>
      <c r="J35" s="6">
        <f t="shared" si="2"/>
        <v>1500</v>
      </c>
      <c r="K35" s="6" t="s">
        <v>142</v>
      </c>
      <c r="L35" s="7"/>
      <c r="M35" s="7"/>
      <c r="N35" s="7"/>
      <c r="O35" s="10" t="s">
        <v>168</v>
      </c>
      <c r="P35" s="6" t="str">
        <f>IMAGE("https://encrypted-tbn1.gstatic.com/shopping?q=tbn:ANd9GcSwk1vUmWwFhmXgluT27_kpt_1XbFeMGM9voPktN2V8FycBha0_9qycLyoE5G3LsPm9IAaz9ZK9JsFmIAo5gwJtywrUheHD9Zzv6NIaMNLbw1go2XSC6Z0l&amp;usqp=CAE",1)</f>
        <v/>
      </c>
      <c r="Q35" s="11">
        <v>0.0</v>
      </c>
      <c r="R35" s="12"/>
      <c r="S35" s="12" t="s">
        <v>144</v>
      </c>
      <c r="T35" s="12">
        <v>2000.0</v>
      </c>
      <c r="U35" s="12">
        <f t="shared" si="3"/>
        <v>2000</v>
      </c>
      <c r="V35" s="12"/>
      <c r="W35" s="12"/>
      <c r="X35" s="12"/>
      <c r="Y35" s="12"/>
      <c r="Z35" s="12"/>
      <c r="AA35" s="12"/>
    </row>
    <row r="36" ht="45.0" customHeight="1">
      <c r="A36" s="6">
        <v>35.0</v>
      </c>
      <c r="B36" s="6" t="s">
        <v>137</v>
      </c>
      <c r="C36" s="6" t="s">
        <v>169</v>
      </c>
      <c r="D36" s="6" t="s">
        <v>170</v>
      </c>
      <c r="E36" s="7" t="s">
        <v>171</v>
      </c>
      <c r="F36" s="8" t="s">
        <v>141</v>
      </c>
      <c r="G36" s="9">
        <v>1.0</v>
      </c>
      <c r="H36" s="9">
        <v>1.0</v>
      </c>
      <c r="I36" s="9">
        <v>35000.0</v>
      </c>
      <c r="J36" s="6">
        <f t="shared" si="2"/>
        <v>35000</v>
      </c>
      <c r="K36" s="6" t="s">
        <v>142</v>
      </c>
      <c r="L36" s="7"/>
      <c r="M36" s="16" t="s">
        <v>65</v>
      </c>
      <c r="N36" s="7"/>
      <c r="O36" s="10" t="s">
        <v>172</v>
      </c>
      <c r="P36" s="6" t="str">
        <f>IMAGE("https://www.designinfo.in/wp-content/uploads/nc/p/5/1/4/9/0/51490-485x485.jpg",1)</f>
        <v/>
      </c>
      <c r="Q36" s="11">
        <v>0.0</v>
      </c>
      <c r="R36" s="12"/>
      <c r="S36" s="12" t="s">
        <v>144</v>
      </c>
      <c r="T36" s="12">
        <v>50000.0</v>
      </c>
      <c r="U36" s="12">
        <f t="shared" si="3"/>
        <v>50000</v>
      </c>
      <c r="V36" s="12"/>
      <c r="W36" s="12"/>
      <c r="X36" s="12"/>
      <c r="Y36" s="12"/>
      <c r="Z36" s="12"/>
      <c r="AA36" s="12"/>
    </row>
    <row r="37" ht="45.0" customHeight="1">
      <c r="A37" s="6">
        <v>36.0</v>
      </c>
      <c r="B37" s="6" t="s">
        <v>173</v>
      </c>
      <c r="C37" s="6" t="s">
        <v>174</v>
      </c>
      <c r="D37" s="6" t="s">
        <v>175</v>
      </c>
      <c r="E37" s="7" t="s">
        <v>176</v>
      </c>
      <c r="F37" s="8" t="s">
        <v>177</v>
      </c>
      <c r="G37" s="9">
        <v>5.0</v>
      </c>
      <c r="H37" s="9">
        <v>5.0</v>
      </c>
      <c r="I37" s="9">
        <v>250.0</v>
      </c>
      <c r="J37" s="6">
        <f t="shared" si="2"/>
        <v>1250</v>
      </c>
      <c r="K37" s="6" t="s">
        <v>178</v>
      </c>
      <c r="L37" s="7"/>
      <c r="M37" s="7" t="s">
        <v>179</v>
      </c>
      <c r="N37" s="7" t="s">
        <v>176</v>
      </c>
      <c r="O37" s="10" t="s">
        <v>180</v>
      </c>
      <c r="P37" s="6" t="str">
        <f>IMAGE("https://robu.in/wp-content/uploads/2021/05/EU-Plug-Universal-Battery-Charger-For-18650-16340-14500-Li-ion-Rechargeable-Battery-Charger-3.jpg",1)</f>
        <v/>
      </c>
      <c r="Q37" s="11">
        <v>1.0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45.0" customHeight="1">
      <c r="A38" s="6">
        <v>37.0</v>
      </c>
      <c r="B38" s="6" t="s">
        <v>173</v>
      </c>
      <c r="C38" s="6" t="s">
        <v>181</v>
      </c>
      <c r="D38" s="6" t="s">
        <v>182</v>
      </c>
      <c r="E38" s="7" t="s">
        <v>183</v>
      </c>
      <c r="F38" s="8" t="s">
        <v>177</v>
      </c>
      <c r="G38" s="9">
        <v>5.0</v>
      </c>
      <c r="H38" s="9">
        <v>5.0</v>
      </c>
      <c r="I38" s="9">
        <v>100.0</v>
      </c>
      <c r="J38" s="6">
        <f t="shared" si="2"/>
        <v>500</v>
      </c>
      <c r="K38" s="6" t="s">
        <v>178</v>
      </c>
      <c r="L38" s="7"/>
      <c r="M38" s="7" t="s">
        <v>110</v>
      </c>
      <c r="N38" s="7" t="s">
        <v>184</v>
      </c>
      <c r="O38" s="18" t="s">
        <v>185</v>
      </c>
      <c r="P38" s="6" t="str">
        <f>IMAGE("https://rukminim2.flixcart.com/image/832/832/krs40i80/worldwide-adaptor/f/7/g/pack-of-1-power-adapter-12v-2-amp-dual-pin-for-charger-with-original-imag5hmbvgzazbzz.jpeg?q=70",1)</f>
        <v/>
      </c>
      <c r="Q38" s="11">
        <v>1.0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45.0" customHeight="1">
      <c r="A39" s="6">
        <v>38.0</v>
      </c>
      <c r="B39" s="6" t="s">
        <v>173</v>
      </c>
      <c r="C39" s="6" t="s">
        <v>186</v>
      </c>
      <c r="D39" s="6" t="s">
        <v>187</v>
      </c>
      <c r="E39" s="7" t="s">
        <v>188</v>
      </c>
      <c r="F39" s="8" t="s">
        <v>177</v>
      </c>
      <c r="G39" s="9">
        <v>5.0</v>
      </c>
      <c r="H39" s="9">
        <v>5.0</v>
      </c>
      <c r="I39" s="9">
        <v>300.0</v>
      </c>
      <c r="J39" s="6">
        <f t="shared" si="2"/>
        <v>1500</v>
      </c>
      <c r="K39" s="6" t="s">
        <v>178</v>
      </c>
      <c r="L39" s="7"/>
      <c r="M39" s="7" t="s">
        <v>66</v>
      </c>
      <c r="N39" s="7" t="s">
        <v>188</v>
      </c>
      <c r="O39" s="10" t="s">
        <v>189</v>
      </c>
      <c r="P39" s="6" t="str">
        <f>IMAGE("https://m.media-amazon.com/images/I/6161NXWtz-L._SL1500_.jpg",1)</f>
        <v/>
      </c>
      <c r="Q39" s="11">
        <v>1.0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45.0" customHeight="1">
      <c r="A40" s="6">
        <v>39.0</v>
      </c>
      <c r="B40" s="6" t="s">
        <v>173</v>
      </c>
      <c r="C40" s="6" t="s">
        <v>190</v>
      </c>
      <c r="D40" s="6" t="s">
        <v>191</v>
      </c>
      <c r="E40" s="7" t="s">
        <v>192</v>
      </c>
      <c r="F40" s="8" t="s">
        <v>177</v>
      </c>
      <c r="G40" s="9">
        <v>20.0</v>
      </c>
      <c r="H40" s="9">
        <v>20.0</v>
      </c>
      <c r="I40" s="9">
        <v>6.0</v>
      </c>
      <c r="J40" s="6">
        <f t="shared" si="2"/>
        <v>120</v>
      </c>
      <c r="K40" s="6" t="s">
        <v>178</v>
      </c>
      <c r="L40" s="7"/>
      <c r="M40" s="7" t="s">
        <v>193</v>
      </c>
      <c r="N40" s="7" t="s">
        <v>194</v>
      </c>
      <c r="O40" s="10" t="s">
        <v>195</v>
      </c>
      <c r="P40" s="6" t="str">
        <f>IMAGE("https://i0.wp.com/www.rytronics.in/wp-content/uploads/2021/09/9v-batter-connector-snap-connector02.jpg?fit=1000%2C1000&amp;ssl=1",1)</f>
        <v/>
      </c>
      <c r="Q40" s="11">
        <v>1.0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45.0" customHeight="1">
      <c r="A41" s="6">
        <v>40.0</v>
      </c>
      <c r="B41" s="6" t="s">
        <v>173</v>
      </c>
      <c r="C41" s="6" t="s">
        <v>196</v>
      </c>
      <c r="D41" s="6" t="s">
        <v>197</v>
      </c>
      <c r="E41" s="7" t="s">
        <v>198</v>
      </c>
      <c r="F41" s="8" t="s">
        <v>177</v>
      </c>
      <c r="G41" s="9">
        <v>15.0</v>
      </c>
      <c r="H41" s="9">
        <v>15.0</v>
      </c>
      <c r="I41" s="9">
        <v>20.0</v>
      </c>
      <c r="J41" s="6">
        <f t="shared" si="2"/>
        <v>300</v>
      </c>
      <c r="K41" s="6" t="s">
        <v>178</v>
      </c>
      <c r="L41" s="7"/>
      <c r="M41" s="7" t="s">
        <v>193</v>
      </c>
      <c r="N41" s="7" t="s">
        <v>194</v>
      </c>
      <c r="O41" s="10" t="s">
        <v>199</v>
      </c>
      <c r="P41" s="6" t="str">
        <f>IMAGE("https://m.media-amazon.com/images/W/MEDIAX_792452-T2/images/I/61UPqH4BXuL.SS700.jpg",1)</f>
        <v/>
      </c>
      <c r="Q41" s="11">
        <v>1.0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45.0" customHeight="1">
      <c r="A42" s="6">
        <v>41.0</v>
      </c>
      <c r="B42" s="6" t="s">
        <v>173</v>
      </c>
      <c r="C42" s="6" t="s">
        <v>200</v>
      </c>
      <c r="D42" s="6" t="s">
        <v>201</v>
      </c>
      <c r="E42" s="7" t="s">
        <v>202</v>
      </c>
      <c r="F42" s="8" t="s">
        <v>177</v>
      </c>
      <c r="G42" s="9">
        <v>10.0</v>
      </c>
      <c r="H42" s="9">
        <v>10.0</v>
      </c>
      <c r="I42" s="9">
        <v>50.0</v>
      </c>
      <c r="J42" s="6">
        <f t="shared" si="2"/>
        <v>500</v>
      </c>
      <c r="K42" s="6" t="s">
        <v>178</v>
      </c>
      <c r="L42" s="7"/>
      <c r="M42" s="7" t="s">
        <v>22</v>
      </c>
      <c r="N42" s="7" t="s">
        <v>203</v>
      </c>
      <c r="O42" s="10" t="s">
        <v>204</v>
      </c>
      <c r="P42" s="6" t="str">
        <f>IMAGE("https://robotools.in/wp-content/uploads/2022/09/18650-x-2-battery-holder-with-cover-and-OnOff-Switch-5.jpg",1)</f>
        <v/>
      </c>
      <c r="Q42" s="11">
        <v>1.0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45.0" customHeight="1">
      <c r="A43" s="6">
        <v>42.0</v>
      </c>
      <c r="B43" s="6" t="s">
        <v>173</v>
      </c>
      <c r="C43" s="6" t="s">
        <v>205</v>
      </c>
      <c r="D43" s="6" t="s">
        <v>206</v>
      </c>
      <c r="E43" s="7" t="s">
        <v>207</v>
      </c>
      <c r="F43" s="8" t="s">
        <v>177</v>
      </c>
      <c r="G43" s="9">
        <v>30.0</v>
      </c>
      <c r="H43" s="9">
        <v>30.0</v>
      </c>
      <c r="I43" s="9">
        <v>20.0</v>
      </c>
      <c r="J43" s="6">
        <f t="shared" si="2"/>
        <v>600</v>
      </c>
      <c r="K43" s="6" t="s">
        <v>178</v>
      </c>
      <c r="L43" s="7"/>
      <c r="M43" s="7" t="s">
        <v>22</v>
      </c>
      <c r="N43" s="7" t="s">
        <v>203</v>
      </c>
      <c r="O43" s="10" t="s">
        <v>208</v>
      </c>
      <c r="P43" s="6" t="str">
        <f>IMAGE("https://robu.in/wp-content/uploads/2019/03/2-x-1.5V-AA-battery-holder-with-cover-and-OnOff-Switch-6.jpg",1)</f>
        <v/>
      </c>
      <c r="Q43" s="11">
        <v>1.0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45.0" customHeight="1">
      <c r="A44" s="6">
        <v>43.0</v>
      </c>
      <c r="B44" s="6" t="s">
        <v>173</v>
      </c>
      <c r="C44" s="6" t="s">
        <v>209</v>
      </c>
      <c r="D44" s="6" t="s">
        <v>210</v>
      </c>
      <c r="E44" s="7" t="s">
        <v>211</v>
      </c>
      <c r="F44" s="8" t="s">
        <v>177</v>
      </c>
      <c r="G44" s="9">
        <v>20.0</v>
      </c>
      <c r="H44" s="9">
        <v>20.0</v>
      </c>
      <c r="I44" s="9">
        <v>40.0</v>
      </c>
      <c r="J44" s="6">
        <f t="shared" si="2"/>
        <v>800</v>
      </c>
      <c r="K44" s="6" t="s">
        <v>178</v>
      </c>
      <c r="L44" s="7"/>
      <c r="M44" s="7" t="s">
        <v>22</v>
      </c>
      <c r="N44" s="7" t="s">
        <v>203</v>
      </c>
      <c r="O44" s="10" t="s">
        <v>212</v>
      </c>
      <c r="P44" s="6" t="str">
        <f>IMAGE("https://probots.co.in/pub/media/catalog/product/cache/d8ddd0f9b0cd008b57085cd218b48832/4/-/4-x-1.5v-aa-battery-holder01.jpg",1)</f>
        <v/>
      </c>
      <c r="Q44" s="14">
        <v>1.0</v>
      </c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45.0" customHeight="1">
      <c r="A45" s="6">
        <v>44.0</v>
      </c>
      <c r="B45" s="6" t="s">
        <v>173</v>
      </c>
      <c r="C45" s="6" t="s">
        <v>213</v>
      </c>
      <c r="D45" s="6" t="s">
        <v>214</v>
      </c>
      <c r="E45" s="7" t="s">
        <v>215</v>
      </c>
      <c r="F45" s="8" t="s">
        <v>177</v>
      </c>
      <c r="G45" s="9">
        <v>20.0</v>
      </c>
      <c r="H45" s="9">
        <v>20.0</v>
      </c>
      <c r="I45" s="9">
        <v>30.0</v>
      </c>
      <c r="J45" s="6">
        <f t="shared" si="2"/>
        <v>600</v>
      </c>
      <c r="K45" s="6" t="s">
        <v>178</v>
      </c>
      <c r="L45" s="7"/>
      <c r="M45" s="7" t="s">
        <v>193</v>
      </c>
      <c r="N45" s="7" t="s">
        <v>216</v>
      </c>
      <c r="O45" s="10" t="s">
        <v>217</v>
      </c>
      <c r="P45" s="6" t="str">
        <f>IMAGE("https://robu.in/wp-content/uploads/2022/06/510c1Z93PDL._SX679_.jpg",1)</f>
        <v/>
      </c>
      <c r="Q45" s="11">
        <v>1.0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45.0" customHeight="1">
      <c r="A46" s="6">
        <v>45.0</v>
      </c>
      <c r="B46" s="6" t="s">
        <v>173</v>
      </c>
      <c r="C46" s="6" t="s">
        <v>218</v>
      </c>
      <c r="D46" s="6" t="s">
        <v>219</v>
      </c>
      <c r="E46" s="7" t="s">
        <v>220</v>
      </c>
      <c r="F46" s="8" t="s">
        <v>177</v>
      </c>
      <c r="G46" s="9">
        <v>5.0</v>
      </c>
      <c r="H46" s="9">
        <v>5.0</v>
      </c>
      <c r="I46" s="9">
        <v>500.0</v>
      </c>
      <c r="J46" s="6">
        <f t="shared" si="2"/>
        <v>2500</v>
      </c>
      <c r="K46" s="6" t="s">
        <v>178</v>
      </c>
      <c r="L46" s="7"/>
      <c r="M46" s="7"/>
      <c r="N46" s="7"/>
      <c r="O46" s="10" t="s">
        <v>221</v>
      </c>
      <c r="P46" s="6" t="str">
        <f>IMAGE("https://i02.psgsm.net/gsm.com/p/887576/480/power-bank-hoco-j26-10000-mah-micro-usb-type-b-input-5v-2a-2-usb-outputs-5-v-2-1-a-139-70-16-mm-with-micro-usb-cable-type-b-black.jpg",1)</f>
        <v/>
      </c>
      <c r="Q46" s="11">
        <v>1.0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45.0" customHeight="1">
      <c r="A47" s="6">
        <v>46.0</v>
      </c>
      <c r="B47" s="6" t="s">
        <v>173</v>
      </c>
      <c r="C47" s="6" t="s">
        <v>222</v>
      </c>
      <c r="D47" s="6" t="s">
        <v>223</v>
      </c>
      <c r="E47" s="7" t="s">
        <v>224</v>
      </c>
      <c r="F47" s="8" t="s">
        <v>177</v>
      </c>
      <c r="G47" s="9">
        <v>10.0</v>
      </c>
      <c r="H47" s="9">
        <v>10.0</v>
      </c>
      <c r="I47" s="9">
        <v>150.0</v>
      </c>
      <c r="J47" s="6">
        <f t="shared" si="2"/>
        <v>1500</v>
      </c>
      <c r="K47" s="6" t="s">
        <v>178</v>
      </c>
      <c r="L47" s="19"/>
      <c r="M47" s="7" t="s">
        <v>179</v>
      </c>
      <c r="N47" s="7"/>
      <c r="O47" s="10" t="s">
        <v>225</v>
      </c>
      <c r="P47" s="6" t="str">
        <f>IMAGE("https://images-na.ssl-images-amazon.com/images/I/51p4KPR9o1L.SS700.jpg",1)</f>
        <v/>
      </c>
      <c r="Q47" s="11">
        <v>1.0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45.0" customHeight="1">
      <c r="A48" s="6">
        <v>47.0</v>
      </c>
      <c r="B48" s="6" t="s">
        <v>173</v>
      </c>
      <c r="C48" s="6" t="s">
        <v>226</v>
      </c>
      <c r="D48" s="6" t="s">
        <v>227</v>
      </c>
      <c r="E48" s="7" t="s">
        <v>228</v>
      </c>
      <c r="F48" s="8" t="s">
        <v>177</v>
      </c>
      <c r="G48" s="9">
        <v>10.0</v>
      </c>
      <c r="H48" s="9">
        <v>10.0</v>
      </c>
      <c r="I48" s="9">
        <v>200.0</v>
      </c>
      <c r="J48" s="6">
        <f t="shared" si="2"/>
        <v>2000</v>
      </c>
      <c r="K48" s="6" t="s">
        <v>178</v>
      </c>
      <c r="L48" s="7"/>
      <c r="M48" s="7" t="s">
        <v>179</v>
      </c>
      <c r="N48" s="7"/>
      <c r="O48" s="10" t="s">
        <v>229</v>
      </c>
      <c r="P48" s="6" t="str">
        <f>IMAGE("https://5.imimg.com/data5/SELLER/Default/2021/7/XA/OZ/BW/6610292/9v-power-plus-nimh-rechargeable-battery-500x500.jpg",1)</f>
        <v/>
      </c>
      <c r="Q48" s="11">
        <v>1.0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45.0" customHeight="1">
      <c r="A49" s="6">
        <v>48.0</v>
      </c>
      <c r="B49" s="6" t="s">
        <v>173</v>
      </c>
      <c r="C49" s="6" t="s">
        <v>230</v>
      </c>
      <c r="D49" s="6" t="s">
        <v>231</v>
      </c>
      <c r="E49" s="7" t="s">
        <v>232</v>
      </c>
      <c r="F49" s="8" t="s">
        <v>177</v>
      </c>
      <c r="G49" s="9">
        <v>20.0</v>
      </c>
      <c r="H49" s="9">
        <v>20.0</v>
      </c>
      <c r="I49" s="9">
        <v>100.0</v>
      </c>
      <c r="J49" s="6">
        <f t="shared" si="2"/>
        <v>2000</v>
      </c>
      <c r="K49" s="6" t="s">
        <v>178</v>
      </c>
      <c r="L49" s="7"/>
      <c r="M49" s="7" t="s">
        <v>179</v>
      </c>
      <c r="N49" s="7"/>
      <c r="O49" s="10" t="s">
        <v>233</v>
      </c>
      <c r="P49" s="6" t="str">
        <f>IMAGE("https://images-cdn.ubuy.co.in/6578382306deda07ed788ca4-rechargeable-aa-batteries-aa.jpg",1)</f>
        <v/>
      </c>
      <c r="Q49" s="11">
        <v>1.0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45.0" customHeight="1">
      <c r="A50" s="6">
        <v>49.0</v>
      </c>
      <c r="B50" s="6" t="s">
        <v>173</v>
      </c>
      <c r="C50" s="6" t="s">
        <v>234</v>
      </c>
      <c r="D50" s="6" t="s">
        <v>235</v>
      </c>
      <c r="E50" s="7" t="s">
        <v>236</v>
      </c>
      <c r="F50" s="8" t="s">
        <v>237</v>
      </c>
      <c r="G50" s="9">
        <v>20.0</v>
      </c>
      <c r="H50" s="9">
        <v>20.0</v>
      </c>
      <c r="I50" s="9">
        <v>7.5</v>
      </c>
      <c r="J50" s="6">
        <f t="shared" si="2"/>
        <v>150</v>
      </c>
      <c r="K50" s="6" t="s">
        <v>178</v>
      </c>
      <c r="L50" s="7"/>
      <c r="M50" s="7" t="s">
        <v>66</v>
      </c>
      <c r="N50" s="7"/>
      <c r="O50" s="10" t="s">
        <v>238</v>
      </c>
      <c r="P50" s="6" t="str">
        <f>IMAGE("https://robu.in/wp-content/uploads/2017/04/Alligator-Clips-Electrical-DIY-Test-Leads-10pcs-For-Test-Leads-Double-ended-Crocodile-Clips-Roach-Clip-2.jpg",1)</f>
        <v/>
      </c>
      <c r="Q50" s="11">
        <v>1.0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45.0" customHeight="1">
      <c r="A51" s="6">
        <v>50.0</v>
      </c>
      <c r="B51" s="6" t="s">
        <v>173</v>
      </c>
      <c r="C51" s="6" t="s">
        <v>239</v>
      </c>
      <c r="D51" s="6" t="s">
        <v>240</v>
      </c>
      <c r="E51" s="7" t="s">
        <v>241</v>
      </c>
      <c r="F51" s="8" t="s">
        <v>237</v>
      </c>
      <c r="G51" s="9">
        <v>20.0</v>
      </c>
      <c r="H51" s="9">
        <v>20.0</v>
      </c>
      <c r="I51" s="9">
        <v>20.0</v>
      </c>
      <c r="J51" s="6">
        <f t="shared" si="2"/>
        <v>400</v>
      </c>
      <c r="K51" s="6" t="s">
        <v>178</v>
      </c>
      <c r="L51" s="7"/>
      <c r="M51" s="7" t="s">
        <v>193</v>
      </c>
      <c r="N51" s="7"/>
      <c r="O51" s="10" t="s">
        <v>242</v>
      </c>
      <c r="P51" s="6" t="str">
        <f>IMAGE("https://makerbazar.in/cdn/shop/products/dcmalejackwithwire2_600x.jpg?v=1642675074",1)</f>
        <v/>
      </c>
      <c r="Q51" s="11">
        <v>1.0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45.0" customHeight="1">
      <c r="A52" s="6">
        <v>51.0</v>
      </c>
      <c r="B52" s="6" t="s">
        <v>173</v>
      </c>
      <c r="C52" s="6" t="s">
        <v>243</v>
      </c>
      <c r="D52" s="6" t="s">
        <v>244</v>
      </c>
      <c r="E52" s="7" t="s">
        <v>245</v>
      </c>
      <c r="F52" s="8" t="s">
        <v>237</v>
      </c>
      <c r="G52" s="6">
        <v>1.0</v>
      </c>
      <c r="H52" s="6">
        <v>1.0</v>
      </c>
      <c r="I52" s="6">
        <v>200.0</v>
      </c>
      <c r="J52" s="6">
        <f t="shared" si="2"/>
        <v>200</v>
      </c>
      <c r="K52" s="6" t="s">
        <v>178</v>
      </c>
      <c r="L52" s="7"/>
      <c r="M52" s="7"/>
      <c r="N52" s="7"/>
      <c r="O52" s="10"/>
      <c r="P52" s="6" t="str">
        <f>IMAGE("https://m.media-amazon.com/images/I/61YPX7I4aSL._SL1500_.jpg",1)</f>
        <v/>
      </c>
      <c r="Q52" s="11">
        <v>1.0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45.0" customHeight="1">
      <c r="A53" s="6">
        <v>52.0</v>
      </c>
      <c r="B53" s="6" t="s">
        <v>173</v>
      </c>
      <c r="C53" s="6" t="s">
        <v>246</v>
      </c>
      <c r="D53" s="6" t="s">
        <v>247</v>
      </c>
      <c r="E53" s="7" t="s">
        <v>248</v>
      </c>
      <c r="F53" s="8" t="s">
        <v>237</v>
      </c>
      <c r="G53" s="9">
        <v>1.0</v>
      </c>
      <c r="H53" s="9">
        <v>1.0</v>
      </c>
      <c r="I53" s="9">
        <v>150.0</v>
      </c>
      <c r="J53" s="6">
        <f t="shared" si="2"/>
        <v>150</v>
      </c>
      <c r="K53" s="6" t="s">
        <v>178</v>
      </c>
      <c r="L53" s="7"/>
      <c r="M53" s="7" t="s">
        <v>249</v>
      </c>
      <c r="N53" s="7" t="s">
        <v>250</v>
      </c>
      <c r="O53" s="10" t="s">
        <v>251</v>
      </c>
      <c r="P53" s="6" t="str">
        <f>IMAGE("https://rukminim2.flixcart.com/image/832/832/k8t3jbk0/cable-sleeve/j/c/q/black-2mm-polyolefin-heat-shrink-tube-sleeve-for-wrap-60-meter-original-imafqq3y2g2v9vzz.jpeg?q=70",1)</f>
        <v/>
      </c>
      <c r="Q53" s="11">
        <v>1.0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45.0" customHeight="1">
      <c r="A54" s="6">
        <v>53.0</v>
      </c>
      <c r="B54" s="6" t="s">
        <v>173</v>
      </c>
      <c r="C54" s="6" t="s">
        <v>252</v>
      </c>
      <c r="D54" s="6" t="s">
        <v>253</v>
      </c>
      <c r="E54" s="7" t="s">
        <v>254</v>
      </c>
      <c r="F54" s="8" t="s">
        <v>237</v>
      </c>
      <c r="G54" s="9">
        <v>1.0</v>
      </c>
      <c r="H54" s="9">
        <v>1.0</v>
      </c>
      <c r="I54" s="9">
        <v>150.0</v>
      </c>
      <c r="J54" s="6">
        <f t="shared" si="2"/>
        <v>150</v>
      </c>
      <c r="K54" s="6" t="s">
        <v>178</v>
      </c>
      <c r="L54" s="7"/>
      <c r="M54" s="7" t="s">
        <v>249</v>
      </c>
      <c r="N54" s="7" t="s">
        <v>250</v>
      </c>
      <c r="O54" s="10" t="s">
        <v>255</v>
      </c>
      <c r="P54" s="6" t="str">
        <f>IMAGE("https://m.media-amazon.com/images/I/61zJ0n1EqGS._AC_SL1500_.jpg",1)</f>
        <v/>
      </c>
      <c r="Q54" s="14">
        <v>1.0</v>
      </c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45.0" customHeight="1">
      <c r="A55" s="6">
        <v>54.0</v>
      </c>
      <c r="B55" s="6" t="s">
        <v>173</v>
      </c>
      <c r="C55" s="6" t="s">
        <v>256</v>
      </c>
      <c r="D55" s="6" t="s">
        <v>257</v>
      </c>
      <c r="E55" s="7" t="s">
        <v>258</v>
      </c>
      <c r="F55" s="8" t="s">
        <v>237</v>
      </c>
      <c r="G55" s="9">
        <v>1.0</v>
      </c>
      <c r="H55" s="9">
        <v>1.0</v>
      </c>
      <c r="I55" s="9">
        <v>150.0</v>
      </c>
      <c r="J55" s="6">
        <f t="shared" si="2"/>
        <v>150</v>
      </c>
      <c r="K55" s="6" t="s">
        <v>178</v>
      </c>
      <c r="L55" s="7"/>
      <c r="M55" s="7" t="s">
        <v>249</v>
      </c>
      <c r="N55" s="7" t="s">
        <v>250</v>
      </c>
      <c r="O55" s="10" t="s">
        <v>259</v>
      </c>
      <c r="P55" s="6" t="str">
        <f>IMAGE("https://m.media-amazon.com/images/W/MEDIAX_792452-T2/images/I/417I5BCQPSL.jpg",1)</f>
        <v/>
      </c>
      <c r="Q55" s="14">
        <v>1.0</v>
      </c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45.0" customHeight="1">
      <c r="A56" s="6">
        <v>55.0</v>
      </c>
      <c r="B56" s="6" t="s">
        <v>173</v>
      </c>
      <c r="C56" s="6" t="s">
        <v>260</v>
      </c>
      <c r="D56" s="6" t="s">
        <v>261</v>
      </c>
      <c r="E56" s="7" t="s">
        <v>262</v>
      </c>
      <c r="F56" s="8" t="s">
        <v>237</v>
      </c>
      <c r="G56" s="9">
        <v>1.0</v>
      </c>
      <c r="H56" s="9">
        <v>1.0</v>
      </c>
      <c r="I56" s="9">
        <v>150.0</v>
      </c>
      <c r="J56" s="6">
        <f t="shared" si="2"/>
        <v>150</v>
      </c>
      <c r="K56" s="6" t="s">
        <v>178</v>
      </c>
      <c r="L56" s="7"/>
      <c r="M56" s="7" t="s">
        <v>249</v>
      </c>
      <c r="N56" s="7" t="s">
        <v>250</v>
      </c>
      <c r="O56" s="10" t="s">
        <v>263</v>
      </c>
      <c r="P56" s="6" t="str">
        <f>IMAGE("https://m.media-amazon.com/images/I/61zJ0n1EqGS._AC_SL1500_.jpg",1)</f>
        <v/>
      </c>
      <c r="Q56" s="11">
        <v>1.0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45.0" customHeight="1">
      <c r="A57" s="6">
        <v>56.0</v>
      </c>
      <c r="B57" s="6" t="s">
        <v>173</v>
      </c>
      <c r="C57" s="6" t="s">
        <v>264</v>
      </c>
      <c r="D57" s="6" t="s">
        <v>265</v>
      </c>
      <c r="E57" s="7" t="s">
        <v>266</v>
      </c>
      <c r="F57" s="8" t="s">
        <v>237</v>
      </c>
      <c r="G57" s="9">
        <v>20.0</v>
      </c>
      <c r="H57" s="9">
        <v>20.0</v>
      </c>
      <c r="I57" s="9">
        <v>20.0</v>
      </c>
      <c r="J57" s="6">
        <f t="shared" si="2"/>
        <v>400</v>
      </c>
      <c r="K57" s="6" t="s">
        <v>178</v>
      </c>
      <c r="L57" s="7"/>
      <c r="M57" s="7" t="s">
        <v>66</v>
      </c>
      <c r="N57" s="7" t="s">
        <v>267</v>
      </c>
      <c r="O57" s="10" t="s">
        <v>268</v>
      </c>
      <c r="P57" s="6" t="str">
        <f t="shared" ref="P57:P61" si="4">IMAGE("https://i.ebayimg.com/images/g/xCYAAOSwjvJlEQU8/s-l1600.jpg",1)</f>
        <v/>
      </c>
      <c r="Q57" s="11">
        <v>1.0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45.0" customHeight="1">
      <c r="A58" s="6">
        <v>57.0</v>
      </c>
      <c r="B58" s="6" t="s">
        <v>173</v>
      </c>
      <c r="C58" s="6" t="s">
        <v>269</v>
      </c>
      <c r="D58" s="6" t="s">
        <v>270</v>
      </c>
      <c r="E58" s="7" t="s">
        <v>271</v>
      </c>
      <c r="F58" s="8" t="s">
        <v>237</v>
      </c>
      <c r="G58" s="9">
        <v>20.0</v>
      </c>
      <c r="H58" s="9">
        <v>20.0</v>
      </c>
      <c r="I58" s="9">
        <v>20.0</v>
      </c>
      <c r="J58" s="6">
        <f t="shared" si="2"/>
        <v>400</v>
      </c>
      <c r="K58" s="6" t="s">
        <v>178</v>
      </c>
      <c r="L58" s="7"/>
      <c r="M58" s="7" t="s">
        <v>66</v>
      </c>
      <c r="N58" s="7" t="s">
        <v>267</v>
      </c>
      <c r="O58" s="10" t="s">
        <v>272</v>
      </c>
      <c r="P58" s="6" t="str">
        <f t="shared" si="4"/>
        <v/>
      </c>
      <c r="Q58" s="11">
        <v>1.0</v>
      </c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45.0" customHeight="1">
      <c r="A59" s="6">
        <v>58.0</v>
      </c>
      <c r="B59" s="6" t="s">
        <v>173</v>
      </c>
      <c r="C59" s="6" t="s">
        <v>273</v>
      </c>
      <c r="D59" s="6" t="s">
        <v>274</v>
      </c>
      <c r="E59" s="7" t="s">
        <v>275</v>
      </c>
      <c r="F59" s="8" t="s">
        <v>237</v>
      </c>
      <c r="G59" s="9">
        <v>20.0</v>
      </c>
      <c r="H59" s="9">
        <v>20.0</v>
      </c>
      <c r="I59" s="9">
        <v>20.0</v>
      </c>
      <c r="J59" s="6">
        <f t="shared" si="2"/>
        <v>400</v>
      </c>
      <c r="K59" s="6" t="s">
        <v>178</v>
      </c>
      <c r="L59" s="7"/>
      <c r="M59" s="7" t="s">
        <v>66</v>
      </c>
      <c r="N59" s="7" t="s">
        <v>267</v>
      </c>
      <c r="O59" s="10" t="s">
        <v>276</v>
      </c>
      <c r="P59" s="6" t="str">
        <f t="shared" si="4"/>
        <v/>
      </c>
      <c r="Q59" s="11">
        <v>1.0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45.0" customHeight="1">
      <c r="A60" s="6">
        <v>59.0</v>
      </c>
      <c r="B60" s="6" t="s">
        <v>173</v>
      </c>
      <c r="C60" s="6" t="s">
        <v>277</v>
      </c>
      <c r="D60" s="6" t="s">
        <v>278</v>
      </c>
      <c r="E60" s="7" t="s">
        <v>279</v>
      </c>
      <c r="F60" s="8" t="s">
        <v>237</v>
      </c>
      <c r="G60" s="9">
        <v>20.0</v>
      </c>
      <c r="H60" s="9">
        <v>20.0</v>
      </c>
      <c r="I60" s="9">
        <v>20.0</v>
      </c>
      <c r="J60" s="6">
        <f t="shared" si="2"/>
        <v>400</v>
      </c>
      <c r="K60" s="6" t="s">
        <v>178</v>
      </c>
      <c r="L60" s="7"/>
      <c r="M60" s="7" t="s">
        <v>66</v>
      </c>
      <c r="N60" s="7" t="s">
        <v>267</v>
      </c>
      <c r="O60" s="10" t="s">
        <v>280</v>
      </c>
      <c r="P60" s="6" t="str">
        <f t="shared" si="4"/>
        <v/>
      </c>
      <c r="Q60" s="11">
        <v>1.0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45.0" customHeight="1">
      <c r="A61" s="6">
        <v>60.0</v>
      </c>
      <c r="B61" s="6" t="s">
        <v>173</v>
      </c>
      <c r="C61" s="6" t="s">
        <v>281</v>
      </c>
      <c r="D61" s="6" t="s">
        <v>282</v>
      </c>
      <c r="E61" s="7" t="s">
        <v>283</v>
      </c>
      <c r="F61" s="8" t="s">
        <v>237</v>
      </c>
      <c r="G61" s="9">
        <v>20.0</v>
      </c>
      <c r="H61" s="9">
        <v>20.0</v>
      </c>
      <c r="I61" s="9">
        <v>20.0</v>
      </c>
      <c r="J61" s="6">
        <f t="shared" si="2"/>
        <v>400</v>
      </c>
      <c r="K61" s="6" t="s">
        <v>178</v>
      </c>
      <c r="L61" s="7"/>
      <c r="M61" s="7" t="s">
        <v>66</v>
      </c>
      <c r="N61" s="7" t="s">
        <v>267</v>
      </c>
      <c r="O61" s="10" t="s">
        <v>284</v>
      </c>
      <c r="P61" s="6" t="str">
        <f t="shared" si="4"/>
        <v/>
      </c>
      <c r="Q61" s="11">
        <v>1.0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45.0" customHeight="1">
      <c r="A62" s="6">
        <v>61.0</v>
      </c>
      <c r="B62" s="6" t="s">
        <v>173</v>
      </c>
      <c r="C62" s="6" t="s">
        <v>285</v>
      </c>
      <c r="D62" s="6" t="s">
        <v>286</v>
      </c>
      <c r="E62" s="7" t="s">
        <v>287</v>
      </c>
      <c r="F62" s="8" t="s">
        <v>237</v>
      </c>
      <c r="G62" s="9">
        <v>20.0</v>
      </c>
      <c r="H62" s="9">
        <v>20.0</v>
      </c>
      <c r="I62" s="9">
        <v>40.0</v>
      </c>
      <c r="J62" s="6">
        <f t="shared" si="2"/>
        <v>800</v>
      </c>
      <c r="K62" s="6" t="s">
        <v>178</v>
      </c>
      <c r="L62" s="7"/>
      <c r="M62" s="7" t="s">
        <v>22</v>
      </c>
      <c r="N62" s="7" t="s">
        <v>288</v>
      </c>
      <c r="O62" s="10" t="s">
        <v>289</v>
      </c>
      <c r="P62" s="6" t="str">
        <f t="shared" ref="P62:P64" si="5">IMAGE("https://cdn.shopify.com/s/files/1/0527/2692/3444/products/M-M10CM_800x.jpg?v=1620840829",1)</f>
        <v/>
      </c>
      <c r="Q62" s="11">
        <v>1.0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45.0" customHeight="1">
      <c r="A63" s="6">
        <v>62.0</v>
      </c>
      <c r="B63" s="6" t="s">
        <v>173</v>
      </c>
      <c r="C63" s="6" t="s">
        <v>290</v>
      </c>
      <c r="D63" s="6" t="s">
        <v>291</v>
      </c>
      <c r="E63" s="7" t="s">
        <v>292</v>
      </c>
      <c r="F63" s="8" t="s">
        <v>237</v>
      </c>
      <c r="G63" s="9">
        <v>20.0</v>
      </c>
      <c r="H63" s="9">
        <v>20.0</v>
      </c>
      <c r="I63" s="9">
        <v>40.0</v>
      </c>
      <c r="J63" s="6">
        <f t="shared" si="2"/>
        <v>800</v>
      </c>
      <c r="K63" s="6" t="s">
        <v>178</v>
      </c>
      <c r="L63" s="7"/>
      <c r="M63" s="7" t="s">
        <v>22</v>
      </c>
      <c r="N63" s="7" t="s">
        <v>288</v>
      </c>
      <c r="O63" s="10" t="s">
        <v>293</v>
      </c>
      <c r="P63" s="6" t="str">
        <f t="shared" si="5"/>
        <v/>
      </c>
      <c r="Q63" s="11">
        <v>1.0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45.0" customHeight="1">
      <c r="A64" s="6">
        <v>63.0</v>
      </c>
      <c r="B64" s="6" t="s">
        <v>173</v>
      </c>
      <c r="C64" s="6" t="s">
        <v>294</v>
      </c>
      <c r="D64" s="6" t="s">
        <v>295</v>
      </c>
      <c r="E64" s="7" t="s">
        <v>296</v>
      </c>
      <c r="F64" s="8" t="s">
        <v>237</v>
      </c>
      <c r="G64" s="9">
        <v>20.0</v>
      </c>
      <c r="H64" s="9">
        <v>20.0</v>
      </c>
      <c r="I64" s="9">
        <v>40.0</v>
      </c>
      <c r="J64" s="6">
        <f t="shared" si="2"/>
        <v>800</v>
      </c>
      <c r="K64" s="6" t="s">
        <v>178</v>
      </c>
      <c r="L64" s="7"/>
      <c r="M64" s="7" t="s">
        <v>22</v>
      </c>
      <c r="N64" s="7" t="s">
        <v>288</v>
      </c>
      <c r="O64" s="10" t="s">
        <v>297</v>
      </c>
      <c r="P64" s="6" t="str">
        <f t="shared" si="5"/>
        <v/>
      </c>
      <c r="Q64" s="11">
        <v>1.0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45.0" customHeight="1">
      <c r="A65" s="6">
        <v>64.0</v>
      </c>
      <c r="B65" s="6" t="s">
        <v>173</v>
      </c>
      <c r="C65" s="6" t="s">
        <v>298</v>
      </c>
      <c r="D65" s="6" t="s">
        <v>299</v>
      </c>
      <c r="E65" s="7" t="s">
        <v>300</v>
      </c>
      <c r="F65" s="8" t="s">
        <v>237</v>
      </c>
      <c r="G65" s="9">
        <v>10.0</v>
      </c>
      <c r="H65" s="9">
        <v>10.0</v>
      </c>
      <c r="I65" s="9">
        <v>50.0</v>
      </c>
      <c r="J65" s="6">
        <f t="shared" si="2"/>
        <v>500</v>
      </c>
      <c r="K65" s="6" t="s">
        <v>178</v>
      </c>
      <c r="L65" s="7"/>
      <c r="M65" s="7" t="s">
        <v>66</v>
      </c>
      <c r="N65" s="7" t="s">
        <v>300</v>
      </c>
      <c r="O65" s="10" t="s">
        <v>301</v>
      </c>
      <c r="P65" s="6" t="str">
        <f>IMAGE("https://encrypted-tbn0.gstatic.com/images?q=tbn:ANd9GcR4A79FMiemvwjtYU3z1SGV0ayCZPtc8oNMobr5AuvlhGOJoeuq78aTh7JjRPQlfFrsXfE&amp;usqp=CAU",1)</f>
        <v/>
      </c>
      <c r="Q65" s="11">
        <v>1.0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45.0" customHeight="1">
      <c r="A66" s="6">
        <v>65.0</v>
      </c>
      <c r="B66" s="6" t="s">
        <v>173</v>
      </c>
      <c r="C66" s="6" t="s">
        <v>302</v>
      </c>
      <c r="D66" s="6" t="s">
        <v>303</v>
      </c>
      <c r="E66" s="7" t="s">
        <v>304</v>
      </c>
      <c r="F66" s="8" t="s">
        <v>237</v>
      </c>
      <c r="G66" s="9">
        <v>10.0</v>
      </c>
      <c r="H66" s="9">
        <v>10.0</v>
      </c>
      <c r="I66" s="9">
        <v>50.0</v>
      </c>
      <c r="J66" s="6">
        <f t="shared" si="2"/>
        <v>500</v>
      </c>
      <c r="K66" s="6" t="s">
        <v>178</v>
      </c>
      <c r="L66" s="7"/>
      <c r="M66" s="7" t="s">
        <v>66</v>
      </c>
      <c r="N66" s="7" t="s">
        <v>305</v>
      </c>
      <c r="O66" s="10" t="s">
        <v>306</v>
      </c>
      <c r="P66" s="6" t="str">
        <f>IMAGE("https://robu.in/wp-content/uploads/2018/07/50-CM-Micro-USB-Cable-1.jpg",1)</f>
        <v/>
      </c>
      <c r="Q66" s="14">
        <v>1.0</v>
      </c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45.0" customHeight="1">
      <c r="A67" s="6">
        <v>66.0</v>
      </c>
      <c r="B67" s="6" t="s">
        <v>173</v>
      </c>
      <c r="C67" s="6" t="s">
        <v>307</v>
      </c>
      <c r="D67" s="6" t="s">
        <v>308</v>
      </c>
      <c r="E67" s="7" t="s">
        <v>309</v>
      </c>
      <c r="F67" s="8" t="s">
        <v>237</v>
      </c>
      <c r="G67" s="9">
        <v>10.0</v>
      </c>
      <c r="H67" s="9">
        <v>10.0</v>
      </c>
      <c r="I67" s="9">
        <v>50.0</v>
      </c>
      <c r="J67" s="6">
        <f t="shared" si="2"/>
        <v>500</v>
      </c>
      <c r="K67" s="6" t="s">
        <v>178</v>
      </c>
      <c r="L67" s="7"/>
      <c r="M67" s="7" t="s">
        <v>66</v>
      </c>
      <c r="N67" s="7" t="s">
        <v>310</v>
      </c>
      <c r="O67" s="10" t="s">
        <v>311</v>
      </c>
      <c r="P67" s="6" t="str">
        <f>IMAGE("https://m.media-amazon.com/images/I/618b8Xq+hXL._SL1500_.jpg",1)</f>
        <v/>
      </c>
      <c r="Q67" s="14">
        <v>0.0</v>
      </c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45.0" customHeight="1">
      <c r="A68" s="6">
        <v>67.0</v>
      </c>
      <c r="B68" s="6" t="s">
        <v>173</v>
      </c>
      <c r="C68" s="6" t="s">
        <v>312</v>
      </c>
      <c r="D68" s="6" t="s">
        <v>313</v>
      </c>
      <c r="E68" s="7" t="s">
        <v>314</v>
      </c>
      <c r="F68" s="8" t="s">
        <v>237</v>
      </c>
      <c r="G68" s="6">
        <v>1.0</v>
      </c>
      <c r="H68" s="6">
        <v>1.0</v>
      </c>
      <c r="I68" s="6">
        <v>300.0</v>
      </c>
      <c r="J68" s="6">
        <f t="shared" si="2"/>
        <v>300</v>
      </c>
      <c r="K68" s="6" t="s">
        <v>178</v>
      </c>
      <c r="L68" s="7"/>
      <c r="M68" s="7"/>
      <c r="N68" s="7"/>
      <c r="O68" s="10" t="s">
        <v>315</v>
      </c>
      <c r="P68" s="6" t="str">
        <f>IMAGE("https://m.media-amazon.com/images/I/41ajXEZ8zhL._SL1200_.jpg",1)</f>
        <v/>
      </c>
      <c r="Q68" s="11">
        <v>0.0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45.0" customHeight="1">
      <c r="A69" s="6">
        <v>68.0</v>
      </c>
      <c r="B69" s="6" t="s">
        <v>173</v>
      </c>
      <c r="C69" s="6" t="s">
        <v>316</v>
      </c>
      <c r="D69" s="6" t="s">
        <v>317</v>
      </c>
      <c r="E69" s="7" t="s">
        <v>318</v>
      </c>
      <c r="F69" s="8" t="s">
        <v>237</v>
      </c>
      <c r="G69" s="9">
        <v>10.0</v>
      </c>
      <c r="H69" s="9">
        <v>10.0</v>
      </c>
      <c r="I69" s="9">
        <v>50.0</v>
      </c>
      <c r="J69" s="6">
        <f t="shared" si="2"/>
        <v>500</v>
      </c>
      <c r="K69" s="6" t="s">
        <v>178</v>
      </c>
      <c r="L69" s="7"/>
      <c r="M69" s="7" t="s">
        <v>193</v>
      </c>
      <c r="N69" s="7" t="s">
        <v>319</v>
      </c>
      <c r="O69" s="10" t="s">
        <v>320</v>
      </c>
      <c r="P69" s="6" t="str">
        <f>IMAGE("https://robu.in/wp-content/uploads/2019/06/3.5mm-Audio-Plug-3-Pole-Gold-plated-Earphone-Adapter-For-DIY-Stereo-Headset-5.jpg",1)</f>
        <v/>
      </c>
      <c r="Q69" s="11">
        <v>1.0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45.0" customHeight="1">
      <c r="A70" s="6">
        <v>69.0</v>
      </c>
      <c r="B70" s="6" t="s">
        <v>321</v>
      </c>
      <c r="C70" s="6" t="s">
        <v>322</v>
      </c>
      <c r="D70" s="6" t="s">
        <v>323</v>
      </c>
      <c r="E70" s="7" t="s">
        <v>324</v>
      </c>
      <c r="F70" s="8" t="s">
        <v>325</v>
      </c>
      <c r="G70" s="6">
        <v>1.0</v>
      </c>
      <c r="H70" s="6">
        <v>1.0</v>
      </c>
      <c r="I70" s="6">
        <v>200.0</v>
      </c>
      <c r="J70" s="6">
        <f t="shared" si="2"/>
        <v>200</v>
      </c>
      <c r="K70" s="6" t="s">
        <v>326</v>
      </c>
      <c r="L70" s="7"/>
      <c r="M70" s="7"/>
      <c r="N70" s="7"/>
      <c r="O70" s="10" t="s">
        <v>78</v>
      </c>
      <c r="P70" s="6" t="str">
        <f>IMAGE("https://5.imimg.com/data5/PL/FV/MY-11916319/synthetic-angle-broom-500x500.jpg",1)</f>
        <v/>
      </c>
      <c r="Q70" s="11">
        <v>0.0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45.0" customHeight="1">
      <c r="A71" s="6">
        <v>70.0</v>
      </c>
      <c r="B71" s="6" t="s">
        <v>321</v>
      </c>
      <c r="C71" s="6" t="s">
        <v>327</v>
      </c>
      <c r="D71" s="6" t="s">
        <v>328</v>
      </c>
      <c r="E71" s="7" t="s">
        <v>329</v>
      </c>
      <c r="F71" s="8" t="s">
        <v>325</v>
      </c>
      <c r="G71" s="6">
        <v>1.0</v>
      </c>
      <c r="H71" s="6">
        <v>1.0</v>
      </c>
      <c r="I71" s="6">
        <v>100.0</v>
      </c>
      <c r="J71" s="6">
        <f t="shared" si="2"/>
        <v>100</v>
      </c>
      <c r="K71" s="6" t="s">
        <v>326</v>
      </c>
      <c r="L71" s="7"/>
      <c r="M71" s="7"/>
      <c r="N71" s="7"/>
      <c r="O71" s="10" t="s">
        <v>330</v>
      </c>
      <c r="P71" s="6" t="str">
        <f>IMAGE("https://m.media-amazon.com/images/W/MEDIAX_792452-T2/images/I/61z4uqZdmPL._AC_UF1000,1000_QL80_.jpg",1)</f>
        <v/>
      </c>
      <c r="Q71" s="11">
        <v>0.0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45.0" customHeight="1">
      <c r="A72" s="6">
        <v>71.0</v>
      </c>
      <c r="B72" s="6" t="s">
        <v>321</v>
      </c>
      <c r="C72" s="6" t="s">
        <v>331</v>
      </c>
      <c r="D72" s="6" t="s">
        <v>332</v>
      </c>
      <c r="E72" s="7" t="s">
        <v>333</v>
      </c>
      <c r="F72" s="8" t="s">
        <v>325</v>
      </c>
      <c r="G72" s="6">
        <v>5.0</v>
      </c>
      <c r="H72" s="6">
        <v>5.0</v>
      </c>
      <c r="I72" s="6">
        <v>100.0</v>
      </c>
      <c r="J72" s="6">
        <f t="shared" si="2"/>
        <v>500</v>
      </c>
      <c r="K72" s="6" t="s">
        <v>326</v>
      </c>
      <c r="L72" s="7"/>
      <c r="M72" s="7"/>
      <c r="N72" s="7"/>
      <c r="O72" s="10" t="s">
        <v>334</v>
      </c>
      <c r="P72" s="6" t="str">
        <f>IMAGE("https://m.media-amazon.com/images/W/MEDIAX_792452-T2/images/I/61Njm4X2d2L._AC_UF1000,1000_QL80_.jpg",1)</f>
        <v/>
      </c>
      <c r="Q72" s="11">
        <v>0.0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45.0" customHeight="1">
      <c r="A73" s="6">
        <v>72.0</v>
      </c>
      <c r="B73" s="6" t="s">
        <v>321</v>
      </c>
      <c r="C73" s="6" t="s">
        <v>335</v>
      </c>
      <c r="D73" s="6" t="s">
        <v>336</v>
      </c>
      <c r="E73" s="7" t="s">
        <v>337</v>
      </c>
      <c r="F73" s="8" t="s">
        <v>325</v>
      </c>
      <c r="G73" s="6">
        <v>1.0</v>
      </c>
      <c r="H73" s="6">
        <v>1.0</v>
      </c>
      <c r="I73" s="6">
        <v>3600.0</v>
      </c>
      <c r="J73" s="6">
        <f t="shared" si="2"/>
        <v>3600</v>
      </c>
      <c r="K73" s="6" t="s">
        <v>326</v>
      </c>
      <c r="L73" s="7" t="s">
        <v>65</v>
      </c>
      <c r="M73" s="16" t="s">
        <v>65</v>
      </c>
      <c r="N73" s="7"/>
      <c r="O73" s="10" t="s">
        <v>338</v>
      </c>
      <c r="P73" s="6" t="str">
        <f>IMAGE("https://m.media-amazon.com/images/I/61HelF+y3YL._SL1500_.jpg",1)</f>
        <v/>
      </c>
      <c r="Q73" s="14">
        <v>0.0</v>
      </c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45.0" customHeight="1">
      <c r="A74" s="6">
        <v>73.0</v>
      </c>
      <c r="B74" s="6" t="s">
        <v>321</v>
      </c>
      <c r="C74" s="6" t="s">
        <v>339</v>
      </c>
      <c r="D74" s="6" t="s">
        <v>340</v>
      </c>
      <c r="E74" s="7" t="s">
        <v>341</v>
      </c>
      <c r="F74" s="8" t="s">
        <v>325</v>
      </c>
      <c r="G74" s="6">
        <v>3.0</v>
      </c>
      <c r="H74" s="6">
        <v>3.0</v>
      </c>
      <c r="I74" s="6">
        <v>800.0</v>
      </c>
      <c r="J74" s="6">
        <f t="shared" si="2"/>
        <v>2400</v>
      </c>
      <c r="K74" s="6" t="s">
        <v>326</v>
      </c>
      <c r="L74" s="7"/>
      <c r="M74" s="7"/>
      <c r="N74" s="7"/>
      <c r="O74" s="10"/>
      <c r="P74" s="6" t="str">
        <f>IMAGE("https://rukminim2.flixcart.com/image/850/1000/kshtxu80/dustbin/p/l/y/swaccha-bharat-champaign-dry-and-wet-waste-bins-small-11ltr-original-imag6fnfj6pqmsba.jpeg?q=20",1)</f>
        <v/>
      </c>
      <c r="Q74" s="11">
        <v>0.0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45.0" customHeight="1">
      <c r="A75" s="6">
        <v>74.0</v>
      </c>
      <c r="B75" s="6" t="s">
        <v>342</v>
      </c>
      <c r="C75" s="6" t="s">
        <v>343</v>
      </c>
      <c r="D75" s="6" t="s">
        <v>344</v>
      </c>
      <c r="E75" s="7" t="s">
        <v>345</v>
      </c>
      <c r="F75" s="8" t="s">
        <v>346</v>
      </c>
      <c r="G75" s="9">
        <v>1.0</v>
      </c>
      <c r="H75" s="9">
        <v>1.0</v>
      </c>
      <c r="I75" s="9">
        <v>200.0</v>
      </c>
      <c r="J75" s="6">
        <f t="shared" si="2"/>
        <v>200</v>
      </c>
      <c r="K75" s="6" t="s">
        <v>347</v>
      </c>
      <c r="L75" s="7" t="s">
        <v>21</v>
      </c>
      <c r="M75" s="6"/>
      <c r="N75" s="7"/>
      <c r="O75" s="10" t="s">
        <v>348</v>
      </c>
      <c r="P75" s="6" t="str">
        <f>IMAGE("https://m.media-amazon.com/images/I/71NdWJD1LKL._SL1500_.jpg",1)</f>
        <v/>
      </c>
      <c r="Q75" s="11">
        <v>0.0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45.0" customHeight="1">
      <c r="A76" s="6">
        <v>75.0</v>
      </c>
      <c r="B76" s="6" t="s">
        <v>342</v>
      </c>
      <c r="C76" s="6" t="s">
        <v>349</v>
      </c>
      <c r="D76" s="6" t="s">
        <v>350</v>
      </c>
      <c r="E76" s="7" t="s">
        <v>351</v>
      </c>
      <c r="F76" s="8" t="s">
        <v>346</v>
      </c>
      <c r="G76" s="9">
        <v>1.0</v>
      </c>
      <c r="H76" s="9">
        <v>1.0</v>
      </c>
      <c r="I76" s="9">
        <v>180.0</v>
      </c>
      <c r="J76" s="6">
        <f t="shared" si="2"/>
        <v>180</v>
      </c>
      <c r="K76" s="6" t="s">
        <v>347</v>
      </c>
      <c r="L76" s="7"/>
      <c r="M76" s="7"/>
      <c r="N76" s="7" t="s">
        <v>352</v>
      </c>
      <c r="O76" s="10" t="s">
        <v>353</v>
      </c>
      <c r="P76" s="6" t="str">
        <f>IMAGE("https://m.media-amazon.com/images/I/41GBeFsg3kL.jpg",1)</f>
        <v/>
      </c>
      <c r="Q76" s="11">
        <v>0.0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45.0" customHeight="1">
      <c r="A77" s="6">
        <v>76.0</v>
      </c>
      <c r="B77" s="6" t="s">
        <v>342</v>
      </c>
      <c r="C77" s="6" t="s">
        <v>354</v>
      </c>
      <c r="D77" s="6" t="s">
        <v>355</v>
      </c>
      <c r="E77" s="7" t="s">
        <v>356</v>
      </c>
      <c r="F77" s="8" t="s">
        <v>346</v>
      </c>
      <c r="G77" s="9">
        <v>1.0</v>
      </c>
      <c r="H77" s="9">
        <v>1.0</v>
      </c>
      <c r="I77" s="9">
        <v>300.0</v>
      </c>
      <c r="J77" s="6">
        <f t="shared" si="2"/>
        <v>300</v>
      </c>
      <c r="K77" s="6" t="s">
        <v>347</v>
      </c>
      <c r="L77" s="7" t="s">
        <v>77</v>
      </c>
      <c r="M77" s="7"/>
      <c r="N77" s="7"/>
      <c r="O77" s="10" t="s">
        <v>357</v>
      </c>
      <c r="P77" s="6" t="str">
        <f>IMAGE("https://services.ibo.com/media/v1/products/images/db78032d-e5ba-4c4c-bc8f-110fa0021b77/stanley-sta7221xjin-16-pc-drilling-and-screwdriving-set-1.jpeg",1)</f>
        <v/>
      </c>
      <c r="Q77" s="11">
        <v>0.0</v>
      </c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45.0" customHeight="1">
      <c r="A78" s="6">
        <v>77.0</v>
      </c>
      <c r="B78" s="6" t="s">
        <v>342</v>
      </c>
      <c r="C78" s="6" t="s">
        <v>358</v>
      </c>
      <c r="D78" s="6" t="s">
        <v>359</v>
      </c>
      <c r="E78" s="7" t="s">
        <v>360</v>
      </c>
      <c r="F78" s="8" t="s">
        <v>346</v>
      </c>
      <c r="G78" s="9">
        <v>1.0</v>
      </c>
      <c r="H78" s="9">
        <v>1.0</v>
      </c>
      <c r="I78" s="9">
        <v>2500.0</v>
      </c>
      <c r="J78" s="6">
        <f t="shared" si="2"/>
        <v>2500</v>
      </c>
      <c r="K78" s="6" t="s">
        <v>347</v>
      </c>
      <c r="L78" s="7" t="s">
        <v>21</v>
      </c>
      <c r="M78" s="7"/>
      <c r="N78" s="7"/>
      <c r="O78" s="10" t="s">
        <v>361</v>
      </c>
      <c r="P78" s="6" t="str">
        <f>IMAGE("https://cdn.moglix.com/p/Rn8lZopeAizs5-xxlarge.jpg",1)</f>
        <v/>
      </c>
      <c r="Q78" s="11">
        <v>1.0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45.0" customHeight="1">
      <c r="A79" s="6">
        <v>78.0</v>
      </c>
      <c r="B79" s="6" t="s">
        <v>342</v>
      </c>
      <c r="C79" s="6" t="s">
        <v>362</v>
      </c>
      <c r="D79" s="6" t="s">
        <v>363</v>
      </c>
      <c r="E79" s="7" t="s">
        <v>364</v>
      </c>
      <c r="F79" s="8" t="s">
        <v>346</v>
      </c>
      <c r="G79" s="9">
        <v>1.0</v>
      </c>
      <c r="H79" s="9">
        <v>1.0</v>
      </c>
      <c r="I79" s="9">
        <v>500.0</v>
      </c>
      <c r="J79" s="6">
        <f t="shared" si="2"/>
        <v>500</v>
      </c>
      <c r="K79" s="6" t="s">
        <v>347</v>
      </c>
      <c r="L79" s="7"/>
      <c r="M79" s="7"/>
      <c r="N79" s="7"/>
      <c r="O79" s="10" t="s">
        <v>365</v>
      </c>
      <c r="P79" s="6" t="str">
        <f>IMAGE("https://m.media-amazon.com/images/I/51wli9aWH9S._SL1000_.jpg",1)</f>
        <v/>
      </c>
      <c r="Q79" s="11">
        <v>0.0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45.0" customHeight="1">
      <c r="A80" s="6">
        <v>79.0</v>
      </c>
      <c r="B80" s="6" t="s">
        <v>342</v>
      </c>
      <c r="C80" s="6" t="s">
        <v>366</v>
      </c>
      <c r="D80" s="6" t="s">
        <v>367</v>
      </c>
      <c r="E80" s="7" t="s">
        <v>368</v>
      </c>
      <c r="F80" s="8" t="s">
        <v>346</v>
      </c>
      <c r="G80" s="9">
        <v>20.0</v>
      </c>
      <c r="H80" s="9">
        <v>20.0</v>
      </c>
      <c r="I80" s="9">
        <v>5.0</v>
      </c>
      <c r="J80" s="6">
        <f t="shared" si="2"/>
        <v>100</v>
      </c>
      <c r="K80" s="6" t="s">
        <v>347</v>
      </c>
      <c r="L80" s="7"/>
      <c r="M80" s="7"/>
      <c r="N80" s="7"/>
      <c r="O80" s="10" t="s">
        <v>369</v>
      </c>
      <c r="P80" s="6" t="str">
        <f>IMAGE("https://res.cloudinary.com/rsc/image/upload/b_rgb:FFFFFF,c_pad,dpr_1.0,f_auto,q_auto,w_700/c_pad,w_700/C4847566-05",1)</f>
        <v/>
      </c>
      <c r="Q80" s="14">
        <v>0.0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45.0" customHeight="1">
      <c r="A81" s="6">
        <v>80.0</v>
      </c>
      <c r="B81" s="6" t="s">
        <v>342</v>
      </c>
      <c r="C81" s="6" t="s">
        <v>370</v>
      </c>
      <c r="D81" s="6" t="s">
        <v>371</v>
      </c>
      <c r="E81" s="7" t="s">
        <v>372</v>
      </c>
      <c r="F81" s="8" t="s">
        <v>346</v>
      </c>
      <c r="G81" s="9">
        <v>1.0</v>
      </c>
      <c r="H81" s="9">
        <v>1.0</v>
      </c>
      <c r="I81" s="9">
        <v>150.0</v>
      </c>
      <c r="J81" s="6">
        <f t="shared" si="2"/>
        <v>150</v>
      </c>
      <c r="K81" s="6" t="s">
        <v>347</v>
      </c>
      <c r="L81" s="7"/>
      <c r="M81" s="7"/>
      <c r="N81" s="7"/>
      <c r="O81" s="10"/>
      <c r="P81" s="6" t="str">
        <f>IMAGE("https://5.imimg.com/data5/JR/LF/GK/SELLER-30390418/hacksaw-500x500.png",1)</f>
        <v/>
      </c>
      <c r="Q81" s="14">
        <v>0.0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45.0" customHeight="1">
      <c r="A82" s="6">
        <v>81.0</v>
      </c>
      <c r="B82" s="6" t="s">
        <v>342</v>
      </c>
      <c r="C82" s="6" t="s">
        <v>373</v>
      </c>
      <c r="D82" s="6" t="s">
        <v>374</v>
      </c>
      <c r="E82" s="7" t="s">
        <v>375</v>
      </c>
      <c r="F82" s="8" t="s">
        <v>346</v>
      </c>
      <c r="G82" s="9">
        <v>5.0</v>
      </c>
      <c r="H82" s="9">
        <v>5.0</v>
      </c>
      <c r="I82" s="9">
        <v>170.0</v>
      </c>
      <c r="J82" s="6">
        <f t="shared" si="2"/>
        <v>850</v>
      </c>
      <c r="K82" s="6" t="s">
        <v>347</v>
      </c>
      <c r="L82" s="7"/>
      <c r="M82" s="7"/>
      <c r="N82" s="7"/>
      <c r="O82" s="10" t="s">
        <v>376</v>
      </c>
      <c r="P82" s="6" t="str">
        <f>IMAGE("https://encrypted-tbn0.gstatic.com/images?q=tbn:ANd9GcRnlFGDkPLnXJSjTXFe7fzQ2kj51brspxAcjVtkmgU5NgUWN5-EbmbNTptE-Y3t4g8lr84&amp;usqp=CAU",1)</f>
        <v/>
      </c>
      <c r="Q82" s="14">
        <v>0.0</v>
      </c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45.0" customHeight="1">
      <c r="A83" s="6">
        <v>82.0</v>
      </c>
      <c r="B83" s="6" t="s">
        <v>342</v>
      </c>
      <c r="C83" s="6" t="s">
        <v>377</v>
      </c>
      <c r="D83" s="6" t="s">
        <v>378</v>
      </c>
      <c r="E83" s="7" t="s">
        <v>379</v>
      </c>
      <c r="F83" s="8" t="s">
        <v>346</v>
      </c>
      <c r="G83" s="9">
        <v>2.0</v>
      </c>
      <c r="H83" s="9">
        <v>2.0</v>
      </c>
      <c r="I83" s="9">
        <v>500.0</v>
      </c>
      <c r="J83" s="6">
        <f t="shared" si="2"/>
        <v>1000</v>
      </c>
      <c r="K83" s="6" t="s">
        <v>347</v>
      </c>
      <c r="L83" s="7"/>
      <c r="M83" s="7"/>
      <c r="N83" s="7"/>
      <c r="O83" s="10" t="s">
        <v>156</v>
      </c>
      <c r="P83" s="6" t="str">
        <f>IMAGE("https://www.stanleytools.me/EMEA/PRODUCT/IMAGES/HIRES/STHT0-10194/STHT0-10194_1.jpg?resize=530x530",1)</f>
        <v/>
      </c>
      <c r="Q83" s="14">
        <v>0.0</v>
      </c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45.0" customHeight="1">
      <c r="A84" s="6">
        <v>83.0</v>
      </c>
      <c r="B84" s="6" t="s">
        <v>342</v>
      </c>
      <c r="C84" s="6" t="s">
        <v>380</v>
      </c>
      <c r="D84" s="6" t="s">
        <v>381</v>
      </c>
      <c r="E84" s="7" t="s">
        <v>382</v>
      </c>
      <c r="F84" s="8" t="s">
        <v>346</v>
      </c>
      <c r="G84" s="9">
        <v>10.0</v>
      </c>
      <c r="H84" s="9">
        <v>10.0</v>
      </c>
      <c r="I84" s="9">
        <v>80.0</v>
      </c>
      <c r="J84" s="6">
        <f t="shared" si="2"/>
        <v>800</v>
      </c>
      <c r="K84" s="6" t="s">
        <v>347</v>
      </c>
      <c r="L84" s="7"/>
      <c r="M84" s="7"/>
      <c r="N84" s="7"/>
      <c r="O84" s="10" t="s">
        <v>383</v>
      </c>
      <c r="P84" s="6" t="str">
        <f>IMAGE("https://sc04.alicdn.com/kf/HTB1fK8lXPvuK1Rjy0Faq6x2aVXa5.jpg",1)</f>
        <v/>
      </c>
      <c r="Q84" s="11">
        <v>0.0</v>
      </c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45.0" customHeight="1">
      <c r="A85" s="6">
        <v>84.0</v>
      </c>
      <c r="B85" s="6" t="s">
        <v>342</v>
      </c>
      <c r="C85" s="6" t="s">
        <v>384</v>
      </c>
      <c r="D85" s="6" t="s">
        <v>385</v>
      </c>
      <c r="E85" s="7" t="s">
        <v>386</v>
      </c>
      <c r="F85" s="8" t="s">
        <v>346</v>
      </c>
      <c r="G85" s="6">
        <v>1.0</v>
      </c>
      <c r="H85" s="6">
        <v>1.0</v>
      </c>
      <c r="I85" s="6">
        <v>3500.0</v>
      </c>
      <c r="J85" s="6">
        <v>3500.0</v>
      </c>
      <c r="K85" s="6" t="s">
        <v>347</v>
      </c>
      <c r="L85" s="7"/>
      <c r="M85" s="7"/>
      <c r="N85" s="7"/>
      <c r="O85" s="10"/>
      <c r="P85" s="6" t="str">
        <f>IMAGE("https://asia.blackanddecker.global/ASIA/PRODUCT/IMAGES/HIRES/RT18KA-B1/RT18KA_1.jpg?resize=530x530", 1)</f>
        <v/>
      </c>
      <c r="Q85" s="11">
        <v>1.0</v>
      </c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45.0" customHeight="1">
      <c r="A86" s="6">
        <v>85.0</v>
      </c>
      <c r="B86" s="6" t="s">
        <v>342</v>
      </c>
      <c r="C86" s="6" t="s">
        <v>387</v>
      </c>
      <c r="D86" s="6" t="s">
        <v>388</v>
      </c>
      <c r="E86" s="7" t="s">
        <v>389</v>
      </c>
      <c r="F86" s="8" t="s">
        <v>346</v>
      </c>
      <c r="G86" s="9">
        <v>5.0</v>
      </c>
      <c r="H86" s="9">
        <v>5.0</v>
      </c>
      <c r="I86" s="9">
        <v>50.0</v>
      </c>
      <c r="J86" s="6">
        <f t="shared" ref="J86:J90" si="6">I86*H86</f>
        <v>250</v>
      </c>
      <c r="K86" s="6" t="s">
        <v>347</v>
      </c>
      <c r="L86" s="7" t="s">
        <v>77</v>
      </c>
      <c r="M86" s="16" t="s">
        <v>65</v>
      </c>
      <c r="N86" s="7"/>
      <c r="O86" s="10" t="s">
        <v>390</v>
      </c>
      <c r="P86" s="6" t="str">
        <f>IMAGE("https://m.media-amazon.com/images/I/518vUksgebL._SL1100_.jpg",1)</f>
        <v/>
      </c>
      <c r="Q86" s="11">
        <v>0.0</v>
      </c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45.0" customHeight="1">
      <c r="A87" s="6">
        <v>86.0</v>
      </c>
      <c r="B87" s="6" t="s">
        <v>342</v>
      </c>
      <c r="C87" s="6" t="s">
        <v>391</v>
      </c>
      <c r="D87" s="6" t="s">
        <v>392</v>
      </c>
      <c r="E87" s="7" t="s">
        <v>393</v>
      </c>
      <c r="F87" s="8" t="s">
        <v>346</v>
      </c>
      <c r="G87" s="9">
        <v>5.0</v>
      </c>
      <c r="H87" s="9">
        <v>5.0</v>
      </c>
      <c r="I87" s="9">
        <v>50.0</v>
      </c>
      <c r="J87" s="6">
        <f t="shared" si="6"/>
        <v>250</v>
      </c>
      <c r="K87" s="6" t="s">
        <v>347</v>
      </c>
      <c r="L87" s="7" t="s">
        <v>77</v>
      </c>
      <c r="M87" s="16" t="s">
        <v>65</v>
      </c>
      <c r="N87" s="7"/>
      <c r="O87" s="10" t="s">
        <v>394</v>
      </c>
      <c r="P87" s="6" t="str">
        <f>IMAGE("https://rukminim1.flixcart.com/image/416/416/jidg9zk0/art-craft-kit/f/g/a/9mm-snap-off-precision-blades-30-degree-blades-100-blade-pack-1-original-imaf66g6ahvgzem3.jpeg?q=70",1)</f>
        <v/>
      </c>
      <c r="Q87" s="11">
        <v>0.0</v>
      </c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45.0" customHeight="1">
      <c r="A88" s="6">
        <v>87.0</v>
      </c>
      <c r="B88" s="6" t="s">
        <v>342</v>
      </c>
      <c r="C88" s="6" t="s">
        <v>395</v>
      </c>
      <c r="D88" s="6" t="s">
        <v>396</v>
      </c>
      <c r="E88" s="7" t="s">
        <v>397</v>
      </c>
      <c r="F88" s="8" t="s">
        <v>346</v>
      </c>
      <c r="G88" s="9">
        <v>5.0</v>
      </c>
      <c r="H88" s="9">
        <v>5.0</v>
      </c>
      <c r="I88" s="9">
        <v>100.0</v>
      </c>
      <c r="J88" s="6">
        <f t="shared" si="6"/>
        <v>500</v>
      </c>
      <c r="K88" s="6" t="s">
        <v>347</v>
      </c>
      <c r="L88" s="7" t="s">
        <v>77</v>
      </c>
      <c r="M88" s="16" t="s">
        <v>65</v>
      </c>
      <c r="N88" s="7"/>
      <c r="O88" s="10" t="s">
        <v>398</v>
      </c>
      <c r="P88" s="6" t="str">
        <f>IMAGE("https://m.media-amazon.com/images/I/31u15vg7r0L._SX342_.jpg",1)</f>
        <v/>
      </c>
      <c r="Q88" s="11">
        <v>0.0</v>
      </c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45.0" customHeight="1">
      <c r="A89" s="6">
        <v>88.0</v>
      </c>
      <c r="B89" s="6" t="s">
        <v>342</v>
      </c>
      <c r="C89" s="6" t="s">
        <v>399</v>
      </c>
      <c r="D89" s="6" t="s">
        <v>400</v>
      </c>
      <c r="E89" s="7" t="s">
        <v>401</v>
      </c>
      <c r="F89" s="8" t="s">
        <v>346</v>
      </c>
      <c r="G89" s="9">
        <v>10.0</v>
      </c>
      <c r="H89" s="9">
        <v>10.0</v>
      </c>
      <c r="I89" s="9">
        <v>100.0</v>
      </c>
      <c r="J89" s="6">
        <f t="shared" si="6"/>
        <v>1000</v>
      </c>
      <c r="K89" s="6" t="s">
        <v>347</v>
      </c>
      <c r="L89" s="7" t="s">
        <v>77</v>
      </c>
      <c r="M89" s="6"/>
      <c r="N89" s="6"/>
      <c r="O89" s="10" t="s">
        <v>402</v>
      </c>
      <c r="P89" s="6" t="str">
        <f>IMAGE("https://hydetools.com/wp-content/uploads/2019/09/42046b.jpg",1)</f>
        <v/>
      </c>
      <c r="Q89" s="11">
        <v>0.0</v>
      </c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45.0" customHeight="1">
      <c r="A90" s="6">
        <v>89.0</v>
      </c>
      <c r="B90" s="6" t="s">
        <v>342</v>
      </c>
      <c r="C90" s="6" t="s">
        <v>403</v>
      </c>
      <c r="D90" s="6" t="s">
        <v>404</v>
      </c>
      <c r="E90" s="7" t="s">
        <v>405</v>
      </c>
      <c r="F90" s="8" t="s">
        <v>346</v>
      </c>
      <c r="G90" s="9">
        <v>10.0</v>
      </c>
      <c r="H90" s="9">
        <v>10.0</v>
      </c>
      <c r="I90" s="9">
        <v>100.0</v>
      </c>
      <c r="J90" s="6">
        <f t="shared" si="6"/>
        <v>1000</v>
      </c>
      <c r="K90" s="6" t="s">
        <v>347</v>
      </c>
      <c r="L90" s="7" t="s">
        <v>21</v>
      </c>
      <c r="M90" s="6"/>
      <c r="N90" s="6"/>
      <c r="O90" s="10" t="s">
        <v>406</v>
      </c>
      <c r="P90" s="6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Q90" s="11">
        <v>0.0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45.0" customHeight="1">
      <c r="A91" s="6">
        <v>90.0</v>
      </c>
      <c r="B91" s="6" t="s">
        <v>407</v>
      </c>
      <c r="C91" s="6"/>
      <c r="D91" s="6" t="s">
        <v>407</v>
      </c>
      <c r="E91" s="7" t="s">
        <v>408</v>
      </c>
      <c r="F91" s="8" t="s">
        <v>346</v>
      </c>
      <c r="G91" s="9">
        <v>10.0</v>
      </c>
      <c r="H91" s="9">
        <v>10.0</v>
      </c>
      <c r="I91" s="9"/>
      <c r="J91" s="6"/>
      <c r="K91" s="6" t="s">
        <v>347</v>
      </c>
      <c r="L91" s="7" t="s">
        <v>77</v>
      </c>
      <c r="M91" s="6"/>
      <c r="N91" s="6"/>
      <c r="O91" s="10"/>
      <c r="P91" s="6" t="str">
        <f>IMAGE("https://cdn-reichelt.de/bilder/web/xxl_ws/I210/LEITZ_54166095.png",1)</f>
        <v/>
      </c>
      <c r="Q91" s="11">
        <v>0.0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45.0" customHeight="1">
      <c r="A92" s="6">
        <v>91.0</v>
      </c>
      <c r="B92" s="6" t="s">
        <v>342</v>
      </c>
      <c r="C92" s="6" t="s">
        <v>409</v>
      </c>
      <c r="D92" s="6" t="s">
        <v>410</v>
      </c>
      <c r="E92" s="7" t="s">
        <v>411</v>
      </c>
      <c r="F92" s="8" t="s">
        <v>346</v>
      </c>
      <c r="G92" s="9">
        <v>10.0</v>
      </c>
      <c r="H92" s="9">
        <v>10.0</v>
      </c>
      <c r="I92" s="9">
        <v>150.0</v>
      </c>
      <c r="J92" s="6">
        <f>I92*H92</f>
        <v>1500</v>
      </c>
      <c r="K92" s="6" t="s">
        <v>347</v>
      </c>
      <c r="L92" s="7" t="s">
        <v>21</v>
      </c>
      <c r="M92" s="16" t="s">
        <v>65</v>
      </c>
      <c r="N92" s="7"/>
      <c r="O92" s="10"/>
      <c r="P92" s="6" t="e">
        <v>#VALUE!</v>
      </c>
      <c r="Q92" s="11">
        <v>0.0</v>
      </c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45.0" customHeight="1">
      <c r="A93" s="6">
        <v>92.0</v>
      </c>
      <c r="B93" s="6" t="s">
        <v>173</v>
      </c>
      <c r="C93" s="6" t="s">
        <v>412</v>
      </c>
      <c r="D93" s="6" t="s">
        <v>413</v>
      </c>
      <c r="E93" s="7" t="s">
        <v>414</v>
      </c>
      <c r="F93" s="8" t="s">
        <v>415</v>
      </c>
      <c r="G93" s="20">
        <v>12.0</v>
      </c>
      <c r="H93" s="20">
        <v>12.0</v>
      </c>
      <c r="I93" s="6"/>
      <c r="J93" s="6"/>
      <c r="K93" s="6" t="s">
        <v>178</v>
      </c>
      <c r="L93" s="7"/>
      <c r="M93" s="7" t="s">
        <v>249</v>
      </c>
      <c r="N93" s="7" t="s">
        <v>416</v>
      </c>
      <c r="O93" s="10" t="s">
        <v>417</v>
      </c>
      <c r="P93" s="6" t="str">
        <f>IMAGE("https://www.electronicscomp.com/image/cache/catalog/cnc-shield-v3-400x400.jpg",1)</f>
        <v/>
      </c>
      <c r="Q93" s="14">
        <v>0.0</v>
      </c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45.0" customHeight="1">
      <c r="A94" s="6">
        <v>93.0</v>
      </c>
      <c r="B94" s="6" t="s">
        <v>173</v>
      </c>
      <c r="C94" s="6" t="s">
        <v>418</v>
      </c>
      <c r="D94" s="6" t="s">
        <v>419</v>
      </c>
      <c r="E94" s="7" t="s">
        <v>420</v>
      </c>
      <c r="F94" s="8" t="s">
        <v>415</v>
      </c>
      <c r="G94" s="9">
        <v>15.0</v>
      </c>
      <c r="H94" s="9">
        <v>15.0</v>
      </c>
      <c r="I94" s="9">
        <v>400.0</v>
      </c>
      <c r="J94" s="6">
        <f t="shared" ref="J94:J105" si="7">I94*H94</f>
        <v>6000</v>
      </c>
      <c r="K94" s="6" t="s">
        <v>178</v>
      </c>
      <c r="L94" s="7"/>
      <c r="M94" s="7" t="s">
        <v>66</v>
      </c>
      <c r="N94" s="7" t="s">
        <v>421</v>
      </c>
      <c r="O94" s="10" t="s">
        <v>422</v>
      </c>
      <c r="P94" s="6" t="str">
        <f>IMAGE("https://5.imimg.com/data5/VS/XC/MY-4167793/arduino-nano-500x500.jpg",1)</f>
        <v/>
      </c>
      <c r="Q94" s="11">
        <v>1.0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45.0" customHeight="1">
      <c r="A95" s="6">
        <v>94.0</v>
      </c>
      <c r="B95" s="6" t="s">
        <v>173</v>
      </c>
      <c r="C95" s="6" t="s">
        <v>423</v>
      </c>
      <c r="D95" s="6" t="s">
        <v>424</v>
      </c>
      <c r="E95" s="7" t="s">
        <v>425</v>
      </c>
      <c r="F95" s="8" t="s">
        <v>415</v>
      </c>
      <c r="G95" s="9">
        <v>10.0</v>
      </c>
      <c r="H95" s="9">
        <v>10.0</v>
      </c>
      <c r="I95" s="9">
        <v>500.0</v>
      </c>
      <c r="J95" s="6">
        <f t="shared" si="7"/>
        <v>5000</v>
      </c>
      <c r="K95" s="6" t="s">
        <v>178</v>
      </c>
      <c r="L95" s="7"/>
      <c r="M95" s="7" t="s">
        <v>66</v>
      </c>
      <c r="N95" s="7" t="s">
        <v>421</v>
      </c>
      <c r="O95" s="10" t="s">
        <v>426</v>
      </c>
      <c r="P95" s="6" t="str">
        <f>IMAGE("https://robu.in/wp-content/uploads/2017/04/Arduino_NANO_expansion1.jpg",1)</f>
        <v/>
      </c>
      <c r="Q95" s="11">
        <v>1.0</v>
      </c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45.0" customHeight="1">
      <c r="A96" s="6">
        <v>95.0</v>
      </c>
      <c r="B96" s="6" t="s">
        <v>173</v>
      </c>
      <c r="C96" s="6" t="s">
        <v>427</v>
      </c>
      <c r="D96" s="6" t="s">
        <v>428</v>
      </c>
      <c r="E96" s="7" t="s">
        <v>429</v>
      </c>
      <c r="F96" s="8" t="s">
        <v>415</v>
      </c>
      <c r="G96" s="9">
        <v>15.0</v>
      </c>
      <c r="H96" s="9">
        <v>15.0</v>
      </c>
      <c r="I96" s="9">
        <v>450.0</v>
      </c>
      <c r="J96" s="6">
        <f t="shared" si="7"/>
        <v>6750</v>
      </c>
      <c r="K96" s="6" t="s">
        <v>178</v>
      </c>
      <c r="L96" s="7"/>
      <c r="M96" s="7" t="s">
        <v>66</v>
      </c>
      <c r="N96" s="7" t="s">
        <v>430</v>
      </c>
      <c r="O96" s="10" t="s">
        <v>431</v>
      </c>
      <c r="P96" s="6" t="str">
        <f>IMAGE("https://robu.in/wp-content/uploads/2017/10/Uno-R3-CH340G-ATmega328p-Development-Board-Compatible-with-Arduino2.png",1)</f>
        <v/>
      </c>
      <c r="Q96" s="11">
        <v>1.0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45.0" customHeight="1">
      <c r="A97" s="6">
        <v>96.0</v>
      </c>
      <c r="B97" s="6" t="s">
        <v>173</v>
      </c>
      <c r="C97" s="6" t="s">
        <v>432</v>
      </c>
      <c r="D97" s="6" t="s">
        <v>433</v>
      </c>
      <c r="E97" s="7" t="s">
        <v>434</v>
      </c>
      <c r="F97" s="8" t="s">
        <v>415</v>
      </c>
      <c r="G97" s="9">
        <v>10.0</v>
      </c>
      <c r="H97" s="9">
        <v>10.0</v>
      </c>
      <c r="I97" s="9">
        <v>700.0</v>
      </c>
      <c r="J97" s="6">
        <f t="shared" si="7"/>
        <v>7000</v>
      </c>
      <c r="K97" s="6" t="s">
        <v>178</v>
      </c>
      <c r="L97" s="7"/>
      <c r="M97" s="7" t="s">
        <v>66</v>
      </c>
      <c r="N97" s="7" t="s">
        <v>430</v>
      </c>
      <c r="O97" s="10" t="s">
        <v>435</v>
      </c>
      <c r="P97" s="6" t="str">
        <f>IMAGE("https://robu.in/wp-content/uploads/2015/11/SKU-6337.png",1)</f>
        <v/>
      </c>
      <c r="Q97" s="11">
        <v>1.0</v>
      </c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45.0" customHeight="1">
      <c r="A98" s="6">
        <v>97.0</v>
      </c>
      <c r="B98" s="6" t="s">
        <v>173</v>
      </c>
      <c r="C98" s="6" t="s">
        <v>436</v>
      </c>
      <c r="D98" s="6" t="s">
        <v>437</v>
      </c>
      <c r="E98" s="7" t="s">
        <v>438</v>
      </c>
      <c r="F98" s="8" t="s">
        <v>415</v>
      </c>
      <c r="G98" s="9">
        <v>10.0</v>
      </c>
      <c r="H98" s="9">
        <v>10.0</v>
      </c>
      <c r="I98" s="9">
        <v>150.0</v>
      </c>
      <c r="J98" s="6">
        <f t="shared" si="7"/>
        <v>1500</v>
      </c>
      <c r="K98" s="6" t="s">
        <v>178</v>
      </c>
      <c r="L98" s="7"/>
      <c r="M98" s="7" t="s">
        <v>193</v>
      </c>
      <c r="N98" s="7" t="s">
        <v>438</v>
      </c>
      <c r="O98" s="10" t="s">
        <v>439</v>
      </c>
      <c r="P98" s="6" t="str">
        <f>IMAGE("https://www.electronicscomp.com/image/cache/catalog/esp8266-esp01-wifi-module-india-800x800.jpg",1)</f>
        <v/>
      </c>
      <c r="Q98" s="11">
        <v>1.0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45.0" customHeight="1">
      <c r="A99" s="6">
        <v>98.0</v>
      </c>
      <c r="B99" s="6" t="s">
        <v>173</v>
      </c>
      <c r="C99" s="6" t="s">
        <v>436</v>
      </c>
      <c r="D99" s="6" t="s">
        <v>440</v>
      </c>
      <c r="E99" s="7" t="s">
        <v>441</v>
      </c>
      <c r="F99" s="8" t="s">
        <v>415</v>
      </c>
      <c r="G99" s="9">
        <v>10.0</v>
      </c>
      <c r="H99" s="9">
        <v>10.0</v>
      </c>
      <c r="I99" s="9">
        <v>300.0</v>
      </c>
      <c r="J99" s="6">
        <f t="shared" si="7"/>
        <v>3000</v>
      </c>
      <c r="K99" s="6" t="s">
        <v>178</v>
      </c>
      <c r="L99" s="7"/>
      <c r="M99" s="7" t="s">
        <v>66</v>
      </c>
      <c r="N99" s="7" t="s">
        <v>442</v>
      </c>
      <c r="O99" s="10" t="s">
        <v>443</v>
      </c>
      <c r="P99" s="6" t="str">
        <f>IMAGE("https://makerselectronics.com/wp-content/uploads/2020/07/ESP32-CAM-2.jpg",1)</f>
        <v/>
      </c>
      <c r="Q99" s="11">
        <v>1.0</v>
      </c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45.0" customHeight="1">
      <c r="A100" s="6">
        <v>99.0</v>
      </c>
      <c r="B100" s="6" t="s">
        <v>173</v>
      </c>
      <c r="C100" s="6" t="s">
        <v>444</v>
      </c>
      <c r="D100" s="6" t="s">
        <v>445</v>
      </c>
      <c r="E100" s="7" t="s">
        <v>446</v>
      </c>
      <c r="F100" s="8" t="s">
        <v>415</v>
      </c>
      <c r="G100" s="9">
        <v>10.0</v>
      </c>
      <c r="H100" s="9">
        <v>10.0</v>
      </c>
      <c r="I100" s="9">
        <v>200.0</v>
      </c>
      <c r="J100" s="6">
        <f t="shared" si="7"/>
        <v>2000</v>
      </c>
      <c r="K100" s="6" t="s">
        <v>178</v>
      </c>
      <c r="L100" s="7"/>
      <c r="M100" s="7" t="s">
        <v>66</v>
      </c>
      <c r="N100" s="7" t="s">
        <v>442</v>
      </c>
      <c r="O100" s="10" t="s">
        <v>447</v>
      </c>
      <c r="P100" s="6" t="str">
        <f>IMAGE("https://www.berrybase.de/media/image/c5/26/b6/ID_186599_orig_600x600.jpg",1)</f>
        <v/>
      </c>
      <c r="Q100" s="11">
        <v>1.0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45.0" customHeight="1">
      <c r="A101" s="6">
        <v>100.0</v>
      </c>
      <c r="B101" s="6" t="s">
        <v>173</v>
      </c>
      <c r="C101" s="6" t="s">
        <v>448</v>
      </c>
      <c r="D101" s="6" t="s">
        <v>449</v>
      </c>
      <c r="E101" s="7" t="s">
        <v>450</v>
      </c>
      <c r="F101" s="8" t="s">
        <v>415</v>
      </c>
      <c r="G101" s="9">
        <v>15.0</v>
      </c>
      <c r="H101" s="9">
        <v>15.0</v>
      </c>
      <c r="I101" s="9">
        <v>250.0</v>
      </c>
      <c r="J101" s="6">
        <f t="shared" si="7"/>
        <v>3750</v>
      </c>
      <c r="K101" s="6" t="s">
        <v>178</v>
      </c>
      <c r="L101" s="7"/>
      <c r="M101" s="7" t="s">
        <v>249</v>
      </c>
      <c r="N101" s="7" t="s">
        <v>450</v>
      </c>
      <c r="O101" s="10" t="s">
        <v>451</v>
      </c>
      <c r="P101" s="6" t="str">
        <f>IMAGE("https://m.media-amazon.com/images/I/61rcnccrByL._SL1238_.jpg",1)</f>
        <v/>
      </c>
      <c r="Q101" s="14">
        <v>0.0</v>
      </c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45.0" customHeight="1">
      <c r="A102" s="6">
        <v>101.0</v>
      </c>
      <c r="B102" s="6" t="s">
        <v>173</v>
      </c>
      <c r="C102" s="6" t="s">
        <v>452</v>
      </c>
      <c r="D102" s="6" t="s">
        <v>453</v>
      </c>
      <c r="E102" s="7" t="s">
        <v>454</v>
      </c>
      <c r="F102" s="8" t="s">
        <v>415</v>
      </c>
      <c r="G102" s="9">
        <v>15.0</v>
      </c>
      <c r="H102" s="9">
        <v>15.0</v>
      </c>
      <c r="I102" s="9">
        <v>400.0</v>
      </c>
      <c r="J102" s="6">
        <f t="shared" si="7"/>
        <v>6000</v>
      </c>
      <c r="K102" s="6" t="s">
        <v>178</v>
      </c>
      <c r="L102" s="7"/>
      <c r="M102" s="7" t="s">
        <v>66</v>
      </c>
      <c r="N102" s="7" t="s">
        <v>455</v>
      </c>
      <c r="O102" s="10" t="s">
        <v>456</v>
      </c>
      <c r="P102" s="6" t="str">
        <f>IMAGE("https://m.media-amazon.com/images/W/MEDIAX_792452-T2/images/I/61t+lNeiChL._SL1443_.jpg",1)</f>
        <v/>
      </c>
      <c r="Q102" s="14">
        <v>1.0</v>
      </c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45.0" customHeight="1">
      <c r="A103" s="6">
        <v>102.0</v>
      </c>
      <c r="B103" s="6" t="s">
        <v>173</v>
      </c>
      <c r="C103" s="6" t="s">
        <v>457</v>
      </c>
      <c r="D103" s="6" t="s">
        <v>458</v>
      </c>
      <c r="E103" s="21" t="s">
        <v>459</v>
      </c>
      <c r="F103" s="8" t="s">
        <v>415</v>
      </c>
      <c r="G103" s="9">
        <v>10.0</v>
      </c>
      <c r="H103" s="9">
        <v>10.0</v>
      </c>
      <c r="I103" s="9">
        <v>500.0</v>
      </c>
      <c r="J103" s="6">
        <f t="shared" si="7"/>
        <v>5000</v>
      </c>
      <c r="K103" s="6" t="s">
        <v>178</v>
      </c>
      <c r="L103" s="7"/>
      <c r="M103" s="7" t="s">
        <v>66</v>
      </c>
      <c r="N103" s="7" t="s">
        <v>455</v>
      </c>
      <c r="O103" s="10" t="s">
        <v>460</v>
      </c>
      <c r="P103" s="6" t="str">
        <f>IMAGE("https://m.media-amazon.com/images/W/MEDIAX_792452-T2/images/I/61xb9SMx4AL._SL1440_.jpg",1)</f>
        <v/>
      </c>
      <c r="Q103" s="11">
        <v>1.0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45.0" customHeight="1">
      <c r="A104" s="6">
        <v>103.0</v>
      </c>
      <c r="B104" s="6" t="s">
        <v>461</v>
      </c>
      <c r="C104" s="6" t="s">
        <v>462</v>
      </c>
      <c r="D104" s="6" t="s">
        <v>463</v>
      </c>
      <c r="E104" s="7" t="s">
        <v>464</v>
      </c>
      <c r="F104" s="8" t="s">
        <v>465</v>
      </c>
      <c r="G104" s="9">
        <v>5.0</v>
      </c>
      <c r="H104" s="9">
        <v>5.0</v>
      </c>
      <c r="I104" s="9">
        <v>1200.0</v>
      </c>
      <c r="J104" s="6">
        <f t="shared" si="7"/>
        <v>6000</v>
      </c>
      <c r="K104" s="6" t="s">
        <v>466</v>
      </c>
      <c r="L104" s="7" t="s">
        <v>47</v>
      </c>
      <c r="M104" s="7" t="s">
        <v>467</v>
      </c>
      <c r="N104" s="7"/>
      <c r="O104" s="10" t="s">
        <v>468</v>
      </c>
      <c r="P104" s="6" t="str">
        <f>IMAGE("https://5.imimg.com/data5/SELLER/Default/2020/10/MN/BG/IF/24066098/sunlu-sl-300-3d-pen-green-500x500.jpg",1)</f>
        <v/>
      </c>
      <c r="Q104" s="11">
        <v>0.0</v>
      </c>
      <c r="R104" s="5"/>
      <c r="S104" s="5" t="s">
        <v>144</v>
      </c>
      <c r="T104" s="5">
        <v>500.0</v>
      </c>
      <c r="U104" s="12">
        <f t="shared" ref="U104:U105" si="8">T104*H104</f>
        <v>2500</v>
      </c>
      <c r="V104" s="5"/>
      <c r="W104" s="5"/>
      <c r="X104" s="5"/>
      <c r="Y104" s="5"/>
      <c r="Z104" s="5"/>
    </row>
    <row r="105" ht="45.0" customHeight="1">
      <c r="A105" s="6">
        <v>104.0</v>
      </c>
      <c r="B105" s="6" t="s">
        <v>461</v>
      </c>
      <c r="C105" s="6" t="s">
        <v>469</v>
      </c>
      <c r="D105" s="6" t="s">
        <v>470</v>
      </c>
      <c r="E105" s="7" t="s">
        <v>471</v>
      </c>
      <c r="F105" s="8" t="s">
        <v>465</v>
      </c>
      <c r="G105" s="9">
        <v>1.0</v>
      </c>
      <c r="H105" s="9">
        <v>1.0</v>
      </c>
      <c r="I105" s="9">
        <v>35000.0</v>
      </c>
      <c r="J105" s="6">
        <f t="shared" si="7"/>
        <v>35000</v>
      </c>
      <c r="K105" s="6" t="s">
        <v>466</v>
      </c>
      <c r="L105" s="7" t="s">
        <v>47</v>
      </c>
      <c r="M105" s="16" t="s">
        <v>65</v>
      </c>
      <c r="N105" s="7"/>
      <c r="O105" s="10" t="s">
        <v>472</v>
      </c>
      <c r="P105" s="6" t="str">
        <f>IMAGE("https://m.media-amazon.com/images/I/61UtNlSmPaL._SX342_.jpg",1)</f>
        <v/>
      </c>
      <c r="Q105" s="11">
        <v>0.0</v>
      </c>
      <c r="R105" s="12"/>
      <c r="S105" s="12" t="s">
        <v>144</v>
      </c>
      <c r="T105" s="12">
        <v>40000.0</v>
      </c>
      <c r="U105" s="12">
        <f t="shared" si="8"/>
        <v>40000</v>
      </c>
      <c r="V105" s="12"/>
      <c r="W105" s="12"/>
      <c r="X105" s="12"/>
      <c r="Y105" s="12"/>
      <c r="Z105" s="12"/>
      <c r="AA105" s="12"/>
    </row>
    <row r="106" ht="45.0" customHeight="1">
      <c r="A106" s="6">
        <v>105.0</v>
      </c>
      <c r="B106" s="6" t="s">
        <v>461</v>
      </c>
      <c r="C106" s="6" t="s">
        <v>473</v>
      </c>
      <c r="D106" s="6" t="s">
        <v>474</v>
      </c>
      <c r="E106" s="7" t="s">
        <v>475</v>
      </c>
      <c r="F106" s="8" t="s">
        <v>465</v>
      </c>
      <c r="G106" s="9"/>
      <c r="H106" s="9">
        <v>1.0</v>
      </c>
      <c r="I106" s="9"/>
      <c r="J106" s="6"/>
      <c r="K106" s="6" t="s">
        <v>466</v>
      </c>
      <c r="L106" s="6"/>
      <c r="M106" s="7" t="s">
        <v>476</v>
      </c>
      <c r="N106" s="7"/>
      <c r="O106" s="10"/>
      <c r="P106" s="6" t="e">
        <v>#VALUE!</v>
      </c>
      <c r="Q106" s="11">
        <v>0.0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45.0" customHeight="1">
      <c r="A107" s="6">
        <v>106.0</v>
      </c>
      <c r="B107" s="6" t="s">
        <v>461</v>
      </c>
      <c r="C107" s="6" t="s">
        <v>477</v>
      </c>
      <c r="D107" s="6" t="s">
        <v>478</v>
      </c>
      <c r="E107" s="7" t="s">
        <v>479</v>
      </c>
      <c r="F107" s="8" t="s">
        <v>465</v>
      </c>
      <c r="G107" s="9">
        <v>3.0</v>
      </c>
      <c r="H107" s="9">
        <v>3.0</v>
      </c>
      <c r="I107" s="9">
        <v>500.0</v>
      </c>
      <c r="J107" s="6">
        <f t="shared" ref="J107:J246" si="9">I107*H107</f>
        <v>1500</v>
      </c>
      <c r="K107" s="6" t="s">
        <v>466</v>
      </c>
      <c r="L107" s="7" t="s">
        <v>47</v>
      </c>
      <c r="M107" s="7" t="s">
        <v>110</v>
      </c>
      <c r="N107" s="7" t="s">
        <v>480</v>
      </c>
      <c r="O107" s="10" t="s">
        <v>481</v>
      </c>
      <c r="P107" s="6" t="str">
        <f>IMAGE("https://5.imimg.com/data5/LA/TM/JO/SELLER-79394111/3d-printer-nylon-filament-500x500.jpg",1)</f>
        <v/>
      </c>
      <c r="Q107" s="11">
        <v>0.0</v>
      </c>
      <c r="R107" s="12"/>
      <c r="S107" s="12" t="s">
        <v>144</v>
      </c>
      <c r="T107" s="12">
        <v>2000.0</v>
      </c>
      <c r="U107" s="12">
        <f>T107*H107</f>
        <v>6000</v>
      </c>
      <c r="V107" s="12"/>
      <c r="W107" s="12"/>
      <c r="X107" s="12"/>
      <c r="Y107" s="12"/>
      <c r="Z107" s="12"/>
      <c r="AA107" s="12"/>
    </row>
    <row r="108" ht="45.0" customHeight="1">
      <c r="A108" s="6">
        <v>405.0</v>
      </c>
      <c r="B108" s="6" t="s">
        <v>461</v>
      </c>
      <c r="C108" s="6"/>
      <c r="D108" s="6" t="s">
        <v>482</v>
      </c>
      <c r="E108" s="7" t="s">
        <v>483</v>
      </c>
      <c r="F108" s="8" t="s">
        <v>465</v>
      </c>
      <c r="G108" s="9">
        <v>1.0</v>
      </c>
      <c r="H108" s="9">
        <v>1.0</v>
      </c>
      <c r="I108" s="9">
        <v>15000.0</v>
      </c>
      <c r="J108" s="6">
        <f t="shared" si="9"/>
        <v>15000</v>
      </c>
      <c r="K108" s="6" t="s">
        <v>466</v>
      </c>
      <c r="L108" s="7" t="s">
        <v>47</v>
      </c>
      <c r="M108" s="16" t="s">
        <v>65</v>
      </c>
      <c r="N108" s="7"/>
      <c r="O108" s="10" t="s">
        <v>484</v>
      </c>
      <c r="P108" s="6" t="str">
        <f>IMAGE("https://robu.in/wp-content/uploads/2022/12/Creality-X-Ender-CR-Laser-Falcon-Laser-Engraver-10W-1.jpg",1)</f>
        <v/>
      </c>
      <c r="Q108" s="11">
        <v>0.0</v>
      </c>
      <c r="R108" s="12"/>
      <c r="S108" s="12" t="s">
        <v>144</v>
      </c>
      <c r="T108" s="12"/>
      <c r="U108" s="12"/>
      <c r="V108" s="12"/>
      <c r="W108" s="12"/>
      <c r="X108" s="12"/>
      <c r="Y108" s="12"/>
      <c r="Z108" s="12"/>
      <c r="AA108" s="12"/>
    </row>
    <row r="109" ht="45.0" customHeight="1">
      <c r="A109" s="6">
        <v>405.0</v>
      </c>
      <c r="B109" s="6" t="s">
        <v>461</v>
      </c>
      <c r="C109" s="6"/>
      <c r="D109" s="6" t="s">
        <v>482</v>
      </c>
      <c r="E109" s="7" t="s">
        <v>485</v>
      </c>
      <c r="F109" s="8" t="s">
        <v>465</v>
      </c>
      <c r="G109" s="9">
        <v>1.0</v>
      </c>
      <c r="H109" s="9">
        <v>1.0</v>
      </c>
      <c r="I109" s="9">
        <v>15000.0</v>
      </c>
      <c r="J109" s="6">
        <f t="shared" si="9"/>
        <v>15000</v>
      </c>
      <c r="K109" s="6" t="s">
        <v>466</v>
      </c>
      <c r="L109" s="7" t="s">
        <v>47</v>
      </c>
      <c r="M109" s="16" t="s">
        <v>65</v>
      </c>
      <c r="N109" s="7"/>
      <c r="O109" s="10" t="s">
        <v>484</v>
      </c>
      <c r="P109" s="6" t="e">
        <v>#VALUE!</v>
      </c>
      <c r="Q109" s="11">
        <v>0.0</v>
      </c>
      <c r="R109" s="12"/>
      <c r="S109" s="12" t="s">
        <v>144</v>
      </c>
      <c r="T109" s="12"/>
      <c r="U109" s="12"/>
      <c r="V109" s="12"/>
      <c r="W109" s="12"/>
      <c r="X109" s="12"/>
      <c r="Y109" s="12"/>
      <c r="Z109" s="12"/>
      <c r="AA109" s="12"/>
    </row>
    <row r="110" ht="45.0" customHeight="1">
      <c r="A110" s="6">
        <v>107.0</v>
      </c>
      <c r="B110" s="6" t="s">
        <v>173</v>
      </c>
      <c r="C110" s="6" t="s">
        <v>486</v>
      </c>
      <c r="D110" s="6" t="s">
        <v>487</v>
      </c>
      <c r="E110" s="7" t="s">
        <v>488</v>
      </c>
      <c r="F110" s="8" t="s">
        <v>489</v>
      </c>
      <c r="G110" s="9">
        <v>20.0</v>
      </c>
      <c r="H110" s="9">
        <v>20.0</v>
      </c>
      <c r="I110" s="9">
        <v>40.0</v>
      </c>
      <c r="J110" s="6">
        <f t="shared" si="9"/>
        <v>800</v>
      </c>
      <c r="K110" s="6" t="s">
        <v>178</v>
      </c>
      <c r="L110" s="7"/>
      <c r="M110" s="7" t="s">
        <v>193</v>
      </c>
      <c r="N110" s="7"/>
      <c r="O110" s="10" t="s">
        <v>490</v>
      </c>
      <c r="P110" s="6" t="str">
        <f>IMAGE("https://m.media-amazon.com/images/I/51BByYhTjOL._SX425_.jpg",1)</f>
        <v/>
      </c>
      <c r="Q110" s="11">
        <v>1.0</v>
      </c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45.0" customHeight="1">
      <c r="A111" s="6">
        <v>108.0</v>
      </c>
      <c r="B111" s="6" t="s">
        <v>173</v>
      </c>
      <c r="C111" s="6" t="s">
        <v>491</v>
      </c>
      <c r="D111" s="6" t="s">
        <v>492</v>
      </c>
      <c r="E111" s="7" t="s">
        <v>493</v>
      </c>
      <c r="F111" s="8" t="s">
        <v>489</v>
      </c>
      <c r="G111" s="9">
        <v>10.0</v>
      </c>
      <c r="H111" s="9">
        <v>10.0</v>
      </c>
      <c r="I111" s="9">
        <v>60.0</v>
      </c>
      <c r="J111" s="6">
        <f t="shared" si="9"/>
        <v>600</v>
      </c>
      <c r="K111" s="6" t="s">
        <v>178</v>
      </c>
      <c r="L111" s="7"/>
      <c r="M111" s="7" t="s">
        <v>249</v>
      </c>
      <c r="N111" s="7"/>
      <c r="O111" s="10" t="s">
        <v>494</v>
      </c>
      <c r="P111" s="6" t="str">
        <f>IMAGE("https://5.imimg.com/data5/SR/JZ/RD/SELLER-80355495/large-breadboard-800-points--500x500.jpg",1)</f>
        <v/>
      </c>
      <c r="Q111" s="11">
        <v>1.0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45.0" customHeight="1">
      <c r="A112" s="6">
        <v>109.0</v>
      </c>
      <c r="B112" s="6" t="s">
        <v>173</v>
      </c>
      <c r="C112" s="6" t="s">
        <v>495</v>
      </c>
      <c r="D112" s="6" t="s">
        <v>496</v>
      </c>
      <c r="E112" s="7" t="s">
        <v>497</v>
      </c>
      <c r="F112" s="8" t="s">
        <v>489</v>
      </c>
      <c r="G112" s="9">
        <v>10.0</v>
      </c>
      <c r="H112" s="9">
        <v>10.0</v>
      </c>
      <c r="I112" s="9">
        <v>40.0</v>
      </c>
      <c r="J112" s="6">
        <f t="shared" si="9"/>
        <v>400</v>
      </c>
      <c r="K112" s="6" t="s">
        <v>178</v>
      </c>
      <c r="L112" s="7"/>
      <c r="M112" s="7" t="s">
        <v>249</v>
      </c>
      <c r="N112" s="7" t="s">
        <v>493</v>
      </c>
      <c r="O112" s="10" t="s">
        <v>498</v>
      </c>
      <c r="P112" s="6" t="str">
        <f>IMAGE("https://5.imimg.com/data5/SELLER/Default/2020/12/GY/DK/LM/59387089/400-point-solderless-breadboard-500x500.jpg",1)</f>
        <v/>
      </c>
      <c r="Q112" s="11">
        <v>1.0</v>
      </c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45.0" customHeight="1">
      <c r="A113" s="6">
        <v>110.0</v>
      </c>
      <c r="B113" s="6" t="s">
        <v>173</v>
      </c>
      <c r="C113" s="6" t="s">
        <v>499</v>
      </c>
      <c r="D113" s="6" t="s">
        <v>500</v>
      </c>
      <c r="E113" s="7" t="s">
        <v>501</v>
      </c>
      <c r="F113" s="8" t="s">
        <v>489</v>
      </c>
      <c r="G113" s="9">
        <v>10.0</v>
      </c>
      <c r="H113" s="9">
        <v>10.0</v>
      </c>
      <c r="I113" s="9">
        <v>200.0</v>
      </c>
      <c r="J113" s="6">
        <f t="shared" si="9"/>
        <v>2000</v>
      </c>
      <c r="K113" s="6" t="s">
        <v>178</v>
      </c>
      <c r="L113" s="7"/>
      <c r="M113" s="7" t="s">
        <v>179</v>
      </c>
      <c r="N113" s="7" t="s">
        <v>493</v>
      </c>
      <c r="O113" s="22" t="s">
        <v>502</v>
      </c>
      <c r="P113" s="6" t="str">
        <f>IMAGE("https://1ohm.in/wp-content/uploads/2021/07/MB102-3.3V5V-Breadboard-Power-Supply-Module.png",1)</f>
        <v/>
      </c>
      <c r="Q113" s="11">
        <v>1.0</v>
      </c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45.0" customHeight="1">
      <c r="A114" s="6">
        <v>111.0</v>
      </c>
      <c r="B114" s="6" t="s">
        <v>173</v>
      </c>
      <c r="C114" s="6" t="s">
        <v>503</v>
      </c>
      <c r="D114" s="6" t="s">
        <v>504</v>
      </c>
      <c r="E114" s="7" t="s">
        <v>505</v>
      </c>
      <c r="F114" s="8" t="s">
        <v>489</v>
      </c>
      <c r="G114" s="9">
        <v>100.0</v>
      </c>
      <c r="H114" s="9">
        <v>100.0</v>
      </c>
      <c r="I114" s="9">
        <v>10.0</v>
      </c>
      <c r="J114" s="6">
        <f t="shared" si="9"/>
        <v>1000</v>
      </c>
      <c r="K114" s="6" t="s">
        <v>178</v>
      </c>
      <c r="L114" s="7"/>
      <c r="M114" s="7" t="s">
        <v>193</v>
      </c>
      <c r="N114" s="7" t="s">
        <v>23</v>
      </c>
      <c r="O114" s="10" t="s">
        <v>506</v>
      </c>
      <c r="P114" s="6" t="str">
        <f>IMAGE("https://rukminim2.flixcart.com/image/832/832/ks243gw0/electronic-hobby-kit/x/f/2/2mm-pitch-female-burg-strip-40-pin-5-pcs-prime-intact-original-imag5pxpqjxcdsgh.jpeg?q=70",1)</f>
        <v/>
      </c>
      <c r="Q114" s="11">
        <v>1.0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45.0" customHeight="1">
      <c r="A115" s="6">
        <v>112.0</v>
      </c>
      <c r="B115" s="6" t="s">
        <v>173</v>
      </c>
      <c r="C115" s="6" t="s">
        <v>507</v>
      </c>
      <c r="D115" s="6" t="s">
        <v>508</v>
      </c>
      <c r="E115" s="7" t="s">
        <v>509</v>
      </c>
      <c r="F115" s="8" t="s">
        <v>489</v>
      </c>
      <c r="G115" s="9">
        <v>50.0</v>
      </c>
      <c r="H115" s="9">
        <v>50.0</v>
      </c>
      <c r="I115" s="9">
        <v>15.0</v>
      </c>
      <c r="J115" s="6">
        <f t="shared" si="9"/>
        <v>750</v>
      </c>
      <c r="K115" s="6" t="s">
        <v>178</v>
      </c>
      <c r="L115" s="7"/>
      <c r="M115" s="7" t="s">
        <v>193</v>
      </c>
      <c r="N115" s="7"/>
      <c r="O115" s="10" t="s">
        <v>510</v>
      </c>
      <c r="P115" s="6" t="str">
        <f>IMAGE("https://5.imimg.com/data5/OF/VW/IL/SELLER-9316309/burg-strips-500x500.jpg",1)</f>
        <v/>
      </c>
      <c r="Q115" s="11">
        <v>1.0</v>
      </c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45.0" customHeight="1">
      <c r="A116" s="6">
        <v>113.0</v>
      </c>
      <c r="B116" s="6" t="s">
        <v>173</v>
      </c>
      <c r="C116" s="6" t="s">
        <v>511</v>
      </c>
      <c r="D116" s="6" t="s">
        <v>512</v>
      </c>
      <c r="E116" s="7" t="s">
        <v>513</v>
      </c>
      <c r="F116" s="8" t="s">
        <v>489</v>
      </c>
      <c r="G116" s="9">
        <v>50.0</v>
      </c>
      <c r="H116" s="9">
        <v>50.0</v>
      </c>
      <c r="I116" s="9">
        <v>20.0</v>
      </c>
      <c r="J116" s="6">
        <f t="shared" si="9"/>
        <v>1000</v>
      </c>
      <c r="K116" s="6" t="s">
        <v>178</v>
      </c>
      <c r="L116" s="7"/>
      <c r="M116" s="7" t="s">
        <v>193</v>
      </c>
      <c r="N116" s="7"/>
      <c r="O116" s="10" t="s">
        <v>514</v>
      </c>
      <c r="P116" s="6" t="str">
        <f>IMAGE("https://www.tomsonelectronics.com/cdn/shop/products/40X1MALERAI_2048x2048.jpg?v=1602835171",1)</f>
        <v/>
      </c>
      <c r="Q116" s="11">
        <v>1.0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45.0" customHeight="1">
      <c r="A117" s="6">
        <v>114.0</v>
      </c>
      <c r="B117" s="6" t="s">
        <v>173</v>
      </c>
      <c r="C117" s="6" t="s">
        <v>515</v>
      </c>
      <c r="D117" s="6" t="s">
        <v>516</v>
      </c>
      <c r="E117" s="7" t="s">
        <v>517</v>
      </c>
      <c r="F117" s="8" t="s">
        <v>489</v>
      </c>
      <c r="G117" s="9">
        <v>100.0</v>
      </c>
      <c r="H117" s="9">
        <v>100.0</v>
      </c>
      <c r="I117" s="9">
        <v>5.0</v>
      </c>
      <c r="J117" s="6">
        <f t="shared" si="9"/>
        <v>500</v>
      </c>
      <c r="K117" s="6" t="s">
        <v>178</v>
      </c>
      <c r="L117" s="7" t="s">
        <v>65</v>
      </c>
      <c r="M117" s="7" t="s">
        <v>518</v>
      </c>
      <c r="N117" s="7"/>
      <c r="O117" s="10" t="s">
        <v>519</v>
      </c>
      <c r="P117" s="6" t="str">
        <f>IMAGE("https://projectpoint.in/image/cache/catalog/102-672x504.jpg",1)</f>
        <v/>
      </c>
      <c r="Q117" s="11">
        <v>1.0</v>
      </c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45.0" customHeight="1">
      <c r="A118" s="6">
        <v>115.0</v>
      </c>
      <c r="B118" s="6" t="s">
        <v>173</v>
      </c>
      <c r="C118" s="6" t="s">
        <v>520</v>
      </c>
      <c r="D118" s="6" t="s">
        <v>521</v>
      </c>
      <c r="E118" s="7" t="s">
        <v>522</v>
      </c>
      <c r="F118" s="8" t="s">
        <v>489</v>
      </c>
      <c r="G118" s="9">
        <v>100.0</v>
      </c>
      <c r="H118" s="9">
        <v>100.0</v>
      </c>
      <c r="I118" s="9">
        <v>5.0</v>
      </c>
      <c r="J118" s="6">
        <f t="shared" si="9"/>
        <v>500</v>
      </c>
      <c r="K118" s="6" t="s">
        <v>178</v>
      </c>
      <c r="L118" s="7" t="s">
        <v>65</v>
      </c>
      <c r="M118" s="7" t="s">
        <v>518</v>
      </c>
      <c r="N118" s="7"/>
      <c r="O118" s="10" t="s">
        <v>523</v>
      </c>
      <c r="P118" s="6" t="str">
        <f>IMAGE("https://projectpoint.in/image/cache/catalog/103-672x504.jpg",1)</f>
        <v/>
      </c>
      <c r="Q118" s="11">
        <v>1.0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45.0" customHeight="1">
      <c r="A119" s="6">
        <v>116.0</v>
      </c>
      <c r="B119" s="6" t="s">
        <v>173</v>
      </c>
      <c r="C119" s="6" t="s">
        <v>524</v>
      </c>
      <c r="D119" s="6" t="s">
        <v>525</v>
      </c>
      <c r="E119" s="7" t="s">
        <v>526</v>
      </c>
      <c r="F119" s="8" t="s">
        <v>489</v>
      </c>
      <c r="G119" s="9">
        <v>100.0</v>
      </c>
      <c r="H119" s="9">
        <v>100.0</v>
      </c>
      <c r="I119" s="9">
        <v>5.0</v>
      </c>
      <c r="J119" s="6">
        <f t="shared" si="9"/>
        <v>500</v>
      </c>
      <c r="K119" s="6" t="s">
        <v>178</v>
      </c>
      <c r="L119" s="7" t="s">
        <v>65</v>
      </c>
      <c r="M119" s="7" t="s">
        <v>518</v>
      </c>
      <c r="N119" s="7"/>
      <c r="O119" s="10" t="s">
        <v>527</v>
      </c>
      <c r="P119" s="6" t="str">
        <f>IMAGE("https://m.media-amazon.com/images/W/MEDIAX_792452-T2/images/I/31vPU3nIarL.jpg",1)</f>
        <v/>
      </c>
      <c r="Q119" s="11">
        <v>1.0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45.0" customHeight="1">
      <c r="A120" s="6">
        <v>117.0</v>
      </c>
      <c r="B120" s="6" t="s">
        <v>173</v>
      </c>
      <c r="C120" s="6" t="s">
        <v>528</v>
      </c>
      <c r="D120" s="6" t="s">
        <v>529</v>
      </c>
      <c r="E120" s="7" t="s">
        <v>530</v>
      </c>
      <c r="F120" s="8" t="s">
        <v>489</v>
      </c>
      <c r="G120" s="9">
        <v>100.0</v>
      </c>
      <c r="H120" s="9">
        <v>100.0</v>
      </c>
      <c r="I120" s="9">
        <v>5.0</v>
      </c>
      <c r="J120" s="6">
        <f t="shared" si="9"/>
        <v>500</v>
      </c>
      <c r="K120" s="6" t="s">
        <v>178</v>
      </c>
      <c r="L120" s="7" t="s">
        <v>65</v>
      </c>
      <c r="M120" s="7" t="s">
        <v>518</v>
      </c>
      <c r="N120" s="7"/>
      <c r="O120" s="10" t="s">
        <v>531</v>
      </c>
      <c r="P120" s="6" t="str">
        <f>IMAGE("https://www.ato.com/content/images/thumbs/0011952_01f-50v-disc-ceramic-capacitor_550.jpeg",1)</f>
        <v/>
      </c>
      <c r="Q120" s="11">
        <v>1.0</v>
      </c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45.0" customHeight="1">
      <c r="A121" s="6">
        <v>118.0</v>
      </c>
      <c r="B121" s="6" t="s">
        <v>173</v>
      </c>
      <c r="C121" s="6" t="s">
        <v>532</v>
      </c>
      <c r="D121" s="6" t="s">
        <v>533</v>
      </c>
      <c r="E121" s="7" t="s">
        <v>534</v>
      </c>
      <c r="F121" s="8" t="s">
        <v>489</v>
      </c>
      <c r="G121" s="9">
        <v>50.0</v>
      </c>
      <c r="H121" s="9">
        <v>50.0</v>
      </c>
      <c r="I121" s="9">
        <v>10.0</v>
      </c>
      <c r="J121" s="6">
        <f t="shared" si="9"/>
        <v>500</v>
      </c>
      <c r="K121" s="6" t="s">
        <v>178</v>
      </c>
      <c r="L121" s="7" t="s">
        <v>65</v>
      </c>
      <c r="M121" s="7" t="s">
        <v>518</v>
      </c>
      <c r="N121" s="7"/>
      <c r="O121" s="10" t="s">
        <v>535</v>
      </c>
      <c r="P121" s="6" t="str">
        <f>IMAGE("https://www.faranux.com/wp-content/uploads/2017/04/2f2603f8-1uf-50v-electrolytic-capacitor-pack-of-5-tech3179-8225-800x800-1.jpg",1)</f>
        <v/>
      </c>
      <c r="Q121" s="11">
        <v>1.0</v>
      </c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45.0" customHeight="1">
      <c r="A122" s="6">
        <v>119.0</v>
      </c>
      <c r="B122" s="6" t="s">
        <v>173</v>
      </c>
      <c r="C122" s="6" t="s">
        <v>536</v>
      </c>
      <c r="D122" s="6" t="s">
        <v>537</v>
      </c>
      <c r="E122" s="7" t="s">
        <v>538</v>
      </c>
      <c r="F122" s="8" t="s">
        <v>489</v>
      </c>
      <c r="G122" s="9">
        <v>50.0</v>
      </c>
      <c r="H122" s="9">
        <v>50.0</v>
      </c>
      <c r="I122" s="9">
        <v>15.0</v>
      </c>
      <c r="J122" s="6">
        <f t="shared" si="9"/>
        <v>750</v>
      </c>
      <c r="K122" s="6" t="s">
        <v>178</v>
      </c>
      <c r="L122" s="7" t="s">
        <v>65</v>
      </c>
      <c r="M122" s="7" t="s">
        <v>518</v>
      </c>
      <c r="N122" s="7"/>
      <c r="O122" s="10" t="s">
        <v>539</v>
      </c>
      <c r="P122" s="6" t="str">
        <f>IMAGE("https://new.sunrobotics.in/web/image/product.product/7775/image_1024/%5B10061%5D%2010uF%20Electrolytic%20Capacitor?unique=2e60387",1)</f>
        <v/>
      </c>
      <c r="Q122" s="11">
        <v>1.0</v>
      </c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45.0" customHeight="1">
      <c r="A123" s="6">
        <v>120.0</v>
      </c>
      <c r="B123" s="6" t="s">
        <v>173</v>
      </c>
      <c r="C123" s="6" t="s">
        <v>540</v>
      </c>
      <c r="D123" s="6" t="s">
        <v>541</v>
      </c>
      <c r="E123" s="7" t="s">
        <v>542</v>
      </c>
      <c r="F123" s="8" t="s">
        <v>489</v>
      </c>
      <c r="G123" s="9">
        <v>20.0</v>
      </c>
      <c r="H123" s="9">
        <v>20.0</v>
      </c>
      <c r="I123" s="9">
        <v>20.0</v>
      </c>
      <c r="J123" s="6">
        <f t="shared" si="9"/>
        <v>400</v>
      </c>
      <c r="K123" s="6" t="s">
        <v>178</v>
      </c>
      <c r="L123" s="7" t="s">
        <v>65</v>
      </c>
      <c r="M123" s="7" t="s">
        <v>518</v>
      </c>
      <c r="N123" s="7"/>
      <c r="O123" s="10" t="s">
        <v>543</v>
      </c>
      <c r="P123" s="6" t="str">
        <f>IMAGE("https://www.sunrobotics.in/web/image/product.product/3164/image_1024/%5B10042%5D%201000UF-25V%20Electrolytic%20Capacitor?unique=acd9ab2",1)</f>
        <v/>
      </c>
      <c r="Q123" s="11">
        <v>1.0</v>
      </c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45.0" customHeight="1">
      <c r="A124" s="6">
        <v>121.0</v>
      </c>
      <c r="B124" s="6" t="s">
        <v>173</v>
      </c>
      <c r="C124" s="6" t="s">
        <v>544</v>
      </c>
      <c r="D124" s="6" t="s">
        <v>545</v>
      </c>
      <c r="E124" s="7" t="s">
        <v>546</v>
      </c>
      <c r="F124" s="8" t="s">
        <v>489</v>
      </c>
      <c r="G124" s="9">
        <v>20.0</v>
      </c>
      <c r="H124" s="9">
        <v>20.0</v>
      </c>
      <c r="I124" s="9">
        <v>30.0</v>
      </c>
      <c r="J124" s="6">
        <f t="shared" si="9"/>
        <v>600</v>
      </c>
      <c r="K124" s="6" t="s">
        <v>178</v>
      </c>
      <c r="L124" s="7" t="s">
        <v>65</v>
      </c>
      <c r="M124" s="7" t="s">
        <v>518</v>
      </c>
      <c r="N124" s="7"/>
      <c r="O124" s="10" t="s">
        <v>547</v>
      </c>
      <c r="P124" s="6" t="str">
        <f>IMAGE("https://res.cloudinary.com/rsc/image/upload/b_rgb:FFFFFF,c_pad,dpr_1.0,f_auto,q_auto,w_700/c_pad,w_700/F5201539-01",1)</f>
        <v/>
      </c>
      <c r="Q124" s="11">
        <v>1.0</v>
      </c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45.0" customHeight="1">
      <c r="A125" s="6">
        <v>122.0</v>
      </c>
      <c r="B125" s="6" t="s">
        <v>173</v>
      </c>
      <c r="C125" s="6" t="s">
        <v>548</v>
      </c>
      <c r="D125" s="6" t="s">
        <v>549</v>
      </c>
      <c r="E125" s="7" t="s">
        <v>550</v>
      </c>
      <c r="F125" s="8" t="s">
        <v>489</v>
      </c>
      <c r="G125" s="9">
        <v>50.0</v>
      </c>
      <c r="H125" s="9">
        <v>50.0</v>
      </c>
      <c r="I125" s="9">
        <v>10.0</v>
      </c>
      <c r="J125" s="6">
        <f t="shared" si="9"/>
        <v>500</v>
      </c>
      <c r="K125" s="6" t="s">
        <v>178</v>
      </c>
      <c r="L125" s="7" t="s">
        <v>65</v>
      </c>
      <c r="M125" s="7" t="s">
        <v>518</v>
      </c>
      <c r="N125" s="7"/>
      <c r="O125" s="10" t="s">
        <v>551</v>
      </c>
      <c r="P125" s="6" t="str">
        <f>IMAGE("https://sharvielectronics.com/wp-content/uploads/2020/02/2.2uF-50V-Electrolytic-Capacitor.jpg",1)</f>
        <v/>
      </c>
      <c r="Q125" s="11">
        <v>1.0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45.0" customHeight="1">
      <c r="A126" s="6">
        <v>123.0</v>
      </c>
      <c r="B126" s="6" t="s">
        <v>173</v>
      </c>
      <c r="C126" s="6" t="s">
        <v>552</v>
      </c>
      <c r="D126" s="6" t="s">
        <v>553</v>
      </c>
      <c r="E126" s="7" t="s">
        <v>554</v>
      </c>
      <c r="F126" s="8" t="s">
        <v>489</v>
      </c>
      <c r="G126" s="9">
        <v>50.0</v>
      </c>
      <c r="H126" s="9">
        <v>50.0</v>
      </c>
      <c r="I126" s="9">
        <v>15.0</v>
      </c>
      <c r="J126" s="6">
        <f t="shared" si="9"/>
        <v>750</v>
      </c>
      <c r="K126" s="6" t="s">
        <v>178</v>
      </c>
      <c r="L126" s="7" t="s">
        <v>65</v>
      </c>
      <c r="M126" s="7" t="s">
        <v>518</v>
      </c>
      <c r="N126" s="7"/>
      <c r="O126" s="10" t="s">
        <v>555</v>
      </c>
      <c r="P126" s="6" t="str">
        <f>IMAGE("https://projectpoint.in/image/cache/catalog/22uf-450v-672x504.jpg",1)</f>
        <v/>
      </c>
      <c r="Q126" s="11">
        <v>1.0</v>
      </c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45.0" customHeight="1">
      <c r="A127" s="6">
        <v>124.0</v>
      </c>
      <c r="B127" s="6" t="s">
        <v>173</v>
      </c>
      <c r="C127" s="6" t="s">
        <v>556</v>
      </c>
      <c r="D127" s="6" t="s">
        <v>557</v>
      </c>
      <c r="E127" s="7" t="s">
        <v>558</v>
      </c>
      <c r="F127" s="8" t="s">
        <v>489</v>
      </c>
      <c r="G127" s="9">
        <v>20.0</v>
      </c>
      <c r="H127" s="9">
        <v>20.0</v>
      </c>
      <c r="I127" s="9">
        <v>20.0</v>
      </c>
      <c r="J127" s="6">
        <f t="shared" si="9"/>
        <v>400</v>
      </c>
      <c r="K127" s="6" t="s">
        <v>178</v>
      </c>
      <c r="L127" s="7" t="s">
        <v>65</v>
      </c>
      <c r="M127" s="7" t="s">
        <v>518</v>
      </c>
      <c r="N127" s="7"/>
      <c r="O127" s="10" t="s">
        <v>559</v>
      </c>
      <c r="P127" s="6" t="str">
        <f>IMAGE("https://5.imimg.com/data5/SP/GM/AD/SELLER-84581978/keltron-2200uf-35-v-electrolytic-capacitors-500x500.jpg",1)</f>
        <v/>
      </c>
      <c r="Q127" s="11">
        <v>1.0</v>
      </c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45.0" customHeight="1">
      <c r="A128" s="6">
        <v>125.0</v>
      </c>
      <c r="B128" s="6" t="s">
        <v>173</v>
      </c>
      <c r="C128" s="6" t="s">
        <v>560</v>
      </c>
      <c r="D128" s="6" t="s">
        <v>561</v>
      </c>
      <c r="E128" s="7" t="s">
        <v>562</v>
      </c>
      <c r="F128" s="8" t="s">
        <v>489</v>
      </c>
      <c r="G128" s="9">
        <v>20.0</v>
      </c>
      <c r="H128" s="9">
        <v>20.0</v>
      </c>
      <c r="I128" s="9">
        <v>30.0</v>
      </c>
      <c r="J128" s="6">
        <f t="shared" si="9"/>
        <v>600</v>
      </c>
      <c r="K128" s="6" t="s">
        <v>178</v>
      </c>
      <c r="L128" s="7" t="s">
        <v>65</v>
      </c>
      <c r="M128" s="7" t="s">
        <v>518</v>
      </c>
      <c r="N128" s="7"/>
      <c r="O128" s="10" t="s">
        <v>563</v>
      </c>
      <c r="P128" s="6" t="str">
        <f>IMAGE("https://5.imimg.com/data5/QO/AU/MY-77080729/uge-electrolytic-capacitors-500x375-500x500.jpg",1)</f>
        <v/>
      </c>
      <c r="Q128" s="11">
        <v>1.0</v>
      </c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45.0" customHeight="1">
      <c r="A129" s="6">
        <v>126.0</v>
      </c>
      <c r="B129" s="6" t="s">
        <v>173</v>
      </c>
      <c r="C129" s="6" t="s">
        <v>564</v>
      </c>
      <c r="D129" s="6" t="s">
        <v>565</v>
      </c>
      <c r="E129" s="7" t="s">
        <v>566</v>
      </c>
      <c r="F129" s="8" t="s">
        <v>489</v>
      </c>
      <c r="G129" s="9">
        <v>100.0</v>
      </c>
      <c r="H129" s="9">
        <v>100.0</v>
      </c>
      <c r="I129" s="9">
        <v>5.0</v>
      </c>
      <c r="J129" s="6">
        <f t="shared" si="9"/>
        <v>500</v>
      </c>
      <c r="K129" s="6" t="s">
        <v>178</v>
      </c>
      <c r="L129" s="7" t="s">
        <v>65</v>
      </c>
      <c r="M129" s="7" t="s">
        <v>518</v>
      </c>
      <c r="N129" s="7"/>
      <c r="O129" s="10" t="s">
        <v>567</v>
      </c>
      <c r="P129" s="6" t="str">
        <f>IMAGE("https://www.makestore.in/wp-content/uploads/2019/06/27pF_50V_Ceramic_Capacitors.png",1)</f>
        <v/>
      </c>
      <c r="Q129" s="11">
        <v>1.0</v>
      </c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45.0" customHeight="1">
      <c r="A130" s="6">
        <v>127.0</v>
      </c>
      <c r="B130" s="6" t="s">
        <v>173</v>
      </c>
      <c r="C130" s="6" t="s">
        <v>568</v>
      </c>
      <c r="D130" s="6" t="s">
        <v>569</v>
      </c>
      <c r="E130" s="7" t="s">
        <v>570</v>
      </c>
      <c r="F130" s="8" t="s">
        <v>489</v>
      </c>
      <c r="G130" s="9">
        <v>100.0</v>
      </c>
      <c r="H130" s="9">
        <v>100.0</v>
      </c>
      <c r="I130" s="9">
        <v>5.0</v>
      </c>
      <c r="J130" s="6">
        <f t="shared" si="9"/>
        <v>500</v>
      </c>
      <c r="K130" s="6" t="s">
        <v>178</v>
      </c>
      <c r="L130" s="7" t="s">
        <v>65</v>
      </c>
      <c r="M130" s="7" t="s">
        <v>518</v>
      </c>
      <c r="N130" s="7"/>
      <c r="O130" s="10" t="s">
        <v>571</v>
      </c>
      <c r="P130" s="6" t="str">
        <f>IMAGE("https://projectpoint.in/image/cache/catalog/ceramic-capacitors-50V-4.7pf-672x504.jpg",1)</f>
        <v/>
      </c>
      <c r="Q130" s="11">
        <v>1.0</v>
      </c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45.0" customHeight="1">
      <c r="A131" s="6">
        <v>128.0</v>
      </c>
      <c r="B131" s="6" t="s">
        <v>173</v>
      </c>
      <c r="C131" s="6" t="s">
        <v>572</v>
      </c>
      <c r="D131" s="6" t="s">
        <v>573</v>
      </c>
      <c r="E131" s="7" t="s">
        <v>574</v>
      </c>
      <c r="F131" s="8" t="s">
        <v>489</v>
      </c>
      <c r="G131" s="9">
        <v>50.0</v>
      </c>
      <c r="H131" s="9">
        <v>50.0</v>
      </c>
      <c r="I131" s="9">
        <v>10.0</v>
      </c>
      <c r="J131" s="6">
        <f t="shared" si="9"/>
        <v>500</v>
      </c>
      <c r="K131" s="6" t="s">
        <v>178</v>
      </c>
      <c r="L131" s="7" t="s">
        <v>65</v>
      </c>
      <c r="M131" s="7" t="s">
        <v>518</v>
      </c>
      <c r="N131" s="7"/>
      <c r="O131" s="10" t="s">
        <v>575</v>
      </c>
      <c r="P131" s="6" t="str">
        <f>IMAGE("https://5.imimg.com/data5/JL/JS/ZA/SELLER-21614932/4-7uf-400v-keltron-capacitor-500x500.jpg",1)</f>
        <v/>
      </c>
      <c r="Q131" s="11">
        <v>1.0</v>
      </c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45.0" customHeight="1">
      <c r="A132" s="6">
        <v>129.0</v>
      </c>
      <c r="B132" s="6" t="s">
        <v>173</v>
      </c>
      <c r="C132" s="6" t="s">
        <v>576</v>
      </c>
      <c r="D132" s="6" t="s">
        <v>577</v>
      </c>
      <c r="E132" s="7" t="s">
        <v>578</v>
      </c>
      <c r="F132" s="8" t="s">
        <v>489</v>
      </c>
      <c r="G132" s="9">
        <v>50.0</v>
      </c>
      <c r="H132" s="9">
        <v>50.0</v>
      </c>
      <c r="I132" s="9">
        <v>15.0</v>
      </c>
      <c r="J132" s="6">
        <f t="shared" si="9"/>
        <v>750</v>
      </c>
      <c r="K132" s="6" t="s">
        <v>178</v>
      </c>
      <c r="L132" s="7" t="s">
        <v>65</v>
      </c>
      <c r="M132" s="7" t="s">
        <v>518</v>
      </c>
      <c r="N132" s="7"/>
      <c r="O132" s="10" t="s">
        <v>579</v>
      </c>
      <c r="P132" s="6" t="str">
        <f>IMAGE("https://projectpoint.in/image/cache/catalog/47uf-250v-672x504.jpg",1)</f>
        <v/>
      </c>
      <c r="Q132" s="11">
        <v>1.0</v>
      </c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45.0" customHeight="1">
      <c r="A133" s="6">
        <v>130.0</v>
      </c>
      <c r="B133" s="6" t="s">
        <v>173</v>
      </c>
      <c r="C133" s="6" t="s">
        <v>580</v>
      </c>
      <c r="D133" s="6" t="s">
        <v>581</v>
      </c>
      <c r="E133" s="7" t="s">
        <v>582</v>
      </c>
      <c r="F133" s="8" t="s">
        <v>489</v>
      </c>
      <c r="G133" s="9">
        <v>20.0</v>
      </c>
      <c r="H133" s="9">
        <v>20.0</v>
      </c>
      <c r="I133" s="9">
        <v>20.0</v>
      </c>
      <c r="J133" s="6">
        <f t="shared" si="9"/>
        <v>400</v>
      </c>
      <c r="K133" s="6" t="s">
        <v>178</v>
      </c>
      <c r="L133" s="7" t="s">
        <v>65</v>
      </c>
      <c r="M133" s="7" t="s">
        <v>518</v>
      </c>
      <c r="N133" s="7"/>
      <c r="O133" s="10" t="s">
        <v>583</v>
      </c>
      <c r="P133" s="6" t="str">
        <f>IMAGE("https://5.imimg.com/data5/QO/AU/MY-77080729/uge-electrolytic-capacitors-500x375-500x500.jpg",1)</f>
        <v/>
      </c>
      <c r="Q133" s="11">
        <v>1.0</v>
      </c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45.0" customHeight="1">
      <c r="A134" s="6">
        <v>131.0</v>
      </c>
      <c r="B134" s="6" t="s">
        <v>173</v>
      </c>
      <c r="C134" s="6" t="s">
        <v>584</v>
      </c>
      <c r="D134" s="6" t="s">
        <v>585</v>
      </c>
      <c r="E134" s="7" t="s">
        <v>586</v>
      </c>
      <c r="F134" s="8" t="s">
        <v>489</v>
      </c>
      <c r="G134" s="9">
        <v>20.0</v>
      </c>
      <c r="H134" s="9">
        <v>20.0</v>
      </c>
      <c r="I134" s="9">
        <v>25.0</v>
      </c>
      <c r="J134" s="6">
        <f t="shared" si="9"/>
        <v>500</v>
      </c>
      <c r="K134" s="6" t="s">
        <v>178</v>
      </c>
      <c r="L134" s="7"/>
      <c r="M134" s="7" t="s">
        <v>193</v>
      </c>
      <c r="N134" s="7"/>
      <c r="O134" s="10" t="s">
        <v>587</v>
      </c>
      <c r="P134" s="6" t="str">
        <f>IMAGE("https://www.electronicscomp.com/image/cache/catalog/cd4033-5-stage-johnson-decade-counter-ic-dip-16-800x800.jpg",1)</f>
        <v/>
      </c>
      <c r="Q134" s="11">
        <v>1.0</v>
      </c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45.0" customHeight="1">
      <c r="A135" s="6">
        <v>132.0</v>
      </c>
      <c r="B135" s="6" t="s">
        <v>173</v>
      </c>
      <c r="C135" s="6" t="s">
        <v>588</v>
      </c>
      <c r="D135" s="6" t="s">
        <v>589</v>
      </c>
      <c r="E135" s="7" t="s">
        <v>590</v>
      </c>
      <c r="F135" s="8" t="s">
        <v>489</v>
      </c>
      <c r="G135" s="9">
        <v>20.0</v>
      </c>
      <c r="H135" s="9">
        <v>20.0</v>
      </c>
      <c r="I135" s="9">
        <v>5.0</v>
      </c>
      <c r="J135" s="6">
        <f t="shared" si="9"/>
        <v>100</v>
      </c>
      <c r="K135" s="6" t="s">
        <v>178</v>
      </c>
      <c r="L135" s="7"/>
      <c r="M135" s="7" t="s">
        <v>518</v>
      </c>
      <c r="N135" s="7"/>
      <c r="O135" s="23" t="s">
        <v>591</v>
      </c>
      <c r="P135" s="6" t="str">
        <f t="shared" ref="P135:P136" si="10">IMAGE("https://m.media-amazon.com/images/W/MEDIAX_792452-T2/images/I/41A+MQfyyEL.jpg",1)</f>
        <v/>
      </c>
      <c r="Q135" s="11">
        <v>1.0</v>
      </c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45.0" customHeight="1">
      <c r="A136" s="6">
        <v>133.0</v>
      </c>
      <c r="B136" s="6" t="s">
        <v>173</v>
      </c>
      <c r="C136" s="6" t="s">
        <v>592</v>
      </c>
      <c r="D136" s="6" t="s">
        <v>593</v>
      </c>
      <c r="E136" s="7" t="s">
        <v>594</v>
      </c>
      <c r="F136" s="8" t="s">
        <v>489</v>
      </c>
      <c r="G136" s="9">
        <v>20.0</v>
      </c>
      <c r="H136" s="9">
        <v>20.0</v>
      </c>
      <c r="I136" s="9">
        <v>5.0</v>
      </c>
      <c r="J136" s="6">
        <f t="shared" si="9"/>
        <v>100</v>
      </c>
      <c r="K136" s="6" t="s">
        <v>178</v>
      </c>
      <c r="L136" s="7"/>
      <c r="M136" s="7" t="s">
        <v>518</v>
      </c>
      <c r="N136" s="7"/>
      <c r="O136" s="10" t="s">
        <v>595</v>
      </c>
      <c r="P136" s="6" t="str">
        <f t="shared" si="10"/>
        <v/>
      </c>
      <c r="Q136" s="11">
        <v>1.0</v>
      </c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45.0" customHeight="1">
      <c r="A137" s="6">
        <v>134.0</v>
      </c>
      <c r="B137" s="6" t="s">
        <v>173</v>
      </c>
      <c r="C137" s="6" t="s">
        <v>596</v>
      </c>
      <c r="D137" s="6" t="s">
        <v>597</v>
      </c>
      <c r="E137" s="7" t="s">
        <v>598</v>
      </c>
      <c r="F137" s="8" t="s">
        <v>489</v>
      </c>
      <c r="G137" s="9">
        <v>20.0</v>
      </c>
      <c r="H137" s="9">
        <v>20.0</v>
      </c>
      <c r="I137" s="9">
        <v>30.0</v>
      </c>
      <c r="J137" s="6">
        <f t="shared" si="9"/>
        <v>600</v>
      </c>
      <c r="K137" s="6" t="s">
        <v>178</v>
      </c>
      <c r="L137" s="7"/>
      <c r="M137" s="7" t="s">
        <v>599</v>
      </c>
      <c r="N137" s="7"/>
      <c r="O137" s="10" t="s">
        <v>600</v>
      </c>
      <c r="P137" s="6" t="str">
        <f>IMAGE("https://robu.in/wp-content/uploads/2018/11/LM358P-PDIP-8-High-Gain-Operational-Amplifier-Pack-of-5-ICs-9.jpg",1)</f>
        <v/>
      </c>
      <c r="Q137" s="11">
        <v>1.0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45.0" customHeight="1">
      <c r="A138" s="6">
        <v>135.0</v>
      </c>
      <c r="B138" s="6" t="s">
        <v>173</v>
      </c>
      <c r="C138" s="6" t="s">
        <v>601</v>
      </c>
      <c r="D138" s="6" t="s">
        <v>602</v>
      </c>
      <c r="E138" s="7" t="s">
        <v>603</v>
      </c>
      <c r="F138" s="8" t="s">
        <v>489</v>
      </c>
      <c r="G138" s="9">
        <v>500.0</v>
      </c>
      <c r="H138" s="9">
        <v>500.0</v>
      </c>
      <c r="I138" s="9">
        <v>1.5</v>
      </c>
      <c r="J138" s="6">
        <f t="shared" si="9"/>
        <v>750</v>
      </c>
      <c r="K138" s="6" t="s">
        <v>178</v>
      </c>
      <c r="L138" s="7"/>
      <c r="M138" s="7" t="s">
        <v>518</v>
      </c>
      <c r="N138" s="7"/>
      <c r="O138" s="10" t="s">
        <v>604</v>
      </c>
      <c r="P138" s="6" t="str">
        <f>IMAGE("https://rukminim2.flixcart.com/image/832/832/xif0q/electronic-hobby-kit/d/o/s/50-pcs-blue-led-5mm-kitsguru-original-imaghfqbjbn4hshz.jpeg?q=70",1)</f>
        <v/>
      </c>
      <c r="Q138" s="11">
        <v>1.0</v>
      </c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45.0" customHeight="1">
      <c r="A139" s="6">
        <v>136.0</v>
      </c>
      <c r="B139" s="6" t="s">
        <v>173</v>
      </c>
      <c r="C139" s="6" t="s">
        <v>605</v>
      </c>
      <c r="D139" s="6" t="s">
        <v>606</v>
      </c>
      <c r="E139" s="7" t="s">
        <v>607</v>
      </c>
      <c r="F139" s="8" t="s">
        <v>489</v>
      </c>
      <c r="G139" s="9">
        <v>500.0</v>
      </c>
      <c r="H139" s="9">
        <v>500.0</v>
      </c>
      <c r="I139" s="9">
        <v>1.5</v>
      </c>
      <c r="J139" s="6">
        <f t="shared" si="9"/>
        <v>750</v>
      </c>
      <c r="K139" s="6" t="s">
        <v>178</v>
      </c>
      <c r="L139" s="7"/>
      <c r="M139" s="7" t="s">
        <v>518</v>
      </c>
      <c r="N139" s="7"/>
      <c r="O139" s="10"/>
      <c r="P139" s="6" t="str">
        <f>IMAGE("https://rukminim2.flixcart.com/image/832/832/krz97rk0/electronic-hobby-kit/r/p/r/5mm-green-led-light-emitting-diode-highlight-for-arduino-pack-of-original-imag5n63ad6pnxqe.jpeg?q=70", 1)</f>
        <v/>
      </c>
      <c r="Q139" s="11">
        <v>1.0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45.0" customHeight="1">
      <c r="A140" s="6">
        <v>137.0</v>
      </c>
      <c r="B140" s="6" t="s">
        <v>173</v>
      </c>
      <c r="C140" s="6" t="s">
        <v>608</v>
      </c>
      <c r="D140" s="6" t="s">
        <v>609</v>
      </c>
      <c r="E140" s="7" t="s">
        <v>610</v>
      </c>
      <c r="F140" s="8" t="s">
        <v>489</v>
      </c>
      <c r="G140" s="9">
        <v>500.0</v>
      </c>
      <c r="H140" s="9">
        <v>500.0</v>
      </c>
      <c r="I140" s="9">
        <v>1.5</v>
      </c>
      <c r="J140" s="6">
        <f t="shared" si="9"/>
        <v>750</v>
      </c>
      <c r="K140" s="6" t="s">
        <v>178</v>
      </c>
      <c r="L140" s="7"/>
      <c r="M140" s="7" t="s">
        <v>518</v>
      </c>
      <c r="N140" s="7"/>
      <c r="O140" s="10" t="s">
        <v>611</v>
      </c>
      <c r="P140" s="6" t="str">
        <f>IMAGE("https://rukminim2.flixcart.com/image/832/832/ktrk13k0/electronic-hobby-kit/u/f/w/10-pcs-5mm-round-diffused-red-color-led-light-bulb-lamp-light-original-imag7ff6rchccrbz.jpeg?q=70", 1)</f>
        <v/>
      </c>
      <c r="Q140" s="11">
        <v>1.0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45.0" customHeight="1">
      <c r="A141" s="6">
        <v>138.0</v>
      </c>
      <c r="B141" s="6" t="s">
        <v>173</v>
      </c>
      <c r="C141" s="6" t="s">
        <v>612</v>
      </c>
      <c r="D141" s="6" t="s">
        <v>613</v>
      </c>
      <c r="E141" s="7" t="s">
        <v>614</v>
      </c>
      <c r="F141" s="8" t="s">
        <v>489</v>
      </c>
      <c r="G141" s="9">
        <v>500.0</v>
      </c>
      <c r="H141" s="9">
        <v>500.0</v>
      </c>
      <c r="I141" s="9">
        <v>1.5</v>
      </c>
      <c r="J141" s="6">
        <f t="shared" si="9"/>
        <v>750</v>
      </c>
      <c r="K141" s="6" t="s">
        <v>178</v>
      </c>
      <c r="L141" s="7"/>
      <c r="M141" s="7" t="s">
        <v>518</v>
      </c>
      <c r="N141" s="7"/>
      <c r="O141" s="10" t="s">
        <v>615</v>
      </c>
      <c r="P141" s="6" t="str">
        <f>IMAGE("https://robu.in/wp-content/uploads/2020/10/5mm-DIP-Led-White.png", 1)</f>
        <v/>
      </c>
      <c r="Q141" s="11">
        <v>1.0</v>
      </c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45.0" customHeight="1">
      <c r="A142" s="6">
        <v>139.0</v>
      </c>
      <c r="B142" s="6" t="s">
        <v>173</v>
      </c>
      <c r="C142" s="6" t="s">
        <v>616</v>
      </c>
      <c r="D142" s="6" t="s">
        <v>617</v>
      </c>
      <c r="E142" s="7" t="s">
        <v>618</v>
      </c>
      <c r="F142" s="8" t="s">
        <v>489</v>
      </c>
      <c r="G142" s="9">
        <v>500.0</v>
      </c>
      <c r="H142" s="9">
        <v>500.0</v>
      </c>
      <c r="I142" s="9">
        <v>1.5</v>
      </c>
      <c r="J142" s="6">
        <f t="shared" si="9"/>
        <v>750</v>
      </c>
      <c r="K142" s="6" t="s">
        <v>178</v>
      </c>
      <c r="L142" s="7"/>
      <c r="M142" s="7" t="s">
        <v>518</v>
      </c>
      <c r="N142" s="7"/>
      <c r="O142" s="18" t="s">
        <v>619</v>
      </c>
      <c r="P142" s="6" t="str">
        <f>IMAGE("https://robu.in/wp-content/uploads/2020/10/5-mm-DIP-Led-Yellow.png", 1)</f>
        <v/>
      </c>
      <c r="Q142" s="11">
        <v>1.0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45.0" customHeight="1">
      <c r="A143" s="6">
        <v>140.0</v>
      </c>
      <c r="B143" s="6" t="s">
        <v>173</v>
      </c>
      <c r="C143" s="6" t="s">
        <v>620</v>
      </c>
      <c r="D143" s="6" t="s">
        <v>621</v>
      </c>
      <c r="E143" s="7" t="s">
        <v>622</v>
      </c>
      <c r="F143" s="8" t="s">
        <v>489</v>
      </c>
      <c r="G143" s="9">
        <v>100.0</v>
      </c>
      <c r="H143" s="9">
        <v>100.0</v>
      </c>
      <c r="I143" s="9">
        <v>20.0</v>
      </c>
      <c r="J143" s="6">
        <f t="shared" si="9"/>
        <v>2000</v>
      </c>
      <c r="K143" s="6" t="s">
        <v>178</v>
      </c>
      <c r="L143" s="7"/>
      <c r="M143" s="7" t="s">
        <v>518</v>
      </c>
      <c r="N143" s="7"/>
      <c r="O143" s="10" t="s">
        <v>623</v>
      </c>
      <c r="P143" s="6" t="str">
        <f>IMAGE("https://image.robotistan.com/5mm-transparent-rgb-led-2633-11-O.jpg", 1)</f>
        <v/>
      </c>
      <c r="Q143" s="11">
        <v>1.0</v>
      </c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45.0" customHeight="1">
      <c r="A144" s="6">
        <v>141.0</v>
      </c>
      <c r="B144" s="6" t="s">
        <v>173</v>
      </c>
      <c r="C144" s="6" t="s">
        <v>624</v>
      </c>
      <c r="D144" s="6" t="s">
        <v>625</v>
      </c>
      <c r="E144" s="7" t="s">
        <v>626</v>
      </c>
      <c r="F144" s="8" t="s">
        <v>489</v>
      </c>
      <c r="G144" s="9">
        <v>20.0</v>
      </c>
      <c r="H144" s="9">
        <v>20.0</v>
      </c>
      <c r="I144" s="9">
        <v>15.0</v>
      </c>
      <c r="J144" s="6">
        <f t="shared" si="9"/>
        <v>300</v>
      </c>
      <c r="K144" s="6" t="s">
        <v>178</v>
      </c>
      <c r="L144" s="7"/>
      <c r="M144" s="7" t="s">
        <v>518</v>
      </c>
      <c r="N144" s="7"/>
      <c r="O144" s="10" t="s">
        <v>627</v>
      </c>
      <c r="P144" s="6" t="str">
        <f>IMAGE("https://5.imimg.com/data5/AH/OG/AM/SELLER-5278310/mkc-27701-changeover-reed-switch-500x500.jpg",1)</f>
        <v/>
      </c>
      <c r="Q144" s="11">
        <v>1.0</v>
      </c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45.0" customHeight="1">
      <c r="A145" s="6">
        <v>142.0</v>
      </c>
      <c r="B145" s="6" t="s">
        <v>173</v>
      </c>
      <c r="C145" s="6" t="s">
        <v>628</v>
      </c>
      <c r="D145" s="6" t="s">
        <v>629</v>
      </c>
      <c r="E145" s="7" t="s">
        <v>630</v>
      </c>
      <c r="F145" s="8" t="s">
        <v>489</v>
      </c>
      <c r="G145" s="9">
        <v>20.0</v>
      </c>
      <c r="H145" s="9">
        <v>20.0</v>
      </c>
      <c r="I145" s="9">
        <v>20.0</v>
      </c>
      <c r="J145" s="6">
        <f t="shared" si="9"/>
        <v>400</v>
      </c>
      <c r="K145" s="6" t="s">
        <v>178</v>
      </c>
      <c r="L145" s="7"/>
      <c r="M145" s="7" t="s">
        <v>518</v>
      </c>
      <c r="N145" s="7"/>
      <c r="O145" s="10" t="s">
        <v>631</v>
      </c>
      <c r="P145" s="6" t="str">
        <f t="shared" ref="P145:P146" si="11">IMAGE("https://www.electronicscomp.com/image/cache/catalog/irfz44-n-channel-power-mosfet-1-800x800.JPG",1)</f>
        <v/>
      </c>
      <c r="Q145" s="11">
        <v>1.0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45.0" customHeight="1">
      <c r="A146" s="6">
        <v>143.0</v>
      </c>
      <c r="B146" s="6" t="s">
        <v>173</v>
      </c>
      <c r="C146" s="6" t="s">
        <v>632</v>
      </c>
      <c r="D146" s="6" t="s">
        <v>633</v>
      </c>
      <c r="E146" s="7" t="s">
        <v>634</v>
      </c>
      <c r="F146" s="8" t="s">
        <v>489</v>
      </c>
      <c r="G146" s="9">
        <v>20.0</v>
      </c>
      <c r="H146" s="9">
        <v>20.0</v>
      </c>
      <c r="I146" s="9">
        <v>30.0</v>
      </c>
      <c r="J146" s="6">
        <f t="shared" si="9"/>
        <v>600</v>
      </c>
      <c r="K146" s="6" t="s">
        <v>178</v>
      </c>
      <c r="L146" s="7"/>
      <c r="M146" s="7" t="s">
        <v>518</v>
      </c>
      <c r="N146" s="7"/>
      <c r="O146" s="10" t="s">
        <v>635</v>
      </c>
      <c r="P146" s="6" t="str">
        <f t="shared" si="11"/>
        <v/>
      </c>
      <c r="Q146" s="11">
        <v>1.0</v>
      </c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45.0" customHeight="1">
      <c r="A147" s="6">
        <v>144.0</v>
      </c>
      <c r="B147" s="6" t="s">
        <v>173</v>
      </c>
      <c r="C147" s="6" t="s">
        <v>636</v>
      </c>
      <c r="D147" s="6" t="s">
        <v>637</v>
      </c>
      <c r="E147" s="7" t="s">
        <v>638</v>
      </c>
      <c r="F147" s="8" t="s">
        <v>489</v>
      </c>
      <c r="G147" s="9">
        <v>20.0</v>
      </c>
      <c r="H147" s="9">
        <v>20.0</v>
      </c>
      <c r="I147" s="9">
        <v>50.0</v>
      </c>
      <c r="J147" s="6">
        <f t="shared" si="9"/>
        <v>1000</v>
      </c>
      <c r="K147" s="6" t="s">
        <v>178</v>
      </c>
      <c r="L147" s="7"/>
      <c r="M147" s="7" t="s">
        <v>193</v>
      </c>
      <c r="N147" s="7"/>
      <c r="O147" s="10" t="s">
        <v>639</v>
      </c>
      <c r="P147" s="6" t="str">
        <f>IMAGE("https://5.imimg.com/data5/FI/FV/DZ/SELLER-22718366/27-mm-3p-piezoelectric-buzzer-plate-500x500.jpg",1)</f>
        <v/>
      </c>
      <c r="Q147" s="11">
        <v>1.0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45.0" customHeight="1">
      <c r="A148" s="6">
        <v>145.0</v>
      </c>
      <c r="B148" s="6" t="s">
        <v>173</v>
      </c>
      <c r="C148" s="6" t="s">
        <v>640</v>
      </c>
      <c r="D148" s="6" t="s">
        <v>641</v>
      </c>
      <c r="E148" s="7" t="s">
        <v>642</v>
      </c>
      <c r="F148" s="8" t="s">
        <v>489</v>
      </c>
      <c r="G148" s="9">
        <v>20.0</v>
      </c>
      <c r="H148" s="9">
        <v>20.0</v>
      </c>
      <c r="I148" s="9">
        <v>20.0</v>
      </c>
      <c r="J148" s="6">
        <f t="shared" si="9"/>
        <v>400</v>
      </c>
      <c r="K148" s="6" t="s">
        <v>178</v>
      </c>
      <c r="L148" s="7"/>
      <c r="M148" s="7" t="s">
        <v>193</v>
      </c>
      <c r="N148" s="7"/>
      <c r="O148" s="10" t="s">
        <v>643</v>
      </c>
      <c r="P148" s="6" t="str">
        <f t="shared" ref="P148:P151" si="12">IMAGE("https://m.media-amazon.com/images/I/31ALofIyvBL._SX466_.jpg",1)</f>
        <v/>
      </c>
      <c r="Q148" s="11">
        <v>1.0</v>
      </c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45.0" customHeight="1">
      <c r="A149" s="6">
        <v>146.0</v>
      </c>
      <c r="B149" s="6" t="s">
        <v>173</v>
      </c>
      <c r="C149" s="6" t="s">
        <v>644</v>
      </c>
      <c r="D149" s="6" t="s">
        <v>645</v>
      </c>
      <c r="E149" s="7" t="s">
        <v>646</v>
      </c>
      <c r="F149" s="8" t="s">
        <v>489</v>
      </c>
      <c r="G149" s="9">
        <v>20.0</v>
      </c>
      <c r="H149" s="9">
        <v>20.0</v>
      </c>
      <c r="I149" s="9">
        <v>15.0</v>
      </c>
      <c r="J149" s="6">
        <f t="shared" si="9"/>
        <v>300</v>
      </c>
      <c r="K149" s="6" t="s">
        <v>178</v>
      </c>
      <c r="L149" s="7"/>
      <c r="M149" s="7" t="s">
        <v>193</v>
      </c>
      <c r="N149" s="7"/>
      <c r="O149" s="10" t="s">
        <v>647</v>
      </c>
      <c r="P149" s="6" t="str">
        <f t="shared" si="12"/>
        <v/>
      </c>
      <c r="Q149" s="11">
        <v>1.0</v>
      </c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45.0" customHeight="1">
      <c r="A150" s="6">
        <v>147.0</v>
      </c>
      <c r="B150" s="6" t="s">
        <v>173</v>
      </c>
      <c r="C150" s="6" t="s">
        <v>648</v>
      </c>
      <c r="D150" s="6" t="s">
        <v>649</v>
      </c>
      <c r="E150" s="7" t="s">
        <v>650</v>
      </c>
      <c r="F150" s="8" t="s">
        <v>489</v>
      </c>
      <c r="G150" s="9">
        <v>20.0</v>
      </c>
      <c r="H150" s="9">
        <v>20.0</v>
      </c>
      <c r="I150" s="9">
        <v>10.0</v>
      </c>
      <c r="J150" s="6">
        <f t="shared" si="9"/>
        <v>200</v>
      </c>
      <c r="K150" s="6" t="s">
        <v>178</v>
      </c>
      <c r="L150" s="7"/>
      <c r="M150" s="7" t="s">
        <v>193</v>
      </c>
      <c r="N150" s="7"/>
      <c r="O150" s="10" t="s">
        <v>651</v>
      </c>
      <c r="P150" s="6" t="str">
        <f t="shared" si="12"/>
        <v/>
      </c>
      <c r="Q150" s="11">
        <v>1.0</v>
      </c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45.0" customHeight="1">
      <c r="A151" s="6">
        <v>148.0</v>
      </c>
      <c r="B151" s="6" t="s">
        <v>173</v>
      </c>
      <c r="C151" s="6" t="s">
        <v>652</v>
      </c>
      <c r="D151" s="6" t="s">
        <v>653</v>
      </c>
      <c r="E151" s="7" t="s">
        <v>654</v>
      </c>
      <c r="F151" s="8" t="s">
        <v>489</v>
      </c>
      <c r="G151" s="9">
        <v>20.0</v>
      </c>
      <c r="H151" s="9">
        <v>20.0</v>
      </c>
      <c r="I151" s="9">
        <v>25.0</v>
      </c>
      <c r="J151" s="6">
        <f t="shared" si="9"/>
        <v>500</v>
      </c>
      <c r="K151" s="6" t="s">
        <v>178</v>
      </c>
      <c r="L151" s="7"/>
      <c r="M151" s="7" t="s">
        <v>193</v>
      </c>
      <c r="N151" s="7"/>
      <c r="O151" s="10" t="s">
        <v>655</v>
      </c>
      <c r="P151" s="6" t="str">
        <f t="shared" si="12"/>
        <v/>
      </c>
      <c r="Q151" s="11">
        <v>1.0</v>
      </c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45.0" customHeight="1">
      <c r="A152" s="6">
        <v>149.0</v>
      </c>
      <c r="B152" s="6" t="s">
        <v>173</v>
      </c>
      <c r="C152" s="6" t="s">
        <v>656</v>
      </c>
      <c r="D152" s="6" t="s">
        <v>657</v>
      </c>
      <c r="E152" s="7" t="s">
        <v>658</v>
      </c>
      <c r="F152" s="8" t="s">
        <v>489</v>
      </c>
      <c r="G152" s="9">
        <v>100.0</v>
      </c>
      <c r="H152" s="9">
        <v>100.0</v>
      </c>
      <c r="I152" s="9">
        <v>1.0</v>
      </c>
      <c r="J152" s="6">
        <f t="shared" si="9"/>
        <v>100</v>
      </c>
      <c r="K152" s="6" t="s">
        <v>178</v>
      </c>
      <c r="L152" s="7"/>
      <c r="M152" s="7" t="s">
        <v>518</v>
      </c>
      <c r="N152" s="7"/>
      <c r="O152" s="10" t="s">
        <v>659</v>
      </c>
      <c r="P152" s="6" t="str">
        <f t="shared" ref="P152:P193" si="13">IMAGE("https://projectpoint.in/image/cache/catalog/CFR_Resistor_Kit-672x504.jpg",1)</f>
        <v/>
      </c>
      <c r="Q152" s="11">
        <v>1.0</v>
      </c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45.0" customHeight="1">
      <c r="A153" s="6">
        <v>150.0</v>
      </c>
      <c r="B153" s="6" t="s">
        <v>173</v>
      </c>
      <c r="C153" s="6" t="s">
        <v>660</v>
      </c>
      <c r="D153" s="6" t="s">
        <v>661</v>
      </c>
      <c r="E153" s="7" t="s">
        <v>662</v>
      </c>
      <c r="F153" s="8" t="s">
        <v>489</v>
      </c>
      <c r="G153" s="9">
        <v>100.0</v>
      </c>
      <c r="H153" s="9">
        <v>100.0</v>
      </c>
      <c r="I153" s="9">
        <v>1.0</v>
      </c>
      <c r="J153" s="6">
        <f t="shared" si="9"/>
        <v>100</v>
      </c>
      <c r="K153" s="6" t="s">
        <v>178</v>
      </c>
      <c r="L153" s="7"/>
      <c r="M153" s="7" t="s">
        <v>518</v>
      </c>
      <c r="N153" s="7"/>
      <c r="O153" s="10" t="s">
        <v>663</v>
      </c>
      <c r="P153" s="6" t="str">
        <f t="shared" si="13"/>
        <v/>
      </c>
      <c r="Q153" s="11">
        <v>1.0</v>
      </c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45.0" customHeight="1">
      <c r="A154" s="6">
        <v>151.0</v>
      </c>
      <c r="B154" s="6" t="s">
        <v>173</v>
      </c>
      <c r="C154" s="6" t="s">
        <v>664</v>
      </c>
      <c r="D154" s="6" t="s">
        <v>665</v>
      </c>
      <c r="E154" s="7" t="s">
        <v>666</v>
      </c>
      <c r="F154" s="8" t="s">
        <v>489</v>
      </c>
      <c r="G154" s="9">
        <v>100.0</v>
      </c>
      <c r="H154" s="9">
        <v>100.0</v>
      </c>
      <c r="I154" s="9">
        <v>1.0</v>
      </c>
      <c r="J154" s="6">
        <f t="shared" si="9"/>
        <v>100</v>
      </c>
      <c r="K154" s="6" t="s">
        <v>178</v>
      </c>
      <c r="L154" s="7"/>
      <c r="M154" s="7" t="s">
        <v>518</v>
      </c>
      <c r="N154" s="7"/>
      <c r="O154" s="10" t="s">
        <v>667</v>
      </c>
      <c r="P154" s="6" t="str">
        <f t="shared" si="13"/>
        <v/>
      </c>
      <c r="Q154" s="11">
        <v>1.0</v>
      </c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45.0" customHeight="1">
      <c r="A155" s="6">
        <v>152.0</v>
      </c>
      <c r="B155" s="6" t="s">
        <v>173</v>
      </c>
      <c r="C155" s="6" t="s">
        <v>668</v>
      </c>
      <c r="D155" s="6" t="s">
        <v>669</v>
      </c>
      <c r="E155" s="7" t="s">
        <v>670</v>
      </c>
      <c r="F155" s="8" t="s">
        <v>489</v>
      </c>
      <c r="G155" s="9">
        <v>100.0</v>
      </c>
      <c r="H155" s="9">
        <v>100.0</v>
      </c>
      <c r="I155" s="9">
        <v>1.0</v>
      </c>
      <c r="J155" s="6">
        <f t="shared" si="9"/>
        <v>100</v>
      </c>
      <c r="K155" s="6" t="s">
        <v>178</v>
      </c>
      <c r="L155" s="7"/>
      <c r="M155" s="7" t="s">
        <v>518</v>
      </c>
      <c r="N155" s="7"/>
      <c r="O155" s="10" t="s">
        <v>671</v>
      </c>
      <c r="P155" s="6" t="str">
        <f t="shared" si="13"/>
        <v/>
      </c>
      <c r="Q155" s="11">
        <v>1.0</v>
      </c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45.0" customHeight="1">
      <c r="A156" s="6">
        <v>153.0</v>
      </c>
      <c r="B156" s="6" t="s">
        <v>173</v>
      </c>
      <c r="C156" s="6" t="s">
        <v>672</v>
      </c>
      <c r="D156" s="6" t="s">
        <v>673</v>
      </c>
      <c r="E156" s="7" t="s">
        <v>674</v>
      </c>
      <c r="F156" s="8" t="s">
        <v>489</v>
      </c>
      <c r="G156" s="9">
        <v>100.0</v>
      </c>
      <c r="H156" s="9">
        <v>100.0</v>
      </c>
      <c r="I156" s="9">
        <v>1.0</v>
      </c>
      <c r="J156" s="6">
        <f t="shared" si="9"/>
        <v>100</v>
      </c>
      <c r="K156" s="6" t="s">
        <v>178</v>
      </c>
      <c r="L156" s="7"/>
      <c r="M156" s="7" t="s">
        <v>518</v>
      </c>
      <c r="N156" s="7"/>
      <c r="O156" s="10" t="s">
        <v>675</v>
      </c>
      <c r="P156" s="6" t="str">
        <f t="shared" si="13"/>
        <v/>
      </c>
      <c r="Q156" s="11">
        <v>1.0</v>
      </c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45.0" customHeight="1">
      <c r="A157" s="6">
        <v>154.0</v>
      </c>
      <c r="B157" s="6" t="s">
        <v>173</v>
      </c>
      <c r="C157" s="6" t="s">
        <v>676</v>
      </c>
      <c r="D157" s="6" t="s">
        <v>677</v>
      </c>
      <c r="E157" s="7" t="s">
        <v>678</v>
      </c>
      <c r="F157" s="8" t="s">
        <v>489</v>
      </c>
      <c r="G157" s="9">
        <v>100.0</v>
      </c>
      <c r="H157" s="9">
        <v>100.0</v>
      </c>
      <c r="I157" s="9">
        <v>1.0</v>
      </c>
      <c r="J157" s="6">
        <f t="shared" si="9"/>
        <v>100</v>
      </c>
      <c r="K157" s="6" t="s">
        <v>178</v>
      </c>
      <c r="L157" s="7"/>
      <c r="M157" s="7" t="s">
        <v>518</v>
      </c>
      <c r="N157" s="7"/>
      <c r="O157" s="10" t="s">
        <v>679</v>
      </c>
      <c r="P157" s="6" t="str">
        <f t="shared" si="13"/>
        <v/>
      </c>
      <c r="Q157" s="11">
        <v>1.0</v>
      </c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45.0" customHeight="1">
      <c r="A158" s="6">
        <v>155.0</v>
      </c>
      <c r="B158" s="6" t="s">
        <v>173</v>
      </c>
      <c r="C158" s="6" t="s">
        <v>680</v>
      </c>
      <c r="D158" s="6" t="s">
        <v>681</v>
      </c>
      <c r="E158" s="7" t="s">
        <v>682</v>
      </c>
      <c r="F158" s="8" t="s">
        <v>489</v>
      </c>
      <c r="G158" s="9">
        <v>100.0</v>
      </c>
      <c r="H158" s="9">
        <v>100.0</v>
      </c>
      <c r="I158" s="9">
        <v>1.0</v>
      </c>
      <c r="J158" s="6">
        <f t="shared" si="9"/>
        <v>100</v>
      </c>
      <c r="K158" s="6" t="s">
        <v>178</v>
      </c>
      <c r="L158" s="7"/>
      <c r="M158" s="7" t="s">
        <v>518</v>
      </c>
      <c r="N158" s="7"/>
      <c r="O158" s="10" t="s">
        <v>683</v>
      </c>
      <c r="P158" s="6" t="str">
        <f t="shared" si="13"/>
        <v/>
      </c>
      <c r="Q158" s="11">
        <v>1.0</v>
      </c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45.0" customHeight="1">
      <c r="A159" s="6">
        <v>156.0</v>
      </c>
      <c r="B159" s="6" t="s">
        <v>173</v>
      </c>
      <c r="C159" s="6" t="s">
        <v>684</v>
      </c>
      <c r="D159" s="6" t="s">
        <v>685</v>
      </c>
      <c r="E159" s="7" t="s">
        <v>686</v>
      </c>
      <c r="F159" s="8" t="s">
        <v>489</v>
      </c>
      <c r="G159" s="9">
        <v>100.0</v>
      </c>
      <c r="H159" s="9">
        <v>100.0</v>
      </c>
      <c r="I159" s="9">
        <v>1.0</v>
      </c>
      <c r="J159" s="6">
        <f t="shared" si="9"/>
        <v>100</v>
      </c>
      <c r="K159" s="6" t="s">
        <v>178</v>
      </c>
      <c r="L159" s="7"/>
      <c r="M159" s="7" t="s">
        <v>518</v>
      </c>
      <c r="N159" s="7"/>
      <c r="O159" s="10" t="s">
        <v>687</v>
      </c>
      <c r="P159" s="6" t="str">
        <f t="shared" si="13"/>
        <v/>
      </c>
      <c r="Q159" s="11">
        <v>1.0</v>
      </c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45.0" customHeight="1">
      <c r="A160" s="6">
        <v>157.0</v>
      </c>
      <c r="B160" s="6" t="s">
        <v>173</v>
      </c>
      <c r="C160" s="6" t="s">
        <v>688</v>
      </c>
      <c r="D160" s="6" t="s">
        <v>689</v>
      </c>
      <c r="E160" s="7" t="s">
        <v>690</v>
      </c>
      <c r="F160" s="8" t="s">
        <v>489</v>
      </c>
      <c r="G160" s="9">
        <v>100.0</v>
      </c>
      <c r="H160" s="9">
        <v>100.0</v>
      </c>
      <c r="I160" s="9">
        <v>1.0</v>
      </c>
      <c r="J160" s="6">
        <f t="shared" si="9"/>
        <v>100</v>
      </c>
      <c r="K160" s="6" t="s">
        <v>178</v>
      </c>
      <c r="L160" s="7"/>
      <c r="M160" s="7" t="s">
        <v>518</v>
      </c>
      <c r="N160" s="7"/>
      <c r="O160" s="10" t="s">
        <v>691</v>
      </c>
      <c r="P160" s="6" t="str">
        <f t="shared" si="13"/>
        <v/>
      </c>
      <c r="Q160" s="11">
        <v>1.0</v>
      </c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45.0" customHeight="1">
      <c r="A161" s="6">
        <v>158.0</v>
      </c>
      <c r="B161" s="6" t="s">
        <v>173</v>
      </c>
      <c r="C161" s="6" t="s">
        <v>692</v>
      </c>
      <c r="D161" s="6" t="s">
        <v>693</v>
      </c>
      <c r="E161" s="7" t="s">
        <v>694</v>
      </c>
      <c r="F161" s="8" t="s">
        <v>489</v>
      </c>
      <c r="G161" s="9">
        <v>100.0</v>
      </c>
      <c r="H161" s="9">
        <v>100.0</v>
      </c>
      <c r="I161" s="9">
        <v>1.0</v>
      </c>
      <c r="J161" s="6">
        <f t="shared" si="9"/>
        <v>100</v>
      </c>
      <c r="K161" s="6" t="s">
        <v>178</v>
      </c>
      <c r="L161" s="7"/>
      <c r="M161" s="7" t="s">
        <v>518</v>
      </c>
      <c r="N161" s="7"/>
      <c r="O161" s="10" t="s">
        <v>695</v>
      </c>
      <c r="P161" s="6" t="str">
        <f t="shared" si="13"/>
        <v/>
      </c>
      <c r="Q161" s="11">
        <v>1.0</v>
      </c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45.0" customHeight="1">
      <c r="A162" s="6">
        <v>159.0</v>
      </c>
      <c r="B162" s="6" t="s">
        <v>173</v>
      </c>
      <c r="C162" s="6" t="s">
        <v>696</v>
      </c>
      <c r="D162" s="6" t="s">
        <v>697</v>
      </c>
      <c r="E162" s="7" t="s">
        <v>698</v>
      </c>
      <c r="F162" s="8" t="s">
        <v>489</v>
      </c>
      <c r="G162" s="9">
        <v>100.0</v>
      </c>
      <c r="H162" s="9">
        <v>100.0</v>
      </c>
      <c r="I162" s="9">
        <v>1.0</v>
      </c>
      <c r="J162" s="6">
        <f t="shared" si="9"/>
        <v>100</v>
      </c>
      <c r="K162" s="6" t="s">
        <v>178</v>
      </c>
      <c r="L162" s="7"/>
      <c r="M162" s="7" t="s">
        <v>518</v>
      </c>
      <c r="N162" s="7"/>
      <c r="O162" s="10" t="s">
        <v>699</v>
      </c>
      <c r="P162" s="6" t="str">
        <f t="shared" si="13"/>
        <v/>
      </c>
      <c r="Q162" s="14">
        <v>1.0</v>
      </c>
      <c r="R162" s="12"/>
      <c r="S162" s="12"/>
      <c r="T162" s="5"/>
      <c r="U162" s="5"/>
      <c r="V162" s="5"/>
      <c r="W162" s="5"/>
      <c r="X162" s="5"/>
      <c r="Y162" s="5"/>
      <c r="Z162" s="5"/>
      <c r="AA162" s="5"/>
    </row>
    <row r="163" ht="45.0" customHeight="1">
      <c r="A163" s="6">
        <v>160.0</v>
      </c>
      <c r="B163" s="6" t="s">
        <v>173</v>
      </c>
      <c r="C163" s="6" t="s">
        <v>700</v>
      </c>
      <c r="D163" s="6" t="s">
        <v>701</v>
      </c>
      <c r="E163" s="7" t="s">
        <v>702</v>
      </c>
      <c r="F163" s="8" t="s">
        <v>489</v>
      </c>
      <c r="G163" s="9">
        <v>100.0</v>
      </c>
      <c r="H163" s="9">
        <v>100.0</v>
      </c>
      <c r="I163" s="9">
        <v>1.0</v>
      </c>
      <c r="J163" s="6">
        <f t="shared" si="9"/>
        <v>100</v>
      </c>
      <c r="K163" s="6" t="s">
        <v>178</v>
      </c>
      <c r="L163" s="7"/>
      <c r="M163" s="7" t="s">
        <v>518</v>
      </c>
      <c r="N163" s="7"/>
      <c r="O163" s="10" t="s">
        <v>703</v>
      </c>
      <c r="P163" s="6" t="str">
        <f t="shared" si="13"/>
        <v/>
      </c>
      <c r="Q163" s="11">
        <v>1.0</v>
      </c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45.0" customHeight="1">
      <c r="A164" s="6">
        <v>161.0</v>
      </c>
      <c r="B164" s="6" t="s">
        <v>173</v>
      </c>
      <c r="C164" s="6" t="s">
        <v>704</v>
      </c>
      <c r="D164" s="6" t="s">
        <v>705</v>
      </c>
      <c r="E164" s="7" t="s">
        <v>706</v>
      </c>
      <c r="F164" s="8" t="s">
        <v>489</v>
      </c>
      <c r="G164" s="9">
        <v>100.0</v>
      </c>
      <c r="H164" s="9">
        <v>100.0</v>
      </c>
      <c r="I164" s="9">
        <v>1.0</v>
      </c>
      <c r="J164" s="6">
        <f t="shared" si="9"/>
        <v>100</v>
      </c>
      <c r="K164" s="6" t="s">
        <v>178</v>
      </c>
      <c r="L164" s="7"/>
      <c r="M164" s="7" t="s">
        <v>518</v>
      </c>
      <c r="N164" s="7"/>
      <c r="O164" s="10" t="s">
        <v>707</v>
      </c>
      <c r="P164" s="6" t="str">
        <f t="shared" si="13"/>
        <v/>
      </c>
      <c r="Q164" s="11">
        <v>1.0</v>
      </c>
      <c r="R164" s="5"/>
      <c r="S164" s="5"/>
      <c r="T164" s="12"/>
      <c r="U164" s="12"/>
      <c r="V164" s="12"/>
      <c r="W164" s="12"/>
      <c r="X164" s="12"/>
      <c r="Y164" s="12"/>
      <c r="Z164" s="12"/>
      <c r="AA164" s="12"/>
    </row>
    <row r="165" ht="45.0" customHeight="1">
      <c r="A165" s="6">
        <v>162.0</v>
      </c>
      <c r="B165" s="6" t="s">
        <v>173</v>
      </c>
      <c r="C165" s="6" t="s">
        <v>708</v>
      </c>
      <c r="D165" s="6" t="s">
        <v>709</v>
      </c>
      <c r="E165" s="7" t="s">
        <v>710</v>
      </c>
      <c r="F165" s="8" t="s">
        <v>489</v>
      </c>
      <c r="G165" s="9">
        <v>100.0</v>
      </c>
      <c r="H165" s="9">
        <v>100.0</v>
      </c>
      <c r="I165" s="9">
        <v>1.0</v>
      </c>
      <c r="J165" s="6">
        <f t="shared" si="9"/>
        <v>100</v>
      </c>
      <c r="K165" s="6" t="s">
        <v>178</v>
      </c>
      <c r="L165" s="7"/>
      <c r="M165" s="7" t="s">
        <v>518</v>
      </c>
      <c r="N165" s="7"/>
      <c r="O165" s="10" t="s">
        <v>711</v>
      </c>
      <c r="P165" s="6" t="str">
        <f t="shared" si="13"/>
        <v/>
      </c>
      <c r="Q165" s="11">
        <v>1.0</v>
      </c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45.0" customHeight="1">
      <c r="A166" s="6">
        <v>163.0</v>
      </c>
      <c r="B166" s="6" t="s">
        <v>173</v>
      </c>
      <c r="C166" s="6" t="s">
        <v>712</v>
      </c>
      <c r="D166" s="6" t="s">
        <v>713</v>
      </c>
      <c r="E166" s="7" t="s">
        <v>714</v>
      </c>
      <c r="F166" s="8" t="s">
        <v>489</v>
      </c>
      <c r="G166" s="9">
        <v>100.0</v>
      </c>
      <c r="H166" s="9">
        <v>100.0</v>
      </c>
      <c r="I166" s="9">
        <v>1.0</v>
      </c>
      <c r="J166" s="6">
        <f t="shared" si="9"/>
        <v>100</v>
      </c>
      <c r="K166" s="6" t="s">
        <v>178</v>
      </c>
      <c r="L166" s="7"/>
      <c r="M166" s="7" t="s">
        <v>518</v>
      </c>
      <c r="N166" s="7"/>
      <c r="O166" s="10" t="s">
        <v>715</v>
      </c>
      <c r="P166" s="6" t="str">
        <f t="shared" si="13"/>
        <v/>
      </c>
      <c r="Q166" s="11">
        <v>1.0</v>
      </c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45.0" customHeight="1">
      <c r="A167" s="6">
        <v>164.0</v>
      </c>
      <c r="B167" s="6" t="s">
        <v>173</v>
      </c>
      <c r="C167" s="6" t="s">
        <v>716</v>
      </c>
      <c r="D167" s="6" t="s">
        <v>717</v>
      </c>
      <c r="E167" s="7" t="s">
        <v>718</v>
      </c>
      <c r="F167" s="8" t="s">
        <v>489</v>
      </c>
      <c r="G167" s="9">
        <v>100.0</v>
      </c>
      <c r="H167" s="9">
        <v>100.0</v>
      </c>
      <c r="I167" s="9">
        <v>1.0</v>
      </c>
      <c r="J167" s="6">
        <f t="shared" si="9"/>
        <v>100</v>
      </c>
      <c r="K167" s="6" t="s">
        <v>178</v>
      </c>
      <c r="L167" s="7"/>
      <c r="M167" s="7" t="s">
        <v>518</v>
      </c>
      <c r="N167" s="7"/>
      <c r="O167" s="10" t="s">
        <v>719</v>
      </c>
      <c r="P167" s="6" t="str">
        <f t="shared" si="13"/>
        <v/>
      </c>
      <c r="Q167" s="11">
        <v>1.0</v>
      </c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45.0" customHeight="1">
      <c r="A168" s="6">
        <v>165.0</v>
      </c>
      <c r="B168" s="6" t="s">
        <v>173</v>
      </c>
      <c r="C168" s="6" t="s">
        <v>720</v>
      </c>
      <c r="D168" s="6" t="s">
        <v>721</v>
      </c>
      <c r="E168" s="7" t="s">
        <v>722</v>
      </c>
      <c r="F168" s="8" t="s">
        <v>489</v>
      </c>
      <c r="G168" s="9">
        <v>100.0</v>
      </c>
      <c r="H168" s="9">
        <v>100.0</v>
      </c>
      <c r="I168" s="9">
        <v>1.0</v>
      </c>
      <c r="J168" s="6">
        <f t="shared" si="9"/>
        <v>100</v>
      </c>
      <c r="K168" s="6" t="s">
        <v>178</v>
      </c>
      <c r="L168" s="7"/>
      <c r="M168" s="7" t="s">
        <v>518</v>
      </c>
      <c r="N168" s="7"/>
      <c r="O168" s="10" t="s">
        <v>723</v>
      </c>
      <c r="P168" s="6" t="str">
        <f t="shared" si="13"/>
        <v/>
      </c>
      <c r="Q168" s="11">
        <v>1.0</v>
      </c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45.0" customHeight="1">
      <c r="A169" s="6">
        <v>166.0</v>
      </c>
      <c r="B169" s="6" t="s">
        <v>173</v>
      </c>
      <c r="C169" s="6" t="s">
        <v>724</v>
      </c>
      <c r="D169" s="6" t="s">
        <v>725</v>
      </c>
      <c r="E169" s="7" t="s">
        <v>726</v>
      </c>
      <c r="F169" s="8" t="s">
        <v>489</v>
      </c>
      <c r="G169" s="9">
        <v>100.0</v>
      </c>
      <c r="H169" s="9">
        <v>100.0</v>
      </c>
      <c r="I169" s="9">
        <v>1.0</v>
      </c>
      <c r="J169" s="6">
        <f t="shared" si="9"/>
        <v>100</v>
      </c>
      <c r="K169" s="6" t="s">
        <v>178</v>
      </c>
      <c r="L169" s="7"/>
      <c r="M169" s="7" t="s">
        <v>518</v>
      </c>
      <c r="N169" s="7"/>
      <c r="O169" s="10" t="s">
        <v>727</v>
      </c>
      <c r="P169" s="6" t="str">
        <f t="shared" si="13"/>
        <v/>
      </c>
      <c r="Q169" s="11">
        <v>1.0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45.0" customHeight="1">
      <c r="A170" s="6">
        <v>167.0</v>
      </c>
      <c r="B170" s="6" t="s">
        <v>173</v>
      </c>
      <c r="C170" s="6" t="s">
        <v>728</v>
      </c>
      <c r="D170" s="6" t="s">
        <v>729</v>
      </c>
      <c r="E170" s="7" t="s">
        <v>730</v>
      </c>
      <c r="F170" s="8" t="s">
        <v>489</v>
      </c>
      <c r="G170" s="9">
        <v>100.0</v>
      </c>
      <c r="H170" s="9">
        <v>100.0</v>
      </c>
      <c r="I170" s="9">
        <v>1.0</v>
      </c>
      <c r="J170" s="6">
        <f t="shared" si="9"/>
        <v>100</v>
      </c>
      <c r="K170" s="6" t="s">
        <v>178</v>
      </c>
      <c r="L170" s="7"/>
      <c r="M170" s="7" t="s">
        <v>518</v>
      </c>
      <c r="N170" s="7"/>
      <c r="O170" s="10" t="s">
        <v>731</v>
      </c>
      <c r="P170" s="6" t="str">
        <f t="shared" si="13"/>
        <v/>
      </c>
      <c r="Q170" s="11">
        <v>1.0</v>
      </c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45.0" customHeight="1">
      <c r="A171" s="6">
        <v>168.0</v>
      </c>
      <c r="B171" s="6" t="s">
        <v>173</v>
      </c>
      <c r="C171" s="6" t="s">
        <v>732</v>
      </c>
      <c r="D171" s="6" t="s">
        <v>733</v>
      </c>
      <c r="E171" s="7" t="s">
        <v>734</v>
      </c>
      <c r="F171" s="8" t="s">
        <v>489</v>
      </c>
      <c r="G171" s="9">
        <v>100.0</v>
      </c>
      <c r="H171" s="9">
        <v>100.0</v>
      </c>
      <c r="I171" s="9">
        <v>1.0</v>
      </c>
      <c r="J171" s="6">
        <f t="shared" si="9"/>
        <v>100</v>
      </c>
      <c r="K171" s="6" t="s">
        <v>178</v>
      </c>
      <c r="L171" s="7"/>
      <c r="M171" s="7" t="s">
        <v>518</v>
      </c>
      <c r="N171" s="7"/>
      <c r="O171" s="10" t="s">
        <v>735</v>
      </c>
      <c r="P171" s="6" t="str">
        <f t="shared" si="13"/>
        <v/>
      </c>
      <c r="Q171" s="14">
        <v>1.0</v>
      </c>
      <c r="R171" s="12"/>
      <c r="S171" s="12"/>
      <c r="T171" s="5"/>
      <c r="U171" s="5"/>
      <c r="V171" s="5"/>
      <c r="W171" s="5"/>
      <c r="X171" s="5"/>
      <c r="Y171" s="5"/>
      <c r="Z171" s="5"/>
      <c r="AA171" s="5"/>
    </row>
    <row r="172" ht="45.0" customHeight="1">
      <c r="A172" s="6">
        <v>169.0</v>
      </c>
      <c r="B172" s="6" t="s">
        <v>173</v>
      </c>
      <c r="C172" s="6" t="s">
        <v>736</v>
      </c>
      <c r="D172" s="6" t="s">
        <v>737</v>
      </c>
      <c r="E172" s="7" t="s">
        <v>738</v>
      </c>
      <c r="F172" s="8" t="s">
        <v>489</v>
      </c>
      <c r="G172" s="9">
        <v>100.0</v>
      </c>
      <c r="H172" s="9">
        <v>100.0</v>
      </c>
      <c r="I172" s="9">
        <v>1.0</v>
      </c>
      <c r="J172" s="6">
        <f t="shared" si="9"/>
        <v>100</v>
      </c>
      <c r="K172" s="6" t="s">
        <v>178</v>
      </c>
      <c r="L172" s="7"/>
      <c r="M172" s="7" t="s">
        <v>518</v>
      </c>
      <c r="N172" s="7"/>
      <c r="O172" s="10" t="s">
        <v>739</v>
      </c>
      <c r="P172" s="6" t="str">
        <f t="shared" si="13"/>
        <v/>
      </c>
      <c r="Q172" s="11">
        <v>1.0</v>
      </c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45.0" customHeight="1">
      <c r="A173" s="6">
        <v>170.0</v>
      </c>
      <c r="B173" s="6" t="s">
        <v>173</v>
      </c>
      <c r="C173" s="6" t="s">
        <v>740</v>
      </c>
      <c r="D173" s="6" t="s">
        <v>741</v>
      </c>
      <c r="E173" s="7" t="s">
        <v>742</v>
      </c>
      <c r="F173" s="8" t="s">
        <v>489</v>
      </c>
      <c r="G173" s="9">
        <v>100.0</v>
      </c>
      <c r="H173" s="9">
        <v>100.0</v>
      </c>
      <c r="I173" s="9">
        <v>1.0</v>
      </c>
      <c r="J173" s="6">
        <f t="shared" si="9"/>
        <v>100</v>
      </c>
      <c r="K173" s="6" t="s">
        <v>178</v>
      </c>
      <c r="L173" s="7"/>
      <c r="M173" s="7" t="s">
        <v>518</v>
      </c>
      <c r="N173" s="7"/>
      <c r="O173" s="10" t="s">
        <v>743</v>
      </c>
      <c r="P173" s="6" t="str">
        <f t="shared" si="13"/>
        <v/>
      </c>
      <c r="Q173" s="11">
        <v>1.0</v>
      </c>
      <c r="R173" s="5"/>
      <c r="S173" s="5"/>
      <c r="T173" s="12"/>
      <c r="U173" s="12"/>
      <c r="V173" s="12"/>
      <c r="W173" s="12"/>
      <c r="X173" s="12"/>
      <c r="Y173" s="12"/>
      <c r="Z173" s="12"/>
      <c r="AA173" s="12"/>
    </row>
    <row r="174" ht="45.0" customHeight="1">
      <c r="A174" s="6">
        <v>171.0</v>
      </c>
      <c r="B174" s="6" t="s">
        <v>173</v>
      </c>
      <c r="C174" s="6" t="s">
        <v>744</v>
      </c>
      <c r="D174" s="6" t="s">
        <v>745</v>
      </c>
      <c r="E174" s="7" t="s">
        <v>746</v>
      </c>
      <c r="F174" s="8" t="s">
        <v>489</v>
      </c>
      <c r="G174" s="9">
        <v>100.0</v>
      </c>
      <c r="H174" s="9">
        <v>100.0</v>
      </c>
      <c r="I174" s="9">
        <v>1.0</v>
      </c>
      <c r="J174" s="6">
        <f t="shared" si="9"/>
        <v>100</v>
      </c>
      <c r="K174" s="6" t="s">
        <v>178</v>
      </c>
      <c r="L174" s="7"/>
      <c r="M174" s="7" t="s">
        <v>518</v>
      </c>
      <c r="N174" s="7"/>
      <c r="O174" s="10" t="s">
        <v>747</v>
      </c>
      <c r="P174" s="6" t="str">
        <f t="shared" si="13"/>
        <v/>
      </c>
      <c r="Q174" s="11">
        <v>1.0</v>
      </c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45.0" customHeight="1">
      <c r="A175" s="6">
        <v>172.0</v>
      </c>
      <c r="B175" s="6" t="s">
        <v>173</v>
      </c>
      <c r="C175" s="6" t="s">
        <v>748</v>
      </c>
      <c r="D175" s="6" t="s">
        <v>749</v>
      </c>
      <c r="E175" s="7" t="s">
        <v>750</v>
      </c>
      <c r="F175" s="8" t="s">
        <v>489</v>
      </c>
      <c r="G175" s="9">
        <v>100.0</v>
      </c>
      <c r="H175" s="9">
        <v>100.0</v>
      </c>
      <c r="I175" s="9">
        <v>1.0</v>
      </c>
      <c r="J175" s="6">
        <f t="shared" si="9"/>
        <v>100</v>
      </c>
      <c r="K175" s="6" t="s">
        <v>178</v>
      </c>
      <c r="L175" s="7"/>
      <c r="M175" s="7" t="s">
        <v>518</v>
      </c>
      <c r="N175" s="7"/>
      <c r="O175" s="10" t="s">
        <v>751</v>
      </c>
      <c r="P175" s="6" t="str">
        <f t="shared" si="13"/>
        <v/>
      </c>
      <c r="Q175" s="11">
        <v>1.0</v>
      </c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45.0" customHeight="1">
      <c r="A176" s="6">
        <v>173.0</v>
      </c>
      <c r="B176" s="6" t="s">
        <v>173</v>
      </c>
      <c r="C176" s="6" t="s">
        <v>752</v>
      </c>
      <c r="D176" s="6" t="s">
        <v>753</v>
      </c>
      <c r="E176" s="7" t="s">
        <v>754</v>
      </c>
      <c r="F176" s="8" t="s">
        <v>489</v>
      </c>
      <c r="G176" s="9">
        <v>100.0</v>
      </c>
      <c r="H176" s="9">
        <v>100.0</v>
      </c>
      <c r="I176" s="9">
        <v>1.0</v>
      </c>
      <c r="J176" s="6">
        <f t="shared" si="9"/>
        <v>100</v>
      </c>
      <c r="K176" s="6" t="s">
        <v>178</v>
      </c>
      <c r="L176" s="7"/>
      <c r="M176" s="7" t="s">
        <v>518</v>
      </c>
      <c r="N176" s="7"/>
      <c r="O176" s="10" t="s">
        <v>755</v>
      </c>
      <c r="P176" s="6" t="str">
        <f t="shared" si="13"/>
        <v/>
      </c>
      <c r="Q176" s="11">
        <v>1.0</v>
      </c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45.0" customHeight="1">
      <c r="A177" s="6">
        <v>174.0</v>
      </c>
      <c r="B177" s="6" t="s">
        <v>173</v>
      </c>
      <c r="C177" s="6" t="s">
        <v>756</v>
      </c>
      <c r="D177" s="6" t="s">
        <v>757</v>
      </c>
      <c r="E177" s="7" t="s">
        <v>758</v>
      </c>
      <c r="F177" s="8" t="s">
        <v>489</v>
      </c>
      <c r="G177" s="9">
        <v>100.0</v>
      </c>
      <c r="H177" s="9">
        <v>100.0</v>
      </c>
      <c r="I177" s="9">
        <v>1.0</v>
      </c>
      <c r="J177" s="6">
        <f t="shared" si="9"/>
        <v>100</v>
      </c>
      <c r="K177" s="6" t="s">
        <v>178</v>
      </c>
      <c r="L177" s="7"/>
      <c r="M177" s="7" t="s">
        <v>518</v>
      </c>
      <c r="N177" s="7"/>
      <c r="O177" s="10" t="s">
        <v>759</v>
      </c>
      <c r="P177" s="6" t="str">
        <f t="shared" si="13"/>
        <v/>
      </c>
      <c r="Q177" s="11">
        <v>1.0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45.0" customHeight="1">
      <c r="A178" s="6">
        <v>175.0</v>
      </c>
      <c r="B178" s="6" t="s">
        <v>173</v>
      </c>
      <c r="C178" s="6" t="s">
        <v>760</v>
      </c>
      <c r="D178" s="6" t="s">
        <v>761</v>
      </c>
      <c r="E178" s="7" t="s">
        <v>762</v>
      </c>
      <c r="F178" s="8" t="s">
        <v>489</v>
      </c>
      <c r="G178" s="9">
        <v>100.0</v>
      </c>
      <c r="H178" s="9">
        <v>100.0</v>
      </c>
      <c r="I178" s="9">
        <v>1.0</v>
      </c>
      <c r="J178" s="6">
        <f t="shared" si="9"/>
        <v>100</v>
      </c>
      <c r="K178" s="6" t="s">
        <v>178</v>
      </c>
      <c r="L178" s="7"/>
      <c r="M178" s="7" t="s">
        <v>518</v>
      </c>
      <c r="N178" s="7"/>
      <c r="O178" s="10" t="s">
        <v>763</v>
      </c>
      <c r="P178" s="6" t="str">
        <f t="shared" si="13"/>
        <v/>
      </c>
      <c r="Q178" s="11">
        <v>1.0</v>
      </c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45.0" customHeight="1">
      <c r="A179" s="6">
        <v>176.0</v>
      </c>
      <c r="B179" s="6" t="s">
        <v>173</v>
      </c>
      <c r="C179" s="6" t="s">
        <v>764</v>
      </c>
      <c r="D179" s="6" t="s">
        <v>765</v>
      </c>
      <c r="E179" s="7" t="s">
        <v>766</v>
      </c>
      <c r="F179" s="8" t="s">
        <v>489</v>
      </c>
      <c r="G179" s="9">
        <v>100.0</v>
      </c>
      <c r="H179" s="9">
        <v>100.0</v>
      </c>
      <c r="I179" s="9">
        <v>1.0</v>
      </c>
      <c r="J179" s="6">
        <f t="shared" si="9"/>
        <v>100</v>
      </c>
      <c r="K179" s="6" t="s">
        <v>178</v>
      </c>
      <c r="L179" s="7"/>
      <c r="M179" s="7" t="s">
        <v>518</v>
      </c>
      <c r="N179" s="7"/>
      <c r="O179" s="10" t="s">
        <v>767</v>
      </c>
      <c r="P179" s="6" t="str">
        <f t="shared" si="13"/>
        <v/>
      </c>
      <c r="Q179" s="11">
        <v>1.0</v>
      </c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45.0" customHeight="1">
      <c r="A180" s="6">
        <v>177.0</v>
      </c>
      <c r="B180" s="6" t="s">
        <v>173</v>
      </c>
      <c r="C180" s="6" t="s">
        <v>768</v>
      </c>
      <c r="D180" s="6" t="s">
        <v>769</v>
      </c>
      <c r="E180" s="7" t="s">
        <v>770</v>
      </c>
      <c r="F180" s="8" t="s">
        <v>489</v>
      </c>
      <c r="G180" s="9">
        <v>100.0</v>
      </c>
      <c r="H180" s="9">
        <v>100.0</v>
      </c>
      <c r="I180" s="9">
        <v>1.0</v>
      </c>
      <c r="J180" s="6">
        <f t="shared" si="9"/>
        <v>100</v>
      </c>
      <c r="K180" s="6" t="s">
        <v>178</v>
      </c>
      <c r="L180" s="7"/>
      <c r="M180" s="7" t="s">
        <v>518</v>
      </c>
      <c r="N180" s="7"/>
      <c r="O180" s="10" t="s">
        <v>771</v>
      </c>
      <c r="P180" s="6" t="str">
        <f t="shared" si="13"/>
        <v/>
      </c>
      <c r="Q180" s="11">
        <v>1.0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45.0" customHeight="1">
      <c r="A181" s="6">
        <v>178.0</v>
      </c>
      <c r="B181" s="6" t="s">
        <v>173</v>
      </c>
      <c r="C181" s="6" t="s">
        <v>772</v>
      </c>
      <c r="D181" s="6" t="s">
        <v>773</v>
      </c>
      <c r="E181" s="7" t="s">
        <v>774</v>
      </c>
      <c r="F181" s="8" t="s">
        <v>489</v>
      </c>
      <c r="G181" s="9">
        <v>100.0</v>
      </c>
      <c r="H181" s="9">
        <v>100.0</v>
      </c>
      <c r="I181" s="9">
        <v>1.0</v>
      </c>
      <c r="J181" s="6">
        <f t="shared" si="9"/>
        <v>100</v>
      </c>
      <c r="K181" s="6" t="s">
        <v>178</v>
      </c>
      <c r="L181" s="7"/>
      <c r="M181" s="7" t="s">
        <v>518</v>
      </c>
      <c r="N181" s="7"/>
      <c r="O181" s="10" t="s">
        <v>775</v>
      </c>
      <c r="P181" s="6" t="str">
        <f t="shared" si="13"/>
        <v/>
      </c>
      <c r="Q181" s="11">
        <v>1.0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45.0" customHeight="1">
      <c r="A182" s="6">
        <v>179.0</v>
      </c>
      <c r="B182" s="6" t="s">
        <v>173</v>
      </c>
      <c r="C182" s="6" t="s">
        <v>776</v>
      </c>
      <c r="D182" s="6" t="s">
        <v>777</v>
      </c>
      <c r="E182" s="7" t="s">
        <v>778</v>
      </c>
      <c r="F182" s="8" t="s">
        <v>489</v>
      </c>
      <c r="G182" s="9">
        <v>100.0</v>
      </c>
      <c r="H182" s="9">
        <v>100.0</v>
      </c>
      <c r="I182" s="9">
        <v>1.0</v>
      </c>
      <c r="J182" s="6">
        <f t="shared" si="9"/>
        <v>100</v>
      </c>
      <c r="K182" s="6" t="s">
        <v>178</v>
      </c>
      <c r="L182" s="7"/>
      <c r="M182" s="7" t="s">
        <v>518</v>
      </c>
      <c r="N182" s="7"/>
      <c r="O182" s="10" t="s">
        <v>779</v>
      </c>
      <c r="P182" s="6" t="str">
        <f t="shared" si="13"/>
        <v/>
      </c>
      <c r="Q182" s="11">
        <v>1.0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45.0" customHeight="1">
      <c r="A183" s="6">
        <v>180.0</v>
      </c>
      <c r="B183" s="6" t="s">
        <v>173</v>
      </c>
      <c r="C183" s="6" t="s">
        <v>780</v>
      </c>
      <c r="D183" s="6" t="s">
        <v>781</v>
      </c>
      <c r="E183" s="7" t="s">
        <v>782</v>
      </c>
      <c r="F183" s="8" t="s">
        <v>489</v>
      </c>
      <c r="G183" s="9">
        <v>100.0</v>
      </c>
      <c r="H183" s="9">
        <v>100.0</v>
      </c>
      <c r="I183" s="9">
        <v>1.0</v>
      </c>
      <c r="J183" s="6">
        <f t="shared" si="9"/>
        <v>100</v>
      </c>
      <c r="K183" s="6" t="s">
        <v>178</v>
      </c>
      <c r="L183" s="7"/>
      <c r="M183" s="7" t="s">
        <v>518</v>
      </c>
      <c r="N183" s="7"/>
      <c r="O183" s="10" t="s">
        <v>783</v>
      </c>
      <c r="P183" s="6" t="str">
        <f t="shared" si="13"/>
        <v/>
      </c>
      <c r="Q183" s="11">
        <v>1.0</v>
      </c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45.0" customHeight="1">
      <c r="A184" s="6">
        <v>181.0</v>
      </c>
      <c r="B184" s="6" t="s">
        <v>173</v>
      </c>
      <c r="C184" s="6" t="s">
        <v>784</v>
      </c>
      <c r="D184" s="6" t="s">
        <v>785</v>
      </c>
      <c r="E184" s="7" t="s">
        <v>786</v>
      </c>
      <c r="F184" s="8" t="s">
        <v>489</v>
      </c>
      <c r="G184" s="9">
        <v>100.0</v>
      </c>
      <c r="H184" s="9">
        <v>100.0</v>
      </c>
      <c r="I184" s="9">
        <v>1.0</v>
      </c>
      <c r="J184" s="6">
        <f t="shared" si="9"/>
        <v>100</v>
      </c>
      <c r="K184" s="6" t="s">
        <v>178</v>
      </c>
      <c r="L184" s="7"/>
      <c r="M184" s="7" t="s">
        <v>518</v>
      </c>
      <c r="N184" s="7"/>
      <c r="O184" s="10" t="s">
        <v>787</v>
      </c>
      <c r="P184" s="6" t="str">
        <f t="shared" si="13"/>
        <v/>
      </c>
      <c r="Q184" s="11">
        <v>1.0</v>
      </c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45.0" customHeight="1">
      <c r="A185" s="6">
        <v>182.0</v>
      </c>
      <c r="B185" s="6" t="s">
        <v>173</v>
      </c>
      <c r="C185" s="6" t="s">
        <v>788</v>
      </c>
      <c r="D185" s="6" t="s">
        <v>789</v>
      </c>
      <c r="E185" s="7" t="s">
        <v>790</v>
      </c>
      <c r="F185" s="8" t="s">
        <v>489</v>
      </c>
      <c r="G185" s="9">
        <v>100.0</v>
      </c>
      <c r="H185" s="9">
        <v>100.0</v>
      </c>
      <c r="I185" s="9">
        <v>1.0</v>
      </c>
      <c r="J185" s="6">
        <f t="shared" si="9"/>
        <v>100</v>
      </c>
      <c r="K185" s="6" t="s">
        <v>178</v>
      </c>
      <c r="L185" s="7"/>
      <c r="M185" s="7" t="s">
        <v>518</v>
      </c>
      <c r="N185" s="7"/>
      <c r="O185" s="10" t="s">
        <v>791</v>
      </c>
      <c r="P185" s="6" t="str">
        <f t="shared" si="13"/>
        <v/>
      </c>
      <c r="Q185" s="11">
        <v>1.0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45.0" customHeight="1">
      <c r="A186" s="6">
        <v>183.0</v>
      </c>
      <c r="B186" s="6" t="s">
        <v>173</v>
      </c>
      <c r="C186" s="6" t="s">
        <v>792</v>
      </c>
      <c r="D186" s="6" t="s">
        <v>793</v>
      </c>
      <c r="E186" s="7" t="s">
        <v>794</v>
      </c>
      <c r="F186" s="8" t="s">
        <v>489</v>
      </c>
      <c r="G186" s="9">
        <v>100.0</v>
      </c>
      <c r="H186" s="9">
        <v>100.0</v>
      </c>
      <c r="I186" s="9">
        <v>1.0</v>
      </c>
      <c r="J186" s="6">
        <f t="shared" si="9"/>
        <v>100</v>
      </c>
      <c r="K186" s="6" t="s">
        <v>178</v>
      </c>
      <c r="L186" s="7"/>
      <c r="M186" s="7" t="s">
        <v>518</v>
      </c>
      <c r="N186" s="7"/>
      <c r="O186" s="10" t="s">
        <v>795</v>
      </c>
      <c r="P186" s="6" t="str">
        <f t="shared" si="13"/>
        <v/>
      </c>
      <c r="Q186" s="11">
        <v>1.0</v>
      </c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45.0" customHeight="1">
      <c r="A187" s="6">
        <v>184.0</v>
      </c>
      <c r="B187" s="6" t="s">
        <v>173</v>
      </c>
      <c r="C187" s="6" t="s">
        <v>796</v>
      </c>
      <c r="D187" s="6" t="s">
        <v>797</v>
      </c>
      <c r="E187" s="7" t="s">
        <v>798</v>
      </c>
      <c r="F187" s="8" t="s">
        <v>489</v>
      </c>
      <c r="G187" s="9">
        <v>100.0</v>
      </c>
      <c r="H187" s="9">
        <v>100.0</v>
      </c>
      <c r="I187" s="9">
        <v>1.0</v>
      </c>
      <c r="J187" s="6">
        <f t="shared" si="9"/>
        <v>100</v>
      </c>
      <c r="K187" s="6" t="s">
        <v>178</v>
      </c>
      <c r="L187" s="7"/>
      <c r="M187" s="7" t="s">
        <v>518</v>
      </c>
      <c r="N187" s="7"/>
      <c r="O187" s="10" t="s">
        <v>799</v>
      </c>
      <c r="P187" s="6" t="str">
        <f t="shared" si="13"/>
        <v/>
      </c>
      <c r="Q187" s="11">
        <v>1.0</v>
      </c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45.0" customHeight="1">
      <c r="A188" s="6">
        <v>185.0</v>
      </c>
      <c r="B188" s="6" t="s">
        <v>173</v>
      </c>
      <c r="C188" s="6" t="s">
        <v>800</v>
      </c>
      <c r="D188" s="6" t="s">
        <v>801</v>
      </c>
      <c r="E188" s="7" t="s">
        <v>802</v>
      </c>
      <c r="F188" s="8" t="s">
        <v>489</v>
      </c>
      <c r="G188" s="9">
        <v>100.0</v>
      </c>
      <c r="H188" s="9">
        <v>100.0</v>
      </c>
      <c r="I188" s="9">
        <v>1.0</v>
      </c>
      <c r="J188" s="6">
        <f t="shared" si="9"/>
        <v>100</v>
      </c>
      <c r="K188" s="6" t="s">
        <v>178</v>
      </c>
      <c r="L188" s="7"/>
      <c r="M188" s="7" t="s">
        <v>518</v>
      </c>
      <c r="N188" s="7"/>
      <c r="O188" s="10" t="s">
        <v>803</v>
      </c>
      <c r="P188" s="6" t="str">
        <f t="shared" si="13"/>
        <v/>
      </c>
      <c r="Q188" s="11">
        <v>1.0</v>
      </c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45.0" customHeight="1">
      <c r="A189" s="6">
        <v>186.0</v>
      </c>
      <c r="B189" s="6" t="s">
        <v>173</v>
      </c>
      <c r="C189" s="6" t="s">
        <v>804</v>
      </c>
      <c r="D189" s="6" t="s">
        <v>805</v>
      </c>
      <c r="E189" s="7" t="s">
        <v>806</v>
      </c>
      <c r="F189" s="8" t="s">
        <v>489</v>
      </c>
      <c r="G189" s="9">
        <v>100.0</v>
      </c>
      <c r="H189" s="9">
        <v>100.0</v>
      </c>
      <c r="I189" s="9">
        <v>1.0</v>
      </c>
      <c r="J189" s="6">
        <f t="shared" si="9"/>
        <v>100</v>
      </c>
      <c r="K189" s="6" t="s">
        <v>178</v>
      </c>
      <c r="L189" s="7"/>
      <c r="M189" s="7" t="s">
        <v>518</v>
      </c>
      <c r="N189" s="7"/>
      <c r="O189" s="10" t="s">
        <v>807</v>
      </c>
      <c r="P189" s="6" t="str">
        <f t="shared" si="13"/>
        <v/>
      </c>
      <c r="Q189" s="11">
        <v>1.0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45.0" customHeight="1">
      <c r="A190" s="6">
        <v>187.0</v>
      </c>
      <c r="B190" s="6" t="s">
        <v>173</v>
      </c>
      <c r="C190" s="6" t="s">
        <v>808</v>
      </c>
      <c r="D190" s="6" t="s">
        <v>809</v>
      </c>
      <c r="E190" s="7" t="s">
        <v>810</v>
      </c>
      <c r="F190" s="8" t="s">
        <v>489</v>
      </c>
      <c r="G190" s="9">
        <v>100.0</v>
      </c>
      <c r="H190" s="9">
        <v>100.0</v>
      </c>
      <c r="I190" s="9">
        <v>1.0</v>
      </c>
      <c r="J190" s="6">
        <f t="shared" si="9"/>
        <v>100</v>
      </c>
      <c r="K190" s="6" t="s">
        <v>178</v>
      </c>
      <c r="L190" s="7"/>
      <c r="M190" s="7" t="s">
        <v>518</v>
      </c>
      <c r="N190" s="7"/>
      <c r="O190" s="10" t="s">
        <v>811</v>
      </c>
      <c r="P190" s="6" t="str">
        <f t="shared" si="13"/>
        <v/>
      </c>
      <c r="Q190" s="11">
        <v>1.0</v>
      </c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45.0" customHeight="1">
      <c r="A191" s="6">
        <v>188.0</v>
      </c>
      <c r="B191" s="6" t="s">
        <v>173</v>
      </c>
      <c r="C191" s="6" t="s">
        <v>812</v>
      </c>
      <c r="D191" s="6" t="s">
        <v>813</v>
      </c>
      <c r="E191" s="7" t="s">
        <v>814</v>
      </c>
      <c r="F191" s="8" t="s">
        <v>489</v>
      </c>
      <c r="G191" s="9">
        <v>100.0</v>
      </c>
      <c r="H191" s="9">
        <v>100.0</v>
      </c>
      <c r="I191" s="9">
        <v>1.0</v>
      </c>
      <c r="J191" s="6">
        <f t="shared" si="9"/>
        <v>100</v>
      </c>
      <c r="K191" s="6" t="s">
        <v>178</v>
      </c>
      <c r="L191" s="7"/>
      <c r="M191" s="7" t="s">
        <v>518</v>
      </c>
      <c r="N191" s="7"/>
      <c r="O191" s="10" t="s">
        <v>815</v>
      </c>
      <c r="P191" s="6" t="str">
        <f t="shared" si="13"/>
        <v/>
      </c>
      <c r="Q191" s="11">
        <v>1.0</v>
      </c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45.0" customHeight="1">
      <c r="A192" s="6">
        <v>189.0</v>
      </c>
      <c r="B192" s="6" t="s">
        <v>173</v>
      </c>
      <c r="C192" s="6" t="s">
        <v>816</v>
      </c>
      <c r="D192" s="6" t="s">
        <v>817</v>
      </c>
      <c r="E192" s="7" t="s">
        <v>818</v>
      </c>
      <c r="F192" s="8" t="s">
        <v>489</v>
      </c>
      <c r="G192" s="9">
        <v>100.0</v>
      </c>
      <c r="H192" s="9">
        <v>100.0</v>
      </c>
      <c r="I192" s="9">
        <v>1.0</v>
      </c>
      <c r="J192" s="6">
        <f t="shared" si="9"/>
        <v>100</v>
      </c>
      <c r="K192" s="6" t="s">
        <v>178</v>
      </c>
      <c r="L192" s="7"/>
      <c r="M192" s="7" t="s">
        <v>518</v>
      </c>
      <c r="N192" s="7"/>
      <c r="O192" s="10" t="s">
        <v>819</v>
      </c>
      <c r="P192" s="6" t="str">
        <f t="shared" si="13"/>
        <v/>
      </c>
      <c r="Q192" s="11">
        <v>1.0</v>
      </c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45.0" customHeight="1">
      <c r="A193" s="6">
        <v>190.0</v>
      </c>
      <c r="B193" s="6" t="s">
        <v>173</v>
      </c>
      <c r="C193" s="6" t="s">
        <v>820</v>
      </c>
      <c r="D193" s="6" t="s">
        <v>821</v>
      </c>
      <c r="E193" s="7" t="s">
        <v>822</v>
      </c>
      <c r="F193" s="8" t="s">
        <v>489</v>
      </c>
      <c r="G193" s="9">
        <v>100.0</v>
      </c>
      <c r="H193" s="9">
        <v>100.0</v>
      </c>
      <c r="I193" s="9">
        <v>1.0</v>
      </c>
      <c r="J193" s="6">
        <f t="shared" si="9"/>
        <v>100</v>
      </c>
      <c r="K193" s="6" t="s">
        <v>178</v>
      </c>
      <c r="L193" s="7"/>
      <c r="M193" s="7" t="s">
        <v>518</v>
      </c>
      <c r="N193" s="7"/>
      <c r="O193" s="10" t="s">
        <v>823</v>
      </c>
      <c r="P193" s="6" t="str">
        <f t="shared" si="13"/>
        <v/>
      </c>
      <c r="Q193" s="11">
        <v>1.0</v>
      </c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45.0" customHeight="1">
      <c r="A194" s="6">
        <v>191.0</v>
      </c>
      <c r="B194" s="6" t="s">
        <v>173</v>
      </c>
      <c r="C194" s="6" t="s">
        <v>824</v>
      </c>
      <c r="D194" s="6" t="s">
        <v>825</v>
      </c>
      <c r="E194" s="7" t="s">
        <v>826</v>
      </c>
      <c r="F194" s="8" t="s">
        <v>489</v>
      </c>
      <c r="G194" s="9">
        <v>100.0</v>
      </c>
      <c r="H194" s="9">
        <v>100.0</v>
      </c>
      <c r="I194" s="9">
        <v>3.0</v>
      </c>
      <c r="J194" s="6">
        <f t="shared" si="9"/>
        <v>300</v>
      </c>
      <c r="K194" s="6" t="s">
        <v>178</v>
      </c>
      <c r="L194" s="7"/>
      <c r="M194" s="7" t="s">
        <v>193</v>
      </c>
      <c r="N194" s="7"/>
      <c r="O194" s="10" t="s">
        <v>827</v>
      </c>
      <c r="P194" s="6" t="str">
        <f>IMAGE("https://encrypted-tbn0.gstatic.com/images?q=tbn:ANd9GcR-ur1Cl_3Rq82qZ9KbLtZX3U_7cevDQWdUVA&amp;usqp=CAU",1)</f>
        <v/>
      </c>
      <c r="Q194" s="11">
        <v>1.0</v>
      </c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45.0" customHeight="1">
      <c r="A195" s="6">
        <v>192.0</v>
      </c>
      <c r="B195" s="6" t="s">
        <v>173</v>
      </c>
      <c r="C195" s="6" t="s">
        <v>828</v>
      </c>
      <c r="D195" s="6" t="s">
        <v>829</v>
      </c>
      <c r="E195" s="7" t="s">
        <v>830</v>
      </c>
      <c r="F195" s="8" t="s">
        <v>489</v>
      </c>
      <c r="G195" s="9">
        <v>50.0</v>
      </c>
      <c r="H195" s="9">
        <v>50.0</v>
      </c>
      <c r="I195" s="9">
        <v>10.0</v>
      </c>
      <c r="J195" s="6">
        <f t="shared" si="9"/>
        <v>500</v>
      </c>
      <c r="K195" s="6" t="s">
        <v>178</v>
      </c>
      <c r="L195" s="7"/>
      <c r="M195" s="7" t="s">
        <v>193</v>
      </c>
      <c r="N195" s="7"/>
      <c r="O195" s="10" t="s">
        <v>831</v>
      </c>
      <c r="P195" s="6" t="str">
        <f>IMAGE("https://m.media-amazon.com/images/I/51khY6g46VL._AC_SL1500_.jpg",1)</f>
        <v/>
      </c>
      <c r="Q195" s="11">
        <v>1.0</v>
      </c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45.0" customHeight="1">
      <c r="A196" s="6">
        <v>193.0</v>
      </c>
      <c r="B196" s="6" t="s">
        <v>173</v>
      </c>
      <c r="C196" s="6" t="s">
        <v>832</v>
      </c>
      <c r="D196" s="6" t="s">
        <v>833</v>
      </c>
      <c r="E196" s="7" t="s">
        <v>834</v>
      </c>
      <c r="F196" s="8" t="s">
        <v>489</v>
      </c>
      <c r="G196" s="9">
        <v>50.0</v>
      </c>
      <c r="H196" s="9">
        <v>50.0</v>
      </c>
      <c r="I196" s="9">
        <v>10.0</v>
      </c>
      <c r="J196" s="6">
        <f t="shared" si="9"/>
        <v>500</v>
      </c>
      <c r="K196" s="6" t="s">
        <v>178</v>
      </c>
      <c r="L196" s="7"/>
      <c r="M196" s="7" t="s">
        <v>193</v>
      </c>
      <c r="N196" s="7"/>
      <c r="O196" s="10" t="s">
        <v>835</v>
      </c>
      <c r="P196" s="6" t="str">
        <f>IMAGE("https://etstore.in/wp-content/uploads/2021/12/IMG_20201130_100203.png",1)</f>
        <v/>
      </c>
      <c r="Q196" s="11">
        <v>1.0</v>
      </c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45.0" customHeight="1">
      <c r="A197" s="6">
        <v>194.0</v>
      </c>
      <c r="B197" s="6" t="s">
        <v>173</v>
      </c>
      <c r="C197" s="6" t="s">
        <v>836</v>
      </c>
      <c r="D197" s="6" t="s">
        <v>837</v>
      </c>
      <c r="E197" s="7" t="s">
        <v>838</v>
      </c>
      <c r="F197" s="8" t="s">
        <v>489</v>
      </c>
      <c r="G197" s="9">
        <v>50.0</v>
      </c>
      <c r="H197" s="9">
        <v>50.0</v>
      </c>
      <c r="I197" s="9">
        <v>10.0</v>
      </c>
      <c r="J197" s="6">
        <f t="shared" si="9"/>
        <v>500</v>
      </c>
      <c r="K197" s="6" t="s">
        <v>178</v>
      </c>
      <c r="L197" s="7"/>
      <c r="M197" s="7" t="s">
        <v>193</v>
      </c>
      <c r="N197" s="7"/>
      <c r="O197" s="10" t="s">
        <v>839</v>
      </c>
      <c r="P197" s="6" t="str">
        <f>IMAGE("https://m.media-amazon.com/images/I/71UDXftBeaL._SX466_.jpg",1)</f>
        <v/>
      </c>
      <c r="Q197" s="11">
        <v>1.0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45.0" customHeight="1">
      <c r="A198" s="6">
        <v>195.0</v>
      </c>
      <c r="B198" s="6" t="s">
        <v>173</v>
      </c>
      <c r="C198" s="6" t="s">
        <v>840</v>
      </c>
      <c r="D198" s="6" t="s">
        <v>841</v>
      </c>
      <c r="E198" s="7" t="s">
        <v>842</v>
      </c>
      <c r="F198" s="8" t="s">
        <v>489</v>
      </c>
      <c r="G198" s="9">
        <v>50.0</v>
      </c>
      <c r="H198" s="9">
        <v>50.0</v>
      </c>
      <c r="I198" s="9">
        <v>10.0</v>
      </c>
      <c r="J198" s="6">
        <f t="shared" si="9"/>
        <v>500</v>
      </c>
      <c r="K198" s="6" t="s">
        <v>178</v>
      </c>
      <c r="L198" s="7"/>
      <c r="M198" s="7" t="s">
        <v>193</v>
      </c>
      <c r="N198" s="7"/>
      <c r="O198" s="10" t="s">
        <v>843</v>
      </c>
      <c r="P198" s="6" t="str">
        <f>IMAGE("https://m.media-amazon.com/images/I/4116hBQx0XL._SX425_.jpg",1)</f>
        <v/>
      </c>
      <c r="Q198" s="11">
        <v>1.0</v>
      </c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45.0" customHeight="1">
      <c r="A199" s="6">
        <v>196.0</v>
      </c>
      <c r="B199" s="6" t="s">
        <v>173</v>
      </c>
      <c r="C199" s="6" t="s">
        <v>844</v>
      </c>
      <c r="D199" s="6" t="s">
        <v>845</v>
      </c>
      <c r="E199" s="7" t="s">
        <v>846</v>
      </c>
      <c r="F199" s="8" t="s">
        <v>489</v>
      </c>
      <c r="G199" s="9">
        <v>20.0</v>
      </c>
      <c r="H199" s="9">
        <v>20.0</v>
      </c>
      <c r="I199" s="9">
        <v>5.0</v>
      </c>
      <c r="J199" s="6">
        <f t="shared" si="9"/>
        <v>100</v>
      </c>
      <c r="K199" s="6" t="s">
        <v>178</v>
      </c>
      <c r="L199" s="7"/>
      <c r="M199" s="7" t="s">
        <v>193</v>
      </c>
      <c r="N199" s="7"/>
      <c r="O199" s="10" t="s">
        <v>847</v>
      </c>
      <c r="P199" s="6" t="str">
        <f>IMAGE("https://potentiallabs.com/cart/image/cache/catalog/2021/555-timer-ic-400x400.jpeg",1)</f>
        <v/>
      </c>
      <c r="Q199" s="11">
        <v>1.0</v>
      </c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45.0" customHeight="1">
      <c r="A200" s="6">
        <v>197.0</v>
      </c>
      <c r="B200" s="6" t="s">
        <v>173</v>
      </c>
      <c r="C200" s="6" t="s">
        <v>848</v>
      </c>
      <c r="D200" s="6" t="s">
        <v>849</v>
      </c>
      <c r="E200" s="7" t="s">
        <v>850</v>
      </c>
      <c r="F200" s="8" t="s">
        <v>489</v>
      </c>
      <c r="G200" s="9">
        <v>100.0</v>
      </c>
      <c r="H200" s="9">
        <v>100.0</v>
      </c>
      <c r="I200" s="9">
        <v>5.0</v>
      </c>
      <c r="J200" s="6">
        <f t="shared" si="9"/>
        <v>500</v>
      </c>
      <c r="K200" s="6" t="s">
        <v>178</v>
      </c>
      <c r="L200" s="7"/>
      <c r="M200" s="7" t="s">
        <v>518</v>
      </c>
      <c r="N200" s="7"/>
      <c r="O200" s="10" t="s">
        <v>851</v>
      </c>
      <c r="P200" s="6" t="str">
        <f>IMAGE("https://5.imimg.com/data5/SELLER/Default/2020/8/IJ/BD/HA/84543611/2n3904-transistor-500x500.jpg",1)</f>
        <v/>
      </c>
      <c r="Q200" s="11">
        <v>1.0</v>
      </c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45.0" customHeight="1">
      <c r="A201" s="6">
        <v>198.0</v>
      </c>
      <c r="B201" s="6" t="s">
        <v>173</v>
      </c>
      <c r="C201" s="6" t="s">
        <v>852</v>
      </c>
      <c r="D201" s="6" t="s">
        <v>853</v>
      </c>
      <c r="E201" s="7" t="s">
        <v>854</v>
      </c>
      <c r="F201" s="8" t="s">
        <v>489</v>
      </c>
      <c r="G201" s="9">
        <v>100.0</v>
      </c>
      <c r="H201" s="9">
        <v>100.0</v>
      </c>
      <c r="I201" s="9">
        <v>5.0</v>
      </c>
      <c r="J201" s="6">
        <f t="shared" si="9"/>
        <v>500</v>
      </c>
      <c r="K201" s="6" t="s">
        <v>178</v>
      </c>
      <c r="L201" s="7"/>
      <c r="M201" s="7" t="s">
        <v>518</v>
      </c>
      <c r="N201" s="7"/>
      <c r="O201" s="10" t="s">
        <v>855</v>
      </c>
      <c r="P201" s="6" t="str">
        <f>IMAGE("https://rukminim2.flixcart.com/image/832/832/k44hksw0/transistor/d/m/d/100-pics-bc547-npn-transistor-sme-original-imafn3dfw2fqwgxg.jpeg?q=70",1)</f>
        <v/>
      </c>
      <c r="Q201" s="11">
        <v>1.0</v>
      </c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45.0" customHeight="1">
      <c r="A202" s="6">
        <v>199.0</v>
      </c>
      <c r="B202" s="6" t="s">
        <v>173</v>
      </c>
      <c r="C202" s="6" t="s">
        <v>856</v>
      </c>
      <c r="D202" s="6" t="s">
        <v>857</v>
      </c>
      <c r="E202" s="7" t="s">
        <v>858</v>
      </c>
      <c r="F202" s="8" t="s">
        <v>489</v>
      </c>
      <c r="G202" s="9">
        <v>100.0</v>
      </c>
      <c r="H202" s="9">
        <v>100.0</v>
      </c>
      <c r="I202" s="9">
        <v>5.0</v>
      </c>
      <c r="J202" s="6">
        <f t="shared" si="9"/>
        <v>500</v>
      </c>
      <c r="K202" s="6" t="s">
        <v>178</v>
      </c>
      <c r="L202" s="7"/>
      <c r="M202" s="7" t="s">
        <v>518</v>
      </c>
      <c r="N202" s="7"/>
      <c r="O202" s="10" t="s">
        <v>859</v>
      </c>
      <c r="P202" s="6" t="str">
        <f>IMAGE("https://m.media-amazon.com/images/W/MEDIAX_792452-T2/images/I/31po6g2eu+L.jpg",1)</f>
        <v/>
      </c>
      <c r="Q202" s="11">
        <v>1.0</v>
      </c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45.0" customHeight="1">
      <c r="A203" s="6">
        <v>200.0</v>
      </c>
      <c r="B203" s="6" t="s">
        <v>173</v>
      </c>
      <c r="C203" s="6" t="s">
        <v>860</v>
      </c>
      <c r="D203" s="6" t="s">
        <v>861</v>
      </c>
      <c r="E203" s="7" t="s">
        <v>862</v>
      </c>
      <c r="F203" s="8" t="s">
        <v>489</v>
      </c>
      <c r="G203" s="9">
        <v>100.0</v>
      </c>
      <c r="H203" s="9">
        <v>100.0</v>
      </c>
      <c r="I203" s="9">
        <v>5.0</v>
      </c>
      <c r="J203" s="6">
        <f t="shared" si="9"/>
        <v>500</v>
      </c>
      <c r="K203" s="6" t="s">
        <v>178</v>
      </c>
      <c r="L203" s="7"/>
      <c r="M203" s="7" t="s">
        <v>518</v>
      </c>
      <c r="N203" s="7"/>
      <c r="O203" s="10" t="s">
        <v>863</v>
      </c>
      <c r="P203" s="6" t="str">
        <f>IMAGE("https://5.imimg.com/data5/MA/XW/GW/SELLER-84581978/cdil-transistor-bc557-500x500.jpg",1)</f>
        <v/>
      </c>
      <c r="Q203" s="11">
        <v>1.0</v>
      </c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45.0" customHeight="1">
      <c r="A204" s="6">
        <v>201.0</v>
      </c>
      <c r="B204" s="6" t="s">
        <v>173</v>
      </c>
      <c r="C204" s="6" t="s">
        <v>864</v>
      </c>
      <c r="D204" s="6" t="s">
        <v>865</v>
      </c>
      <c r="E204" s="7" t="s">
        <v>866</v>
      </c>
      <c r="F204" s="8" t="s">
        <v>489</v>
      </c>
      <c r="G204" s="9">
        <v>100.0</v>
      </c>
      <c r="H204" s="9">
        <v>100.0</v>
      </c>
      <c r="I204" s="9">
        <v>5.0</v>
      </c>
      <c r="J204" s="6">
        <f t="shared" si="9"/>
        <v>500</v>
      </c>
      <c r="K204" s="6" t="s">
        <v>178</v>
      </c>
      <c r="L204" s="7"/>
      <c r="M204" s="7" t="s">
        <v>518</v>
      </c>
      <c r="N204" s="7"/>
      <c r="O204" s="10" t="s">
        <v>867</v>
      </c>
      <c r="P204" s="6" t="str">
        <f>IMAGE("https://www.chipmart.in/wp-content/uploads/2022/08/SL100-NPN-General-Purpose-Medium-Power-Transistor-50V-500mA.png",1)</f>
        <v/>
      </c>
      <c r="Q204" s="11">
        <v>1.0</v>
      </c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45.0" customHeight="1">
      <c r="A205" s="6">
        <v>202.0</v>
      </c>
      <c r="B205" s="6" t="s">
        <v>173</v>
      </c>
      <c r="C205" s="6" t="s">
        <v>868</v>
      </c>
      <c r="D205" s="6" t="s">
        <v>869</v>
      </c>
      <c r="E205" s="7" t="s">
        <v>870</v>
      </c>
      <c r="F205" s="8" t="s">
        <v>489</v>
      </c>
      <c r="G205" s="9">
        <v>100.0</v>
      </c>
      <c r="H205" s="9">
        <v>100.0</v>
      </c>
      <c r="I205" s="9">
        <v>5.0</v>
      </c>
      <c r="J205" s="6">
        <f t="shared" si="9"/>
        <v>500</v>
      </c>
      <c r="K205" s="6" t="s">
        <v>178</v>
      </c>
      <c r="L205" s="7"/>
      <c r="M205" s="7" t="s">
        <v>518</v>
      </c>
      <c r="N205" s="7"/>
      <c r="O205" s="10" t="s">
        <v>871</v>
      </c>
      <c r="P205" s="6" t="str">
        <f>IMAGE("https://5.imimg.com/data5/WJ/EW/MY-25117786/2n2222-npn-transistors-500x500.jpg",1)</f>
        <v/>
      </c>
      <c r="Q205" s="11">
        <v>1.0</v>
      </c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45.0" customHeight="1">
      <c r="A206" s="6">
        <v>203.0</v>
      </c>
      <c r="B206" s="6" t="s">
        <v>173</v>
      </c>
      <c r="C206" s="6" t="s">
        <v>872</v>
      </c>
      <c r="D206" s="6" t="s">
        <v>873</v>
      </c>
      <c r="E206" s="7" t="s">
        <v>874</v>
      </c>
      <c r="F206" s="8" t="s">
        <v>489</v>
      </c>
      <c r="G206" s="9">
        <v>20.0</v>
      </c>
      <c r="H206" s="9">
        <v>20.0</v>
      </c>
      <c r="I206" s="9">
        <v>10.0</v>
      </c>
      <c r="J206" s="6">
        <f t="shared" si="9"/>
        <v>200</v>
      </c>
      <c r="K206" s="6" t="s">
        <v>178</v>
      </c>
      <c r="L206" s="7"/>
      <c r="M206" s="7" t="s">
        <v>518</v>
      </c>
      <c r="N206" s="7"/>
      <c r="O206" s="10" t="s">
        <v>875</v>
      </c>
      <c r="P206" s="6" t="str">
        <f t="shared" ref="P206:P208" si="14">IMAGE("https://probots.co.in/pub/media/catalog/product/cache/d8ddd0f9b0cd008b57085cd218b48832/1/k/1k_ohm_variable_resistor_potentiometer1-1000x1000_12.jpg",1)</f>
        <v/>
      </c>
      <c r="Q206" s="11">
        <v>1.0</v>
      </c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45.0" customHeight="1">
      <c r="A207" s="6">
        <v>204.0</v>
      </c>
      <c r="B207" s="6" t="s">
        <v>173</v>
      </c>
      <c r="C207" s="6" t="s">
        <v>876</v>
      </c>
      <c r="D207" s="6" t="s">
        <v>877</v>
      </c>
      <c r="E207" s="7" t="s">
        <v>878</v>
      </c>
      <c r="F207" s="8" t="s">
        <v>489</v>
      </c>
      <c r="G207" s="9">
        <v>20.0</v>
      </c>
      <c r="H207" s="9">
        <v>20.0</v>
      </c>
      <c r="I207" s="9">
        <v>10.0</v>
      </c>
      <c r="J207" s="6">
        <f t="shared" si="9"/>
        <v>200</v>
      </c>
      <c r="K207" s="6" t="s">
        <v>178</v>
      </c>
      <c r="L207" s="7"/>
      <c r="M207" s="7" t="s">
        <v>518</v>
      </c>
      <c r="N207" s="7"/>
      <c r="O207" s="10" t="s">
        <v>879</v>
      </c>
      <c r="P207" s="6" t="str">
        <f t="shared" si="14"/>
        <v/>
      </c>
      <c r="Q207" s="11">
        <v>1.0</v>
      </c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45.0" customHeight="1">
      <c r="A208" s="6">
        <v>205.0</v>
      </c>
      <c r="B208" s="6" t="s">
        <v>173</v>
      </c>
      <c r="C208" s="6" t="s">
        <v>880</v>
      </c>
      <c r="D208" s="6" t="s">
        <v>881</v>
      </c>
      <c r="E208" s="7" t="s">
        <v>882</v>
      </c>
      <c r="F208" s="8" t="s">
        <v>489</v>
      </c>
      <c r="G208" s="9">
        <v>20.0</v>
      </c>
      <c r="H208" s="9">
        <v>20.0</v>
      </c>
      <c r="I208" s="9">
        <v>10.0</v>
      </c>
      <c r="J208" s="6">
        <f t="shared" si="9"/>
        <v>200</v>
      </c>
      <c r="K208" s="6" t="s">
        <v>178</v>
      </c>
      <c r="L208" s="7"/>
      <c r="M208" s="7" t="s">
        <v>518</v>
      </c>
      <c r="N208" s="7"/>
      <c r="O208" s="10" t="s">
        <v>883</v>
      </c>
      <c r="P208" s="6" t="str">
        <f t="shared" si="14"/>
        <v/>
      </c>
      <c r="Q208" s="11">
        <v>1.0</v>
      </c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45.0" customHeight="1">
      <c r="A209" s="6">
        <v>206.0</v>
      </c>
      <c r="B209" s="6" t="s">
        <v>173</v>
      </c>
      <c r="C209" s="6" t="s">
        <v>884</v>
      </c>
      <c r="D209" s="6" t="s">
        <v>885</v>
      </c>
      <c r="E209" s="7" t="s">
        <v>886</v>
      </c>
      <c r="F209" s="8" t="s">
        <v>489</v>
      </c>
      <c r="G209" s="9">
        <v>20.0</v>
      </c>
      <c r="H209" s="9">
        <v>20.0</v>
      </c>
      <c r="I209" s="9">
        <v>20.0</v>
      </c>
      <c r="J209" s="6">
        <f t="shared" si="9"/>
        <v>400</v>
      </c>
      <c r="K209" s="6" t="s">
        <v>178</v>
      </c>
      <c r="L209" s="7"/>
      <c r="M209" s="7" t="s">
        <v>193</v>
      </c>
      <c r="N209" s="7"/>
      <c r="O209" s="10" t="s">
        <v>887</v>
      </c>
      <c r="P209" s="6" t="str">
        <f>IMAGE("https://www.olelectronics.in/wp-content/uploads/Miniature-Vibration-Motor.png",1)</f>
        <v/>
      </c>
      <c r="Q209" s="11">
        <v>1.0</v>
      </c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45.0" customHeight="1">
      <c r="A210" s="6">
        <v>207.0</v>
      </c>
      <c r="B210" s="6" t="s">
        <v>173</v>
      </c>
      <c r="C210" s="6" t="s">
        <v>888</v>
      </c>
      <c r="D210" s="6" t="s">
        <v>889</v>
      </c>
      <c r="E210" s="7" t="s">
        <v>890</v>
      </c>
      <c r="F210" s="8" t="s">
        <v>891</v>
      </c>
      <c r="G210" s="9">
        <v>10.0</v>
      </c>
      <c r="H210" s="9">
        <v>10.0</v>
      </c>
      <c r="I210" s="9">
        <v>300.0</v>
      </c>
      <c r="J210" s="6">
        <f t="shared" si="9"/>
        <v>3000</v>
      </c>
      <c r="K210" s="6" t="s">
        <v>178</v>
      </c>
      <c r="L210" s="7"/>
      <c r="M210" s="7" t="s">
        <v>599</v>
      </c>
      <c r="N210" s="7"/>
      <c r="O210" s="10" t="s">
        <v>892</v>
      </c>
      <c r="P210" s="6" t="str">
        <f>IMAGE("https://encrypted-tbn0.gstatic.com/images?q=tbn:ANd9GcQ9HdcUbkhENGQnNmIni640zFk33IAUdUx_x0uluq_AFf1Hud04FBhhZQFZXM2xrHw_7W4&amp;usqp=CAU",1)</f>
        <v/>
      </c>
      <c r="Q210" s="11">
        <v>1.0</v>
      </c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45.0" customHeight="1">
      <c r="A211" s="6">
        <v>208.0</v>
      </c>
      <c r="B211" s="6" t="s">
        <v>173</v>
      </c>
      <c r="C211" s="6" t="s">
        <v>893</v>
      </c>
      <c r="D211" s="6" t="s">
        <v>894</v>
      </c>
      <c r="E211" s="7" t="s">
        <v>895</v>
      </c>
      <c r="F211" s="8" t="s">
        <v>891</v>
      </c>
      <c r="G211" s="9">
        <v>10.0</v>
      </c>
      <c r="H211" s="9">
        <v>10.0</v>
      </c>
      <c r="I211" s="9">
        <v>200.0</v>
      </c>
      <c r="J211" s="6">
        <f t="shared" si="9"/>
        <v>2000</v>
      </c>
      <c r="K211" s="6" t="s">
        <v>178</v>
      </c>
      <c r="L211" s="7"/>
      <c r="M211" s="7" t="s">
        <v>599</v>
      </c>
      <c r="N211" s="7"/>
      <c r="O211" s="10" t="s">
        <v>896</v>
      </c>
      <c r="P211" s="6" t="str">
        <f>IMAGE("https://m.media-amazon.com/images/W/MEDIAX_792452-T2/images/I/612Fb4y5P6S._SL1100_.jpg",1)</f>
        <v/>
      </c>
      <c r="Q211" s="11">
        <v>1.0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45.0" customHeight="1">
      <c r="A212" s="6">
        <v>209.0</v>
      </c>
      <c r="B212" s="6" t="s">
        <v>173</v>
      </c>
      <c r="C212" s="6" t="s">
        <v>897</v>
      </c>
      <c r="D212" s="6" t="s">
        <v>898</v>
      </c>
      <c r="E212" s="7" t="s">
        <v>899</v>
      </c>
      <c r="F212" s="8" t="s">
        <v>891</v>
      </c>
      <c r="G212" s="6" t="s">
        <v>56</v>
      </c>
      <c r="H212" s="6" t="s">
        <v>56</v>
      </c>
      <c r="I212" s="6"/>
      <c r="J212" s="6" t="str">
        <f t="shared" si="9"/>
        <v>#VALUE!</v>
      </c>
      <c r="K212" s="6" t="s">
        <v>178</v>
      </c>
      <c r="L212" s="7"/>
      <c r="M212" s="7" t="s">
        <v>599</v>
      </c>
      <c r="N212" s="7"/>
      <c r="O212" s="10" t="s">
        <v>900</v>
      </c>
      <c r="P212" s="6" t="str">
        <f>IMAGE("https://robu.in/wp-content/uploads/2021/05/DC-DC-Boost-Module-0.9V5V-to-5V-600MA-USB-Step-up-Board-5V-Output-1.png",1)</f>
        <v/>
      </c>
      <c r="Q212" s="11">
        <v>0.0</v>
      </c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45.0" customHeight="1">
      <c r="A213" s="6">
        <v>210.0</v>
      </c>
      <c r="B213" s="6" t="s">
        <v>173</v>
      </c>
      <c r="C213" s="6" t="s">
        <v>901</v>
      </c>
      <c r="D213" s="6" t="s">
        <v>902</v>
      </c>
      <c r="E213" s="7" t="s">
        <v>903</v>
      </c>
      <c r="F213" s="8" t="s">
        <v>891</v>
      </c>
      <c r="G213" s="9">
        <v>5.0</v>
      </c>
      <c r="H213" s="9">
        <v>5.0</v>
      </c>
      <c r="I213" s="9">
        <v>150.0</v>
      </c>
      <c r="J213" s="6">
        <f t="shared" si="9"/>
        <v>750</v>
      </c>
      <c r="K213" s="6" t="s">
        <v>178</v>
      </c>
      <c r="L213" s="7"/>
      <c r="M213" s="7" t="s">
        <v>66</v>
      </c>
      <c r="N213" s="7"/>
      <c r="O213" s="10" t="s">
        <v>904</v>
      </c>
      <c r="P213" s="6" t="str">
        <f>IMAGE("https://makerbazar.in/cdn/shop/files/6015fanwithwire_600x.jpg?v=1695792315",1)</f>
        <v/>
      </c>
      <c r="Q213" s="11">
        <v>1.0</v>
      </c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45.0" customHeight="1">
      <c r="A214" s="6">
        <v>211.0</v>
      </c>
      <c r="B214" s="6" t="s">
        <v>173</v>
      </c>
      <c r="C214" s="6" t="s">
        <v>905</v>
      </c>
      <c r="D214" s="6" t="s">
        <v>906</v>
      </c>
      <c r="E214" s="7" t="s">
        <v>907</v>
      </c>
      <c r="F214" s="8" t="s">
        <v>891</v>
      </c>
      <c r="G214" s="9">
        <v>10.0</v>
      </c>
      <c r="H214" s="9">
        <v>10.0</v>
      </c>
      <c r="I214" s="9">
        <v>200.0</v>
      </c>
      <c r="J214" s="6">
        <f t="shared" si="9"/>
        <v>2000</v>
      </c>
      <c r="K214" s="6" t="s">
        <v>178</v>
      </c>
      <c r="L214" s="7"/>
      <c r="M214" s="7" t="s">
        <v>249</v>
      </c>
      <c r="N214" s="7"/>
      <c r="O214" s="10" t="s">
        <v>908</v>
      </c>
      <c r="P214" s="6" t="str">
        <f>IMAGE("https://5.imimg.com/data5/II/UT/SO/SELLER-1968074/16x2-lcd-display-500x500.jpg",1)</f>
        <v/>
      </c>
      <c r="Q214" s="11">
        <v>1.0</v>
      </c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45.0" customHeight="1">
      <c r="A215" s="6">
        <v>212.0</v>
      </c>
      <c r="B215" s="6" t="s">
        <v>173</v>
      </c>
      <c r="C215" s="6" t="s">
        <v>909</v>
      </c>
      <c r="D215" s="6" t="s">
        <v>910</v>
      </c>
      <c r="E215" s="7" t="s">
        <v>911</v>
      </c>
      <c r="F215" s="8" t="s">
        <v>891</v>
      </c>
      <c r="G215" s="9">
        <v>20.0</v>
      </c>
      <c r="H215" s="9">
        <v>20.0</v>
      </c>
      <c r="I215" s="9">
        <v>15.0</v>
      </c>
      <c r="J215" s="6">
        <f t="shared" si="9"/>
        <v>300</v>
      </c>
      <c r="K215" s="6" t="s">
        <v>178</v>
      </c>
      <c r="L215" s="7"/>
      <c r="M215" s="7" t="s">
        <v>193</v>
      </c>
      <c r="N215" s="7"/>
      <c r="O215" s="10" t="s">
        <v>912</v>
      </c>
      <c r="P215" s="6" t="str">
        <f>IMAGE("https://ashokaonlineshop.in/wp-content/uploads/2022/11/650nm-Mini-Laser-Dot-Diode-Module1.jpeg",1)</f>
        <v/>
      </c>
      <c r="Q215" s="11">
        <v>1.0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45.0" customHeight="1">
      <c r="A216" s="6">
        <v>213.0</v>
      </c>
      <c r="B216" s="6" t="s">
        <v>173</v>
      </c>
      <c r="C216" s="6" t="s">
        <v>913</v>
      </c>
      <c r="D216" s="6" t="s">
        <v>914</v>
      </c>
      <c r="E216" s="7" t="s">
        <v>915</v>
      </c>
      <c r="F216" s="8" t="s">
        <v>891</v>
      </c>
      <c r="G216" s="9">
        <v>10.0</v>
      </c>
      <c r="H216" s="9">
        <v>10.0</v>
      </c>
      <c r="I216" s="9">
        <v>300.0</v>
      </c>
      <c r="J216" s="6">
        <f t="shared" si="9"/>
        <v>3000</v>
      </c>
      <c r="K216" s="6" t="s">
        <v>178</v>
      </c>
      <c r="L216" s="7"/>
      <c r="M216" s="7" t="s">
        <v>179</v>
      </c>
      <c r="N216" s="7"/>
      <c r="O216" s="10" t="s">
        <v>916</v>
      </c>
      <c r="P216" s="6" t="str">
        <f>IMAGE("https://m.media-amazon.com/images/I/51l+Qhaiu3L._SL1000_.jpg",1)</f>
        <v/>
      </c>
      <c r="Q216" s="11">
        <v>0.0</v>
      </c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45.0" customHeight="1">
      <c r="A217" s="6">
        <v>214.0</v>
      </c>
      <c r="B217" s="6" t="s">
        <v>173</v>
      </c>
      <c r="C217" s="6" t="s">
        <v>917</v>
      </c>
      <c r="D217" s="6" t="s">
        <v>918</v>
      </c>
      <c r="E217" s="7" t="s">
        <v>919</v>
      </c>
      <c r="F217" s="8" t="s">
        <v>891</v>
      </c>
      <c r="G217" s="9">
        <v>10.0</v>
      </c>
      <c r="H217" s="9">
        <v>10.0</v>
      </c>
      <c r="I217" s="9">
        <v>100.0</v>
      </c>
      <c r="J217" s="6">
        <f t="shared" si="9"/>
        <v>1000</v>
      </c>
      <c r="K217" s="6" t="s">
        <v>178</v>
      </c>
      <c r="L217" s="7"/>
      <c r="M217" s="7" t="s">
        <v>179</v>
      </c>
      <c r="N217" s="7"/>
      <c r="O217" s="10" t="s">
        <v>920</v>
      </c>
      <c r="P217" s="6" t="str">
        <f>IMAGE("https://rukminim1.flixcart.com/image/850/1000/k62i5jk0/solar-panel/7/g/q/diy-projects-6v-80ma-wire-attached-mini-power-solar-cells-for-original-imafzm93vcqqnsat.jpeg?q=20")</f>
        <v/>
      </c>
      <c r="Q217" s="11">
        <v>1.0</v>
      </c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45.0" customHeight="1">
      <c r="A218" s="6">
        <v>215.0</v>
      </c>
      <c r="B218" s="6" t="s">
        <v>173</v>
      </c>
      <c r="C218" s="6" t="s">
        <v>921</v>
      </c>
      <c r="D218" s="6" t="s">
        <v>922</v>
      </c>
      <c r="E218" s="7" t="s">
        <v>923</v>
      </c>
      <c r="F218" s="8" t="s">
        <v>891</v>
      </c>
      <c r="G218" s="9">
        <v>5.0</v>
      </c>
      <c r="H218" s="9">
        <v>5.0</v>
      </c>
      <c r="I218" s="9">
        <v>250.0</v>
      </c>
      <c r="J218" s="6">
        <f t="shared" si="9"/>
        <v>1250</v>
      </c>
      <c r="K218" s="6" t="s">
        <v>178</v>
      </c>
      <c r="L218" s="7"/>
      <c r="M218" s="7" t="s">
        <v>249</v>
      </c>
      <c r="N218" s="7"/>
      <c r="O218" s="10" t="s">
        <v>924</v>
      </c>
      <c r="P218" s="6" t="str">
        <f>IMAGE("https://robu.in/wp-content/uploads/2017/06/robu-3-13.jpg",1)</f>
        <v/>
      </c>
      <c r="Q218" s="11">
        <v>1.0</v>
      </c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45.0" customHeight="1">
      <c r="A219" s="6">
        <v>216.0</v>
      </c>
      <c r="B219" s="6" t="s">
        <v>173</v>
      </c>
      <c r="C219" s="6" t="s">
        <v>925</v>
      </c>
      <c r="D219" s="6" t="s">
        <v>926</v>
      </c>
      <c r="E219" s="7" t="s">
        <v>927</v>
      </c>
      <c r="F219" s="8" t="s">
        <v>891</v>
      </c>
      <c r="G219" s="9">
        <v>10.0</v>
      </c>
      <c r="H219" s="9">
        <v>10.0</v>
      </c>
      <c r="I219" s="9">
        <v>50.0</v>
      </c>
      <c r="J219" s="6">
        <f t="shared" si="9"/>
        <v>500</v>
      </c>
      <c r="K219" s="6" t="s">
        <v>178</v>
      </c>
      <c r="L219" s="7"/>
      <c r="M219" s="7" t="s">
        <v>179</v>
      </c>
      <c r="N219" s="7"/>
      <c r="O219" s="10"/>
      <c r="P219" s="6" t="str">
        <f>IMAGE("https://robu.in/wp-content/uploads/2021/05/0.5W-8OHM-Trumpet-Diameter-36mm-1.jpeg",1)</f>
        <v/>
      </c>
      <c r="Q219" s="11">
        <v>1.0</v>
      </c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45.0" customHeight="1">
      <c r="A220" s="6">
        <v>217.0</v>
      </c>
      <c r="B220" s="6" t="s">
        <v>173</v>
      </c>
      <c r="C220" s="6" t="s">
        <v>928</v>
      </c>
      <c r="D220" s="6" t="s">
        <v>929</v>
      </c>
      <c r="E220" s="7" t="s">
        <v>930</v>
      </c>
      <c r="F220" s="8" t="s">
        <v>891</v>
      </c>
      <c r="G220" s="9">
        <v>10.0</v>
      </c>
      <c r="H220" s="9">
        <v>10.0</v>
      </c>
      <c r="I220" s="9">
        <v>40.0</v>
      </c>
      <c r="J220" s="6">
        <f t="shared" si="9"/>
        <v>400</v>
      </c>
      <c r="K220" s="6" t="s">
        <v>178</v>
      </c>
      <c r="L220" s="7"/>
      <c r="M220" s="7" t="s">
        <v>179</v>
      </c>
      <c r="N220" s="7"/>
      <c r="O220" s="10" t="s">
        <v>931</v>
      </c>
      <c r="P220" s="6" t="str">
        <f>IMAGE("https://5.imimg.com/data5/SELLER/Default/2023/2/OP/GV/HH/182244990/water-pump-module-1000x1000.jpg",1)</f>
        <v/>
      </c>
      <c r="Q220" s="11">
        <v>1.0</v>
      </c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45.0" customHeight="1">
      <c r="A221" s="6">
        <v>218.0</v>
      </c>
      <c r="B221" s="6" t="s">
        <v>173</v>
      </c>
      <c r="C221" s="6" t="s">
        <v>932</v>
      </c>
      <c r="D221" s="6" t="s">
        <v>933</v>
      </c>
      <c r="E221" s="7" t="s">
        <v>934</v>
      </c>
      <c r="F221" s="8" t="s">
        <v>891</v>
      </c>
      <c r="G221" s="6">
        <v>15.0</v>
      </c>
      <c r="H221" s="6">
        <v>15.0</v>
      </c>
      <c r="I221" s="6">
        <v>21.0</v>
      </c>
      <c r="J221" s="6">
        <f t="shared" si="9"/>
        <v>315</v>
      </c>
      <c r="K221" s="6" t="s">
        <v>178</v>
      </c>
      <c r="L221" s="7"/>
      <c r="M221" s="7" t="s">
        <v>935</v>
      </c>
      <c r="N221" s="7" t="s">
        <v>936</v>
      </c>
      <c r="O221" s="10" t="s">
        <v>937</v>
      </c>
      <c r="P221" s="6" t="str">
        <f>IMAGE("https://robu.in/wp-content/uploads/2020/10/TP4056-1A-Li-ion-lithium-Battery-Charging-Module-With-Current-Protection-Type-C-2.png",1)</f>
        <v/>
      </c>
      <c r="Q221" s="11">
        <v>0.0</v>
      </c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45.0" customHeight="1">
      <c r="A222" s="6">
        <v>219.0</v>
      </c>
      <c r="B222" s="6" t="s">
        <v>173</v>
      </c>
      <c r="C222" s="6" t="s">
        <v>938</v>
      </c>
      <c r="D222" s="6" t="s">
        <v>939</v>
      </c>
      <c r="E222" s="7" t="s">
        <v>940</v>
      </c>
      <c r="F222" s="8" t="s">
        <v>891</v>
      </c>
      <c r="G222" s="9">
        <v>5.0</v>
      </c>
      <c r="H222" s="9">
        <v>5.0</v>
      </c>
      <c r="I222" s="9">
        <v>250.0</v>
      </c>
      <c r="J222" s="6">
        <f t="shared" si="9"/>
        <v>1250</v>
      </c>
      <c r="K222" s="6" t="s">
        <v>178</v>
      </c>
      <c r="L222" s="7"/>
      <c r="M222" s="7" t="s">
        <v>599</v>
      </c>
      <c r="N222" s="7"/>
      <c r="O222" s="10"/>
      <c r="P222" s="6" t="str">
        <f>IMAGE("https://robu.in/wp-content/uploads/2016/03/Ublox-Neo-6M-GPS.jpg",1)</f>
        <v/>
      </c>
      <c r="Q222" s="11">
        <v>1.0</v>
      </c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45.0" customHeight="1">
      <c r="A223" s="6">
        <v>220.0</v>
      </c>
      <c r="B223" s="6" t="s">
        <v>173</v>
      </c>
      <c r="C223" s="6" t="s">
        <v>941</v>
      </c>
      <c r="D223" s="6" t="s">
        <v>942</v>
      </c>
      <c r="E223" s="7" t="s">
        <v>943</v>
      </c>
      <c r="F223" s="8" t="s">
        <v>891</v>
      </c>
      <c r="G223" s="9">
        <v>5.0</v>
      </c>
      <c r="H223" s="9">
        <v>5.0</v>
      </c>
      <c r="I223" s="9">
        <v>40.0</v>
      </c>
      <c r="J223" s="6">
        <f t="shared" si="9"/>
        <v>200</v>
      </c>
      <c r="K223" s="6" t="s">
        <v>178</v>
      </c>
      <c r="L223" s="7"/>
      <c r="M223" s="7" t="s">
        <v>599</v>
      </c>
      <c r="N223" s="7"/>
      <c r="O223" s="10" t="s">
        <v>944</v>
      </c>
      <c r="P223" s="6" t="str">
        <f>IMAGE("https://m.media-amazon.com/images/W/MEDIAX_792452-T2/images/I/51cWZAAMiWL._SL1000_.jpg",1)</f>
        <v/>
      </c>
      <c r="Q223" s="11">
        <v>1.0</v>
      </c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45.0" customHeight="1">
      <c r="A224" s="6">
        <v>221.0</v>
      </c>
      <c r="B224" s="6" t="s">
        <v>173</v>
      </c>
      <c r="C224" s="6" t="s">
        <v>945</v>
      </c>
      <c r="D224" s="6" t="s">
        <v>946</v>
      </c>
      <c r="E224" s="7" t="s">
        <v>947</v>
      </c>
      <c r="F224" s="8" t="s">
        <v>891</v>
      </c>
      <c r="G224" s="9">
        <v>5.0</v>
      </c>
      <c r="H224" s="9">
        <v>5.0</v>
      </c>
      <c r="I224" s="9">
        <v>40.0</v>
      </c>
      <c r="J224" s="6">
        <f t="shared" si="9"/>
        <v>200</v>
      </c>
      <c r="K224" s="6" t="s">
        <v>178</v>
      </c>
      <c r="L224" s="7"/>
      <c r="M224" s="7" t="s">
        <v>599</v>
      </c>
      <c r="N224" s="7"/>
      <c r="O224" s="10"/>
      <c r="P224" s="6" t="str">
        <f>IMAGE("https://m.media-amazon.com/images/W/MEDIAX_792452-T2/images/I/61wbYlIdx0L._SL1500_.jpg",1)</f>
        <v/>
      </c>
      <c r="Q224" s="11">
        <v>1.0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45.0" customHeight="1">
      <c r="A225" s="6">
        <v>222.0</v>
      </c>
      <c r="B225" s="6" t="s">
        <v>173</v>
      </c>
      <c r="C225" s="6" t="s">
        <v>948</v>
      </c>
      <c r="D225" s="6" t="s">
        <v>949</v>
      </c>
      <c r="E225" s="7" t="s">
        <v>950</v>
      </c>
      <c r="F225" s="8" t="s">
        <v>891</v>
      </c>
      <c r="G225" s="9">
        <v>10.0</v>
      </c>
      <c r="H225" s="9">
        <v>10.0</v>
      </c>
      <c r="I225" s="9">
        <v>40.0</v>
      </c>
      <c r="J225" s="6">
        <f t="shared" si="9"/>
        <v>400</v>
      </c>
      <c r="K225" s="6" t="s">
        <v>178</v>
      </c>
      <c r="L225" s="7"/>
      <c r="M225" s="7" t="s">
        <v>599</v>
      </c>
      <c r="N225" s="7"/>
      <c r="O225" s="10" t="s">
        <v>951</v>
      </c>
      <c r="P225" s="6" t="str">
        <f>IMAGE("https://5.imimg.com/data5/SELLER/Default/2022/9/HX/YZ/GJ/43948449/micro-sd-card-adapter-with-level-shifter-500x500.png",1)</f>
        <v/>
      </c>
      <c r="Q225" s="11">
        <v>1.0</v>
      </c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45.0" customHeight="1">
      <c r="A226" s="6">
        <v>223.0</v>
      </c>
      <c r="B226" s="6" t="s">
        <v>173</v>
      </c>
      <c r="C226" s="6" t="s">
        <v>952</v>
      </c>
      <c r="D226" s="6" t="s">
        <v>953</v>
      </c>
      <c r="E226" s="7" t="s">
        <v>954</v>
      </c>
      <c r="F226" s="8" t="s">
        <v>891</v>
      </c>
      <c r="G226" s="9">
        <v>10.0</v>
      </c>
      <c r="H226" s="9">
        <v>10.0</v>
      </c>
      <c r="I226" s="9">
        <v>200.0</v>
      </c>
      <c r="J226" s="6">
        <f t="shared" si="9"/>
        <v>2000</v>
      </c>
      <c r="K226" s="6" t="s">
        <v>178</v>
      </c>
      <c r="L226" s="7"/>
      <c r="M226" s="7" t="s">
        <v>66</v>
      </c>
      <c r="N226" s="7"/>
      <c r="O226" s="18" t="s">
        <v>955</v>
      </c>
      <c r="P226" s="6" t="str">
        <f>IMAGE("https://robu.in/wp-content/uploads/2020/09/L298P-Motor-Driver-Shield-for-Arduino-3.jpg",1)</f>
        <v/>
      </c>
      <c r="Q226" s="11">
        <v>0.0</v>
      </c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45.0" customHeight="1">
      <c r="A227" s="6">
        <v>224.0</v>
      </c>
      <c r="B227" s="6" t="s">
        <v>173</v>
      </c>
      <c r="C227" s="6" t="s">
        <v>956</v>
      </c>
      <c r="D227" s="6" t="s">
        <v>957</v>
      </c>
      <c r="E227" s="7" t="s">
        <v>958</v>
      </c>
      <c r="F227" s="8" t="s">
        <v>891</v>
      </c>
      <c r="G227" s="9">
        <v>5.0</v>
      </c>
      <c r="H227" s="9">
        <v>5.0</v>
      </c>
      <c r="I227" s="9">
        <v>95.0</v>
      </c>
      <c r="J227" s="6">
        <f t="shared" si="9"/>
        <v>475</v>
      </c>
      <c r="K227" s="6" t="s">
        <v>178</v>
      </c>
      <c r="L227" s="7"/>
      <c r="M227" s="7" t="s">
        <v>599</v>
      </c>
      <c r="N227" s="7"/>
      <c r="O227" s="10" t="s">
        <v>959</v>
      </c>
      <c r="P227" s="6" t="str">
        <f>IMAGE("https://m.media-amazon.com/images/I/41Y-5b4TQcL.jpg",1)</f>
        <v/>
      </c>
      <c r="Q227" s="11">
        <v>1.0</v>
      </c>
      <c r="R227" s="12"/>
      <c r="S227" s="12"/>
      <c r="T227" s="12">
        <v>500.0</v>
      </c>
      <c r="U227" s="12">
        <f t="shared" ref="U227:U230" si="15">T227*H227</f>
        <v>2500</v>
      </c>
      <c r="V227" s="12"/>
      <c r="W227" s="12"/>
      <c r="X227" s="12"/>
      <c r="Y227" s="12"/>
      <c r="Z227" s="12"/>
      <c r="AA227" s="12"/>
    </row>
    <row r="228" ht="45.0" customHeight="1">
      <c r="A228" s="6">
        <v>225.0</v>
      </c>
      <c r="B228" s="6" t="s">
        <v>173</v>
      </c>
      <c r="C228" s="6" t="s">
        <v>960</v>
      </c>
      <c r="D228" s="6" t="s">
        <v>961</v>
      </c>
      <c r="E228" s="7" t="s">
        <v>962</v>
      </c>
      <c r="F228" s="8" t="s">
        <v>891</v>
      </c>
      <c r="G228" s="9">
        <v>10.0</v>
      </c>
      <c r="H228" s="9">
        <v>10.0</v>
      </c>
      <c r="I228" s="9">
        <v>500.0</v>
      </c>
      <c r="J228" s="6">
        <f t="shared" si="9"/>
        <v>5000</v>
      </c>
      <c r="K228" s="6" t="s">
        <v>178</v>
      </c>
      <c r="L228" s="7"/>
      <c r="M228" s="7" t="s">
        <v>599</v>
      </c>
      <c r="N228" s="7"/>
      <c r="O228" s="10" t="s">
        <v>963</v>
      </c>
      <c r="P228" s="6" t="str">
        <f>IMAGE("https://robu.in/wp-content/uploads/2016/02/617hpF6cJbL._SL1000_.jpg",1)</f>
        <v/>
      </c>
      <c r="Q228" s="14">
        <v>1.0</v>
      </c>
      <c r="R228" s="12"/>
      <c r="S228" s="12"/>
      <c r="T228" s="5">
        <v>2500.0</v>
      </c>
      <c r="U228" s="12">
        <f t="shared" si="15"/>
        <v>25000</v>
      </c>
      <c r="V228" s="5"/>
      <c r="W228" s="5"/>
      <c r="X228" s="5"/>
      <c r="Y228" s="5"/>
      <c r="Z228" s="5"/>
      <c r="AA228" s="5"/>
    </row>
    <row r="229" ht="45.0" customHeight="1">
      <c r="A229" s="6">
        <v>226.0</v>
      </c>
      <c r="B229" s="6" t="s">
        <v>321</v>
      </c>
      <c r="C229" s="6" t="s">
        <v>964</v>
      </c>
      <c r="D229" s="6" t="s">
        <v>965</v>
      </c>
      <c r="E229" s="7" t="s">
        <v>966</v>
      </c>
      <c r="F229" s="8" t="s">
        <v>326</v>
      </c>
      <c r="G229" s="9">
        <v>6.0</v>
      </c>
      <c r="H229" s="9">
        <v>6.0</v>
      </c>
      <c r="I229" s="9">
        <v>500.0</v>
      </c>
      <c r="J229" s="6">
        <f t="shared" si="9"/>
        <v>3000</v>
      </c>
      <c r="K229" s="6" t="s">
        <v>326</v>
      </c>
      <c r="L229" s="7"/>
      <c r="M229" s="7"/>
      <c r="N229" s="7"/>
      <c r="O229" s="15" t="s">
        <v>967</v>
      </c>
      <c r="P229" s="6" t="str">
        <f>IMAGE("https://www.220converters.com/resize/Shared/images/Product/Seven-Star-ES5C-220-Volt-Universal-5-Outlet-Power-Strip-With-Surge-Protection-220V-240V/es5c.jpg?bw=500&amp;bh=500",1)</f>
        <v/>
      </c>
      <c r="Q229" s="11">
        <v>0.0</v>
      </c>
      <c r="R229" s="12"/>
      <c r="S229" s="12" t="s">
        <v>144</v>
      </c>
      <c r="T229" s="5">
        <v>32000.0</v>
      </c>
      <c r="U229" s="12">
        <f t="shared" si="15"/>
        <v>192000</v>
      </c>
      <c r="V229" s="5"/>
      <c r="W229" s="5"/>
      <c r="X229" s="5"/>
      <c r="Y229" s="5"/>
      <c r="Z229" s="5"/>
      <c r="AA229" s="5"/>
    </row>
    <row r="230" ht="45.0" customHeight="1">
      <c r="A230" s="6">
        <v>227.0</v>
      </c>
      <c r="B230" s="6" t="s">
        <v>321</v>
      </c>
      <c r="C230" s="6" t="s">
        <v>968</v>
      </c>
      <c r="D230" s="6" t="s">
        <v>969</v>
      </c>
      <c r="E230" s="7" t="s">
        <v>970</v>
      </c>
      <c r="F230" s="8" t="s">
        <v>326</v>
      </c>
      <c r="G230" s="9">
        <v>1.0</v>
      </c>
      <c r="H230" s="9">
        <v>1.0</v>
      </c>
      <c r="I230" s="9">
        <v>2000.0</v>
      </c>
      <c r="J230" s="6">
        <f t="shared" si="9"/>
        <v>2000</v>
      </c>
      <c r="K230" s="6" t="s">
        <v>326</v>
      </c>
      <c r="L230" s="7"/>
      <c r="M230" s="7"/>
      <c r="N230" s="7"/>
      <c r="O230" s="10" t="s">
        <v>971</v>
      </c>
      <c r="P230" s="6" t="str">
        <f>IMAGE("https://www.jiomart.com/images/product/original/491503417/mi-home-security-camera-digital-o491503417-p590045677-0-202010110622.jpeg")</f>
        <v/>
      </c>
      <c r="Q230" s="11">
        <v>0.0</v>
      </c>
      <c r="R230" s="5"/>
      <c r="S230" s="5" t="s">
        <v>144</v>
      </c>
      <c r="T230" s="12">
        <v>2500.0</v>
      </c>
      <c r="U230" s="12">
        <f t="shared" si="15"/>
        <v>2500</v>
      </c>
      <c r="V230" s="12"/>
      <c r="W230" s="12"/>
      <c r="X230" s="12"/>
      <c r="Y230" s="12"/>
      <c r="Z230" s="12"/>
      <c r="AA230" s="12"/>
    </row>
    <row r="231" ht="45.0" customHeight="1">
      <c r="A231" s="6">
        <v>228.0</v>
      </c>
      <c r="B231" s="6" t="s">
        <v>137</v>
      </c>
      <c r="C231" s="6" t="s">
        <v>972</v>
      </c>
      <c r="D231" s="6" t="s">
        <v>973</v>
      </c>
      <c r="E231" s="7" t="s">
        <v>974</v>
      </c>
      <c r="F231" s="8" t="s">
        <v>326</v>
      </c>
      <c r="G231" s="9">
        <v>1.0</v>
      </c>
      <c r="H231" s="9">
        <v>1.0</v>
      </c>
      <c r="I231" s="9">
        <v>30000.0</v>
      </c>
      <c r="J231" s="6">
        <f t="shared" si="9"/>
        <v>30000</v>
      </c>
      <c r="K231" s="6" t="s">
        <v>142</v>
      </c>
      <c r="L231" s="7"/>
      <c r="M231" s="7"/>
      <c r="N231" s="7"/>
      <c r="O231" s="10"/>
      <c r="P231" s="6" t="str">
        <f>IMAGE("https://cdn.ttgtmedia.com/rms/onlineimages/hp_elitebook_mobile.jpg",1)</f>
        <v/>
      </c>
      <c r="Q231" s="11">
        <v>0.0</v>
      </c>
      <c r="R231" s="5"/>
      <c r="S231" s="5" t="s">
        <v>144</v>
      </c>
      <c r="T231" s="12"/>
      <c r="U231" s="12"/>
      <c r="V231" s="12"/>
      <c r="W231" s="12"/>
      <c r="X231" s="12"/>
      <c r="Y231" s="12"/>
      <c r="Z231" s="12"/>
      <c r="AA231" s="12"/>
    </row>
    <row r="232" ht="45.0" customHeight="1">
      <c r="A232" s="6">
        <v>229.0</v>
      </c>
      <c r="B232" s="6" t="s">
        <v>137</v>
      </c>
      <c r="C232" s="6" t="s">
        <v>975</v>
      </c>
      <c r="D232" s="6" t="s">
        <v>976</v>
      </c>
      <c r="E232" s="7" t="s">
        <v>977</v>
      </c>
      <c r="F232" s="8" t="s">
        <v>326</v>
      </c>
      <c r="G232" s="9">
        <v>1.0</v>
      </c>
      <c r="H232" s="9">
        <v>1.0</v>
      </c>
      <c r="I232" s="9">
        <v>1500.0</v>
      </c>
      <c r="J232" s="6">
        <f t="shared" si="9"/>
        <v>1500</v>
      </c>
      <c r="K232" s="6" t="s">
        <v>142</v>
      </c>
      <c r="L232" s="7"/>
      <c r="M232" s="7"/>
      <c r="N232" s="7"/>
      <c r="O232" s="10"/>
      <c r="P232" s="6" t="str">
        <f>IMAGE("https://m.media-amazon.com/images/W/MEDIAX_792452-T2/images/I/51UzU+2x3OS._SL1000_.jpg")</f>
        <v/>
      </c>
      <c r="Q232" s="11">
        <v>0.0</v>
      </c>
      <c r="R232" s="12"/>
      <c r="S232" s="12" t="s">
        <v>144</v>
      </c>
      <c r="T232" s="12"/>
      <c r="U232" s="12"/>
      <c r="V232" s="12"/>
      <c r="W232" s="12"/>
      <c r="X232" s="12"/>
      <c r="Y232" s="12"/>
      <c r="Z232" s="12"/>
      <c r="AA232" s="12"/>
    </row>
    <row r="233" ht="45.0" customHeight="1">
      <c r="A233" s="6">
        <v>230.0</v>
      </c>
      <c r="B233" s="6" t="s">
        <v>15</v>
      </c>
      <c r="C233" s="6" t="s">
        <v>978</v>
      </c>
      <c r="D233" s="6" t="s">
        <v>979</v>
      </c>
      <c r="E233" s="7" t="s">
        <v>980</v>
      </c>
      <c r="F233" s="8" t="s">
        <v>981</v>
      </c>
      <c r="G233" s="9">
        <v>5.0</v>
      </c>
      <c r="H233" s="9">
        <v>5.0</v>
      </c>
      <c r="I233" s="13">
        <v>20.0</v>
      </c>
      <c r="J233" s="6">
        <f t="shared" si="9"/>
        <v>100</v>
      </c>
      <c r="K233" s="6" t="s">
        <v>20</v>
      </c>
      <c r="L233" s="7" t="s">
        <v>77</v>
      </c>
      <c r="M233" s="7" t="s">
        <v>65</v>
      </c>
      <c r="N233" s="7"/>
      <c r="O233" s="10" t="s">
        <v>982</v>
      </c>
      <c r="P233" s="6" t="str">
        <f t="shared" ref="P233:P235" si="16">IMAGE("https://encrypted-tbn0.gstatic.com/=IMAGEs?q=tbn:ANd9GcSdcvov5296EXdnf0Fj0qF-G6iK-nu0n6Z4THAWosUzBx_wQ7GuJyrL0Rnbt1uBxLroiao&amp;usqp=CAU",1)</f>
        <v/>
      </c>
      <c r="Q233" s="11">
        <v>0.0</v>
      </c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45.0" customHeight="1">
      <c r="A234" s="6">
        <v>231.0</v>
      </c>
      <c r="B234" s="6" t="s">
        <v>15</v>
      </c>
      <c r="C234" s="6" t="s">
        <v>983</v>
      </c>
      <c r="D234" s="6" t="s">
        <v>984</v>
      </c>
      <c r="E234" s="7" t="s">
        <v>985</v>
      </c>
      <c r="F234" s="8" t="s">
        <v>981</v>
      </c>
      <c r="G234" s="9">
        <v>5.0</v>
      </c>
      <c r="H234" s="9">
        <v>5.0</v>
      </c>
      <c r="I234" s="13">
        <v>40.0</v>
      </c>
      <c r="J234" s="6">
        <f t="shared" si="9"/>
        <v>200</v>
      </c>
      <c r="K234" s="6" t="s">
        <v>20</v>
      </c>
      <c r="L234" s="7" t="s">
        <v>77</v>
      </c>
      <c r="M234" s="7" t="s">
        <v>65</v>
      </c>
      <c r="N234" s="7"/>
      <c r="O234" s="10" t="s">
        <v>986</v>
      </c>
      <c r="P234" s="6" t="str">
        <f t="shared" si="16"/>
        <v/>
      </c>
      <c r="Q234" s="11">
        <v>0.0</v>
      </c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45.0" customHeight="1">
      <c r="A235" s="6">
        <v>232.0</v>
      </c>
      <c r="B235" s="6" t="s">
        <v>15</v>
      </c>
      <c r="C235" s="6" t="s">
        <v>987</v>
      </c>
      <c r="D235" s="6" t="s">
        <v>988</v>
      </c>
      <c r="E235" s="7" t="s">
        <v>989</v>
      </c>
      <c r="F235" s="8" t="s">
        <v>981</v>
      </c>
      <c r="G235" s="9">
        <v>2.0</v>
      </c>
      <c r="H235" s="9">
        <v>2.0</v>
      </c>
      <c r="I235" s="13">
        <v>50.0</v>
      </c>
      <c r="J235" s="6">
        <f t="shared" si="9"/>
        <v>100</v>
      </c>
      <c r="K235" s="6" t="s">
        <v>20</v>
      </c>
      <c r="L235" s="7" t="s">
        <v>77</v>
      </c>
      <c r="M235" s="7" t="s">
        <v>65</v>
      </c>
      <c r="N235" s="7"/>
      <c r="O235" s="10" t="s">
        <v>990</v>
      </c>
      <c r="P235" s="6" t="str">
        <f t="shared" si="16"/>
        <v/>
      </c>
      <c r="Q235" s="11">
        <v>0.0</v>
      </c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45.0" customHeight="1">
      <c r="A236" s="6">
        <v>233.0</v>
      </c>
      <c r="B236" s="6" t="s">
        <v>15</v>
      </c>
      <c r="C236" s="6" t="s">
        <v>991</v>
      </c>
      <c r="D236" s="6" t="s">
        <v>992</v>
      </c>
      <c r="E236" s="7" t="s">
        <v>993</v>
      </c>
      <c r="F236" s="8" t="s">
        <v>981</v>
      </c>
      <c r="G236" s="9">
        <v>5.0</v>
      </c>
      <c r="H236" s="9">
        <v>5.0</v>
      </c>
      <c r="I236" s="13">
        <v>50.0</v>
      </c>
      <c r="J236" s="6">
        <f t="shared" si="9"/>
        <v>250</v>
      </c>
      <c r="K236" s="6" t="s">
        <v>20</v>
      </c>
      <c r="L236" s="7" t="s">
        <v>77</v>
      </c>
      <c r="M236" s="7" t="s">
        <v>65</v>
      </c>
      <c r="N236" s="7"/>
      <c r="O236" s="10" t="s">
        <v>994</v>
      </c>
      <c r="P236" s="6" t="str">
        <f t="shared" ref="P236:P238" si="17">IMAGE("https://encrypted-tbn0.gstatic.com/=IMAGEs?q=tbn:ANd9GcTv3YU2gmM00qoI79XpKhq-dV1wM5aPXrLsmrVwQWwEda0tuTarN0ncQ0DMg_JUYk4IBe4&amp;usqp=CAU",1)</f>
        <v/>
      </c>
      <c r="Q236" s="11">
        <v>0.0</v>
      </c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45.0" customHeight="1">
      <c r="A237" s="6">
        <v>234.0</v>
      </c>
      <c r="B237" s="6" t="s">
        <v>15</v>
      </c>
      <c r="C237" s="6" t="s">
        <v>995</v>
      </c>
      <c r="D237" s="6" t="s">
        <v>996</v>
      </c>
      <c r="E237" s="7" t="s">
        <v>997</v>
      </c>
      <c r="F237" s="8" t="s">
        <v>981</v>
      </c>
      <c r="G237" s="9">
        <v>5.0</v>
      </c>
      <c r="H237" s="9">
        <v>5.0</v>
      </c>
      <c r="I237" s="13">
        <v>130.0</v>
      </c>
      <c r="J237" s="6">
        <f t="shared" si="9"/>
        <v>650</v>
      </c>
      <c r="K237" s="6" t="s">
        <v>20</v>
      </c>
      <c r="L237" s="7" t="s">
        <v>77</v>
      </c>
      <c r="M237" s="7" t="s">
        <v>65</v>
      </c>
      <c r="N237" s="7"/>
      <c r="O237" s="10" t="s">
        <v>994</v>
      </c>
      <c r="P237" s="6" t="str">
        <f t="shared" si="17"/>
        <v/>
      </c>
      <c r="Q237" s="11">
        <v>0.0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45.0" customHeight="1">
      <c r="A238" s="6">
        <v>235.0</v>
      </c>
      <c r="B238" s="6" t="s">
        <v>15</v>
      </c>
      <c r="C238" s="6" t="s">
        <v>998</v>
      </c>
      <c r="D238" s="6" t="s">
        <v>999</v>
      </c>
      <c r="E238" s="7" t="s">
        <v>1000</v>
      </c>
      <c r="F238" s="8" t="s">
        <v>981</v>
      </c>
      <c r="G238" s="9">
        <v>5.0</v>
      </c>
      <c r="H238" s="9">
        <v>5.0</v>
      </c>
      <c r="I238" s="13">
        <v>180.0</v>
      </c>
      <c r="J238" s="6">
        <f t="shared" si="9"/>
        <v>900</v>
      </c>
      <c r="K238" s="6" t="s">
        <v>20</v>
      </c>
      <c r="L238" s="7" t="s">
        <v>77</v>
      </c>
      <c r="M238" s="7" t="s">
        <v>65</v>
      </c>
      <c r="N238" s="7"/>
      <c r="O238" s="10" t="s">
        <v>1001</v>
      </c>
      <c r="P238" s="6" t="str">
        <f t="shared" si="17"/>
        <v/>
      </c>
      <c r="Q238" s="11">
        <v>0.0</v>
      </c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45.0" customHeight="1">
      <c r="A239" s="6">
        <v>236.0</v>
      </c>
      <c r="B239" s="6" t="s">
        <v>15</v>
      </c>
      <c r="C239" s="6" t="s">
        <v>1002</v>
      </c>
      <c r="D239" s="6" t="s">
        <v>1003</v>
      </c>
      <c r="E239" s="7" t="s">
        <v>1004</v>
      </c>
      <c r="F239" s="8" t="s">
        <v>981</v>
      </c>
      <c r="G239" s="9">
        <v>1.0</v>
      </c>
      <c r="H239" s="9">
        <v>1.0</v>
      </c>
      <c r="I239" s="9">
        <v>250.0</v>
      </c>
      <c r="J239" s="6">
        <f t="shared" si="9"/>
        <v>250</v>
      </c>
      <c r="K239" s="6" t="s">
        <v>20</v>
      </c>
      <c r="L239" s="7" t="s">
        <v>77</v>
      </c>
      <c r="M239" s="7" t="s">
        <v>65</v>
      </c>
      <c r="N239" s="7"/>
      <c r="O239" s="10" t="s">
        <v>1005</v>
      </c>
      <c r="P239" s="6" t="str">
        <f>IMAGE("https://3.imimg.com/data3/QQ/JR/MY-2/plastic-twine-500x500.jpg",1)</f>
        <v/>
      </c>
      <c r="Q239" s="11">
        <v>0.0</v>
      </c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45.0" customHeight="1">
      <c r="A240" s="6">
        <v>237.0</v>
      </c>
      <c r="B240" s="6" t="s">
        <v>15</v>
      </c>
      <c r="C240" s="6" t="s">
        <v>1006</v>
      </c>
      <c r="D240" s="6" t="s">
        <v>1007</v>
      </c>
      <c r="E240" s="7" t="s">
        <v>1008</v>
      </c>
      <c r="F240" s="8" t="s">
        <v>981</v>
      </c>
      <c r="G240" s="9">
        <v>1.0</v>
      </c>
      <c r="H240" s="9">
        <v>1.0</v>
      </c>
      <c r="I240" s="9">
        <v>200.0</v>
      </c>
      <c r="J240" s="6">
        <f t="shared" si="9"/>
        <v>200</v>
      </c>
      <c r="K240" s="6" t="s">
        <v>20</v>
      </c>
      <c r="L240" s="7" t="s">
        <v>77</v>
      </c>
      <c r="M240" s="7" t="s">
        <v>110</v>
      </c>
      <c r="N240" s="7" t="s">
        <v>111</v>
      </c>
      <c r="O240" s="10" t="s">
        <v>1009</v>
      </c>
      <c r="P240" s="6" t="str">
        <f>IMAGE("https://5.imimg.com/data5/KE/BV/MY-37063415/elastic-rubber-band-500x500.jpg",1)</f>
        <v/>
      </c>
      <c r="Q240" s="11">
        <v>0.0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45.0" customHeight="1">
      <c r="A241" s="6">
        <v>238.0</v>
      </c>
      <c r="B241" s="6" t="s">
        <v>15</v>
      </c>
      <c r="C241" s="6" t="s">
        <v>1010</v>
      </c>
      <c r="D241" s="6" t="s">
        <v>1011</v>
      </c>
      <c r="E241" s="7" t="s">
        <v>1012</v>
      </c>
      <c r="F241" s="8" t="s">
        <v>981</v>
      </c>
      <c r="G241" s="9">
        <v>1.0</v>
      </c>
      <c r="H241" s="9">
        <v>1.0</v>
      </c>
      <c r="I241" s="9">
        <v>200.0</v>
      </c>
      <c r="J241" s="6">
        <f t="shared" si="9"/>
        <v>200</v>
      </c>
      <c r="K241" s="6" t="s">
        <v>20</v>
      </c>
      <c r="L241" s="7" t="s">
        <v>77</v>
      </c>
      <c r="M241" s="7" t="s">
        <v>110</v>
      </c>
      <c r="N241" s="7" t="s">
        <v>111</v>
      </c>
      <c r="O241" s="10" t="s">
        <v>1013</v>
      </c>
      <c r="P241" s="6" t="str">
        <f>IMAGE("https://5.imimg.com/data5/BN/VV/MY-31202642/rubber-band-500x500.jpg",1)</f>
        <v/>
      </c>
      <c r="Q241" s="11">
        <v>0.0</v>
      </c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45.0" customHeight="1">
      <c r="A242" s="6">
        <v>239.0</v>
      </c>
      <c r="B242" s="6" t="s">
        <v>15</v>
      </c>
      <c r="C242" s="6" t="s">
        <v>1014</v>
      </c>
      <c r="D242" s="6" t="s">
        <v>1015</v>
      </c>
      <c r="E242" s="7" t="s">
        <v>1016</v>
      </c>
      <c r="F242" s="8" t="s">
        <v>981</v>
      </c>
      <c r="G242" s="9">
        <v>1.0</v>
      </c>
      <c r="H242" s="9">
        <v>1.0</v>
      </c>
      <c r="I242" s="9">
        <v>200.0</v>
      </c>
      <c r="J242" s="6">
        <f t="shared" si="9"/>
        <v>200</v>
      </c>
      <c r="K242" s="6" t="s">
        <v>20</v>
      </c>
      <c r="L242" s="7" t="s">
        <v>77</v>
      </c>
      <c r="M242" s="7" t="s">
        <v>110</v>
      </c>
      <c r="N242" s="7" t="s">
        <v>111</v>
      </c>
      <c r="O242" s="10"/>
      <c r="P242" s="6" t="str">
        <f>IMAGE("https://5.imimg.com/data5/YV/DJ/MY-7514996/rubber-band-500x500.jpg",1)</f>
        <v/>
      </c>
      <c r="Q242" s="11">
        <v>0.0</v>
      </c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45.0" customHeight="1">
      <c r="A243" s="6">
        <v>240.0</v>
      </c>
      <c r="B243" s="6" t="s">
        <v>15</v>
      </c>
      <c r="C243" s="6" t="s">
        <v>1017</v>
      </c>
      <c r="D243" s="6" t="s">
        <v>1018</v>
      </c>
      <c r="E243" s="7" t="s">
        <v>1019</v>
      </c>
      <c r="F243" s="8" t="s">
        <v>981</v>
      </c>
      <c r="G243" s="9">
        <v>1.0</v>
      </c>
      <c r="H243" s="9">
        <v>1.0</v>
      </c>
      <c r="I243" s="9">
        <v>200.0</v>
      </c>
      <c r="J243" s="6">
        <f t="shared" si="9"/>
        <v>200</v>
      </c>
      <c r="K243" s="6" t="s">
        <v>20</v>
      </c>
      <c r="L243" s="7" t="s">
        <v>77</v>
      </c>
      <c r="M243" s="7"/>
      <c r="N243" s="7"/>
      <c r="O243" s="10" t="s">
        <v>1020</v>
      </c>
      <c r="P243" s="6" t="str">
        <f>IMAGE("https://m.media-amazon.com/images/I/51XnX9DfiFL._SL1166_.jpg",1)</f>
        <v/>
      </c>
      <c r="Q243" s="11">
        <v>0.0</v>
      </c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45.0" customHeight="1">
      <c r="A244" s="6">
        <v>241.0</v>
      </c>
      <c r="B244" s="6" t="s">
        <v>342</v>
      </c>
      <c r="C244" s="6" t="s">
        <v>1021</v>
      </c>
      <c r="D244" s="6" t="s">
        <v>1022</v>
      </c>
      <c r="E244" s="7" t="s">
        <v>1023</v>
      </c>
      <c r="F244" s="8" t="s">
        <v>981</v>
      </c>
      <c r="G244" s="9">
        <v>10.0</v>
      </c>
      <c r="H244" s="9">
        <v>10.0</v>
      </c>
      <c r="I244" s="9">
        <v>100.0</v>
      </c>
      <c r="J244" s="6">
        <f t="shared" si="9"/>
        <v>1000</v>
      </c>
      <c r="K244" s="6" t="s">
        <v>347</v>
      </c>
      <c r="L244" s="7" t="s">
        <v>77</v>
      </c>
      <c r="M244" s="16" t="s">
        <v>65</v>
      </c>
      <c r="N244" s="7"/>
      <c r="O244" s="10" t="s">
        <v>1024</v>
      </c>
      <c r="P244" s="6" t="str">
        <f>IMAGE("https://www.shaanstationery.com/image/cache/catalog/kangaro/kangaro-stapler-no-10-corner-view-1000x1000.jpg",1)</f>
        <v/>
      </c>
      <c r="Q244" s="11">
        <v>0.0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45.0" customHeight="1">
      <c r="A245" s="6">
        <v>242.0</v>
      </c>
      <c r="B245" s="6" t="s">
        <v>342</v>
      </c>
      <c r="C245" s="6" t="s">
        <v>1025</v>
      </c>
      <c r="D245" s="6" t="s">
        <v>1026</v>
      </c>
      <c r="E245" s="7" t="s">
        <v>1027</v>
      </c>
      <c r="F245" s="8" t="s">
        <v>981</v>
      </c>
      <c r="G245" s="9">
        <v>5.0</v>
      </c>
      <c r="H245" s="9">
        <v>10.0</v>
      </c>
      <c r="I245" s="9">
        <v>50.0</v>
      </c>
      <c r="J245" s="6">
        <f t="shared" si="9"/>
        <v>500</v>
      </c>
      <c r="K245" s="6" t="s">
        <v>347</v>
      </c>
      <c r="L245" s="7" t="s">
        <v>77</v>
      </c>
      <c r="M245" s="16" t="s">
        <v>65</v>
      </c>
      <c r="N245" s="7"/>
      <c r="O245" s="10" t="s">
        <v>1028</v>
      </c>
      <c r="P245" s="6" t="str">
        <f>IMAGE("https://sc04.alicdn.com/kf/HTB1f9mqOZbpK1RjSZFyq6x_qFXaz.jpg",1)</f>
        <v/>
      </c>
      <c r="Q245" s="11">
        <v>0.0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45.0" customHeight="1">
      <c r="A246" s="6">
        <v>243.0</v>
      </c>
      <c r="B246" s="6" t="s">
        <v>342</v>
      </c>
      <c r="C246" s="6" t="s">
        <v>1029</v>
      </c>
      <c r="D246" s="6" t="s">
        <v>1030</v>
      </c>
      <c r="E246" s="7" t="s">
        <v>1031</v>
      </c>
      <c r="F246" s="8" t="s">
        <v>1032</v>
      </c>
      <c r="G246" s="6">
        <v>1.0</v>
      </c>
      <c r="H246" s="6">
        <v>1.0</v>
      </c>
      <c r="I246" s="6"/>
      <c r="J246" s="6">
        <f t="shared" si="9"/>
        <v>0</v>
      </c>
      <c r="K246" s="6" t="s">
        <v>347</v>
      </c>
      <c r="L246" s="7"/>
      <c r="M246" s="7"/>
      <c r="N246" s="7"/>
      <c r="O246" s="15" t="s">
        <v>1033</v>
      </c>
      <c r="P246" s="6" t="str">
        <f>IMAGE("https://m.media-amazon.com/images/I/61+L7sYwiBL._SL1500_.jpg",1)</f>
        <v/>
      </c>
      <c r="Q246" s="11">
        <v>0.0</v>
      </c>
      <c r="R246" s="12"/>
      <c r="S246" s="12"/>
      <c r="U246" s="12"/>
      <c r="V246" s="12"/>
      <c r="W246" s="12"/>
      <c r="X246" s="12"/>
      <c r="Y246" s="12"/>
      <c r="Z246" s="12"/>
      <c r="AA246" s="12"/>
    </row>
    <row r="247" ht="45.0" customHeight="1">
      <c r="A247" s="6">
        <v>244.0</v>
      </c>
      <c r="B247" s="6" t="s">
        <v>342</v>
      </c>
      <c r="C247" s="6" t="s">
        <v>1034</v>
      </c>
      <c r="D247" s="6" t="s">
        <v>1035</v>
      </c>
      <c r="E247" s="7" t="s">
        <v>1036</v>
      </c>
      <c r="F247" s="8" t="s">
        <v>1032</v>
      </c>
      <c r="G247" s="9"/>
      <c r="H247" s="9">
        <v>2.0</v>
      </c>
      <c r="I247" s="9"/>
      <c r="J247" s="6"/>
      <c r="K247" s="6" t="s">
        <v>347</v>
      </c>
      <c r="L247" s="7"/>
      <c r="M247" s="7"/>
      <c r="N247" s="7"/>
      <c r="O247" s="10"/>
      <c r="P247" s="6" t="e">
        <v>#VALUE!</v>
      </c>
      <c r="Q247" s="11">
        <v>0.0</v>
      </c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45.0" customHeight="1">
      <c r="A248" s="6">
        <v>245.0</v>
      </c>
      <c r="B248" s="6" t="s">
        <v>342</v>
      </c>
      <c r="C248" s="6" t="s">
        <v>1037</v>
      </c>
      <c r="D248" s="6" t="s">
        <v>1038</v>
      </c>
      <c r="E248" s="7" t="s">
        <v>1039</v>
      </c>
      <c r="F248" s="8" t="s">
        <v>1032</v>
      </c>
      <c r="G248" s="9">
        <v>1.0</v>
      </c>
      <c r="H248" s="9">
        <v>1.0</v>
      </c>
      <c r="I248" s="9">
        <v>100.0</v>
      </c>
      <c r="J248" s="6">
        <f t="shared" ref="J248:J261" si="18">I248*H248</f>
        <v>100</v>
      </c>
      <c r="K248" s="6" t="s">
        <v>347</v>
      </c>
      <c r="L248" s="7"/>
      <c r="M248" s="7"/>
      <c r="N248" s="7" t="s">
        <v>430</v>
      </c>
      <c r="O248" s="10" t="s">
        <v>1040</v>
      </c>
      <c r="P248" s="6" t="str">
        <f>IMAGE("https://m.media-amazon.com/images/I/71qyUXJ5i6L._AC_UF1000,1000_QL80_.jpg",1)</f>
        <v/>
      </c>
      <c r="Q248" s="11">
        <v>1.0</v>
      </c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45.0" customHeight="1">
      <c r="A249" s="6">
        <v>246.0</v>
      </c>
      <c r="B249" s="6" t="s">
        <v>342</v>
      </c>
      <c r="C249" s="6" t="s">
        <v>1041</v>
      </c>
      <c r="D249" s="6" t="s">
        <v>1042</v>
      </c>
      <c r="E249" s="7" t="s">
        <v>1043</v>
      </c>
      <c r="F249" s="8" t="s">
        <v>1032</v>
      </c>
      <c r="G249" s="9">
        <v>1.0</v>
      </c>
      <c r="H249" s="9">
        <v>1.0</v>
      </c>
      <c r="I249" s="9">
        <v>200.0</v>
      </c>
      <c r="J249" s="6">
        <f t="shared" si="18"/>
        <v>200</v>
      </c>
      <c r="K249" s="6" t="s">
        <v>347</v>
      </c>
      <c r="L249" s="7"/>
      <c r="M249" s="7"/>
      <c r="N249" s="7"/>
      <c r="O249" s="18" t="s">
        <v>1044</v>
      </c>
      <c r="P249" s="6" t="str">
        <f>IMAGE("https://5.imimg.com/data5/TS/AU/MY-11200044/steel-shaft-claw-hammer-500x500.jpg",1)</f>
        <v/>
      </c>
      <c r="Q249" s="11">
        <v>1.0</v>
      </c>
      <c r="R249" s="12"/>
      <c r="S249" s="12"/>
      <c r="T249" s="12"/>
      <c r="V249" s="12"/>
      <c r="W249" s="12"/>
      <c r="X249" s="12"/>
      <c r="Y249" s="12"/>
      <c r="Z249" s="12"/>
      <c r="AA249" s="12"/>
    </row>
    <row r="250" ht="45.0" customHeight="1">
      <c r="A250" s="6">
        <v>247.0</v>
      </c>
      <c r="B250" s="6" t="s">
        <v>342</v>
      </c>
      <c r="C250" s="6" t="s">
        <v>1045</v>
      </c>
      <c r="D250" s="6" t="s">
        <v>1046</v>
      </c>
      <c r="E250" s="7" t="s">
        <v>1047</v>
      </c>
      <c r="F250" s="8" t="s">
        <v>1032</v>
      </c>
      <c r="G250" s="9">
        <v>1.0</v>
      </c>
      <c r="H250" s="9">
        <v>1.0</v>
      </c>
      <c r="I250" s="9">
        <v>500.0</v>
      </c>
      <c r="J250" s="6">
        <f t="shared" si="18"/>
        <v>500</v>
      </c>
      <c r="K250" s="6" t="s">
        <v>347</v>
      </c>
      <c r="L250" s="7"/>
      <c r="M250" s="7"/>
      <c r="N250" s="7"/>
      <c r="O250" s="10" t="s">
        <v>1048</v>
      </c>
      <c r="P250" s="6" t="str">
        <f>IMAGE("https://5.imimg.com/data5/GU/RT/MY-2970994/bench-clamp.jpg",1)</f>
        <v/>
      </c>
      <c r="Q250" s="11">
        <v>0.0</v>
      </c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45.0" customHeight="1">
      <c r="A251" s="6">
        <v>248.0</v>
      </c>
      <c r="B251" s="6" t="s">
        <v>342</v>
      </c>
      <c r="C251" s="6" t="s">
        <v>1049</v>
      </c>
      <c r="D251" s="6" t="s">
        <v>1050</v>
      </c>
      <c r="E251" s="7" t="s">
        <v>1051</v>
      </c>
      <c r="F251" s="8" t="s">
        <v>1032</v>
      </c>
      <c r="G251" s="9">
        <v>1.0</v>
      </c>
      <c r="H251" s="9">
        <v>1.0</v>
      </c>
      <c r="I251" s="9">
        <v>100.0</v>
      </c>
      <c r="J251" s="6">
        <f t="shared" si="18"/>
        <v>100</v>
      </c>
      <c r="K251" s="6" t="s">
        <v>347</v>
      </c>
      <c r="L251" s="7"/>
      <c r="M251" s="7"/>
      <c r="N251" s="7"/>
      <c r="O251" s="10" t="s">
        <v>1052</v>
      </c>
      <c r="P251" s="6" t="str">
        <f>IMAGE("https://images.jdmagicbox.com/quickquotes/images_main/plier-381885296-5n4zf.jpg",1)</f>
        <v/>
      </c>
      <c r="Q251" s="11">
        <v>1.0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45.0" customHeight="1">
      <c r="A252" s="6">
        <v>249.0</v>
      </c>
      <c r="B252" s="6" t="s">
        <v>342</v>
      </c>
      <c r="C252" s="6" t="s">
        <v>1053</v>
      </c>
      <c r="D252" s="6" t="s">
        <v>1054</v>
      </c>
      <c r="E252" s="7" t="s">
        <v>1055</v>
      </c>
      <c r="F252" s="8" t="s">
        <v>1032</v>
      </c>
      <c r="G252" s="9">
        <v>1.0</v>
      </c>
      <c r="H252" s="9">
        <v>1.0</v>
      </c>
      <c r="I252" s="9">
        <v>150.0</v>
      </c>
      <c r="J252" s="6">
        <f t="shared" si="18"/>
        <v>150</v>
      </c>
      <c r="K252" s="6" t="s">
        <v>347</v>
      </c>
      <c r="L252" s="7"/>
      <c r="M252" s="7"/>
      <c r="N252" s="7"/>
      <c r="O252" s="10" t="s">
        <v>1056</v>
      </c>
      <c r="P252" s="6" t="str">
        <f>IMAGE("https://m.media-amazon.com/images/I/613WSFIoSjL._SL1500_.jpg",1)</f>
        <v/>
      </c>
      <c r="Q252" s="11">
        <v>1.0</v>
      </c>
      <c r="R252" s="12"/>
      <c r="S252" s="12"/>
      <c r="T252" s="12">
        <v>750.0</v>
      </c>
      <c r="U252" s="12">
        <f>T252*H252</f>
        <v>750</v>
      </c>
      <c r="V252" s="12"/>
      <c r="W252" s="12"/>
      <c r="X252" s="12"/>
      <c r="Y252" s="12"/>
      <c r="Z252" s="12"/>
      <c r="AA252" s="12"/>
    </row>
    <row r="253" ht="45.0" customHeight="1">
      <c r="A253" s="6">
        <v>250.0</v>
      </c>
      <c r="B253" s="6" t="s">
        <v>342</v>
      </c>
      <c r="C253" s="6" t="s">
        <v>1057</v>
      </c>
      <c r="D253" s="6" t="s">
        <v>1058</v>
      </c>
      <c r="E253" s="7" t="s">
        <v>1059</v>
      </c>
      <c r="F253" s="8" t="s">
        <v>1032</v>
      </c>
      <c r="G253" s="9">
        <v>1.0</v>
      </c>
      <c r="H253" s="9">
        <v>1.0</v>
      </c>
      <c r="I253" s="9">
        <v>100.0</v>
      </c>
      <c r="J253" s="6">
        <f t="shared" si="18"/>
        <v>100</v>
      </c>
      <c r="K253" s="6" t="s">
        <v>347</v>
      </c>
      <c r="L253" s="7"/>
      <c r="M253" s="7"/>
      <c r="N253" s="7"/>
      <c r="O253" s="10" t="s">
        <v>1060</v>
      </c>
      <c r="P253" s="6" t="str">
        <f>IMAGE("https://in.misumi-ec.com/linked/material/fs/FUJ1/PHOTO/223000817171_001.jpg?$product_main$",1)</f>
        <v/>
      </c>
      <c r="Q253" s="14">
        <v>1.0</v>
      </c>
      <c r="R253" s="12"/>
      <c r="S253" s="12"/>
      <c r="T253" s="5"/>
      <c r="U253" s="5"/>
      <c r="V253" s="5"/>
      <c r="W253" s="5"/>
      <c r="X253" s="5"/>
      <c r="Y253" s="5"/>
      <c r="Z253" s="5"/>
      <c r="AA253" s="5"/>
    </row>
    <row r="254" ht="45.0" customHeight="1">
      <c r="A254" s="6">
        <v>251.0</v>
      </c>
      <c r="B254" s="6" t="s">
        <v>342</v>
      </c>
      <c r="C254" s="6" t="s">
        <v>1061</v>
      </c>
      <c r="D254" s="6" t="s">
        <v>1062</v>
      </c>
      <c r="E254" s="7" t="s">
        <v>1063</v>
      </c>
      <c r="F254" s="8" t="s">
        <v>1032</v>
      </c>
      <c r="G254" s="9">
        <v>2.0</v>
      </c>
      <c r="H254" s="9">
        <v>2.0</v>
      </c>
      <c r="I254" s="9">
        <v>500.0</v>
      </c>
      <c r="J254" s="6">
        <f t="shared" si="18"/>
        <v>1000</v>
      </c>
      <c r="K254" s="6" t="s">
        <v>347</v>
      </c>
      <c r="L254" s="7"/>
      <c r="M254" s="7"/>
      <c r="N254" s="7"/>
      <c r="O254" s="10" t="s">
        <v>1064</v>
      </c>
      <c r="P254" s="6" t="str">
        <f>IMAGE("https://i.ebayimg.com/images/g/QLMAAOSwETxj4~0j/s-l1600.jpg",1)</f>
        <v/>
      </c>
      <c r="Q254" s="11">
        <v>0.0</v>
      </c>
      <c r="R254" s="12"/>
      <c r="S254" s="12" t="s">
        <v>144</v>
      </c>
      <c r="T254" s="12"/>
      <c r="U254" s="12"/>
      <c r="V254" s="12"/>
      <c r="W254" s="12"/>
      <c r="X254" s="12"/>
      <c r="Y254" s="12"/>
      <c r="Z254" s="12"/>
      <c r="AA254" s="12"/>
    </row>
    <row r="255" ht="45.0" customHeight="1">
      <c r="A255" s="6">
        <v>252.0</v>
      </c>
      <c r="B255" s="6" t="s">
        <v>342</v>
      </c>
      <c r="C255" s="6" t="s">
        <v>1065</v>
      </c>
      <c r="D255" s="6" t="s">
        <v>1066</v>
      </c>
      <c r="E255" s="7" t="s">
        <v>1067</v>
      </c>
      <c r="F255" s="8" t="s">
        <v>1032</v>
      </c>
      <c r="G255" s="9">
        <v>1.0</v>
      </c>
      <c r="H255" s="9">
        <v>1.0</v>
      </c>
      <c r="I255" s="9">
        <v>200.0</v>
      </c>
      <c r="J255" s="6">
        <f t="shared" si="18"/>
        <v>200</v>
      </c>
      <c r="K255" s="6" t="s">
        <v>347</v>
      </c>
      <c r="L255" s="7"/>
      <c r="M255" s="7"/>
      <c r="N255" s="7"/>
      <c r="O255" s="10" t="s">
        <v>1068</v>
      </c>
      <c r="P255" s="6" t="str">
        <f>IMAGE("https://res.cloudinary.com/rsc/image/upload/b_rgb:FFFFFF,c_pad,dpr_1.0,f_auto,q_auto,w_700/c_pad,w_700/C1985249-01",1)</f>
        <v/>
      </c>
      <c r="Q255" s="11">
        <v>1.0</v>
      </c>
      <c r="R255" s="5"/>
      <c r="S255" s="5"/>
      <c r="T255" s="12"/>
      <c r="U255" s="12"/>
      <c r="V255" s="12"/>
      <c r="W255" s="12"/>
      <c r="X255" s="12"/>
      <c r="Y255" s="12"/>
      <c r="Z255" s="12"/>
      <c r="AA255" s="12"/>
    </row>
    <row r="256" ht="45.0" customHeight="1">
      <c r="A256" s="6">
        <v>253.0</v>
      </c>
      <c r="B256" s="6" t="s">
        <v>342</v>
      </c>
      <c r="C256" s="6" t="s">
        <v>1069</v>
      </c>
      <c r="D256" s="6" t="s">
        <v>1070</v>
      </c>
      <c r="E256" s="7" t="s">
        <v>1071</v>
      </c>
      <c r="F256" s="8" t="s">
        <v>1032</v>
      </c>
      <c r="G256" s="9">
        <v>10.0</v>
      </c>
      <c r="H256" s="9">
        <v>10.0</v>
      </c>
      <c r="I256" s="9">
        <v>200.0</v>
      </c>
      <c r="J256" s="6">
        <f t="shared" si="18"/>
        <v>2000</v>
      </c>
      <c r="K256" s="6" t="s">
        <v>347</v>
      </c>
      <c r="L256" s="7" t="s">
        <v>47</v>
      </c>
      <c r="M256" s="16" t="s">
        <v>65</v>
      </c>
      <c r="N256" s="7"/>
      <c r="O256" s="10" t="s">
        <v>1072</v>
      </c>
      <c r="P256" s="6" t="str">
        <f>IMAGE("https://cdn.shopify.com/s/files/1/0064/3412/7939/products/71vpWrfPgFL._SL1000_9c7ae600-0e17-44f0-97b0-7a8fa32a55cc_2048x.jpg?v=1540199513",1)</f>
        <v/>
      </c>
      <c r="Q256" s="11">
        <v>0.0</v>
      </c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45.0" customHeight="1">
      <c r="A257" s="6">
        <v>254.0</v>
      </c>
      <c r="B257" s="6" t="s">
        <v>342</v>
      </c>
      <c r="C257" s="6" t="s">
        <v>1073</v>
      </c>
      <c r="D257" s="6" t="s">
        <v>1074</v>
      </c>
      <c r="E257" s="7" t="s">
        <v>1075</v>
      </c>
      <c r="F257" s="8" t="s">
        <v>1032</v>
      </c>
      <c r="G257" s="9">
        <v>4.0</v>
      </c>
      <c r="H257" s="9">
        <v>4.0</v>
      </c>
      <c r="I257" s="9">
        <v>500.0</v>
      </c>
      <c r="J257" s="6">
        <f t="shared" si="18"/>
        <v>2000</v>
      </c>
      <c r="K257" s="6" t="s">
        <v>347</v>
      </c>
      <c r="L257" s="7"/>
      <c r="M257" s="7"/>
      <c r="N257" s="7"/>
      <c r="O257" s="10" t="s">
        <v>284</v>
      </c>
      <c r="P257" s="6" t="str">
        <f>IMAGE("https://cdn.shopify.com/s/files/1/0088/0056/7392/products/71GahpQFYhL._SL1500_1024x.jpg?v=1634034762",1)</f>
        <v/>
      </c>
      <c r="Q257" s="11">
        <v>1.0</v>
      </c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45.0" customHeight="1">
      <c r="A258" s="6">
        <v>255.0</v>
      </c>
      <c r="B258" s="6" t="s">
        <v>342</v>
      </c>
      <c r="C258" s="6" t="s">
        <v>1076</v>
      </c>
      <c r="D258" s="6" t="s">
        <v>1077</v>
      </c>
      <c r="E258" s="7" t="s">
        <v>1078</v>
      </c>
      <c r="F258" s="8" t="s">
        <v>1032</v>
      </c>
      <c r="G258" s="9">
        <v>50.0</v>
      </c>
      <c r="H258" s="9">
        <v>50.0</v>
      </c>
      <c r="I258" s="9">
        <v>8.0</v>
      </c>
      <c r="J258" s="6">
        <f t="shared" si="18"/>
        <v>400</v>
      </c>
      <c r="K258" s="6" t="s">
        <v>347</v>
      </c>
      <c r="L258" s="7" t="s">
        <v>47</v>
      </c>
      <c r="M258" s="7" t="s">
        <v>22</v>
      </c>
      <c r="N258" s="7" t="s">
        <v>23</v>
      </c>
      <c r="O258" s="10" t="s">
        <v>1079</v>
      </c>
      <c r="P258" s="6" t="str">
        <f>IMAGE("https://m.media-amazon.com/images/I/51OTKanSUXL._SL1024_.jpg",1)</f>
        <v/>
      </c>
      <c r="Q258" s="11">
        <v>0.0</v>
      </c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45.0" customHeight="1">
      <c r="A259" s="6">
        <v>256.0</v>
      </c>
      <c r="B259" s="6" t="s">
        <v>342</v>
      </c>
      <c r="C259" s="6" t="s">
        <v>1080</v>
      </c>
      <c r="D259" s="6" t="s">
        <v>1081</v>
      </c>
      <c r="E259" s="7" t="s">
        <v>1082</v>
      </c>
      <c r="F259" s="8" t="s">
        <v>1032</v>
      </c>
      <c r="G259" s="9">
        <v>1.0</v>
      </c>
      <c r="H259" s="9">
        <v>1.0</v>
      </c>
      <c r="I259" s="9">
        <v>200.0</v>
      </c>
      <c r="J259" s="6">
        <f t="shared" si="18"/>
        <v>200</v>
      </c>
      <c r="K259" s="6" t="s">
        <v>347</v>
      </c>
      <c r="L259" s="7"/>
      <c r="M259" s="7"/>
      <c r="N259" s="7"/>
      <c r="O259" s="10" t="s">
        <v>1083</v>
      </c>
      <c r="P259" s="6" t="str">
        <f>IMAGE("https://m.media-amazon.com/images/I/41XSpNsGoiL._SL1024_.jpg",1)</f>
        <v/>
      </c>
      <c r="Q259" s="11">
        <v>1.0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45.0" customHeight="1">
      <c r="A260" s="6">
        <v>257.0</v>
      </c>
      <c r="B260" s="6" t="s">
        <v>342</v>
      </c>
      <c r="C260" s="6" t="s">
        <v>1084</v>
      </c>
      <c r="D260" s="6" t="s">
        <v>1085</v>
      </c>
      <c r="E260" s="7" t="s">
        <v>1086</v>
      </c>
      <c r="F260" s="8" t="s">
        <v>1032</v>
      </c>
      <c r="G260" s="9">
        <v>2.0</v>
      </c>
      <c r="H260" s="9">
        <v>2.0</v>
      </c>
      <c r="I260" s="9">
        <v>100.0</v>
      </c>
      <c r="J260" s="6">
        <f t="shared" si="18"/>
        <v>200</v>
      </c>
      <c r="K260" s="6" t="s">
        <v>347</v>
      </c>
      <c r="L260" s="7"/>
      <c r="M260" s="7"/>
      <c r="N260" s="7"/>
      <c r="O260" s="10" t="s">
        <v>1087</v>
      </c>
      <c r="P260" s="6" t="str">
        <f>IMAGE("https://m.media-amazon.com/images/I/513ZkVzGbdL._AC_.jpg", 1)</f>
        <v/>
      </c>
      <c r="Q260" s="11">
        <v>0.0</v>
      </c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45.0" customHeight="1">
      <c r="A261" s="6">
        <v>258.0</v>
      </c>
      <c r="B261" s="6" t="s">
        <v>342</v>
      </c>
      <c r="C261" s="6" t="s">
        <v>1088</v>
      </c>
      <c r="D261" s="6" t="s">
        <v>1089</v>
      </c>
      <c r="E261" s="7" t="s">
        <v>1090</v>
      </c>
      <c r="F261" s="8" t="s">
        <v>1032</v>
      </c>
      <c r="G261" s="9">
        <v>1.0</v>
      </c>
      <c r="H261" s="9">
        <v>1.0</v>
      </c>
      <c r="I261" s="9">
        <v>200.0</v>
      </c>
      <c r="J261" s="6">
        <f t="shared" si="18"/>
        <v>200</v>
      </c>
      <c r="K261" s="6" t="s">
        <v>347</v>
      </c>
      <c r="L261" s="7"/>
      <c r="M261" s="7"/>
      <c r="N261" s="7"/>
      <c r="O261" s="10" t="s">
        <v>1091</v>
      </c>
      <c r="P261" s="6" t="str">
        <f>IMAGE("https://m.media-amazon.com/images/I/41V47za3aNL.jpg",1)</f>
        <v/>
      </c>
      <c r="Q261" s="11">
        <v>1.0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45.0" customHeight="1">
      <c r="A262" s="6">
        <v>259.0</v>
      </c>
      <c r="B262" s="6" t="s">
        <v>342</v>
      </c>
      <c r="C262" s="6" t="s">
        <v>1092</v>
      </c>
      <c r="D262" s="6" t="s">
        <v>1093</v>
      </c>
      <c r="E262" s="7" t="s">
        <v>1094</v>
      </c>
      <c r="F262" s="8" t="s">
        <v>1032</v>
      </c>
      <c r="G262" s="9" t="s">
        <v>56</v>
      </c>
      <c r="H262" s="9" t="s">
        <v>56</v>
      </c>
      <c r="I262" s="9" t="s">
        <v>56</v>
      </c>
      <c r="J262" s="9" t="s">
        <v>56</v>
      </c>
      <c r="K262" s="6" t="s">
        <v>347</v>
      </c>
      <c r="L262" s="7"/>
      <c r="M262" s="7"/>
      <c r="N262" s="7"/>
      <c r="O262" s="10" t="s">
        <v>1095</v>
      </c>
      <c r="P262" s="6" t="str">
        <f>IMAGE("https://m.media-amazon.com/images/I/41pgJCdOd0L._AC_SX522_.jpg", 1)</f>
        <v/>
      </c>
      <c r="Q262" s="11">
        <v>1.0</v>
      </c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45.0" customHeight="1">
      <c r="A263" s="6">
        <v>260.0</v>
      </c>
      <c r="B263" s="6" t="s">
        <v>342</v>
      </c>
      <c r="C263" s="6" t="s">
        <v>1096</v>
      </c>
      <c r="D263" s="6" t="s">
        <v>1097</v>
      </c>
      <c r="E263" s="7" t="s">
        <v>1098</v>
      </c>
      <c r="F263" s="8" t="s">
        <v>1032</v>
      </c>
      <c r="G263" s="9">
        <v>25.0</v>
      </c>
      <c r="H263" s="9">
        <v>25.0</v>
      </c>
      <c r="I263" s="9">
        <v>20.0</v>
      </c>
      <c r="J263" s="6">
        <f>I263*H263</f>
        <v>500</v>
      </c>
      <c r="K263" s="6" t="s">
        <v>347</v>
      </c>
      <c r="L263" s="7"/>
      <c r="M263" s="7"/>
      <c r="N263" s="7"/>
      <c r="O263" s="10" t="s">
        <v>481</v>
      </c>
      <c r="P263" s="6" t="str">
        <f>IMAGE("https://5.imimg.com/data5/UF/DF/MY-45635244/sand-paper-500x500.jpg",1)</f>
        <v/>
      </c>
      <c r="Q263" s="11">
        <v>0.0</v>
      </c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45.0" customHeight="1">
      <c r="A264" s="6">
        <v>261.0</v>
      </c>
      <c r="B264" s="6" t="s">
        <v>342</v>
      </c>
      <c r="C264" s="6" t="s">
        <v>1099</v>
      </c>
      <c r="D264" s="6" t="s">
        <v>1100</v>
      </c>
      <c r="E264" s="7" t="s">
        <v>1101</v>
      </c>
      <c r="F264" s="8" t="s">
        <v>1032</v>
      </c>
      <c r="G264" s="9" t="s">
        <v>56</v>
      </c>
      <c r="H264" s="9" t="s">
        <v>56</v>
      </c>
      <c r="I264" s="9" t="s">
        <v>56</v>
      </c>
      <c r="J264" s="9" t="s">
        <v>56</v>
      </c>
      <c r="K264" s="6" t="s">
        <v>347</v>
      </c>
      <c r="L264" s="7"/>
      <c r="M264" s="7"/>
      <c r="N264" s="7"/>
      <c r="O264" s="9" t="s">
        <v>56</v>
      </c>
      <c r="P264" s="13" t="e">
        <v>#VALUE!</v>
      </c>
      <c r="Q264" s="11">
        <v>1.0</v>
      </c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45.0" customHeight="1">
      <c r="A265" s="6">
        <v>262.0</v>
      </c>
      <c r="B265" s="6" t="s">
        <v>342</v>
      </c>
      <c r="C265" s="6" t="s">
        <v>1102</v>
      </c>
      <c r="D265" s="6" t="s">
        <v>1103</v>
      </c>
      <c r="E265" s="7" t="s">
        <v>1104</v>
      </c>
      <c r="F265" s="8" t="s">
        <v>1032</v>
      </c>
      <c r="G265" s="9" t="s">
        <v>56</v>
      </c>
      <c r="H265" s="9" t="s">
        <v>56</v>
      </c>
      <c r="I265" s="9" t="s">
        <v>56</v>
      </c>
      <c r="J265" s="9" t="s">
        <v>56</v>
      </c>
      <c r="K265" s="6" t="s">
        <v>347</v>
      </c>
      <c r="L265" s="7"/>
      <c r="M265" s="7"/>
      <c r="N265" s="7"/>
      <c r="O265" s="9" t="s">
        <v>56</v>
      </c>
      <c r="P265" s="13" t="e">
        <v>#VALUE!</v>
      </c>
      <c r="Q265" s="11">
        <v>1.0</v>
      </c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45.0" customHeight="1">
      <c r="A266" s="6">
        <v>263.0</v>
      </c>
      <c r="B266" s="6" t="s">
        <v>342</v>
      </c>
      <c r="C266" s="6" t="s">
        <v>1105</v>
      </c>
      <c r="D266" s="6" t="s">
        <v>1106</v>
      </c>
      <c r="E266" s="21" t="s">
        <v>1107</v>
      </c>
      <c r="F266" s="8" t="s">
        <v>1032</v>
      </c>
      <c r="G266" s="9" t="s">
        <v>56</v>
      </c>
      <c r="H266" s="9" t="s">
        <v>56</v>
      </c>
      <c r="I266" s="9" t="s">
        <v>56</v>
      </c>
      <c r="J266" s="9" t="s">
        <v>56</v>
      </c>
      <c r="K266" s="6" t="s">
        <v>347</v>
      </c>
      <c r="L266" s="7"/>
      <c r="M266" s="7"/>
      <c r="N266" s="7"/>
      <c r="O266" s="9" t="s">
        <v>56</v>
      </c>
      <c r="P266" s="13" t="e">
        <v>#VALUE!</v>
      </c>
      <c r="Q266" s="11">
        <v>1.0</v>
      </c>
      <c r="R266" s="12"/>
      <c r="S266" s="12"/>
      <c r="T266" s="12"/>
      <c r="V266" s="12"/>
      <c r="W266" s="12"/>
      <c r="X266" s="12"/>
      <c r="Y266" s="12"/>
      <c r="Z266" s="12"/>
      <c r="AA266" s="12"/>
    </row>
    <row r="267" ht="45.0" customHeight="1">
      <c r="A267" s="6">
        <v>264.0</v>
      </c>
      <c r="B267" s="6" t="s">
        <v>342</v>
      </c>
      <c r="C267" s="6" t="s">
        <v>1108</v>
      </c>
      <c r="D267" s="6" t="s">
        <v>1109</v>
      </c>
      <c r="E267" s="21" t="s">
        <v>1110</v>
      </c>
      <c r="F267" s="8" t="s">
        <v>1032</v>
      </c>
      <c r="G267" s="9" t="s">
        <v>56</v>
      </c>
      <c r="H267" s="9" t="s">
        <v>56</v>
      </c>
      <c r="I267" s="9" t="s">
        <v>56</v>
      </c>
      <c r="J267" s="9" t="s">
        <v>56</v>
      </c>
      <c r="K267" s="6" t="s">
        <v>347</v>
      </c>
      <c r="L267" s="7"/>
      <c r="M267" s="7"/>
      <c r="N267" s="7"/>
      <c r="O267" s="10" t="s">
        <v>1111</v>
      </c>
      <c r="P267" s="9" t="e">
        <v>#VALUE!</v>
      </c>
      <c r="Q267" s="11">
        <v>1.0</v>
      </c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45.0" customHeight="1">
      <c r="A268" s="6">
        <v>265.0</v>
      </c>
      <c r="B268" s="6" t="s">
        <v>342</v>
      </c>
      <c r="C268" s="6" t="s">
        <v>1112</v>
      </c>
      <c r="D268" s="6" t="s">
        <v>1113</v>
      </c>
      <c r="E268" s="7" t="s">
        <v>1114</v>
      </c>
      <c r="F268" s="8" t="s">
        <v>1032</v>
      </c>
      <c r="G268" s="9" t="s">
        <v>56</v>
      </c>
      <c r="H268" s="9" t="s">
        <v>56</v>
      </c>
      <c r="I268" s="9" t="s">
        <v>56</v>
      </c>
      <c r="J268" s="9" t="s">
        <v>56</v>
      </c>
      <c r="K268" s="6" t="s">
        <v>347</v>
      </c>
      <c r="L268" s="7"/>
      <c r="M268" s="7"/>
      <c r="N268" s="7"/>
      <c r="O268" s="9" t="s">
        <v>56</v>
      </c>
      <c r="P268" s="9" t="e">
        <v>#VALUE!</v>
      </c>
      <c r="Q268" s="11">
        <v>1.0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45.0" customHeight="1">
      <c r="A269" s="6">
        <v>266.0</v>
      </c>
      <c r="B269" s="6" t="s">
        <v>342</v>
      </c>
      <c r="C269" s="6" t="s">
        <v>1115</v>
      </c>
      <c r="D269" s="6" t="s">
        <v>1116</v>
      </c>
      <c r="E269" s="7" t="s">
        <v>1117</v>
      </c>
      <c r="F269" s="8" t="s">
        <v>1032</v>
      </c>
      <c r="G269" s="9" t="s">
        <v>56</v>
      </c>
      <c r="H269" s="9" t="s">
        <v>56</v>
      </c>
      <c r="I269" s="9" t="s">
        <v>56</v>
      </c>
      <c r="J269" s="9" t="s">
        <v>56</v>
      </c>
      <c r="K269" s="6" t="s">
        <v>347</v>
      </c>
      <c r="L269" s="7"/>
      <c r="M269" s="7"/>
      <c r="N269" s="7"/>
      <c r="O269" s="10" t="s">
        <v>1118</v>
      </c>
      <c r="P269" s="9" t="e">
        <v>#VALUE!</v>
      </c>
      <c r="Q269" s="11">
        <v>1.0</v>
      </c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45.0" customHeight="1">
      <c r="A270" s="6">
        <v>267.0</v>
      </c>
      <c r="B270" s="6" t="s">
        <v>342</v>
      </c>
      <c r="C270" s="6" t="s">
        <v>1119</v>
      </c>
      <c r="D270" s="6" t="s">
        <v>1120</v>
      </c>
      <c r="E270" s="7" t="s">
        <v>1121</v>
      </c>
      <c r="F270" s="8" t="s">
        <v>1032</v>
      </c>
      <c r="G270" s="9">
        <v>1.0</v>
      </c>
      <c r="H270" s="9">
        <v>1.0</v>
      </c>
      <c r="I270" s="9">
        <v>300.0</v>
      </c>
      <c r="J270" s="6">
        <f t="shared" ref="J270:J276" si="19">I270*H270</f>
        <v>300</v>
      </c>
      <c r="K270" s="6" t="s">
        <v>347</v>
      </c>
      <c r="L270" s="7"/>
      <c r="M270" s="7"/>
      <c r="N270" s="7"/>
      <c r="O270" s="10" t="s">
        <v>1122</v>
      </c>
      <c r="P270" s="6" t="str">
        <f>IMAGE("https://5.imimg.com/data5/DH/NE/PV/SELLER-4135781/6-pc-precision-screwdriver-set-500x500.jpg",1)</f>
        <v/>
      </c>
      <c r="Q270" s="11">
        <v>1.0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45.0" customHeight="1">
      <c r="A271" s="6">
        <v>268.0</v>
      </c>
      <c r="B271" s="6" t="s">
        <v>342</v>
      </c>
      <c r="C271" s="6" t="s">
        <v>1123</v>
      </c>
      <c r="D271" s="6" t="s">
        <v>1124</v>
      </c>
      <c r="E271" s="7" t="s">
        <v>1125</v>
      </c>
      <c r="F271" s="8" t="s">
        <v>1032</v>
      </c>
      <c r="G271" s="9">
        <v>1.0</v>
      </c>
      <c r="H271" s="9">
        <v>1.0</v>
      </c>
      <c r="I271" s="9">
        <v>100.0</v>
      </c>
      <c r="J271" s="6">
        <f t="shared" si="19"/>
        <v>100</v>
      </c>
      <c r="K271" s="6" t="s">
        <v>347</v>
      </c>
      <c r="L271" s="7"/>
      <c r="M271" s="7"/>
      <c r="N271" s="7"/>
      <c r="O271" s="10"/>
      <c r="P271" s="6" t="str">
        <f>IMAGE("https://cdn.shopify.com/s/files/1/0276/7382/1286/products/57_1a2e82a1-0306-49dc-8a29-0c0b2110ddb8_600x.jpg?v=1632245164",1)</f>
        <v/>
      </c>
      <c r="Q271" s="11">
        <v>0.0</v>
      </c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45.0" customHeight="1">
      <c r="A272" s="6">
        <v>269.0</v>
      </c>
      <c r="B272" s="6" t="s">
        <v>342</v>
      </c>
      <c r="C272" s="6" t="s">
        <v>1126</v>
      </c>
      <c r="D272" s="6" t="s">
        <v>1127</v>
      </c>
      <c r="E272" s="7" t="s">
        <v>1128</v>
      </c>
      <c r="F272" s="8" t="s">
        <v>1032</v>
      </c>
      <c r="G272" s="9">
        <v>1.0</v>
      </c>
      <c r="H272" s="9">
        <v>1.0</v>
      </c>
      <c r="I272" s="9">
        <v>200.0</v>
      </c>
      <c r="J272" s="6">
        <f t="shared" si="19"/>
        <v>200</v>
      </c>
      <c r="K272" s="6" t="s">
        <v>347</v>
      </c>
      <c r="L272" s="7"/>
      <c r="M272" s="7"/>
      <c r="N272" s="7"/>
      <c r="O272" s="10" t="s">
        <v>1129</v>
      </c>
      <c r="P272" s="6" t="str">
        <f>IMAGE("https://cdn.bmstores.co.uk/images/hpcProductImage/imgFull/369783-stanley-sealant-gun-diy.jpg",1)</f>
        <v/>
      </c>
      <c r="Q272" s="11">
        <v>1.0</v>
      </c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45.0" customHeight="1">
      <c r="A273" s="6">
        <v>270.0</v>
      </c>
      <c r="B273" s="6" t="s">
        <v>342</v>
      </c>
      <c r="C273" s="6" t="s">
        <v>1130</v>
      </c>
      <c r="D273" s="6" t="s">
        <v>1131</v>
      </c>
      <c r="E273" s="7" t="s">
        <v>1132</v>
      </c>
      <c r="F273" s="8" t="s">
        <v>1032</v>
      </c>
      <c r="G273" s="9">
        <v>1.0</v>
      </c>
      <c r="H273" s="9">
        <v>1.0</v>
      </c>
      <c r="I273" s="9">
        <v>300.0</v>
      </c>
      <c r="J273" s="6">
        <f t="shared" si="19"/>
        <v>300</v>
      </c>
      <c r="K273" s="6" t="s">
        <v>347</v>
      </c>
      <c r="L273" s="7"/>
      <c r="M273" s="7"/>
      <c r="N273" s="7"/>
      <c r="O273" s="10" t="s">
        <v>1133</v>
      </c>
      <c r="P273" s="6" t="str">
        <f>IMAGE("https://5.imimg.com/data5/SELLER/Default/2020/12/RU/ZP/SZ/45671901/alstone-silicone-sealant-500x500.jpeg",1)</f>
        <v/>
      </c>
      <c r="Q273" s="11">
        <v>0.0</v>
      </c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45.0" customHeight="1">
      <c r="A274" s="6">
        <v>271.0</v>
      </c>
      <c r="B274" s="6" t="s">
        <v>342</v>
      </c>
      <c r="C274" s="6" t="s">
        <v>1134</v>
      </c>
      <c r="D274" s="6" t="s">
        <v>1135</v>
      </c>
      <c r="E274" s="7" t="s">
        <v>1136</v>
      </c>
      <c r="F274" s="8" t="s">
        <v>1032</v>
      </c>
      <c r="G274" s="9">
        <v>1.0</v>
      </c>
      <c r="H274" s="9">
        <v>1.0</v>
      </c>
      <c r="I274" s="9">
        <v>180.0</v>
      </c>
      <c r="J274" s="6">
        <f t="shared" si="19"/>
        <v>180</v>
      </c>
      <c r="K274" s="6" t="s">
        <v>347</v>
      </c>
      <c r="L274" s="7"/>
      <c r="M274" s="7"/>
      <c r="N274" s="7"/>
      <c r="O274" s="22" t="s">
        <v>1137</v>
      </c>
      <c r="P274" s="6" t="str">
        <f>IMAGE("https://ravimachines.com/wp-content/uploads/2016/07/full_13.jpg",1)</f>
        <v/>
      </c>
      <c r="Q274" s="11">
        <v>1.0</v>
      </c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45.0" customHeight="1">
      <c r="A275" s="6">
        <v>272.0</v>
      </c>
      <c r="B275" s="6" t="s">
        <v>342</v>
      </c>
      <c r="C275" s="6" t="s">
        <v>1138</v>
      </c>
      <c r="D275" s="6" t="s">
        <v>1139</v>
      </c>
      <c r="E275" s="10" t="s">
        <v>1140</v>
      </c>
      <c r="F275" s="8" t="s">
        <v>1032</v>
      </c>
      <c r="G275" s="6">
        <v>10.0</v>
      </c>
      <c r="H275" s="6">
        <v>10.0</v>
      </c>
      <c r="I275" s="6">
        <v>100.0</v>
      </c>
      <c r="J275" s="6">
        <f t="shared" si="19"/>
        <v>1000</v>
      </c>
      <c r="K275" s="6" t="s">
        <v>347</v>
      </c>
      <c r="L275" s="7"/>
      <c r="M275" s="7"/>
      <c r="N275" s="7"/>
      <c r="O275" s="10" t="s">
        <v>1141</v>
      </c>
      <c r="P275" s="6" t="str">
        <f>IMAGE("https://m.media-amazon.com/images/I/61O+7azby+L.jpg",1)</f>
        <v/>
      </c>
      <c r="Q275" s="11">
        <v>0.0</v>
      </c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45.0" customHeight="1">
      <c r="A276" s="6">
        <v>273.0</v>
      </c>
      <c r="B276" s="6" t="s">
        <v>342</v>
      </c>
      <c r="C276" s="6" t="s">
        <v>1142</v>
      </c>
      <c r="D276" s="6" t="s">
        <v>1143</v>
      </c>
      <c r="E276" s="7" t="s">
        <v>1144</v>
      </c>
      <c r="F276" s="8" t="s">
        <v>1032</v>
      </c>
      <c r="G276" s="9">
        <v>1.0</v>
      </c>
      <c r="H276" s="9">
        <v>1.0</v>
      </c>
      <c r="I276" s="9">
        <v>1500.0</v>
      </c>
      <c r="J276" s="6">
        <f t="shared" si="19"/>
        <v>1500</v>
      </c>
      <c r="K276" s="6" t="s">
        <v>347</v>
      </c>
      <c r="L276" s="7"/>
      <c r="M276" s="7"/>
      <c r="N276" s="7"/>
      <c r="O276" s="10" t="s">
        <v>1145</v>
      </c>
      <c r="P276" s="6" t="str">
        <f>IMAGE("https://5.imimg.com/data5/SELLER/Default/2021/4/UH/ZY/EE/41301440/machine.jpeg",1)</f>
        <v/>
      </c>
      <c r="Q276" s="11">
        <v>1.0</v>
      </c>
      <c r="R276" s="12"/>
      <c r="S276" s="12"/>
      <c r="T276" s="12"/>
      <c r="U276" s="12"/>
      <c r="W276" s="12"/>
      <c r="X276" s="12"/>
      <c r="Y276" s="12"/>
      <c r="Z276" s="12"/>
      <c r="AA276" s="12"/>
    </row>
    <row r="277" ht="45.0" customHeight="1">
      <c r="A277" s="6">
        <v>274.0</v>
      </c>
      <c r="B277" s="6" t="s">
        <v>342</v>
      </c>
      <c r="C277" s="6" t="s">
        <v>1146</v>
      </c>
      <c r="D277" s="6" t="s">
        <v>1147</v>
      </c>
      <c r="E277" s="7" t="s">
        <v>1148</v>
      </c>
      <c r="F277" s="8" t="s">
        <v>1032</v>
      </c>
      <c r="G277" s="9">
        <v>2.0</v>
      </c>
      <c r="H277" s="9">
        <v>2.0</v>
      </c>
      <c r="I277" s="9"/>
      <c r="J277" s="6"/>
      <c r="K277" s="6" t="s">
        <v>347</v>
      </c>
      <c r="L277" s="7"/>
      <c r="M277" s="7"/>
      <c r="N277" s="7"/>
      <c r="O277" s="10"/>
      <c r="P277" s="6" t="e">
        <v>#VALUE!</v>
      </c>
      <c r="Q277" s="11">
        <v>0.0</v>
      </c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45.0" customHeight="1">
      <c r="A278" s="6">
        <v>275.0</v>
      </c>
      <c r="B278" s="6" t="s">
        <v>342</v>
      </c>
      <c r="C278" s="6" t="s">
        <v>1149</v>
      </c>
      <c r="D278" s="6" t="s">
        <v>1150</v>
      </c>
      <c r="E278" s="7" t="s">
        <v>1151</v>
      </c>
      <c r="F278" s="8" t="s">
        <v>1032</v>
      </c>
      <c r="G278" s="9">
        <v>10.0</v>
      </c>
      <c r="H278" s="9">
        <v>10.0</v>
      </c>
      <c r="I278" s="9">
        <v>100.0</v>
      </c>
      <c r="J278" s="6">
        <f t="shared" ref="J278:J336" si="20">I278*H278</f>
        <v>1000</v>
      </c>
      <c r="K278" s="6" t="s">
        <v>347</v>
      </c>
      <c r="L278" s="7" t="s">
        <v>21</v>
      </c>
      <c r="M278" s="7"/>
      <c r="N278" s="7"/>
      <c r="O278" s="10"/>
      <c r="P278" s="6" t="str">
        <f>IMAGE("https://5.imimg.com/data5/SELLER/Default/2020/10/KC/AV/BY/25174136/150b-cutter-stripper-250x250.jpg",1)</f>
        <v/>
      </c>
      <c r="Q278" s="11">
        <v>0.0</v>
      </c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45.0" customHeight="1">
      <c r="A279" s="6">
        <v>276.0</v>
      </c>
      <c r="B279" s="6" t="s">
        <v>1152</v>
      </c>
      <c r="C279" s="6" t="s">
        <v>1153</v>
      </c>
      <c r="D279" s="6" t="s">
        <v>1154</v>
      </c>
      <c r="E279" s="7" t="s">
        <v>1155</v>
      </c>
      <c r="F279" s="8" t="s">
        <v>1156</v>
      </c>
      <c r="G279" s="9">
        <v>10.0</v>
      </c>
      <c r="H279" s="9">
        <v>10.0</v>
      </c>
      <c r="I279" s="9">
        <v>100.0</v>
      </c>
      <c r="J279" s="6">
        <f t="shared" si="20"/>
        <v>1000</v>
      </c>
      <c r="K279" s="6" t="s">
        <v>1157</v>
      </c>
      <c r="L279" s="7"/>
      <c r="M279" s="7"/>
      <c r="N279" s="7"/>
      <c r="O279" s="10"/>
      <c r="P279" s="6" t="str">
        <f>IMAGE("https://5.imimg.com/data5/SB/TW/SA/SELLER-91497159/glass-beaker-500x500.jpg",1)</f>
        <v/>
      </c>
      <c r="Q279" s="11">
        <v>0.0</v>
      </c>
      <c r="R279" s="12">
        <v>1.0</v>
      </c>
      <c r="S279" s="12"/>
      <c r="T279" s="12"/>
      <c r="U279" s="12"/>
      <c r="V279" s="12"/>
      <c r="W279" s="12"/>
      <c r="X279" s="12"/>
      <c r="Y279" s="12"/>
      <c r="Z279" s="12"/>
      <c r="AA279" s="12"/>
    </row>
    <row r="280" ht="45.0" customHeight="1">
      <c r="A280" s="6">
        <v>277.0</v>
      </c>
      <c r="B280" s="6" t="s">
        <v>1152</v>
      </c>
      <c r="C280" s="6" t="s">
        <v>1158</v>
      </c>
      <c r="D280" s="6" t="s">
        <v>1159</v>
      </c>
      <c r="E280" s="7" t="s">
        <v>1160</v>
      </c>
      <c r="F280" s="8" t="s">
        <v>1156</v>
      </c>
      <c r="G280" s="6">
        <v>5.0</v>
      </c>
      <c r="H280" s="6">
        <v>5.0</v>
      </c>
      <c r="I280" s="6">
        <v>300.0</v>
      </c>
      <c r="J280" s="6">
        <f t="shared" si="20"/>
        <v>1500</v>
      </c>
      <c r="K280" s="6" t="s">
        <v>1157</v>
      </c>
      <c r="L280" s="7"/>
      <c r="M280" s="7"/>
      <c r="N280" s="7"/>
      <c r="O280" s="18" t="s">
        <v>1161</v>
      </c>
      <c r="P280" s="6" t="str">
        <f>IMAGE("https://m.media-amazon.com/images/I/41vGxqzVasL.jpg",1)</f>
        <v/>
      </c>
      <c r="Q280" s="11">
        <v>0.0</v>
      </c>
      <c r="R280" s="12">
        <v>1.0</v>
      </c>
      <c r="S280" s="12"/>
      <c r="T280" s="12"/>
      <c r="U280" s="12"/>
      <c r="V280" s="12"/>
      <c r="W280" s="12"/>
      <c r="X280" s="12"/>
      <c r="Y280" s="12"/>
      <c r="Z280" s="12"/>
      <c r="AA280" s="12"/>
    </row>
    <row r="281" ht="45.0" customHeight="1">
      <c r="A281" s="6">
        <v>278.0</v>
      </c>
      <c r="B281" s="6" t="s">
        <v>1152</v>
      </c>
      <c r="C281" s="6" t="s">
        <v>1162</v>
      </c>
      <c r="D281" s="6" t="s">
        <v>1163</v>
      </c>
      <c r="E281" s="7" t="s">
        <v>1164</v>
      </c>
      <c r="F281" s="8" t="s">
        <v>1156</v>
      </c>
      <c r="G281" s="9">
        <v>10.0</v>
      </c>
      <c r="H281" s="9">
        <v>10.0</v>
      </c>
      <c r="I281" s="9">
        <v>100.0</v>
      </c>
      <c r="J281" s="6">
        <f t="shared" si="20"/>
        <v>1000</v>
      </c>
      <c r="K281" s="6" t="s">
        <v>1157</v>
      </c>
      <c r="L281" s="7"/>
      <c r="M281" s="7"/>
      <c r="N281" s="7"/>
      <c r="O281" s="10" t="s">
        <v>1165</v>
      </c>
      <c r="P281" s="6" t="str">
        <f>IMAGE("https://m.media-amazon.com/images/I/31b1KCUwqyL.jpg", 1)</f>
        <v/>
      </c>
      <c r="Q281" s="11">
        <v>0.0</v>
      </c>
      <c r="R281" s="12">
        <v>1.0</v>
      </c>
      <c r="S281" s="12"/>
      <c r="T281" s="12"/>
      <c r="U281" s="12"/>
      <c r="V281" s="12"/>
      <c r="W281" s="12"/>
      <c r="X281" s="12"/>
      <c r="Y281" s="12"/>
      <c r="Z281" s="12"/>
      <c r="AA281" s="12"/>
    </row>
    <row r="282" ht="45.0" customHeight="1">
      <c r="A282" s="6">
        <v>279.0</v>
      </c>
      <c r="B282" s="6" t="s">
        <v>1152</v>
      </c>
      <c r="C282" s="6" t="s">
        <v>1166</v>
      </c>
      <c r="D282" s="6" t="s">
        <v>1167</v>
      </c>
      <c r="E282" s="7" t="s">
        <v>1168</v>
      </c>
      <c r="F282" s="8" t="s">
        <v>1156</v>
      </c>
      <c r="G282" s="6">
        <v>2.0</v>
      </c>
      <c r="H282" s="6">
        <v>2.0</v>
      </c>
      <c r="I282" s="6">
        <v>200.0</v>
      </c>
      <c r="J282" s="6">
        <f t="shared" si="20"/>
        <v>400</v>
      </c>
      <c r="K282" s="6" t="s">
        <v>1157</v>
      </c>
      <c r="L282" s="7" t="s">
        <v>77</v>
      </c>
      <c r="M282" s="7"/>
      <c r="N282" s="7"/>
      <c r="O282" s="10" t="s">
        <v>1169</v>
      </c>
      <c r="P282" s="6" t="str">
        <f>IMAGE("https://m.media-amazon.com/images/W/MEDIAX_792452-T2/images/I/71veIL4opPL.jpg",1)</f>
        <v/>
      </c>
      <c r="Q282" s="11">
        <v>0.0</v>
      </c>
      <c r="R282" s="12">
        <v>1.0</v>
      </c>
      <c r="S282" s="12"/>
      <c r="T282" s="12"/>
      <c r="U282" s="12"/>
      <c r="V282" s="12"/>
      <c r="W282" s="12"/>
      <c r="X282" s="12"/>
      <c r="Y282" s="12"/>
      <c r="Z282" s="12"/>
      <c r="AA282" s="12"/>
    </row>
    <row r="283" ht="45.0" customHeight="1">
      <c r="A283" s="6">
        <v>280.0</v>
      </c>
      <c r="B283" s="6" t="s">
        <v>1152</v>
      </c>
      <c r="C283" s="6" t="s">
        <v>1170</v>
      </c>
      <c r="D283" s="6" t="s">
        <v>1171</v>
      </c>
      <c r="E283" s="7" t="s">
        <v>1172</v>
      </c>
      <c r="F283" s="8" t="s">
        <v>1156</v>
      </c>
      <c r="G283" s="24">
        <v>1.0</v>
      </c>
      <c r="H283" s="24">
        <v>1.0</v>
      </c>
      <c r="I283" s="24">
        <v>200.0</v>
      </c>
      <c r="J283" s="6">
        <f t="shared" si="20"/>
        <v>200</v>
      </c>
      <c r="K283" s="6" t="s">
        <v>1157</v>
      </c>
      <c r="L283" s="7"/>
      <c r="M283" s="7" t="s">
        <v>179</v>
      </c>
      <c r="N283" s="7"/>
      <c r="O283" s="10" t="s">
        <v>1173</v>
      </c>
      <c r="P283" s="6" t="str">
        <f>IMAGE("https://www.sigmaaldrich.com/deepweb/content/dam/sigma-aldrich/product2/017/wha2200110.tif/_jcr_content/renditions/wha2200110-large.jpg", 1)</f>
        <v/>
      </c>
      <c r="Q283" s="11">
        <v>0.0</v>
      </c>
      <c r="R283" s="12">
        <v>1.0</v>
      </c>
      <c r="S283" s="12"/>
      <c r="T283" s="12"/>
      <c r="U283" s="12"/>
      <c r="V283" s="12"/>
      <c r="W283" s="12"/>
      <c r="X283" s="12"/>
      <c r="Y283" s="12"/>
      <c r="Z283" s="12"/>
      <c r="AA283" s="12"/>
    </row>
    <row r="284" ht="45.0" customHeight="1">
      <c r="A284" s="6">
        <v>281.0</v>
      </c>
      <c r="B284" s="6" t="s">
        <v>1152</v>
      </c>
      <c r="C284" s="6" t="s">
        <v>1174</v>
      </c>
      <c r="D284" s="6" t="s">
        <v>1175</v>
      </c>
      <c r="E284" s="7" t="s">
        <v>1176</v>
      </c>
      <c r="F284" s="8" t="s">
        <v>1156</v>
      </c>
      <c r="G284" s="9">
        <v>1.0</v>
      </c>
      <c r="H284" s="9">
        <v>1.0</v>
      </c>
      <c r="I284" s="9">
        <v>150.0</v>
      </c>
      <c r="J284" s="6">
        <f t="shared" si="20"/>
        <v>150</v>
      </c>
      <c r="K284" s="6" t="s">
        <v>1157</v>
      </c>
      <c r="L284" s="7"/>
      <c r="M284" s="7" t="s">
        <v>179</v>
      </c>
      <c r="N284" s="7"/>
      <c r="O284" s="10" t="s">
        <v>1177</v>
      </c>
      <c r="P284" s="6" t="str">
        <f>IMAGE("https://m.media-amazon.com/images/I/A1PFWcAysAL.jpg", 1)</f>
        <v/>
      </c>
      <c r="Q284" s="11">
        <v>0.0</v>
      </c>
      <c r="R284" s="12">
        <v>1.0</v>
      </c>
      <c r="S284" s="12"/>
      <c r="T284" s="12"/>
      <c r="U284" s="12"/>
      <c r="V284" s="12"/>
      <c r="W284" s="12"/>
      <c r="X284" s="12"/>
      <c r="Y284" s="12"/>
      <c r="Z284" s="12"/>
      <c r="AA284" s="12"/>
    </row>
    <row r="285" ht="45.0" customHeight="1">
      <c r="A285" s="6">
        <v>282.0</v>
      </c>
      <c r="B285" s="6" t="s">
        <v>1152</v>
      </c>
      <c r="C285" s="6" t="s">
        <v>1178</v>
      </c>
      <c r="D285" s="6" t="s">
        <v>1179</v>
      </c>
      <c r="E285" s="7" t="s">
        <v>1180</v>
      </c>
      <c r="F285" s="8" t="s">
        <v>1156</v>
      </c>
      <c r="G285" s="9">
        <v>20.0</v>
      </c>
      <c r="H285" s="9">
        <v>20.0</v>
      </c>
      <c r="I285" s="9">
        <v>100.0</v>
      </c>
      <c r="J285" s="6">
        <f t="shared" si="20"/>
        <v>2000</v>
      </c>
      <c r="K285" s="6" t="s">
        <v>1157</v>
      </c>
      <c r="L285" s="7"/>
      <c r="M285" s="7" t="s">
        <v>249</v>
      </c>
      <c r="N285" s="7"/>
      <c r="O285" s="10" t="s">
        <v>1181</v>
      </c>
      <c r="P285" s="6" t="str">
        <f>IMAGE("https://www.domo.in/image/cache/catalog/nHance/LNSS4201/Display-228x228.jpg")</f>
        <v/>
      </c>
      <c r="Q285" s="11">
        <v>0.0</v>
      </c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45.0" customHeight="1">
      <c r="A286" s="6">
        <v>283.0</v>
      </c>
      <c r="B286" s="6" t="s">
        <v>1152</v>
      </c>
      <c r="C286" s="6" t="s">
        <v>1182</v>
      </c>
      <c r="D286" s="6" t="s">
        <v>1183</v>
      </c>
      <c r="E286" s="7" t="s">
        <v>1184</v>
      </c>
      <c r="F286" s="8" t="s">
        <v>1156</v>
      </c>
      <c r="G286" s="6">
        <v>1.0</v>
      </c>
      <c r="H286" s="6">
        <v>1.0</v>
      </c>
      <c r="I286" s="6">
        <v>100.0</v>
      </c>
      <c r="J286" s="6">
        <f t="shared" si="20"/>
        <v>100</v>
      </c>
      <c r="K286" s="6" t="s">
        <v>1157</v>
      </c>
      <c r="L286" s="7"/>
      <c r="M286" s="7"/>
      <c r="N286" s="7"/>
      <c r="O286" s="10" t="s">
        <v>1185</v>
      </c>
      <c r="P286" s="6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Q286" s="11">
        <v>0.0</v>
      </c>
      <c r="R286" s="12">
        <v>1.0</v>
      </c>
      <c r="S286" s="12"/>
      <c r="T286" s="12">
        <v>1500.0</v>
      </c>
      <c r="U286" s="12">
        <f>T286*H286</f>
        <v>1500</v>
      </c>
      <c r="V286" s="12"/>
      <c r="W286" s="12"/>
      <c r="X286" s="12"/>
      <c r="Y286" s="12"/>
      <c r="Z286" s="12"/>
      <c r="AA286" s="12"/>
    </row>
    <row r="287" ht="45.0" customHeight="1">
      <c r="A287" s="6">
        <v>284.0</v>
      </c>
      <c r="B287" s="6" t="s">
        <v>1152</v>
      </c>
      <c r="C287" s="6" t="s">
        <v>1186</v>
      </c>
      <c r="D287" s="6" t="s">
        <v>1187</v>
      </c>
      <c r="E287" s="7" t="s">
        <v>1188</v>
      </c>
      <c r="F287" s="8" t="s">
        <v>1156</v>
      </c>
      <c r="G287" s="9">
        <v>1.0</v>
      </c>
      <c r="H287" s="9">
        <v>1.0</v>
      </c>
      <c r="I287" s="9">
        <v>350.0</v>
      </c>
      <c r="J287" s="6">
        <f t="shared" si="20"/>
        <v>350</v>
      </c>
      <c r="K287" s="6" t="s">
        <v>1157</v>
      </c>
      <c r="L287" s="7"/>
      <c r="M287" s="7"/>
      <c r="N287" s="7"/>
      <c r="O287" s="10" t="s">
        <v>1189</v>
      </c>
      <c r="P287" s="6" t="str">
        <f>IMAGE("https://m.media-amazon.com/images/I/61ra1C535pL._SL1500_.jpg", 1)</f>
        <v/>
      </c>
      <c r="Q287" s="11"/>
      <c r="R287" s="12">
        <v>1.0</v>
      </c>
      <c r="S287" s="12"/>
      <c r="T287" s="12"/>
      <c r="U287" s="12"/>
      <c r="V287" s="12"/>
      <c r="W287" s="12"/>
      <c r="X287" s="12"/>
      <c r="Y287" s="12"/>
      <c r="Z287" s="12"/>
      <c r="AA287" s="12"/>
    </row>
    <row r="288" ht="45.0" customHeight="1">
      <c r="A288" s="6">
        <v>285.0</v>
      </c>
      <c r="B288" s="6" t="s">
        <v>1152</v>
      </c>
      <c r="C288" s="6" t="s">
        <v>1190</v>
      </c>
      <c r="D288" s="6" t="s">
        <v>1191</v>
      </c>
      <c r="E288" s="7" t="s">
        <v>1192</v>
      </c>
      <c r="F288" s="8" t="s">
        <v>1156</v>
      </c>
      <c r="G288" s="6">
        <v>1.0</v>
      </c>
      <c r="H288" s="6">
        <v>1.0</v>
      </c>
      <c r="I288" s="6">
        <v>1000.0</v>
      </c>
      <c r="J288" s="6">
        <f t="shared" si="20"/>
        <v>1000</v>
      </c>
      <c r="K288" s="6" t="s">
        <v>1157</v>
      </c>
      <c r="L288" s="7"/>
      <c r="M288" s="7"/>
      <c r="N288" s="7"/>
      <c r="O288" s="10" t="s">
        <v>1193</v>
      </c>
      <c r="P288" s="6" t="str">
        <f>IMAGE("https://5.imimg.com/data5/SI/VL/MY-6819814/multi-volume-adjustable-micropipette.jpg",1)</f>
        <v/>
      </c>
      <c r="Q288" s="11">
        <v>0.0</v>
      </c>
      <c r="R288" s="12">
        <v>1.0</v>
      </c>
      <c r="S288" s="12" t="s">
        <v>144</v>
      </c>
      <c r="T288" s="12"/>
      <c r="U288" s="12"/>
      <c r="V288" s="12"/>
      <c r="W288" s="12"/>
      <c r="X288" s="12"/>
      <c r="Y288" s="12"/>
      <c r="Z288" s="12"/>
      <c r="AA288" s="12"/>
    </row>
    <row r="289" ht="45.0" customHeight="1">
      <c r="A289" s="6">
        <v>286.0</v>
      </c>
      <c r="B289" s="6" t="s">
        <v>1152</v>
      </c>
      <c r="C289" s="6" t="s">
        <v>1194</v>
      </c>
      <c r="D289" s="6" t="s">
        <v>1195</v>
      </c>
      <c r="E289" s="7" t="s">
        <v>1196</v>
      </c>
      <c r="F289" s="8" t="s">
        <v>1156</v>
      </c>
      <c r="G289" s="9">
        <v>2.0</v>
      </c>
      <c r="H289" s="9">
        <v>2.0</v>
      </c>
      <c r="I289" s="9">
        <v>200.0</v>
      </c>
      <c r="J289" s="6">
        <f t="shared" si="20"/>
        <v>400</v>
      </c>
      <c r="K289" s="6" t="s">
        <v>1157</v>
      </c>
      <c r="L289" s="7"/>
      <c r="M289" s="7" t="s">
        <v>249</v>
      </c>
      <c r="N289" s="7" t="s">
        <v>1197</v>
      </c>
      <c r="O289" s="10" t="s">
        <v>1198</v>
      </c>
      <c r="P289" s="6" t="str">
        <f>IMAGE("https://5.imimg.com/data5/SELLER/Default/2021/7/IF/DT/PV/116258883/microscope-cover-glass-250x250.JPG",1)</f>
        <v/>
      </c>
      <c r="Q289" s="11"/>
      <c r="R289" s="12">
        <v>1.0</v>
      </c>
      <c r="S289" s="12"/>
      <c r="T289" s="12"/>
      <c r="U289" s="12"/>
      <c r="V289" s="12"/>
      <c r="W289" s="12"/>
      <c r="X289" s="12"/>
      <c r="Y289" s="12"/>
      <c r="Z289" s="12"/>
      <c r="AA289" s="12"/>
    </row>
    <row r="290" ht="45.0" customHeight="1">
      <c r="A290" s="6">
        <v>287.0</v>
      </c>
      <c r="B290" s="6" t="s">
        <v>1152</v>
      </c>
      <c r="C290" s="6" t="s">
        <v>1199</v>
      </c>
      <c r="D290" s="6" t="s">
        <v>1200</v>
      </c>
      <c r="E290" s="7" t="s">
        <v>1201</v>
      </c>
      <c r="F290" s="8" t="s">
        <v>1156</v>
      </c>
      <c r="G290" s="9">
        <v>2.0</v>
      </c>
      <c r="H290" s="9">
        <v>2.0</v>
      </c>
      <c r="I290" s="13">
        <v>100.0</v>
      </c>
      <c r="J290" s="6">
        <f t="shared" si="20"/>
        <v>200</v>
      </c>
      <c r="K290" s="6" t="s">
        <v>1157</v>
      </c>
      <c r="L290" s="7"/>
      <c r="M290" s="7" t="s">
        <v>249</v>
      </c>
      <c r="N290" s="7" t="s">
        <v>1197</v>
      </c>
      <c r="O290" s="10" t="s">
        <v>1202</v>
      </c>
      <c r="P290" s="6" t="str">
        <f>IMAGE("https://5.imimg.com/data5/AZ/OD/EC/SELLER-20177713/laboratory-slides-500x500.jpg",1)</f>
        <v/>
      </c>
      <c r="Q290" s="11"/>
      <c r="R290" s="12">
        <v>1.0</v>
      </c>
      <c r="S290" s="12"/>
      <c r="T290" s="12"/>
      <c r="U290" s="12"/>
      <c r="V290" s="12"/>
      <c r="W290" s="12"/>
      <c r="X290" s="12"/>
      <c r="Y290" s="12"/>
      <c r="Z290" s="12"/>
      <c r="AA290" s="12"/>
    </row>
    <row r="291" ht="45.0" customHeight="1">
      <c r="A291" s="6">
        <v>288.0</v>
      </c>
      <c r="B291" s="6" t="s">
        <v>1152</v>
      </c>
      <c r="C291" s="6" t="s">
        <v>1203</v>
      </c>
      <c r="D291" s="6" t="s">
        <v>1204</v>
      </c>
      <c r="E291" s="7" t="s">
        <v>1205</v>
      </c>
      <c r="F291" s="8" t="s">
        <v>1156</v>
      </c>
      <c r="G291" s="9">
        <v>30.0</v>
      </c>
      <c r="H291" s="9">
        <v>30.0</v>
      </c>
      <c r="I291" s="9">
        <v>15.0</v>
      </c>
      <c r="J291" s="6">
        <f t="shared" si="20"/>
        <v>450</v>
      </c>
      <c r="K291" s="6" t="s">
        <v>1157</v>
      </c>
      <c r="L291" s="7"/>
      <c r="M291" s="7" t="s">
        <v>22</v>
      </c>
      <c r="N291" s="7"/>
      <c r="O291" s="10" t="s">
        <v>1206</v>
      </c>
      <c r="P291" s="6" t="str">
        <f>IMAGE("https://www.abdoslifesciences.com/wp-content/uploads/Abdos_Delhi2-107_P10911-to-P10918-2.png",1)</f>
        <v/>
      </c>
      <c r="Q291" s="11"/>
      <c r="R291" s="12">
        <v>1.0</v>
      </c>
      <c r="S291" s="12"/>
      <c r="T291" s="12"/>
      <c r="U291" s="12"/>
      <c r="V291" s="12"/>
      <c r="W291" s="12"/>
      <c r="X291" s="12"/>
      <c r="Y291" s="12"/>
      <c r="Z291" s="12"/>
      <c r="AA291" s="12"/>
    </row>
    <row r="292" ht="45.0" customHeight="1">
      <c r="A292" s="6">
        <v>289.0</v>
      </c>
      <c r="B292" s="6" t="s">
        <v>1152</v>
      </c>
      <c r="C292" s="6" t="s">
        <v>1207</v>
      </c>
      <c r="D292" s="6" t="s">
        <v>1208</v>
      </c>
      <c r="E292" s="7" t="s">
        <v>1209</v>
      </c>
      <c r="F292" s="8" t="s">
        <v>1156</v>
      </c>
      <c r="G292" s="6">
        <v>2.0</v>
      </c>
      <c r="H292" s="6">
        <v>2.0</v>
      </c>
      <c r="I292" s="6">
        <v>500.0</v>
      </c>
      <c r="J292" s="6">
        <f t="shared" si="20"/>
        <v>1000</v>
      </c>
      <c r="K292" s="6" t="s">
        <v>1157</v>
      </c>
      <c r="L292" s="7"/>
      <c r="M292" s="7"/>
      <c r="N292" s="7"/>
      <c r="O292" s="10" t="s">
        <v>1210</v>
      </c>
      <c r="P292" s="6" t="str">
        <f>IMAGE("https://pim-resources.coleparmer.com/product/l/dwk-life-sciences-kimble-dwk-kimble-babcock-pipettes-14663.jpg",1)</f>
        <v/>
      </c>
      <c r="Q292" s="11"/>
      <c r="R292" s="12">
        <v>1.0</v>
      </c>
      <c r="S292" s="12"/>
      <c r="T292" s="12"/>
      <c r="U292" s="12"/>
      <c r="V292" s="12"/>
      <c r="W292" s="12"/>
      <c r="X292" s="12"/>
      <c r="Y292" s="12"/>
      <c r="Z292" s="12"/>
      <c r="AA292" s="12"/>
    </row>
    <row r="293" ht="45.0" customHeight="1">
      <c r="A293" s="6">
        <v>290.0</v>
      </c>
      <c r="B293" s="6" t="s">
        <v>1152</v>
      </c>
      <c r="C293" s="6" t="s">
        <v>1211</v>
      </c>
      <c r="D293" s="6" t="s">
        <v>1212</v>
      </c>
      <c r="E293" s="7" t="s">
        <v>1213</v>
      </c>
      <c r="F293" s="8" t="s">
        <v>1156</v>
      </c>
      <c r="G293" s="9">
        <v>10.0</v>
      </c>
      <c r="H293" s="9">
        <v>10.0</v>
      </c>
      <c r="I293" s="9">
        <v>20.0</v>
      </c>
      <c r="J293" s="6">
        <f t="shared" si="20"/>
        <v>200</v>
      </c>
      <c r="K293" s="6" t="s">
        <v>1157</v>
      </c>
      <c r="L293" s="7"/>
      <c r="M293" s="7" t="s">
        <v>66</v>
      </c>
      <c r="N293" s="7"/>
      <c r="O293" s="10" t="s">
        <v>1214</v>
      </c>
      <c r="P293" s="6" t="str">
        <f>IMAGE("https://5.imimg.com/data5/QC/NX/MY-932240/clear-plastic-funnel-250x250.jpg", 1)</f>
        <v/>
      </c>
      <c r="Q293" s="11"/>
      <c r="R293" s="12">
        <v>1.0</v>
      </c>
      <c r="S293" s="12"/>
      <c r="T293" s="12"/>
      <c r="U293" s="12"/>
      <c r="V293" s="12"/>
      <c r="W293" s="12"/>
      <c r="X293" s="12"/>
      <c r="Y293" s="12"/>
      <c r="Z293" s="12"/>
      <c r="AA293" s="12"/>
    </row>
    <row r="294" ht="45.0" customHeight="1">
      <c r="A294" s="6">
        <v>291.0</v>
      </c>
      <c r="B294" s="6" t="s">
        <v>1152</v>
      </c>
      <c r="C294" s="6" t="s">
        <v>1215</v>
      </c>
      <c r="D294" s="6" t="s">
        <v>1216</v>
      </c>
      <c r="E294" s="7" t="s">
        <v>1217</v>
      </c>
      <c r="F294" s="8" t="s">
        <v>1156</v>
      </c>
      <c r="G294" s="9">
        <v>10.0</v>
      </c>
      <c r="H294" s="9">
        <v>10.0</v>
      </c>
      <c r="I294" s="9">
        <v>20.0</v>
      </c>
      <c r="J294" s="6">
        <f t="shared" si="20"/>
        <v>200</v>
      </c>
      <c r="K294" s="6" t="s">
        <v>1157</v>
      </c>
      <c r="L294" s="7"/>
      <c r="M294" s="7" t="s">
        <v>179</v>
      </c>
      <c r="N294" s="7"/>
      <c r="O294" s="10" t="s">
        <v>1218</v>
      </c>
      <c r="P294" s="6" t="str">
        <f>IMAGE("https://www.reagecon.com/product/image/medium/6267270_1.jpg",1)</f>
        <v/>
      </c>
      <c r="Q294" s="11"/>
      <c r="R294" s="12">
        <v>1.0</v>
      </c>
      <c r="S294" s="12"/>
      <c r="T294" s="12"/>
      <c r="U294" s="12"/>
      <c r="V294" s="12"/>
      <c r="W294" s="12"/>
      <c r="X294" s="12"/>
      <c r="Y294" s="12"/>
      <c r="Z294" s="12"/>
      <c r="AA294" s="12"/>
    </row>
    <row r="295" ht="45.0" customHeight="1">
      <c r="A295" s="6">
        <v>292.0</v>
      </c>
      <c r="B295" s="6" t="s">
        <v>1152</v>
      </c>
      <c r="C295" s="6" t="s">
        <v>1219</v>
      </c>
      <c r="D295" s="6" t="s">
        <v>1220</v>
      </c>
      <c r="E295" s="7" t="s">
        <v>1221</v>
      </c>
      <c r="F295" s="8" t="s">
        <v>1156</v>
      </c>
      <c r="G295" s="6">
        <v>1.0</v>
      </c>
      <c r="H295" s="6">
        <v>1.0</v>
      </c>
      <c r="I295" s="6">
        <v>4000.0</v>
      </c>
      <c r="J295" s="6">
        <f t="shared" si="20"/>
        <v>4000</v>
      </c>
      <c r="K295" s="6" t="s">
        <v>1157</v>
      </c>
      <c r="L295" s="7"/>
      <c r="M295" s="7"/>
      <c r="N295" s="7"/>
      <c r="O295" s="10" t="s">
        <v>1222</v>
      </c>
      <c r="P295" s="6" t="str">
        <f>IMAGE("https://5.imimg.com/data5/SELLER/Default/2021/3/XX/WV/MR/4080247/lab-sinks-500x500.jpeg",1)</f>
        <v/>
      </c>
      <c r="Q295" s="11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45.0" customHeight="1">
      <c r="A296" s="6">
        <v>293.0</v>
      </c>
      <c r="B296" s="6" t="s">
        <v>1152</v>
      </c>
      <c r="C296" s="6" t="s">
        <v>1223</v>
      </c>
      <c r="D296" s="6" t="s">
        <v>1224</v>
      </c>
      <c r="E296" s="7" t="s">
        <v>1225</v>
      </c>
      <c r="F296" s="8" t="s">
        <v>1156</v>
      </c>
      <c r="G296" s="9">
        <v>100.0</v>
      </c>
      <c r="H296" s="9">
        <v>100.0</v>
      </c>
      <c r="I296" s="9">
        <v>20.0</v>
      </c>
      <c r="J296" s="6">
        <f t="shared" si="20"/>
        <v>2000</v>
      </c>
      <c r="K296" s="6" t="s">
        <v>1157</v>
      </c>
      <c r="L296" s="7"/>
      <c r="M296" s="7" t="s">
        <v>22</v>
      </c>
      <c r="N296" s="7"/>
      <c r="O296" s="10" t="s">
        <v>1226</v>
      </c>
      <c r="P296" s="6" t="str">
        <f>IMAGE("https://5.imimg.com/data5/GX/OE/MY-972879/30ml-specimen-container-500x500.jpg", 1)</f>
        <v/>
      </c>
      <c r="Q296" s="11"/>
      <c r="R296" s="12">
        <v>1.0</v>
      </c>
      <c r="S296" s="12"/>
      <c r="T296" s="12"/>
      <c r="U296" s="12"/>
      <c r="V296" s="12"/>
      <c r="W296" s="12"/>
      <c r="X296" s="12"/>
      <c r="Y296" s="12"/>
      <c r="Z296" s="12"/>
      <c r="AA296" s="12"/>
    </row>
    <row r="297" ht="45.0" customHeight="1">
      <c r="A297" s="6">
        <v>294.0</v>
      </c>
      <c r="B297" s="6" t="s">
        <v>1152</v>
      </c>
      <c r="C297" s="6" t="s">
        <v>1227</v>
      </c>
      <c r="D297" s="6" t="s">
        <v>1228</v>
      </c>
      <c r="E297" s="7" t="s">
        <v>1229</v>
      </c>
      <c r="F297" s="8" t="s">
        <v>1156</v>
      </c>
      <c r="G297" s="6">
        <v>1.0</v>
      </c>
      <c r="H297" s="6">
        <v>1.0</v>
      </c>
      <c r="I297" s="6">
        <v>150.0</v>
      </c>
      <c r="J297" s="6">
        <f t="shared" si="20"/>
        <v>150</v>
      </c>
      <c r="K297" s="6" t="s">
        <v>1157</v>
      </c>
      <c r="L297" s="7"/>
      <c r="M297" s="7"/>
      <c r="N297" s="7"/>
      <c r="O297" s="10" t="s">
        <v>1230</v>
      </c>
      <c r="P297" s="6" t="str">
        <f>IMAGE("https://m.media-amazon.com/images/I/51+vdFGMMML._SL1001_.jpg",1)</f>
        <v/>
      </c>
      <c r="Q297" s="11"/>
      <c r="R297" s="12">
        <v>1.0</v>
      </c>
      <c r="S297" s="12"/>
      <c r="T297" s="12"/>
      <c r="U297" s="12"/>
      <c r="V297" s="12"/>
      <c r="W297" s="12"/>
      <c r="X297" s="12"/>
      <c r="Y297" s="12"/>
      <c r="Z297" s="12"/>
      <c r="AA297" s="12"/>
    </row>
    <row r="298" ht="45.0" customHeight="1">
      <c r="A298" s="6">
        <v>295.0</v>
      </c>
      <c r="B298" s="6" t="s">
        <v>1152</v>
      </c>
      <c r="C298" s="6" t="s">
        <v>1231</v>
      </c>
      <c r="D298" s="6" t="s">
        <v>1232</v>
      </c>
      <c r="E298" s="7" t="s">
        <v>1233</v>
      </c>
      <c r="F298" s="8" t="s">
        <v>1156</v>
      </c>
      <c r="G298" s="9">
        <v>10.0</v>
      </c>
      <c r="H298" s="9">
        <v>10.0</v>
      </c>
      <c r="I298" s="9">
        <v>15.0</v>
      </c>
      <c r="J298" s="6">
        <f t="shared" si="20"/>
        <v>150</v>
      </c>
      <c r="K298" s="6" t="s">
        <v>1157</v>
      </c>
      <c r="L298" s="7"/>
      <c r="M298" s="7"/>
      <c r="N298" s="7"/>
      <c r="O298" s="10" t="s">
        <v>1234</v>
      </c>
      <c r="P298" s="6" t="str">
        <f>IMAGE("https://5.imimg.com/data5/SELLER/Default/2022/10/RF/ME/PW/7444604/12x100mm-glass-test-tube-500x500.jpg", 1)</f>
        <v/>
      </c>
      <c r="Q298" s="11"/>
      <c r="R298" s="12">
        <v>1.0</v>
      </c>
      <c r="S298" s="12"/>
      <c r="T298" s="12"/>
      <c r="U298" s="12"/>
      <c r="V298" s="12"/>
      <c r="W298" s="12"/>
      <c r="X298" s="12"/>
      <c r="Y298" s="12"/>
      <c r="Z298" s="12"/>
      <c r="AA298" s="12"/>
    </row>
    <row r="299" ht="45.0" customHeight="1">
      <c r="A299" s="6">
        <v>296.0</v>
      </c>
      <c r="B299" s="6" t="s">
        <v>1152</v>
      </c>
      <c r="C299" s="6" t="s">
        <v>1235</v>
      </c>
      <c r="D299" s="6" t="s">
        <v>1236</v>
      </c>
      <c r="E299" s="7" t="s">
        <v>1237</v>
      </c>
      <c r="F299" s="8" t="s">
        <v>1156</v>
      </c>
      <c r="G299" s="9">
        <v>1.0</v>
      </c>
      <c r="H299" s="9">
        <v>1.0</v>
      </c>
      <c r="I299" s="9">
        <v>150.0</v>
      </c>
      <c r="J299" s="6">
        <f t="shared" si="20"/>
        <v>150</v>
      </c>
      <c r="K299" s="6" t="s">
        <v>1157</v>
      </c>
      <c r="L299" s="7"/>
      <c r="M299" s="7"/>
      <c r="N299" s="7"/>
      <c r="O299" s="10" t="s">
        <v>1238</v>
      </c>
      <c r="P299" s="6" t="str">
        <f>IMAGE("https://www.abdoslifesciences.com/wp-content/uploads/p10.jpg", 1)</f>
        <v/>
      </c>
      <c r="Q299" s="11"/>
      <c r="R299" s="12">
        <v>1.0</v>
      </c>
      <c r="S299" s="12"/>
      <c r="T299" s="12"/>
      <c r="U299" s="12"/>
      <c r="V299" s="12"/>
      <c r="W299" s="12"/>
      <c r="X299" s="12"/>
      <c r="Y299" s="12"/>
      <c r="Z299" s="12"/>
      <c r="AA299" s="12"/>
    </row>
    <row r="300" ht="45.0" customHeight="1">
      <c r="A300" s="6">
        <v>297.0</v>
      </c>
      <c r="B300" s="6" t="s">
        <v>1152</v>
      </c>
      <c r="C300" s="6" t="s">
        <v>1239</v>
      </c>
      <c r="D300" s="6" t="s">
        <v>1240</v>
      </c>
      <c r="E300" s="7" t="s">
        <v>1241</v>
      </c>
      <c r="F300" s="8" t="s">
        <v>1156</v>
      </c>
      <c r="G300" s="9">
        <v>2.0</v>
      </c>
      <c r="H300" s="9">
        <v>2.0</v>
      </c>
      <c r="I300" s="9">
        <v>100.0</v>
      </c>
      <c r="J300" s="6">
        <f t="shared" si="20"/>
        <v>200</v>
      </c>
      <c r="K300" s="6" t="s">
        <v>1157</v>
      </c>
      <c r="L300" s="7"/>
      <c r="M300" s="7"/>
      <c r="N300" s="7"/>
      <c r="O300" s="22" t="s">
        <v>1242</v>
      </c>
      <c r="P300" s="6" t="str">
        <f>IMAGE("https://www.abdoslifesciences.com/wp-content/uploads/Wash-Bottle-LDPE-day-20376.jpg", 1)</f>
        <v/>
      </c>
      <c r="Q300" s="11"/>
      <c r="R300" s="12">
        <v>1.0</v>
      </c>
      <c r="S300" s="12"/>
      <c r="T300" s="12">
        <v>600.0</v>
      </c>
      <c r="U300" s="12">
        <f t="shared" ref="U300:U320" si="21">T300*H300</f>
        <v>1200</v>
      </c>
      <c r="V300" s="12"/>
      <c r="W300" s="12"/>
      <c r="X300" s="12"/>
      <c r="Y300" s="12"/>
      <c r="Z300" s="12"/>
      <c r="AA300" s="12"/>
    </row>
    <row r="301" ht="45.0" customHeight="1">
      <c r="A301" s="6">
        <v>298.0</v>
      </c>
      <c r="B301" s="6" t="s">
        <v>1152</v>
      </c>
      <c r="C301" s="6" t="s">
        <v>1243</v>
      </c>
      <c r="D301" s="6" t="s">
        <v>1244</v>
      </c>
      <c r="E301" s="7" t="s">
        <v>1245</v>
      </c>
      <c r="F301" s="8" t="s">
        <v>1156</v>
      </c>
      <c r="G301" s="6">
        <v>10.0</v>
      </c>
      <c r="H301" s="6">
        <v>10.0</v>
      </c>
      <c r="I301" s="6">
        <v>10.0</v>
      </c>
      <c r="J301" s="6">
        <f t="shared" si="20"/>
        <v>100</v>
      </c>
      <c r="K301" s="6" t="s">
        <v>1157</v>
      </c>
      <c r="L301" s="7"/>
      <c r="M301" s="7" t="s">
        <v>179</v>
      </c>
      <c r="N301" s="7"/>
      <c r="O301" s="10" t="s">
        <v>1246</v>
      </c>
      <c r="P301" s="6" t="str">
        <f>IMAGE("https://m.media-amazon.com/images/I/31U00ndDv2L._SX679_.jpg",1)</f>
        <v/>
      </c>
      <c r="Q301" s="11"/>
      <c r="R301" s="12">
        <v>1.0</v>
      </c>
      <c r="S301" s="12"/>
      <c r="T301" s="12">
        <v>1200.0</v>
      </c>
      <c r="U301" s="12">
        <f t="shared" si="21"/>
        <v>12000</v>
      </c>
      <c r="V301" s="12"/>
      <c r="W301" s="12"/>
      <c r="X301" s="12"/>
      <c r="Y301" s="12"/>
      <c r="Z301" s="12"/>
      <c r="AA301" s="12"/>
    </row>
    <row r="302" ht="45.0" customHeight="1">
      <c r="A302" s="6">
        <v>299.0</v>
      </c>
      <c r="B302" s="6" t="s">
        <v>173</v>
      </c>
      <c r="C302" s="6" t="s">
        <v>1247</v>
      </c>
      <c r="D302" s="6" t="s">
        <v>1248</v>
      </c>
      <c r="E302" s="7" t="s">
        <v>1249</v>
      </c>
      <c r="F302" s="8" t="s">
        <v>1250</v>
      </c>
      <c r="G302" s="9">
        <v>7.0</v>
      </c>
      <c r="H302" s="9">
        <v>7.0</v>
      </c>
      <c r="I302" s="9">
        <v>500.0</v>
      </c>
      <c r="J302" s="6">
        <f t="shared" si="20"/>
        <v>3500</v>
      </c>
      <c r="K302" s="6" t="s">
        <v>178</v>
      </c>
      <c r="L302" s="7" t="s">
        <v>47</v>
      </c>
      <c r="M302" s="7" t="s">
        <v>110</v>
      </c>
      <c r="N302" s="7" t="s">
        <v>184</v>
      </c>
      <c r="O302" s="10" t="s">
        <v>1251</v>
      </c>
      <c r="P302" s="6" t="str">
        <f>IMAGE("https://www.atel-electronics.eu/pic_cache/10/06158.jpg",1)</f>
        <v/>
      </c>
      <c r="Q302" s="11">
        <v>1.0</v>
      </c>
      <c r="R302" s="12"/>
      <c r="S302" s="12" t="s">
        <v>144</v>
      </c>
      <c r="T302" s="12">
        <v>25000.0</v>
      </c>
      <c r="U302" s="12">
        <f t="shared" si="21"/>
        <v>175000</v>
      </c>
      <c r="V302" s="12"/>
      <c r="W302" s="12"/>
      <c r="X302" s="12"/>
      <c r="Y302" s="12"/>
      <c r="Z302" s="12"/>
      <c r="AA302" s="12"/>
    </row>
    <row r="303" ht="45.0" customHeight="1">
      <c r="A303" s="6">
        <v>300.0</v>
      </c>
      <c r="B303" s="6" t="s">
        <v>173</v>
      </c>
      <c r="C303" s="6" t="s">
        <v>1252</v>
      </c>
      <c r="D303" s="6" t="s">
        <v>1253</v>
      </c>
      <c r="E303" s="7" t="s">
        <v>1254</v>
      </c>
      <c r="F303" s="8" t="s">
        <v>1250</v>
      </c>
      <c r="G303" s="9">
        <v>1.0</v>
      </c>
      <c r="H303" s="9">
        <v>1.0</v>
      </c>
      <c r="I303" s="9">
        <v>1000.0</v>
      </c>
      <c r="J303" s="6">
        <f t="shared" si="20"/>
        <v>1000</v>
      </c>
      <c r="K303" s="6" t="s">
        <v>178</v>
      </c>
      <c r="L303" s="7" t="s">
        <v>47</v>
      </c>
      <c r="M303" s="7"/>
      <c r="N303" s="7"/>
      <c r="O303" s="10" t="s">
        <v>1255</v>
      </c>
      <c r="P303" s="6" t="str">
        <f>IMAGE("https://in.element14.com/productimages/large/en_GB/IN07444-40.jpg",1)</f>
        <v/>
      </c>
      <c r="Q303" s="11">
        <v>1.0</v>
      </c>
      <c r="R303" s="12"/>
      <c r="S303" s="12" t="s">
        <v>144</v>
      </c>
      <c r="T303" s="12">
        <v>6000.0</v>
      </c>
      <c r="U303" s="12">
        <f t="shared" si="21"/>
        <v>6000</v>
      </c>
      <c r="V303" s="12"/>
      <c r="W303" s="12"/>
      <c r="X303" s="12"/>
      <c r="Y303" s="12"/>
      <c r="Z303" s="12"/>
      <c r="AA303" s="12"/>
    </row>
    <row r="304" ht="45.0" customHeight="1">
      <c r="A304" s="6">
        <v>301.0</v>
      </c>
      <c r="B304" s="6" t="s">
        <v>173</v>
      </c>
      <c r="C304" s="6" t="s">
        <v>1256</v>
      </c>
      <c r="D304" s="6" t="s">
        <v>1257</v>
      </c>
      <c r="E304" s="7" t="s">
        <v>1258</v>
      </c>
      <c r="F304" s="8" t="s">
        <v>1250</v>
      </c>
      <c r="G304" s="9">
        <v>1.0</v>
      </c>
      <c r="H304" s="9">
        <v>1.0</v>
      </c>
      <c r="I304" s="9">
        <v>25000.0</v>
      </c>
      <c r="J304" s="6">
        <f t="shared" si="20"/>
        <v>25000</v>
      </c>
      <c r="K304" s="6" t="s">
        <v>178</v>
      </c>
      <c r="L304" s="7" t="s">
        <v>47</v>
      </c>
      <c r="M304" s="7"/>
      <c r="N304" s="7"/>
      <c r="O304" s="10" t="s">
        <v>1259</v>
      </c>
      <c r="P304" s="6" t="str">
        <f>IMAGE("https://m.media-amazon.com/images/I/51LxodXCiyS._SL1000_.jpg",1)</f>
        <v/>
      </c>
      <c r="Q304" s="11">
        <v>1.0</v>
      </c>
      <c r="R304" s="12"/>
      <c r="S304" s="12" t="s">
        <v>144</v>
      </c>
      <c r="T304" s="12">
        <v>3500.0</v>
      </c>
      <c r="U304" s="12">
        <f t="shared" si="21"/>
        <v>3500</v>
      </c>
      <c r="V304" s="12"/>
      <c r="W304" s="12"/>
      <c r="X304" s="12"/>
      <c r="Y304" s="12"/>
      <c r="Z304" s="12"/>
      <c r="AA304" s="12"/>
    </row>
    <row r="305" ht="45.0" customHeight="1">
      <c r="A305" s="6">
        <v>302.0</v>
      </c>
      <c r="B305" s="6" t="s">
        <v>173</v>
      </c>
      <c r="C305" s="6" t="s">
        <v>1260</v>
      </c>
      <c r="D305" s="6" t="s">
        <v>1261</v>
      </c>
      <c r="E305" s="7" t="s">
        <v>1262</v>
      </c>
      <c r="F305" s="8" t="s">
        <v>1250</v>
      </c>
      <c r="G305" s="9">
        <v>1.0</v>
      </c>
      <c r="H305" s="9">
        <v>1.0</v>
      </c>
      <c r="I305" s="9">
        <v>1500.0</v>
      </c>
      <c r="J305" s="6">
        <f t="shared" si="20"/>
        <v>1500</v>
      </c>
      <c r="K305" s="6" t="s">
        <v>178</v>
      </c>
      <c r="L305" s="7" t="s">
        <v>47</v>
      </c>
      <c r="M305" s="7"/>
      <c r="N305" s="7"/>
      <c r="O305" s="10" t="s">
        <v>1263</v>
      </c>
      <c r="P305" s="6" t="str">
        <f>IMAGE("https://m.media-amazon.com/images/I/61WLNOGJ4JS.jpg")</f>
        <v/>
      </c>
      <c r="Q305" s="11">
        <v>1.0</v>
      </c>
      <c r="R305" s="12"/>
      <c r="S305" s="12" t="s">
        <v>144</v>
      </c>
      <c r="T305" s="12">
        <v>4000.0</v>
      </c>
      <c r="U305" s="12">
        <f t="shared" si="21"/>
        <v>4000</v>
      </c>
      <c r="V305" s="12"/>
      <c r="W305" s="12"/>
      <c r="X305" s="12"/>
      <c r="Y305" s="12"/>
      <c r="Z305" s="12"/>
      <c r="AA305" s="12"/>
    </row>
    <row r="306" ht="45.0" customHeight="1">
      <c r="A306" s="6">
        <v>303.0</v>
      </c>
      <c r="B306" s="6" t="s">
        <v>173</v>
      </c>
      <c r="C306" s="6" t="s">
        <v>1264</v>
      </c>
      <c r="D306" s="6" t="s">
        <v>1265</v>
      </c>
      <c r="E306" s="7" t="s">
        <v>1266</v>
      </c>
      <c r="F306" s="8" t="s">
        <v>1250</v>
      </c>
      <c r="G306" s="9">
        <v>1.0</v>
      </c>
      <c r="H306" s="9">
        <v>1.0</v>
      </c>
      <c r="I306" s="9">
        <v>2500.0</v>
      </c>
      <c r="J306" s="6">
        <f t="shared" si="20"/>
        <v>2500</v>
      </c>
      <c r="K306" s="6" t="s">
        <v>178</v>
      </c>
      <c r="L306" s="7"/>
      <c r="M306" s="7"/>
      <c r="N306" s="7"/>
      <c r="O306" s="10" t="s">
        <v>1267</v>
      </c>
      <c r="P306" s="6" t="str">
        <f>IMAGE("https://cdn.shopify.com/s/files/1/0559/1970/6265/products/4_61325b1b-840f-41dd-a6d9-0ddb00c5c7bc_1024x1024@2x.png?v=1670588177",1)</f>
        <v/>
      </c>
      <c r="Q306" s="25">
        <v>0.0</v>
      </c>
      <c r="R306" s="11">
        <f>43*H306</f>
        <v>43</v>
      </c>
      <c r="S306" s="12" t="s">
        <v>144</v>
      </c>
      <c r="T306" s="12">
        <v>2000.0</v>
      </c>
      <c r="U306" s="12">
        <f t="shared" si="21"/>
        <v>2000</v>
      </c>
      <c r="V306" s="12"/>
      <c r="W306" s="12"/>
      <c r="X306" s="12"/>
      <c r="Y306" s="12"/>
      <c r="Z306" s="12"/>
      <c r="AA306" s="12"/>
    </row>
    <row r="307" ht="45.0" customHeight="1">
      <c r="A307" s="6">
        <v>304.0</v>
      </c>
      <c r="B307" s="6" t="s">
        <v>1152</v>
      </c>
      <c r="C307" s="6" t="s">
        <v>1268</v>
      </c>
      <c r="D307" s="6" t="s">
        <v>1269</v>
      </c>
      <c r="E307" s="7" t="s">
        <v>1270</v>
      </c>
      <c r="F307" s="8" t="s">
        <v>1250</v>
      </c>
      <c r="G307" s="6">
        <v>1.0</v>
      </c>
      <c r="H307" s="6">
        <v>1.0</v>
      </c>
      <c r="I307" s="6">
        <v>2000.0</v>
      </c>
      <c r="J307" s="6">
        <f t="shared" si="20"/>
        <v>2000</v>
      </c>
      <c r="K307" s="6" t="s">
        <v>1157</v>
      </c>
      <c r="L307" s="7"/>
      <c r="M307" s="7"/>
      <c r="N307" s="7"/>
      <c r="O307" s="10" t="s">
        <v>1271</v>
      </c>
      <c r="P307" s="6" t="str">
        <f>IMAGE("https://m.media-amazon.com/images/I/61USTYJ+OPL._SL1500_.jpg",1)</f>
        <v/>
      </c>
      <c r="Q307" s="11">
        <v>0.0</v>
      </c>
      <c r="R307" s="12">
        <v>1.0</v>
      </c>
      <c r="S307" s="12" t="s">
        <v>144</v>
      </c>
      <c r="T307" s="12">
        <v>3000.0</v>
      </c>
      <c r="U307" s="12">
        <f t="shared" si="21"/>
        <v>3000</v>
      </c>
      <c r="V307" s="12"/>
      <c r="W307" s="12"/>
      <c r="X307" s="12"/>
      <c r="Y307" s="12"/>
      <c r="Z307" s="12"/>
      <c r="AA307" s="12"/>
    </row>
    <row r="308" ht="45.0" customHeight="1">
      <c r="A308" s="6">
        <v>305.0</v>
      </c>
      <c r="B308" s="6" t="s">
        <v>1152</v>
      </c>
      <c r="C308" s="6" t="s">
        <v>1272</v>
      </c>
      <c r="D308" s="6" t="s">
        <v>1273</v>
      </c>
      <c r="E308" s="7" t="s">
        <v>1274</v>
      </c>
      <c r="F308" s="8" t="s">
        <v>1250</v>
      </c>
      <c r="G308" s="6">
        <v>1.0</v>
      </c>
      <c r="H308" s="6">
        <v>1.0</v>
      </c>
      <c r="I308" s="6">
        <v>1700.0</v>
      </c>
      <c r="J308" s="6">
        <f t="shared" si="20"/>
        <v>1700</v>
      </c>
      <c r="K308" s="6" t="s">
        <v>1157</v>
      </c>
      <c r="L308" s="7" t="s">
        <v>47</v>
      </c>
      <c r="M308" s="7"/>
      <c r="N308" s="7"/>
      <c r="O308" s="10" t="s">
        <v>1275</v>
      </c>
      <c r="P308" s="6" t="str">
        <f>IMAGE("https://htcinstrument.com/wp-content/uploads/2021/05/AVM-06L.jpg",1)</f>
        <v/>
      </c>
      <c r="Q308" s="11">
        <v>0.0</v>
      </c>
      <c r="R308" s="12"/>
      <c r="S308" s="12" t="s">
        <v>144</v>
      </c>
      <c r="T308" s="12">
        <v>2000.0</v>
      </c>
      <c r="U308" s="12">
        <f t="shared" si="21"/>
        <v>2000</v>
      </c>
      <c r="V308" s="12"/>
      <c r="W308" s="12"/>
      <c r="X308" s="12"/>
      <c r="Y308" s="12"/>
      <c r="Z308" s="12"/>
      <c r="AA308" s="12"/>
    </row>
    <row r="309" ht="45.0" customHeight="1">
      <c r="A309" s="6">
        <v>306.0</v>
      </c>
      <c r="B309" s="6" t="s">
        <v>1152</v>
      </c>
      <c r="C309" s="6" t="s">
        <v>1276</v>
      </c>
      <c r="D309" s="6" t="s">
        <v>1277</v>
      </c>
      <c r="E309" s="7" t="s">
        <v>1278</v>
      </c>
      <c r="F309" s="8" t="s">
        <v>1250</v>
      </c>
      <c r="G309" s="6">
        <v>1.0</v>
      </c>
      <c r="H309" s="6">
        <v>1.0</v>
      </c>
      <c r="I309" s="6">
        <v>3000.0</v>
      </c>
      <c r="J309" s="6">
        <f t="shared" si="20"/>
        <v>3000</v>
      </c>
      <c r="K309" s="6" t="s">
        <v>1157</v>
      </c>
      <c r="L309" s="7"/>
      <c r="M309" s="7"/>
      <c r="N309" s="7"/>
      <c r="O309" s="10"/>
      <c r="P309" s="6" t="str">
        <f>IMAGE("https://www.toolworld.in/storage/media/product/1696831532.jpg",1)</f>
        <v/>
      </c>
      <c r="Q309" s="11">
        <v>0.0</v>
      </c>
      <c r="R309" s="12"/>
      <c r="S309" s="12" t="s">
        <v>144</v>
      </c>
      <c r="T309" s="12">
        <v>2000.0</v>
      </c>
      <c r="U309" s="12">
        <f t="shared" si="21"/>
        <v>2000</v>
      </c>
      <c r="V309" s="12"/>
      <c r="W309" s="12"/>
      <c r="Y309" s="12"/>
      <c r="Z309" s="12"/>
      <c r="AA309" s="12"/>
    </row>
    <row r="310" ht="45.0" customHeight="1">
      <c r="A310" s="6">
        <v>307.0</v>
      </c>
      <c r="B310" s="6" t="s">
        <v>1152</v>
      </c>
      <c r="C310" s="6" t="s">
        <v>1279</v>
      </c>
      <c r="D310" s="6" t="s">
        <v>1280</v>
      </c>
      <c r="E310" s="7" t="s">
        <v>1281</v>
      </c>
      <c r="F310" s="8" t="s">
        <v>1250</v>
      </c>
      <c r="G310" s="6">
        <v>1.0</v>
      </c>
      <c r="H310" s="6">
        <v>1.0</v>
      </c>
      <c r="I310" s="6">
        <v>1700.0</v>
      </c>
      <c r="J310" s="6">
        <f t="shared" si="20"/>
        <v>1700</v>
      </c>
      <c r="K310" s="6" t="s">
        <v>1157</v>
      </c>
      <c r="L310" s="7" t="s">
        <v>47</v>
      </c>
      <c r="M310" s="7"/>
      <c r="N310" s="7"/>
      <c r="O310" s="10" t="s">
        <v>1282</v>
      </c>
      <c r="P310" s="6" t="str">
        <f>IMAGE("https://www.toolworld.in/storage/media/product/UT382-1.jpg",1)</f>
        <v/>
      </c>
      <c r="Q310" s="11">
        <v>0.0</v>
      </c>
      <c r="R310" s="12"/>
      <c r="S310" s="12" t="s">
        <v>144</v>
      </c>
      <c r="T310" s="12">
        <v>2000.0</v>
      </c>
      <c r="U310" s="12">
        <f t="shared" si="21"/>
        <v>2000</v>
      </c>
      <c r="V310" s="12"/>
      <c r="W310" s="12"/>
      <c r="X310" s="12"/>
      <c r="Y310" s="12"/>
      <c r="Z310" s="12"/>
      <c r="AA310" s="12"/>
    </row>
    <row r="311" ht="45.0" customHeight="1">
      <c r="A311" s="6">
        <v>308.0</v>
      </c>
      <c r="B311" s="6" t="s">
        <v>1152</v>
      </c>
      <c r="C311" s="6" t="s">
        <v>1283</v>
      </c>
      <c r="D311" s="6" t="s">
        <v>1284</v>
      </c>
      <c r="E311" s="7" t="s">
        <v>1285</v>
      </c>
      <c r="F311" s="8" t="s">
        <v>1250</v>
      </c>
      <c r="G311" s="6">
        <v>1.0</v>
      </c>
      <c r="H311" s="6">
        <v>1.0</v>
      </c>
      <c r="I311" s="6">
        <v>3000.0</v>
      </c>
      <c r="J311" s="6">
        <f t="shared" si="20"/>
        <v>3000</v>
      </c>
      <c r="K311" s="6" t="s">
        <v>1157</v>
      </c>
      <c r="L311" s="7"/>
      <c r="M311" s="7"/>
      <c r="N311" s="7"/>
      <c r="O311" s="10"/>
      <c r="P311" s="6" t="e">
        <v>#VALUE!</v>
      </c>
      <c r="Q311" s="11">
        <v>0.0</v>
      </c>
      <c r="R311" s="12">
        <v>1.0</v>
      </c>
      <c r="S311" s="12" t="s">
        <v>144</v>
      </c>
      <c r="T311" s="12">
        <v>2000.0</v>
      </c>
      <c r="U311" s="12">
        <f t="shared" si="21"/>
        <v>2000</v>
      </c>
      <c r="V311" s="12"/>
      <c r="W311" s="12"/>
      <c r="X311" s="12"/>
      <c r="Y311" s="12"/>
      <c r="Z311" s="12"/>
      <c r="AA311" s="12"/>
    </row>
    <row r="312" ht="45.0" customHeight="1">
      <c r="A312" s="6">
        <v>309.0</v>
      </c>
      <c r="B312" s="6" t="s">
        <v>1152</v>
      </c>
      <c r="C312" s="6" t="s">
        <v>1286</v>
      </c>
      <c r="D312" s="6" t="s">
        <v>1287</v>
      </c>
      <c r="E312" s="7" t="s">
        <v>1288</v>
      </c>
      <c r="F312" s="8" t="s">
        <v>1250</v>
      </c>
      <c r="G312" s="6">
        <v>1.0</v>
      </c>
      <c r="H312" s="6">
        <v>1.0</v>
      </c>
      <c r="I312" s="6">
        <v>1000.0</v>
      </c>
      <c r="J312" s="6">
        <f t="shared" si="20"/>
        <v>1000</v>
      </c>
      <c r="K312" s="6" t="s">
        <v>1157</v>
      </c>
      <c r="L312" s="7"/>
      <c r="M312" s="7"/>
      <c r="N312" s="7"/>
      <c r="O312" s="10"/>
      <c r="P312" s="6" t="str">
        <f>IMAGE("https://m.media-amazon.com/images/I/41d6N8TdSTL._SL1001_.jpg",1)</f>
        <v/>
      </c>
      <c r="Q312" s="11">
        <v>0.0</v>
      </c>
      <c r="R312" s="12"/>
      <c r="S312" s="12" t="s">
        <v>144</v>
      </c>
      <c r="T312" s="12">
        <v>2000.0</v>
      </c>
      <c r="U312" s="12">
        <f t="shared" si="21"/>
        <v>2000</v>
      </c>
      <c r="V312" s="12"/>
      <c r="W312" s="12"/>
      <c r="X312" s="12"/>
      <c r="Y312" s="12"/>
      <c r="Z312" s="12"/>
      <c r="AA312" s="12"/>
    </row>
    <row r="313" ht="45.0" customHeight="1">
      <c r="A313" s="6">
        <v>310.0</v>
      </c>
      <c r="B313" s="6" t="s">
        <v>1152</v>
      </c>
      <c r="C313" s="6" t="s">
        <v>1289</v>
      </c>
      <c r="D313" s="6" t="s">
        <v>1290</v>
      </c>
      <c r="E313" s="7" t="s">
        <v>1291</v>
      </c>
      <c r="F313" s="8" t="s">
        <v>1250</v>
      </c>
      <c r="G313" s="6">
        <v>1.0</v>
      </c>
      <c r="H313" s="6">
        <v>1.0</v>
      </c>
      <c r="I313" s="6">
        <v>1500.0</v>
      </c>
      <c r="J313" s="6">
        <f t="shared" si="20"/>
        <v>1500</v>
      </c>
      <c r="K313" s="6" t="s">
        <v>1157</v>
      </c>
      <c r="L313" s="7" t="s">
        <v>47</v>
      </c>
      <c r="M313" s="7"/>
      <c r="N313" s="7"/>
      <c r="O313" s="10"/>
      <c r="P313" s="6" t="str">
        <f>IMAGE("https://htcinstrument.com/wp-content/uploads/2021/06/SL-1350L.jpg",1)</f>
        <v/>
      </c>
      <c r="Q313" s="11">
        <v>0.0</v>
      </c>
      <c r="R313" s="12"/>
      <c r="S313" s="12" t="s">
        <v>144</v>
      </c>
      <c r="T313" s="12">
        <v>5000.0</v>
      </c>
      <c r="U313" s="12">
        <f t="shared" si="21"/>
        <v>5000</v>
      </c>
      <c r="V313" s="12"/>
      <c r="W313" s="12"/>
      <c r="Y313" s="12"/>
      <c r="Z313" s="12"/>
      <c r="AA313" s="12"/>
    </row>
    <row r="314" ht="45.0" customHeight="1">
      <c r="A314" s="6">
        <v>311.0</v>
      </c>
      <c r="B314" s="6" t="s">
        <v>1152</v>
      </c>
      <c r="C314" s="6" t="s">
        <v>1292</v>
      </c>
      <c r="D314" s="6" t="s">
        <v>1293</v>
      </c>
      <c r="E314" s="7" t="s">
        <v>1294</v>
      </c>
      <c r="F314" s="8" t="s">
        <v>1250</v>
      </c>
      <c r="G314" s="6">
        <v>1.0</v>
      </c>
      <c r="H314" s="6">
        <v>1.0</v>
      </c>
      <c r="I314" s="6">
        <v>2000.0</v>
      </c>
      <c r="J314" s="6">
        <f t="shared" si="20"/>
        <v>2000</v>
      </c>
      <c r="K314" s="6" t="s">
        <v>1157</v>
      </c>
      <c r="L314" s="7" t="s">
        <v>47</v>
      </c>
      <c r="M314" s="7"/>
      <c r="N314" s="7"/>
      <c r="O314" s="10" t="s">
        <v>1295</v>
      </c>
      <c r="P314" s="6" t="str">
        <f>IMAGE("https://htcinstrument.com/wp-content/uploads/2021/04/HT-306L.jpg",1)</f>
        <v/>
      </c>
      <c r="Q314" s="11">
        <v>0.0</v>
      </c>
      <c r="R314" s="12"/>
      <c r="S314" s="12" t="s">
        <v>144</v>
      </c>
      <c r="T314" s="12">
        <v>2500.0</v>
      </c>
      <c r="U314" s="12">
        <f t="shared" si="21"/>
        <v>2500</v>
      </c>
      <c r="V314" s="12"/>
      <c r="W314" s="12"/>
      <c r="X314" s="12"/>
      <c r="Y314" s="12"/>
      <c r="Z314" s="12"/>
      <c r="AA314" s="12"/>
    </row>
    <row r="315" ht="45.0" customHeight="1">
      <c r="A315" s="6">
        <v>312.0</v>
      </c>
      <c r="B315" s="6" t="s">
        <v>1152</v>
      </c>
      <c r="C315" s="6" t="s">
        <v>1296</v>
      </c>
      <c r="D315" s="6" t="s">
        <v>1297</v>
      </c>
      <c r="E315" s="7" t="s">
        <v>1298</v>
      </c>
      <c r="F315" s="8" t="s">
        <v>1250</v>
      </c>
      <c r="G315" s="9">
        <v>20.0</v>
      </c>
      <c r="H315" s="9">
        <v>10.0</v>
      </c>
      <c r="I315" s="9">
        <v>300.0</v>
      </c>
      <c r="J315" s="6">
        <f t="shared" si="20"/>
        <v>3000</v>
      </c>
      <c r="K315" s="6" t="s">
        <v>1157</v>
      </c>
      <c r="L315" s="7"/>
      <c r="M315" s="7"/>
      <c r="N315" s="7"/>
      <c r="O315" s="10" t="s">
        <v>1299</v>
      </c>
      <c r="P315" s="6" t="e">
        <v>#VALUE!</v>
      </c>
      <c r="Q315" s="11">
        <v>0.0</v>
      </c>
      <c r="R315" s="12"/>
      <c r="S315" s="12" t="s">
        <v>144</v>
      </c>
      <c r="T315" s="12">
        <v>2000.0</v>
      </c>
      <c r="U315" s="12">
        <f t="shared" si="21"/>
        <v>20000</v>
      </c>
      <c r="V315" s="12"/>
      <c r="W315" s="12"/>
      <c r="X315" s="12"/>
      <c r="Y315" s="12"/>
      <c r="Z315" s="12"/>
      <c r="AA315" s="12"/>
    </row>
    <row r="316" ht="45.0" customHeight="1">
      <c r="A316" s="6">
        <v>313.0</v>
      </c>
      <c r="B316" s="6" t="s">
        <v>1152</v>
      </c>
      <c r="C316" s="6" t="s">
        <v>1300</v>
      </c>
      <c r="D316" s="6" t="s">
        <v>1301</v>
      </c>
      <c r="E316" s="7" t="s">
        <v>1302</v>
      </c>
      <c r="F316" s="8" t="s">
        <v>1250</v>
      </c>
      <c r="G316" s="9">
        <v>1.0</v>
      </c>
      <c r="H316" s="9">
        <v>1.0</v>
      </c>
      <c r="I316" s="9">
        <v>1500.0</v>
      </c>
      <c r="J316" s="6">
        <f t="shared" si="20"/>
        <v>1500</v>
      </c>
      <c r="K316" s="6" t="s">
        <v>1157</v>
      </c>
      <c r="L316" s="7" t="s">
        <v>47</v>
      </c>
      <c r="M316" s="7"/>
      <c r="N316" s="7"/>
      <c r="O316" s="10" t="s">
        <v>1303</v>
      </c>
      <c r="P316" s="6" t="str">
        <f>IMAGE("https://5.imimg.com/data5/XG/YW/VV/SELLER-219478/hot-plate-round-250x250.jpg",1)</f>
        <v/>
      </c>
      <c r="Q316" s="11">
        <v>0.0</v>
      </c>
      <c r="R316" s="12">
        <v>1.0</v>
      </c>
      <c r="S316" s="12" t="s">
        <v>144</v>
      </c>
      <c r="T316" s="12">
        <v>3000.0</v>
      </c>
      <c r="U316" s="12">
        <f t="shared" si="21"/>
        <v>3000</v>
      </c>
      <c r="V316" s="12"/>
      <c r="W316" s="12"/>
      <c r="X316" s="12"/>
      <c r="Y316" s="12"/>
      <c r="Z316" s="12"/>
      <c r="AA316" s="12"/>
    </row>
    <row r="317" ht="45.0" customHeight="1">
      <c r="A317" s="6">
        <v>314.0</v>
      </c>
      <c r="B317" s="6" t="s">
        <v>1152</v>
      </c>
      <c r="C317" s="6" t="s">
        <v>1304</v>
      </c>
      <c r="D317" s="6" t="s">
        <v>1305</v>
      </c>
      <c r="E317" s="7" t="s">
        <v>1306</v>
      </c>
      <c r="F317" s="8" t="s">
        <v>1250</v>
      </c>
      <c r="G317" s="9">
        <v>1.0</v>
      </c>
      <c r="H317" s="9">
        <v>1.0</v>
      </c>
      <c r="I317" s="9">
        <v>500.0</v>
      </c>
      <c r="J317" s="6">
        <f t="shared" si="20"/>
        <v>500</v>
      </c>
      <c r="K317" s="6" t="s">
        <v>1157</v>
      </c>
      <c r="L317" s="7"/>
      <c r="M317" s="7"/>
      <c r="N317" s="7"/>
      <c r="O317" s="10" t="s">
        <v>1307</v>
      </c>
      <c r="P317" s="6" t="str">
        <f>IMAGE("https://image.made-in-china.com/202f0j00DeSTmvGBnZpR/Electronic-Weighing-Scale-Digital-Scale-of-High-Precision-HWA-.jpg",1)</f>
        <v/>
      </c>
      <c r="Q317" s="11">
        <v>0.0</v>
      </c>
      <c r="R317" s="12">
        <v>1.0</v>
      </c>
      <c r="S317" s="12" t="s">
        <v>144</v>
      </c>
      <c r="T317" s="12">
        <v>10000.0</v>
      </c>
      <c r="U317" s="12">
        <f t="shared" si="21"/>
        <v>10000</v>
      </c>
      <c r="V317" s="12"/>
      <c r="W317" s="12"/>
      <c r="X317" s="12"/>
      <c r="Y317" s="12"/>
      <c r="Z317" s="12"/>
      <c r="AA317" s="12"/>
    </row>
    <row r="318" ht="45.0" customHeight="1">
      <c r="A318" s="6">
        <v>315.0</v>
      </c>
      <c r="B318" s="6" t="s">
        <v>1152</v>
      </c>
      <c r="C318" s="6" t="s">
        <v>1308</v>
      </c>
      <c r="D318" s="6" t="s">
        <v>1309</v>
      </c>
      <c r="E318" s="7" t="s">
        <v>1310</v>
      </c>
      <c r="F318" s="8" t="s">
        <v>1250</v>
      </c>
      <c r="G318" s="9">
        <v>1.0</v>
      </c>
      <c r="H318" s="9">
        <v>1.0</v>
      </c>
      <c r="I318" s="9">
        <v>500.0</v>
      </c>
      <c r="J318" s="6">
        <f t="shared" si="20"/>
        <v>500</v>
      </c>
      <c r="K318" s="6" t="s">
        <v>1157</v>
      </c>
      <c r="L318" s="7" t="s">
        <v>47</v>
      </c>
      <c r="M318" s="7"/>
      <c r="N318" s="7"/>
      <c r="O318" s="10" t="s">
        <v>1311</v>
      </c>
      <c r="P318" s="6" t="str">
        <f>IMAGE("https://m.media-amazon.com/images/I/71-uBViGV+L._SX522_.jpg",1)</f>
        <v/>
      </c>
      <c r="Q318" s="11">
        <v>0.0</v>
      </c>
      <c r="R318" s="12"/>
      <c r="S318" s="12" t="s">
        <v>144</v>
      </c>
      <c r="T318" s="12">
        <v>500.0</v>
      </c>
      <c r="U318" s="12">
        <f t="shared" si="21"/>
        <v>500</v>
      </c>
      <c r="V318" s="12"/>
      <c r="W318" s="12"/>
      <c r="X318" s="12"/>
      <c r="Y318" s="12"/>
      <c r="Z318" s="12"/>
      <c r="AA318" s="12"/>
    </row>
    <row r="319" ht="45.0" customHeight="1">
      <c r="A319" s="6">
        <v>316.0</v>
      </c>
      <c r="B319" s="6" t="s">
        <v>1152</v>
      </c>
      <c r="C319" s="6" t="s">
        <v>1312</v>
      </c>
      <c r="D319" s="6" t="s">
        <v>1313</v>
      </c>
      <c r="E319" s="7" t="s">
        <v>1314</v>
      </c>
      <c r="F319" s="8" t="s">
        <v>1250</v>
      </c>
      <c r="G319" s="6">
        <v>1.0</v>
      </c>
      <c r="H319" s="6">
        <v>1.0</v>
      </c>
      <c r="I319" s="6"/>
      <c r="J319" s="6">
        <f t="shared" si="20"/>
        <v>0</v>
      </c>
      <c r="K319" s="6" t="s">
        <v>1157</v>
      </c>
      <c r="L319" s="7"/>
      <c r="M319" s="7"/>
      <c r="N319" s="7"/>
      <c r="O319" s="10" t="s">
        <v>1315</v>
      </c>
      <c r="P319" s="6" t="str">
        <f>IMAGE("https://m.media-amazon.com/images/I/61MstERkLZL._SL1500_.jpg",1)</f>
        <v/>
      </c>
      <c r="Q319" s="11"/>
      <c r="R319" s="12">
        <v>1.0</v>
      </c>
      <c r="S319" s="12" t="s">
        <v>144</v>
      </c>
      <c r="T319" s="12">
        <v>8000.0</v>
      </c>
      <c r="U319" s="12">
        <f t="shared" si="21"/>
        <v>8000</v>
      </c>
      <c r="V319" s="12"/>
      <c r="W319" s="12"/>
      <c r="X319" s="12"/>
      <c r="Y319" s="12"/>
      <c r="Z319" s="12"/>
      <c r="AA319" s="12"/>
    </row>
    <row r="320" ht="45.0" customHeight="1">
      <c r="A320" s="6">
        <v>317.0</v>
      </c>
      <c r="B320" s="6" t="s">
        <v>1152</v>
      </c>
      <c r="C320" s="6" t="s">
        <v>1316</v>
      </c>
      <c r="D320" s="6" t="s">
        <v>1317</v>
      </c>
      <c r="E320" s="7" t="s">
        <v>1318</v>
      </c>
      <c r="F320" s="8" t="s">
        <v>1250</v>
      </c>
      <c r="G320" s="9">
        <v>2.0</v>
      </c>
      <c r="H320" s="9">
        <v>2.0</v>
      </c>
      <c r="I320" s="9">
        <v>160.0</v>
      </c>
      <c r="J320" s="6">
        <f t="shared" si="20"/>
        <v>320</v>
      </c>
      <c r="K320" s="6" t="s">
        <v>1157</v>
      </c>
      <c r="L320" s="7"/>
      <c r="M320" s="7"/>
      <c r="N320" s="7"/>
      <c r="O320" s="10" t="s">
        <v>1319</v>
      </c>
      <c r="P320" s="6" t="str">
        <f>IMAGE("https://5.imimg.com/data5/UM/JA/MY-39609002/screw-gauge-500x500.jpg",1)</f>
        <v/>
      </c>
      <c r="Q320" s="11"/>
      <c r="R320" s="12">
        <v>1.0</v>
      </c>
      <c r="S320" s="12" t="s">
        <v>144</v>
      </c>
      <c r="T320" s="12">
        <v>1500.0</v>
      </c>
      <c r="U320" s="12">
        <f t="shared" si="21"/>
        <v>3000</v>
      </c>
      <c r="V320" s="12"/>
      <c r="W320" s="12"/>
      <c r="X320" s="12"/>
      <c r="Y320" s="12"/>
      <c r="Z320" s="12"/>
      <c r="AA320" s="12"/>
    </row>
    <row r="321" ht="45.0" customHeight="1">
      <c r="A321" s="6">
        <v>318.0</v>
      </c>
      <c r="B321" s="6" t="s">
        <v>1152</v>
      </c>
      <c r="C321" s="6" t="s">
        <v>1320</v>
      </c>
      <c r="D321" s="6" t="s">
        <v>1321</v>
      </c>
      <c r="E321" s="7" t="s">
        <v>1322</v>
      </c>
      <c r="F321" s="8" t="s">
        <v>1250</v>
      </c>
      <c r="G321" s="9">
        <v>1.0</v>
      </c>
      <c r="H321" s="9">
        <v>1.0</v>
      </c>
      <c r="I321" s="9">
        <v>1000.0</v>
      </c>
      <c r="J321" s="6">
        <f t="shared" si="20"/>
        <v>1000</v>
      </c>
      <c r="K321" s="6" t="s">
        <v>1157</v>
      </c>
      <c r="L321" s="7"/>
      <c r="M321" s="7"/>
      <c r="N321" s="7"/>
      <c r="O321" s="10"/>
      <c r="P321" s="6" t="str">
        <f>IMAGE("https://m.media-amazon.com/images/I/61yYBr4qxBL._SL1276_.jpg",1)</f>
        <v/>
      </c>
      <c r="Q321" s="11">
        <v>0.0</v>
      </c>
      <c r="R321" s="12"/>
      <c r="S321" s="12" t="s">
        <v>144</v>
      </c>
      <c r="T321" s="12"/>
      <c r="U321" s="12"/>
      <c r="V321" s="12"/>
      <c r="W321" s="12"/>
      <c r="X321" s="12"/>
      <c r="Y321" s="12"/>
      <c r="Z321" s="12"/>
      <c r="AA321" s="12"/>
    </row>
    <row r="322" ht="45.0" customHeight="1">
      <c r="A322" s="6">
        <v>319.0</v>
      </c>
      <c r="B322" s="6" t="s">
        <v>342</v>
      </c>
      <c r="C322" s="6" t="s">
        <v>1323</v>
      </c>
      <c r="D322" s="6" t="s">
        <v>1324</v>
      </c>
      <c r="E322" s="7" t="s">
        <v>1325</v>
      </c>
      <c r="F322" s="8" t="s">
        <v>1250</v>
      </c>
      <c r="G322" s="9">
        <v>1.0</v>
      </c>
      <c r="H322" s="9">
        <v>1.0</v>
      </c>
      <c r="I322" s="9">
        <v>2000.0</v>
      </c>
      <c r="J322" s="6">
        <f t="shared" si="20"/>
        <v>2000</v>
      </c>
      <c r="K322" s="6" t="s">
        <v>347</v>
      </c>
      <c r="L322" s="7"/>
      <c r="M322" s="7"/>
      <c r="N322" s="7"/>
      <c r="O322" s="10" t="s">
        <v>1326</v>
      </c>
      <c r="P322" s="6" t="e">
        <v>#VALUE!</v>
      </c>
      <c r="Q322" s="11">
        <v>0.0</v>
      </c>
      <c r="R322" s="12">
        <v>1.0</v>
      </c>
      <c r="S322" s="12" t="s">
        <v>144</v>
      </c>
      <c r="T322" s="12"/>
      <c r="U322" s="12"/>
      <c r="V322" s="12"/>
      <c r="W322" s="12"/>
      <c r="X322" s="12"/>
      <c r="Y322" s="12"/>
      <c r="Z322" s="12"/>
      <c r="AA322" s="12"/>
    </row>
    <row r="323" ht="45.0" customHeight="1">
      <c r="A323" s="6">
        <v>320.0</v>
      </c>
      <c r="B323" s="6" t="s">
        <v>173</v>
      </c>
      <c r="C323" s="6" t="s">
        <v>1327</v>
      </c>
      <c r="D323" s="6" t="s">
        <v>1328</v>
      </c>
      <c r="E323" s="7" t="s">
        <v>1329</v>
      </c>
      <c r="F323" s="8" t="s">
        <v>1330</v>
      </c>
      <c r="G323" s="6">
        <v>100.0</v>
      </c>
      <c r="H323" s="6">
        <v>100.0</v>
      </c>
      <c r="I323" s="6"/>
      <c r="J323" s="6">
        <f t="shared" si="20"/>
        <v>0</v>
      </c>
      <c r="K323" s="6" t="s">
        <v>178</v>
      </c>
      <c r="L323" s="7" t="s">
        <v>65</v>
      </c>
      <c r="M323" s="7" t="s">
        <v>179</v>
      </c>
      <c r="N323" s="7" t="s">
        <v>1331</v>
      </c>
      <c r="O323" s="10" t="s">
        <v>1332</v>
      </c>
      <c r="P323" s="6" t="str">
        <f>IMAGE("https://m.media-amazon.com/images/I/61vUDUTouNL._SL1500_.jpg",1)</f>
        <v/>
      </c>
      <c r="Q323" s="11">
        <v>0.0</v>
      </c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45.0" customHeight="1">
      <c r="A324" s="6">
        <v>321.0</v>
      </c>
      <c r="B324" s="6" t="s">
        <v>173</v>
      </c>
      <c r="C324" s="6" t="s">
        <v>1333</v>
      </c>
      <c r="D324" s="6" t="s">
        <v>1334</v>
      </c>
      <c r="E324" s="7" t="s">
        <v>1335</v>
      </c>
      <c r="F324" s="8" t="s">
        <v>1330</v>
      </c>
      <c r="G324" s="6">
        <v>100.0</v>
      </c>
      <c r="H324" s="6">
        <v>100.0</v>
      </c>
      <c r="I324" s="6"/>
      <c r="J324" s="6">
        <f t="shared" si="20"/>
        <v>0</v>
      </c>
      <c r="K324" s="6" t="s">
        <v>178</v>
      </c>
      <c r="L324" s="7"/>
      <c r="M324" s="7" t="s">
        <v>66</v>
      </c>
      <c r="N324" s="7"/>
      <c r="O324" s="10" t="s">
        <v>1336</v>
      </c>
      <c r="P324" s="6" t="str">
        <f>IMAGE("https://m.media-amazon.com/images/I/31ye7Xw2PpL.jpg",1)</f>
        <v/>
      </c>
      <c r="Q324" s="11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45.0" customHeight="1">
      <c r="A325" s="6">
        <v>322.0</v>
      </c>
      <c r="B325" s="6" t="s">
        <v>173</v>
      </c>
      <c r="C325" s="6" t="s">
        <v>1337</v>
      </c>
      <c r="D325" s="6" t="s">
        <v>1338</v>
      </c>
      <c r="E325" s="7" t="s">
        <v>1339</v>
      </c>
      <c r="F325" s="8" t="s">
        <v>1330</v>
      </c>
      <c r="G325" s="6">
        <v>10.0</v>
      </c>
      <c r="H325" s="6">
        <v>10.0</v>
      </c>
      <c r="I325" s="6"/>
      <c r="J325" s="6">
        <f t="shared" si="20"/>
        <v>0</v>
      </c>
      <c r="K325" s="6" t="s">
        <v>178</v>
      </c>
      <c r="L325" s="7" t="s">
        <v>65</v>
      </c>
      <c r="M325" s="7" t="s">
        <v>249</v>
      </c>
      <c r="N325" s="7" t="s">
        <v>1340</v>
      </c>
      <c r="O325" s="10" t="s">
        <v>1341</v>
      </c>
      <c r="P325" s="6" t="str">
        <f>IMAGE("https://m.media-amazon.com/images/I/414cC-M+nlL._SL1000_.jpg",1)</f>
        <v/>
      </c>
      <c r="Q325" s="11"/>
      <c r="R325" s="12"/>
      <c r="S325" s="12"/>
      <c r="T325" s="12">
        <v>1000.0</v>
      </c>
      <c r="U325" s="12">
        <f t="shared" ref="U325:U326" si="22">T325*H325</f>
        <v>10000</v>
      </c>
      <c r="V325" s="12"/>
      <c r="W325" s="12"/>
      <c r="X325" s="12"/>
      <c r="Y325" s="12"/>
      <c r="Z325" s="12"/>
      <c r="AA325" s="12"/>
    </row>
    <row r="326" ht="45.0" customHeight="1">
      <c r="A326" s="6">
        <v>323.0</v>
      </c>
      <c r="B326" s="6" t="s">
        <v>173</v>
      </c>
      <c r="C326" s="6" t="s">
        <v>1342</v>
      </c>
      <c r="D326" s="6" t="s">
        <v>1343</v>
      </c>
      <c r="E326" s="7" t="s">
        <v>1344</v>
      </c>
      <c r="F326" s="8" t="s">
        <v>1330</v>
      </c>
      <c r="G326" s="6">
        <v>100.0</v>
      </c>
      <c r="H326" s="6">
        <v>100.0</v>
      </c>
      <c r="I326" s="6"/>
      <c r="J326" s="6">
        <f t="shared" si="20"/>
        <v>0</v>
      </c>
      <c r="K326" s="6" t="s">
        <v>178</v>
      </c>
      <c r="L326" s="7" t="s">
        <v>65</v>
      </c>
      <c r="M326" s="7" t="s">
        <v>1345</v>
      </c>
      <c r="N326" s="7" t="s">
        <v>1346</v>
      </c>
      <c r="O326" s="10" t="s">
        <v>1347</v>
      </c>
      <c r="P326" s="6" t="str">
        <f>IMAGE("https://m.media-amazon.com/images/I/31nb9BadkoL.jpg",1)</f>
        <v/>
      </c>
      <c r="Q326" s="11"/>
      <c r="R326" s="12"/>
      <c r="S326" s="12"/>
      <c r="T326" s="12">
        <v>2500.0</v>
      </c>
      <c r="U326" s="12">
        <f t="shared" si="22"/>
        <v>250000</v>
      </c>
      <c r="V326" s="12"/>
      <c r="W326" s="12"/>
      <c r="X326" s="12"/>
      <c r="Y326" s="12"/>
      <c r="Z326" s="12"/>
      <c r="AA326" s="12"/>
    </row>
    <row r="327" ht="45.0" customHeight="1">
      <c r="A327" s="6">
        <v>324.0</v>
      </c>
      <c r="B327" s="6" t="s">
        <v>342</v>
      </c>
      <c r="C327" s="6" t="s">
        <v>1348</v>
      </c>
      <c r="D327" s="6" t="s">
        <v>1349</v>
      </c>
      <c r="E327" s="7" t="s">
        <v>1350</v>
      </c>
      <c r="F327" s="8" t="s">
        <v>1330</v>
      </c>
      <c r="G327" s="6">
        <v>1.0</v>
      </c>
      <c r="H327" s="6">
        <v>1.0</v>
      </c>
      <c r="I327" s="6"/>
      <c r="J327" s="6">
        <f t="shared" si="20"/>
        <v>0</v>
      </c>
      <c r="K327" s="6" t="s">
        <v>347</v>
      </c>
      <c r="L327" s="7" t="s">
        <v>47</v>
      </c>
      <c r="M327" s="16" t="s">
        <v>65</v>
      </c>
      <c r="N327" s="7"/>
      <c r="O327" s="10" t="s">
        <v>1351</v>
      </c>
      <c r="P327" s="6" t="str">
        <f>IMAGE("https://5.imimg.com/data5/SELLER/Default/2023/1/CR/QN/CU/119456209/b22-cap-punching-tool-1000x1000.jpg",1)</f>
        <v/>
      </c>
      <c r="Q327" s="11"/>
      <c r="R327" s="12"/>
      <c r="S327" s="12" t="s">
        <v>144</v>
      </c>
      <c r="T327" s="12"/>
      <c r="U327" s="12"/>
      <c r="V327" s="12"/>
      <c r="W327" s="12"/>
      <c r="X327" s="12"/>
      <c r="Y327" s="12"/>
      <c r="Z327" s="12"/>
      <c r="AA327" s="12"/>
    </row>
    <row r="328" ht="45.0" customHeight="1">
      <c r="A328" s="6">
        <v>325.0</v>
      </c>
      <c r="B328" s="6" t="s">
        <v>342</v>
      </c>
      <c r="C328" s="6" t="s">
        <v>1352</v>
      </c>
      <c r="D328" s="6" t="s">
        <v>1353</v>
      </c>
      <c r="E328" s="7" t="s">
        <v>1354</v>
      </c>
      <c r="F328" s="8" t="s">
        <v>1330</v>
      </c>
      <c r="G328" s="6">
        <v>1.0</v>
      </c>
      <c r="H328" s="6">
        <v>1.0</v>
      </c>
      <c r="I328" s="6"/>
      <c r="J328" s="6">
        <f t="shared" si="20"/>
        <v>0</v>
      </c>
      <c r="K328" s="6" t="s">
        <v>347</v>
      </c>
      <c r="L328" s="7" t="s">
        <v>47</v>
      </c>
      <c r="M328" s="7"/>
      <c r="N328" s="7"/>
      <c r="O328" s="10" t="s">
        <v>1355</v>
      </c>
      <c r="P328" s="6" t="str">
        <f>IMAGE("https://m.media-amazon.com/images/I/31xTdt3sfiL.jpg",1)</f>
        <v/>
      </c>
      <c r="Q328" s="11"/>
      <c r="R328" s="12"/>
      <c r="S328" s="12" t="s">
        <v>144</v>
      </c>
      <c r="T328" s="12"/>
      <c r="U328" s="12"/>
      <c r="V328" s="12"/>
      <c r="W328" s="12"/>
      <c r="X328" s="12"/>
      <c r="Y328" s="12"/>
      <c r="Z328" s="12"/>
      <c r="AA328" s="12"/>
    </row>
    <row r="329" ht="45.0" customHeight="1">
      <c r="A329" s="6">
        <v>326.0</v>
      </c>
      <c r="B329" s="6" t="s">
        <v>173</v>
      </c>
      <c r="C329" s="6" t="s">
        <v>1356</v>
      </c>
      <c r="D329" s="6" t="s">
        <v>1357</v>
      </c>
      <c r="E329" s="7" t="s">
        <v>1358</v>
      </c>
      <c r="F329" s="8" t="s">
        <v>1359</v>
      </c>
      <c r="G329" s="9">
        <v>15.0</v>
      </c>
      <c r="H329" s="9">
        <v>15.0</v>
      </c>
      <c r="I329" s="9">
        <v>250.0</v>
      </c>
      <c r="J329" s="6">
        <f t="shared" si="20"/>
        <v>3750</v>
      </c>
      <c r="K329" s="6" t="s">
        <v>178</v>
      </c>
      <c r="L329" s="7"/>
      <c r="M329" s="7" t="s">
        <v>22</v>
      </c>
      <c r="N329" s="7"/>
      <c r="O329" s="10" t="s">
        <v>1360</v>
      </c>
      <c r="P329" s="6" t="str">
        <f>IMAGE("https://robu.in/wp-content/uploads/2017/11/mg995-high-speed-digital-metal-gear-2bb-torque-rc-for-servo-hpi-savage-xl-2.jpg",1)</f>
        <v/>
      </c>
      <c r="Q329" s="11">
        <v>1.0</v>
      </c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45.0" customHeight="1">
      <c r="A330" s="6">
        <v>327.0</v>
      </c>
      <c r="B330" s="6" t="s">
        <v>173</v>
      </c>
      <c r="C330" s="6" t="s">
        <v>1361</v>
      </c>
      <c r="D330" s="6" t="s">
        <v>1362</v>
      </c>
      <c r="E330" s="7" t="s">
        <v>1363</v>
      </c>
      <c r="F330" s="8" t="s">
        <v>1359</v>
      </c>
      <c r="G330" s="9">
        <v>30.0</v>
      </c>
      <c r="H330" s="9">
        <v>30.0</v>
      </c>
      <c r="I330" s="9">
        <v>55.0</v>
      </c>
      <c r="J330" s="6">
        <f t="shared" si="20"/>
        <v>1650</v>
      </c>
      <c r="K330" s="6" t="s">
        <v>178</v>
      </c>
      <c r="L330" s="7"/>
      <c r="M330" s="7" t="s">
        <v>249</v>
      </c>
      <c r="N330" s="7"/>
      <c r="O330" s="10" t="s">
        <v>1364</v>
      </c>
      <c r="P330" s="6" t="str">
        <f t="shared" ref="P330:P331" si="23">IMAGE("https://m.media-amazon.com/images/W/MEDIAX_792452-T2/images/I/21bgQSzvxLL.jpg",1)</f>
        <v/>
      </c>
      <c r="Q330" s="11">
        <v>1.0</v>
      </c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45.0" customHeight="1">
      <c r="A331" s="6">
        <v>328.0</v>
      </c>
      <c r="B331" s="6" t="s">
        <v>173</v>
      </c>
      <c r="C331" s="6" t="s">
        <v>1365</v>
      </c>
      <c r="D331" s="6" t="s">
        <v>1366</v>
      </c>
      <c r="E331" s="7" t="s">
        <v>1367</v>
      </c>
      <c r="F331" s="8" t="s">
        <v>1359</v>
      </c>
      <c r="G331" s="9">
        <v>30.0</v>
      </c>
      <c r="H331" s="9">
        <v>30.0</v>
      </c>
      <c r="I331" s="9">
        <v>55.0</v>
      </c>
      <c r="J331" s="6">
        <f t="shared" si="20"/>
        <v>1650</v>
      </c>
      <c r="K331" s="6" t="s">
        <v>178</v>
      </c>
      <c r="L331" s="7"/>
      <c r="M331" s="7" t="s">
        <v>249</v>
      </c>
      <c r="N331" s="7" t="s">
        <v>1368</v>
      </c>
      <c r="O331" s="10" t="s">
        <v>1369</v>
      </c>
      <c r="P331" s="6" t="str">
        <f t="shared" si="23"/>
        <v/>
      </c>
      <c r="Q331" s="11">
        <v>1.0</v>
      </c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45.0" customHeight="1">
      <c r="A332" s="26">
        <v>329.0</v>
      </c>
      <c r="B332" s="26" t="s">
        <v>173</v>
      </c>
      <c r="C332" s="26" t="s">
        <v>1370</v>
      </c>
      <c r="D332" s="26" t="s">
        <v>1371</v>
      </c>
      <c r="E332" s="27" t="s">
        <v>1372</v>
      </c>
      <c r="F332" s="28" t="s">
        <v>1359</v>
      </c>
      <c r="G332" s="29">
        <v>30.0</v>
      </c>
      <c r="H332" s="29">
        <v>30.0</v>
      </c>
      <c r="I332" s="29">
        <v>30.0</v>
      </c>
      <c r="J332" s="26">
        <f t="shared" si="20"/>
        <v>900</v>
      </c>
      <c r="K332" s="26" t="s">
        <v>178</v>
      </c>
      <c r="L332" s="27"/>
      <c r="M332" s="27" t="s">
        <v>22</v>
      </c>
      <c r="N332" s="27" t="s">
        <v>1368</v>
      </c>
      <c r="O332" s="30" t="s">
        <v>1373</v>
      </c>
      <c r="P332" s="26" t="str">
        <f>IMAGE("https://5.imimg.com/data5/DJ/PF/TV/SELLER-95692783/bo-wheel-500x500.jpg",1)</f>
        <v/>
      </c>
      <c r="Q332" s="26">
        <v>1.0</v>
      </c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 ht="45.0" customHeight="1">
      <c r="A333" s="6">
        <v>330.0</v>
      </c>
      <c r="B333" s="6" t="s">
        <v>173</v>
      </c>
      <c r="C333" s="6" t="s">
        <v>1374</v>
      </c>
      <c r="D333" s="6" t="s">
        <v>1375</v>
      </c>
      <c r="E333" s="7" t="s">
        <v>1376</v>
      </c>
      <c r="F333" s="8" t="s">
        <v>1359</v>
      </c>
      <c r="G333" s="9">
        <v>20.0</v>
      </c>
      <c r="H333" s="9">
        <v>20.0</v>
      </c>
      <c r="I333" s="9">
        <v>50.0</v>
      </c>
      <c r="J333" s="6">
        <f t="shared" si="20"/>
        <v>1000</v>
      </c>
      <c r="K333" s="6" t="s">
        <v>178</v>
      </c>
      <c r="L333" s="7"/>
      <c r="M333" s="7" t="s">
        <v>179</v>
      </c>
      <c r="N333" s="7"/>
      <c r="O333" s="10" t="s">
        <v>1377</v>
      </c>
      <c r="P333" s="6" t="str">
        <f>IMAGE("https://aryabot.in/wp-content/uploads/2023/10/castor-wheel-big-550x550w.webp",1)</f>
        <v/>
      </c>
      <c r="Q333" s="11">
        <v>1.0</v>
      </c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45.0" customHeight="1">
      <c r="A334" s="6">
        <v>331.0</v>
      </c>
      <c r="B334" s="6" t="s">
        <v>173</v>
      </c>
      <c r="C334" s="6" t="s">
        <v>1378</v>
      </c>
      <c r="D334" s="6" t="s">
        <v>1379</v>
      </c>
      <c r="E334" s="7" t="s">
        <v>1380</v>
      </c>
      <c r="F334" s="8" t="s">
        <v>1359</v>
      </c>
      <c r="G334" s="9">
        <v>10.0</v>
      </c>
      <c r="H334" s="9">
        <v>10.0</v>
      </c>
      <c r="I334" s="9">
        <v>20.0</v>
      </c>
      <c r="J334" s="6">
        <f t="shared" si="20"/>
        <v>200</v>
      </c>
      <c r="K334" s="6" t="s">
        <v>178</v>
      </c>
      <c r="L334" s="7"/>
      <c r="M334" s="7" t="s">
        <v>193</v>
      </c>
      <c r="N334" s="7"/>
      <c r="O334" s="10" t="s">
        <v>1381</v>
      </c>
      <c r="P334" s="6" t="str">
        <f>IMAGE("https://robu.in/wp-content/uploads/2020/09/DC3-6V-130-DIY-Toy-Motor-2-Pcs.-1.png",1)</f>
        <v/>
      </c>
      <c r="Q334" s="11">
        <v>1.0</v>
      </c>
      <c r="R334" s="12"/>
      <c r="S334" s="12"/>
      <c r="U334" s="12"/>
      <c r="V334" s="12"/>
      <c r="W334" s="12"/>
      <c r="X334" s="12"/>
      <c r="Y334" s="12"/>
      <c r="Z334" s="12"/>
      <c r="AA334" s="12"/>
    </row>
    <row r="335" ht="45.0" customHeight="1">
      <c r="A335" s="6">
        <v>332.0</v>
      </c>
      <c r="B335" s="6" t="s">
        <v>173</v>
      </c>
      <c r="C335" s="6" t="s">
        <v>1382</v>
      </c>
      <c r="D335" s="6" t="s">
        <v>1383</v>
      </c>
      <c r="E335" s="7" t="s">
        <v>1384</v>
      </c>
      <c r="F335" s="8" t="s">
        <v>1359</v>
      </c>
      <c r="G335" s="9">
        <v>30.0</v>
      </c>
      <c r="H335" s="9">
        <v>30.0</v>
      </c>
      <c r="I335" s="9">
        <v>250.0</v>
      </c>
      <c r="J335" s="6">
        <f t="shared" si="20"/>
        <v>7500</v>
      </c>
      <c r="K335" s="6" t="s">
        <v>178</v>
      </c>
      <c r="L335" s="7"/>
      <c r="M335" s="7" t="s">
        <v>22</v>
      </c>
      <c r="N335" s="7"/>
      <c r="O335" s="10" t="s">
        <v>1385</v>
      </c>
      <c r="P335" s="6" t="str">
        <f>IMAGE("https://i0.wp.com/www.circuituncle.com/wp-content/uploads/2019/10/mg90s.png?fit=1001%2C1001&amp;ssl=1",1)</f>
        <v/>
      </c>
      <c r="Q335" s="11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45.0" customHeight="1">
      <c r="A336" s="6">
        <v>333.0</v>
      </c>
      <c r="B336" s="6" t="s">
        <v>173</v>
      </c>
      <c r="C336" s="6" t="s">
        <v>1386</v>
      </c>
      <c r="D336" s="6" t="s">
        <v>1387</v>
      </c>
      <c r="E336" s="7" t="s">
        <v>1388</v>
      </c>
      <c r="F336" s="8" t="s">
        <v>1359</v>
      </c>
      <c r="G336" s="9">
        <v>5.0</v>
      </c>
      <c r="H336" s="9">
        <v>5.0</v>
      </c>
      <c r="I336" s="9">
        <v>90.0</v>
      </c>
      <c r="J336" s="6">
        <f t="shared" si="20"/>
        <v>450</v>
      </c>
      <c r="K336" s="6" t="s">
        <v>178</v>
      </c>
      <c r="L336" s="7"/>
      <c r="M336" s="7" t="s">
        <v>599</v>
      </c>
      <c r="N336" s="7"/>
      <c r="O336" s="10"/>
      <c r="P336" s="6" t="str">
        <f>IMAGE("https://robu.in/wp-content/uploads/2016/04/61nEdk-NxSL._SY355_.jpg",1)</f>
        <v/>
      </c>
      <c r="Q336" s="11">
        <v>1.0</v>
      </c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45.0" customHeight="1">
      <c r="A337" s="6">
        <v>334.0</v>
      </c>
      <c r="B337" s="6" t="s">
        <v>173</v>
      </c>
      <c r="C337" s="6" t="s">
        <v>1389</v>
      </c>
      <c r="D337" s="6" t="s">
        <v>1390</v>
      </c>
      <c r="E337" s="7" t="s">
        <v>1391</v>
      </c>
      <c r="F337" s="8" t="s">
        <v>1359</v>
      </c>
      <c r="G337" s="20">
        <v>26.0</v>
      </c>
      <c r="H337" s="20">
        <v>26.0</v>
      </c>
      <c r="I337" s="6"/>
      <c r="J337" s="6"/>
      <c r="K337" s="6" t="s">
        <v>178</v>
      </c>
      <c r="L337" s="7"/>
      <c r="M337" s="7" t="s">
        <v>249</v>
      </c>
      <c r="N337" s="7"/>
      <c r="O337" s="10" t="s">
        <v>1392</v>
      </c>
      <c r="P337" s="6" t="str">
        <f>IMAGE("https://robu.in/wp-content/uploads/2023/09/34.jpg",1)</f>
        <v/>
      </c>
      <c r="Q337" s="11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45.0" customHeight="1">
      <c r="A338" s="6">
        <v>335.0</v>
      </c>
      <c r="B338" s="6" t="s">
        <v>173</v>
      </c>
      <c r="C338" s="6" t="s">
        <v>1393</v>
      </c>
      <c r="D338" s="6" t="s">
        <v>1394</v>
      </c>
      <c r="E338" s="7" t="s">
        <v>1395</v>
      </c>
      <c r="F338" s="8" t="s">
        <v>1359</v>
      </c>
      <c r="G338" s="9">
        <v>15.0</v>
      </c>
      <c r="H338" s="9">
        <v>15.0</v>
      </c>
      <c r="I338" s="9">
        <v>400.0</v>
      </c>
      <c r="J338" s="6">
        <f t="shared" ref="J338:J361" si="24">I338*H338</f>
        <v>6000</v>
      </c>
      <c r="K338" s="6" t="s">
        <v>178</v>
      </c>
      <c r="L338" s="7"/>
      <c r="M338" s="7" t="s">
        <v>249</v>
      </c>
      <c r="N338" s="7"/>
      <c r="O338" s="10" t="s">
        <v>1396</v>
      </c>
      <c r="P338" s="6" t="str">
        <f>IMAGE("https://cdn.shopify.com/s/files/1/0088/0056/7392/products/Stepper_motor_with_Driver_board.jpg?v=1552579276",1)</f>
        <v/>
      </c>
      <c r="Q338" s="11">
        <v>1.0</v>
      </c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45.0" customHeight="1">
      <c r="A339" s="6">
        <v>336.0</v>
      </c>
      <c r="B339" s="6" t="s">
        <v>342</v>
      </c>
      <c r="C339" s="6" t="s">
        <v>1397</v>
      </c>
      <c r="D339" s="6" t="s">
        <v>1398</v>
      </c>
      <c r="E339" s="7" t="s">
        <v>1399</v>
      </c>
      <c r="F339" s="8" t="s">
        <v>1400</v>
      </c>
      <c r="G339" s="6">
        <v>1.0</v>
      </c>
      <c r="H339" s="6">
        <v>1.0</v>
      </c>
      <c r="I339" s="6"/>
      <c r="J339" s="6">
        <f t="shared" si="24"/>
        <v>0</v>
      </c>
      <c r="K339" s="6" t="s">
        <v>347</v>
      </c>
      <c r="L339" s="7"/>
      <c r="M339" s="7"/>
      <c r="N339" s="7"/>
      <c r="O339" s="10" t="s">
        <v>1401</v>
      </c>
      <c r="P339" s="6" t="str">
        <f>IMAGE("https://m.media-amazon.com/images/I/41giw5t2ycL.jpg",1)</f>
        <v/>
      </c>
      <c r="Q339" s="11">
        <v>0.0</v>
      </c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45.0" customHeight="1">
      <c r="A340" s="6">
        <v>337.0</v>
      </c>
      <c r="B340" s="6" t="s">
        <v>342</v>
      </c>
      <c r="C340" s="6" t="s">
        <v>1402</v>
      </c>
      <c r="D340" s="6" t="s">
        <v>1403</v>
      </c>
      <c r="E340" s="7" t="s">
        <v>1404</v>
      </c>
      <c r="F340" s="8" t="s">
        <v>1400</v>
      </c>
      <c r="G340" s="6">
        <v>1.0</v>
      </c>
      <c r="H340" s="6">
        <v>1.0</v>
      </c>
      <c r="I340" s="6">
        <v>700.0</v>
      </c>
      <c r="J340" s="6">
        <f t="shared" si="24"/>
        <v>700</v>
      </c>
      <c r="K340" s="6" t="s">
        <v>347</v>
      </c>
      <c r="L340" s="7"/>
      <c r="M340" s="7"/>
      <c r="N340" s="7"/>
      <c r="O340" s="10"/>
      <c r="P340" s="6" t="str">
        <f>IMAGE("https://m.media-amazon.com/images/I/71vAZkeQh9L._SL1500_.jpg",1)</f>
        <v/>
      </c>
      <c r="Q340" s="11">
        <v>0.0</v>
      </c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45.0" customHeight="1">
      <c r="A341" s="6">
        <v>338.0</v>
      </c>
      <c r="B341" s="6" t="s">
        <v>342</v>
      </c>
      <c r="C341" s="6" t="s">
        <v>1405</v>
      </c>
      <c r="D341" s="6" t="s">
        <v>1406</v>
      </c>
      <c r="E341" s="7" t="s">
        <v>1407</v>
      </c>
      <c r="F341" s="8" t="s">
        <v>1400</v>
      </c>
      <c r="G341" s="6"/>
      <c r="H341" s="6">
        <v>1.0</v>
      </c>
      <c r="I341" s="6"/>
      <c r="J341" s="6">
        <f t="shared" si="24"/>
        <v>0</v>
      </c>
      <c r="K341" s="6" t="s">
        <v>347</v>
      </c>
      <c r="L341" s="7" t="s">
        <v>65</v>
      </c>
      <c r="M341" s="7" t="s">
        <v>249</v>
      </c>
      <c r="N341" s="7" t="s">
        <v>1408</v>
      </c>
      <c r="O341" s="10" t="s">
        <v>1409</v>
      </c>
      <c r="P341" s="6" t="str">
        <f>IMAGE("https://www.racknsell.com/public/thumbs/products/1138/pvc-solvent7_500_500.jpg",1)</f>
        <v/>
      </c>
      <c r="Q341" s="11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45.0" customHeight="1">
      <c r="A342" s="6">
        <v>339.0</v>
      </c>
      <c r="B342" s="6" t="s">
        <v>342</v>
      </c>
      <c r="C342" s="6" t="s">
        <v>1410</v>
      </c>
      <c r="D342" s="6" t="s">
        <v>1411</v>
      </c>
      <c r="E342" s="7" t="s">
        <v>1412</v>
      </c>
      <c r="F342" s="8" t="s">
        <v>1400</v>
      </c>
      <c r="G342" s="6">
        <v>5.0</v>
      </c>
      <c r="H342" s="6">
        <v>5.0</v>
      </c>
      <c r="I342" s="6">
        <v>20.0</v>
      </c>
      <c r="J342" s="6">
        <f t="shared" si="24"/>
        <v>100</v>
      </c>
      <c r="K342" s="6" t="s">
        <v>347</v>
      </c>
      <c r="L342" s="7"/>
      <c r="M342" s="7" t="s">
        <v>249</v>
      </c>
      <c r="N342" s="7" t="s">
        <v>1408</v>
      </c>
      <c r="O342" s="18" t="s">
        <v>1413</v>
      </c>
      <c r="P342" s="6" t="str">
        <f>IMAGE("https://m.media-amazon.com/images/I/61saUYFEn9L._SL1500_.jpg",1)</f>
        <v/>
      </c>
      <c r="Q342" s="11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45.0" customHeight="1">
      <c r="A343" s="6">
        <v>340.0</v>
      </c>
      <c r="B343" s="6" t="s">
        <v>342</v>
      </c>
      <c r="C343" s="6" t="s">
        <v>1414</v>
      </c>
      <c r="D343" s="6" t="s">
        <v>1415</v>
      </c>
      <c r="E343" s="7" t="s">
        <v>1416</v>
      </c>
      <c r="F343" s="8" t="s">
        <v>1400</v>
      </c>
      <c r="G343" s="6">
        <v>1.0</v>
      </c>
      <c r="H343" s="6">
        <v>1.0</v>
      </c>
      <c r="I343" s="6"/>
      <c r="J343" s="6">
        <f t="shared" si="24"/>
        <v>0</v>
      </c>
      <c r="K343" s="6" t="s">
        <v>347</v>
      </c>
      <c r="L343" s="7"/>
      <c r="M343" s="7"/>
      <c r="N343" s="7"/>
      <c r="O343" s="10" t="s">
        <v>1417</v>
      </c>
      <c r="P343" s="6" t="str">
        <f>IMAGE("https://m.media-amazon.com/images/I/61zRix8Lt0L._SL1500_.jpg",1)</f>
        <v/>
      </c>
      <c r="Q343" s="11">
        <v>0.0</v>
      </c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45.0" customHeight="1">
      <c r="A344" s="6">
        <v>341.0</v>
      </c>
      <c r="B344" s="6" t="s">
        <v>15</v>
      </c>
      <c r="C344" s="6" t="s">
        <v>1418</v>
      </c>
      <c r="D344" s="6" t="s">
        <v>1419</v>
      </c>
      <c r="E344" s="7" t="s">
        <v>1420</v>
      </c>
      <c r="F344" s="8" t="s">
        <v>1421</v>
      </c>
      <c r="G344" s="6">
        <v>10.0</v>
      </c>
      <c r="H344" s="6">
        <v>10.0</v>
      </c>
      <c r="I344" s="6">
        <v>150.0</v>
      </c>
      <c r="J344" s="6">
        <f t="shared" si="24"/>
        <v>1500</v>
      </c>
      <c r="K344" s="6" t="s">
        <v>20</v>
      </c>
      <c r="L344" s="7" t="s">
        <v>65</v>
      </c>
      <c r="M344" s="7"/>
      <c r="N344" s="7"/>
      <c r="O344" s="10" t="s">
        <v>1422</v>
      </c>
      <c r="P344" s="6" t="str">
        <f>IMAGE("https://5.imimg.com/data5/AC/TD/VT/SELLER-14930302/milky-white-acrylic-sheet.jpg",1)</f>
        <v/>
      </c>
      <c r="Q344" s="11">
        <v>0.0</v>
      </c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45.0" customHeight="1">
      <c r="A345" s="6">
        <v>342.0</v>
      </c>
      <c r="B345" s="6" t="s">
        <v>15</v>
      </c>
      <c r="C345" s="6" t="s">
        <v>1423</v>
      </c>
      <c r="D345" s="6" t="s">
        <v>1424</v>
      </c>
      <c r="E345" s="7" t="s">
        <v>1425</v>
      </c>
      <c r="F345" s="8" t="s">
        <v>1421</v>
      </c>
      <c r="G345" s="6">
        <v>5.0</v>
      </c>
      <c r="H345" s="6">
        <v>5.0</v>
      </c>
      <c r="I345" s="6">
        <v>300.0</v>
      </c>
      <c r="J345" s="6">
        <f t="shared" si="24"/>
        <v>1500</v>
      </c>
      <c r="K345" s="6" t="s">
        <v>20</v>
      </c>
      <c r="L345" s="7" t="s">
        <v>65</v>
      </c>
      <c r="M345" s="7" t="s">
        <v>66</v>
      </c>
      <c r="N345" s="7" t="s">
        <v>1426</v>
      </c>
      <c r="O345" s="10" t="s">
        <v>1427</v>
      </c>
      <c r="P345" s="6" t="str">
        <f>IMAGE("https://imgs.michaels.com/MAM/assets/1/5E3C12034D34434F8A9BAAFDDF0F8E1B/img/5CDBB82051B44720A8F8901B4AABD77C/10446567_2.jpg",1)</f>
        <v/>
      </c>
      <c r="Q345" s="11">
        <v>0.0</v>
      </c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45.0" customHeight="1">
      <c r="A346" s="6">
        <v>343.0</v>
      </c>
      <c r="B346" s="6" t="s">
        <v>15</v>
      </c>
      <c r="C346" s="6" t="s">
        <v>1428</v>
      </c>
      <c r="D346" s="6" t="s">
        <v>1429</v>
      </c>
      <c r="E346" s="7" t="s">
        <v>1430</v>
      </c>
      <c r="F346" s="8" t="s">
        <v>1421</v>
      </c>
      <c r="G346" s="6">
        <v>5.0</v>
      </c>
      <c r="H346" s="6">
        <v>5.0</v>
      </c>
      <c r="I346" s="6">
        <v>200.0</v>
      </c>
      <c r="J346" s="6">
        <f t="shared" si="24"/>
        <v>1000</v>
      </c>
      <c r="K346" s="6" t="s">
        <v>20</v>
      </c>
      <c r="L346" s="7" t="s">
        <v>65</v>
      </c>
      <c r="M346" s="7" t="s">
        <v>66</v>
      </c>
      <c r="N346" s="7" t="s">
        <v>1431</v>
      </c>
      <c r="O346" s="10"/>
      <c r="P346" s="6" t="str">
        <f>IMAGE("https://upload.wikimedia.org/wikipedia/commons/7/79/Polymer_clay_examples.jpg",1)</f>
        <v/>
      </c>
      <c r="Q346" s="11">
        <v>0.0</v>
      </c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45.0" customHeight="1">
      <c r="A347" s="6">
        <v>344.0</v>
      </c>
      <c r="B347" s="6" t="s">
        <v>15</v>
      </c>
      <c r="C347" s="6" t="s">
        <v>1432</v>
      </c>
      <c r="D347" s="6" t="s">
        <v>1433</v>
      </c>
      <c r="E347" s="7" t="s">
        <v>1434</v>
      </c>
      <c r="F347" s="8" t="s">
        <v>1421</v>
      </c>
      <c r="G347" s="9">
        <v>1.0</v>
      </c>
      <c r="H347" s="9">
        <v>1.0</v>
      </c>
      <c r="I347" s="9">
        <v>200.0</v>
      </c>
      <c r="J347" s="6">
        <f t="shared" si="24"/>
        <v>200</v>
      </c>
      <c r="K347" s="6" t="s">
        <v>20</v>
      </c>
      <c r="L347" s="7" t="s">
        <v>21</v>
      </c>
      <c r="M347" s="7" t="s">
        <v>65</v>
      </c>
      <c r="N347" s="7" t="s">
        <v>1435</v>
      </c>
      <c r="O347" s="10" t="s">
        <v>1436</v>
      </c>
      <c r="P347" s="6" t="str">
        <f>IMAGE("https://m.media-amazon.com/images/I/81PowerIGsL._SL1500_.jpg")</f>
        <v/>
      </c>
      <c r="Q347" s="11">
        <v>0.0</v>
      </c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45.0" customHeight="1">
      <c r="A348" s="6">
        <v>345.0</v>
      </c>
      <c r="B348" s="6" t="s">
        <v>15</v>
      </c>
      <c r="C348" s="6" t="s">
        <v>1437</v>
      </c>
      <c r="D348" s="6" t="s">
        <v>1438</v>
      </c>
      <c r="E348" s="7" t="s">
        <v>1439</v>
      </c>
      <c r="F348" s="8" t="s">
        <v>1421</v>
      </c>
      <c r="G348" s="9">
        <v>5.0</v>
      </c>
      <c r="H348" s="9">
        <v>5.0</v>
      </c>
      <c r="I348" s="9">
        <v>50.0</v>
      </c>
      <c r="J348" s="6">
        <f t="shared" si="24"/>
        <v>250</v>
      </c>
      <c r="K348" s="6" t="s">
        <v>20</v>
      </c>
      <c r="L348" s="7" t="s">
        <v>65</v>
      </c>
      <c r="M348" s="7" t="s">
        <v>65</v>
      </c>
      <c r="N348" s="7"/>
      <c r="O348" s="10" t="s">
        <v>1440</v>
      </c>
      <c r="P348" s="6" t="str">
        <f>IMAGE("https://cdn.shopify.com/s/files/1/0032/5448/5037/products/suvidha-aluminium-foil-72-meters-pack-of-12_800x.jpg?v=1562920856",1)</f>
        <v/>
      </c>
      <c r="Q348" s="11">
        <v>0.0</v>
      </c>
      <c r="R348" s="12"/>
      <c r="S348" s="12"/>
      <c r="T348" s="5"/>
      <c r="U348" s="5"/>
      <c r="V348" s="5"/>
      <c r="W348" s="5"/>
      <c r="X348" s="5"/>
      <c r="Y348" s="5"/>
      <c r="Z348" s="5"/>
      <c r="AA348" s="5"/>
    </row>
    <row r="349" ht="45.0" customHeight="1">
      <c r="A349" s="6">
        <v>346.0</v>
      </c>
      <c r="B349" s="6" t="s">
        <v>15</v>
      </c>
      <c r="C349" s="6" t="s">
        <v>1441</v>
      </c>
      <c r="D349" s="6" t="s">
        <v>1442</v>
      </c>
      <c r="E349" s="7" t="s">
        <v>936</v>
      </c>
      <c r="F349" s="8" t="s">
        <v>1421</v>
      </c>
      <c r="G349" s="9">
        <v>4.0</v>
      </c>
      <c r="H349" s="9">
        <v>4.0</v>
      </c>
      <c r="I349" s="9">
        <v>20.0</v>
      </c>
      <c r="J349" s="6">
        <f t="shared" si="24"/>
        <v>80</v>
      </c>
      <c r="K349" s="6" t="s">
        <v>20</v>
      </c>
      <c r="L349" s="7" t="s">
        <v>77</v>
      </c>
      <c r="M349" s="7" t="s">
        <v>66</v>
      </c>
      <c r="N349" s="7"/>
      <c r="O349" s="10" t="s">
        <v>1443</v>
      </c>
      <c r="P349" s="6" t="str">
        <f>IMAGE("https://m.media-amazon.com/images/I/61ywjiydpbS._SL1500_.jpg",1)</f>
        <v/>
      </c>
      <c r="Q349" s="11">
        <v>0.0</v>
      </c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45.0" customHeight="1">
      <c r="A350" s="6">
        <v>349.0</v>
      </c>
      <c r="B350" s="6" t="s">
        <v>15</v>
      </c>
      <c r="C350" s="6" t="s">
        <v>1444</v>
      </c>
      <c r="D350" s="6" t="s">
        <v>1445</v>
      </c>
      <c r="E350" s="7" t="s">
        <v>1446</v>
      </c>
      <c r="F350" s="8" t="s">
        <v>1421</v>
      </c>
      <c r="G350" s="9">
        <v>5.0</v>
      </c>
      <c r="H350" s="9">
        <v>5.0</v>
      </c>
      <c r="I350" s="9">
        <v>100.0</v>
      </c>
      <c r="J350" s="6">
        <f t="shared" si="24"/>
        <v>500</v>
      </c>
      <c r="K350" s="6" t="s">
        <v>20</v>
      </c>
      <c r="L350" s="7" t="s">
        <v>65</v>
      </c>
      <c r="M350" s="16" t="s">
        <v>65</v>
      </c>
      <c r="N350" s="7"/>
      <c r="O350" s="10" t="s">
        <v>1447</v>
      </c>
      <c r="P350" s="6" t="str">
        <f t="shared" ref="P350:P351" si="25">IMAGE("https://m.media-amazon.com/images/I/51FB8cHTJyL._SL1500_.jpg",1)</f>
        <v/>
      </c>
      <c r="Q350" s="11">
        <v>0.0</v>
      </c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45.0" customHeight="1">
      <c r="A351" s="6">
        <v>350.0</v>
      </c>
      <c r="B351" s="6" t="s">
        <v>15</v>
      </c>
      <c r="C351" s="6" t="s">
        <v>1448</v>
      </c>
      <c r="D351" s="6" t="s">
        <v>1449</v>
      </c>
      <c r="E351" s="7" t="s">
        <v>1450</v>
      </c>
      <c r="F351" s="8" t="s">
        <v>1421</v>
      </c>
      <c r="G351" s="9">
        <v>5.0</v>
      </c>
      <c r="H351" s="9">
        <v>5.0</v>
      </c>
      <c r="I351" s="9">
        <v>200.0</v>
      </c>
      <c r="J351" s="6">
        <f t="shared" si="24"/>
        <v>1000</v>
      </c>
      <c r="K351" s="6" t="s">
        <v>20</v>
      </c>
      <c r="L351" s="7" t="s">
        <v>65</v>
      </c>
      <c r="M351" s="16" t="s">
        <v>65</v>
      </c>
      <c r="N351" s="7"/>
      <c r="O351" s="10" t="s">
        <v>1451</v>
      </c>
      <c r="P351" s="6" t="str">
        <f t="shared" si="25"/>
        <v/>
      </c>
      <c r="Q351" s="11">
        <v>0.0</v>
      </c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45.0" customHeight="1">
      <c r="A352" s="6">
        <v>347.0</v>
      </c>
      <c r="B352" s="6" t="s">
        <v>15</v>
      </c>
      <c r="C352" s="6" t="s">
        <v>1452</v>
      </c>
      <c r="D352" s="6" t="s">
        <v>1453</v>
      </c>
      <c r="E352" s="7" t="s">
        <v>1454</v>
      </c>
      <c r="F352" s="8" t="s">
        <v>1421</v>
      </c>
      <c r="G352" s="9">
        <v>50.0</v>
      </c>
      <c r="H352" s="9">
        <v>50.0</v>
      </c>
      <c r="I352" s="9">
        <v>50.0</v>
      </c>
      <c r="J352" s="6">
        <f t="shared" si="24"/>
        <v>2500</v>
      </c>
      <c r="K352" s="6" t="s">
        <v>20</v>
      </c>
      <c r="L352" s="7" t="s">
        <v>65</v>
      </c>
      <c r="M352" s="7" t="s">
        <v>82</v>
      </c>
      <c r="N352" s="7"/>
      <c r="O352" s="10" t="s">
        <v>1455</v>
      </c>
      <c r="P352" s="6" t="str">
        <f>IMAGE("https://cdn11.bigcommerce.com/s-33iv1gdknl/images/stencil/1280x1280/products/115465/70691/prd_32014_5797121027228__12010.1559545680.jpg?c=2",1)</f>
        <v/>
      </c>
      <c r="Q352" s="14">
        <v>0.0</v>
      </c>
      <c r="R352" s="5"/>
      <c r="S352" s="5"/>
      <c r="T352" s="12"/>
      <c r="U352" s="12"/>
      <c r="V352" s="12"/>
      <c r="W352" s="12"/>
      <c r="X352" s="12"/>
      <c r="Y352" s="12"/>
      <c r="Z352" s="12"/>
      <c r="AA352" s="12"/>
    </row>
    <row r="353" ht="45.0" customHeight="1">
      <c r="A353" s="6">
        <v>348.0</v>
      </c>
      <c r="B353" s="6" t="s">
        <v>15</v>
      </c>
      <c r="C353" s="6" t="s">
        <v>1456</v>
      </c>
      <c r="D353" s="6" t="s">
        <v>1457</v>
      </c>
      <c r="E353" s="7" t="s">
        <v>1458</v>
      </c>
      <c r="F353" s="8" t="s">
        <v>1421</v>
      </c>
      <c r="G353" s="9">
        <v>10.0</v>
      </c>
      <c r="H353" s="9">
        <v>10.0</v>
      </c>
      <c r="I353" s="9">
        <v>280.0</v>
      </c>
      <c r="J353" s="6">
        <f t="shared" si="24"/>
        <v>2800</v>
      </c>
      <c r="K353" s="6" t="s">
        <v>20</v>
      </c>
      <c r="L353" s="7" t="s">
        <v>65</v>
      </c>
      <c r="M353" s="7" t="s">
        <v>82</v>
      </c>
      <c r="N353" s="7"/>
      <c r="O353" s="10"/>
      <c r="P353" s="6" t="str">
        <f>IMAGE("https://assetscdn1.paytm.com/images/catalog/product/S/ST/STAEVA-FOAM-SHEKAPI63599336D8CB51/1563562065545_0..jpg?imwidth=320&amp;impolicy=hq",1)</f>
        <v/>
      </c>
      <c r="Q353" s="11">
        <v>0.0</v>
      </c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45.0" customHeight="1">
      <c r="A354" s="6">
        <v>351.0</v>
      </c>
      <c r="B354" s="6" t="s">
        <v>15</v>
      </c>
      <c r="C354" s="6" t="s">
        <v>1459</v>
      </c>
      <c r="D354" s="6" t="s">
        <v>1460</v>
      </c>
      <c r="E354" s="7" t="s">
        <v>1461</v>
      </c>
      <c r="F354" s="8" t="s">
        <v>1421</v>
      </c>
      <c r="G354" s="9">
        <v>1.0</v>
      </c>
      <c r="H354" s="9">
        <v>1.0</v>
      </c>
      <c r="I354" s="9">
        <v>400.0</v>
      </c>
      <c r="J354" s="6">
        <f t="shared" si="24"/>
        <v>400</v>
      </c>
      <c r="K354" s="6" t="s">
        <v>20</v>
      </c>
      <c r="L354" s="7" t="s">
        <v>65</v>
      </c>
      <c r="M354" s="7" t="s">
        <v>82</v>
      </c>
      <c r="N354" s="7" t="s">
        <v>1462</v>
      </c>
      <c r="O354" s="10" t="s">
        <v>1463</v>
      </c>
      <c r="P354" s="6" t="str">
        <f>IMAGE("https://5.imimg.com/data5/NA/SV/MA/SELLER-5806248/transparent-ohp-sheet-1000x1000.jpg",1)</f>
        <v/>
      </c>
      <c r="Q354" s="11">
        <v>0.0</v>
      </c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45.0" customHeight="1">
      <c r="A355" s="6">
        <v>352.0</v>
      </c>
      <c r="B355" s="6" t="s">
        <v>15</v>
      </c>
      <c r="C355" s="6" t="s">
        <v>1464</v>
      </c>
      <c r="D355" s="6" t="s">
        <v>1465</v>
      </c>
      <c r="E355" s="7" t="s">
        <v>1466</v>
      </c>
      <c r="F355" s="8" t="s">
        <v>1421</v>
      </c>
      <c r="G355" s="9">
        <v>10.0</v>
      </c>
      <c r="H355" s="9">
        <v>10.0</v>
      </c>
      <c r="I355" s="9">
        <v>72.0</v>
      </c>
      <c r="J355" s="6">
        <f t="shared" si="24"/>
        <v>720</v>
      </c>
      <c r="K355" s="6" t="s">
        <v>20</v>
      </c>
      <c r="L355" s="7" t="s">
        <v>65</v>
      </c>
      <c r="M355" s="7" t="s">
        <v>82</v>
      </c>
      <c r="N355" s="7"/>
      <c r="O355" s="18" t="s">
        <v>1467</v>
      </c>
      <c r="P355" s="6" t="str">
        <f>IMAGE("https://www.ramsayrubber.com/wp-content/uploads/2020/01/Rolls-Sheeting-Polyurethane-Foam-Rolls2-1.jpg",1)</f>
        <v/>
      </c>
      <c r="Q355" s="11">
        <v>0.0</v>
      </c>
      <c r="R355" s="12"/>
      <c r="S355" s="12"/>
      <c r="T355" s="12">
        <v>1000.0</v>
      </c>
      <c r="U355" s="12">
        <f t="shared" ref="U355:U356" si="26">T355*H355</f>
        <v>10000</v>
      </c>
      <c r="V355" s="12"/>
      <c r="W355" s="12"/>
      <c r="X355" s="12"/>
      <c r="Y355" s="12"/>
      <c r="Z355" s="12"/>
      <c r="AA355" s="12"/>
    </row>
    <row r="356" ht="45.0" customHeight="1">
      <c r="A356" s="6">
        <v>353.0</v>
      </c>
      <c r="B356" s="6" t="s">
        <v>15</v>
      </c>
      <c r="C356" s="6" t="s">
        <v>1468</v>
      </c>
      <c r="D356" s="6" t="s">
        <v>1469</v>
      </c>
      <c r="E356" s="7" t="s">
        <v>1470</v>
      </c>
      <c r="F356" s="8" t="s">
        <v>1421</v>
      </c>
      <c r="G356" s="9">
        <v>1.0</v>
      </c>
      <c r="H356" s="9">
        <v>1.0</v>
      </c>
      <c r="I356" s="9">
        <v>400.0</v>
      </c>
      <c r="J356" s="6">
        <f t="shared" si="24"/>
        <v>400</v>
      </c>
      <c r="K356" s="6" t="s">
        <v>20</v>
      </c>
      <c r="L356" s="7" t="s">
        <v>21</v>
      </c>
      <c r="M356" s="7" t="s">
        <v>110</v>
      </c>
      <c r="N356" s="7" t="s">
        <v>111</v>
      </c>
      <c r="O356" s="10" t="s">
        <v>1471</v>
      </c>
      <c r="P356" s="6" t="str">
        <f>IMAGE("https://www.wpiinc.com/media/catalog/product/cache/57a65487c9a4c9d3ba2482ad45cfc757/5/0/503023.jpg",1)</f>
        <v/>
      </c>
      <c r="Q356" s="11">
        <v>0.0</v>
      </c>
      <c r="R356" s="12"/>
      <c r="S356" s="12"/>
      <c r="T356" s="12">
        <v>1500.0</v>
      </c>
      <c r="U356" s="12">
        <f t="shared" si="26"/>
        <v>1500</v>
      </c>
      <c r="V356" s="12"/>
      <c r="W356" s="12"/>
      <c r="X356" s="12"/>
      <c r="Y356" s="12"/>
      <c r="Z356" s="12"/>
      <c r="AA356" s="12"/>
    </row>
    <row r="357" ht="45.0" customHeight="1">
      <c r="A357" s="6">
        <v>354.0</v>
      </c>
      <c r="B357" s="6" t="s">
        <v>1472</v>
      </c>
      <c r="C357" s="6" t="s">
        <v>1473</v>
      </c>
      <c r="D357" s="6" t="s">
        <v>1474</v>
      </c>
      <c r="E357" s="7" t="s">
        <v>1475</v>
      </c>
      <c r="F357" s="8" t="s">
        <v>1476</v>
      </c>
      <c r="G357" s="9">
        <v>1.0</v>
      </c>
      <c r="H357" s="9">
        <v>1.0</v>
      </c>
      <c r="I357" s="9">
        <v>500.0</v>
      </c>
      <c r="J357" s="6">
        <f t="shared" si="24"/>
        <v>500</v>
      </c>
      <c r="K357" s="6" t="s">
        <v>1477</v>
      </c>
      <c r="L357" s="7"/>
      <c r="M357" s="7"/>
      <c r="N357" s="7"/>
      <c r="O357" s="10" t="s">
        <v>1478</v>
      </c>
      <c r="P357" s="6" t="str">
        <f>IMAGE("https://rukminim1.flixcart.com/image/416/416/jj367bk0/fire-extinguisher-mount/w/s/y/2-kg-abc-type-fire-extinguisher-safepro-original-imaf6h7fkdngmbqd.jpeg?q=70",1)</f>
        <v/>
      </c>
      <c r="Q357" s="11">
        <v>0.0</v>
      </c>
      <c r="R357" s="12"/>
      <c r="S357" s="12" t="s">
        <v>144</v>
      </c>
      <c r="T357" s="12"/>
      <c r="U357" s="12"/>
      <c r="V357" s="12"/>
      <c r="W357" s="12"/>
      <c r="X357" s="12"/>
      <c r="Y357" s="12"/>
      <c r="Z357" s="12"/>
      <c r="AA357" s="12"/>
    </row>
    <row r="358" ht="45.0" customHeight="1">
      <c r="A358" s="6">
        <v>355.0</v>
      </c>
      <c r="B358" s="6" t="s">
        <v>1472</v>
      </c>
      <c r="C358" s="6" t="s">
        <v>1479</v>
      </c>
      <c r="D358" s="6" t="s">
        <v>1480</v>
      </c>
      <c r="E358" s="7" t="s">
        <v>1481</v>
      </c>
      <c r="F358" s="8" t="s">
        <v>1476</v>
      </c>
      <c r="G358" s="9">
        <v>1.0</v>
      </c>
      <c r="H358" s="9">
        <v>1.0</v>
      </c>
      <c r="I358" s="9">
        <v>850.0</v>
      </c>
      <c r="J358" s="6">
        <f t="shared" si="24"/>
        <v>850</v>
      </c>
      <c r="K358" s="6" t="s">
        <v>1477</v>
      </c>
      <c r="L358" s="7"/>
      <c r="M358" s="7"/>
      <c r="N358" s="7"/>
      <c r="O358" s="10" t="s">
        <v>1482</v>
      </c>
      <c r="P358" s="6" t="str">
        <f>IMAGE("https://m.media-amazon.com/images/I/61UHX6mp+wL._AC_UF894,1000_QL80_.jpg",1)</f>
        <v/>
      </c>
      <c r="Q358" s="11">
        <v>0.0</v>
      </c>
      <c r="R358" s="12"/>
      <c r="S358" s="12" t="s">
        <v>144</v>
      </c>
      <c r="T358" s="12"/>
      <c r="U358" s="12"/>
      <c r="V358" s="12"/>
      <c r="W358" s="12"/>
      <c r="X358" s="12"/>
      <c r="Y358" s="12"/>
      <c r="Z358" s="12"/>
      <c r="AA358" s="12"/>
    </row>
    <row r="359" ht="45.0" customHeight="1">
      <c r="A359" s="6">
        <v>356.0</v>
      </c>
      <c r="B359" s="6" t="s">
        <v>1472</v>
      </c>
      <c r="C359" s="6" t="s">
        <v>1483</v>
      </c>
      <c r="D359" s="6" t="s">
        <v>1484</v>
      </c>
      <c r="E359" s="7" t="s">
        <v>1485</v>
      </c>
      <c r="F359" s="8" t="s">
        <v>1476</v>
      </c>
      <c r="G359" s="9">
        <v>1.0</v>
      </c>
      <c r="H359" s="9">
        <v>1.0</v>
      </c>
      <c r="I359" s="9">
        <v>500.0</v>
      </c>
      <c r="J359" s="6">
        <f t="shared" si="24"/>
        <v>500</v>
      </c>
      <c r="K359" s="6" t="s">
        <v>1477</v>
      </c>
      <c r="L359" s="7"/>
      <c r="M359" s="7"/>
      <c r="N359" s="7"/>
      <c r="O359" s="10" t="s">
        <v>1486</v>
      </c>
      <c r="P359" s="6" t="str">
        <f>IMAGE("https://m.media-amazon.com/images/I/41yRsXk89rS._SX355_.jpg",1)</f>
        <v/>
      </c>
      <c r="Q359" s="11">
        <v>0.0</v>
      </c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45.0" customHeight="1">
      <c r="A360" s="6">
        <v>357.0</v>
      </c>
      <c r="B360" s="6" t="s">
        <v>1472</v>
      </c>
      <c r="C360" s="6" t="s">
        <v>1487</v>
      </c>
      <c r="D360" s="6" t="s">
        <v>1488</v>
      </c>
      <c r="E360" s="7" t="s">
        <v>1489</v>
      </c>
      <c r="F360" s="8" t="s">
        <v>1476</v>
      </c>
      <c r="G360" s="6">
        <v>5.0</v>
      </c>
      <c r="H360" s="6">
        <v>5.0</v>
      </c>
      <c r="I360" s="6">
        <v>500.0</v>
      </c>
      <c r="J360" s="6">
        <f t="shared" si="24"/>
        <v>2500</v>
      </c>
      <c r="K360" s="6" t="s">
        <v>1477</v>
      </c>
      <c r="L360" s="7"/>
      <c r="M360" s="7"/>
      <c r="N360" s="7"/>
      <c r="O360" s="10" t="s">
        <v>1490</v>
      </c>
      <c r="P360" s="6" t="str">
        <f>IMAGE("https://5.imimg.com/data5/AR/LM/NG/SELLER-21409398/lab-uniform-500x500.jpg",1)</f>
        <v/>
      </c>
      <c r="Q360" s="11">
        <v>0.0</v>
      </c>
      <c r="R360" s="32">
        <v>1.0</v>
      </c>
      <c r="S360" s="12"/>
      <c r="T360" s="12"/>
      <c r="U360" s="12"/>
      <c r="V360" s="12"/>
      <c r="W360" s="12"/>
      <c r="X360" s="12"/>
      <c r="Y360" s="12"/>
      <c r="Z360" s="12"/>
      <c r="AA360" s="12"/>
    </row>
    <row r="361" ht="45.0" customHeight="1">
      <c r="A361" s="6">
        <v>358.0</v>
      </c>
      <c r="B361" s="6" t="s">
        <v>1472</v>
      </c>
      <c r="C361" s="6" t="s">
        <v>1491</v>
      </c>
      <c r="D361" s="6" t="s">
        <v>1492</v>
      </c>
      <c r="E361" s="7" t="s">
        <v>1493</v>
      </c>
      <c r="F361" s="8" t="s">
        <v>1476</v>
      </c>
      <c r="G361" s="9">
        <v>2.0</v>
      </c>
      <c r="H361" s="9">
        <v>2.0</v>
      </c>
      <c r="I361" s="9">
        <v>100.0</v>
      </c>
      <c r="J361" s="6">
        <f t="shared" si="24"/>
        <v>200</v>
      </c>
      <c r="K361" s="6" t="s">
        <v>1477</v>
      </c>
      <c r="L361" s="7"/>
      <c r="M361" s="7" t="s">
        <v>66</v>
      </c>
      <c r="N361" s="7"/>
      <c r="O361" s="10" t="s">
        <v>1494</v>
      </c>
      <c r="P361" s="6" t="str">
        <f>IMAGE("https://cdn.moglix.com/p/oBWcDtePyNEFP.jpg",1)</f>
        <v/>
      </c>
      <c r="Q361" s="11">
        <v>0.0</v>
      </c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45.0" customHeight="1">
      <c r="A362" s="6">
        <v>359.0</v>
      </c>
      <c r="B362" s="6" t="s">
        <v>1472</v>
      </c>
      <c r="C362" s="6" t="s">
        <v>1495</v>
      </c>
      <c r="D362" s="6" t="s">
        <v>1496</v>
      </c>
      <c r="E362" s="7" t="s">
        <v>1497</v>
      </c>
      <c r="F362" s="8" t="s">
        <v>1476</v>
      </c>
      <c r="G362" s="6">
        <v>5.0</v>
      </c>
      <c r="H362" s="6">
        <v>5.0</v>
      </c>
      <c r="I362" s="6"/>
      <c r="J362" s="6">
        <v>100.0</v>
      </c>
      <c r="K362" s="6" t="s">
        <v>1477</v>
      </c>
      <c r="L362" s="7"/>
      <c r="M362" s="7" t="s">
        <v>249</v>
      </c>
      <c r="N362" s="7"/>
      <c r="O362" s="10" t="s">
        <v>1498</v>
      </c>
      <c r="P362" s="6" t="str">
        <f>IMAGE("https://5.imimg.com/data5/SELLER/Default/2023/5/311302937/IM/IY/MO/34533827/safety-rubber-apron-1000x1000.jpg", 1)</f>
        <v/>
      </c>
      <c r="Q362" s="11">
        <v>0.0</v>
      </c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45.0" customHeight="1">
      <c r="A363" s="6">
        <v>360.0</v>
      </c>
      <c r="B363" s="6" t="s">
        <v>1472</v>
      </c>
      <c r="C363" s="6" t="s">
        <v>1499</v>
      </c>
      <c r="D363" s="6" t="s">
        <v>1500</v>
      </c>
      <c r="E363" s="7" t="s">
        <v>1501</v>
      </c>
      <c r="F363" s="8" t="s">
        <v>1476</v>
      </c>
      <c r="G363" s="9">
        <v>15.0</v>
      </c>
      <c r="H363" s="9">
        <v>15.0</v>
      </c>
      <c r="I363" s="9">
        <v>70.0</v>
      </c>
      <c r="J363" s="6">
        <f t="shared" ref="J363:J407" si="27">I363*H363</f>
        <v>1050</v>
      </c>
      <c r="K363" s="6" t="s">
        <v>1477</v>
      </c>
      <c r="L363" s="7"/>
      <c r="M363" s="7" t="s">
        <v>66</v>
      </c>
      <c r="N363" s="7"/>
      <c r="O363" s="10" t="s">
        <v>1502</v>
      </c>
      <c r="P363" s="6" t="str">
        <f>IMAGE("https://5.imimg.com/data5/DM/UP/MY-3422722/latex-coated-gloves-500x500.jpg",1)</f>
        <v/>
      </c>
      <c r="Q363" s="11">
        <v>0.0</v>
      </c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45.0" customHeight="1">
      <c r="A364" s="6">
        <v>361.0</v>
      </c>
      <c r="B364" s="6" t="s">
        <v>1472</v>
      </c>
      <c r="C364" s="6" t="s">
        <v>1503</v>
      </c>
      <c r="D364" s="6" t="s">
        <v>1504</v>
      </c>
      <c r="E364" s="7" t="s">
        <v>1505</v>
      </c>
      <c r="F364" s="8" t="s">
        <v>1476</v>
      </c>
      <c r="G364" s="9">
        <v>30.0</v>
      </c>
      <c r="H364" s="9">
        <v>30.0</v>
      </c>
      <c r="I364" s="9">
        <v>20.0</v>
      </c>
      <c r="J364" s="6">
        <f t="shared" si="27"/>
        <v>600</v>
      </c>
      <c r="K364" s="6" t="s">
        <v>1477</v>
      </c>
      <c r="L364" s="7"/>
      <c r="M364" s="7" t="s">
        <v>22</v>
      </c>
      <c r="N364" s="7"/>
      <c r="O364" s="10" t="s">
        <v>1506</v>
      </c>
      <c r="P364" s="6" t="str">
        <f>IMAGE("https://5.imimg.com/data5/RD/NQ/ZF/SELLER-67911650/safety-goggles.jpg")</f>
        <v/>
      </c>
      <c r="Q364" s="11">
        <v>0.0</v>
      </c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45.0" customHeight="1">
      <c r="A365" s="6">
        <v>362.0</v>
      </c>
      <c r="B365" s="6" t="s">
        <v>1472</v>
      </c>
      <c r="C365" s="6" t="s">
        <v>1507</v>
      </c>
      <c r="D365" s="6" t="s">
        <v>1508</v>
      </c>
      <c r="E365" s="7" t="s">
        <v>1509</v>
      </c>
      <c r="F365" s="8" t="s">
        <v>1476</v>
      </c>
      <c r="G365" s="9">
        <v>60.0</v>
      </c>
      <c r="H365" s="9">
        <v>60.0</v>
      </c>
      <c r="I365" s="9">
        <v>150.0</v>
      </c>
      <c r="J365" s="6">
        <f t="shared" si="27"/>
        <v>9000</v>
      </c>
      <c r="K365" s="6" t="s">
        <v>1477</v>
      </c>
      <c r="L365" s="7"/>
      <c r="M365" s="7"/>
      <c r="N365" s="7"/>
      <c r="O365" s="10" t="s">
        <v>1510</v>
      </c>
      <c r="P365" s="6" t="str">
        <f>IMAGE("https://img2.exportersindia.com/product_images/bc-full/dir_151/4514764/dust-masks-1499837104-3125900.jpg",1)</f>
        <v/>
      </c>
      <c r="Q365" s="11">
        <v>0.0</v>
      </c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45.0" customHeight="1">
      <c r="A366" s="6">
        <v>363.0</v>
      </c>
      <c r="B366" s="6" t="s">
        <v>173</v>
      </c>
      <c r="C366" s="6" t="s">
        <v>1511</v>
      </c>
      <c r="D366" s="6" t="s">
        <v>1512</v>
      </c>
      <c r="E366" s="7" t="s">
        <v>1513</v>
      </c>
      <c r="F366" s="8" t="s">
        <v>1514</v>
      </c>
      <c r="G366" s="9">
        <v>10.0</v>
      </c>
      <c r="H366" s="9">
        <v>10.0</v>
      </c>
      <c r="I366" s="9">
        <v>300.0</v>
      </c>
      <c r="J366" s="6">
        <f t="shared" si="27"/>
        <v>3000</v>
      </c>
      <c r="K366" s="6" t="s">
        <v>178</v>
      </c>
      <c r="L366" s="7"/>
      <c r="M366" s="7" t="s">
        <v>599</v>
      </c>
      <c r="N366" s="7"/>
      <c r="O366" s="10" t="s">
        <v>1515</v>
      </c>
      <c r="P366" s="6" t="str">
        <f>IMAGE("https://m.media-amazon.com/images/I/61PFvg8BbeL._SL1500_.jpg",1)</f>
        <v/>
      </c>
      <c r="Q366" s="11">
        <v>1.0</v>
      </c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45.0" customHeight="1">
      <c r="A367" s="6">
        <v>364.0</v>
      </c>
      <c r="B367" s="6" t="s">
        <v>173</v>
      </c>
      <c r="C367" s="6" t="s">
        <v>1516</v>
      </c>
      <c r="D367" s="6" t="s">
        <v>1517</v>
      </c>
      <c r="E367" s="7" t="s">
        <v>1518</v>
      </c>
      <c r="F367" s="8" t="s">
        <v>1514</v>
      </c>
      <c r="G367" s="9">
        <v>5.0</v>
      </c>
      <c r="H367" s="9">
        <v>5.0</v>
      </c>
      <c r="I367" s="9">
        <v>30.0</v>
      </c>
      <c r="J367" s="6">
        <f t="shared" si="27"/>
        <v>150</v>
      </c>
      <c r="K367" s="6" t="s">
        <v>178</v>
      </c>
      <c r="L367" s="7"/>
      <c r="M367" s="7" t="s">
        <v>599</v>
      </c>
      <c r="N367" s="7"/>
      <c r="O367" s="10" t="s">
        <v>1519</v>
      </c>
      <c r="P367" s="6" t="str">
        <f>IMAGE("https://robu.in/wp-content/uploads/2017/06/31100-2.jpg",1)</f>
        <v/>
      </c>
      <c r="Q367" s="11">
        <v>1.0</v>
      </c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45.0" customHeight="1">
      <c r="A368" s="6">
        <v>365.0</v>
      </c>
      <c r="B368" s="6" t="s">
        <v>173</v>
      </c>
      <c r="C368" s="6" t="s">
        <v>1520</v>
      </c>
      <c r="D368" s="6" t="s">
        <v>1521</v>
      </c>
      <c r="E368" s="7" t="s">
        <v>1522</v>
      </c>
      <c r="F368" s="8" t="s">
        <v>1514</v>
      </c>
      <c r="G368" s="9">
        <v>5.0</v>
      </c>
      <c r="H368" s="9">
        <v>5.0</v>
      </c>
      <c r="I368" s="9">
        <v>200.0</v>
      </c>
      <c r="J368" s="6">
        <f t="shared" si="27"/>
        <v>1000</v>
      </c>
      <c r="K368" s="6" t="s">
        <v>178</v>
      </c>
      <c r="L368" s="7"/>
      <c r="M368" s="7" t="s">
        <v>599</v>
      </c>
      <c r="N368" s="7"/>
      <c r="O368" s="10" t="s">
        <v>1523</v>
      </c>
      <c r="P368" s="6" t="str">
        <f>IMAGE("https://m.media-amazon.com/images/W/MEDIAX_792452-T2/images/I/71PSVpNRPuL._SL1500_.jpg",1)</f>
        <v/>
      </c>
      <c r="Q368" s="11">
        <v>1.0</v>
      </c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45.0" customHeight="1">
      <c r="A369" s="6">
        <v>366.0</v>
      </c>
      <c r="B369" s="6" t="s">
        <v>173</v>
      </c>
      <c r="C369" s="6" t="s">
        <v>1524</v>
      </c>
      <c r="D369" s="6" t="s">
        <v>1525</v>
      </c>
      <c r="E369" s="7" t="s">
        <v>1526</v>
      </c>
      <c r="F369" s="8" t="s">
        <v>1514</v>
      </c>
      <c r="G369" s="9">
        <v>5.0</v>
      </c>
      <c r="H369" s="9">
        <v>5.0</v>
      </c>
      <c r="I369" s="9">
        <v>250.0</v>
      </c>
      <c r="J369" s="6">
        <f t="shared" si="27"/>
        <v>1250</v>
      </c>
      <c r="K369" s="6" t="s">
        <v>178</v>
      </c>
      <c r="L369" s="7"/>
      <c r="M369" s="7" t="s">
        <v>179</v>
      </c>
      <c r="N369" s="7"/>
      <c r="O369" s="10" t="s">
        <v>1527</v>
      </c>
      <c r="P369" s="6" t="str">
        <f>IMAGE("https://robu.in/wp-content/uploads/2016/08/2-1.jpg",1)</f>
        <v/>
      </c>
      <c r="Q369" s="11">
        <v>1.0</v>
      </c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45.0" customHeight="1">
      <c r="A370" s="6">
        <v>367.0</v>
      </c>
      <c r="B370" s="6" t="s">
        <v>173</v>
      </c>
      <c r="C370" s="6" t="s">
        <v>1528</v>
      </c>
      <c r="D370" s="6" t="s">
        <v>1529</v>
      </c>
      <c r="E370" s="7" t="s">
        <v>1530</v>
      </c>
      <c r="F370" s="8" t="s">
        <v>1514</v>
      </c>
      <c r="G370" s="9">
        <v>5.0</v>
      </c>
      <c r="H370" s="9">
        <v>5.0</v>
      </c>
      <c r="I370" s="9">
        <v>250.0</v>
      </c>
      <c r="J370" s="6">
        <f t="shared" si="27"/>
        <v>1250</v>
      </c>
      <c r="K370" s="6" t="s">
        <v>178</v>
      </c>
      <c r="L370" s="7"/>
      <c r="M370" s="7" t="s">
        <v>599</v>
      </c>
      <c r="N370" s="7"/>
      <c r="O370" s="10" t="s">
        <v>1531</v>
      </c>
      <c r="P370" s="6" t="str">
        <f>IMAGE("https://5.imimg.com/data5/SELLER/Default/2023/1/KQ/RE/WN/37611021/unique-india-force-pressure-sensor-square-500x500.jpg",1)</f>
        <v/>
      </c>
      <c r="Q370" s="11">
        <v>1.0</v>
      </c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45.0" customHeight="1">
      <c r="A371" s="6">
        <v>368.0</v>
      </c>
      <c r="B371" s="6" t="s">
        <v>173</v>
      </c>
      <c r="C371" s="6" t="s">
        <v>1532</v>
      </c>
      <c r="D371" s="6" t="s">
        <v>1533</v>
      </c>
      <c r="E371" s="7" t="s">
        <v>1534</v>
      </c>
      <c r="F371" s="8" t="s">
        <v>1514</v>
      </c>
      <c r="G371" s="9">
        <v>10.0</v>
      </c>
      <c r="H371" s="9">
        <v>10.0</v>
      </c>
      <c r="I371" s="9">
        <v>300.0</v>
      </c>
      <c r="J371" s="6">
        <f t="shared" si="27"/>
        <v>3000</v>
      </c>
      <c r="K371" s="6" t="s">
        <v>178</v>
      </c>
      <c r="L371" s="7"/>
      <c r="M371" s="7" t="s">
        <v>599</v>
      </c>
      <c r="N371" s="7"/>
      <c r="O371" s="10" t="s">
        <v>1535</v>
      </c>
      <c r="P371" s="6" t="str">
        <f>IMAGE("https://m.media-amazon.com/images/W/MEDIAX_792452-T2/images/I/61e+2rew8OL._SL1011_.jpg",1)</f>
        <v/>
      </c>
      <c r="Q371" s="11">
        <v>1.0</v>
      </c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45.0" customHeight="1">
      <c r="A372" s="6">
        <v>369.0</v>
      </c>
      <c r="B372" s="6" t="s">
        <v>173</v>
      </c>
      <c r="C372" s="6" t="s">
        <v>1536</v>
      </c>
      <c r="D372" s="6" t="s">
        <v>1537</v>
      </c>
      <c r="E372" s="7" t="s">
        <v>1538</v>
      </c>
      <c r="F372" s="8" t="s">
        <v>1514</v>
      </c>
      <c r="G372" s="9">
        <v>5.0</v>
      </c>
      <c r="H372" s="9">
        <v>5.0</v>
      </c>
      <c r="I372" s="9">
        <v>30.0</v>
      </c>
      <c r="J372" s="6">
        <f t="shared" si="27"/>
        <v>150</v>
      </c>
      <c r="K372" s="6" t="s">
        <v>178</v>
      </c>
      <c r="L372" s="7"/>
      <c r="M372" s="7" t="s">
        <v>599</v>
      </c>
      <c r="N372" s="7"/>
      <c r="O372" s="10" t="s">
        <v>1539</v>
      </c>
      <c r="P372" s="6" t="str">
        <f>IMAGE("https://makerbazar.in/cdn/shop/products/IR_transmitter-receiver_-_TSOP_1738_600x.jpg?v=1582114496",1)</f>
        <v/>
      </c>
      <c r="Q372" s="11">
        <v>1.0</v>
      </c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45.0" customHeight="1">
      <c r="A373" s="6">
        <v>370.0</v>
      </c>
      <c r="B373" s="6" t="s">
        <v>173</v>
      </c>
      <c r="C373" s="6" t="s">
        <v>1540</v>
      </c>
      <c r="D373" s="6" t="s">
        <v>1541</v>
      </c>
      <c r="E373" s="7" t="s">
        <v>1542</v>
      </c>
      <c r="F373" s="8" t="s">
        <v>1514</v>
      </c>
      <c r="G373" s="9">
        <v>5.0</v>
      </c>
      <c r="H373" s="9">
        <v>5.0</v>
      </c>
      <c r="I373" s="9">
        <v>250.0</v>
      </c>
      <c r="J373" s="6">
        <f t="shared" si="27"/>
        <v>1250</v>
      </c>
      <c r="K373" s="6" t="s">
        <v>178</v>
      </c>
      <c r="L373" s="7"/>
      <c r="M373" s="7" t="s">
        <v>599</v>
      </c>
      <c r="N373" s="7"/>
      <c r="O373" s="10" t="s">
        <v>1543</v>
      </c>
      <c r="P373" s="6" t="str">
        <f>IMAGE("https://makerbazar.in/cdn/shop/products/IR-Array_2048x2048_29f53719-c65f-4f67-a7f9-06b99966bf49_400x.jpg?v=1628014848",1)</f>
        <v/>
      </c>
      <c r="Q373" s="11">
        <v>1.0</v>
      </c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45.0" customHeight="1">
      <c r="A374" s="6">
        <v>371.0</v>
      </c>
      <c r="B374" s="6" t="s">
        <v>173</v>
      </c>
      <c r="C374" s="6" t="s">
        <v>1544</v>
      </c>
      <c r="D374" s="6" t="s">
        <v>1545</v>
      </c>
      <c r="E374" s="7" t="s">
        <v>1546</v>
      </c>
      <c r="F374" s="8" t="s">
        <v>1514</v>
      </c>
      <c r="G374" s="9">
        <v>10.0</v>
      </c>
      <c r="H374" s="9">
        <v>10.0</v>
      </c>
      <c r="I374" s="9">
        <v>30.0</v>
      </c>
      <c r="J374" s="6">
        <f t="shared" si="27"/>
        <v>300</v>
      </c>
      <c r="K374" s="6" t="s">
        <v>178</v>
      </c>
      <c r="L374" s="7"/>
      <c r="M374" s="7" t="s">
        <v>599</v>
      </c>
      <c r="N374" s="7"/>
      <c r="O374" s="10" t="s">
        <v>1547</v>
      </c>
      <c r="P374" s="6" t="str">
        <f>IMAGE("https://robu.in/wp-content/uploads/2017/05/LDR-module-1.png",1)</f>
        <v/>
      </c>
      <c r="Q374" s="11">
        <v>1.0</v>
      </c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45.0" customHeight="1">
      <c r="A375" s="6">
        <v>372.0</v>
      </c>
      <c r="B375" s="6" t="s">
        <v>173</v>
      </c>
      <c r="C375" s="6" t="s">
        <v>1548</v>
      </c>
      <c r="D375" s="6" t="s">
        <v>1549</v>
      </c>
      <c r="E375" s="7" t="s">
        <v>1550</v>
      </c>
      <c r="F375" s="8" t="s">
        <v>1514</v>
      </c>
      <c r="G375" s="9">
        <v>5.0</v>
      </c>
      <c r="H375" s="9">
        <v>5.0</v>
      </c>
      <c r="I375" s="9">
        <v>90.0</v>
      </c>
      <c r="J375" s="6">
        <f t="shared" si="27"/>
        <v>450</v>
      </c>
      <c r="K375" s="6" t="s">
        <v>178</v>
      </c>
      <c r="L375" s="7"/>
      <c r="M375" s="7" t="s">
        <v>599</v>
      </c>
      <c r="N375" s="7"/>
      <c r="O375" s="10" t="s">
        <v>1551</v>
      </c>
      <c r="P375" s="6" t="str">
        <f>IMAGE("https://m.media-amazon.com/images/W/MEDIAX_792452-T2/images/I/7158I82c4bL._SL1500_.jpg",1)</f>
        <v/>
      </c>
      <c r="Q375" s="11">
        <v>1.0</v>
      </c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45.0" customHeight="1">
      <c r="A376" s="6">
        <v>373.0</v>
      </c>
      <c r="B376" s="6" t="s">
        <v>173</v>
      </c>
      <c r="C376" s="6" t="s">
        <v>1552</v>
      </c>
      <c r="D376" s="6" t="s">
        <v>1553</v>
      </c>
      <c r="E376" s="7" t="s">
        <v>1554</v>
      </c>
      <c r="F376" s="8" t="s">
        <v>1514</v>
      </c>
      <c r="G376" s="9">
        <v>5.0</v>
      </c>
      <c r="H376" s="9">
        <v>5.0</v>
      </c>
      <c r="I376" s="9">
        <v>150.0</v>
      </c>
      <c r="J376" s="6">
        <f t="shared" si="27"/>
        <v>750</v>
      </c>
      <c r="K376" s="6" t="s">
        <v>178</v>
      </c>
      <c r="L376" s="7"/>
      <c r="M376" s="7" t="s">
        <v>599</v>
      </c>
      <c r="N376" s="7"/>
      <c r="O376" s="10" t="s">
        <v>1555</v>
      </c>
      <c r="P376" s="6" t="str">
        <f>IMAGE("https://robu.in/wp-content/uploads/2017/09/download-1-2.jpg",1)</f>
        <v/>
      </c>
      <c r="Q376" s="11">
        <v>1.0</v>
      </c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45.0" customHeight="1">
      <c r="A377" s="6">
        <v>374.0</v>
      </c>
      <c r="B377" s="6" t="s">
        <v>173</v>
      </c>
      <c r="C377" s="6" t="s">
        <v>1556</v>
      </c>
      <c r="D377" s="6" t="s">
        <v>1557</v>
      </c>
      <c r="E377" s="7" t="s">
        <v>1558</v>
      </c>
      <c r="F377" s="8" t="s">
        <v>1514</v>
      </c>
      <c r="G377" s="9">
        <v>10.0</v>
      </c>
      <c r="H377" s="9">
        <v>10.0</v>
      </c>
      <c r="I377" s="9">
        <v>40.0</v>
      </c>
      <c r="J377" s="6">
        <f t="shared" si="27"/>
        <v>400</v>
      </c>
      <c r="K377" s="6" t="s">
        <v>178</v>
      </c>
      <c r="L377" s="7"/>
      <c r="M377" s="7" t="s">
        <v>599</v>
      </c>
      <c r="N377" s="7"/>
      <c r="O377" s="10"/>
      <c r="P377" s="6" t="str">
        <f>IMAGE("https://cdn.shopify.com/s/files/1/0088/0056/7392/products/Sound_Detector_Module.jpg?v=1566646449",1)</f>
        <v/>
      </c>
      <c r="Q377" s="11">
        <v>1.0</v>
      </c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45.0" customHeight="1">
      <c r="A378" s="6">
        <v>375.0</v>
      </c>
      <c r="B378" s="6" t="s">
        <v>173</v>
      </c>
      <c r="C378" s="6" t="s">
        <v>1559</v>
      </c>
      <c r="D378" s="6" t="s">
        <v>1560</v>
      </c>
      <c r="E378" s="7" t="s">
        <v>1561</v>
      </c>
      <c r="F378" s="8" t="s">
        <v>1514</v>
      </c>
      <c r="G378" s="9">
        <v>10.0</v>
      </c>
      <c r="H378" s="9">
        <v>10.0</v>
      </c>
      <c r="I378" s="9">
        <v>200.0</v>
      </c>
      <c r="J378" s="6">
        <f t="shared" si="27"/>
        <v>2000</v>
      </c>
      <c r="K378" s="6" t="s">
        <v>178</v>
      </c>
      <c r="L378" s="7"/>
      <c r="M378" s="7" t="s">
        <v>599</v>
      </c>
      <c r="N378" s="7"/>
      <c r="O378" s="10" t="s">
        <v>1562</v>
      </c>
      <c r="P378" s="6" t="str">
        <f>IMAGE("https://encrypted-tbn0.gstatic.com/images?q=tbn:ANd9GcRrIyUWjQ1rnIJDwYms78skSv9zbdkdml4sTR1WfoKl6GFD5OWnZULG8H98AB-i394c3VQ&amp;usqp=CAU",1)</f>
        <v/>
      </c>
      <c r="Q378" s="11">
        <v>1.0</v>
      </c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45.0" customHeight="1">
      <c r="A379" s="6">
        <v>376.0</v>
      </c>
      <c r="B379" s="6" t="s">
        <v>173</v>
      </c>
      <c r="C379" s="6" t="s">
        <v>1563</v>
      </c>
      <c r="D379" s="6" t="s">
        <v>1564</v>
      </c>
      <c r="E379" s="7" t="s">
        <v>1565</v>
      </c>
      <c r="F379" s="8" t="s">
        <v>1514</v>
      </c>
      <c r="G379" s="9">
        <v>5.0</v>
      </c>
      <c r="H379" s="9">
        <v>5.0</v>
      </c>
      <c r="I379" s="9">
        <v>95.0</v>
      </c>
      <c r="J379" s="6">
        <f t="shared" si="27"/>
        <v>475</v>
      </c>
      <c r="K379" s="6" t="s">
        <v>178</v>
      </c>
      <c r="L379" s="7"/>
      <c r="M379" s="7" t="s">
        <v>599</v>
      </c>
      <c r="N379" s="7"/>
      <c r="O379" s="10" t="s">
        <v>1566</v>
      </c>
      <c r="P379" s="6" t="str">
        <f>IMAGE("https://robu.in/wp-content/uploads/2019/05/MAX30100-Pulse-Oximeter-Heart-Rate-Sensor-Module-2.jpg",1)</f>
        <v/>
      </c>
      <c r="Q379" s="11">
        <v>1.0</v>
      </c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45.0" customHeight="1">
      <c r="A380" s="6">
        <v>377.0</v>
      </c>
      <c r="B380" s="6" t="s">
        <v>173</v>
      </c>
      <c r="C380" s="6" t="s">
        <v>1567</v>
      </c>
      <c r="D380" s="6" t="s">
        <v>1568</v>
      </c>
      <c r="E380" s="7" t="s">
        <v>1569</v>
      </c>
      <c r="F380" s="8" t="s">
        <v>1514</v>
      </c>
      <c r="G380" s="9">
        <v>5.0</v>
      </c>
      <c r="H380" s="9">
        <v>5.0</v>
      </c>
      <c r="I380" s="9">
        <v>125.0</v>
      </c>
      <c r="J380" s="6">
        <f t="shared" si="27"/>
        <v>625</v>
      </c>
      <c r="K380" s="6" t="s">
        <v>178</v>
      </c>
      <c r="L380" s="7"/>
      <c r="M380" s="7" t="s">
        <v>599</v>
      </c>
      <c r="N380" s="7"/>
      <c r="O380" s="10"/>
      <c r="P380" s="6" t="str">
        <f>IMAGE("https://makerbazar.in/cdn/shop/products/Untitled-1_39_1_60x.jpg?v=1637233670",1)</f>
        <v/>
      </c>
      <c r="Q380" s="11">
        <v>1.0</v>
      </c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45.0" customHeight="1">
      <c r="A381" s="6">
        <v>378.0</v>
      </c>
      <c r="B381" s="6" t="s">
        <v>173</v>
      </c>
      <c r="C381" s="6" t="s">
        <v>1570</v>
      </c>
      <c r="D381" s="6" t="s">
        <v>1571</v>
      </c>
      <c r="E381" s="7" t="s">
        <v>1572</v>
      </c>
      <c r="F381" s="8" t="s">
        <v>1514</v>
      </c>
      <c r="G381" s="9">
        <v>5.0</v>
      </c>
      <c r="H381" s="9">
        <v>5.0</v>
      </c>
      <c r="I381" s="9">
        <v>75.0</v>
      </c>
      <c r="J381" s="6">
        <f t="shared" si="27"/>
        <v>375</v>
      </c>
      <c r="K381" s="6" t="s">
        <v>178</v>
      </c>
      <c r="L381" s="7"/>
      <c r="M381" s="7" t="s">
        <v>599</v>
      </c>
      <c r="N381" s="7"/>
      <c r="O381" s="10" t="s">
        <v>1573</v>
      </c>
      <c r="P381" s="6" t="str">
        <f>IMAGE("https://5.imimg.com/data5/SELLER/Default/2021/6/XN/UI/NS/84973740/mq2-flammable-gas-and-smoke-sensor-module-500x500.jpg",1)</f>
        <v/>
      </c>
      <c r="Q381" s="11">
        <v>1.0</v>
      </c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45.0" customHeight="1">
      <c r="A382" s="6">
        <v>379.0</v>
      </c>
      <c r="B382" s="6" t="s">
        <v>173</v>
      </c>
      <c r="C382" s="6" t="s">
        <v>1574</v>
      </c>
      <c r="D382" s="6" t="s">
        <v>1575</v>
      </c>
      <c r="E382" s="7" t="s">
        <v>1576</v>
      </c>
      <c r="F382" s="8" t="s">
        <v>1514</v>
      </c>
      <c r="G382" s="9">
        <v>10.0</v>
      </c>
      <c r="H382" s="9">
        <v>10.0</v>
      </c>
      <c r="I382" s="9">
        <v>40.0</v>
      </c>
      <c r="J382" s="6">
        <f t="shared" si="27"/>
        <v>400</v>
      </c>
      <c r="K382" s="6" t="s">
        <v>178</v>
      </c>
      <c r="L382" s="7"/>
      <c r="M382" s="7" t="s">
        <v>599</v>
      </c>
      <c r="N382" s="7"/>
      <c r="O382" s="10" t="s">
        <v>1577</v>
      </c>
      <c r="P382" s="6" t="str">
        <f>IMAGE("https://robu.in/wp-content/uploads/2016/03/12251.jpg",1)</f>
        <v/>
      </c>
      <c r="Q382" s="11">
        <v>1.0</v>
      </c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45.0" customHeight="1">
      <c r="A383" s="6">
        <v>380.0</v>
      </c>
      <c r="B383" s="6" t="s">
        <v>173</v>
      </c>
      <c r="C383" s="6" t="s">
        <v>1578</v>
      </c>
      <c r="D383" s="6" t="s">
        <v>1579</v>
      </c>
      <c r="E383" s="7" t="s">
        <v>1580</v>
      </c>
      <c r="F383" s="8" t="s">
        <v>1514</v>
      </c>
      <c r="G383" s="9">
        <v>5.0</v>
      </c>
      <c r="H383" s="9">
        <v>5.0</v>
      </c>
      <c r="I383" s="9">
        <v>130.0</v>
      </c>
      <c r="J383" s="6">
        <f t="shared" si="27"/>
        <v>650</v>
      </c>
      <c r="K383" s="6" t="s">
        <v>178</v>
      </c>
      <c r="L383" s="7"/>
      <c r="M383" s="7" t="s">
        <v>599</v>
      </c>
      <c r="N383" s="7"/>
      <c r="O383" s="10" t="s">
        <v>1581</v>
      </c>
      <c r="P383" s="6" t="str">
        <f>IMAGE("https://m.media-amazon.com/images/W/MEDIAX_792452-T2/images/I/61QNSpIV-GL._SL1000_.jpg",1)</f>
        <v/>
      </c>
      <c r="Q383" s="11">
        <v>1.0</v>
      </c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45.0" customHeight="1">
      <c r="A384" s="6">
        <v>381.0</v>
      </c>
      <c r="B384" s="6" t="s">
        <v>173</v>
      </c>
      <c r="C384" s="6" t="s">
        <v>1582</v>
      </c>
      <c r="D384" s="6" t="s">
        <v>1583</v>
      </c>
      <c r="E384" s="7" t="s">
        <v>1584</v>
      </c>
      <c r="F384" s="8" t="s">
        <v>1514</v>
      </c>
      <c r="G384" s="9">
        <v>10.0</v>
      </c>
      <c r="H384" s="9">
        <v>10.0</v>
      </c>
      <c r="I384" s="9">
        <v>60.0</v>
      </c>
      <c r="J384" s="6">
        <f t="shared" si="27"/>
        <v>600</v>
      </c>
      <c r="K384" s="6" t="s">
        <v>178</v>
      </c>
      <c r="L384" s="7"/>
      <c r="M384" s="7" t="s">
        <v>599</v>
      </c>
      <c r="N384" s="7"/>
      <c r="O384" s="10" t="s">
        <v>1585</v>
      </c>
      <c r="P384" s="6" t="str">
        <f>IMAGE("https://projecthubbharat.com/wp-content/uploads/2022/02/dht-11-sensor-module-india-800x800-1.jpg",1)</f>
        <v/>
      </c>
      <c r="Q384" s="11">
        <v>1.0</v>
      </c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45.0" customHeight="1">
      <c r="A385" s="6">
        <v>382.0</v>
      </c>
      <c r="B385" s="6" t="s">
        <v>173</v>
      </c>
      <c r="C385" s="6" t="s">
        <v>1586</v>
      </c>
      <c r="D385" s="6" t="s">
        <v>1587</v>
      </c>
      <c r="E385" s="7" t="s">
        <v>1588</v>
      </c>
      <c r="F385" s="8" t="s">
        <v>1514</v>
      </c>
      <c r="G385" s="9">
        <v>10.0</v>
      </c>
      <c r="H385" s="9">
        <v>10.0</v>
      </c>
      <c r="I385" s="9">
        <v>50.0</v>
      </c>
      <c r="J385" s="6">
        <f t="shared" si="27"/>
        <v>500</v>
      </c>
      <c r="K385" s="6" t="s">
        <v>178</v>
      </c>
      <c r="L385" s="7"/>
      <c r="M385" s="7" t="s">
        <v>518</v>
      </c>
      <c r="N385" s="7"/>
      <c r="O385" s="10" t="s">
        <v>1589</v>
      </c>
      <c r="P385" s="6" t="str">
        <f>IMAGE("https://potentiallabs.com/cart/image/cache/catalog/nov-dec/DS18B20-500x500-500x500.jpg",1)</f>
        <v/>
      </c>
      <c r="Q385" s="11">
        <v>1.0</v>
      </c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45.0" customHeight="1">
      <c r="A386" s="6">
        <v>383.0</v>
      </c>
      <c r="B386" s="6" t="s">
        <v>173</v>
      </c>
      <c r="C386" s="6" t="s">
        <v>1590</v>
      </c>
      <c r="D386" s="6" t="s">
        <v>1591</v>
      </c>
      <c r="E386" s="7" t="s">
        <v>1592</v>
      </c>
      <c r="F386" s="8" t="s">
        <v>1514</v>
      </c>
      <c r="G386" s="9">
        <v>20.0</v>
      </c>
      <c r="H386" s="9">
        <v>20.0</v>
      </c>
      <c r="I386" s="9">
        <v>5.0</v>
      </c>
      <c r="J386" s="6">
        <f t="shared" si="27"/>
        <v>100</v>
      </c>
      <c r="K386" s="6" t="s">
        <v>178</v>
      </c>
      <c r="L386" s="7"/>
      <c r="M386" s="7" t="s">
        <v>518</v>
      </c>
      <c r="N386" s="7"/>
      <c r="O386" s="10" t="s">
        <v>1593</v>
      </c>
      <c r="P386" s="9" t="str">
        <f>IMAGE("https://5.imimg.com/data5/SELLER/Default/2021/9/HF/RK/UF/37611021/10k-ohm-ntc-thermistor-500x500.jpg",1)</f>
        <v/>
      </c>
      <c r="Q386" s="11">
        <v>1.0</v>
      </c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45.0" customHeight="1">
      <c r="A387" s="6">
        <v>384.0</v>
      </c>
      <c r="B387" s="6" t="s">
        <v>173</v>
      </c>
      <c r="C387" s="6" t="s">
        <v>1594</v>
      </c>
      <c r="D387" s="6" t="s">
        <v>1595</v>
      </c>
      <c r="E387" s="7" t="s">
        <v>1596</v>
      </c>
      <c r="F387" s="8" t="s">
        <v>1514</v>
      </c>
      <c r="G387" s="9">
        <v>5.0</v>
      </c>
      <c r="H387" s="9">
        <v>5.0</v>
      </c>
      <c r="I387" s="9">
        <v>150.0</v>
      </c>
      <c r="J387" s="6">
        <f t="shared" si="27"/>
        <v>750</v>
      </c>
      <c r="K387" s="6" t="s">
        <v>178</v>
      </c>
      <c r="L387" s="7"/>
      <c r="M387" s="7" t="s">
        <v>599</v>
      </c>
      <c r="N387" s="7"/>
      <c r="O387" s="10" t="s">
        <v>1597</v>
      </c>
      <c r="P387" s="6" t="str">
        <f>IMAGE("https://media.distrelec.com/Web/WebShopImages/landscape_large/7-/01/Adafruit_163_30129187-01.jpg",1)</f>
        <v/>
      </c>
      <c r="Q387" s="11">
        <v>1.0</v>
      </c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45.0" customHeight="1">
      <c r="A388" s="6">
        <v>387.0</v>
      </c>
      <c r="B388" s="6" t="s">
        <v>15</v>
      </c>
      <c r="C388" s="6" t="s">
        <v>1598</v>
      </c>
      <c r="D388" s="6" t="s">
        <v>1599</v>
      </c>
      <c r="E388" s="7" t="s">
        <v>1600</v>
      </c>
      <c r="F388" s="8" t="s">
        <v>1601</v>
      </c>
      <c r="G388" s="6">
        <v>1.0</v>
      </c>
      <c r="H388" s="6">
        <v>1.0</v>
      </c>
      <c r="I388" s="6">
        <v>10000.0</v>
      </c>
      <c r="J388" s="6">
        <f t="shared" si="27"/>
        <v>10000</v>
      </c>
      <c r="K388" s="6" t="s">
        <v>20</v>
      </c>
      <c r="L388" s="7" t="s">
        <v>65</v>
      </c>
      <c r="M388" s="16" t="s">
        <v>65</v>
      </c>
      <c r="N388" s="7"/>
      <c r="O388" s="10"/>
      <c r="P388" s="6" t="str">
        <f>IMAGE("https://5.imimg.com/data5/SELLER/Default/2022/10/QQ/KR/IQ/23162102/singer-s0303-sewing-machine.png",1)</f>
        <v/>
      </c>
      <c r="Q388" s="11">
        <v>0.0</v>
      </c>
      <c r="R388" s="12"/>
      <c r="S388" s="12" t="s">
        <v>144</v>
      </c>
      <c r="T388" s="12">
        <v>10000.0</v>
      </c>
      <c r="U388" s="12">
        <f>T388*H388</f>
        <v>10000</v>
      </c>
      <c r="V388" s="12"/>
      <c r="W388" s="12"/>
      <c r="X388" s="12"/>
      <c r="Y388" s="12"/>
      <c r="Z388" s="12"/>
      <c r="AA388" s="12"/>
    </row>
    <row r="389" ht="45.0" customHeight="1">
      <c r="A389" s="6">
        <v>388.0</v>
      </c>
      <c r="B389" s="6" t="s">
        <v>15</v>
      </c>
      <c r="C389" s="6" t="s">
        <v>1602</v>
      </c>
      <c r="D389" s="6" t="s">
        <v>1603</v>
      </c>
      <c r="E389" s="7" t="s">
        <v>1604</v>
      </c>
      <c r="F389" s="8" t="s">
        <v>1601</v>
      </c>
      <c r="G389" s="6">
        <v>1.0</v>
      </c>
      <c r="H389" s="6">
        <v>1.0</v>
      </c>
      <c r="I389" s="6">
        <v>90.0</v>
      </c>
      <c r="J389" s="6">
        <f t="shared" si="27"/>
        <v>90</v>
      </c>
      <c r="K389" s="6" t="s">
        <v>20</v>
      </c>
      <c r="L389" s="7" t="s">
        <v>65</v>
      </c>
      <c r="M389" s="7" t="s">
        <v>1605</v>
      </c>
      <c r="N389" s="7"/>
      <c r="O389" s="10"/>
      <c r="P389" s="6" t="str">
        <f>IMAGE("https://3.imimg.com/data3/HA/PB/MY-3231014/sewing-needle.jpg",1)</f>
        <v/>
      </c>
      <c r="Q389" s="11">
        <v>0.0</v>
      </c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45.0" customHeight="1">
      <c r="A390" s="6">
        <v>389.0</v>
      </c>
      <c r="B390" s="6" t="s">
        <v>15</v>
      </c>
      <c r="C390" s="6" t="s">
        <v>1606</v>
      </c>
      <c r="D390" s="6" t="s">
        <v>1607</v>
      </c>
      <c r="E390" s="7" t="s">
        <v>1608</v>
      </c>
      <c r="F390" s="8" t="s">
        <v>1601</v>
      </c>
      <c r="G390" s="6">
        <v>2.0</v>
      </c>
      <c r="H390" s="6">
        <v>2.0</v>
      </c>
      <c r="I390" s="6">
        <v>300.0</v>
      </c>
      <c r="J390" s="6">
        <f t="shared" si="27"/>
        <v>600</v>
      </c>
      <c r="K390" s="6" t="s">
        <v>20</v>
      </c>
      <c r="L390" s="7" t="s">
        <v>65</v>
      </c>
      <c r="M390" s="7" t="s">
        <v>1605</v>
      </c>
      <c r="N390" s="7"/>
      <c r="O390" s="10"/>
      <c r="P390" s="6" t="str">
        <f>IMAGE("https://m.media-amazon.com/images/W/MEDIAX_792452-T2/images/I/71vxqqo9r7L.jpg",1)</f>
        <v/>
      </c>
      <c r="Q390" s="11">
        <v>0.0</v>
      </c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45.0" customHeight="1">
      <c r="A391" s="6">
        <v>390.0</v>
      </c>
      <c r="B391" s="6" t="s">
        <v>342</v>
      </c>
      <c r="C391" s="6" t="s">
        <v>1609</v>
      </c>
      <c r="D391" s="6" t="s">
        <v>1610</v>
      </c>
      <c r="E391" s="7" t="s">
        <v>1611</v>
      </c>
      <c r="F391" s="8" t="s">
        <v>1601</v>
      </c>
      <c r="G391" s="6">
        <v>5.0</v>
      </c>
      <c r="H391" s="6">
        <v>5.0</v>
      </c>
      <c r="I391" s="6"/>
      <c r="J391" s="6">
        <f t="shared" si="27"/>
        <v>0</v>
      </c>
      <c r="K391" s="6" t="s">
        <v>347</v>
      </c>
      <c r="L391" s="7" t="s">
        <v>65</v>
      </c>
      <c r="M391" s="7" t="s">
        <v>1605</v>
      </c>
      <c r="N391" s="7"/>
      <c r="O391" s="10" t="s">
        <v>1612</v>
      </c>
      <c r="P391" s="6" t="str">
        <f>IMAGE("https://delhi6online.in/cdn/shop/products/S1_800x.jpg?v=1545883083.jpg",1)</f>
        <v/>
      </c>
      <c r="Q391" s="11">
        <v>0.0</v>
      </c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45.0" customHeight="1">
      <c r="A392" s="6">
        <v>391.0</v>
      </c>
      <c r="B392" s="6" t="s">
        <v>342</v>
      </c>
      <c r="C392" s="6" t="s">
        <v>1613</v>
      </c>
      <c r="D392" s="6" t="s">
        <v>1614</v>
      </c>
      <c r="E392" s="7" t="s">
        <v>1615</v>
      </c>
      <c r="F392" s="8" t="s">
        <v>1601</v>
      </c>
      <c r="G392" s="6">
        <v>5.0</v>
      </c>
      <c r="H392" s="6">
        <v>5.0</v>
      </c>
      <c r="I392" s="6"/>
      <c r="J392" s="6">
        <f t="shared" si="27"/>
        <v>0</v>
      </c>
      <c r="K392" s="6" t="s">
        <v>347</v>
      </c>
      <c r="L392" s="7" t="s">
        <v>65</v>
      </c>
      <c r="M392" s="7" t="s">
        <v>1605</v>
      </c>
      <c r="N392" s="7"/>
      <c r="O392" s="10" t="s">
        <v>1616</v>
      </c>
      <c r="P392" s="6" t="str">
        <f>IMAGE("https://4.imimg.com/data4/JF/WX/MY-2704359/thread-cutter-1000x1000.jpg",1)</f>
        <v/>
      </c>
      <c r="Q392" s="11">
        <v>0.0</v>
      </c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45.0" customHeight="1">
      <c r="A393" s="6">
        <v>385.0</v>
      </c>
      <c r="B393" s="6" t="s">
        <v>173</v>
      </c>
      <c r="C393" s="6" t="s">
        <v>1617</v>
      </c>
      <c r="D393" s="6" t="s">
        <v>1618</v>
      </c>
      <c r="E393" s="7" t="s">
        <v>1619</v>
      </c>
      <c r="F393" s="8" t="s">
        <v>1514</v>
      </c>
      <c r="G393" s="9">
        <v>10.0</v>
      </c>
      <c r="H393" s="9">
        <v>10.0</v>
      </c>
      <c r="I393" s="9">
        <v>50.0</v>
      </c>
      <c r="J393" s="6">
        <f t="shared" si="27"/>
        <v>500</v>
      </c>
      <c r="K393" s="6" t="s">
        <v>178</v>
      </c>
      <c r="L393" s="7"/>
      <c r="M393" s="7" t="s">
        <v>599</v>
      </c>
      <c r="N393" s="7"/>
      <c r="O393" s="10" t="s">
        <v>1620</v>
      </c>
      <c r="P393" s="6" t="str">
        <f>IMAGE("https://i0.wp.com/superbtech.in/wp-content/uploads/2020/07/2-60.jpg?fit=500%2C500&amp;ssl=1",1)</f>
        <v/>
      </c>
      <c r="Q393" s="11">
        <v>1.0</v>
      </c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45.0" customHeight="1">
      <c r="A394" s="6">
        <v>386.0</v>
      </c>
      <c r="B394" s="6" t="s">
        <v>173</v>
      </c>
      <c r="C394" s="6" t="s">
        <v>1621</v>
      </c>
      <c r="D394" s="6" t="s">
        <v>1622</v>
      </c>
      <c r="E394" s="7" t="s">
        <v>1623</v>
      </c>
      <c r="F394" s="8" t="s">
        <v>1514</v>
      </c>
      <c r="G394" s="9">
        <v>5.0</v>
      </c>
      <c r="H394" s="9">
        <v>5.0</v>
      </c>
      <c r="I394" s="9">
        <v>150.0</v>
      </c>
      <c r="J394" s="6">
        <f t="shared" si="27"/>
        <v>750</v>
      </c>
      <c r="K394" s="6" t="s">
        <v>178</v>
      </c>
      <c r="L394" s="7"/>
      <c r="M394" s="7" t="s">
        <v>249</v>
      </c>
      <c r="N394" s="7"/>
      <c r="O394" s="10" t="s">
        <v>1624</v>
      </c>
      <c r="P394" s="6" t="str">
        <f>IMAGE("https://cdn.shopify.com/s/files/1/0559/1970/6265/products/1_9713a8db-db1e-42d0-a3e7-eebb7f66c4e9.jpg?v=1670581925",1)</f>
        <v/>
      </c>
      <c r="Q394" s="11">
        <v>1.0</v>
      </c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45.0" customHeight="1">
      <c r="A395" s="6">
        <v>392.0</v>
      </c>
      <c r="B395" s="6" t="s">
        <v>173</v>
      </c>
      <c r="C395" s="6" t="s">
        <v>1625</v>
      </c>
      <c r="D395" s="6" t="s">
        <v>1626</v>
      </c>
      <c r="E395" s="7" t="s">
        <v>1627</v>
      </c>
      <c r="F395" s="8" t="s">
        <v>1628</v>
      </c>
      <c r="G395" s="9">
        <v>10.0</v>
      </c>
      <c r="H395" s="9">
        <v>10.0</v>
      </c>
      <c r="I395" s="9">
        <v>20.0</v>
      </c>
      <c r="J395" s="6">
        <f t="shared" si="27"/>
        <v>200</v>
      </c>
      <c r="K395" s="6" t="s">
        <v>178</v>
      </c>
      <c r="L395" s="7"/>
      <c r="M395" s="7" t="s">
        <v>110</v>
      </c>
      <c r="N395" s="7" t="s">
        <v>1629</v>
      </c>
      <c r="O395" s="10" t="s">
        <v>1630</v>
      </c>
      <c r="P395" s="6" t="str">
        <f>IMAGE("https://m.media-amazon.com/images/W/MEDIAX_792452-T2/images/I/419leG1YjXL.jpg",1)</f>
        <v/>
      </c>
      <c r="Q395" s="25">
        <v>1.0</v>
      </c>
      <c r="R395" s="11">
        <f t="shared" ref="R395:R396" si="28">43*H395</f>
        <v>430</v>
      </c>
      <c r="S395" s="12"/>
      <c r="T395" s="12"/>
      <c r="U395" s="12"/>
      <c r="V395" s="12"/>
      <c r="W395" s="12"/>
      <c r="X395" s="12"/>
      <c r="Y395" s="12"/>
      <c r="Z395" s="12"/>
      <c r="AA395" s="12"/>
    </row>
    <row r="396" ht="45.0" customHeight="1">
      <c r="A396" s="6">
        <v>393.0</v>
      </c>
      <c r="B396" s="6" t="s">
        <v>173</v>
      </c>
      <c r="C396" s="6" t="s">
        <v>1631</v>
      </c>
      <c r="D396" s="6" t="s">
        <v>1632</v>
      </c>
      <c r="E396" s="7" t="s">
        <v>1633</v>
      </c>
      <c r="F396" s="8" t="s">
        <v>1628</v>
      </c>
      <c r="G396" s="9">
        <v>10.0</v>
      </c>
      <c r="H396" s="9">
        <v>10.0</v>
      </c>
      <c r="I396" s="9">
        <v>100.0</v>
      </c>
      <c r="J396" s="6">
        <f t="shared" si="27"/>
        <v>1000</v>
      </c>
      <c r="K396" s="6" t="s">
        <v>178</v>
      </c>
      <c r="L396" s="7"/>
      <c r="M396" s="7" t="s">
        <v>110</v>
      </c>
      <c r="N396" s="7" t="s">
        <v>1629</v>
      </c>
      <c r="O396" s="10" t="s">
        <v>1634</v>
      </c>
      <c r="P396" s="6" t="str">
        <f>IMAGE("https://i0.wp.com/armsol.in/wp-content/uploads/2021/08/1-5-rotated.jpg?fit=600%2C600&amp;ssl=1",1)</f>
        <v/>
      </c>
      <c r="Q396" s="25">
        <v>1.0</v>
      </c>
      <c r="R396" s="11">
        <f t="shared" si="28"/>
        <v>430</v>
      </c>
      <c r="S396" s="12"/>
      <c r="T396" s="12"/>
      <c r="U396" s="12"/>
      <c r="V396" s="12"/>
      <c r="W396" s="12"/>
      <c r="X396" s="12"/>
      <c r="Y396" s="12"/>
      <c r="Z396" s="12"/>
      <c r="AA396" s="12"/>
    </row>
    <row r="397" ht="45.0" customHeight="1">
      <c r="A397" s="6">
        <v>394.0</v>
      </c>
      <c r="B397" s="6" t="s">
        <v>173</v>
      </c>
      <c r="C397" s="6" t="s">
        <v>1635</v>
      </c>
      <c r="D397" s="6" t="s">
        <v>1636</v>
      </c>
      <c r="E397" s="7" t="s">
        <v>1637</v>
      </c>
      <c r="F397" s="8" t="s">
        <v>1628</v>
      </c>
      <c r="G397" s="9">
        <v>30.0</v>
      </c>
      <c r="H397" s="9">
        <v>30.0</v>
      </c>
      <c r="I397" s="9">
        <v>20.0</v>
      </c>
      <c r="J397" s="6">
        <f t="shared" si="27"/>
        <v>600</v>
      </c>
      <c r="K397" s="6" t="s">
        <v>178</v>
      </c>
      <c r="L397" s="7"/>
      <c r="M397" s="7" t="s">
        <v>179</v>
      </c>
      <c r="N397" s="7" t="s">
        <v>1638</v>
      </c>
      <c r="O397" s="10" t="s">
        <v>1639</v>
      </c>
      <c r="P397" s="6" t="str">
        <f>IMAGE("https://www.voltaat.com/cdn/shop/products/voltaat-soldering-board-5cm-x-7cm-10728457568358_1024x1024.jpg?v=1628445244")</f>
        <v/>
      </c>
      <c r="Q397" s="11">
        <v>1.0</v>
      </c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45.0" customHeight="1">
      <c r="A398" s="6">
        <v>395.0</v>
      </c>
      <c r="B398" s="6" t="s">
        <v>173</v>
      </c>
      <c r="C398" s="6" t="s">
        <v>1640</v>
      </c>
      <c r="D398" s="6" t="s">
        <v>1641</v>
      </c>
      <c r="E398" s="7" t="s">
        <v>1642</v>
      </c>
      <c r="F398" s="8" t="s">
        <v>1628</v>
      </c>
      <c r="G398" s="9">
        <v>10.0</v>
      </c>
      <c r="H398" s="9">
        <v>10.0</v>
      </c>
      <c r="I398" s="9">
        <v>30.0</v>
      </c>
      <c r="J398" s="6">
        <f t="shared" si="27"/>
        <v>300</v>
      </c>
      <c r="K398" s="6" t="s">
        <v>178</v>
      </c>
      <c r="L398" s="7"/>
      <c r="M398" s="7" t="s">
        <v>179</v>
      </c>
      <c r="N398" s="7" t="s">
        <v>1638</v>
      </c>
      <c r="O398" s="10" t="s">
        <v>1643</v>
      </c>
      <c r="P398" s="6" t="str">
        <f>IMAGE("https://m.media-amazon.com/images/W/MEDIAX_792452-T2/images/I/91hMIBtDtPS._SL1500_.jpg")</f>
        <v/>
      </c>
      <c r="Q398" s="11">
        <v>1.0</v>
      </c>
      <c r="R398" s="12"/>
      <c r="S398" s="12"/>
      <c r="T398" s="33"/>
      <c r="U398" s="33"/>
      <c r="V398" s="33"/>
      <c r="W398" s="33"/>
      <c r="X398" s="33"/>
      <c r="Y398" s="33"/>
      <c r="Z398" s="33"/>
      <c r="AA398" s="33"/>
    </row>
    <row r="399" ht="45.0" customHeight="1">
      <c r="A399" s="6">
        <v>396.0</v>
      </c>
      <c r="B399" s="6" t="s">
        <v>173</v>
      </c>
      <c r="C399" s="6" t="s">
        <v>1644</v>
      </c>
      <c r="D399" s="6" t="s">
        <v>1645</v>
      </c>
      <c r="E399" s="7" t="s">
        <v>1646</v>
      </c>
      <c r="F399" s="8" t="s">
        <v>1628</v>
      </c>
      <c r="G399" s="9">
        <v>5.0</v>
      </c>
      <c r="H399" s="9">
        <v>5.0</v>
      </c>
      <c r="I399" s="9">
        <v>20.0</v>
      </c>
      <c r="J399" s="6">
        <f t="shared" si="27"/>
        <v>100</v>
      </c>
      <c r="K399" s="6" t="s">
        <v>178</v>
      </c>
      <c r="L399" s="7"/>
      <c r="M399" s="7" t="s">
        <v>110</v>
      </c>
      <c r="N399" s="7" t="s">
        <v>1629</v>
      </c>
      <c r="O399" s="10" t="s">
        <v>1647</v>
      </c>
      <c r="P399" s="6" t="str">
        <f>IMAGE("https://5.imimg.com/data5/SELLER/Default/2022/1/IK/KY/AC/131638211/31tvrpe7ijl-500x500.jpg")</f>
        <v/>
      </c>
      <c r="Q399" s="25">
        <v>0.0</v>
      </c>
      <c r="R399" s="11">
        <f t="shared" ref="R399:R402" si="29">43*H399</f>
        <v>215</v>
      </c>
      <c r="S399" s="12"/>
      <c r="T399" s="33"/>
      <c r="U399" s="33"/>
      <c r="V399" s="33"/>
      <c r="W399" s="33"/>
      <c r="X399" s="33"/>
      <c r="Y399" s="33"/>
      <c r="Z399" s="33"/>
      <c r="AA399" s="33"/>
    </row>
    <row r="400" ht="45.0" customHeight="1">
      <c r="A400" s="6">
        <v>397.0</v>
      </c>
      <c r="B400" s="6" t="s">
        <v>173</v>
      </c>
      <c r="C400" s="6" t="s">
        <v>1648</v>
      </c>
      <c r="D400" s="6" t="s">
        <v>1649</v>
      </c>
      <c r="E400" s="7" t="s">
        <v>1650</v>
      </c>
      <c r="F400" s="8" t="s">
        <v>1628</v>
      </c>
      <c r="G400" s="9">
        <v>10.0</v>
      </c>
      <c r="H400" s="9">
        <v>10.0</v>
      </c>
      <c r="I400" s="9">
        <v>20.0</v>
      </c>
      <c r="J400" s="6">
        <f t="shared" si="27"/>
        <v>200</v>
      </c>
      <c r="K400" s="6" t="s">
        <v>178</v>
      </c>
      <c r="L400" s="7"/>
      <c r="M400" s="7" t="s">
        <v>110</v>
      </c>
      <c r="N400" s="7" t="s">
        <v>1629</v>
      </c>
      <c r="O400" s="10" t="s">
        <v>1651</v>
      </c>
      <c r="P400" s="6" t="str">
        <f>IMAGE("https://i0.wp.com/roboticsdna.in/wp-content/uploads/2020/11/IRON-TIP-1.png?fit=1000%2C1000&amp;ssl=1",1)</f>
        <v/>
      </c>
      <c r="Q400" s="25">
        <v>0.0</v>
      </c>
      <c r="R400" s="11">
        <f t="shared" si="29"/>
        <v>430</v>
      </c>
      <c r="S400" s="33"/>
      <c r="T400" s="33"/>
      <c r="U400" s="33"/>
      <c r="V400" s="33"/>
      <c r="W400" s="33"/>
      <c r="X400" s="33"/>
      <c r="Y400" s="33"/>
      <c r="Z400" s="33"/>
      <c r="AA400" s="33"/>
    </row>
    <row r="401" ht="45.0" customHeight="1">
      <c r="A401" s="6">
        <v>398.0</v>
      </c>
      <c r="B401" s="6" t="s">
        <v>173</v>
      </c>
      <c r="C401" s="6" t="s">
        <v>1652</v>
      </c>
      <c r="D401" s="6" t="s">
        <v>1653</v>
      </c>
      <c r="E401" s="7" t="s">
        <v>1654</v>
      </c>
      <c r="F401" s="8" t="s">
        <v>1628</v>
      </c>
      <c r="G401" s="9">
        <v>10.0</v>
      </c>
      <c r="H401" s="9">
        <v>10.0</v>
      </c>
      <c r="I401" s="9">
        <v>20.0</v>
      </c>
      <c r="J401" s="6">
        <f t="shared" si="27"/>
        <v>200</v>
      </c>
      <c r="K401" s="6" t="s">
        <v>178</v>
      </c>
      <c r="L401" s="7"/>
      <c r="M401" s="7" t="s">
        <v>110</v>
      </c>
      <c r="N401" s="7" t="s">
        <v>1629</v>
      </c>
      <c r="O401" s="10" t="s">
        <v>1655</v>
      </c>
      <c r="P401" s="6" t="str">
        <f>IMAGE("https://www.toolworld.in/storage/media/product/1656317774.jpg",1)</f>
        <v/>
      </c>
      <c r="Q401" s="25">
        <v>0.0</v>
      </c>
      <c r="R401" s="11">
        <f t="shared" si="29"/>
        <v>430</v>
      </c>
      <c r="S401" s="33"/>
      <c r="T401" s="33">
        <v>500.0</v>
      </c>
      <c r="U401" s="12">
        <f t="shared" ref="U401:U403" si="30">T401*H401</f>
        <v>5000</v>
      </c>
      <c r="V401" s="33"/>
      <c r="W401" s="33"/>
      <c r="X401" s="33"/>
      <c r="Y401" s="33"/>
      <c r="Z401" s="33"/>
      <c r="AA401" s="33"/>
    </row>
    <row r="402" ht="45.0" customHeight="1">
      <c r="A402" s="6">
        <v>399.0</v>
      </c>
      <c r="B402" s="6" t="s">
        <v>173</v>
      </c>
      <c r="C402" s="6" t="s">
        <v>1656</v>
      </c>
      <c r="D402" s="6" t="s">
        <v>1657</v>
      </c>
      <c r="E402" s="7" t="s">
        <v>1658</v>
      </c>
      <c r="F402" s="8" t="s">
        <v>1628</v>
      </c>
      <c r="G402" s="9">
        <v>10.0</v>
      </c>
      <c r="H402" s="9">
        <v>10.0</v>
      </c>
      <c r="I402" s="9">
        <v>50.0</v>
      </c>
      <c r="J402" s="6">
        <f t="shared" si="27"/>
        <v>500</v>
      </c>
      <c r="K402" s="6" t="s">
        <v>178</v>
      </c>
      <c r="L402" s="7"/>
      <c r="M402" s="7" t="s">
        <v>110</v>
      </c>
      <c r="N402" s="7" t="s">
        <v>1629</v>
      </c>
      <c r="O402" s="10" t="s">
        <v>1659</v>
      </c>
      <c r="P402" s="6" t="str">
        <f>IMAGE("https://m.media-amazon.com/images/W/MEDIAX_792452-T2/images/I/41OjS3jnL4L.jpg",1)</f>
        <v/>
      </c>
      <c r="Q402" s="25">
        <v>1.0</v>
      </c>
      <c r="R402" s="11">
        <f t="shared" si="29"/>
        <v>430</v>
      </c>
      <c r="S402" s="33"/>
      <c r="T402" s="33">
        <v>450.0</v>
      </c>
      <c r="U402" s="12">
        <f t="shared" si="30"/>
        <v>4500</v>
      </c>
      <c r="V402" s="33"/>
      <c r="W402" s="33"/>
      <c r="X402" s="33"/>
      <c r="Y402" s="33"/>
      <c r="Z402" s="33"/>
      <c r="AA402" s="33"/>
    </row>
    <row r="403" ht="45.0" customHeight="1">
      <c r="A403" s="6">
        <v>400.0</v>
      </c>
      <c r="B403" s="6" t="s">
        <v>173</v>
      </c>
      <c r="C403" s="6" t="s">
        <v>1660</v>
      </c>
      <c r="D403" s="6" t="s">
        <v>1661</v>
      </c>
      <c r="E403" s="7" t="s">
        <v>1662</v>
      </c>
      <c r="F403" s="8" t="s">
        <v>1628</v>
      </c>
      <c r="G403" s="9">
        <v>2.0</v>
      </c>
      <c r="H403" s="9">
        <v>2.0</v>
      </c>
      <c r="I403" s="9">
        <v>500.0</v>
      </c>
      <c r="J403" s="6">
        <f t="shared" si="27"/>
        <v>1000</v>
      </c>
      <c r="K403" s="6" t="s">
        <v>178</v>
      </c>
      <c r="L403" s="7" t="s">
        <v>47</v>
      </c>
      <c r="M403" s="7"/>
      <c r="N403" s="7"/>
      <c r="O403" s="10" t="s">
        <v>1663</v>
      </c>
      <c r="P403" s="6" t="str">
        <f>IMAGE("https://m.media-amazon.com/images/W/MEDIAX_792452-T2/images/I/61gvV3Wc-NL._SL1024_.jpg")</f>
        <v/>
      </c>
      <c r="Q403" s="11"/>
      <c r="R403" s="33"/>
      <c r="S403" s="33" t="s">
        <v>144</v>
      </c>
      <c r="T403" s="33">
        <v>1000.0</v>
      </c>
      <c r="U403" s="12">
        <f t="shared" si="30"/>
        <v>2000</v>
      </c>
      <c r="V403" s="33"/>
      <c r="W403" s="33"/>
      <c r="X403" s="33"/>
      <c r="Y403" s="33"/>
      <c r="Z403" s="33"/>
      <c r="AA403" s="33"/>
    </row>
    <row r="404" ht="45.0" customHeight="1">
      <c r="A404" s="6">
        <v>401.0</v>
      </c>
      <c r="B404" s="6" t="s">
        <v>173</v>
      </c>
      <c r="C404" s="6" t="s">
        <v>1664</v>
      </c>
      <c r="D404" s="6" t="s">
        <v>1665</v>
      </c>
      <c r="E404" s="7" t="s">
        <v>1666</v>
      </c>
      <c r="F404" s="8" t="s">
        <v>1628</v>
      </c>
      <c r="G404" s="9">
        <v>10.0</v>
      </c>
      <c r="H404" s="9">
        <v>10.0</v>
      </c>
      <c r="I404" s="9">
        <v>300.0</v>
      </c>
      <c r="J404" s="6">
        <f t="shared" si="27"/>
        <v>3000</v>
      </c>
      <c r="K404" s="6" t="s">
        <v>178</v>
      </c>
      <c r="L404" s="7"/>
      <c r="M404" s="7" t="s">
        <v>110</v>
      </c>
      <c r="N404" s="7" t="s">
        <v>1629</v>
      </c>
      <c r="O404" s="10" t="s">
        <v>1667</v>
      </c>
      <c r="P404" s="6" t="str">
        <f>IMAGE("https://robu.in/wp-content/uploads/2015/10/Soldron-25-Watt-Iron-Soldering-Gun-5.jpg")</f>
        <v/>
      </c>
      <c r="Q404" s="25">
        <v>0.0</v>
      </c>
      <c r="R404" s="11">
        <f>43*H404</f>
        <v>430</v>
      </c>
      <c r="S404" s="33" t="s">
        <v>144</v>
      </c>
      <c r="T404" s="33"/>
      <c r="U404" s="33"/>
      <c r="V404" s="33"/>
      <c r="W404" s="33"/>
      <c r="X404" s="33"/>
      <c r="Y404" s="33"/>
      <c r="Z404" s="33"/>
      <c r="AA404" s="33"/>
    </row>
    <row r="405" ht="45.0" customHeight="1">
      <c r="A405" s="6">
        <v>402.0</v>
      </c>
      <c r="B405" s="6" t="s">
        <v>173</v>
      </c>
      <c r="C405" s="6" t="s">
        <v>1668</v>
      </c>
      <c r="D405" s="6" t="s">
        <v>1669</v>
      </c>
      <c r="E405" s="7" t="s">
        <v>1670</v>
      </c>
      <c r="F405" s="8" t="s">
        <v>1628</v>
      </c>
      <c r="G405" s="9">
        <v>1.0</v>
      </c>
      <c r="H405" s="9">
        <v>1.0</v>
      </c>
      <c r="I405" s="9">
        <v>200.0</v>
      </c>
      <c r="J405" s="6">
        <f t="shared" si="27"/>
        <v>200</v>
      </c>
      <c r="K405" s="6" t="s">
        <v>178</v>
      </c>
      <c r="L405" s="7" t="s">
        <v>47</v>
      </c>
      <c r="M405" s="7"/>
      <c r="N405" s="7"/>
      <c r="O405" s="10" t="s">
        <v>1671</v>
      </c>
      <c r="P405" s="6" t="str">
        <f>IMAGE("https://m.media-amazon.com/images/I/71Nb2wKaZgS._SL1500_.jpg", 1)</f>
        <v/>
      </c>
      <c r="Q405" s="11">
        <v>0.0</v>
      </c>
      <c r="R405" s="33"/>
      <c r="S405" s="33" t="s">
        <v>144</v>
      </c>
      <c r="T405" s="33"/>
      <c r="U405" s="33"/>
      <c r="V405" s="33"/>
      <c r="W405" s="33"/>
      <c r="X405" s="33"/>
      <c r="Y405" s="33"/>
      <c r="Z405" s="33"/>
      <c r="AA405" s="33"/>
    </row>
    <row r="406" ht="45.0" customHeight="1">
      <c r="A406" s="6">
        <v>403.0</v>
      </c>
      <c r="B406" s="6" t="s">
        <v>173</v>
      </c>
      <c r="C406" s="6" t="s">
        <v>1672</v>
      </c>
      <c r="D406" s="6" t="s">
        <v>1673</v>
      </c>
      <c r="E406" s="7" t="s">
        <v>1674</v>
      </c>
      <c r="F406" s="8" t="s">
        <v>1628</v>
      </c>
      <c r="G406" s="9">
        <v>10.0</v>
      </c>
      <c r="H406" s="9">
        <v>10.0</v>
      </c>
      <c r="I406" s="9">
        <v>65.0</v>
      </c>
      <c r="J406" s="6">
        <f t="shared" si="27"/>
        <v>650</v>
      </c>
      <c r="K406" s="6" t="s">
        <v>178</v>
      </c>
      <c r="L406" s="7"/>
      <c r="M406" s="7" t="s">
        <v>110</v>
      </c>
      <c r="N406" s="7" t="s">
        <v>1629</v>
      </c>
      <c r="O406" s="10" t="s">
        <v>1675</v>
      </c>
      <c r="P406" s="6" t="str">
        <f>IMAGE("https://m.media-amazon.com/images/W/MEDIAX_792452-T2/images/I/511g3IePVzL.jpg",1)</f>
        <v/>
      </c>
      <c r="Q406" s="11">
        <v>0.0</v>
      </c>
      <c r="R406" s="33"/>
      <c r="S406" s="33"/>
      <c r="T406" s="12">
        <v>30000.0</v>
      </c>
      <c r="U406" s="12">
        <f t="shared" ref="U406:U407" si="31">T406*H406</f>
        <v>300000</v>
      </c>
      <c r="V406" s="12"/>
      <c r="W406" s="12"/>
      <c r="X406" s="12"/>
      <c r="Y406" s="12"/>
      <c r="Z406" s="12"/>
      <c r="AA406" s="12"/>
    </row>
    <row r="407" ht="45.0" customHeight="1">
      <c r="A407" s="6">
        <v>404.0</v>
      </c>
      <c r="B407" s="6" t="s">
        <v>173</v>
      </c>
      <c r="C407" s="6" t="s">
        <v>1676</v>
      </c>
      <c r="D407" s="6" t="s">
        <v>1677</v>
      </c>
      <c r="E407" s="7" t="s">
        <v>1678</v>
      </c>
      <c r="F407" s="8" t="s">
        <v>1628</v>
      </c>
      <c r="G407" s="9">
        <v>10.0</v>
      </c>
      <c r="H407" s="9">
        <v>10.0</v>
      </c>
      <c r="I407" s="9">
        <v>100.0</v>
      </c>
      <c r="J407" s="6">
        <f t="shared" si="27"/>
        <v>1000</v>
      </c>
      <c r="K407" s="6" t="s">
        <v>178</v>
      </c>
      <c r="L407" s="7"/>
      <c r="M407" s="7" t="s">
        <v>110</v>
      </c>
      <c r="N407" s="7" t="s">
        <v>1629</v>
      </c>
      <c r="O407" s="10" t="s">
        <v>1679</v>
      </c>
      <c r="P407" s="6" t="str">
        <f>IMAGE("https://5.imimg.com/data5/FT/MG/MY-9316309/soldering-wire-500x500.jpg",1)</f>
        <v/>
      </c>
      <c r="Q407" s="11">
        <v>1.0</v>
      </c>
      <c r="R407" s="33"/>
      <c r="S407" s="33"/>
      <c r="T407" s="12">
        <v>30000.0</v>
      </c>
      <c r="U407" s="12">
        <f t="shared" si="31"/>
        <v>300000</v>
      </c>
      <c r="V407" s="12"/>
      <c r="W407" s="12"/>
      <c r="Y407" s="12"/>
      <c r="Z407" s="12"/>
      <c r="AA407" s="12"/>
    </row>
    <row r="408" ht="15.75" customHeight="1">
      <c r="A408" s="34"/>
      <c r="B408" s="34"/>
      <c r="C408" s="34"/>
      <c r="D408" s="34"/>
      <c r="E408" s="34"/>
      <c r="F408" s="35"/>
      <c r="G408" s="34"/>
      <c r="H408" s="34"/>
      <c r="I408" s="34"/>
      <c r="J408" s="34"/>
      <c r="K408" s="34"/>
      <c r="L408" s="34"/>
      <c r="M408" s="34"/>
      <c r="N408" s="34"/>
      <c r="O408" s="36"/>
      <c r="P408" s="34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15.75" customHeight="1">
      <c r="A409" s="34"/>
      <c r="B409" s="34"/>
      <c r="C409" s="34"/>
      <c r="D409" s="34"/>
      <c r="E409" s="34"/>
      <c r="F409" s="35"/>
      <c r="G409" s="34"/>
      <c r="H409" s="34"/>
      <c r="I409" s="34"/>
      <c r="J409" s="34"/>
      <c r="K409" s="34"/>
      <c r="L409" s="34"/>
      <c r="M409" s="34"/>
      <c r="N409" s="34"/>
      <c r="O409" s="36"/>
      <c r="P409" s="34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15.75" customHeight="1">
      <c r="A410" s="34"/>
      <c r="B410" s="34"/>
      <c r="C410" s="34"/>
      <c r="D410" s="34"/>
      <c r="E410" s="34"/>
      <c r="F410" s="35"/>
      <c r="G410" s="34"/>
      <c r="H410" s="34"/>
      <c r="I410" s="34"/>
      <c r="J410" s="34"/>
      <c r="K410" s="34"/>
      <c r="L410" s="34"/>
      <c r="M410" s="37"/>
      <c r="N410" s="37"/>
      <c r="O410" s="36"/>
      <c r="P410" s="34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15.75" customHeight="1">
      <c r="A411" s="34"/>
      <c r="B411" s="34"/>
      <c r="C411" s="34"/>
      <c r="D411" s="34"/>
      <c r="E411" s="34"/>
      <c r="F411" s="35"/>
      <c r="G411" s="34"/>
      <c r="H411" s="34"/>
      <c r="I411" s="34"/>
      <c r="J411" s="34"/>
      <c r="K411" s="34"/>
      <c r="L411" s="34"/>
      <c r="M411" s="37"/>
      <c r="N411" s="37"/>
      <c r="O411" s="36"/>
      <c r="P411" s="34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15.75" customHeight="1">
      <c r="A412" s="34"/>
      <c r="B412" s="34"/>
      <c r="C412" s="34"/>
      <c r="D412" s="34"/>
      <c r="E412" s="34"/>
      <c r="F412" s="35"/>
      <c r="G412" s="34"/>
      <c r="H412" s="34"/>
      <c r="I412" s="34"/>
      <c r="J412" s="34"/>
      <c r="K412" s="34"/>
      <c r="L412" s="34"/>
      <c r="M412" s="34"/>
      <c r="N412" s="34"/>
      <c r="O412" s="36"/>
      <c r="P412" s="34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15.75" customHeight="1">
      <c r="A413" s="34"/>
      <c r="B413" s="34"/>
      <c r="C413" s="34"/>
      <c r="D413" s="34"/>
      <c r="E413" s="34"/>
      <c r="F413" s="35"/>
      <c r="G413" s="34"/>
      <c r="H413" s="34"/>
      <c r="I413" s="34"/>
      <c r="J413" s="34"/>
      <c r="K413" s="34"/>
      <c r="L413" s="34"/>
      <c r="M413" s="34"/>
      <c r="N413" s="34"/>
      <c r="O413" s="36"/>
      <c r="P413" s="34"/>
      <c r="Q413" s="12"/>
      <c r="R413" s="12"/>
      <c r="S413" s="12"/>
      <c r="T413" s="12"/>
      <c r="U413" s="12">
        <f>SUM(U1:U406)</f>
        <v>1229950</v>
      </c>
      <c r="V413" s="12"/>
      <c r="W413" s="12"/>
      <c r="X413" s="12"/>
      <c r="Y413" s="12"/>
      <c r="Z413" s="12"/>
      <c r="AA413" s="12"/>
    </row>
    <row r="414" ht="15.75" customHeight="1">
      <c r="A414" s="34"/>
      <c r="B414" s="34"/>
      <c r="C414" s="34"/>
      <c r="D414" s="34"/>
      <c r="E414" s="34"/>
      <c r="F414" s="35"/>
      <c r="G414" s="34"/>
      <c r="H414" s="34"/>
      <c r="I414" s="34"/>
      <c r="J414" s="34"/>
      <c r="K414" s="34"/>
      <c r="L414" s="34"/>
      <c r="M414" s="34"/>
      <c r="N414" s="34"/>
      <c r="O414" s="36"/>
      <c r="P414" s="34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15.75" customHeight="1">
      <c r="A415" s="34"/>
      <c r="B415" s="34"/>
      <c r="C415" s="34"/>
      <c r="D415" s="34"/>
      <c r="E415" s="34"/>
      <c r="F415" s="35"/>
      <c r="G415" s="34"/>
      <c r="H415" s="34"/>
      <c r="I415" s="34"/>
      <c r="J415" s="34"/>
      <c r="K415" s="34"/>
      <c r="L415" s="34"/>
      <c r="M415" s="34"/>
      <c r="N415" s="34"/>
      <c r="O415" s="36"/>
      <c r="P415" s="34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15.75" customHeight="1">
      <c r="A416" s="34"/>
      <c r="B416" s="34"/>
      <c r="C416" s="34"/>
      <c r="D416" s="34"/>
      <c r="E416" s="34"/>
      <c r="F416" s="35"/>
      <c r="G416" s="34"/>
      <c r="H416" s="34"/>
      <c r="I416" s="34"/>
      <c r="J416" s="34"/>
      <c r="K416" s="34"/>
      <c r="L416" s="34"/>
      <c r="M416" s="34"/>
      <c r="N416" s="34"/>
      <c r="O416" s="36"/>
      <c r="P416" s="34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15.75" customHeight="1">
      <c r="A417" s="34"/>
      <c r="B417" s="34"/>
      <c r="C417" s="34"/>
      <c r="D417" s="34"/>
      <c r="E417" s="34"/>
      <c r="F417" s="35"/>
      <c r="G417" s="34"/>
      <c r="H417" s="34"/>
      <c r="I417" s="34"/>
      <c r="J417" s="34"/>
      <c r="K417" s="34"/>
      <c r="L417" s="34"/>
      <c r="M417" s="34"/>
      <c r="N417" s="34"/>
      <c r="O417" s="36"/>
      <c r="P417" s="34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15.75" customHeight="1">
      <c r="A418" s="34"/>
      <c r="B418" s="34"/>
      <c r="C418" s="34"/>
      <c r="D418" s="34"/>
      <c r="E418" s="34"/>
      <c r="F418" s="35"/>
      <c r="G418" s="34"/>
      <c r="H418" s="34"/>
      <c r="I418" s="34"/>
      <c r="J418" s="34"/>
      <c r="K418" s="34"/>
      <c r="L418" s="34"/>
      <c r="M418" s="34"/>
      <c r="N418" s="34"/>
      <c r="O418" s="36"/>
      <c r="P418" s="34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15.75" customHeight="1">
      <c r="A419" s="34"/>
      <c r="B419" s="34"/>
      <c r="C419" s="34"/>
      <c r="D419" s="34"/>
      <c r="E419" s="34"/>
      <c r="F419" s="35"/>
      <c r="G419" s="34"/>
      <c r="H419" s="34"/>
      <c r="I419" s="34"/>
      <c r="J419" s="34"/>
      <c r="K419" s="34"/>
      <c r="L419" s="34"/>
      <c r="M419" s="34"/>
      <c r="N419" s="34"/>
      <c r="O419" s="36"/>
      <c r="P419" s="34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15.75" customHeight="1">
      <c r="A420" s="34"/>
      <c r="B420" s="34"/>
      <c r="C420" s="34"/>
      <c r="D420" s="34"/>
      <c r="E420" s="34"/>
      <c r="F420" s="35"/>
      <c r="G420" s="34"/>
      <c r="H420" s="34"/>
      <c r="I420" s="34"/>
      <c r="J420" s="34"/>
      <c r="K420" s="34"/>
      <c r="L420" s="34"/>
      <c r="M420" s="34"/>
      <c r="N420" s="34"/>
      <c r="O420" s="36"/>
      <c r="P420" s="34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15.75" customHeight="1">
      <c r="A421" s="34"/>
      <c r="B421" s="34"/>
      <c r="C421" s="34"/>
      <c r="D421" s="34"/>
      <c r="E421" s="34"/>
      <c r="F421" s="35"/>
      <c r="G421" s="34"/>
      <c r="H421" s="34"/>
      <c r="I421" s="34"/>
      <c r="J421" s="34"/>
      <c r="K421" s="34"/>
      <c r="L421" s="34"/>
      <c r="M421" s="34"/>
      <c r="N421" s="34"/>
      <c r="O421" s="36"/>
      <c r="P421" s="34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15.75" customHeight="1">
      <c r="A422" s="34"/>
      <c r="B422" s="34"/>
      <c r="C422" s="34"/>
      <c r="D422" s="34"/>
      <c r="E422" s="34"/>
      <c r="F422" s="35"/>
      <c r="G422" s="34"/>
      <c r="H422" s="34"/>
      <c r="I422" s="34"/>
      <c r="J422" s="34"/>
      <c r="K422" s="34"/>
      <c r="L422" s="34"/>
      <c r="M422" s="34"/>
      <c r="N422" s="34"/>
      <c r="O422" s="36"/>
      <c r="P422" s="34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15.75" customHeight="1">
      <c r="A423" s="34"/>
      <c r="B423" s="34"/>
      <c r="C423" s="34"/>
      <c r="D423" s="34"/>
      <c r="E423" s="34"/>
      <c r="F423" s="35"/>
      <c r="G423" s="34"/>
      <c r="H423" s="34"/>
      <c r="I423" s="34"/>
      <c r="J423" s="34"/>
      <c r="K423" s="34"/>
      <c r="L423" s="34"/>
      <c r="M423" s="34"/>
      <c r="N423" s="34"/>
      <c r="O423" s="36"/>
      <c r="P423" s="34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15.75" customHeight="1">
      <c r="A424" s="34"/>
      <c r="B424" s="34"/>
      <c r="C424" s="34"/>
      <c r="D424" s="34"/>
      <c r="E424" s="34"/>
      <c r="F424" s="35"/>
      <c r="G424" s="34"/>
      <c r="H424" s="34"/>
      <c r="I424" s="34"/>
      <c r="J424" s="34"/>
      <c r="K424" s="34"/>
      <c r="L424" s="34"/>
      <c r="M424" s="34"/>
      <c r="N424" s="34"/>
      <c r="O424" s="36"/>
      <c r="P424" s="34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15.75" customHeight="1">
      <c r="A425" s="34"/>
      <c r="B425" s="34"/>
      <c r="C425" s="34"/>
      <c r="D425" s="34"/>
      <c r="E425" s="34"/>
      <c r="F425" s="35"/>
      <c r="G425" s="34"/>
      <c r="H425" s="34"/>
      <c r="I425" s="34"/>
      <c r="J425" s="34"/>
      <c r="K425" s="34"/>
      <c r="L425" s="34"/>
      <c r="M425" s="34"/>
      <c r="N425" s="34"/>
      <c r="O425" s="36"/>
      <c r="P425" s="34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15.75" customHeight="1">
      <c r="A426" s="34"/>
      <c r="B426" s="34"/>
      <c r="C426" s="34"/>
      <c r="D426" s="34"/>
      <c r="E426" s="34"/>
      <c r="F426" s="35"/>
      <c r="G426" s="34"/>
      <c r="H426" s="34"/>
      <c r="I426" s="34"/>
      <c r="J426" s="34"/>
      <c r="K426" s="34"/>
      <c r="L426" s="34"/>
      <c r="M426" s="34"/>
      <c r="N426" s="34"/>
      <c r="O426" s="36"/>
      <c r="P426" s="34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15.75" customHeight="1">
      <c r="A427" s="34"/>
      <c r="B427" s="34"/>
      <c r="C427" s="34"/>
      <c r="D427" s="34"/>
      <c r="E427" s="34"/>
      <c r="F427" s="35"/>
      <c r="G427" s="34"/>
      <c r="H427" s="34"/>
      <c r="I427" s="34"/>
      <c r="J427" s="34"/>
      <c r="K427" s="34"/>
      <c r="L427" s="34"/>
      <c r="M427" s="34"/>
      <c r="N427" s="34"/>
      <c r="O427" s="36"/>
      <c r="P427" s="34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15.75" customHeight="1">
      <c r="A428" s="34"/>
      <c r="B428" s="34"/>
      <c r="C428" s="34"/>
      <c r="D428" s="34"/>
      <c r="E428" s="34"/>
      <c r="F428" s="35"/>
      <c r="G428" s="34"/>
      <c r="H428" s="34"/>
      <c r="I428" s="34"/>
      <c r="J428" s="34"/>
      <c r="K428" s="34"/>
      <c r="L428" s="34"/>
      <c r="M428" s="34"/>
      <c r="N428" s="34"/>
      <c r="O428" s="36"/>
      <c r="P428" s="34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15.75" customHeight="1">
      <c r="A429" s="34"/>
      <c r="B429" s="34"/>
      <c r="C429" s="34"/>
      <c r="D429" s="34"/>
      <c r="E429" s="34"/>
      <c r="F429" s="35"/>
      <c r="G429" s="34"/>
      <c r="H429" s="34"/>
      <c r="I429" s="34"/>
      <c r="J429" s="34"/>
      <c r="K429" s="34"/>
      <c r="L429" s="34"/>
      <c r="M429" s="34"/>
      <c r="N429" s="34"/>
      <c r="O429" s="36"/>
      <c r="P429" s="34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15.75" customHeight="1">
      <c r="A430" s="34"/>
      <c r="B430" s="34"/>
      <c r="C430" s="34"/>
      <c r="D430" s="34"/>
      <c r="E430" s="34"/>
      <c r="F430" s="35"/>
      <c r="G430" s="34"/>
      <c r="H430" s="34"/>
      <c r="I430" s="34"/>
      <c r="J430" s="34"/>
      <c r="K430" s="34"/>
      <c r="L430" s="34"/>
      <c r="M430" s="34"/>
      <c r="N430" s="34"/>
      <c r="O430" s="36"/>
      <c r="P430" s="34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15.75" customHeight="1">
      <c r="A431" s="34"/>
      <c r="B431" s="34"/>
      <c r="C431" s="34"/>
      <c r="D431" s="34"/>
      <c r="E431" s="34"/>
      <c r="F431" s="35"/>
      <c r="G431" s="34"/>
      <c r="H431" s="34"/>
      <c r="I431" s="34"/>
      <c r="J431" s="34"/>
      <c r="K431" s="34"/>
      <c r="L431" s="34"/>
      <c r="M431" s="34"/>
      <c r="N431" s="34"/>
      <c r="O431" s="36"/>
      <c r="P431" s="34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15.75" customHeight="1">
      <c r="A432" s="34"/>
      <c r="B432" s="34"/>
      <c r="C432" s="34"/>
      <c r="D432" s="34"/>
      <c r="E432" s="34"/>
      <c r="F432" s="35"/>
      <c r="G432" s="34"/>
      <c r="H432" s="34"/>
      <c r="I432" s="34"/>
      <c r="J432" s="34"/>
      <c r="K432" s="34"/>
      <c r="L432" s="34"/>
      <c r="M432" s="34"/>
      <c r="N432" s="34"/>
      <c r="O432" s="36"/>
      <c r="P432" s="34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15.75" customHeight="1">
      <c r="A433" s="34"/>
      <c r="B433" s="34"/>
      <c r="C433" s="34"/>
      <c r="D433" s="34"/>
      <c r="E433" s="34"/>
      <c r="F433" s="35"/>
      <c r="G433" s="34"/>
      <c r="H433" s="34"/>
      <c r="I433" s="34"/>
      <c r="J433" s="34"/>
      <c r="K433" s="34"/>
      <c r="L433" s="34"/>
      <c r="M433" s="34"/>
      <c r="N433" s="34"/>
      <c r="O433" s="36"/>
      <c r="P433" s="34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15.75" customHeight="1">
      <c r="A434" s="34"/>
      <c r="B434" s="34"/>
      <c r="C434" s="34"/>
      <c r="D434" s="34"/>
      <c r="E434" s="34"/>
      <c r="F434" s="35"/>
      <c r="G434" s="34"/>
      <c r="H434" s="34"/>
      <c r="I434" s="34"/>
      <c r="J434" s="34"/>
      <c r="K434" s="34"/>
      <c r="L434" s="34"/>
      <c r="M434" s="34"/>
      <c r="N434" s="34"/>
      <c r="O434" s="36"/>
      <c r="P434" s="34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15.75" customHeight="1">
      <c r="A435" s="34"/>
      <c r="B435" s="34"/>
      <c r="C435" s="34"/>
      <c r="D435" s="34"/>
      <c r="E435" s="34"/>
      <c r="F435" s="35"/>
      <c r="G435" s="34"/>
      <c r="H435" s="34"/>
      <c r="I435" s="34"/>
      <c r="J435" s="34"/>
      <c r="K435" s="34"/>
      <c r="L435" s="34"/>
      <c r="M435" s="34"/>
      <c r="N435" s="34"/>
      <c r="O435" s="36"/>
      <c r="P435" s="34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15.75" customHeight="1">
      <c r="A436" s="34"/>
      <c r="B436" s="34"/>
      <c r="C436" s="34"/>
      <c r="D436" s="34"/>
      <c r="E436" s="34"/>
      <c r="F436" s="35"/>
      <c r="G436" s="34"/>
      <c r="H436" s="34"/>
      <c r="I436" s="34"/>
      <c r="J436" s="34"/>
      <c r="K436" s="34"/>
      <c r="L436" s="34"/>
      <c r="M436" s="34"/>
      <c r="N436" s="34"/>
      <c r="O436" s="36"/>
      <c r="P436" s="34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15.75" customHeight="1">
      <c r="A437" s="34"/>
      <c r="B437" s="34"/>
      <c r="C437" s="34"/>
      <c r="D437" s="34"/>
      <c r="E437" s="34"/>
      <c r="F437" s="35"/>
      <c r="G437" s="34"/>
      <c r="H437" s="34"/>
      <c r="I437" s="34"/>
      <c r="J437" s="34"/>
      <c r="K437" s="34"/>
      <c r="L437" s="34"/>
      <c r="M437" s="34"/>
      <c r="N437" s="34"/>
      <c r="O437" s="36"/>
      <c r="P437" s="34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15.75" customHeight="1">
      <c r="A438" s="34"/>
      <c r="B438" s="34"/>
      <c r="C438" s="34"/>
      <c r="D438" s="34"/>
      <c r="E438" s="34"/>
      <c r="F438" s="35"/>
      <c r="G438" s="34"/>
      <c r="H438" s="34"/>
      <c r="I438" s="34"/>
      <c r="J438" s="34"/>
      <c r="K438" s="34"/>
      <c r="L438" s="34"/>
      <c r="M438" s="34"/>
      <c r="N438" s="34"/>
      <c r="O438" s="36"/>
      <c r="P438" s="34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15.75" customHeight="1">
      <c r="A439" s="34"/>
      <c r="B439" s="34"/>
      <c r="C439" s="34"/>
      <c r="D439" s="34"/>
      <c r="E439" s="34"/>
      <c r="F439" s="35"/>
      <c r="G439" s="34"/>
      <c r="H439" s="34"/>
      <c r="I439" s="34"/>
      <c r="J439" s="34"/>
      <c r="K439" s="34"/>
      <c r="L439" s="34"/>
      <c r="M439" s="34"/>
      <c r="N439" s="34"/>
      <c r="O439" s="36"/>
      <c r="P439" s="34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15.75" customHeight="1">
      <c r="A440" s="34"/>
      <c r="B440" s="34"/>
      <c r="C440" s="34"/>
      <c r="D440" s="34"/>
      <c r="E440" s="34"/>
      <c r="F440" s="35"/>
      <c r="G440" s="34"/>
      <c r="H440" s="34"/>
      <c r="I440" s="34"/>
      <c r="J440" s="34"/>
      <c r="K440" s="34"/>
      <c r="L440" s="34"/>
      <c r="M440" s="34"/>
      <c r="N440" s="34"/>
      <c r="O440" s="36"/>
      <c r="P440" s="34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15.75" customHeight="1">
      <c r="A441" s="34"/>
      <c r="B441" s="34"/>
      <c r="C441" s="34"/>
      <c r="D441" s="34"/>
      <c r="E441" s="34"/>
      <c r="F441" s="35"/>
      <c r="G441" s="34"/>
      <c r="H441" s="34"/>
      <c r="I441" s="34"/>
      <c r="J441" s="34"/>
      <c r="K441" s="34"/>
      <c r="L441" s="34"/>
      <c r="M441" s="34"/>
      <c r="N441" s="34"/>
      <c r="O441" s="36"/>
      <c r="P441" s="34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15.75" customHeight="1">
      <c r="A442" s="34"/>
      <c r="B442" s="34"/>
      <c r="C442" s="34"/>
      <c r="D442" s="34"/>
      <c r="E442" s="34"/>
      <c r="F442" s="35"/>
      <c r="G442" s="34"/>
      <c r="H442" s="34"/>
      <c r="I442" s="34"/>
      <c r="J442" s="34"/>
      <c r="K442" s="34"/>
      <c r="L442" s="34"/>
      <c r="M442" s="34"/>
      <c r="N442" s="34"/>
      <c r="O442" s="36"/>
      <c r="P442" s="34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15.75" customHeight="1">
      <c r="A443" s="34"/>
      <c r="B443" s="34"/>
      <c r="C443" s="34"/>
      <c r="D443" s="34"/>
      <c r="E443" s="34"/>
      <c r="F443" s="35"/>
      <c r="G443" s="34"/>
      <c r="H443" s="34"/>
      <c r="I443" s="34"/>
      <c r="J443" s="34"/>
      <c r="K443" s="34"/>
      <c r="L443" s="34"/>
      <c r="M443" s="34"/>
      <c r="N443" s="34"/>
      <c r="O443" s="36"/>
      <c r="P443" s="34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15.75" customHeight="1">
      <c r="A444" s="34"/>
      <c r="B444" s="34"/>
      <c r="C444" s="34"/>
      <c r="D444" s="34"/>
      <c r="E444" s="34"/>
      <c r="F444" s="35"/>
      <c r="G444" s="34"/>
      <c r="H444" s="34"/>
      <c r="I444" s="34"/>
      <c r="J444" s="34"/>
      <c r="K444" s="34"/>
      <c r="L444" s="34"/>
      <c r="M444" s="34"/>
      <c r="N444" s="34"/>
      <c r="O444" s="36"/>
      <c r="P444" s="34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15.75" customHeight="1">
      <c r="A445" s="34"/>
      <c r="B445" s="34"/>
      <c r="C445" s="34"/>
      <c r="D445" s="34"/>
      <c r="E445" s="34"/>
      <c r="F445" s="35"/>
      <c r="G445" s="34"/>
      <c r="H445" s="34"/>
      <c r="I445" s="34"/>
      <c r="J445" s="34"/>
      <c r="K445" s="34"/>
      <c r="L445" s="34"/>
      <c r="M445" s="34"/>
      <c r="N445" s="34"/>
      <c r="O445" s="36"/>
      <c r="P445" s="34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15.75" customHeight="1">
      <c r="A446" s="34"/>
      <c r="B446" s="34"/>
      <c r="C446" s="34"/>
      <c r="D446" s="34"/>
      <c r="E446" s="34"/>
      <c r="F446" s="35"/>
      <c r="G446" s="34"/>
      <c r="H446" s="34"/>
      <c r="I446" s="34"/>
      <c r="J446" s="34"/>
      <c r="K446" s="34"/>
      <c r="L446" s="34"/>
      <c r="M446" s="34"/>
      <c r="N446" s="34"/>
      <c r="O446" s="36"/>
      <c r="P446" s="34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15.75" customHeight="1">
      <c r="A447" s="34"/>
      <c r="B447" s="34"/>
      <c r="C447" s="34"/>
      <c r="D447" s="34"/>
      <c r="E447" s="34"/>
      <c r="F447" s="35"/>
      <c r="G447" s="34"/>
      <c r="H447" s="34"/>
      <c r="I447" s="34"/>
      <c r="J447" s="34"/>
      <c r="K447" s="34"/>
      <c r="L447" s="34"/>
      <c r="M447" s="34"/>
      <c r="N447" s="34"/>
      <c r="O447" s="36"/>
      <c r="P447" s="34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15.75" customHeight="1">
      <c r="A448" s="34"/>
      <c r="B448" s="34"/>
      <c r="C448" s="34"/>
      <c r="D448" s="34"/>
      <c r="E448" s="34"/>
      <c r="F448" s="35"/>
      <c r="G448" s="34"/>
      <c r="H448" s="34"/>
      <c r="I448" s="34"/>
      <c r="J448" s="34"/>
      <c r="K448" s="34"/>
      <c r="L448" s="34"/>
      <c r="M448" s="34"/>
      <c r="N448" s="34"/>
      <c r="O448" s="36"/>
      <c r="P448" s="34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15.75" customHeight="1">
      <c r="A449" s="34"/>
      <c r="B449" s="34"/>
      <c r="C449" s="34"/>
      <c r="D449" s="34"/>
      <c r="E449" s="34"/>
      <c r="F449" s="35"/>
      <c r="G449" s="34"/>
      <c r="H449" s="34"/>
      <c r="I449" s="34"/>
      <c r="J449" s="34"/>
      <c r="K449" s="34"/>
      <c r="L449" s="34"/>
      <c r="M449" s="34"/>
      <c r="N449" s="34"/>
      <c r="O449" s="36"/>
      <c r="P449" s="34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15.75" customHeight="1">
      <c r="A450" s="34"/>
      <c r="B450" s="34"/>
      <c r="C450" s="34"/>
      <c r="D450" s="34"/>
      <c r="E450" s="34"/>
      <c r="F450" s="35"/>
      <c r="G450" s="34"/>
      <c r="H450" s="34"/>
      <c r="I450" s="34"/>
      <c r="J450" s="34"/>
      <c r="K450" s="34"/>
      <c r="L450" s="34"/>
      <c r="M450" s="34"/>
      <c r="N450" s="34"/>
      <c r="O450" s="36"/>
      <c r="P450" s="34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15.75" customHeight="1">
      <c r="A451" s="34"/>
      <c r="B451" s="34"/>
      <c r="C451" s="34"/>
      <c r="D451" s="34"/>
      <c r="E451" s="34"/>
      <c r="F451" s="35"/>
      <c r="G451" s="34"/>
      <c r="H451" s="34"/>
      <c r="I451" s="34"/>
      <c r="J451" s="34"/>
      <c r="K451" s="34"/>
      <c r="L451" s="34"/>
      <c r="M451" s="34"/>
      <c r="N451" s="34"/>
      <c r="O451" s="36"/>
      <c r="P451" s="34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15.75" customHeight="1">
      <c r="A452" s="34"/>
      <c r="B452" s="34"/>
      <c r="C452" s="34"/>
      <c r="D452" s="34"/>
      <c r="E452" s="34"/>
      <c r="F452" s="35"/>
      <c r="G452" s="34"/>
      <c r="H452" s="34"/>
      <c r="I452" s="34"/>
      <c r="J452" s="34"/>
      <c r="K452" s="34"/>
      <c r="L452" s="34"/>
      <c r="M452" s="34"/>
      <c r="N452" s="34"/>
      <c r="O452" s="36"/>
      <c r="P452" s="34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15.75" customHeight="1">
      <c r="A453" s="34"/>
      <c r="B453" s="34"/>
      <c r="C453" s="34"/>
      <c r="D453" s="34"/>
      <c r="E453" s="34"/>
      <c r="F453" s="35"/>
      <c r="G453" s="34"/>
      <c r="H453" s="34"/>
      <c r="I453" s="34"/>
      <c r="J453" s="34"/>
      <c r="K453" s="34"/>
      <c r="L453" s="34"/>
      <c r="M453" s="34"/>
      <c r="N453" s="34"/>
      <c r="O453" s="36"/>
      <c r="P453" s="34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15.75" customHeight="1">
      <c r="A454" s="34"/>
      <c r="B454" s="34"/>
      <c r="C454" s="34"/>
      <c r="D454" s="34"/>
      <c r="E454" s="34"/>
      <c r="F454" s="35"/>
      <c r="G454" s="34"/>
      <c r="H454" s="34"/>
      <c r="I454" s="34"/>
      <c r="J454" s="34"/>
      <c r="K454" s="34"/>
      <c r="L454" s="34"/>
      <c r="M454" s="34"/>
      <c r="N454" s="34"/>
      <c r="O454" s="36"/>
      <c r="P454" s="34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15.75" customHeight="1">
      <c r="A455" s="34"/>
      <c r="B455" s="34"/>
      <c r="C455" s="34"/>
      <c r="D455" s="34"/>
      <c r="E455" s="34"/>
      <c r="F455" s="35"/>
      <c r="G455" s="34"/>
      <c r="H455" s="34"/>
      <c r="I455" s="34"/>
      <c r="J455" s="34"/>
      <c r="K455" s="34"/>
      <c r="L455" s="34"/>
      <c r="M455" s="34"/>
      <c r="N455" s="34"/>
      <c r="O455" s="36"/>
      <c r="P455" s="34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15.75" customHeight="1">
      <c r="A456" s="34"/>
      <c r="B456" s="34"/>
      <c r="C456" s="34"/>
      <c r="D456" s="34"/>
      <c r="E456" s="34"/>
      <c r="F456" s="35"/>
      <c r="G456" s="34"/>
      <c r="H456" s="34"/>
      <c r="I456" s="34"/>
      <c r="J456" s="34"/>
      <c r="K456" s="34"/>
      <c r="L456" s="34"/>
      <c r="M456" s="34"/>
      <c r="N456" s="34"/>
      <c r="O456" s="36"/>
      <c r="P456" s="34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15.75" customHeight="1">
      <c r="A457" s="34"/>
      <c r="B457" s="34"/>
      <c r="C457" s="34"/>
      <c r="D457" s="34"/>
      <c r="E457" s="34"/>
      <c r="F457" s="35"/>
      <c r="G457" s="34"/>
      <c r="H457" s="34"/>
      <c r="I457" s="34"/>
      <c r="J457" s="34"/>
      <c r="K457" s="34"/>
      <c r="L457" s="34"/>
      <c r="M457" s="34"/>
      <c r="N457" s="34"/>
      <c r="O457" s="36"/>
      <c r="P457" s="34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15.75" customHeight="1">
      <c r="A458" s="34"/>
      <c r="B458" s="34"/>
      <c r="C458" s="34"/>
      <c r="D458" s="34"/>
      <c r="E458" s="34"/>
      <c r="F458" s="35"/>
      <c r="G458" s="34"/>
      <c r="H458" s="34"/>
      <c r="I458" s="34"/>
      <c r="J458" s="34"/>
      <c r="K458" s="34"/>
      <c r="L458" s="34"/>
      <c r="M458" s="34"/>
      <c r="N458" s="34"/>
      <c r="O458" s="36"/>
      <c r="P458" s="34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15.75" customHeight="1">
      <c r="A459" s="34"/>
      <c r="B459" s="34"/>
      <c r="C459" s="34"/>
      <c r="D459" s="34"/>
      <c r="E459" s="34"/>
      <c r="F459" s="35"/>
      <c r="G459" s="34"/>
      <c r="H459" s="34"/>
      <c r="I459" s="34"/>
      <c r="J459" s="34"/>
      <c r="K459" s="34"/>
      <c r="L459" s="34"/>
      <c r="M459" s="34"/>
      <c r="N459" s="34"/>
      <c r="O459" s="36"/>
      <c r="P459" s="34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15.75" customHeight="1">
      <c r="A460" s="34"/>
      <c r="B460" s="34"/>
      <c r="C460" s="34"/>
      <c r="D460" s="34"/>
      <c r="E460" s="34"/>
      <c r="F460" s="35"/>
      <c r="G460" s="34"/>
      <c r="H460" s="34"/>
      <c r="I460" s="34"/>
      <c r="J460" s="34"/>
      <c r="K460" s="34"/>
      <c r="L460" s="34"/>
      <c r="M460" s="34"/>
      <c r="N460" s="34"/>
      <c r="O460" s="36"/>
      <c r="P460" s="34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15.75" customHeight="1">
      <c r="A461" s="34"/>
      <c r="B461" s="34"/>
      <c r="C461" s="34"/>
      <c r="D461" s="34"/>
      <c r="E461" s="34"/>
      <c r="F461" s="35"/>
      <c r="G461" s="34"/>
      <c r="H461" s="34"/>
      <c r="I461" s="34"/>
      <c r="J461" s="34"/>
      <c r="K461" s="34"/>
      <c r="L461" s="34"/>
      <c r="M461" s="34"/>
      <c r="N461" s="34"/>
      <c r="O461" s="36"/>
      <c r="P461" s="34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15.75" customHeight="1">
      <c r="A462" s="34"/>
      <c r="B462" s="34"/>
      <c r="C462" s="34"/>
      <c r="D462" s="34"/>
      <c r="E462" s="34"/>
      <c r="F462" s="35"/>
      <c r="G462" s="34"/>
      <c r="H462" s="34"/>
      <c r="I462" s="34"/>
      <c r="J462" s="34"/>
      <c r="K462" s="34"/>
      <c r="L462" s="34"/>
      <c r="M462" s="34"/>
      <c r="N462" s="34"/>
      <c r="O462" s="36"/>
      <c r="P462" s="34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15.75" customHeight="1">
      <c r="A463" s="34"/>
      <c r="B463" s="34"/>
      <c r="C463" s="34"/>
      <c r="D463" s="34"/>
      <c r="E463" s="34"/>
      <c r="F463" s="35"/>
      <c r="G463" s="34"/>
      <c r="H463" s="34"/>
      <c r="I463" s="34"/>
      <c r="J463" s="34"/>
      <c r="K463" s="34"/>
      <c r="L463" s="34"/>
      <c r="M463" s="34"/>
      <c r="N463" s="34"/>
      <c r="O463" s="36"/>
      <c r="P463" s="34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15.75" customHeight="1">
      <c r="A464" s="34"/>
      <c r="B464" s="34"/>
      <c r="C464" s="34"/>
      <c r="D464" s="34"/>
      <c r="E464" s="34"/>
      <c r="F464" s="35"/>
      <c r="G464" s="34"/>
      <c r="H464" s="34"/>
      <c r="I464" s="34"/>
      <c r="J464" s="34"/>
      <c r="K464" s="34"/>
      <c r="L464" s="34"/>
      <c r="M464" s="34"/>
      <c r="N464" s="34"/>
      <c r="O464" s="36"/>
      <c r="P464" s="34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15.75" customHeight="1">
      <c r="A465" s="34"/>
      <c r="B465" s="34"/>
      <c r="C465" s="34"/>
      <c r="D465" s="34"/>
      <c r="E465" s="34"/>
      <c r="F465" s="35"/>
      <c r="G465" s="34"/>
      <c r="H465" s="34"/>
      <c r="I465" s="34"/>
      <c r="J465" s="34"/>
      <c r="K465" s="34"/>
      <c r="L465" s="34"/>
      <c r="M465" s="34"/>
      <c r="N465" s="34"/>
      <c r="O465" s="36"/>
      <c r="P465" s="34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15.75" customHeight="1">
      <c r="A466" s="34"/>
      <c r="B466" s="34"/>
      <c r="C466" s="34"/>
      <c r="D466" s="34"/>
      <c r="E466" s="34"/>
      <c r="F466" s="35"/>
      <c r="G466" s="34"/>
      <c r="H466" s="34"/>
      <c r="I466" s="34"/>
      <c r="J466" s="34"/>
      <c r="K466" s="34"/>
      <c r="L466" s="34"/>
      <c r="M466" s="34"/>
      <c r="N466" s="34"/>
      <c r="O466" s="36"/>
      <c r="P466" s="34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15.75" customHeight="1">
      <c r="A467" s="34"/>
      <c r="B467" s="34"/>
      <c r="C467" s="34"/>
      <c r="D467" s="34"/>
      <c r="E467" s="34"/>
      <c r="F467" s="35"/>
      <c r="G467" s="34"/>
      <c r="H467" s="34"/>
      <c r="I467" s="34"/>
      <c r="J467" s="34"/>
      <c r="K467" s="34"/>
      <c r="L467" s="34"/>
      <c r="M467" s="34"/>
      <c r="N467" s="34"/>
      <c r="O467" s="36"/>
      <c r="P467" s="34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15.75" customHeight="1">
      <c r="A468" s="34"/>
      <c r="B468" s="34"/>
      <c r="C468" s="34"/>
      <c r="D468" s="34"/>
      <c r="E468" s="34"/>
      <c r="F468" s="35"/>
      <c r="G468" s="34"/>
      <c r="H468" s="34"/>
      <c r="I468" s="34"/>
      <c r="J468" s="34"/>
      <c r="K468" s="34"/>
      <c r="L468" s="34"/>
      <c r="M468" s="34"/>
      <c r="N468" s="34"/>
      <c r="O468" s="36"/>
      <c r="P468" s="34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15.75" customHeight="1">
      <c r="A469" s="34"/>
      <c r="B469" s="34"/>
      <c r="C469" s="34"/>
      <c r="D469" s="34"/>
      <c r="E469" s="34"/>
      <c r="F469" s="35"/>
      <c r="G469" s="34"/>
      <c r="H469" s="34"/>
      <c r="I469" s="34"/>
      <c r="J469" s="34"/>
      <c r="K469" s="34"/>
      <c r="L469" s="34"/>
      <c r="M469" s="34"/>
      <c r="N469" s="34"/>
      <c r="O469" s="36"/>
      <c r="P469" s="34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15.75" customHeight="1">
      <c r="A470" s="34"/>
      <c r="B470" s="34"/>
      <c r="C470" s="34"/>
      <c r="D470" s="34"/>
      <c r="E470" s="34"/>
      <c r="F470" s="35"/>
      <c r="G470" s="34"/>
      <c r="H470" s="34"/>
      <c r="I470" s="34"/>
      <c r="J470" s="34"/>
      <c r="K470" s="34"/>
      <c r="L470" s="34"/>
      <c r="M470" s="34"/>
      <c r="N470" s="34"/>
      <c r="O470" s="36"/>
      <c r="P470" s="34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15.75" customHeight="1">
      <c r="A471" s="34"/>
      <c r="B471" s="34"/>
      <c r="C471" s="34"/>
      <c r="D471" s="34"/>
      <c r="E471" s="34"/>
      <c r="F471" s="35"/>
      <c r="G471" s="34"/>
      <c r="H471" s="34"/>
      <c r="I471" s="34"/>
      <c r="J471" s="34"/>
      <c r="K471" s="34"/>
      <c r="L471" s="34"/>
      <c r="M471" s="34"/>
      <c r="N471" s="34"/>
      <c r="O471" s="36"/>
      <c r="P471" s="34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15.75" customHeight="1">
      <c r="A472" s="34"/>
      <c r="B472" s="34"/>
      <c r="C472" s="34"/>
      <c r="D472" s="34"/>
      <c r="E472" s="34"/>
      <c r="F472" s="35"/>
      <c r="G472" s="34"/>
      <c r="H472" s="34"/>
      <c r="I472" s="34"/>
      <c r="J472" s="34"/>
      <c r="K472" s="34"/>
      <c r="L472" s="34"/>
      <c r="M472" s="34"/>
      <c r="N472" s="34"/>
      <c r="O472" s="36"/>
      <c r="P472" s="34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15.75" customHeight="1">
      <c r="A473" s="34"/>
      <c r="B473" s="34"/>
      <c r="C473" s="34"/>
      <c r="D473" s="34"/>
      <c r="E473" s="34"/>
      <c r="F473" s="35"/>
      <c r="G473" s="34"/>
      <c r="H473" s="34"/>
      <c r="I473" s="34"/>
      <c r="J473" s="34"/>
      <c r="K473" s="34"/>
      <c r="L473" s="34"/>
      <c r="M473" s="34"/>
      <c r="N473" s="34"/>
      <c r="O473" s="36"/>
      <c r="P473" s="34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15.75" customHeight="1">
      <c r="A474" s="34"/>
      <c r="B474" s="34"/>
      <c r="C474" s="34"/>
      <c r="D474" s="34"/>
      <c r="E474" s="34"/>
      <c r="F474" s="35"/>
      <c r="G474" s="34"/>
      <c r="H474" s="34"/>
      <c r="I474" s="34"/>
      <c r="J474" s="34"/>
      <c r="K474" s="34"/>
      <c r="L474" s="34"/>
      <c r="M474" s="34"/>
      <c r="N474" s="34"/>
      <c r="O474" s="36"/>
      <c r="P474" s="34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15.75" customHeight="1">
      <c r="A475" s="34"/>
      <c r="B475" s="34"/>
      <c r="C475" s="34"/>
      <c r="D475" s="34"/>
      <c r="E475" s="34"/>
      <c r="F475" s="35"/>
      <c r="G475" s="34"/>
      <c r="H475" s="34"/>
      <c r="I475" s="34"/>
      <c r="J475" s="34"/>
      <c r="K475" s="34"/>
      <c r="L475" s="34"/>
      <c r="M475" s="34"/>
      <c r="N475" s="34"/>
      <c r="O475" s="36"/>
      <c r="P475" s="34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15.75" customHeight="1">
      <c r="A476" s="34"/>
      <c r="B476" s="34"/>
      <c r="C476" s="34"/>
      <c r="D476" s="34"/>
      <c r="E476" s="34"/>
      <c r="F476" s="35"/>
      <c r="G476" s="34"/>
      <c r="H476" s="34"/>
      <c r="I476" s="34"/>
      <c r="J476" s="34"/>
      <c r="K476" s="34"/>
      <c r="L476" s="34"/>
      <c r="M476" s="34"/>
      <c r="N476" s="34"/>
      <c r="O476" s="36"/>
      <c r="P476" s="34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15.75" customHeight="1">
      <c r="A477" s="34"/>
      <c r="B477" s="34"/>
      <c r="C477" s="34"/>
      <c r="D477" s="34"/>
      <c r="E477" s="34"/>
      <c r="F477" s="35"/>
      <c r="G477" s="34"/>
      <c r="H477" s="34"/>
      <c r="I477" s="34"/>
      <c r="J477" s="34"/>
      <c r="K477" s="34"/>
      <c r="L477" s="34"/>
      <c r="M477" s="34"/>
      <c r="N477" s="34"/>
      <c r="O477" s="36"/>
      <c r="P477" s="34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15.75" customHeight="1">
      <c r="A478" s="34"/>
      <c r="B478" s="34"/>
      <c r="C478" s="34"/>
      <c r="D478" s="34"/>
      <c r="E478" s="34"/>
      <c r="F478" s="35"/>
      <c r="G478" s="34"/>
      <c r="H478" s="34"/>
      <c r="I478" s="34"/>
      <c r="J478" s="34"/>
      <c r="K478" s="34"/>
      <c r="L478" s="34"/>
      <c r="M478" s="34"/>
      <c r="N478" s="34"/>
      <c r="O478" s="36"/>
      <c r="P478" s="34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15.75" customHeight="1">
      <c r="A479" s="34"/>
      <c r="B479" s="34"/>
      <c r="C479" s="34"/>
      <c r="D479" s="34"/>
      <c r="E479" s="34"/>
      <c r="F479" s="35"/>
      <c r="G479" s="34"/>
      <c r="H479" s="34"/>
      <c r="I479" s="34"/>
      <c r="J479" s="34"/>
      <c r="K479" s="34"/>
      <c r="L479" s="34"/>
      <c r="M479" s="34"/>
      <c r="N479" s="34"/>
      <c r="O479" s="36"/>
      <c r="P479" s="34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15.75" customHeight="1">
      <c r="A480" s="34"/>
      <c r="B480" s="34"/>
      <c r="C480" s="34"/>
      <c r="D480" s="34"/>
      <c r="E480" s="34"/>
      <c r="F480" s="35"/>
      <c r="G480" s="34"/>
      <c r="H480" s="34"/>
      <c r="I480" s="34"/>
      <c r="J480" s="34"/>
      <c r="K480" s="34"/>
      <c r="L480" s="34"/>
      <c r="M480" s="34"/>
      <c r="N480" s="34"/>
      <c r="O480" s="36"/>
      <c r="P480" s="34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15.75" customHeight="1">
      <c r="A481" s="34"/>
      <c r="B481" s="34"/>
      <c r="C481" s="34"/>
      <c r="D481" s="34"/>
      <c r="E481" s="34"/>
      <c r="F481" s="35"/>
      <c r="G481" s="34"/>
      <c r="H481" s="34"/>
      <c r="I481" s="34"/>
      <c r="J481" s="34"/>
      <c r="K481" s="34"/>
      <c r="L481" s="34"/>
      <c r="M481" s="34"/>
      <c r="N481" s="34"/>
      <c r="O481" s="36"/>
      <c r="P481" s="34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15.75" customHeight="1">
      <c r="A482" s="34"/>
      <c r="B482" s="34"/>
      <c r="C482" s="34"/>
      <c r="D482" s="34"/>
      <c r="E482" s="34"/>
      <c r="F482" s="35"/>
      <c r="G482" s="34"/>
      <c r="H482" s="34"/>
      <c r="I482" s="34"/>
      <c r="J482" s="34"/>
      <c r="K482" s="34"/>
      <c r="L482" s="34"/>
      <c r="M482" s="34"/>
      <c r="N482" s="34"/>
      <c r="O482" s="36"/>
      <c r="P482" s="34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15.75" customHeight="1">
      <c r="A483" s="34"/>
      <c r="B483" s="34"/>
      <c r="C483" s="34"/>
      <c r="D483" s="34"/>
      <c r="E483" s="34"/>
      <c r="F483" s="35"/>
      <c r="G483" s="34"/>
      <c r="H483" s="34"/>
      <c r="I483" s="34"/>
      <c r="J483" s="34"/>
      <c r="K483" s="34"/>
      <c r="L483" s="34"/>
      <c r="M483" s="34"/>
      <c r="N483" s="34"/>
      <c r="O483" s="36"/>
      <c r="P483" s="34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15.75" customHeight="1">
      <c r="A484" s="34"/>
      <c r="B484" s="34"/>
      <c r="C484" s="34"/>
      <c r="D484" s="34"/>
      <c r="E484" s="34"/>
      <c r="F484" s="35"/>
      <c r="G484" s="34"/>
      <c r="H484" s="34"/>
      <c r="I484" s="34"/>
      <c r="J484" s="34"/>
      <c r="K484" s="34"/>
      <c r="L484" s="34"/>
      <c r="M484" s="34"/>
      <c r="N484" s="34"/>
      <c r="O484" s="36"/>
      <c r="P484" s="34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15.75" customHeight="1">
      <c r="A485" s="34"/>
      <c r="B485" s="34"/>
      <c r="C485" s="34"/>
      <c r="D485" s="34"/>
      <c r="E485" s="34"/>
      <c r="F485" s="35"/>
      <c r="G485" s="34"/>
      <c r="H485" s="34"/>
      <c r="I485" s="34"/>
      <c r="J485" s="34"/>
      <c r="K485" s="34"/>
      <c r="L485" s="34"/>
      <c r="M485" s="34"/>
      <c r="N485" s="34"/>
      <c r="O485" s="36"/>
      <c r="P485" s="34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15.75" customHeight="1">
      <c r="A486" s="34"/>
      <c r="B486" s="34"/>
      <c r="C486" s="34"/>
      <c r="D486" s="34"/>
      <c r="E486" s="34"/>
      <c r="F486" s="35"/>
      <c r="G486" s="34"/>
      <c r="H486" s="34"/>
      <c r="I486" s="34"/>
      <c r="J486" s="34"/>
      <c r="K486" s="34"/>
      <c r="L486" s="34"/>
      <c r="M486" s="34"/>
      <c r="N486" s="34"/>
      <c r="O486" s="36"/>
      <c r="P486" s="34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15.75" customHeight="1">
      <c r="A487" s="34"/>
      <c r="B487" s="34"/>
      <c r="C487" s="34"/>
      <c r="D487" s="34"/>
      <c r="E487" s="34"/>
      <c r="F487" s="35"/>
      <c r="G487" s="34"/>
      <c r="H487" s="34"/>
      <c r="I487" s="34"/>
      <c r="J487" s="34"/>
      <c r="K487" s="34"/>
      <c r="L487" s="34"/>
      <c r="M487" s="34"/>
      <c r="N487" s="34"/>
      <c r="O487" s="36"/>
      <c r="P487" s="34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15.75" customHeight="1">
      <c r="A488" s="34"/>
      <c r="B488" s="34"/>
      <c r="C488" s="34"/>
      <c r="D488" s="34"/>
      <c r="E488" s="34"/>
      <c r="F488" s="35"/>
      <c r="G488" s="34"/>
      <c r="H488" s="34"/>
      <c r="I488" s="34"/>
      <c r="J488" s="34"/>
      <c r="K488" s="34"/>
      <c r="L488" s="34"/>
      <c r="M488" s="34"/>
      <c r="N488" s="34"/>
      <c r="O488" s="36"/>
      <c r="P488" s="34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15.75" customHeight="1">
      <c r="A489" s="34"/>
      <c r="B489" s="34"/>
      <c r="C489" s="34"/>
      <c r="D489" s="34"/>
      <c r="E489" s="34"/>
      <c r="F489" s="35"/>
      <c r="G489" s="34"/>
      <c r="H489" s="34"/>
      <c r="I489" s="34"/>
      <c r="J489" s="34"/>
      <c r="K489" s="34"/>
      <c r="L489" s="34"/>
      <c r="M489" s="34"/>
      <c r="N489" s="34"/>
      <c r="O489" s="36"/>
      <c r="P489" s="34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15.75" customHeight="1">
      <c r="A490" s="34"/>
      <c r="B490" s="34"/>
      <c r="C490" s="34"/>
      <c r="D490" s="34"/>
      <c r="E490" s="34"/>
      <c r="F490" s="35"/>
      <c r="G490" s="34"/>
      <c r="H490" s="34"/>
      <c r="I490" s="34"/>
      <c r="J490" s="34"/>
      <c r="K490" s="34"/>
      <c r="L490" s="34"/>
      <c r="M490" s="34"/>
      <c r="N490" s="34"/>
      <c r="O490" s="36"/>
      <c r="P490" s="34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15.75" customHeight="1">
      <c r="A491" s="34"/>
      <c r="B491" s="34"/>
      <c r="C491" s="34"/>
      <c r="D491" s="34"/>
      <c r="E491" s="34"/>
      <c r="F491" s="35"/>
      <c r="G491" s="34"/>
      <c r="H491" s="34"/>
      <c r="I491" s="34"/>
      <c r="J491" s="34"/>
      <c r="K491" s="34"/>
      <c r="L491" s="34"/>
      <c r="M491" s="34"/>
      <c r="N491" s="34"/>
      <c r="O491" s="36"/>
      <c r="P491" s="34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15.75" customHeight="1">
      <c r="A492" s="34"/>
      <c r="B492" s="34"/>
      <c r="C492" s="34"/>
      <c r="D492" s="34"/>
      <c r="E492" s="34"/>
      <c r="F492" s="35"/>
      <c r="G492" s="34"/>
      <c r="H492" s="34"/>
      <c r="I492" s="34"/>
      <c r="J492" s="34"/>
      <c r="K492" s="34"/>
      <c r="L492" s="34"/>
      <c r="M492" s="34"/>
      <c r="N492" s="34"/>
      <c r="O492" s="36"/>
      <c r="P492" s="34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15.75" customHeight="1">
      <c r="A493" s="34"/>
      <c r="B493" s="34"/>
      <c r="C493" s="34"/>
      <c r="D493" s="34"/>
      <c r="E493" s="34"/>
      <c r="F493" s="35"/>
      <c r="G493" s="34"/>
      <c r="H493" s="34"/>
      <c r="I493" s="34"/>
      <c r="J493" s="34"/>
      <c r="K493" s="34"/>
      <c r="L493" s="34"/>
      <c r="M493" s="34"/>
      <c r="N493" s="34"/>
      <c r="O493" s="36"/>
      <c r="P493" s="34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15.75" customHeight="1">
      <c r="A494" s="34"/>
      <c r="B494" s="34"/>
      <c r="C494" s="34"/>
      <c r="D494" s="34"/>
      <c r="E494" s="34"/>
      <c r="F494" s="35"/>
      <c r="G494" s="34"/>
      <c r="H494" s="34"/>
      <c r="I494" s="34"/>
      <c r="J494" s="34"/>
      <c r="K494" s="34"/>
      <c r="L494" s="34"/>
      <c r="M494" s="34"/>
      <c r="N494" s="34"/>
      <c r="O494" s="36"/>
      <c r="P494" s="34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15.75" customHeight="1">
      <c r="A495" s="34"/>
      <c r="B495" s="34"/>
      <c r="C495" s="34"/>
      <c r="D495" s="34"/>
      <c r="E495" s="34"/>
      <c r="F495" s="35"/>
      <c r="G495" s="34"/>
      <c r="H495" s="34"/>
      <c r="I495" s="34"/>
      <c r="J495" s="34"/>
      <c r="K495" s="34"/>
      <c r="L495" s="34"/>
      <c r="M495" s="34"/>
      <c r="N495" s="34"/>
      <c r="O495" s="36"/>
      <c r="P495" s="34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15.75" customHeight="1">
      <c r="A496" s="34"/>
      <c r="B496" s="34"/>
      <c r="C496" s="34"/>
      <c r="D496" s="34"/>
      <c r="E496" s="34"/>
      <c r="F496" s="35"/>
      <c r="G496" s="34"/>
      <c r="H496" s="34"/>
      <c r="I496" s="34"/>
      <c r="J496" s="34"/>
      <c r="K496" s="34"/>
      <c r="L496" s="34"/>
      <c r="M496" s="34"/>
      <c r="N496" s="34"/>
      <c r="O496" s="36"/>
      <c r="P496" s="34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15.75" customHeight="1">
      <c r="A497" s="34"/>
      <c r="B497" s="34"/>
      <c r="C497" s="34"/>
      <c r="D497" s="34"/>
      <c r="E497" s="34"/>
      <c r="F497" s="35"/>
      <c r="G497" s="34"/>
      <c r="H497" s="34"/>
      <c r="I497" s="34"/>
      <c r="J497" s="34"/>
      <c r="K497" s="34"/>
      <c r="L497" s="34"/>
      <c r="M497" s="34"/>
      <c r="N497" s="34"/>
      <c r="O497" s="36"/>
      <c r="P497" s="34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15.75" customHeight="1">
      <c r="A498" s="34"/>
      <c r="B498" s="34"/>
      <c r="C498" s="34"/>
      <c r="D498" s="34"/>
      <c r="E498" s="34"/>
      <c r="F498" s="35"/>
      <c r="G498" s="34"/>
      <c r="H498" s="34"/>
      <c r="I498" s="34"/>
      <c r="J498" s="34"/>
      <c r="K498" s="34"/>
      <c r="L498" s="34"/>
      <c r="M498" s="34"/>
      <c r="N498" s="34"/>
      <c r="O498" s="36"/>
      <c r="P498" s="34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15.75" customHeight="1">
      <c r="A499" s="34"/>
      <c r="B499" s="34"/>
      <c r="C499" s="34"/>
      <c r="D499" s="34"/>
      <c r="E499" s="34"/>
      <c r="F499" s="35"/>
      <c r="G499" s="34"/>
      <c r="H499" s="34"/>
      <c r="I499" s="34"/>
      <c r="J499" s="34"/>
      <c r="K499" s="34"/>
      <c r="L499" s="34"/>
      <c r="M499" s="34"/>
      <c r="N499" s="34"/>
      <c r="O499" s="36"/>
      <c r="P499" s="34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15.75" customHeight="1">
      <c r="A500" s="34"/>
      <c r="B500" s="34"/>
      <c r="C500" s="34"/>
      <c r="D500" s="34"/>
      <c r="E500" s="34"/>
      <c r="F500" s="35"/>
      <c r="G500" s="34"/>
      <c r="H500" s="34"/>
      <c r="I500" s="34"/>
      <c r="J500" s="34"/>
      <c r="K500" s="34"/>
      <c r="L500" s="34"/>
      <c r="M500" s="34"/>
      <c r="N500" s="34"/>
      <c r="O500" s="36"/>
      <c r="P500" s="34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15.75" customHeight="1">
      <c r="A501" s="34"/>
      <c r="B501" s="34"/>
      <c r="C501" s="34"/>
      <c r="D501" s="34"/>
      <c r="E501" s="34"/>
      <c r="F501" s="35"/>
      <c r="G501" s="34"/>
      <c r="H501" s="34"/>
      <c r="I501" s="34"/>
      <c r="J501" s="34"/>
      <c r="K501" s="34"/>
      <c r="L501" s="34"/>
      <c r="M501" s="34"/>
      <c r="N501" s="34"/>
      <c r="O501" s="36"/>
      <c r="P501" s="34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15.75" customHeight="1">
      <c r="A502" s="34"/>
      <c r="B502" s="34"/>
      <c r="C502" s="34"/>
      <c r="D502" s="34"/>
      <c r="E502" s="34"/>
      <c r="F502" s="35"/>
      <c r="G502" s="34"/>
      <c r="H502" s="34"/>
      <c r="I502" s="34"/>
      <c r="J502" s="34"/>
      <c r="K502" s="34"/>
      <c r="L502" s="34"/>
      <c r="M502" s="34"/>
      <c r="N502" s="34"/>
      <c r="O502" s="36"/>
      <c r="P502" s="34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15.75" customHeight="1">
      <c r="A503" s="34"/>
      <c r="B503" s="34"/>
      <c r="C503" s="34"/>
      <c r="D503" s="34"/>
      <c r="E503" s="34"/>
      <c r="F503" s="35"/>
      <c r="G503" s="34"/>
      <c r="H503" s="34"/>
      <c r="I503" s="34"/>
      <c r="J503" s="34"/>
      <c r="K503" s="34"/>
      <c r="L503" s="34"/>
      <c r="M503" s="34"/>
      <c r="N503" s="34"/>
      <c r="O503" s="36"/>
      <c r="P503" s="34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15.75" customHeight="1">
      <c r="A504" s="34"/>
      <c r="B504" s="34"/>
      <c r="C504" s="34"/>
      <c r="D504" s="34"/>
      <c r="E504" s="34"/>
      <c r="F504" s="35"/>
      <c r="G504" s="34"/>
      <c r="H504" s="34"/>
      <c r="I504" s="34"/>
      <c r="J504" s="34"/>
      <c r="K504" s="34"/>
      <c r="L504" s="34"/>
      <c r="M504" s="34"/>
      <c r="N504" s="34"/>
      <c r="O504" s="36"/>
      <c r="P504" s="34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15.75" customHeight="1">
      <c r="A505" s="34"/>
      <c r="B505" s="34"/>
      <c r="C505" s="34"/>
      <c r="D505" s="34"/>
      <c r="E505" s="34"/>
      <c r="F505" s="35"/>
      <c r="G505" s="34"/>
      <c r="H505" s="34"/>
      <c r="I505" s="34"/>
      <c r="J505" s="34"/>
      <c r="K505" s="34"/>
      <c r="L505" s="34"/>
      <c r="M505" s="34"/>
      <c r="N505" s="34"/>
      <c r="O505" s="36"/>
      <c r="P505" s="34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15.75" customHeight="1">
      <c r="A506" s="34"/>
      <c r="B506" s="34"/>
      <c r="C506" s="34"/>
      <c r="D506" s="34"/>
      <c r="E506" s="34"/>
      <c r="F506" s="35"/>
      <c r="G506" s="34"/>
      <c r="H506" s="34"/>
      <c r="I506" s="34"/>
      <c r="J506" s="34"/>
      <c r="K506" s="34"/>
      <c r="L506" s="34"/>
      <c r="M506" s="34"/>
      <c r="N506" s="34"/>
      <c r="O506" s="36"/>
      <c r="P506" s="34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15.75" customHeight="1">
      <c r="A507" s="34"/>
      <c r="B507" s="34"/>
      <c r="C507" s="34"/>
      <c r="D507" s="34"/>
      <c r="E507" s="34"/>
      <c r="F507" s="35"/>
      <c r="G507" s="34"/>
      <c r="H507" s="34"/>
      <c r="I507" s="34"/>
      <c r="J507" s="34"/>
      <c r="K507" s="34"/>
      <c r="L507" s="34"/>
      <c r="M507" s="34"/>
      <c r="N507" s="34"/>
      <c r="O507" s="36"/>
      <c r="P507" s="34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15.75" customHeight="1">
      <c r="A508" s="34"/>
      <c r="B508" s="34"/>
      <c r="C508" s="34"/>
      <c r="D508" s="34"/>
      <c r="E508" s="34"/>
      <c r="F508" s="35"/>
      <c r="G508" s="34"/>
      <c r="H508" s="34"/>
      <c r="I508" s="34"/>
      <c r="J508" s="34"/>
      <c r="K508" s="34"/>
      <c r="L508" s="34"/>
      <c r="M508" s="34"/>
      <c r="N508" s="34"/>
      <c r="O508" s="36"/>
      <c r="P508" s="34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15.75" customHeight="1">
      <c r="A509" s="34"/>
      <c r="B509" s="34"/>
      <c r="C509" s="34"/>
      <c r="D509" s="34"/>
      <c r="E509" s="34"/>
      <c r="F509" s="35"/>
      <c r="G509" s="34"/>
      <c r="H509" s="34"/>
      <c r="I509" s="34"/>
      <c r="J509" s="34"/>
      <c r="K509" s="34"/>
      <c r="L509" s="34"/>
      <c r="M509" s="34"/>
      <c r="N509" s="34"/>
      <c r="O509" s="36"/>
      <c r="P509" s="34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15.75" customHeight="1">
      <c r="A510" s="34"/>
      <c r="B510" s="34"/>
      <c r="C510" s="34"/>
      <c r="D510" s="34"/>
      <c r="E510" s="34"/>
      <c r="F510" s="35"/>
      <c r="G510" s="34"/>
      <c r="H510" s="34"/>
      <c r="I510" s="34"/>
      <c r="J510" s="34"/>
      <c r="K510" s="34"/>
      <c r="L510" s="34"/>
      <c r="M510" s="34"/>
      <c r="N510" s="34"/>
      <c r="O510" s="36"/>
      <c r="P510" s="34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15.75" customHeight="1">
      <c r="A511" s="34"/>
      <c r="B511" s="34"/>
      <c r="C511" s="34"/>
      <c r="D511" s="34"/>
      <c r="E511" s="34"/>
      <c r="F511" s="35"/>
      <c r="G511" s="34"/>
      <c r="H511" s="34"/>
      <c r="I511" s="34"/>
      <c r="J511" s="34"/>
      <c r="K511" s="34"/>
      <c r="L511" s="34"/>
      <c r="M511" s="34"/>
      <c r="N511" s="34"/>
      <c r="O511" s="36"/>
      <c r="P511" s="34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15.75" customHeight="1">
      <c r="A512" s="34"/>
      <c r="B512" s="34"/>
      <c r="C512" s="34"/>
      <c r="D512" s="34"/>
      <c r="E512" s="34"/>
      <c r="F512" s="35"/>
      <c r="G512" s="34"/>
      <c r="H512" s="34"/>
      <c r="I512" s="34"/>
      <c r="J512" s="34"/>
      <c r="K512" s="34"/>
      <c r="L512" s="34"/>
      <c r="M512" s="34"/>
      <c r="N512" s="34"/>
      <c r="O512" s="36"/>
      <c r="P512" s="34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15.75" customHeight="1">
      <c r="A513" s="34"/>
      <c r="B513" s="34"/>
      <c r="C513" s="34"/>
      <c r="D513" s="34"/>
      <c r="E513" s="34"/>
      <c r="F513" s="35"/>
      <c r="G513" s="34"/>
      <c r="H513" s="34"/>
      <c r="I513" s="34"/>
      <c r="J513" s="34"/>
      <c r="K513" s="34"/>
      <c r="L513" s="34"/>
      <c r="M513" s="34"/>
      <c r="N513" s="34"/>
      <c r="O513" s="36"/>
      <c r="P513" s="34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15.75" customHeight="1">
      <c r="A514" s="34"/>
      <c r="B514" s="34"/>
      <c r="C514" s="34"/>
      <c r="D514" s="34"/>
      <c r="E514" s="34"/>
      <c r="F514" s="35"/>
      <c r="G514" s="34"/>
      <c r="H514" s="34"/>
      <c r="I514" s="34"/>
      <c r="J514" s="34"/>
      <c r="K514" s="34"/>
      <c r="L514" s="34"/>
      <c r="M514" s="34"/>
      <c r="N514" s="34"/>
      <c r="O514" s="36"/>
      <c r="P514" s="34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15.75" customHeight="1">
      <c r="A515" s="34"/>
      <c r="B515" s="34"/>
      <c r="C515" s="34"/>
      <c r="D515" s="34"/>
      <c r="E515" s="34"/>
      <c r="F515" s="35"/>
      <c r="G515" s="34"/>
      <c r="H515" s="34"/>
      <c r="I515" s="34"/>
      <c r="J515" s="34"/>
      <c r="K515" s="34"/>
      <c r="L515" s="34"/>
      <c r="M515" s="34"/>
      <c r="N515" s="34"/>
      <c r="O515" s="36"/>
      <c r="P515" s="34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15.75" customHeight="1">
      <c r="A516" s="34"/>
      <c r="B516" s="34"/>
      <c r="C516" s="34"/>
      <c r="D516" s="34"/>
      <c r="E516" s="34"/>
      <c r="F516" s="35"/>
      <c r="G516" s="34"/>
      <c r="H516" s="34"/>
      <c r="I516" s="34"/>
      <c r="J516" s="34"/>
      <c r="K516" s="34"/>
      <c r="L516" s="34"/>
      <c r="M516" s="34"/>
      <c r="N516" s="34"/>
      <c r="O516" s="36"/>
      <c r="P516" s="34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15.75" customHeight="1">
      <c r="A517" s="34"/>
      <c r="B517" s="34"/>
      <c r="C517" s="34"/>
      <c r="D517" s="34"/>
      <c r="E517" s="34"/>
      <c r="F517" s="35"/>
      <c r="G517" s="34"/>
      <c r="H517" s="34"/>
      <c r="I517" s="34"/>
      <c r="J517" s="34"/>
      <c r="K517" s="34"/>
      <c r="L517" s="34"/>
      <c r="M517" s="34"/>
      <c r="N517" s="34"/>
      <c r="O517" s="36"/>
      <c r="P517" s="34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15.75" customHeight="1">
      <c r="A518" s="34"/>
      <c r="B518" s="34"/>
      <c r="C518" s="34"/>
      <c r="D518" s="34"/>
      <c r="E518" s="34"/>
      <c r="F518" s="35"/>
      <c r="G518" s="34"/>
      <c r="H518" s="34"/>
      <c r="I518" s="34"/>
      <c r="J518" s="34"/>
      <c r="K518" s="34"/>
      <c r="L518" s="34"/>
      <c r="M518" s="34"/>
      <c r="N518" s="34"/>
      <c r="O518" s="36"/>
      <c r="P518" s="34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15.75" customHeight="1">
      <c r="A519" s="34"/>
      <c r="B519" s="34"/>
      <c r="C519" s="34"/>
      <c r="D519" s="34"/>
      <c r="E519" s="34"/>
      <c r="F519" s="35"/>
      <c r="G519" s="34"/>
      <c r="H519" s="34"/>
      <c r="I519" s="34"/>
      <c r="J519" s="34"/>
      <c r="K519" s="34"/>
      <c r="L519" s="34"/>
      <c r="M519" s="34"/>
      <c r="N519" s="34"/>
      <c r="O519" s="36"/>
      <c r="P519" s="34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15.75" customHeight="1">
      <c r="A520" s="34"/>
      <c r="B520" s="34"/>
      <c r="C520" s="34"/>
      <c r="D520" s="34"/>
      <c r="E520" s="34"/>
      <c r="F520" s="35"/>
      <c r="G520" s="34"/>
      <c r="H520" s="34"/>
      <c r="I520" s="34"/>
      <c r="J520" s="34"/>
      <c r="K520" s="34"/>
      <c r="L520" s="34"/>
      <c r="M520" s="34"/>
      <c r="N520" s="34"/>
      <c r="O520" s="36"/>
      <c r="P520" s="34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15.75" customHeight="1">
      <c r="A521" s="34"/>
      <c r="B521" s="34"/>
      <c r="C521" s="34"/>
      <c r="D521" s="34"/>
      <c r="E521" s="34"/>
      <c r="F521" s="35"/>
      <c r="G521" s="34"/>
      <c r="H521" s="34"/>
      <c r="I521" s="34"/>
      <c r="J521" s="34"/>
      <c r="K521" s="34"/>
      <c r="L521" s="34"/>
      <c r="M521" s="34"/>
      <c r="N521" s="34"/>
      <c r="O521" s="36"/>
      <c r="P521" s="34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15.75" customHeight="1">
      <c r="A522" s="34"/>
      <c r="B522" s="34"/>
      <c r="C522" s="34"/>
      <c r="D522" s="34"/>
      <c r="E522" s="34"/>
      <c r="F522" s="35"/>
      <c r="G522" s="34"/>
      <c r="H522" s="34"/>
      <c r="I522" s="34"/>
      <c r="J522" s="34"/>
      <c r="K522" s="34"/>
      <c r="L522" s="34"/>
      <c r="M522" s="34"/>
      <c r="N522" s="34"/>
      <c r="O522" s="36"/>
      <c r="P522" s="34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15.75" customHeight="1">
      <c r="A523" s="34"/>
      <c r="B523" s="34"/>
      <c r="C523" s="34"/>
      <c r="D523" s="34"/>
      <c r="E523" s="34"/>
      <c r="F523" s="35"/>
      <c r="G523" s="34"/>
      <c r="H523" s="34"/>
      <c r="I523" s="34"/>
      <c r="J523" s="34"/>
      <c r="K523" s="34"/>
      <c r="L523" s="34"/>
      <c r="M523" s="34"/>
      <c r="N523" s="34"/>
      <c r="O523" s="36"/>
      <c r="P523" s="34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15.75" customHeight="1">
      <c r="A524" s="34"/>
      <c r="B524" s="34"/>
      <c r="C524" s="34"/>
      <c r="D524" s="34"/>
      <c r="E524" s="34"/>
      <c r="F524" s="35"/>
      <c r="G524" s="34"/>
      <c r="H524" s="34"/>
      <c r="I524" s="34"/>
      <c r="J524" s="34"/>
      <c r="K524" s="34"/>
      <c r="L524" s="34"/>
      <c r="M524" s="34"/>
      <c r="N524" s="34"/>
      <c r="O524" s="36"/>
      <c r="P524" s="34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15.75" customHeight="1">
      <c r="A525" s="34"/>
      <c r="B525" s="34"/>
      <c r="C525" s="34"/>
      <c r="D525" s="34"/>
      <c r="E525" s="34"/>
      <c r="F525" s="35"/>
      <c r="G525" s="34"/>
      <c r="H525" s="34"/>
      <c r="I525" s="34"/>
      <c r="J525" s="34"/>
      <c r="K525" s="34"/>
      <c r="L525" s="34"/>
      <c r="M525" s="34"/>
      <c r="N525" s="34"/>
      <c r="O525" s="36"/>
      <c r="P525" s="34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15.75" customHeight="1">
      <c r="A526" s="34"/>
      <c r="B526" s="34"/>
      <c r="C526" s="34"/>
      <c r="D526" s="34"/>
      <c r="E526" s="34"/>
      <c r="F526" s="35"/>
      <c r="G526" s="34"/>
      <c r="H526" s="34"/>
      <c r="I526" s="34"/>
      <c r="J526" s="34"/>
      <c r="K526" s="34"/>
      <c r="L526" s="34"/>
      <c r="M526" s="34"/>
      <c r="N526" s="34"/>
      <c r="O526" s="36"/>
      <c r="P526" s="34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15.75" customHeight="1">
      <c r="A527" s="34"/>
      <c r="B527" s="34"/>
      <c r="C527" s="34"/>
      <c r="D527" s="34"/>
      <c r="E527" s="34"/>
      <c r="F527" s="35"/>
      <c r="G527" s="34"/>
      <c r="H527" s="34"/>
      <c r="I527" s="34"/>
      <c r="J527" s="34"/>
      <c r="K527" s="34"/>
      <c r="L527" s="34"/>
      <c r="M527" s="34"/>
      <c r="N527" s="34"/>
      <c r="O527" s="36"/>
      <c r="P527" s="34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15.75" customHeight="1">
      <c r="A528" s="34"/>
      <c r="B528" s="34"/>
      <c r="C528" s="34"/>
      <c r="D528" s="34"/>
      <c r="E528" s="34"/>
      <c r="F528" s="35"/>
      <c r="G528" s="34"/>
      <c r="H528" s="34"/>
      <c r="I528" s="34"/>
      <c r="J528" s="34"/>
      <c r="K528" s="34"/>
      <c r="L528" s="34"/>
      <c r="M528" s="34"/>
      <c r="N528" s="34"/>
      <c r="O528" s="36"/>
      <c r="P528" s="34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15.75" customHeight="1">
      <c r="A529" s="34"/>
      <c r="B529" s="34"/>
      <c r="C529" s="34"/>
      <c r="D529" s="34"/>
      <c r="E529" s="34"/>
      <c r="F529" s="35"/>
      <c r="G529" s="34"/>
      <c r="H529" s="34"/>
      <c r="I529" s="34"/>
      <c r="J529" s="34"/>
      <c r="K529" s="34"/>
      <c r="L529" s="34"/>
      <c r="M529" s="34"/>
      <c r="N529" s="34"/>
      <c r="O529" s="36"/>
      <c r="P529" s="34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15.75" customHeight="1">
      <c r="A530" s="34"/>
      <c r="B530" s="34"/>
      <c r="C530" s="34"/>
      <c r="D530" s="34"/>
      <c r="E530" s="34"/>
      <c r="F530" s="35"/>
      <c r="G530" s="34"/>
      <c r="H530" s="34"/>
      <c r="I530" s="34"/>
      <c r="J530" s="34"/>
      <c r="K530" s="34"/>
      <c r="L530" s="34"/>
      <c r="M530" s="34"/>
      <c r="N530" s="34"/>
      <c r="O530" s="36"/>
      <c r="P530" s="34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15.75" customHeight="1">
      <c r="A531" s="34"/>
      <c r="B531" s="34"/>
      <c r="C531" s="34"/>
      <c r="D531" s="34"/>
      <c r="E531" s="34"/>
      <c r="F531" s="35"/>
      <c r="G531" s="34"/>
      <c r="H531" s="34"/>
      <c r="I531" s="34"/>
      <c r="J531" s="34"/>
      <c r="K531" s="34"/>
      <c r="L531" s="34"/>
      <c r="M531" s="34"/>
      <c r="N531" s="34"/>
      <c r="O531" s="36"/>
      <c r="P531" s="34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15.75" customHeight="1">
      <c r="A532" s="34"/>
      <c r="B532" s="34"/>
      <c r="C532" s="34"/>
      <c r="D532" s="34"/>
      <c r="E532" s="34"/>
      <c r="F532" s="35"/>
      <c r="G532" s="34"/>
      <c r="H532" s="34"/>
      <c r="I532" s="34"/>
      <c r="J532" s="34"/>
      <c r="K532" s="34"/>
      <c r="L532" s="34"/>
      <c r="M532" s="34"/>
      <c r="N532" s="34"/>
      <c r="O532" s="36"/>
      <c r="P532" s="34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15.75" customHeight="1">
      <c r="A533" s="34"/>
      <c r="B533" s="34"/>
      <c r="C533" s="34"/>
      <c r="D533" s="34"/>
      <c r="E533" s="34"/>
      <c r="F533" s="35"/>
      <c r="G533" s="34"/>
      <c r="H533" s="34"/>
      <c r="I533" s="34"/>
      <c r="J533" s="34"/>
      <c r="K533" s="34"/>
      <c r="L533" s="34"/>
      <c r="M533" s="34"/>
      <c r="N533" s="34"/>
      <c r="O533" s="36"/>
      <c r="P533" s="34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15.75" customHeight="1">
      <c r="A534" s="34"/>
      <c r="B534" s="34"/>
      <c r="C534" s="34"/>
      <c r="D534" s="34"/>
      <c r="E534" s="34"/>
      <c r="F534" s="35"/>
      <c r="G534" s="34"/>
      <c r="H534" s="34"/>
      <c r="I534" s="34"/>
      <c r="J534" s="34"/>
      <c r="K534" s="34"/>
      <c r="L534" s="34"/>
      <c r="M534" s="34"/>
      <c r="N534" s="34"/>
      <c r="O534" s="36"/>
      <c r="P534" s="34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15.75" customHeight="1">
      <c r="A535" s="34"/>
      <c r="B535" s="34"/>
      <c r="C535" s="34"/>
      <c r="D535" s="34"/>
      <c r="E535" s="34"/>
      <c r="F535" s="35"/>
      <c r="G535" s="34"/>
      <c r="H535" s="34"/>
      <c r="I535" s="34"/>
      <c r="J535" s="34"/>
      <c r="K535" s="34"/>
      <c r="L535" s="34"/>
      <c r="M535" s="34"/>
      <c r="N535" s="34"/>
      <c r="O535" s="36"/>
      <c r="P535" s="34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15.75" customHeight="1">
      <c r="A536" s="34"/>
      <c r="B536" s="34"/>
      <c r="C536" s="34"/>
      <c r="D536" s="34"/>
      <c r="E536" s="34"/>
      <c r="F536" s="35"/>
      <c r="G536" s="34"/>
      <c r="H536" s="34"/>
      <c r="I536" s="34"/>
      <c r="J536" s="34"/>
      <c r="K536" s="34"/>
      <c r="L536" s="34"/>
      <c r="M536" s="34"/>
      <c r="N536" s="34"/>
      <c r="O536" s="36"/>
      <c r="P536" s="34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15.75" customHeight="1">
      <c r="A537" s="34"/>
      <c r="B537" s="34"/>
      <c r="C537" s="34"/>
      <c r="D537" s="34"/>
      <c r="E537" s="34"/>
      <c r="F537" s="35"/>
      <c r="G537" s="34"/>
      <c r="H537" s="34"/>
      <c r="I537" s="34"/>
      <c r="J537" s="34"/>
      <c r="K537" s="34"/>
      <c r="L537" s="34"/>
      <c r="M537" s="34"/>
      <c r="N537" s="34"/>
      <c r="O537" s="36"/>
      <c r="P537" s="34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15.75" customHeight="1">
      <c r="A538" s="34"/>
      <c r="B538" s="34"/>
      <c r="C538" s="34"/>
      <c r="D538" s="34"/>
      <c r="E538" s="34"/>
      <c r="F538" s="35"/>
      <c r="G538" s="34"/>
      <c r="H538" s="34"/>
      <c r="I538" s="34"/>
      <c r="J538" s="34"/>
      <c r="K538" s="34"/>
      <c r="L538" s="34"/>
      <c r="M538" s="34"/>
      <c r="N538" s="34"/>
      <c r="O538" s="36"/>
      <c r="P538" s="34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15.75" customHeight="1">
      <c r="A539" s="34"/>
      <c r="B539" s="34"/>
      <c r="C539" s="34"/>
      <c r="D539" s="34"/>
      <c r="E539" s="34"/>
      <c r="F539" s="35"/>
      <c r="G539" s="34"/>
      <c r="H539" s="34"/>
      <c r="I539" s="34"/>
      <c r="J539" s="34"/>
      <c r="K539" s="34"/>
      <c r="L539" s="34"/>
      <c r="M539" s="34"/>
      <c r="N539" s="34"/>
      <c r="O539" s="36"/>
      <c r="P539" s="34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15.75" customHeight="1">
      <c r="A540" s="34"/>
      <c r="B540" s="34"/>
      <c r="C540" s="34"/>
      <c r="D540" s="34"/>
      <c r="E540" s="34"/>
      <c r="F540" s="35"/>
      <c r="G540" s="34"/>
      <c r="H540" s="34"/>
      <c r="I540" s="34"/>
      <c r="J540" s="34"/>
      <c r="K540" s="34"/>
      <c r="L540" s="34"/>
      <c r="M540" s="34"/>
      <c r="N540" s="34"/>
      <c r="O540" s="36"/>
      <c r="P540" s="34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15.75" customHeight="1">
      <c r="A541" s="34"/>
      <c r="B541" s="34"/>
      <c r="C541" s="34"/>
      <c r="D541" s="34"/>
      <c r="E541" s="34"/>
      <c r="F541" s="35"/>
      <c r="G541" s="34"/>
      <c r="H541" s="34"/>
      <c r="I541" s="34"/>
      <c r="J541" s="34"/>
      <c r="K541" s="34"/>
      <c r="L541" s="34"/>
      <c r="M541" s="34"/>
      <c r="N541" s="34"/>
      <c r="O541" s="36"/>
      <c r="P541" s="34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15.75" customHeight="1">
      <c r="A542" s="34"/>
      <c r="B542" s="34"/>
      <c r="C542" s="34"/>
      <c r="D542" s="34"/>
      <c r="E542" s="34"/>
      <c r="F542" s="35"/>
      <c r="G542" s="34"/>
      <c r="H542" s="34"/>
      <c r="I542" s="34"/>
      <c r="J542" s="34"/>
      <c r="K542" s="34"/>
      <c r="L542" s="34"/>
      <c r="M542" s="34"/>
      <c r="N542" s="34"/>
      <c r="O542" s="36"/>
      <c r="P542" s="34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15.75" customHeight="1">
      <c r="A543" s="34"/>
      <c r="B543" s="34"/>
      <c r="C543" s="34"/>
      <c r="D543" s="34"/>
      <c r="E543" s="34"/>
      <c r="F543" s="35"/>
      <c r="G543" s="34"/>
      <c r="H543" s="34"/>
      <c r="I543" s="34"/>
      <c r="J543" s="34"/>
      <c r="K543" s="34"/>
      <c r="L543" s="34"/>
      <c r="M543" s="34"/>
      <c r="N543" s="34"/>
      <c r="O543" s="36"/>
      <c r="P543" s="34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15.75" customHeight="1">
      <c r="A544" s="34"/>
      <c r="B544" s="34"/>
      <c r="C544" s="34"/>
      <c r="D544" s="34"/>
      <c r="E544" s="34"/>
      <c r="F544" s="35"/>
      <c r="G544" s="34"/>
      <c r="H544" s="34"/>
      <c r="I544" s="34"/>
      <c r="J544" s="34"/>
      <c r="K544" s="34"/>
      <c r="L544" s="34"/>
      <c r="M544" s="34"/>
      <c r="N544" s="34"/>
      <c r="O544" s="36"/>
      <c r="P544" s="34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15.75" customHeight="1">
      <c r="A545" s="34"/>
      <c r="B545" s="34"/>
      <c r="C545" s="34"/>
      <c r="D545" s="34"/>
      <c r="E545" s="34"/>
      <c r="F545" s="35"/>
      <c r="G545" s="34"/>
      <c r="H545" s="34"/>
      <c r="I545" s="34"/>
      <c r="J545" s="34"/>
      <c r="K545" s="34"/>
      <c r="L545" s="34"/>
      <c r="M545" s="34"/>
      <c r="N545" s="34"/>
      <c r="O545" s="36"/>
      <c r="P545" s="34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15.75" customHeight="1">
      <c r="A546" s="34"/>
      <c r="B546" s="34"/>
      <c r="C546" s="34"/>
      <c r="D546" s="34"/>
      <c r="E546" s="34"/>
      <c r="F546" s="35"/>
      <c r="G546" s="34"/>
      <c r="H546" s="34"/>
      <c r="I546" s="34"/>
      <c r="J546" s="34"/>
      <c r="K546" s="34"/>
      <c r="L546" s="34"/>
      <c r="M546" s="34"/>
      <c r="N546" s="34"/>
      <c r="O546" s="36"/>
      <c r="P546" s="34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15.75" customHeight="1">
      <c r="A547" s="34"/>
      <c r="B547" s="34"/>
      <c r="C547" s="34"/>
      <c r="D547" s="34"/>
      <c r="E547" s="34"/>
      <c r="F547" s="35"/>
      <c r="G547" s="34"/>
      <c r="H547" s="34"/>
      <c r="I547" s="34"/>
      <c r="J547" s="34"/>
      <c r="K547" s="34"/>
      <c r="L547" s="34"/>
      <c r="M547" s="34"/>
      <c r="N547" s="34"/>
      <c r="O547" s="36"/>
      <c r="P547" s="34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15.75" customHeight="1">
      <c r="A548" s="34"/>
      <c r="B548" s="34"/>
      <c r="C548" s="34"/>
      <c r="D548" s="34"/>
      <c r="E548" s="34"/>
      <c r="F548" s="35"/>
      <c r="G548" s="34"/>
      <c r="H548" s="34"/>
      <c r="I548" s="34"/>
      <c r="J548" s="34"/>
      <c r="K548" s="34"/>
      <c r="L548" s="34"/>
      <c r="M548" s="34"/>
      <c r="N548" s="34"/>
      <c r="O548" s="36"/>
      <c r="P548" s="34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15.75" customHeight="1">
      <c r="A549" s="34"/>
      <c r="B549" s="34"/>
      <c r="C549" s="34"/>
      <c r="D549" s="34"/>
      <c r="E549" s="34"/>
      <c r="F549" s="35"/>
      <c r="G549" s="34"/>
      <c r="H549" s="34"/>
      <c r="I549" s="34"/>
      <c r="J549" s="34"/>
      <c r="K549" s="34"/>
      <c r="L549" s="34"/>
      <c r="M549" s="34"/>
      <c r="N549" s="34"/>
      <c r="O549" s="36"/>
      <c r="P549" s="34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15.75" customHeight="1">
      <c r="A550" s="34"/>
      <c r="B550" s="34"/>
      <c r="C550" s="34"/>
      <c r="D550" s="34"/>
      <c r="E550" s="34"/>
      <c r="F550" s="35"/>
      <c r="G550" s="34"/>
      <c r="H550" s="34"/>
      <c r="I550" s="34"/>
      <c r="J550" s="34"/>
      <c r="K550" s="34"/>
      <c r="L550" s="34"/>
      <c r="M550" s="34"/>
      <c r="N550" s="34"/>
      <c r="O550" s="36"/>
      <c r="P550" s="34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15.75" customHeight="1">
      <c r="A551" s="34"/>
      <c r="B551" s="34"/>
      <c r="C551" s="34"/>
      <c r="D551" s="34"/>
      <c r="E551" s="34"/>
      <c r="F551" s="35"/>
      <c r="G551" s="34"/>
      <c r="H551" s="34"/>
      <c r="I551" s="34"/>
      <c r="J551" s="34"/>
      <c r="K551" s="34"/>
      <c r="L551" s="34"/>
      <c r="M551" s="34"/>
      <c r="N551" s="34"/>
      <c r="O551" s="36"/>
      <c r="P551" s="34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15.75" customHeight="1">
      <c r="A552" s="34"/>
      <c r="B552" s="34"/>
      <c r="C552" s="34"/>
      <c r="D552" s="34"/>
      <c r="E552" s="34"/>
      <c r="F552" s="35"/>
      <c r="G552" s="34"/>
      <c r="H552" s="34"/>
      <c r="I552" s="34"/>
      <c r="J552" s="34"/>
      <c r="K552" s="34"/>
      <c r="L552" s="34"/>
      <c r="M552" s="34"/>
      <c r="N552" s="34"/>
      <c r="O552" s="36"/>
      <c r="P552" s="34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15.75" customHeight="1">
      <c r="A553" s="34"/>
      <c r="B553" s="34"/>
      <c r="C553" s="34"/>
      <c r="D553" s="34"/>
      <c r="E553" s="34"/>
      <c r="F553" s="35"/>
      <c r="G553" s="34"/>
      <c r="H553" s="34"/>
      <c r="I553" s="34"/>
      <c r="J553" s="34"/>
      <c r="K553" s="34"/>
      <c r="L553" s="34"/>
      <c r="M553" s="34"/>
      <c r="N553" s="34"/>
      <c r="O553" s="36"/>
      <c r="P553" s="34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15.75" customHeight="1">
      <c r="A554" s="34"/>
      <c r="B554" s="34"/>
      <c r="C554" s="34"/>
      <c r="D554" s="34"/>
      <c r="E554" s="34"/>
      <c r="F554" s="35"/>
      <c r="G554" s="34"/>
      <c r="H554" s="34"/>
      <c r="I554" s="34"/>
      <c r="J554" s="34"/>
      <c r="K554" s="34"/>
      <c r="L554" s="34"/>
      <c r="M554" s="34"/>
      <c r="N554" s="34"/>
      <c r="O554" s="36"/>
      <c r="P554" s="34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15.75" customHeight="1">
      <c r="A555" s="34"/>
      <c r="B555" s="34"/>
      <c r="C555" s="34"/>
      <c r="D555" s="34"/>
      <c r="E555" s="34"/>
      <c r="F555" s="35"/>
      <c r="G555" s="34"/>
      <c r="H555" s="34"/>
      <c r="I555" s="34"/>
      <c r="J555" s="34"/>
      <c r="K555" s="34"/>
      <c r="L555" s="34"/>
      <c r="M555" s="34"/>
      <c r="N555" s="34"/>
      <c r="O555" s="36"/>
      <c r="P555" s="34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15.75" customHeight="1">
      <c r="A556" s="34"/>
      <c r="B556" s="34"/>
      <c r="C556" s="34"/>
      <c r="D556" s="34"/>
      <c r="E556" s="34"/>
      <c r="F556" s="35"/>
      <c r="G556" s="34"/>
      <c r="H556" s="34"/>
      <c r="I556" s="34"/>
      <c r="J556" s="34"/>
      <c r="K556" s="34"/>
      <c r="L556" s="34"/>
      <c r="M556" s="34"/>
      <c r="N556" s="34"/>
      <c r="O556" s="36"/>
      <c r="P556" s="34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15.75" customHeight="1">
      <c r="A557" s="34"/>
      <c r="B557" s="34"/>
      <c r="C557" s="34"/>
      <c r="D557" s="34"/>
      <c r="E557" s="34"/>
      <c r="F557" s="35"/>
      <c r="G557" s="34"/>
      <c r="H557" s="34"/>
      <c r="I557" s="34"/>
      <c r="J557" s="34"/>
      <c r="K557" s="34"/>
      <c r="L557" s="34"/>
      <c r="M557" s="34"/>
      <c r="N557" s="34"/>
      <c r="O557" s="36"/>
      <c r="P557" s="34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15.75" customHeight="1">
      <c r="A558" s="34"/>
      <c r="B558" s="34"/>
      <c r="C558" s="34"/>
      <c r="D558" s="34"/>
      <c r="E558" s="34"/>
      <c r="F558" s="35"/>
      <c r="G558" s="34"/>
      <c r="H558" s="34"/>
      <c r="I558" s="34"/>
      <c r="J558" s="34"/>
      <c r="K558" s="34"/>
      <c r="L558" s="34"/>
      <c r="M558" s="34"/>
      <c r="N558" s="34"/>
      <c r="O558" s="36"/>
      <c r="P558" s="34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15.75" customHeight="1">
      <c r="A559" s="34"/>
      <c r="B559" s="34"/>
      <c r="C559" s="34"/>
      <c r="D559" s="34"/>
      <c r="E559" s="34"/>
      <c r="F559" s="35"/>
      <c r="G559" s="34"/>
      <c r="H559" s="34"/>
      <c r="I559" s="34"/>
      <c r="J559" s="34"/>
      <c r="K559" s="34"/>
      <c r="L559" s="34"/>
      <c r="M559" s="34"/>
      <c r="N559" s="34"/>
      <c r="O559" s="36"/>
      <c r="P559" s="34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15.75" customHeight="1">
      <c r="A560" s="34"/>
      <c r="B560" s="34"/>
      <c r="C560" s="34"/>
      <c r="D560" s="34"/>
      <c r="E560" s="34"/>
      <c r="F560" s="35"/>
      <c r="G560" s="34"/>
      <c r="H560" s="34"/>
      <c r="I560" s="34"/>
      <c r="J560" s="34"/>
      <c r="K560" s="34"/>
      <c r="L560" s="34"/>
      <c r="M560" s="34"/>
      <c r="N560" s="34"/>
      <c r="O560" s="36"/>
      <c r="P560" s="34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15.75" customHeight="1">
      <c r="A561" s="34"/>
      <c r="B561" s="34"/>
      <c r="C561" s="34"/>
      <c r="D561" s="34"/>
      <c r="E561" s="34"/>
      <c r="F561" s="35"/>
      <c r="G561" s="34"/>
      <c r="H561" s="34"/>
      <c r="I561" s="34"/>
      <c r="J561" s="34"/>
      <c r="K561" s="34"/>
      <c r="L561" s="34"/>
      <c r="M561" s="34"/>
      <c r="N561" s="34"/>
      <c r="O561" s="36"/>
      <c r="P561" s="34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15.75" customHeight="1">
      <c r="A562" s="34"/>
      <c r="B562" s="34"/>
      <c r="C562" s="34"/>
      <c r="D562" s="34"/>
      <c r="E562" s="34"/>
      <c r="F562" s="35"/>
      <c r="G562" s="34"/>
      <c r="H562" s="34"/>
      <c r="I562" s="34"/>
      <c r="J562" s="34"/>
      <c r="K562" s="34"/>
      <c r="L562" s="34"/>
      <c r="M562" s="34"/>
      <c r="N562" s="34"/>
      <c r="O562" s="36"/>
      <c r="P562" s="34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15.75" customHeight="1">
      <c r="A563" s="34"/>
      <c r="B563" s="34"/>
      <c r="C563" s="34"/>
      <c r="D563" s="34"/>
      <c r="E563" s="34"/>
      <c r="F563" s="35"/>
      <c r="G563" s="34"/>
      <c r="H563" s="34"/>
      <c r="I563" s="34"/>
      <c r="J563" s="34"/>
      <c r="K563" s="34"/>
      <c r="L563" s="34"/>
      <c r="M563" s="34"/>
      <c r="N563" s="34"/>
      <c r="O563" s="36"/>
      <c r="P563" s="34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15.75" customHeight="1">
      <c r="A564" s="34"/>
      <c r="B564" s="34"/>
      <c r="C564" s="34"/>
      <c r="D564" s="34"/>
      <c r="E564" s="34"/>
      <c r="F564" s="35"/>
      <c r="G564" s="34"/>
      <c r="H564" s="34"/>
      <c r="I564" s="34"/>
      <c r="J564" s="34"/>
      <c r="K564" s="34"/>
      <c r="L564" s="34"/>
      <c r="M564" s="34"/>
      <c r="N564" s="34"/>
      <c r="O564" s="36"/>
      <c r="P564" s="34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15.75" customHeight="1">
      <c r="A565" s="34"/>
      <c r="B565" s="34"/>
      <c r="C565" s="34"/>
      <c r="D565" s="34"/>
      <c r="E565" s="34"/>
      <c r="F565" s="35"/>
      <c r="G565" s="34"/>
      <c r="H565" s="34"/>
      <c r="I565" s="34"/>
      <c r="J565" s="34"/>
      <c r="K565" s="34"/>
      <c r="L565" s="34"/>
      <c r="M565" s="34"/>
      <c r="N565" s="34"/>
      <c r="O565" s="36"/>
      <c r="P565" s="34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15.75" customHeight="1">
      <c r="A566" s="34"/>
      <c r="B566" s="34"/>
      <c r="C566" s="34"/>
      <c r="D566" s="34"/>
      <c r="E566" s="34"/>
      <c r="F566" s="35"/>
      <c r="G566" s="34"/>
      <c r="H566" s="34"/>
      <c r="I566" s="34"/>
      <c r="J566" s="34"/>
      <c r="K566" s="34"/>
      <c r="L566" s="34"/>
      <c r="M566" s="34"/>
      <c r="N566" s="34"/>
      <c r="O566" s="36"/>
      <c r="P566" s="34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15.75" customHeight="1">
      <c r="A567" s="34"/>
      <c r="B567" s="34"/>
      <c r="C567" s="34"/>
      <c r="D567" s="34"/>
      <c r="E567" s="34"/>
      <c r="F567" s="35"/>
      <c r="G567" s="34"/>
      <c r="H567" s="34"/>
      <c r="I567" s="34"/>
      <c r="J567" s="34"/>
      <c r="K567" s="34"/>
      <c r="L567" s="34"/>
      <c r="M567" s="34"/>
      <c r="N567" s="34"/>
      <c r="O567" s="36"/>
      <c r="P567" s="34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15.75" customHeight="1">
      <c r="A568" s="34"/>
      <c r="B568" s="34"/>
      <c r="C568" s="34"/>
      <c r="D568" s="34"/>
      <c r="E568" s="34"/>
      <c r="F568" s="35"/>
      <c r="G568" s="34"/>
      <c r="H568" s="34"/>
      <c r="I568" s="34"/>
      <c r="J568" s="34"/>
      <c r="K568" s="34"/>
      <c r="L568" s="34"/>
      <c r="M568" s="34"/>
      <c r="N568" s="34"/>
      <c r="O568" s="36"/>
      <c r="P568" s="34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15.75" customHeight="1">
      <c r="A569" s="34"/>
      <c r="B569" s="34"/>
      <c r="C569" s="34"/>
      <c r="D569" s="34"/>
      <c r="E569" s="34"/>
      <c r="F569" s="35"/>
      <c r="G569" s="34"/>
      <c r="H569" s="34"/>
      <c r="I569" s="34"/>
      <c r="J569" s="34"/>
      <c r="K569" s="34"/>
      <c r="L569" s="34"/>
      <c r="M569" s="34"/>
      <c r="N569" s="34"/>
      <c r="O569" s="36"/>
      <c r="P569" s="34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15.75" customHeight="1">
      <c r="A570" s="34"/>
      <c r="B570" s="34"/>
      <c r="C570" s="34"/>
      <c r="D570" s="34"/>
      <c r="E570" s="34"/>
      <c r="F570" s="35"/>
      <c r="G570" s="34"/>
      <c r="H570" s="34"/>
      <c r="I570" s="34"/>
      <c r="J570" s="34"/>
      <c r="K570" s="34"/>
      <c r="L570" s="34"/>
      <c r="M570" s="34"/>
      <c r="N570" s="34"/>
      <c r="O570" s="36"/>
      <c r="P570" s="34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15.75" customHeight="1">
      <c r="A571" s="34"/>
      <c r="B571" s="34"/>
      <c r="C571" s="34"/>
      <c r="D571" s="34"/>
      <c r="E571" s="34"/>
      <c r="F571" s="35"/>
      <c r="G571" s="34"/>
      <c r="H571" s="34"/>
      <c r="I571" s="34"/>
      <c r="J571" s="34"/>
      <c r="K571" s="34"/>
      <c r="L571" s="34"/>
      <c r="M571" s="34"/>
      <c r="N571" s="34"/>
      <c r="O571" s="36"/>
      <c r="P571" s="34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15.75" customHeight="1">
      <c r="A572" s="34"/>
      <c r="B572" s="34"/>
      <c r="C572" s="34"/>
      <c r="D572" s="34"/>
      <c r="E572" s="34"/>
      <c r="F572" s="35"/>
      <c r="G572" s="34"/>
      <c r="H572" s="34"/>
      <c r="I572" s="34"/>
      <c r="J572" s="34"/>
      <c r="K572" s="34"/>
      <c r="L572" s="34"/>
      <c r="M572" s="34"/>
      <c r="N572" s="34"/>
      <c r="O572" s="36"/>
      <c r="P572" s="34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15.75" customHeight="1">
      <c r="A573" s="34"/>
      <c r="B573" s="34"/>
      <c r="C573" s="34"/>
      <c r="D573" s="34"/>
      <c r="E573" s="34"/>
      <c r="F573" s="35"/>
      <c r="G573" s="34"/>
      <c r="H573" s="34"/>
      <c r="I573" s="34"/>
      <c r="J573" s="34"/>
      <c r="K573" s="34"/>
      <c r="L573" s="34"/>
      <c r="M573" s="34"/>
      <c r="N573" s="34"/>
      <c r="O573" s="36"/>
      <c r="P573" s="34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15.75" customHeight="1">
      <c r="A574" s="34"/>
      <c r="B574" s="34"/>
      <c r="C574" s="34"/>
      <c r="D574" s="34"/>
      <c r="E574" s="34"/>
      <c r="F574" s="35"/>
      <c r="G574" s="34"/>
      <c r="H574" s="34"/>
      <c r="I574" s="34"/>
      <c r="J574" s="34"/>
      <c r="K574" s="34"/>
      <c r="L574" s="34"/>
      <c r="M574" s="34"/>
      <c r="N574" s="34"/>
      <c r="O574" s="36"/>
      <c r="P574" s="34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15.75" customHeight="1">
      <c r="A575" s="34"/>
      <c r="B575" s="34"/>
      <c r="C575" s="34"/>
      <c r="D575" s="34"/>
      <c r="E575" s="34"/>
      <c r="F575" s="35"/>
      <c r="G575" s="34"/>
      <c r="H575" s="34"/>
      <c r="I575" s="34"/>
      <c r="J575" s="34"/>
      <c r="K575" s="34"/>
      <c r="L575" s="34"/>
      <c r="M575" s="34"/>
      <c r="N575" s="34"/>
      <c r="O575" s="36"/>
      <c r="P575" s="34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15.75" customHeight="1">
      <c r="A576" s="34"/>
      <c r="B576" s="34"/>
      <c r="C576" s="34"/>
      <c r="D576" s="34"/>
      <c r="E576" s="34"/>
      <c r="F576" s="35"/>
      <c r="G576" s="34"/>
      <c r="H576" s="34"/>
      <c r="I576" s="34"/>
      <c r="J576" s="34"/>
      <c r="K576" s="34"/>
      <c r="L576" s="34"/>
      <c r="M576" s="34"/>
      <c r="N576" s="34"/>
      <c r="O576" s="36"/>
      <c r="P576" s="34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15.75" customHeight="1">
      <c r="A577" s="34"/>
      <c r="B577" s="34"/>
      <c r="C577" s="34"/>
      <c r="D577" s="34"/>
      <c r="E577" s="34"/>
      <c r="F577" s="35"/>
      <c r="G577" s="34"/>
      <c r="H577" s="34"/>
      <c r="I577" s="34"/>
      <c r="J577" s="34"/>
      <c r="K577" s="34"/>
      <c r="L577" s="34"/>
      <c r="M577" s="34"/>
      <c r="N577" s="34"/>
      <c r="O577" s="36"/>
      <c r="P577" s="34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15.75" customHeight="1">
      <c r="A578" s="34"/>
      <c r="B578" s="34"/>
      <c r="C578" s="34"/>
      <c r="D578" s="34"/>
      <c r="E578" s="34"/>
      <c r="F578" s="35"/>
      <c r="G578" s="34"/>
      <c r="H578" s="34"/>
      <c r="I578" s="34"/>
      <c r="J578" s="34"/>
      <c r="K578" s="34"/>
      <c r="L578" s="34"/>
      <c r="M578" s="34"/>
      <c r="N578" s="34"/>
      <c r="O578" s="36"/>
      <c r="P578" s="34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15.75" customHeight="1">
      <c r="A579" s="34"/>
      <c r="B579" s="34"/>
      <c r="C579" s="34"/>
      <c r="D579" s="34"/>
      <c r="E579" s="34"/>
      <c r="F579" s="35"/>
      <c r="G579" s="34"/>
      <c r="H579" s="34"/>
      <c r="I579" s="34"/>
      <c r="J579" s="34"/>
      <c r="K579" s="34"/>
      <c r="L579" s="34"/>
      <c r="M579" s="34"/>
      <c r="N579" s="34"/>
      <c r="O579" s="36"/>
      <c r="P579" s="34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15.75" customHeight="1">
      <c r="A580" s="34"/>
      <c r="B580" s="34"/>
      <c r="C580" s="34"/>
      <c r="D580" s="34"/>
      <c r="E580" s="34"/>
      <c r="F580" s="35"/>
      <c r="G580" s="34"/>
      <c r="H580" s="34"/>
      <c r="I580" s="34"/>
      <c r="J580" s="34"/>
      <c r="K580" s="34"/>
      <c r="L580" s="34"/>
      <c r="M580" s="34"/>
      <c r="N580" s="34"/>
      <c r="O580" s="36"/>
      <c r="P580" s="34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15.75" customHeight="1">
      <c r="A581" s="34"/>
      <c r="B581" s="34"/>
      <c r="C581" s="34"/>
      <c r="D581" s="34"/>
      <c r="E581" s="34"/>
      <c r="F581" s="35"/>
      <c r="G581" s="34"/>
      <c r="H581" s="34"/>
      <c r="I581" s="34"/>
      <c r="J581" s="34"/>
      <c r="K581" s="34"/>
      <c r="L581" s="34"/>
      <c r="M581" s="34"/>
      <c r="N581" s="34"/>
      <c r="O581" s="36"/>
      <c r="P581" s="34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15.75" customHeight="1">
      <c r="A582" s="34"/>
      <c r="B582" s="34"/>
      <c r="C582" s="34"/>
      <c r="D582" s="34"/>
      <c r="E582" s="34"/>
      <c r="F582" s="35"/>
      <c r="G582" s="34"/>
      <c r="H582" s="34"/>
      <c r="I582" s="34"/>
      <c r="J582" s="34"/>
      <c r="K582" s="34"/>
      <c r="L582" s="34"/>
      <c r="M582" s="34"/>
      <c r="N582" s="34"/>
      <c r="O582" s="36"/>
      <c r="P582" s="34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15.75" customHeight="1">
      <c r="A583" s="34"/>
      <c r="B583" s="34"/>
      <c r="C583" s="34"/>
      <c r="D583" s="34"/>
      <c r="E583" s="34"/>
      <c r="F583" s="35"/>
      <c r="G583" s="34"/>
      <c r="H583" s="34"/>
      <c r="I583" s="34"/>
      <c r="J583" s="34"/>
      <c r="K583" s="34"/>
      <c r="L583" s="34"/>
      <c r="M583" s="34"/>
      <c r="N583" s="34"/>
      <c r="O583" s="36"/>
      <c r="P583" s="34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15.75" customHeight="1">
      <c r="A584" s="34"/>
      <c r="B584" s="34"/>
      <c r="C584" s="34"/>
      <c r="D584" s="34"/>
      <c r="E584" s="34"/>
      <c r="F584" s="35"/>
      <c r="G584" s="34"/>
      <c r="H584" s="34"/>
      <c r="I584" s="34"/>
      <c r="J584" s="34"/>
      <c r="K584" s="34"/>
      <c r="L584" s="34"/>
      <c r="M584" s="34"/>
      <c r="N584" s="34"/>
      <c r="O584" s="36"/>
      <c r="P584" s="34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15.75" customHeight="1">
      <c r="A585" s="34"/>
      <c r="B585" s="34"/>
      <c r="C585" s="34"/>
      <c r="D585" s="34"/>
      <c r="E585" s="34"/>
      <c r="F585" s="35"/>
      <c r="G585" s="34"/>
      <c r="H585" s="34"/>
      <c r="I585" s="34"/>
      <c r="J585" s="34"/>
      <c r="K585" s="34"/>
      <c r="L585" s="34"/>
      <c r="M585" s="34"/>
      <c r="N585" s="34"/>
      <c r="O585" s="36"/>
      <c r="P585" s="34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15.75" customHeight="1">
      <c r="A586" s="34"/>
      <c r="B586" s="34"/>
      <c r="C586" s="34"/>
      <c r="D586" s="34"/>
      <c r="E586" s="34"/>
      <c r="F586" s="35"/>
      <c r="G586" s="34"/>
      <c r="H586" s="34"/>
      <c r="I586" s="34"/>
      <c r="J586" s="34"/>
      <c r="K586" s="34"/>
      <c r="L586" s="34"/>
      <c r="M586" s="34"/>
      <c r="N586" s="34"/>
      <c r="O586" s="36"/>
      <c r="P586" s="34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15.75" customHeight="1">
      <c r="A587" s="34"/>
      <c r="B587" s="34"/>
      <c r="C587" s="34"/>
      <c r="D587" s="34"/>
      <c r="E587" s="34"/>
      <c r="F587" s="35"/>
      <c r="G587" s="34"/>
      <c r="H587" s="34"/>
      <c r="I587" s="34"/>
      <c r="J587" s="34"/>
      <c r="K587" s="34"/>
      <c r="L587" s="34"/>
      <c r="M587" s="34"/>
      <c r="N587" s="34"/>
      <c r="O587" s="36"/>
      <c r="P587" s="34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15.75" customHeight="1">
      <c r="A588" s="34"/>
      <c r="B588" s="34"/>
      <c r="C588" s="34"/>
      <c r="D588" s="34"/>
      <c r="E588" s="34"/>
      <c r="F588" s="35"/>
      <c r="G588" s="34"/>
      <c r="H588" s="34"/>
      <c r="I588" s="34"/>
      <c r="J588" s="34"/>
      <c r="K588" s="34"/>
      <c r="L588" s="34"/>
      <c r="M588" s="34"/>
      <c r="N588" s="34"/>
      <c r="O588" s="36"/>
      <c r="P588" s="34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15.75" customHeight="1">
      <c r="A589" s="34"/>
      <c r="B589" s="34"/>
      <c r="C589" s="34"/>
      <c r="D589" s="34"/>
      <c r="E589" s="34"/>
      <c r="F589" s="35"/>
      <c r="G589" s="34"/>
      <c r="H589" s="34"/>
      <c r="I589" s="34"/>
      <c r="J589" s="34"/>
      <c r="K589" s="34"/>
      <c r="L589" s="34"/>
      <c r="M589" s="34"/>
      <c r="N589" s="34"/>
      <c r="O589" s="36"/>
      <c r="P589" s="34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15.75" customHeight="1">
      <c r="A590" s="34"/>
      <c r="B590" s="34"/>
      <c r="C590" s="34"/>
      <c r="D590" s="34"/>
      <c r="E590" s="34"/>
      <c r="F590" s="35"/>
      <c r="G590" s="34"/>
      <c r="H590" s="34"/>
      <c r="I590" s="34"/>
      <c r="J590" s="34"/>
      <c r="K590" s="34"/>
      <c r="L590" s="34"/>
      <c r="M590" s="34"/>
      <c r="N590" s="34"/>
      <c r="O590" s="36"/>
      <c r="P590" s="34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15.75" customHeight="1">
      <c r="A591" s="34"/>
      <c r="B591" s="34"/>
      <c r="C591" s="34"/>
      <c r="D591" s="34"/>
      <c r="E591" s="34"/>
      <c r="F591" s="35"/>
      <c r="G591" s="34"/>
      <c r="H591" s="34"/>
      <c r="I591" s="34"/>
      <c r="J591" s="34"/>
      <c r="K591" s="34"/>
      <c r="L591" s="34"/>
      <c r="M591" s="34"/>
      <c r="N591" s="34"/>
      <c r="O591" s="36"/>
      <c r="P591" s="34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15.75" customHeight="1">
      <c r="A592" s="34"/>
      <c r="B592" s="34"/>
      <c r="C592" s="34"/>
      <c r="D592" s="34"/>
      <c r="E592" s="34"/>
      <c r="F592" s="35"/>
      <c r="G592" s="34"/>
      <c r="H592" s="34"/>
      <c r="I592" s="34"/>
      <c r="J592" s="34"/>
      <c r="K592" s="34"/>
      <c r="L592" s="34"/>
      <c r="M592" s="34"/>
      <c r="N592" s="34"/>
      <c r="O592" s="36"/>
      <c r="P592" s="34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15.75" customHeight="1">
      <c r="A593" s="34"/>
      <c r="B593" s="34"/>
      <c r="C593" s="34"/>
      <c r="D593" s="34"/>
      <c r="E593" s="34"/>
      <c r="F593" s="35"/>
      <c r="G593" s="34"/>
      <c r="H593" s="34"/>
      <c r="I593" s="34"/>
      <c r="J593" s="34"/>
      <c r="K593" s="34"/>
      <c r="L593" s="34"/>
      <c r="M593" s="34"/>
      <c r="N593" s="34"/>
      <c r="O593" s="36"/>
      <c r="P593" s="34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15.75" customHeight="1">
      <c r="A594" s="34"/>
      <c r="B594" s="34"/>
      <c r="C594" s="34"/>
      <c r="D594" s="34"/>
      <c r="E594" s="34"/>
      <c r="F594" s="35"/>
      <c r="G594" s="34"/>
      <c r="H594" s="34"/>
      <c r="I594" s="34"/>
      <c r="J594" s="34"/>
      <c r="K594" s="34"/>
      <c r="L594" s="34"/>
      <c r="M594" s="34"/>
      <c r="N594" s="34"/>
      <c r="O594" s="36"/>
      <c r="P594" s="34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15.75" customHeight="1">
      <c r="A595" s="34"/>
      <c r="B595" s="34"/>
      <c r="C595" s="34"/>
      <c r="D595" s="34"/>
      <c r="E595" s="34"/>
      <c r="F595" s="35"/>
      <c r="G595" s="34"/>
      <c r="H595" s="34"/>
      <c r="I595" s="34"/>
      <c r="J595" s="34"/>
      <c r="K595" s="34"/>
      <c r="L595" s="34"/>
      <c r="M595" s="34"/>
      <c r="N595" s="34"/>
      <c r="O595" s="36"/>
      <c r="P595" s="34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15.75" customHeight="1">
      <c r="A596" s="34"/>
      <c r="B596" s="34"/>
      <c r="C596" s="34"/>
      <c r="D596" s="34"/>
      <c r="E596" s="34"/>
      <c r="F596" s="35"/>
      <c r="G596" s="34"/>
      <c r="H596" s="34"/>
      <c r="I596" s="34"/>
      <c r="J596" s="34"/>
      <c r="K596" s="34"/>
      <c r="L596" s="34"/>
      <c r="M596" s="34"/>
      <c r="N596" s="34"/>
      <c r="O596" s="36"/>
      <c r="P596" s="34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15.75" customHeight="1">
      <c r="A597" s="34"/>
      <c r="B597" s="34"/>
      <c r="C597" s="34"/>
      <c r="D597" s="34"/>
      <c r="E597" s="34"/>
      <c r="F597" s="35"/>
      <c r="G597" s="34"/>
      <c r="H597" s="34"/>
      <c r="I597" s="34"/>
      <c r="J597" s="34"/>
      <c r="K597" s="34"/>
      <c r="L597" s="34"/>
      <c r="M597" s="34"/>
      <c r="N597" s="34"/>
      <c r="O597" s="36"/>
      <c r="P597" s="34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15.75" customHeight="1">
      <c r="A598" s="34"/>
      <c r="B598" s="34"/>
      <c r="C598" s="34"/>
      <c r="D598" s="34"/>
      <c r="E598" s="34"/>
      <c r="F598" s="35"/>
      <c r="G598" s="34"/>
      <c r="H598" s="34"/>
      <c r="I598" s="34"/>
      <c r="J598" s="34"/>
      <c r="K598" s="34"/>
      <c r="L598" s="34"/>
      <c r="M598" s="34"/>
      <c r="N598" s="34"/>
      <c r="O598" s="36"/>
      <c r="P598" s="34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15.75" customHeight="1">
      <c r="A599" s="34"/>
      <c r="B599" s="34"/>
      <c r="C599" s="34"/>
      <c r="D599" s="34"/>
      <c r="E599" s="34"/>
      <c r="F599" s="35"/>
      <c r="G599" s="34"/>
      <c r="H599" s="34"/>
      <c r="I599" s="34"/>
      <c r="J599" s="34"/>
      <c r="K599" s="34"/>
      <c r="L599" s="34"/>
      <c r="M599" s="34"/>
      <c r="N599" s="34"/>
      <c r="O599" s="36"/>
      <c r="P599" s="34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15.75" customHeight="1">
      <c r="A600" s="34"/>
      <c r="B600" s="34"/>
      <c r="C600" s="34"/>
      <c r="D600" s="34"/>
      <c r="E600" s="34"/>
      <c r="F600" s="35"/>
      <c r="G600" s="34"/>
      <c r="H600" s="34"/>
      <c r="I600" s="34"/>
      <c r="J600" s="34"/>
      <c r="K600" s="34"/>
      <c r="L600" s="34"/>
      <c r="M600" s="34"/>
      <c r="N600" s="34"/>
      <c r="O600" s="36"/>
      <c r="P600" s="34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15.75" customHeight="1">
      <c r="A601" s="34"/>
      <c r="B601" s="34"/>
      <c r="C601" s="34"/>
      <c r="D601" s="34"/>
      <c r="E601" s="34"/>
      <c r="F601" s="35"/>
      <c r="G601" s="34"/>
      <c r="H601" s="34"/>
      <c r="I601" s="34"/>
      <c r="J601" s="34"/>
      <c r="K601" s="34"/>
      <c r="L601" s="34"/>
      <c r="M601" s="34"/>
      <c r="N601" s="34"/>
      <c r="O601" s="36"/>
      <c r="P601" s="34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15.75" customHeight="1">
      <c r="A602" s="34"/>
      <c r="B602" s="34"/>
      <c r="C602" s="34"/>
      <c r="D602" s="34"/>
      <c r="E602" s="34"/>
      <c r="F602" s="35"/>
      <c r="G602" s="34"/>
      <c r="H602" s="34"/>
      <c r="I602" s="34"/>
      <c r="J602" s="34"/>
      <c r="K602" s="34"/>
      <c r="L602" s="34"/>
      <c r="M602" s="34"/>
      <c r="N602" s="34"/>
      <c r="O602" s="36"/>
      <c r="P602" s="34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15.75" customHeight="1">
      <c r="A603" s="34"/>
      <c r="B603" s="34"/>
      <c r="C603" s="34"/>
      <c r="D603" s="34"/>
      <c r="E603" s="34"/>
      <c r="F603" s="35"/>
      <c r="G603" s="34"/>
      <c r="H603" s="34"/>
      <c r="I603" s="34"/>
      <c r="J603" s="34"/>
      <c r="K603" s="34"/>
      <c r="L603" s="34"/>
      <c r="M603" s="34"/>
      <c r="N603" s="34"/>
      <c r="O603" s="36"/>
      <c r="P603" s="34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15.75" customHeight="1">
      <c r="A604" s="34"/>
      <c r="B604" s="34"/>
      <c r="C604" s="34"/>
      <c r="D604" s="34"/>
      <c r="E604" s="34"/>
      <c r="F604" s="35"/>
      <c r="G604" s="34"/>
      <c r="H604" s="34"/>
      <c r="I604" s="34"/>
      <c r="J604" s="34"/>
      <c r="K604" s="34"/>
      <c r="L604" s="34"/>
      <c r="M604" s="34"/>
      <c r="N604" s="34"/>
      <c r="O604" s="36"/>
      <c r="P604" s="34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15.75" customHeight="1">
      <c r="A605" s="34"/>
      <c r="B605" s="34"/>
      <c r="C605" s="34"/>
      <c r="D605" s="34"/>
      <c r="E605" s="34"/>
      <c r="F605" s="35"/>
      <c r="G605" s="34"/>
      <c r="H605" s="34"/>
      <c r="I605" s="34"/>
      <c r="J605" s="34"/>
      <c r="K605" s="34"/>
      <c r="L605" s="34"/>
      <c r="M605" s="34"/>
      <c r="N605" s="34"/>
      <c r="O605" s="36"/>
      <c r="P605" s="34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15.75" customHeight="1">
      <c r="A606" s="34"/>
      <c r="B606" s="34"/>
      <c r="C606" s="34"/>
      <c r="D606" s="34"/>
      <c r="E606" s="34"/>
      <c r="F606" s="35"/>
      <c r="G606" s="34"/>
      <c r="H606" s="34"/>
      <c r="I606" s="34"/>
      <c r="J606" s="34"/>
      <c r="K606" s="34"/>
      <c r="L606" s="34"/>
      <c r="M606" s="34"/>
      <c r="N606" s="34"/>
      <c r="O606" s="36"/>
      <c r="P606" s="34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15.75" customHeight="1">
      <c r="A607" s="34"/>
      <c r="B607" s="34"/>
      <c r="C607" s="34"/>
      <c r="D607" s="34"/>
      <c r="E607" s="34"/>
      <c r="F607" s="35"/>
      <c r="G607" s="34"/>
      <c r="H607" s="34"/>
      <c r="I607" s="34"/>
      <c r="J607" s="34"/>
      <c r="K607" s="34"/>
      <c r="L607" s="34"/>
      <c r="M607" s="34"/>
      <c r="N607" s="34"/>
      <c r="O607" s="36"/>
      <c r="P607" s="34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15.75" customHeight="1">
      <c r="A608" s="34"/>
      <c r="B608" s="34"/>
      <c r="C608" s="34"/>
      <c r="D608" s="34"/>
      <c r="E608" s="34"/>
      <c r="F608" s="35"/>
      <c r="G608" s="34"/>
      <c r="H608" s="34"/>
      <c r="I608" s="34"/>
      <c r="J608" s="34"/>
      <c r="K608" s="34"/>
      <c r="L608" s="34"/>
      <c r="M608" s="34"/>
      <c r="N608" s="34"/>
      <c r="O608" s="36"/>
      <c r="P608" s="34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15.75" customHeight="1">
      <c r="A609" s="34"/>
      <c r="B609" s="34"/>
      <c r="C609" s="34"/>
      <c r="D609" s="34"/>
      <c r="E609" s="34"/>
      <c r="F609" s="35"/>
      <c r="G609" s="34"/>
      <c r="H609" s="34"/>
      <c r="I609" s="34"/>
      <c r="J609" s="34"/>
      <c r="K609" s="34"/>
      <c r="L609" s="34"/>
      <c r="M609" s="34"/>
      <c r="N609" s="34"/>
      <c r="O609" s="36"/>
      <c r="P609" s="34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15.75" customHeight="1">
      <c r="A610" s="34"/>
      <c r="B610" s="34"/>
      <c r="C610" s="34"/>
      <c r="D610" s="34"/>
      <c r="E610" s="34"/>
      <c r="F610" s="35"/>
      <c r="G610" s="34"/>
      <c r="H610" s="34"/>
      <c r="I610" s="34"/>
      <c r="J610" s="34"/>
      <c r="K610" s="34"/>
      <c r="L610" s="34"/>
      <c r="M610" s="34"/>
      <c r="N610" s="34"/>
      <c r="O610" s="36"/>
      <c r="P610" s="34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15.75" customHeight="1">
      <c r="A611" s="34"/>
      <c r="B611" s="34"/>
      <c r="C611" s="34"/>
      <c r="D611" s="34"/>
      <c r="E611" s="34"/>
      <c r="F611" s="35"/>
      <c r="G611" s="34"/>
      <c r="H611" s="34"/>
      <c r="I611" s="34"/>
      <c r="J611" s="34"/>
      <c r="K611" s="34"/>
      <c r="L611" s="34"/>
      <c r="M611" s="34"/>
      <c r="N611" s="34"/>
      <c r="O611" s="36"/>
      <c r="P611" s="34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15.75" customHeight="1">
      <c r="A612" s="34"/>
      <c r="B612" s="34"/>
      <c r="C612" s="34"/>
      <c r="D612" s="34"/>
      <c r="E612" s="34"/>
      <c r="F612" s="35"/>
      <c r="G612" s="34"/>
      <c r="H612" s="34"/>
      <c r="I612" s="34"/>
      <c r="J612" s="34"/>
      <c r="K612" s="34"/>
      <c r="L612" s="34"/>
      <c r="M612" s="34"/>
      <c r="N612" s="34"/>
      <c r="O612" s="36"/>
      <c r="P612" s="34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15.75" customHeight="1">
      <c r="A613" s="34"/>
      <c r="B613" s="34"/>
      <c r="C613" s="34"/>
      <c r="D613" s="34"/>
      <c r="E613" s="34"/>
      <c r="F613" s="35"/>
      <c r="G613" s="34"/>
      <c r="H613" s="34"/>
      <c r="I613" s="34"/>
      <c r="J613" s="34"/>
      <c r="K613" s="34"/>
      <c r="L613" s="34"/>
      <c r="M613" s="34"/>
      <c r="N613" s="34"/>
      <c r="O613" s="36"/>
      <c r="P613" s="34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15.75" customHeight="1">
      <c r="A614" s="34"/>
      <c r="B614" s="34"/>
      <c r="C614" s="34"/>
      <c r="D614" s="34"/>
      <c r="E614" s="34"/>
      <c r="F614" s="35"/>
      <c r="G614" s="34"/>
      <c r="H614" s="34"/>
      <c r="I614" s="34"/>
      <c r="J614" s="34"/>
      <c r="K614" s="34"/>
      <c r="L614" s="34"/>
      <c r="M614" s="34"/>
      <c r="N614" s="34"/>
      <c r="O614" s="36"/>
      <c r="P614" s="34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15.75" customHeight="1">
      <c r="A615" s="34"/>
      <c r="B615" s="34"/>
      <c r="C615" s="34"/>
      <c r="D615" s="34"/>
      <c r="E615" s="34"/>
      <c r="F615" s="35"/>
      <c r="G615" s="34"/>
      <c r="H615" s="34"/>
      <c r="I615" s="34"/>
      <c r="J615" s="34"/>
      <c r="K615" s="34"/>
      <c r="L615" s="34"/>
      <c r="M615" s="34"/>
      <c r="N615" s="34"/>
      <c r="O615" s="36"/>
      <c r="P615" s="34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15.75" customHeight="1">
      <c r="A616" s="34"/>
      <c r="B616" s="34"/>
      <c r="C616" s="34"/>
      <c r="D616" s="34"/>
      <c r="E616" s="34"/>
      <c r="F616" s="35"/>
      <c r="G616" s="34"/>
      <c r="H616" s="34"/>
      <c r="I616" s="34"/>
      <c r="J616" s="34"/>
      <c r="K616" s="34"/>
      <c r="L616" s="34"/>
      <c r="M616" s="34"/>
      <c r="N616" s="34"/>
      <c r="O616" s="36"/>
      <c r="P616" s="34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15.75" customHeight="1">
      <c r="A617" s="34"/>
      <c r="B617" s="34"/>
      <c r="C617" s="34"/>
      <c r="D617" s="34"/>
      <c r="E617" s="34"/>
      <c r="F617" s="35"/>
      <c r="G617" s="34"/>
      <c r="H617" s="34"/>
      <c r="I617" s="34"/>
      <c r="J617" s="34"/>
      <c r="K617" s="34"/>
      <c r="L617" s="34"/>
      <c r="M617" s="34"/>
      <c r="N617" s="34"/>
      <c r="O617" s="36"/>
      <c r="P617" s="34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15.75" customHeight="1">
      <c r="A618" s="34"/>
      <c r="B618" s="34"/>
      <c r="C618" s="34"/>
      <c r="D618" s="34"/>
      <c r="E618" s="34"/>
      <c r="F618" s="35"/>
      <c r="G618" s="34"/>
      <c r="H618" s="34"/>
      <c r="I618" s="34"/>
      <c r="J618" s="34"/>
      <c r="K618" s="34"/>
      <c r="L618" s="34"/>
      <c r="M618" s="34"/>
      <c r="N618" s="34"/>
      <c r="O618" s="36"/>
      <c r="P618" s="34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15.75" customHeight="1">
      <c r="A619" s="34"/>
      <c r="B619" s="34"/>
      <c r="C619" s="34"/>
      <c r="D619" s="34"/>
      <c r="E619" s="34"/>
      <c r="F619" s="35"/>
      <c r="G619" s="34"/>
      <c r="H619" s="34"/>
      <c r="I619" s="34"/>
      <c r="J619" s="34"/>
      <c r="K619" s="34"/>
      <c r="L619" s="34"/>
      <c r="M619" s="34"/>
      <c r="N619" s="34"/>
      <c r="O619" s="36"/>
      <c r="P619" s="34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15.75" customHeight="1">
      <c r="A620" s="34"/>
      <c r="B620" s="34"/>
      <c r="C620" s="34"/>
      <c r="D620" s="34"/>
      <c r="E620" s="34"/>
      <c r="F620" s="35"/>
      <c r="G620" s="34"/>
      <c r="H620" s="34"/>
      <c r="I620" s="34"/>
      <c r="J620" s="34"/>
      <c r="K620" s="34"/>
      <c r="L620" s="34"/>
      <c r="M620" s="34"/>
      <c r="N620" s="34"/>
      <c r="O620" s="36"/>
      <c r="P620" s="34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15.75" customHeight="1">
      <c r="A621" s="34"/>
      <c r="B621" s="34"/>
      <c r="C621" s="34"/>
      <c r="D621" s="34"/>
      <c r="E621" s="34"/>
      <c r="F621" s="35"/>
      <c r="G621" s="34"/>
      <c r="H621" s="34"/>
      <c r="I621" s="34"/>
      <c r="J621" s="34"/>
      <c r="K621" s="34"/>
      <c r="L621" s="34"/>
      <c r="M621" s="34"/>
      <c r="N621" s="34"/>
      <c r="O621" s="36"/>
      <c r="P621" s="34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15.75" customHeight="1">
      <c r="A622" s="34"/>
      <c r="B622" s="34"/>
      <c r="C622" s="34"/>
      <c r="D622" s="34"/>
      <c r="E622" s="34"/>
      <c r="F622" s="35"/>
      <c r="G622" s="34"/>
      <c r="H622" s="34"/>
      <c r="I622" s="34"/>
      <c r="J622" s="34"/>
      <c r="K622" s="34"/>
      <c r="L622" s="34"/>
      <c r="M622" s="34"/>
      <c r="N622" s="34"/>
      <c r="O622" s="36"/>
      <c r="P622" s="34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15.75" customHeight="1">
      <c r="A623" s="34"/>
      <c r="B623" s="34"/>
      <c r="C623" s="34"/>
      <c r="D623" s="34"/>
      <c r="E623" s="34"/>
      <c r="F623" s="35"/>
      <c r="G623" s="34"/>
      <c r="H623" s="34"/>
      <c r="I623" s="34"/>
      <c r="J623" s="34"/>
      <c r="K623" s="34"/>
      <c r="L623" s="34"/>
      <c r="M623" s="34"/>
      <c r="N623" s="34"/>
      <c r="O623" s="36"/>
      <c r="P623" s="34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15.75" customHeight="1">
      <c r="A624" s="34"/>
      <c r="B624" s="34"/>
      <c r="C624" s="34"/>
      <c r="D624" s="34"/>
      <c r="E624" s="34"/>
      <c r="F624" s="35"/>
      <c r="G624" s="34"/>
      <c r="H624" s="34"/>
      <c r="I624" s="34"/>
      <c r="J624" s="34"/>
      <c r="K624" s="34"/>
      <c r="L624" s="34"/>
      <c r="M624" s="34"/>
      <c r="N624" s="34"/>
      <c r="O624" s="36"/>
      <c r="P624" s="34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15.75" customHeight="1">
      <c r="A625" s="34"/>
      <c r="B625" s="34"/>
      <c r="C625" s="34"/>
      <c r="D625" s="34"/>
      <c r="E625" s="34"/>
      <c r="F625" s="35"/>
      <c r="G625" s="34"/>
      <c r="H625" s="34"/>
      <c r="I625" s="34"/>
      <c r="J625" s="34"/>
      <c r="K625" s="34"/>
      <c r="L625" s="34"/>
      <c r="M625" s="34"/>
      <c r="N625" s="34"/>
      <c r="O625" s="36"/>
      <c r="P625" s="34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15.75" customHeight="1">
      <c r="A626" s="34"/>
      <c r="B626" s="34"/>
      <c r="C626" s="34"/>
      <c r="D626" s="34"/>
      <c r="E626" s="34"/>
      <c r="F626" s="35"/>
      <c r="G626" s="34"/>
      <c r="H626" s="34"/>
      <c r="I626" s="34"/>
      <c r="J626" s="34"/>
      <c r="K626" s="34"/>
      <c r="L626" s="34"/>
      <c r="M626" s="34"/>
      <c r="N626" s="34"/>
      <c r="O626" s="36"/>
      <c r="P626" s="34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15.75" customHeight="1">
      <c r="A627" s="34"/>
      <c r="B627" s="34"/>
      <c r="C627" s="34"/>
      <c r="D627" s="34"/>
      <c r="E627" s="34"/>
      <c r="F627" s="35"/>
      <c r="G627" s="34"/>
      <c r="H627" s="34"/>
      <c r="I627" s="34"/>
      <c r="J627" s="34"/>
      <c r="K627" s="34"/>
      <c r="L627" s="34"/>
      <c r="M627" s="34"/>
      <c r="N627" s="34"/>
      <c r="O627" s="36"/>
      <c r="P627" s="34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15.75" customHeight="1">
      <c r="A628" s="34"/>
      <c r="B628" s="34"/>
      <c r="C628" s="34"/>
      <c r="D628" s="34"/>
      <c r="E628" s="34"/>
      <c r="F628" s="35"/>
      <c r="G628" s="34"/>
      <c r="H628" s="34"/>
      <c r="I628" s="34"/>
      <c r="J628" s="34"/>
      <c r="K628" s="34"/>
      <c r="L628" s="34"/>
      <c r="M628" s="34"/>
      <c r="N628" s="34"/>
      <c r="O628" s="36"/>
      <c r="P628" s="34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15.75" customHeight="1">
      <c r="A629" s="34"/>
      <c r="B629" s="34"/>
      <c r="C629" s="34"/>
      <c r="D629" s="34"/>
      <c r="E629" s="34"/>
      <c r="F629" s="35"/>
      <c r="G629" s="34"/>
      <c r="H629" s="34"/>
      <c r="I629" s="34"/>
      <c r="J629" s="34"/>
      <c r="K629" s="34"/>
      <c r="L629" s="34"/>
      <c r="M629" s="34"/>
      <c r="N629" s="34"/>
      <c r="O629" s="36"/>
      <c r="P629" s="34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15.75" customHeight="1">
      <c r="A630" s="34"/>
      <c r="B630" s="34"/>
      <c r="C630" s="34"/>
      <c r="D630" s="34"/>
      <c r="E630" s="34"/>
      <c r="F630" s="35"/>
      <c r="G630" s="34"/>
      <c r="H630" s="34"/>
      <c r="I630" s="34"/>
      <c r="J630" s="34"/>
      <c r="K630" s="34"/>
      <c r="L630" s="34"/>
      <c r="M630" s="34"/>
      <c r="N630" s="34"/>
      <c r="O630" s="36"/>
      <c r="P630" s="34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15.75" customHeight="1">
      <c r="A631" s="34"/>
      <c r="B631" s="34"/>
      <c r="C631" s="34"/>
      <c r="D631" s="34"/>
      <c r="E631" s="34"/>
      <c r="F631" s="35"/>
      <c r="G631" s="34"/>
      <c r="H631" s="34"/>
      <c r="I631" s="34"/>
      <c r="J631" s="34"/>
      <c r="K631" s="34"/>
      <c r="L631" s="34"/>
      <c r="M631" s="34"/>
      <c r="N631" s="34"/>
      <c r="O631" s="36"/>
      <c r="P631" s="34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15.75" customHeight="1">
      <c r="A632" s="34"/>
      <c r="B632" s="34"/>
      <c r="C632" s="34"/>
      <c r="D632" s="34"/>
      <c r="E632" s="34"/>
      <c r="F632" s="35"/>
      <c r="G632" s="34"/>
      <c r="H632" s="34"/>
      <c r="I632" s="34"/>
      <c r="J632" s="34"/>
      <c r="K632" s="34"/>
      <c r="L632" s="34"/>
      <c r="M632" s="34"/>
      <c r="N632" s="34"/>
      <c r="O632" s="36"/>
      <c r="P632" s="34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15.75" customHeight="1">
      <c r="A633" s="34"/>
      <c r="B633" s="34"/>
      <c r="C633" s="34"/>
      <c r="D633" s="34"/>
      <c r="E633" s="34"/>
      <c r="F633" s="35"/>
      <c r="G633" s="34"/>
      <c r="H633" s="34"/>
      <c r="I633" s="34"/>
      <c r="J633" s="34"/>
      <c r="K633" s="34"/>
      <c r="L633" s="34"/>
      <c r="M633" s="34"/>
      <c r="N633" s="34"/>
      <c r="O633" s="36"/>
      <c r="P633" s="34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15.75" customHeight="1">
      <c r="A634" s="34"/>
      <c r="B634" s="34"/>
      <c r="C634" s="34"/>
      <c r="D634" s="34"/>
      <c r="E634" s="34"/>
      <c r="F634" s="35"/>
      <c r="G634" s="34"/>
      <c r="H634" s="34"/>
      <c r="I634" s="34"/>
      <c r="J634" s="34"/>
      <c r="K634" s="34"/>
      <c r="L634" s="34"/>
      <c r="M634" s="34"/>
      <c r="N634" s="34"/>
      <c r="O634" s="36"/>
      <c r="P634" s="34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15.75" customHeight="1">
      <c r="A635" s="34"/>
      <c r="B635" s="34"/>
      <c r="C635" s="34"/>
      <c r="D635" s="34"/>
      <c r="E635" s="34"/>
      <c r="F635" s="35"/>
      <c r="G635" s="34"/>
      <c r="H635" s="34"/>
      <c r="I635" s="34"/>
      <c r="J635" s="34"/>
      <c r="K635" s="34"/>
      <c r="L635" s="34"/>
      <c r="M635" s="34"/>
      <c r="N635" s="34"/>
      <c r="O635" s="36"/>
      <c r="P635" s="34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15.75" customHeight="1">
      <c r="A636" s="34"/>
      <c r="B636" s="34"/>
      <c r="C636" s="34"/>
      <c r="D636" s="34"/>
      <c r="E636" s="34"/>
      <c r="F636" s="35"/>
      <c r="G636" s="34"/>
      <c r="H636" s="34"/>
      <c r="I636" s="34"/>
      <c r="J636" s="34"/>
      <c r="K636" s="34"/>
      <c r="L636" s="34"/>
      <c r="M636" s="34"/>
      <c r="N636" s="34"/>
      <c r="O636" s="36"/>
      <c r="P636" s="34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15.75" customHeight="1">
      <c r="A637" s="34"/>
      <c r="B637" s="34"/>
      <c r="C637" s="34"/>
      <c r="D637" s="34"/>
      <c r="E637" s="34"/>
      <c r="F637" s="35"/>
      <c r="G637" s="34"/>
      <c r="H637" s="34"/>
      <c r="I637" s="34"/>
      <c r="J637" s="34"/>
      <c r="K637" s="34"/>
      <c r="L637" s="34"/>
      <c r="M637" s="34"/>
      <c r="N637" s="34"/>
      <c r="O637" s="36"/>
      <c r="P637" s="34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15.75" customHeight="1">
      <c r="A638" s="34"/>
      <c r="B638" s="34"/>
      <c r="C638" s="34"/>
      <c r="D638" s="34"/>
      <c r="E638" s="34"/>
      <c r="F638" s="35"/>
      <c r="G638" s="34"/>
      <c r="H638" s="34"/>
      <c r="I638" s="34"/>
      <c r="J638" s="34"/>
      <c r="K638" s="34"/>
      <c r="L638" s="34"/>
      <c r="M638" s="34"/>
      <c r="N638" s="34"/>
      <c r="O638" s="36"/>
      <c r="P638" s="34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15.75" customHeight="1">
      <c r="A639" s="34"/>
      <c r="B639" s="34"/>
      <c r="C639" s="34"/>
      <c r="D639" s="34"/>
      <c r="E639" s="34"/>
      <c r="F639" s="35"/>
      <c r="G639" s="34"/>
      <c r="H639" s="34"/>
      <c r="I639" s="34"/>
      <c r="J639" s="34"/>
      <c r="K639" s="34"/>
      <c r="L639" s="34"/>
      <c r="M639" s="34"/>
      <c r="N639" s="34"/>
      <c r="O639" s="36"/>
      <c r="P639" s="34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15.75" customHeight="1">
      <c r="A640" s="34"/>
      <c r="B640" s="34"/>
      <c r="C640" s="34"/>
      <c r="D640" s="34"/>
      <c r="E640" s="34"/>
      <c r="F640" s="35"/>
      <c r="G640" s="34"/>
      <c r="H640" s="34"/>
      <c r="I640" s="34"/>
      <c r="J640" s="34"/>
      <c r="K640" s="34"/>
      <c r="L640" s="34"/>
      <c r="M640" s="34"/>
      <c r="N640" s="34"/>
      <c r="O640" s="36"/>
      <c r="P640" s="34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15.75" customHeight="1">
      <c r="A641" s="34"/>
      <c r="B641" s="34"/>
      <c r="C641" s="34"/>
      <c r="D641" s="34"/>
      <c r="E641" s="34"/>
      <c r="F641" s="35"/>
      <c r="G641" s="34"/>
      <c r="H641" s="34"/>
      <c r="I641" s="34"/>
      <c r="J641" s="34"/>
      <c r="K641" s="34"/>
      <c r="L641" s="34"/>
      <c r="M641" s="34"/>
      <c r="N641" s="34"/>
      <c r="O641" s="36"/>
      <c r="P641" s="34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15.75" customHeight="1">
      <c r="A642" s="34"/>
      <c r="B642" s="34"/>
      <c r="C642" s="34"/>
      <c r="D642" s="34"/>
      <c r="E642" s="34"/>
      <c r="F642" s="35"/>
      <c r="G642" s="34"/>
      <c r="H642" s="34"/>
      <c r="I642" s="34"/>
      <c r="J642" s="34"/>
      <c r="K642" s="34"/>
      <c r="L642" s="34"/>
      <c r="M642" s="34"/>
      <c r="N642" s="34"/>
      <c r="O642" s="36"/>
      <c r="P642" s="34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15.75" customHeight="1">
      <c r="A643" s="34"/>
      <c r="B643" s="34"/>
      <c r="C643" s="34"/>
      <c r="D643" s="34"/>
      <c r="E643" s="34"/>
      <c r="F643" s="35"/>
      <c r="G643" s="34"/>
      <c r="H643" s="34"/>
      <c r="I643" s="34"/>
      <c r="J643" s="34"/>
      <c r="K643" s="34"/>
      <c r="L643" s="34"/>
      <c r="M643" s="34"/>
      <c r="N643" s="34"/>
      <c r="O643" s="36"/>
      <c r="P643" s="34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15.75" customHeight="1">
      <c r="A644" s="34"/>
      <c r="B644" s="34"/>
      <c r="C644" s="34"/>
      <c r="D644" s="34"/>
      <c r="E644" s="34"/>
      <c r="F644" s="35"/>
      <c r="G644" s="34"/>
      <c r="H644" s="34"/>
      <c r="I644" s="34"/>
      <c r="J644" s="34"/>
      <c r="K644" s="34"/>
      <c r="L644" s="34"/>
      <c r="M644" s="34"/>
      <c r="N644" s="34"/>
      <c r="O644" s="36"/>
      <c r="P644" s="34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15.75" customHeight="1">
      <c r="A645" s="34"/>
      <c r="B645" s="34"/>
      <c r="C645" s="34"/>
      <c r="D645" s="34"/>
      <c r="E645" s="34"/>
      <c r="F645" s="35"/>
      <c r="G645" s="34"/>
      <c r="H645" s="34"/>
      <c r="I645" s="34"/>
      <c r="J645" s="34"/>
      <c r="K645" s="34"/>
      <c r="L645" s="34"/>
      <c r="M645" s="34"/>
      <c r="N645" s="34"/>
      <c r="O645" s="36"/>
      <c r="P645" s="34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15.75" customHeight="1">
      <c r="A646" s="34"/>
      <c r="B646" s="34"/>
      <c r="C646" s="34"/>
      <c r="D646" s="34"/>
      <c r="E646" s="34"/>
      <c r="F646" s="35"/>
      <c r="G646" s="34"/>
      <c r="H646" s="34"/>
      <c r="I646" s="34"/>
      <c r="J646" s="34"/>
      <c r="K646" s="34"/>
      <c r="L646" s="34"/>
      <c r="M646" s="34"/>
      <c r="N646" s="34"/>
      <c r="O646" s="36"/>
      <c r="P646" s="34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15.75" customHeight="1">
      <c r="A647" s="34"/>
      <c r="B647" s="34"/>
      <c r="C647" s="34"/>
      <c r="D647" s="34"/>
      <c r="E647" s="34"/>
      <c r="F647" s="35"/>
      <c r="G647" s="34"/>
      <c r="H647" s="34"/>
      <c r="I647" s="34"/>
      <c r="J647" s="34"/>
      <c r="K647" s="34"/>
      <c r="L647" s="34"/>
      <c r="M647" s="34"/>
      <c r="N647" s="34"/>
      <c r="O647" s="36"/>
      <c r="P647" s="34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15.75" customHeight="1">
      <c r="A648" s="34"/>
      <c r="B648" s="34"/>
      <c r="C648" s="34"/>
      <c r="D648" s="34"/>
      <c r="E648" s="34"/>
      <c r="F648" s="35"/>
      <c r="G648" s="34"/>
      <c r="H648" s="34"/>
      <c r="I648" s="34"/>
      <c r="J648" s="34"/>
      <c r="K648" s="34"/>
      <c r="L648" s="34"/>
      <c r="M648" s="34"/>
      <c r="N648" s="34"/>
      <c r="O648" s="36"/>
      <c r="P648" s="34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15.75" customHeight="1">
      <c r="A649" s="34"/>
      <c r="B649" s="34"/>
      <c r="C649" s="34"/>
      <c r="D649" s="34"/>
      <c r="E649" s="34"/>
      <c r="F649" s="35"/>
      <c r="G649" s="34"/>
      <c r="H649" s="34"/>
      <c r="I649" s="34"/>
      <c r="J649" s="34"/>
      <c r="K649" s="34"/>
      <c r="L649" s="34"/>
      <c r="M649" s="34"/>
      <c r="N649" s="34"/>
      <c r="O649" s="36"/>
      <c r="P649" s="34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15.75" customHeight="1">
      <c r="A650" s="34"/>
      <c r="B650" s="34"/>
      <c r="C650" s="34"/>
      <c r="D650" s="34"/>
      <c r="E650" s="34"/>
      <c r="F650" s="35"/>
      <c r="G650" s="34"/>
      <c r="H650" s="34"/>
      <c r="I650" s="34"/>
      <c r="J650" s="34"/>
      <c r="K650" s="34"/>
      <c r="L650" s="34"/>
      <c r="M650" s="34"/>
      <c r="N650" s="34"/>
      <c r="O650" s="36"/>
      <c r="P650" s="34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15.75" customHeight="1">
      <c r="A651" s="34"/>
      <c r="B651" s="34"/>
      <c r="C651" s="34"/>
      <c r="D651" s="34"/>
      <c r="E651" s="34"/>
      <c r="F651" s="35"/>
      <c r="G651" s="34"/>
      <c r="H651" s="34"/>
      <c r="I651" s="34"/>
      <c r="J651" s="34"/>
      <c r="K651" s="34"/>
      <c r="L651" s="34"/>
      <c r="M651" s="34"/>
      <c r="N651" s="34"/>
      <c r="O651" s="36"/>
      <c r="P651" s="34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15.75" customHeight="1">
      <c r="A652" s="34"/>
      <c r="B652" s="34"/>
      <c r="C652" s="34"/>
      <c r="D652" s="34"/>
      <c r="E652" s="34"/>
      <c r="F652" s="35"/>
      <c r="G652" s="34"/>
      <c r="H652" s="34"/>
      <c r="I652" s="34"/>
      <c r="J652" s="34"/>
      <c r="K652" s="34"/>
      <c r="L652" s="34"/>
      <c r="M652" s="34"/>
      <c r="N652" s="34"/>
      <c r="O652" s="36"/>
      <c r="P652" s="34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15.75" customHeight="1">
      <c r="A653" s="34"/>
      <c r="B653" s="34"/>
      <c r="C653" s="34"/>
      <c r="D653" s="34"/>
      <c r="E653" s="34"/>
      <c r="F653" s="35"/>
      <c r="G653" s="34"/>
      <c r="H653" s="34"/>
      <c r="I653" s="34"/>
      <c r="J653" s="34"/>
      <c r="K653" s="34"/>
      <c r="L653" s="34"/>
      <c r="M653" s="34"/>
      <c r="N653" s="34"/>
      <c r="O653" s="36"/>
      <c r="P653" s="34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15.75" customHeight="1">
      <c r="A654" s="34"/>
      <c r="B654" s="34"/>
      <c r="C654" s="34"/>
      <c r="D654" s="34"/>
      <c r="E654" s="34"/>
      <c r="F654" s="35"/>
      <c r="G654" s="34"/>
      <c r="H654" s="34"/>
      <c r="I654" s="34"/>
      <c r="J654" s="34"/>
      <c r="K654" s="34"/>
      <c r="L654" s="34"/>
      <c r="M654" s="34"/>
      <c r="N654" s="34"/>
      <c r="O654" s="36"/>
      <c r="P654" s="34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15.75" customHeight="1">
      <c r="A655" s="34"/>
      <c r="B655" s="34"/>
      <c r="C655" s="34"/>
      <c r="D655" s="34"/>
      <c r="E655" s="34"/>
      <c r="F655" s="35"/>
      <c r="G655" s="34"/>
      <c r="H655" s="34"/>
      <c r="I655" s="34"/>
      <c r="J655" s="34"/>
      <c r="K655" s="34"/>
      <c r="L655" s="34"/>
      <c r="M655" s="34"/>
      <c r="N655" s="34"/>
      <c r="O655" s="36"/>
      <c r="P655" s="34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15.75" customHeight="1">
      <c r="A656" s="34"/>
      <c r="B656" s="34"/>
      <c r="C656" s="34"/>
      <c r="D656" s="34"/>
      <c r="E656" s="34"/>
      <c r="F656" s="35"/>
      <c r="G656" s="34"/>
      <c r="H656" s="34"/>
      <c r="I656" s="34"/>
      <c r="J656" s="34"/>
      <c r="K656" s="34"/>
      <c r="L656" s="34"/>
      <c r="M656" s="34"/>
      <c r="N656" s="34"/>
      <c r="O656" s="36"/>
      <c r="P656" s="34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15.75" customHeight="1">
      <c r="A657" s="34"/>
      <c r="B657" s="34"/>
      <c r="C657" s="34"/>
      <c r="D657" s="34"/>
      <c r="E657" s="34"/>
      <c r="F657" s="35"/>
      <c r="G657" s="34"/>
      <c r="H657" s="34"/>
      <c r="I657" s="34"/>
      <c r="J657" s="34"/>
      <c r="K657" s="34"/>
      <c r="L657" s="34"/>
      <c r="M657" s="34"/>
      <c r="N657" s="34"/>
      <c r="O657" s="36"/>
      <c r="P657" s="34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15.75" customHeight="1">
      <c r="A658" s="34"/>
      <c r="B658" s="34"/>
      <c r="C658" s="34"/>
      <c r="D658" s="34"/>
      <c r="E658" s="34"/>
      <c r="F658" s="35"/>
      <c r="G658" s="34"/>
      <c r="H658" s="34"/>
      <c r="I658" s="34"/>
      <c r="J658" s="34"/>
      <c r="K658" s="34"/>
      <c r="L658" s="34"/>
      <c r="M658" s="34"/>
      <c r="N658" s="34"/>
      <c r="O658" s="36"/>
      <c r="P658" s="34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15.75" customHeight="1">
      <c r="A659" s="34"/>
      <c r="B659" s="34"/>
      <c r="C659" s="34"/>
      <c r="D659" s="34"/>
      <c r="E659" s="34"/>
      <c r="F659" s="35"/>
      <c r="G659" s="34"/>
      <c r="H659" s="34"/>
      <c r="I659" s="34"/>
      <c r="J659" s="34"/>
      <c r="K659" s="34"/>
      <c r="L659" s="34"/>
      <c r="M659" s="34"/>
      <c r="N659" s="34"/>
      <c r="O659" s="36"/>
      <c r="P659" s="34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15.75" customHeight="1">
      <c r="A660" s="34"/>
      <c r="B660" s="34"/>
      <c r="C660" s="34"/>
      <c r="D660" s="34"/>
      <c r="E660" s="34"/>
      <c r="F660" s="35"/>
      <c r="G660" s="34"/>
      <c r="H660" s="34"/>
      <c r="I660" s="34"/>
      <c r="J660" s="34"/>
      <c r="K660" s="34"/>
      <c r="L660" s="34"/>
      <c r="M660" s="34"/>
      <c r="N660" s="34"/>
      <c r="O660" s="36"/>
      <c r="P660" s="34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15.75" customHeight="1">
      <c r="A661" s="34"/>
      <c r="B661" s="34"/>
      <c r="C661" s="34"/>
      <c r="D661" s="34"/>
      <c r="E661" s="34"/>
      <c r="F661" s="35"/>
      <c r="G661" s="34"/>
      <c r="H661" s="34"/>
      <c r="I661" s="34"/>
      <c r="J661" s="34"/>
      <c r="K661" s="34"/>
      <c r="L661" s="34"/>
      <c r="M661" s="34"/>
      <c r="N661" s="34"/>
      <c r="O661" s="36"/>
      <c r="P661" s="34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15.75" customHeight="1">
      <c r="A662" s="34"/>
      <c r="B662" s="34"/>
      <c r="C662" s="34"/>
      <c r="D662" s="34"/>
      <c r="E662" s="34"/>
      <c r="F662" s="35"/>
      <c r="G662" s="34"/>
      <c r="H662" s="34"/>
      <c r="I662" s="34"/>
      <c r="J662" s="34"/>
      <c r="K662" s="34"/>
      <c r="L662" s="34"/>
      <c r="M662" s="34"/>
      <c r="N662" s="34"/>
      <c r="O662" s="36"/>
      <c r="P662" s="34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15.75" customHeight="1">
      <c r="A663" s="34"/>
      <c r="B663" s="34"/>
      <c r="C663" s="34"/>
      <c r="D663" s="34"/>
      <c r="E663" s="34"/>
      <c r="F663" s="35"/>
      <c r="G663" s="34"/>
      <c r="H663" s="34"/>
      <c r="I663" s="34"/>
      <c r="J663" s="34"/>
      <c r="K663" s="34"/>
      <c r="L663" s="34"/>
      <c r="M663" s="34"/>
      <c r="N663" s="34"/>
      <c r="O663" s="36"/>
      <c r="P663" s="34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15.75" customHeight="1">
      <c r="A664" s="34"/>
      <c r="B664" s="34"/>
      <c r="C664" s="34"/>
      <c r="D664" s="34"/>
      <c r="E664" s="34"/>
      <c r="F664" s="35"/>
      <c r="G664" s="34"/>
      <c r="H664" s="34"/>
      <c r="I664" s="34"/>
      <c r="J664" s="34"/>
      <c r="K664" s="34"/>
      <c r="L664" s="34"/>
      <c r="M664" s="34"/>
      <c r="N664" s="34"/>
      <c r="O664" s="36"/>
      <c r="P664" s="34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15.75" customHeight="1">
      <c r="A665" s="34"/>
      <c r="B665" s="34"/>
      <c r="C665" s="34"/>
      <c r="D665" s="34"/>
      <c r="E665" s="34"/>
      <c r="F665" s="35"/>
      <c r="G665" s="34"/>
      <c r="H665" s="34"/>
      <c r="I665" s="34"/>
      <c r="J665" s="34"/>
      <c r="K665" s="34"/>
      <c r="L665" s="34"/>
      <c r="M665" s="34"/>
      <c r="N665" s="34"/>
      <c r="O665" s="36"/>
      <c r="P665" s="34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15.75" customHeight="1">
      <c r="A666" s="34"/>
      <c r="B666" s="34"/>
      <c r="C666" s="34"/>
      <c r="D666" s="34"/>
      <c r="E666" s="34"/>
      <c r="F666" s="35"/>
      <c r="G666" s="34"/>
      <c r="H666" s="34"/>
      <c r="I666" s="34"/>
      <c r="J666" s="34"/>
      <c r="K666" s="34"/>
      <c r="L666" s="34"/>
      <c r="M666" s="34"/>
      <c r="N666" s="34"/>
      <c r="O666" s="36"/>
      <c r="P666" s="34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15.75" customHeight="1">
      <c r="A667" s="34"/>
      <c r="B667" s="34"/>
      <c r="C667" s="34"/>
      <c r="D667" s="34"/>
      <c r="E667" s="34"/>
      <c r="F667" s="35"/>
      <c r="G667" s="34"/>
      <c r="H667" s="34"/>
      <c r="I667" s="34"/>
      <c r="J667" s="34"/>
      <c r="K667" s="34"/>
      <c r="L667" s="34"/>
      <c r="M667" s="34"/>
      <c r="N667" s="34"/>
      <c r="O667" s="36"/>
      <c r="P667" s="34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15.75" customHeight="1">
      <c r="A668" s="34"/>
      <c r="B668" s="34"/>
      <c r="C668" s="34"/>
      <c r="D668" s="34"/>
      <c r="E668" s="34"/>
      <c r="F668" s="35"/>
      <c r="G668" s="34"/>
      <c r="H668" s="34"/>
      <c r="I668" s="34"/>
      <c r="J668" s="34"/>
      <c r="K668" s="34"/>
      <c r="L668" s="34"/>
      <c r="M668" s="34"/>
      <c r="N668" s="34"/>
      <c r="O668" s="36"/>
      <c r="P668" s="34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15.75" customHeight="1">
      <c r="A669" s="34"/>
      <c r="B669" s="34"/>
      <c r="C669" s="34"/>
      <c r="D669" s="34"/>
      <c r="E669" s="34"/>
      <c r="F669" s="35"/>
      <c r="G669" s="34"/>
      <c r="H669" s="34"/>
      <c r="I669" s="34"/>
      <c r="J669" s="34"/>
      <c r="K669" s="34"/>
      <c r="L669" s="34"/>
      <c r="M669" s="34"/>
      <c r="N669" s="34"/>
      <c r="O669" s="36"/>
      <c r="P669" s="34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15.75" customHeight="1">
      <c r="A670" s="34"/>
      <c r="B670" s="34"/>
      <c r="C670" s="34"/>
      <c r="D670" s="34"/>
      <c r="E670" s="34"/>
      <c r="F670" s="35"/>
      <c r="G670" s="34"/>
      <c r="H670" s="34"/>
      <c r="I670" s="34"/>
      <c r="J670" s="34"/>
      <c r="K670" s="34"/>
      <c r="L670" s="34"/>
      <c r="M670" s="34"/>
      <c r="N670" s="34"/>
      <c r="O670" s="36"/>
      <c r="P670" s="34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15.75" customHeight="1">
      <c r="A671" s="34"/>
      <c r="B671" s="34"/>
      <c r="C671" s="34"/>
      <c r="D671" s="34"/>
      <c r="E671" s="34"/>
      <c r="F671" s="35"/>
      <c r="G671" s="34"/>
      <c r="H671" s="34"/>
      <c r="I671" s="34"/>
      <c r="J671" s="34"/>
      <c r="K671" s="34"/>
      <c r="L671" s="34"/>
      <c r="M671" s="34"/>
      <c r="N671" s="34"/>
      <c r="O671" s="36"/>
      <c r="P671" s="34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15.75" customHeight="1">
      <c r="A672" s="34"/>
      <c r="B672" s="34"/>
      <c r="C672" s="34"/>
      <c r="D672" s="34"/>
      <c r="E672" s="34"/>
      <c r="F672" s="35"/>
      <c r="G672" s="34"/>
      <c r="H672" s="34"/>
      <c r="I672" s="34"/>
      <c r="J672" s="34"/>
      <c r="K672" s="34"/>
      <c r="L672" s="34"/>
      <c r="M672" s="34"/>
      <c r="N672" s="34"/>
      <c r="O672" s="36"/>
      <c r="P672" s="34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15.75" customHeight="1">
      <c r="A673" s="34"/>
      <c r="B673" s="34"/>
      <c r="C673" s="34"/>
      <c r="D673" s="34"/>
      <c r="E673" s="34"/>
      <c r="F673" s="35"/>
      <c r="G673" s="34"/>
      <c r="H673" s="34"/>
      <c r="I673" s="34"/>
      <c r="J673" s="34"/>
      <c r="K673" s="34"/>
      <c r="L673" s="34"/>
      <c r="M673" s="34"/>
      <c r="N673" s="34"/>
      <c r="O673" s="36"/>
      <c r="P673" s="34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15.75" customHeight="1">
      <c r="A674" s="34"/>
      <c r="B674" s="34"/>
      <c r="C674" s="34"/>
      <c r="D674" s="34"/>
      <c r="E674" s="34"/>
      <c r="F674" s="35"/>
      <c r="G674" s="34"/>
      <c r="H674" s="34"/>
      <c r="I674" s="34"/>
      <c r="J674" s="34"/>
      <c r="K674" s="34"/>
      <c r="L674" s="34"/>
      <c r="M674" s="34"/>
      <c r="N674" s="34"/>
      <c r="O674" s="36"/>
      <c r="P674" s="34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15.75" customHeight="1">
      <c r="A675" s="34"/>
      <c r="B675" s="34"/>
      <c r="C675" s="34"/>
      <c r="D675" s="34"/>
      <c r="E675" s="34"/>
      <c r="F675" s="35"/>
      <c r="G675" s="34"/>
      <c r="H675" s="34"/>
      <c r="I675" s="34"/>
      <c r="J675" s="34"/>
      <c r="K675" s="34"/>
      <c r="L675" s="34"/>
      <c r="M675" s="34"/>
      <c r="N675" s="34"/>
      <c r="O675" s="36"/>
      <c r="P675" s="34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15.75" customHeight="1">
      <c r="A676" s="34"/>
      <c r="B676" s="34"/>
      <c r="C676" s="34"/>
      <c r="D676" s="34"/>
      <c r="E676" s="34"/>
      <c r="F676" s="35"/>
      <c r="G676" s="34"/>
      <c r="H676" s="34"/>
      <c r="I676" s="34"/>
      <c r="J676" s="34"/>
      <c r="K676" s="34"/>
      <c r="L676" s="34"/>
      <c r="M676" s="34"/>
      <c r="N676" s="34"/>
      <c r="O676" s="36"/>
      <c r="P676" s="34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15.75" customHeight="1">
      <c r="A677" s="34"/>
      <c r="B677" s="34"/>
      <c r="C677" s="34"/>
      <c r="D677" s="34"/>
      <c r="E677" s="34"/>
      <c r="F677" s="35"/>
      <c r="G677" s="34"/>
      <c r="H677" s="34"/>
      <c r="I677" s="34"/>
      <c r="J677" s="34"/>
      <c r="K677" s="34"/>
      <c r="L677" s="34"/>
      <c r="M677" s="34"/>
      <c r="N677" s="34"/>
      <c r="O677" s="36"/>
      <c r="P677" s="34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15.75" customHeight="1">
      <c r="A678" s="34"/>
      <c r="B678" s="34"/>
      <c r="C678" s="34"/>
      <c r="D678" s="34"/>
      <c r="E678" s="34"/>
      <c r="F678" s="35"/>
      <c r="G678" s="34"/>
      <c r="H678" s="34"/>
      <c r="I678" s="34"/>
      <c r="J678" s="34"/>
      <c r="K678" s="34"/>
      <c r="L678" s="34"/>
      <c r="M678" s="34"/>
      <c r="N678" s="34"/>
      <c r="O678" s="36"/>
      <c r="P678" s="34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15.75" customHeight="1">
      <c r="A679" s="34"/>
      <c r="B679" s="34"/>
      <c r="C679" s="34"/>
      <c r="D679" s="34"/>
      <c r="E679" s="34"/>
      <c r="F679" s="35"/>
      <c r="G679" s="34"/>
      <c r="H679" s="34"/>
      <c r="I679" s="34"/>
      <c r="J679" s="34"/>
      <c r="K679" s="34"/>
      <c r="L679" s="34"/>
      <c r="M679" s="34"/>
      <c r="N679" s="34"/>
      <c r="O679" s="36"/>
      <c r="P679" s="34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15.75" customHeight="1">
      <c r="A680" s="34"/>
      <c r="B680" s="34"/>
      <c r="C680" s="34"/>
      <c r="D680" s="34"/>
      <c r="E680" s="34"/>
      <c r="F680" s="35"/>
      <c r="G680" s="34"/>
      <c r="H680" s="34"/>
      <c r="I680" s="34"/>
      <c r="J680" s="34"/>
      <c r="K680" s="34"/>
      <c r="L680" s="34"/>
      <c r="M680" s="34"/>
      <c r="N680" s="34"/>
      <c r="O680" s="36"/>
      <c r="P680" s="34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15.75" customHeight="1">
      <c r="A681" s="34"/>
      <c r="B681" s="34"/>
      <c r="C681" s="34"/>
      <c r="D681" s="34"/>
      <c r="E681" s="34"/>
      <c r="F681" s="35"/>
      <c r="G681" s="34"/>
      <c r="H681" s="34"/>
      <c r="I681" s="34"/>
      <c r="J681" s="34"/>
      <c r="K681" s="34"/>
      <c r="L681" s="34"/>
      <c r="M681" s="34"/>
      <c r="N681" s="34"/>
      <c r="O681" s="36"/>
      <c r="P681" s="34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15.75" customHeight="1">
      <c r="A682" s="34"/>
      <c r="B682" s="34"/>
      <c r="C682" s="34"/>
      <c r="D682" s="34"/>
      <c r="E682" s="34"/>
      <c r="F682" s="35"/>
      <c r="G682" s="34"/>
      <c r="H682" s="34"/>
      <c r="I682" s="34"/>
      <c r="J682" s="34"/>
      <c r="K682" s="34"/>
      <c r="L682" s="34"/>
      <c r="M682" s="34"/>
      <c r="N682" s="34"/>
      <c r="O682" s="36"/>
      <c r="P682" s="34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15.75" customHeight="1">
      <c r="A683" s="34"/>
      <c r="B683" s="34"/>
      <c r="C683" s="34"/>
      <c r="D683" s="34"/>
      <c r="E683" s="34"/>
      <c r="F683" s="35"/>
      <c r="G683" s="34"/>
      <c r="H683" s="34"/>
      <c r="I683" s="34"/>
      <c r="J683" s="34"/>
      <c r="K683" s="34"/>
      <c r="L683" s="34"/>
      <c r="M683" s="34"/>
      <c r="N683" s="34"/>
      <c r="O683" s="36"/>
      <c r="P683" s="34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15.75" customHeight="1">
      <c r="A684" s="34"/>
      <c r="B684" s="34"/>
      <c r="C684" s="34"/>
      <c r="D684" s="34"/>
      <c r="E684" s="34"/>
      <c r="F684" s="35"/>
      <c r="G684" s="34"/>
      <c r="H684" s="34"/>
      <c r="I684" s="34"/>
      <c r="J684" s="34"/>
      <c r="K684" s="34"/>
      <c r="L684" s="34"/>
      <c r="M684" s="34"/>
      <c r="N684" s="34"/>
      <c r="O684" s="36"/>
      <c r="P684" s="34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15.75" customHeight="1">
      <c r="A685" s="34"/>
      <c r="B685" s="34"/>
      <c r="C685" s="34"/>
      <c r="D685" s="34"/>
      <c r="E685" s="34"/>
      <c r="F685" s="35"/>
      <c r="G685" s="34"/>
      <c r="H685" s="34"/>
      <c r="I685" s="34"/>
      <c r="J685" s="34"/>
      <c r="K685" s="34"/>
      <c r="L685" s="34"/>
      <c r="M685" s="34"/>
      <c r="N685" s="34"/>
      <c r="O685" s="36"/>
      <c r="P685" s="34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15.75" customHeight="1">
      <c r="A686" s="34"/>
      <c r="B686" s="34"/>
      <c r="C686" s="34"/>
      <c r="D686" s="34"/>
      <c r="E686" s="34"/>
      <c r="F686" s="35"/>
      <c r="G686" s="34"/>
      <c r="H686" s="34"/>
      <c r="I686" s="34"/>
      <c r="J686" s="34"/>
      <c r="K686" s="34"/>
      <c r="L686" s="34"/>
      <c r="M686" s="34"/>
      <c r="N686" s="34"/>
      <c r="O686" s="36"/>
      <c r="P686" s="34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15.75" customHeight="1">
      <c r="A687" s="34"/>
      <c r="B687" s="34"/>
      <c r="C687" s="34"/>
      <c r="D687" s="34"/>
      <c r="E687" s="34"/>
      <c r="F687" s="35"/>
      <c r="G687" s="34"/>
      <c r="H687" s="34"/>
      <c r="I687" s="34"/>
      <c r="J687" s="34"/>
      <c r="K687" s="34"/>
      <c r="L687" s="34"/>
      <c r="M687" s="34"/>
      <c r="N687" s="34"/>
      <c r="O687" s="36"/>
      <c r="P687" s="34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15.75" customHeight="1">
      <c r="A688" s="34"/>
      <c r="B688" s="34"/>
      <c r="C688" s="34"/>
      <c r="D688" s="34"/>
      <c r="E688" s="34"/>
      <c r="F688" s="35"/>
      <c r="G688" s="34"/>
      <c r="H688" s="34"/>
      <c r="I688" s="34"/>
      <c r="J688" s="34"/>
      <c r="K688" s="34"/>
      <c r="L688" s="34"/>
      <c r="M688" s="34"/>
      <c r="N688" s="34"/>
      <c r="O688" s="36"/>
      <c r="P688" s="34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15.75" customHeight="1">
      <c r="A689" s="34"/>
      <c r="B689" s="34"/>
      <c r="C689" s="34"/>
      <c r="D689" s="34"/>
      <c r="E689" s="34"/>
      <c r="F689" s="35"/>
      <c r="G689" s="34"/>
      <c r="H689" s="34"/>
      <c r="I689" s="34"/>
      <c r="J689" s="34"/>
      <c r="K689" s="34"/>
      <c r="L689" s="34"/>
      <c r="M689" s="34"/>
      <c r="N689" s="34"/>
      <c r="O689" s="36"/>
      <c r="P689" s="34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15.75" customHeight="1">
      <c r="A690" s="34"/>
      <c r="B690" s="34"/>
      <c r="C690" s="34"/>
      <c r="D690" s="34"/>
      <c r="E690" s="34"/>
      <c r="F690" s="35"/>
      <c r="G690" s="34"/>
      <c r="H690" s="34"/>
      <c r="I690" s="34"/>
      <c r="J690" s="34"/>
      <c r="K690" s="34"/>
      <c r="L690" s="34"/>
      <c r="M690" s="34"/>
      <c r="N690" s="34"/>
      <c r="O690" s="36"/>
      <c r="P690" s="34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15.75" customHeight="1">
      <c r="A691" s="34"/>
      <c r="B691" s="34"/>
      <c r="C691" s="34"/>
      <c r="D691" s="34"/>
      <c r="E691" s="34"/>
      <c r="F691" s="35"/>
      <c r="G691" s="34"/>
      <c r="H691" s="34"/>
      <c r="I691" s="34"/>
      <c r="J691" s="34"/>
      <c r="K691" s="34"/>
      <c r="L691" s="34"/>
      <c r="M691" s="34"/>
      <c r="N691" s="34"/>
      <c r="O691" s="36"/>
      <c r="P691" s="34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15.75" customHeight="1">
      <c r="A692" s="34"/>
      <c r="B692" s="34"/>
      <c r="C692" s="34"/>
      <c r="D692" s="34"/>
      <c r="E692" s="34"/>
      <c r="F692" s="35"/>
      <c r="G692" s="34"/>
      <c r="H692" s="34"/>
      <c r="I692" s="34"/>
      <c r="J692" s="34"/>
      <c r="K692" s="34"/>
      <c r="L692" s="34"/>
      <c r="M692" s="34"/>
      <c r="N692" s="34"/>
      <c r="O692" s="36"/>
      <c r="P692" s="34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15.75" customHeight="1">
      <c r="A693" s="34"/>
      <c r="B693" s="34"/>
      <c r="C693" s="34"/>
      <c r="D693" s="34"/>
      <c r="E693" s="34"/>
      <c r="F693" s="35"/>
      <c r="G693" s="34"/>
      <c r="H693" s="34"/>
      <c r="I693" s="34"/>
      <c r="J693" s="34"/>
      <c r="K693" s="34"/>
      <c r="L693" s="34"/>
      <c r="M693" s="34"/>
      <c r="N693" s="34"/>
      <c r="O693" s="36"/>
      <c r="P693" s="34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15.75" customHeight="1">
      <c r="A694" s="34"/>
      <c r="B694" s="34"/>
      <c r="C694" s="34"/>
      <c r="D694" s="34"/>
      <c r="E694" s="34"/>
      <c r="F694" s="35"/>
      <c r="G694" s="34"/>
      <c r="H694" s="34"/>
      <c r="I694" s="34"/>
      <c r="J694" s="34"/>
      <c r="K694" s="34"/>
      <c r="L694" s="34"/>
      <c r="M694" s="34"/>
      <c r="N694" s="34"/>
      <c r="O694" s="36"/>
      <c r="P694" s="34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15.75" customHeight="1">
      <c r="A695" s="34"/>
      <c r="B695" s="34"/>
      <c r="C695" s="34"/>
      <c r="D695" s="34"/>
      <c r="E695" s="34"/>
      <c r="F695" s="35"/>
      <c r="G695" s="34"/>
      <c r="H695" s="34"/>
      <c r="I695" s="34"/>
      <c r="J695" s="34"/>
      <c r="K695" s="34"/>
      <c r="L695" s="34"/>
      <c r="M695" s="34"/>
      <c r="N695" s="34"/>
      <c r="O695" s="36"/>
      <c r="P695" s="34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15.75" customHeight="1">
      <c r="A696" s="34"/>
      <c r="B696" s="34"/>
      <c r="C696" s="34"/>
      <c r="D696" s="34"/>
      <c r="E696" s="34"/>
      <c r="F696" s="35"/>
      <c r="G696" s="34"/>
      <c r="H696" s="34"/>
      <c r="I696" s="34"/>
      <c r="J696" s="34"/>
      <c r="K696" s="34"/>
      <c r="L696" s="34"/>
      <c r="M696" s="34"/>
      <c r="N696" s="34"/>
      <c r="O696" s="36"/>
      <c r="P696" s="34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15.75" customHeight="1">
      <c r="A697" s="34"/>
      <c r="B697" s="34"/>
      <c r="C697" s="34"/>
      <c r="D697" s="34"/>
      <c r="E697" s="34"/>
      <c r="F697" s="35"/>
      <c r="G697" s="34"/>
      <c r="H697" s="34"/>
      <c r="I697" s="34"/>
      <c r="J697" s="34"/>
      <c r="K697" s="34"/>
      <c r="L697" s="34"/>
      <c r="M697" s="34"/>
      <c r="N697" s="34"/>
      <c r="O697" s="36"/>
      <c r="P697" s="34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15.75" customHeight="1">
      <c r="A698" s="34"/>
      <c r="B698" s="34"/>
      <c r="C698" s="34"/>
      <c r="D698" s="34"/>
      <c r="E698" s="34"/>
      <c r="F698" s="35"/>
      <c r="G698" s="34"/>
      <c r="H698" s="34"/>
      <c r="I698" s="34"/>
      <c r="J698" s="34"/>
      <c r="K698" s="34"/>
      <c r="L698" s="34"/>
      <c r="M698" s="34"/>
      <c r="N698" s="34"/>
      <c r="O698" s="36"/>
      <c r="P698" s="34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15.75" customHeight="1">
      <c r="A699" s="34"/>
      <c r="B699" s="34"/>
      <c r="C699" s="34"/>
      <c r="D699" s="34"/>
      <c r="E699" s="34"/>
      <c r="F699" s="35"/>
      <c r="G699" s="34"/>
      <c r="H699" s="34"/>
      <c r="I699" s="34"/>
      <c r="J699" s="34"/>
      <c r="K699" s="34"/>
      <c r="L699" s="34"/>
      <c r="M699" s="34"/>
      <c r="N699" s="34"/>
      <c r="O699" s="36"/>
      <c r="P699" s="34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15.75" customHeight="1">
      <c r="A700" s="34"/>
      <c r="B700" s="34"/>
      <c r="C700" s="34"/>
      <c r="D700" s="34"/>
      <c r="E700" s="34"/>
      <c r="F700" s="35"/>
      <c r="G700" s="34"/>
      <c r="H700" s="34"/>
      <c r="I700" s="34"/>
      <c r="J700" s="34"/>
      <c r="K700" s="34"/>
      <c r="L700" s="34"/>
      <c r="M700" s="34"/>
      <c r="N700" s="34"/>
      <c r="O700" s="36"/>
      <c r="P700" s="34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15.75" customHeight="1">
      <c r="A701" s="34"/>
      <c r="B701" s="34"/>
      <c r="C701" s="34"/>
      <c r="D701" s="34"/>
      <c r="E701" s="34"/>
      <c r="F701" s="35"/>
      <c r="G701" s="34"/>
      <c r="H701" s="34"/>
      <c r="I701" s="34"/>
      <c r="J701" s="34"/>
      <c r="K701" s="34"/>
      <c r="L701" s="34"/>
      <c r="M701" s="34"/>
      <c r="N701" s="34"/>
      <c r="O701" s="36"/>
      <c r="P701" s="34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15.75" customHeight="1">
      <c r="A702" s="34"/>
      <c r="B702" s="34"/>
      <c r="C702" s="34"/>
      <c r="D702" s="34"/>
      <c r="E702" s="34"/>
      <c r="F702" s="35"/>
      <c r="G702" s="34"/>
      <c r="H702" s="34"/>
      <c r="I702" s="34"/>
      <c r="J702" s="34"/>
      <c r="K702" s="34"/>
      <c r="L702" s="34"/>
      <c r="M702" s="34"/>
      <c r="N702" s="34"/>
      <c r="O702" s="36"/>
      <c r="P702" s="34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15.75" customHeight="1">
      <c r="A703" s="34"/>
      <c r="B703" s="34"/>
      <c r="C703" s="34"/>
      <c r="D703" s="34"/>
      <c r="E703" s="34"/>
      <c r="F703" s="35"/>
      <c r="G703" s="34"/>
      <c r="H703" s="34"/>
      <c r="I703" s="34"/>
      <c r="J703" s="34"/>
      <c r="K703" s="34"/>
      <c r="L703" s="34"/>
      <c r="M703" s="34"/>
      <c r="N703" s="34"/>
      <c r="O703" s="36"/>
      <c r="P703" s="34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15.75" customHeight="1">
      <c r="A704" s="34"/>
      <c r="B704" s="34"/>
      <c r="C704" s="34"/>
      <c r="D704" s="34"/>
      <c r="E704" s="34"/>
      <c r="F704" s="35"/>
      <c r="G704" s="34"/>
      <c r="H704" s="34"/>
      <c r="I704" s="34"/>
      <c r="J704" s="34"/>
      <c r="K704" s="34"/>
      <c r="L704" s="34"/>
      <c r="M704" s="34"/>
      <c r="N704" s="34"/>
      <c r="O704" s="36"/>
      <c r="P704" s="34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15.75" customHeight="1">
      <c r="A705" s="34"/>
      <c r="B705" s="34"/>
      <c r="C705" s="34"/>
      <c r="D705" s="34"/>
      <c r="E705" s="34"/>
      <c r="F705" s="35"/>
      <c r="G705" s="34"/>
      <c r="H705" s="34"/>
      <c r="I705" s="34"/>
      <c r="J705" s="34"/>
      <c r="K705" s="34"/>
      <c r="L705" s="34"/>
      <c r="M705" s="34"/>
      <c r="N705" s="34"/>
      <c r="O705" s="36"/>
      <c r="P705" s="34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15.75" customHeight="1">
      <c r="A706" s="34"/>
      <c r="B706" s="34"/>
      <c r="C706" s="34"/>
      <c r="D706" s="34"/>
      <c r="E706" s="34"/>
      <c r="F706" s="35"/>
      <c r="G706" s="34"/>
      <c r="H706" s="34"/>
      <c r="I706" s="34"/>
      <c r="J706" s="34"/>
      <c r="K706" s="34"/>
      <c r="L706" s="34"/>
      <c r="M706" s="34"/>
      <c r="N706" s="34"/>
      <c r="O706" s="36"/>
      <c r="P706" s="34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15.75" customHeight="1">
      <c r="A707" s="34"/>
      <c r="B707" s="34"/>
      <c r="C707" s="34"/>
      <c r="D707" s="34"/>
      <c r="E707" s="34"/>
      <c r="F707" s="35"/>
      <c r="G707" s="34"/>
      <c r="H707" s="34"/>
      <c r="I707" s="34"/>
      <c r="J707" s="34"/>
      <c r="K707" s="34"/>
      <c r="L707" s="34"/>
      <c r="M707" s="34"/>
      <c r="N707" s="34"/>
      <c r="O707" s="36"/>
      <c r="P707" s="34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15.75" customHeight="1">
      <c r="A708" s="34"/>
      <c r="B708" s="34"/>
      <c r="C708" s="34"/>
      <c r="D708" s="34"/>
      <c r="E708" s="34"/>
      <c r="F708" s="35"/>
      <c r="G708" s="34"/>
      <c r="H708" s="34"/>
      <c r="I708" s="34"/>
      <c r="J708" s="34"/>
      <c r="K708" s="34"/>
      <c r="L708" s="34"/>
      <c r="M708" s="34"/>
      <c r="N708" s="34"/>
      <c r="O708" s="36"/>
      <c r="P708" s="34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15.75" customHeight="1">
      <c r="A709" s="34"/>
      <c r="B709" s="34"/>
      <c r="C709" s="34"/>
      <c r="D709" s="34"/>
      <c r="E709" s="34"/>
      <c r="F709" s="35"/>
      <c r="G709" s="34"/>
      <c r="H709" s="34"/>
      <c r="I709" s="34"/>
      <c r="J709" s="34"/>
      <c r="K709" s="34"/>
      <c r="L709" s="34"/>
      <c r="M709" s="34"/>
      <c r="N709" s="34"/>
      <c r="O709" s="36"/>
      <c r="P709" s="34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15.75" customHeight="1">
      <c r="A710" s="34"/>
      <c r="B710" s="34"/>
      <c r="C710" s="34"/>
      <c r="D710" s="34"/>
      <c r="E710" s="34"/>
      <c r="F710" s="35"/>
      <c r="G710" s="34"/>
      <c r="H710" s="34"/>
      <c r="I710" s="34"/>
      <c r="J710" s="34"/>
      <c r="K710" s="34"/>
      <c r="L710" s="34"/>
      <c r="M710" s="34"/>
      <c r="N710" s="34"/>
      <c r="O710" s="36"/>
      <c r="P710" s="34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15.75" customHeight="1">
      <c r="A711" s="34"/>
      <c r="B711" s="34"/>
      <c r="C711" s="34"/>
      <c r="D711" s="34"/>
      <c r="E711" s="34"/>
      <c r="F711" s="35"/>
      <c r="G711" s="34"/>
      <c r="H711" s="34"/>
      <c r="I711" s="34"/>
      <c r="J711" s="34"/>
      <c r="K711" s="34"/>
      <c r="L711" s="34"/>
      <c r="M711" s="34"/>
      <c r="N711" s="34"/>
      <c r="O711" s="36"/>
      <c r="P711" s="34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15.75" customHeight="1">
      <c r="A712" s="34"/>
      <c r="B712" s="34"/>
      <c r="C712" s="34"/>
      <c r="D712" s="34"/>
      <c r="E712" s="34"/>
      <c r="F712" s="35"/>
      <c r="G712" s="34"/>
      <c r="H712" s="34"/>
      <c r="I712" s="34"/>
      <c r="J712" s="34"/>
      <c r="K712" s="34"/>
      <c r="L712" s="34"/>
      <c r="M712" s="34"/>
      <c r="N712" s="34"/>
      <c r="O712" s="36"/>
      <c r="P712" s="34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15.75" customHeight="1">
      <c r="A713" s="34"/>
      <c r="B713" s="34"/>
      <c r="C713" s="34"/>
      <c r="D713" s="34"/>
      <c r="E713" s="34"/>
      <c r="F713" s="35"/>
      <c r="G713" s="34"/>
      <c r="H713" s="34"/>
      <c r="I713" s="34"/>
      <c r="J713" s="34"/>
      <c r="K713" s="34"/>
      <c r="L713" s="34"/>
      <c r="M713" s="34"/>
      <c r="N713" s="34"/>
      <c r="O713" s="36"/>
      <c r="P713" s="34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15.75" customHeight="1">
      <c r="A714" s="34"/>
      <c r="B714" s="34"/>
      <c r="C714" s="34"/>
      <c r="D714" s="34"/>
      <c r="E714" s="34"/>
      <c r="F714" s="35"/>
      <c r="G714" s="34"/>
      <c r="H714" s="34"/>
      <c r="I714" s="34"/>
      <c r="J714" s="34"/>
      <c r="K714" s="34"/>
      <c r="L714" s="34"/>
      <c r="M714" s="34"/>
      <c r="N714" s="34"/>
      <c r="O714" s="36"/>
      <c r="P714" s="34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15.75" customHeight="1">
      <c r="A715" s="34"/>
      <c r="B715" s="34"/>
      <c r="C715" s="34"/>
      <c r="D715" s="34"/>
      <c r="E715" s="34"/>
      <c r="F715" s="35"/>
      <c r="G715" s="34"/>
      <c r="H715" s="34"/>
      <c r="I715" s="34"/>
      <c r="J715" s="34"/>
      <c r="K715" s="34"/>
      <c r="L715" s="34"/>
      <c r="M715" s="34"/>
      <c r="N715" s="34"/>
      <c r="O715" s="36"/>
      <c r="P715" s="34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15.75" customHeight="1">
      <c r="A716" s="34"/>
      <c r="B716" s="34"/>
      <c r="C716" s="34"/>
      <c r="D716" s="34"/>
      <c r="E716" s="34"/>
      <c r="F716" s="35"/>
      <c r="G716" s="34"/>
      <c r="H716" s="34"/>
      <c r="I716" s="34"/>
      <c r="J716" s="34"/>
      <c r="K716" s="34"/>
      <c r="L716" s="34"/>
      <c r="M716" s="34"/>
      <c r="N716" s="34"/>
      <c r="O716" s="36"/>
      <c r="P716" s="34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15.75" customHeight="1">
      <c r="A717" s="34"/>
      <c r="B717" s="34"/>
      <c r="C717" s="34"/>
      <c r="D717" s="34"/>
      <c r="E717" s="34"/>
      <c r="F717" s="35"/>
      <c r="G717" s="34"/>
      <c r="H717" s="34"/>
      <c r="I717" s="34"/>
      <c r="J717" s="34"/>
      <c r="K717" s="34"/>
      <c r="L717" s="34"/>
      <c r="M717" s="34"/>
      <c r="N717" s="34"/>
      <c r="O717" s="36"/>
      <c r="P717" s="34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15.75" customHeight="1">
      <c r="A718" s="34"/>
      <c r="B718" s="34"/>
      <c r="C718" s="34"/>
      <c r="D718" s="34"/>
      <c r="E718" s="34"/>
      <c r="F718" s="35"/>
      <c r="G718" s="34"/>
      <c r="H718" s="34"/>
      <c r="I718" s="34"/>
      <c r="J718" s="34"/>
      <c r="K718" s="34"/>
      <c r="L718" s="34"/>
      <c r="M718" s="34"/>
      <c r="N718" s="34"/>
      <c r="O718" s="36"/>
      <c r="P718" s="34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15.75" customHeight="1">
      <c r="A719" s="34"/>
      <c r="B719" s="34"/>
      <c r="C719" s="34"/>
      <c r="D719" s="34"/>
      <c r="E719" s="34"/>
      <c r="F719" s="35"/>
      <c r="G719" s="34"/>
      <c r="H719" s="34"/>
      <c r="I719" s="34"/>
      <c r="J719" s="34"/>
      <c r="K719" s="34"/>
      <c r="L719" s="34"/>
      <c r="M719" s="34"/>
      <c r="N719" s="34"/>
      <c r="O719" s="36"/>
      <c r="P719" s="34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15.75" customHeight="1">
      <c r="A720" s="34"/>
      <c r="B720" s="34"/>
      <c r="C720" s="34"/>
      <c r="D720" s="34"/>
      <c r="E720" s="34"/>
      <c r="F720" s="35"/>
      <c r="G720" s="34"/>
      <c r="H720" s="34"/>
      <c r="I720" s="34"/>
      <c r="J720" s="34"/>
      <c r="K720" s="34"/>
      <c r="L720" s="34"/>
      <c r="M720" s="34"/>
      <c r="N720" s="34"/>
      <c r="O720" s="36"/>
      <c r="P720" s="34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15.75" customHeight="1">
      <c r="A721" s="34"/>
      <c r="B721" s="34"/>
      <c r="C721" s="34"/>
      <c r="D721" s="34"/>
      <c r="E721" s="34"/>
      <c r="F721" s="35"/>
      <c r="G721" s="34"/>
      <c r="H721" s="34"/>
      <c r="I721" s="34"/>
      <c r="J721" s="34"/>
      <c r="K721" s="34"/>
      <c r="L721" s="34"/>
      <c r="M721" s="34"/>
      <c r="N721" s="34"/>
      <c r="O721" s="36"/>
      <c r="P721" s="34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15.75" customHeight="1">
      <c r="A722" s="34"/>
      <c r="B722" s="34"/>
      <c r="C722" s="34"/>
      <c r="D722" s="34"/>
      <c r="E722" s="34"/>
      <c r="F722" s="35"/>
      <c r="G722" s="34"/>
      <c r="H722" s="34"/>
      <c r="I722" s="34"/>
      <c r="J722" s="34"/>
      <c r="K722" s="34"/>
      <c r="L722" s="34"/>
      <c r="M722" s="34"/>
      <c r="N722" s="34"/>
      <c r="O722" s="36"/>
      <c r="P722" s="34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15.75" customHeight="1">
      <c r="A723" s="34"/>
      <c r="B723" s="34"/>
      <c r="C723" s="34"/>
      <c r="D723" s="34"/>
      <c r="E723" s="34"/>
      <c r="F723" s="35"/>
      <c r="G723" s="34"/>
      <c r="H723" s="34"/>
      <c r="I723" s="34"/>
      <c r="J723" s="34"/>
      <c r="K723" s="34"/>
      <c r="L723" s="34"/>
      <c r="M723" s="34"/>
      <c r="N723" s="34"/>
      <c r="O723" s="36"/>
      <c r="P723" s="34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15.75" customHeight="1">
      <c r="A724" s="34"/>
      <c r="B724" s="34"/>
      <c r="C724" s="34"/>
      <c r="D724" s="34"/>
      <c r="E724" s="34"/>
      <c r="F724" s="35"/>
      <c r="G724" s="34"/>
      <c r="H724" s="34"/>
      <c r="I724" s="34"/>
      <c r="J724" s="34"/>
      <c r="K724" s="34"/>
      <c r="L724" s="34"/>
      <c r="M724" s="34"/>
      <c r="N724" s="34"/>
      <c r="O724" s="36"/>
      <c r="P724" s="34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15.75" customHeight="1">
      <c r="A725" s="34"/>
      <c r="B725" s="34"/>
      <c r="C725" s="34"/>
      <c r="D725" s="34"/>
      <c r="E725" s="34"/>
      <c r="F725" s="35"/>
      <c r="G725" s="34"/>
      <c r="H725" s="34"/>
      <c r="I725" s="34"/>
      <c r="J725" s="34"/>
      <c r="K725" s="34"/>
      <c r="L725" s="34"/>
      <c r="M725" s="34"/>
      <c r="N725" s="34"/>
      <c r="O725" s="36"/>
      <c r="P725" s="34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15.75" customHeight="1">
      <c r="A726" s="34"/>
      <c r="B726" s="34"/>
      <c r="C726" s="34"/>
      <c r="D726" s="34"/>
      <c r="E726" s="34"/>
      <c r="F726" s="35"/>
      <c r="G726" s="34"/>
      <c r="H726" s="34"/>
      <c r="I726" s="34"/>
      <c r="J726" s="34"/>
      <c r="K726" s="34"/>
      <c r="L726" s="34"/>
      <c r="M726" s="34"/>
      <c r="N726" s="34"/>
      <c r="O726" s="36"/>
      <c r="P726" s="34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15.75" customHeight="1">
      <c r="A727" s="34"/>
      <c r="B727" s="34"/>
      <c r="C727" s="34"/>
      <c r="D727" s="34"/>
      <c r="E727" s="34"/>
      <c r="F727" s="35"/>
      <c r="G727" s="34"/>
      <c r="H727" s="34"/>
      <c r="I727" s="34"/>
      <c r="J727" s="34"/>
      <c r="K727" s="34"/>
      <c r="L727" s="34"/>
      <c r="M727" s="34"/>
      <c r="N727" s="34"/>
      <c r="O727" s="36"/>
      <c r="P727" s="34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15.75" customHeight="1">
      <c r="A728" s="34"/>
      <c r="B728" s="34"/>
      <c r="C728" s="34"/>
      <c r="D728" s="34"/>
      <c r="E728" s="34"/>
      <c r="F728" s="35"/>
      <c r="G728" s="34"/>
      <c r="H728" s="34"/>
      <c r="I728" s="34"/>
      <c r="J728" s="34"/>
      <c r="K728" s="34"/>
      <c r="L728" s="34"/>
      <c r="M728" s="34"/>
      <c r="N728" s="34"/>
      <c r="O728" s="36"/>
      <c r="P728" s="34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15.75" customHeight="1">
      <c r="A729" s="34"/>
      <c r="B729" s="34"/>
      <c r="C729" s="34"/>
      <c r="D729" s="34"/>
      <c r="E729" s="34"/>
      <c r="F729" s="35"/>
      <c r="G729" s="34"/>
      <c r="H729" s="34"/>
      <c r="I729" s="34"/>
      <c r="J729" s="34"/>
      <c r="K729" s="34"/>
      <c r="L729" s="34"/>
      <c r="M729" s="34"/>
      <c r="N729" s="34"/>
      <c r="O729" s="36"/>
      <c r="P729" s="34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15.75" customHeight="1">
      <c r="A730" s="34"/>
      <c r="B730" s="34"/>
      <c r="C730" s="34"/>
      <c r="D730" s="34"/>
      <c r="E730" s="34"/>
      <c r="F730" s="35"/>
      <c r="G730" s="34"/>
      <c r="H730" s="34"/>
      <c r="I730" s="34"/>
      <c r="J730" s="34"/>
      <c r="K730" s="34"/>
      <c r="L730" s="34"/>
      <c r="M730" s="34"/>
      <c r="N730" s="34"/>
      <c r="O730" s="36"/>
      <c r="P730" s="34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15.75" customHeight="1">
      <c r="A731" s="34"/>
      <c r="B731" s="34"/>
      <c r="C731" s="34"/>
      <c r="D731" s="34"/>
      <c r="E731" s="34"/>
      <c r="F731" s="35"/>
      <c r="G731" s="34"/>
      <c r="H731" s="34"/>
      <c r="I731" s="34"/>
      <c r="J731" s="34"/>
      <c r="K731" s="34"/>
      <c r="L731" s="34"/>
      <c r="M731" s="34"/>
      <c r="N731" s="34"/>
      <c r="O731" s="36"/>
      <c r="P731" s="34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15.75" customHeight="1">
      <c r="A732" s="34"/>
      <c r="B732" s="34"/>
      <c r="C732" s="34"/>
      <c r="D732" s="34"/>
      <c r="E732" s="34"/>
      <c r="F732" s="35"/>
      <c r="G732" s="34"/>
      <c r="H732" s="34"/>
      <c r="I732" s="34"/>
      <c r="J732" s="34"/>
      <c r="K732" s="34"/>
      <c r="L732" s="34"/>
      <c r="M732" s="34"/>
      <c r="N732" s="34"/>
      <c r="O732" s="36"/>
      <c r="P732" s="34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15.75" customHeight="1">
      <c r="A733" s="34"/>
      <c r="B733" s="34"/>
      <c r="C733" s="34"/>
      <c r="D733" s="34"/>
      <c r="E733" s="34"/>
      <c r="F733" s="35"/>
      <c r="G733" s="34"/>
      <c r="H733" s="34"/>
      <c r="I733" s="34"/>
      <c r="J733" s="34"/>
      <c r="K733" s="34"/>
      <c r="L733" s="34"/>
      <c r="M733" s="34"/>
      <c r="N733" s="34"/>
      <c r="O733" s="36"/>
      <c r="P733" s="34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15.75" customHeight="1">
      <c r="A734" s="34"/>
      <c r="B734" s="34"/>
      <c r="C734" s="34"/>
      <c r="D734" s="34"/>
      <c r="E734" s="34"/>
      <c r="F734" s="35"/>
      <c r="G734" s="34"/>
      <c r="H734" s="34"/>
      <c r="I734" s="34"/>
      <c r="J734" s="34"/>
      <c r="K734" s="34"/>
      <c r="L734" s="34"/>
      <c r="M734" s="34"/>
      <c r="N734" s="34"/>
      <c r="O734" s="36"/>
      <c r="P734" s="34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15.75" customHeight="1">
      <c r="A735" s="34"/>
      <c r="B735" s="34"/>
      <c r="C735" s="34"/>
      <c r="D735" s="34"/>
      <c r="E735" s="34"/>
      <c r="F735" s="35"/>
      <c r="G735" s="34"/>
      <c r="H735" s="34"/>
      <c r="I735" s="34"/>
      <c r="J735" s="34"/>
      <c r="K735" s="34"/>
      <c r="L735" s="34"/>
      <c r="M735" s="34"/>
      <c r="N735" s="34"/>
      <c r="O735" s="36"/>
      <c r="P735" s="34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15.75" customHeight="1">
      <c r="A736" s="34"/>
      <c r="B736" s="34"/>
      <c r="C736" s="34"/>
      <c r="D736" s="34"/>
      <c r="E736" s="34"/>
      <c r="F736" s="35"/>
      <c r="G736" s="34"/>
      <c r="H736" s="34"/>
      <c r="I736" s="34"/>
      <c r="J736" s="34"/>
      <c r="K736" s="34"/>
      <c r="L736" s="34"/>
      <c r="M736" s="34"/>
      <c r="N736" s="34"/>
      <c r="O736" s="36"/>
      <c r="P736" s="34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15.75" customHeight="1">
      <c r="A737" s="34"/>
      <c r="B737" s="34"/>
      <c r="C737" s="34"/>
      <c r="D737" s="34"/>
      <c r="E737" s="34"/>
      <c r="F737" s="35"/>
      <c r="G737" s="34"/>
      <c r="H737" s="34"/>
      <c r="I737" s="34"/>
      <c r="J737" s="34"/>
      <c r="K737" s="34"/>
      <c r="L737" s="34"/>
      <c r="M737" s="34"/>
      <c r="N737" s="34"/>
      <c r="O737" s="36"/>
      <c r="P737" s="34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15.75" customHeight="1">
      <c r="A738" s="34"/>
      <c r="B738" s="34"/>
      <c r="C738" s="34"/>
      <c r="D738" s="34"/>
      <c r="E738" s="34"/>
      <c r="F738" s="35"/>
      <c r="G738" s="34"/>
      <c r="H738" s="34"/>
      <c r="I738" s="34"/>
      <c r="J738" s="34"/>
      <c r="K738" s="34"/>
      <c r="L738" s="34"/>
      <c r="M738" s="34"/>
      <c r="N738" s="34"/>
      <c r="O738" s="36"/>
      <c r="P738" s="34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15.75" customHeight="1">
      <c r="A739" s="34"/>
      <c r="B739" s="34"/>
      <c r="C739" s="34"/>
      <c r="D739" s="34"/>
      <c r="E739" s="34"/>
      <c r="F739" s="35"/>
      <c r="G739" s="34"/>
      <c r="H739" s="34"/>
      <c r="I739" s="34"/>
      <c r="J739" s="34"/>
      <c r="K739" s="34"/>
      <c r="L739" s="34"/>
      <c r="M739" s="34"/>
      <c r="N739" s="34"/>
      <c r="O739" s="36"/>
      <c r="P739" s="34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15.75" customHeight="1">
      <c r="A740" s="34"/>
      <c r="B740" s="34"/>
      <c r="C740" s="34"/>
      <c r="D740" s="34"/>
      <c r="E740" s="34"/>
      <c r="F740" s="35"/>
      <c r="G740" s="34"/>
      <c r="H740" s="34"/>
      <c r="I740" s="34"/>
      <c r="J740" s="34"/>
      <c r="K740" s="34"/>
      <c r="L740" s="34"/>
      <c r="M740" s="34"/>
      <c r="N740" s="34"/>
      <c r="O740" s="36"/>
      <c r="P740" s="34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15.75" customHeight="1">
      <c r="A741" s="34"/>
      <c r="B741" s="34"/>
      <c r="C741" s="34"/>
      <c r="D741" s="34"/>
      <c r="E741" s="34"/>
      <c r="F741" s="35"/>
      <c r="G741" s="34"/>
      <c r="H741" s="34"/>
      <c r="I741" s="34"/>
      <c r="J741" s="34"/>
      <c r="K741" s="34"/>
      <c r="L741" s="34"/>
      <c r="M741" s="34"/>
      <c r="N741" s="34"/>
      <c r="O741" s="36"/>
      <c r="P741" s="34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15.75" customHeight="1">
      <c r="A742" s="34"/>
      <c r="B742" s="34"/>
      <c r="C742" s="34"/>
      <c r="D742" s="34"/>
      <c r="E742" s="34"/>
      <c r="F742" s="35"/>
      <c r="G742" s="34"/>
      <c r="H742" s="34"/>
      <c r="I742" s="34"/>
      <c r="J742" s="34"/>
      <c r="K742" s="34"/>
      <c r="L742" s="34"/>
      <c r="M742" s="34"/>
      <c r="N742" s="34"/>
      <c r="O742" s="36"/>
      <c r="P742" s="34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15.75" customHeight="1">
      <c r="A743" s="34"/>
      <c r="B743" s="34"/>
      <c r="C743" s="34"/>
      <c r="D743" s="34"/>
      <c r="E743" s="34"/>
      <c r="F743" s="35"/>
      <c r="G743" s="34"/>
      <c r="H743" s="34"/>
      <c r="I743" s="34"/>
      <c r="J743" s="34"/>
      <c r="K743" s="34"/>
      <c r="L743" s="34"/>
      <c r="M743" s="34"/>
      <c r="N743" s="34"/>
      <c r="O743" s="36"/>
      <c r="P743" s="34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15.75" customHeight="1">
      <c r="A744" s="34"/>
      <c r="B744" s="34"/>
      <c r="C744" s="34"/>
      <c r="D744" s="34"/>
      <c r="E744" s="34"/>
      <c r="F744" s="35"/>
      <c r="G744" s="34"/>
      <c r="H744" s="34"/>
      <c r="I744" s="34"/>
      <c r="J744" s="34"/>
      <c r="K744" s="34"/>
      <c r="L744" s="34"/>
      <c r="M744" s="34"/>
      <c r="N744" s="34"/>
      <c r="O744" s="36"/>
      <c r="P744" s="34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15.75" customHeight="1">
      <c r="A745" s="34"/>
      <c r="B745" s="34"/>
      <c r="C745" s="34"/>
      <c r="D745" s="34"/>
      <c r="E745" s="34"/>
      <c r="F745" s="35"/>
      <c r="G745" s="34"/>
      <c r="H745" s="34"/>
      <c r="I745" s="34"/>
      <c r="J745" s="34"/>
      <c r="K745" s="34"/>
      <c r="L745" s="34"/>
      <c r="M745" s="34"/>
      <c r="N745" s="34"/>
      <c r="O745" s="36"/>
      <c r="P745" s="34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15.75" customHeight="1">
      <c r="A746" s="34"/>
      <c r="B746" s="34"/>
      <c r="C746" s="34"/>
      <c r="D746" s="34"/>
      <c r="E746" s="34"/>
      <c r="F746" s="35"/>
      <c r="G746" s="34"/>
      <c r="H746" s="34"/>
      <c r="I746" s="34"/>
      <c r="J746" s="34"/>
      <c r="K746" s="34"/>
      <c r="L746" s="34"/>
      <c r="M746" s="34"/>
      <c r="N746" s="34"/>
      <c r="O746" s="36"/>
      <c r="P746" s="34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15.75" customHeight="1">
      <c r="A747" s="34"/>
      <c r="B747" s="34"/>
      <c r="C747" s="34"/>
      <c r="D747" s="34"/>
      <c r="E747" s="34"/>
      <c r="F747" s="35"/>
      <c r="G747" s="34"/>
      <c r="H747" s="34"/>
      <c r="I747" s="34"/>
      <c r="J747" s="34"/>
      <c r="K747" s="34"/>
      <c r="L747" s="34"/>
      <c r="M747" s="34"/>
      <c r="N747" s="34"/>
      <c r="O747" s="36"/>
      <c r="P747" s="34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15.75" customHeight="1">
      <c r="A748" s="34"/>
      <c r="B748" s="34"/>
      <c r="C748" s="34"/>
      <c r="D748" s="34"/>
      <c r="E748" s="34"/>
      <c r="F748" s="35"/>
      <c r="G748" s="34"/>
      <c r="H748" s="34"/>
      <c r="I748" s="34"/>
      <c r="J748" s="34"/>
      <c r="K748" s="34"/>
      <c r="L748" s="34"/>
      <c r="M748" s="34"/>
      <c r="N748" s="34"/>
      <c r="O748" s="36"/>
      <c r="P748" s="34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15.75" customHeight="1">
      <c r="A749" s="34"/>
      <c r="B749" s="34"/>
      <c r="C749" s="34"/>
      <c r="D749" s="34"/>
      <c r="E749" s="34"/>
      <c r="F749" s="35"/>
      <c r="G749" s="34"/>
      <c r="H749" s="34"/>
      <c r="I749" s="34"/>
      <c r="J749" s="34"/>
      <c r="K749" s="34"/>
      <c r="L749" s="34"/>
      <c r="M749" s="34"/>
      <c r="N749" s="34"/>
      <c r="O749" s="36"/>
      <c r="P749" s="34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15.75" customHeight="1">
      <c r="A750" s="34"/>
      <c r="B750" s="34"/>
      <c r="C750" s="34"/>
      <c r="D750" s="34"/>
      <c r="E750" s="34"/>
      <c r="F750" s="35"/>
      <c r="G750" s="34"/>
      <c r="H750" s="34"/>
      <c r="I750" s="34"/>
      <c r="J750" s="34"/>
      <c r="K750" s="34"/>
      <c r="L750" s="34"/>
      <c r="M750" s="34"/>
      <c r="N750" s="34"/>
      <c r="O750" s="36"/>
      <c r="P750" s="34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15.75" customHeight="1">
      <c r="A751" s="34"/>
      <c r="B751" s="34"/>
      <c r="C751" s="34"/>
      <c r="D751" s="34"/>
      <c r="E751" s="34"/>
      <c r="F751" s="35"/>
      <c r="G751" s="34"/>
      <c r="H751" s="34"/>
      <c r="I751" s="34"/>
      <c r="J751" s="34"/>
      <c r="K751" s="34"/>
      <c r="L751" s="34"/>
      <c r="M751" s="34"/>
      <c r="N751" s="34"/>
      <c r="O751" s="36"/>
      <c r="P751" s="34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15.75" customHeight="1">
      <c r="A752" s="34"/>
      <c r="B752" s="34"/>
      <c r="C752" s="34"/>
      <c r="D752" s="34"/>
      <c r="E752" s="34"/>
      <c r="F752" s="35"/>
      <c r="G752" s="34"/>
      <c r="H752" s="34"/>
      <c r="I752" s="34"/>
      <c r="J752" s="34"/>
      <c r="K752" s="34"/>
      <c r="L752" s="34"/>
      <c r="M752" s="34"/>
      <c r="N752" s="34"/>
      <c r="O752" s="36"/>
      <c r="P752" s="34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15.75" customHeight="1">
      <c r="A753" s="34"/>
      <c r="B753" s="34"/>
      <c r="C753" s="34"/>
      <c r="D753" s="34"/>
      <c r="E753" s="34"/>
      <c r="F753" s="35"/>
      <c r="G753" s="34"/>
      <c r="H753" s="34"/>
      <c r="I753" s="34"/>
      <c r="J753" s="34"/>
      <c r="K753" s="34"/>
      <c r="L753" s="34"/>
      <c r="M753" s="34"/>
      <c r="N753" s="34"/>
      <c r="O753" s="36"/>
      <c r="P753" s="34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15.75" customHeight="1">
      <c r="A754" s="34"/>
      <c r="B754" s="34"/>
      <c r="C754" s="34"/>
      <c r="D754" s="34"/>
      <c r="E754" s="34"/>
      <c r="F754" s="35"/>
      <c r="G754" s="34"/>
      <c r="H754" s="34"/>
      <c r="I754" s="34"/>
      <c r="J754" s="34"/>
      <c r="K754" s="34"/>
      <c r="L754" s="34"/>
      <c r="M754" s="34"/>
      <c r="N754" s="34"/>
      <c r="O754" s="36"/>
      <c r="P754" s="34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15.75" customHeight="1">
      <c r="A755" s="34"/>
      <c r="B755" s="34"/>
      <c r="C755" s="34"/>
      <c r="D755" s="34"/>
      <c r="E755" s="34"/>
      <c r="F755" s="35"/>
      <c r="G755" s="34"/>
      <c r="H755" s="34"/>
      <c r="I755" s="34"/>
      <c r="J755" s="34"/>
      <c r="K755" s="34"/>
      <c r="L755" s="34"/>
      <c r="M755" s="34"/>
      <c r="N755" s="34"/>
      <c r="O755" s="36"/>
      <c r="P755" s="34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15.75" customHeight="1">
      <c r="A756" s="34"/>
      <c r="B756" s="34"/>
      <c r="C756" s="34"/>
      <c r="D756" s="34"/>
      <c r="E756" s="34"/>
      <c r="F756" s="35"/>
      <c r="G756" s="34"/>
      <c r="H756" s="34"/>
      <c r="I756" s="34"/>
      <c r="J756" s="34"/>
      <c r="K756" s="34"/>
      <c r="L756" s="34"/>
      <c r="M756" s="34"/>
      <c r="N756" s="34"/>
      <c r="O756" s="36"/>
      <c r="P756" s="34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15.75" customHeight="1">
      <c r="A757" s="34"/>
      <c r="B757" s="34"/>
      <c r="C757" s="34"/>
      <c r="D757" s="34"/>
      <c r="E757" s="34"/>
      <c r="F757" s="35"/>
      <c r="G757" s="34"/>
      <c r="H757" s="34"/>
      <c r="I757" s="34"/>
      <c r="J757" s="34"/>
      <c r="K757" s="34"/>
      <c r="L757" s="34"/>
      <c r="M757" s="34"/>
      <c r="N757" s="34"/>
      <c r="O757" s="36"/>
      <c r="P757" s="34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15.75" customHeight="1">
      <c r="A758" s="34"/>
      <c r="B758" s="34"/>
      <c r="C758" s="34"/>
      <c r="D758" s="34"/>
      <c r="E758" s="34"/>
      <c r="F758" s="35"/>
      <c r="G758" s="34"/>
      <c r="H758" s="34"/>
      <c r="I758" s="34"/>
      <c r="J758" s="34"/>
      <c r="K758" s="34"/>
      <c r="L758" s="34"/>
      <c r="M758" s="34"/>
      <c r="N758" s="34"/>
      <c r="O758" s="36"/>
      <c r="P758" s="34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15.75" customHeight="1">
      <c r="A759" s="34"/>
      <c r="B759" s="34"/>
      <c r="C759" s="34"/>
      <c r="D759" s="34"/>
      <c r="E759" s="34"/>
      <c r="F759" s="35"/>
      <c r="G759" s="34"/>
      <c r="H759" s="34"/>
      <c r="I759" s="34"/>
      <c r="J759" s="34"/>
      <c r="K759" s="34"/>
      <c r="L759" s="34"/>
      <c r="M759" s="34"/>
      <c r="N759" s="34"/>
      <c r="O759" s="36"/>
      <c r="P759" s="34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15.75" customHeight="1">
      <c r="A760" s="34"/>
      <c r="B760" s="34"/>
      <c r="C760" s="34"/>
      <c r="D760" s="34"/>
      <c r="E760" s="34"/>
      <c r="F760" s="35"/>
      <c r="G760" s="34"/>
      <c r="H760" s="34"/>
      <c r="I760" s="34"/>
      <c r="J760" s="34"/>
      <c r="K760" s="34"/>
      <c r="L760" s="34"/>
      <c r="M760" s="34"/>
      <c r="N760" s="34"/>
      <c r="O760" s="36"/>
      <c r="P760" s="34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15.75" customHeight="1">
      <c r="A761" s="34"/>
      <c r="B761" s="34"/>
      <c r="C761" s="34"/>
      <c r="D761" s="34"/>
      <c r="E761" s="34"/>
      <c r="F761" s="35"/>
      <c r="G761" s="34"/>
      <c r="H761" s="34"/>
      <c r="I761" s="34"/>
      <c r="J761" s="34"/>
      <c r="K761" s="34"/>
      <c r="L761" s="34"/>
      <c r="M761" s="34"/>
      <c r="N761" s="34"/>
      <c r="O761" s="36"/>
      <c r="P761" s="34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15.75" customHeight="1">
      <c r="A762" s="34"/>
      <c r="B762" s="34"/>
      <c r="C762" s="34"/>
      <c r="D762" s="34"/>
      <c r="E762" s="34"/>
      <c r="F762" s="35"/>
      <c r="G762" s="34"/>
      <c r="H762" s="34"/>
      <c r="I762" s="34"/>
      <c r="J762" s="34"/>
      <c r="K762" s="34"/>
      <c r="L762" s="34"/>
      <c r="M762" s="34"/>
      <c r="N762" s="34"/>
      <c r="O762" s="36"/>
      <c r="P762" s="34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15.75" customHeight="1">
      <c r="A763" s="34"/>
      <c r="B763" s="34"/>
      <c r="C763" s="34"/>
      <c r="D763" s="34"/>
      <c r="E763" s="34"/>
      <c r="F763" s="35"/>
      <c r="G763" s="34"/>
      <c r="H763" s="34"/>
      <c r="I763" s="34"/>
      <c r="J763" s="34"/>
      <c r="K763" s="34"/>
      <c r="L763" s="34"/>
      <c r="M763" s="34"/>
      <c r="N763" s="34"/>
      <c r="O763" s="36"/>
      <c r="P763" s="34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15.75" customHeight="1">
      <c r="A764" s="34"/>
      <c r="B764" s="34"/>
      <c r="C764" s="34"/>
      <c r="D764" s="34"/>
      <c r="E764" s="34"/>
      <c r="F764" s="35"/>
      <c r="G764" s="34"/>
      <c r="H764" s="34"/>
      <c r="I764" s="34"/>
      <c r="J764" s="34"/>
      <c r="K764" s="34"/>
      <c r="L764" s="34"/>
      <c r="M764" s="34"/>
      <c r="N764" s="34"/>
      <c r="O764" s="36"/>
      <c r="P764" s="34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15.75" customHeight="1">
      <c r="A765" s="34"/>
      <c r="B765" s="34"/>
      <c r="C765" s="34"/>
      <c r="D765" s="34"/>
      <c r="E765" s="34"/>
      <c r="F765" s="35"/>
      <c r="G765" s="34"/>
      <c r="H765" s="34"/>
      <c r="I765" s="34"/>
      <c r="J765" s="34"/>
      <c r="K765" s="34"/>
      <c r="L765" s="34"/>
      <c r="M765" s="34"/>
      <c r="N765" s="34"/>
      <c r="O765" s="36"/>
      <c r="P765" s="34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15.75" customHeight="1">
      <c r="A766" s="34"/>
      <c r="B766" s="34"/>
      <c r="C766" s="34"/>
      <c r="D766" s="34"/>
      <c r="E766" s="34"/>
      <c r="F766" s="35"/>
      <c r="G766" s="34"/>
      <c r="H766" s="34"/>
      <c r="I766" s="34"/>
      <c r="J766" s="34"/>
      <c r="K766" s="34"/>
      <c r="L766" s="34"/>
      <c r="M766" s="34"/>
      <c r="N766" s="34"/>
      <c r="O766" s="36"/>
      <c r="P766" s="34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15.75" customHeight="1">
      <c r="A767" s="34"/>
      <c r="B767" s="34"/>
      <c r="C767" s="34"/>
      <c r="D767" s="34"/>
      <c r="E767" s="34"/>
      <c r="F767" s="35"/>
      <c r="G767" s="34"/>
      <c r="H767" s="34"/>
      <c r="I767" s="34"/>
      <c r="J767" s="34"/>
      <c r="K767" s="34"/>
      <c r="L767" s="34"/>
      <c r="M767" s="34"/>
      <c r="N767" s="34"/>
      <c r="O767" s="36"/>
      <c r="P767" s="34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15.75" customHeight="1">
      <c r="A768" s="34"/>
      <c r="B768" s="34"/>
      <c r="C768" s="34"/>
      <c r="D768" s="34"/>
      <c r="E768" s="34"/>
      <c r="F768" s="35"/>
      <c r="G768" s="34"/>
      <c r="H768" s="34"/>
      <c r="I768" s="34"/>
      <c r="J768" s="34"/>
      <c r="K768" s="34"/>
      <c r="L768" s="34"/>
      <c r="M768" s="34"/>
      <c r="N768" s="34"/>
      <c r="O768" s="36"/>
      <c r="P768" s="34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15.75" customHeight="1">
      <c r="A769" s="34"/>
      <c r="B769" s="34"/>
      <c r="C769" s="34"/>
      <c r="D769" s="34"/>
      <c r="E769" s="34"/>
      <c r="F769" s="35"/>
      <c r="G769" s="34"/>
      <c r="H769" s="34"/>
      <c r="I769" s="34"/>
      <c r="J769" s="34"/>
      <c r="K769" s="34"/>
      <c r="L769" s="34"/>
      <c r="M769" s="34"/>
      <c r="N769" s="34"/>
      <c r="O769" s="36"/>
      <c r="P769" s="34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15.75" customHeight="1">
      <c r="A770" s="34"/>
      <c r="B770" s="34"/>
      <c r="C770" s="34"/>
      <c r="D770" s="34"/>
      <c r="E770" s="34"/>
      <c r="F770" s="35"/>
      <c r="G770" s="34"/>
      <c r="H770" s="34"/>
      <c r="I770" s="34"/>
      <c r="J770" s="34"/>
      <c r="K770" s="34"/>
      <c r="L770" s="34"/>
      <c r="M770" s="34"/>
      <c r="N770" s="34"/>
      <c r="O770" s="36"/>
      <c r="P770" s="34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15.75" customHeight="1">
      <c r="A771" s="34"/>
      <c r="B771" s="34"/>
      <c r="C771" s="34"/>
      <c r="D771" s="34"/>
      <c r="E771" s="34"/>
      <c r="F771" s="35"/>
      <c r="G771" s="34"/>
      <c r="H771" s="34"/>
      <c r="I771" s="34"/>
      <c r="J771" s="34"/>
      <c r="K771" s="34"/>
      <c r="L771" s="34"/>
      <c r="M771" s="34"/>
      <c r="N771" s="34"/>
      <c r="O771" s="36"/>
      <c r="P771" s="34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15.75" customHeight="1">
      <c r="A772" s="34"/>
      <c r="B772" s="34"/>
      <c r="C772" s="34"/>
      <c r="D772" s="34"/>
      <c r="E772" s="34"/>
      <c r="F772" s="35"/>
      <c r="G772" s="34"/>
      <c r="H772" s="34"/>
      <c r="I772" s="34"/>
      <c r="J772" s="34"/>
      <c r="K772" s="34"/>
      <c r="L772" s="34"/>
      <c r="M772" s="34"/>
      <c r="N772" s="34"/>
      <c r="O772" s="36"/>
      <c r="P772" s="34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15.75" customHeight="1">
      <c r="A773" s="34"/>
      <c r="B773" s="34"/>
      <c r="C773" s="34"/>
      <c r="D773" s="34"/>
      <c r="E773" s="34"/>
      <c r="F773" s="35"/>
      <c r="G773" s="34"/>
      <c r="H773" s="34"/>
      <c r="I773" s="34"/>
      <c r="J773" s="34"/>
      <c r="K773" s="34"/>
      <c r="L773" s="34"/>
      <c r="M773" s="34"/>
      <c r="N773" s="34"/>
      <c r="O773" s="36"/>
      <c r="P773" s="34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15.75" customHeight="1">
      <c r="A774" s="34"/>
      <c r="B774" s="34"/>
      <c r="C774" s="34"/>
      <c r="D774" s="34"/>
      <c r="E774" s="34"/>
      <c r="F774" s="35"/>
      <c r="G774" s="34"/>
      <c r="H774" s="34"/>
      <c r="I774" s="34"/>
      <c r="J774" s="34"/>
      <c r="K774" s="34"/>
      <c r="L774" s="34"/>
      <c r="M774" s="34"/>
      <c r="N774" s="34"/>
      <c r="O774" s="36"/>
      <c r="P774" s="34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15.75" customHeight="1">
      <c r="A775" s="34"/>
      <c r="B775" s="34"/>
      <c r="C775" s="34"/>
      <c r="D775" s="34"/>
      <c r="E775" s="34"/>
      <c r="F775" s="35"/>
      <c r="G775" s="34"/>
      <c r="H775" s="34"/>
      <c r="I775" s="34"/>
      <c r="J775" s="34"/>
      <c r="K775" s="34"/>
      <c r="L775" s="34"/>
      <c r="M775" s="34"/>
      <c r="N775" s="34"/>
      <c r="O775" s="36"/>
      <c r="P775" s="34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15.75" customHeight="1">
      <c r="A776" s="34"/>
      <c r="B776" s="34"/>
      <c r="C776" s="34"/>
      <c r="D776" s="34"/>
      <c r="E776" s="34"/>
      <c r="F776" s="35"/>
      <c r="G776" s="34"/>
      <c r="H776" s="34"/>
      <c r="I776" s="34"/>
      <c r="J776" s="34"/>
      <c r="K776" s="34"/>
      <c r="L776" s="34"/>
      <c r="M776" s="34"/>
      <c r="N776" s="34"/>
      <c r="O776" s="36"/>
      <c r="P776" s="34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15.75" customHeight="1">
      <c r="A777" s="34"/>
      <c r="B777" s="34"/>
      <c r="C777" s="34"/>
      <c r="D777" s="34"/>
      <c r="E777" s="34"/>
      <c r="F777" s="35"/>
      <c r="G777" s="34"/>
      <c r="H777" s="34"/>
      <c r="I777" s="34"/>
      <c r="J777" s="34"/>
      <c r="K777" s="34"/>
      <c r="L777" s="34"/>
      <c r="M777" s="34"/>
      <c r="N777" s="34"/>
      <c r="O777" s="36"/>
      <c r="P777" s="34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15.75" customHeight="1">
      <c r="A778" s="34"/>
      <c r="B778" s="34"/>
      <c r="C778" s="34"/>
      <c r="D778" s="34"/>
      <c r="E778" s="34"/>
      <c r="F778" s="35"/>
      <c r="G778" s="34"/>
      <c r="H778" s="34"/>
      <c r="I778" s="34"/>
      <c r="J778" s="34"/>
      <c r="K778" s="34"/>
      <c r="L778" s="34"/>
      <c r="M778" s="34"/>
      <c r="N778" s="34"/>
      <c r="O778" s="36"/>
      <c r="P778" s="34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15.75" customHeight="1">
      <c r="A779" s="34"/>
      <c r="B779" s="34"/>
      <c r="C779" s="34"/>
      <c r="D779" s="34"/>
      <c r="E779" s="34"/>
      <c r="F779" s="35"/>
      <c r="G779" s="34"/>
      <c r="H779" s="34"/>
      <c r="I779" s="34"/>
      <c r="J779" s="34"/>
      <c r="K779" s="34"/>
      <c r="L779" s="34"/>
      <c r="M779" s="34"/>
      <c r="N779" s="34"/>
      <c r="O779" s="36"/>
      <c r="P779" s="34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15.75" customHeight="1">
      <c r="A780" s="34"/>
      <c r="B780" s="34"/>
      <c r="C780" s="34"/>
      <c r="D780" s="34"/>
      <c r="E780" s="34"/>
      <c r="F780" s="35"/>
      <c r="G780" s="34"/>
      <c r="H780" s="34"/>
      <c r="I780" s="34"/>
      <c r="J780" s="34"/>
      <c r="K780" s="34"/>
      <c r="L780" s="34"/>
      <c r="M780" s="34"/>
      <c r="N780" s="34"/>
      <c r="O780" s="36"/>
      <c r="P780" s="34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15.75" customHeight="1">
      <c r="A781" s="34"/>
      <c r="B781" s="34"/>
      <c r="C781" s="34"/>
      <c r="D781" s="34"/>
      <c r="E781" s="34"/>
      <c r="F781" s="35"/>
      <c r="G781" s="34"/>
      <c r="H781" s="34"/>
      <c r="I781" s="34"/>
      <c r="J781" s="34"/>
      <c r="K781" s="34"/>
      <c r="L781" s="34"/>
      <c r="M781" s="34"/>
      <c r="N781" s="34"/>
      <c r="O781" s="36"/>
      <c r="P781" s="34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15.75" customHeight="1">
      <c r="A782" s="34"/>
      <c r="B782" s="34"/>
      <c r="C782" s="34"/>
      <c r="D782" s="34"/>
      <c r="E782" s="34"/>
      <c r="F782" s="35"/>
      <c r="G782" s="34"/>
      <c r="H782" s="34"/>
      <c r="I782" s="34"/>
      <c r="J782" s="34"/>
      <c r="K782" s="34"/>
      <c r="L782" s="34"/>
      <c r="M782" s="34"/>
      <c r="N782" s="34"/>
      <c r="O782" s="36"/>
      <c r="P782" s="34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15.75" customHeight="1">
      <c r="A783" s="34"/>
      <c r="B783" s="34"/>
      <c r="C783" s="34"/>
      <c r="D783" s="34"/>
      <c r="E783" s="34"/>
      <c r="F783" s="35"/>
      <c r="G783" s="34"/>
      <c r="H783" s="34"/>
      <c r="I783" s="34"/>
      <c r="J783" s="34"/>
      <c r="K783" s="34"/>
      <c r="L783" s="34"/>
      <c r="M783" s="34"/>
      <c r="N783" s="34"/>
      <c r="O783" s="36"/>
      <c r="P783" s="34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15.75" customHeight="1">
      <c r="A784" s="34"/>
      <c r="B784" s="34"/>
      <c r="C784" s="34"/>
      <c r="D784" s="34"/>
      <c r="E784" s="34"/>
      <c r="F784" s="35"/>
      <c r="G784" s="34"/>
      <c r="H784" s="34"/>
      <c r="I784" s="34"/>
      <c r="J784" s="34"/>
      <c r="K784" s="34"/>
      <c r="L784" s="34"/>
      <c r="M784" s="34"/>
      <c r="N784" s="34"/>
      <c r="O784" s="36"/>
      <c r="P784" s="34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15.75" customHeight="1">
      <c r="A785" s="34"/>
      <c r="B785" s="34"/>
      <c r="C785" s="34"/>
      <c r="D785" s="34"/>
      <c r="E785" s="34"/>
      <c r="F785" s="35"/>
      <c r="G785" s="34"/>
      <c r="H785" s="34"/>
      <c r="I785" s="34"/>
      <c r="J785" s="34"/>
      <c r="K785" s="34"/>
      <c r="L785" s="34"/>
      <c r="M785" s="34"/>
      <c r="N785" s="34"/>
      <c r="O785" s="36"/>
      <c r="P785" s="34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15.75" customHeight="1">
      <c r="A786" s="34"/>
      <c r="B786" s="34"/>
      <c r="C786" s="34"/>
      <c r="D786" s="34"/>
      <c r="E786" s="34"/>
      <c r="F786" s="35"/>
      <c r="G786" s="34"/>
      <c r="H786" s="34"/>
      <c r="I786" s="34"/>
      <c r="J786" s="34"/>
      <c r="K786" s="34"/>
      <c r="L786" s="34"/>
      <c r="M786" s="34"/>
      <c r="N786" s="34"/>
      <c r="O786" s="36"/>
      <c r="P786" s="34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15.75" customHeight="1">
      <c r="A787" s="34"/>
      <c r="B787" s="34"/>
      <c r="C787" s="34"/>
      <c r="D787" s="34"/>
      <c r="E787" s="34"/>
      <c r="F787" s="35"/>
      <c r="G787" s="34"/>
      <c r="H787" s="34"/>
      <c r="I787" s="34"/>
      <c r="J787" s="34"/>
      <c r="K787" s="34"/>
      <c r="L787" s="34"/>
      <c r="M787" s="34"/>
      <c r="N787" s="34"/>
      <c r="O787" s="36"/>
      <c r="P787" s="34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15.75" customHeight="1">
      <c r="A788" s="34"/>
      <c r="B788" s="34"/>
      <c r="C788" s="34"/>
      <c r="D788" s="34"/>
      <c r="E788" s="34"/>
      <c r="F788" s="35"/>
      <c r="G788" s="34"/>
      <c r="H788" s="34"/>
      <c r="I788" s="34"/>
      <c r="J788" s="34"/>
      <c r="K788" s="34"/>
      <c r="L788" s="34"/>
      <c r="M788" s="34"/>
      <c r="N788" s="34"/>
      <c r="O788" s="36"/>
      <c r="P788" s="34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15.75" customHeight="1">
      <c r="A789" s="34"/>
      <c r="B789" s="34"/>
      <c r="C789" s="34"/>
      <c r="D789" s="34"/>
      <c r="E789" s="34"/>
      <c r="F789" s="35"/>
      <c r="G789" s="34"/>
      <c r="H789" s="34"/>
      <c r="I789" s="34"/>
      <c r="J789" s="34"/>
      <c r="K789" s="34"/>
      <c r="L789" s="34"/>
      <c r="M789" s="34"/>
      <c r="N789" s="34"/>
      <c r="O789" s="36"/>
      <c r="P789" s="34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15.75" customHeight="1">
      <c r="A790" s="34"/>
      <c r="B790" s="34"/>
      <c r="C790" s="34"/>
      <c r="D790" s="34"/>
      <c r="E790" s="34"/>
      <c r="F790" s="35"/>
      <c r="G790" s="34"/>
      <c r="H790" s="34"/>
      <c r="I790" s="34"/>
      <c r="J790" s="34"/>
      <c r="K790" s="34"/>
      <c r="L790" s="34"/>
      <c r="M790" s="34"/>
      <c r="N790" s="34"/>
      <c r="O790" s="36"/>
      <c r="P790" s="34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15.75" customHeight="1">
      <c r="A791" s="34"/>
      <c r="B791" s="34"/>
      <c r="C791" s="34"/>
      <c r="D791" s="34"/>
      <c r="E791" s="34"/>
      <c r="F791" s="35"/>
      <c r="G791" s="34"/>
      <c r="H791" s="34"/>
      <c r="I791" s="34"/>
      <c r="J791" s="34"/>
      <c r="K791" s="34"/>
      <c r="L791" s="34"/>
      <c r="M791" s="34"/>
      <c r="N791" s="34"/>
      <c r="O791" s="36"/>
      <c r="P791" s="34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15.75" customHeight="1">
      <c r="A792" s="34"/>
      <c r="B792" s="34"/>
      <c r="C792" s="34"/>
      <c r="D792" s="34"/>
      <c r="E792" s="34"/>
      <c r="F792" s="35"/>
      <c r="G792" s="34"/>
      <c r="H792" s="34"/>
      <c r="I792" s="34"/>
      <c r="J792" s="34"/>
      <c r="K792" s="34"/>
      <c r="L792" s="34"/>
      <c r="M792" s="34"/>
      <c r="N792" s="34"/>
      <c r="O792" s="36"/>
      <c r="P792" s="34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15.75" customHeight="1">
      <c r="A793" s="34"/>
      <c r="B793" s="34"/>
      <c r="C793" s="34"/>
      <c r="D793" s="34"/>
      <c r="E793" s="34"/>
      <c r="F793" s="35"/>
      <c r="G793" s="34"/>
      <c r="H793" s="34"/>
      <c r="I793" s="34"/>
      <c r="J793" s="34"/>
      <c r="K793" s="34"/>
      <c r="L793" s="34"/>
      <c r="M793" s="34"/>
      <c r="N793" s="34"/>
      <c r="O793" s="36"/>
      <c r="P793" s="34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15.75" customHeight="1">
      <c r="A794" s="34"/>
      <c r="B794" s="34"/>
      <c r="C794" s="34"/>
      <c r="D794" s="34"/>
      <c r="E794" s="34"/>
      <c r="F794" s="35"/>
      <c r="G794" s="34"/>
      <c r="H794" s="34"/>
      <c r="I794" s="34"/>
      <c r="J794" s="34"/>
      <c r="K794" s="34"/>
      <c r="L794" s="34"/>
      <c r="M794" s="34"/>
      <c r="N794" s="34"/>
      <c r="O794" s="36"/>
      <c r="P794" s="34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15.75" customHeight="1">
      <c r="A795" s="34"/>
      <c r="B795" s="34"/>
      <c r="C795" s="34"/>
      <c r="D795" s="34"/>
      <c r="E795" s="34"/>
      <c r="F795" s="35"/>
      <c r="G795" s="34"/>
      <c r="H795" s="34"/>
      <c r="I795" s="34"/>
      <c r="J795" s="34"/>
      <c r="K795" s="34"/>
      <c r="L795" s="34"/>
      <c r="M795" s="34"/>
      <c r="N795" s="34"/>
      <c r="O795" s="36"/>
      <c r="P795" s="34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15.75" customHeight="1">
      <c r="A796" s="34"/>
      <c r="B796" s="34"/>
      <c r="C796" s="34"/>
      <c r="D796" s="34"/>
      <c r="E796" s="34"/>
      <c r="F796" s="35"/>
      <c r="G796" s="34"/>
      <c r="H796" s="34"/>
      <c r="I796" s="34"/>
      <c r="J796" s="34"/>
      <c r="K796" s="34"/>
      <c r="L796" s="34"/>
      <c r="M796" s="34"/>
      <c r="N796" s="34"/>
      <c r="O796" s="36"/>
      <c r="P796" s="34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15.75" customHeight="1">
      <c r="A797" s="34"/>
      <c r="B797" s="34"/>
      <c r="C797" s="34"/>
      <c r="D797" s="34"/>
      <c r="E797" s="34"/>
      <c r="F797" s="35"/>
      <c r="G797" s="34"/>
      <c r="H797" s="34"/>
      <c r="I797" s="34"/>
      <c r="J797" s="34"/>
      <c r="K797" s="34"/>
      <c r="L797" s="34"/>
      <c r="M797" s="34"/>
      <c r="N797" s="34"/>
      <c r="O797" s="36"/>
      <c r="P797" s="34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15.75" customHeight="1">
      <c r="A798" s="34"/>
      <c r="B798" s="34"/>
      <c r="C798" s="34"/>
      <c r="D798" s="34"/>
      <c r="E798" s="34"/>
      <c r="F798" s="35"/>
      <c r="G798" s="34"/>
      <c r="H798" s="34"/>
      <c r="I798" s="34"/>
      <c r="J798" s="34"/>
      <c r="K798" s="34"/>
      <c r="L798" s="34"/>
      <c r="M798" s="34"/>
      <c r="N798" s="34"/>
      <c r="O798" s="36"/>
      <c r="P798" s="34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15.75" customHeight="1">
      <c r="A799" s="34"/>
      <c r="B799" s="34"/>
      <c r="C799" s="34"/>
      <c r="D799" s="34"/>
      <c r="E799" s="34"/>
      <c r="F799" s="35"/>
      <c r="G799" s="34"/>
      <c r="H799" s="34"/>
      <c r="I799" s="34"/>
      <c r="J799" s="34"/>
      <c r="K799" s="34"/>
      <c r="L799" s="34"/>
      <c r="M799" s="34"/>
      <c r="N799" s="34"/>
      <c r="O799" s="36"/>
      <c r="P799" s="34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15.75" customHeight="1">
      <c r="A800" s="34"/>
      <c r="B800" s="34"/>
      <c r="C800" s="34"/>
      <c r="D800" s="34"/>
      <c r="E800" s="34"/>
      <c r="F800" s="35"/>
      <c r="G800" s="34"/>
      <c r="H800" s="34"/>
      <c r="I800" s="34"/>
      <c r="J800" s="34"/>
      <c r="K800" s="34"/>
      <c r="L800" s="34"/>
      <c r="M800" s="34"/>
      <c r="N800" s="34"/>
      <c r="O800" s="36"/>
      <c r="P800" s="34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15.75" customHeight="1">
      <c r="A801" s="34"/>
      <c r="B801" s="34"/>
      <c r="C801" s="34"/>
      <c r="D801" s="34"/>
      <c r="E801" s="34"/>
      <c r="F801" s="35"/>
      <c r="G801" s="34"/>
      <c r="H801" s="34"/>
      <c r="I801" s="34"/>
      <c r="J801" s="34"/>
      <c r="K801" s="34"/>
      <c r="L801" s="34"/>
      <c r="M801" s="34"/>
      <c r="N801" s="34"/>
      <c r="O801" s="36"/>
      <c r="P801" s="34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15.75" customHeight="1">
      <c r="A802" s="34"/>
      <c r="B802" s="34"/>
      <c r="C802" s="34"/>
      <c r="D802" s="34"/>
      <c r="E802" s="34"/>
      <c r="F802" s="35"/>
      <c r="G802" s="34"/>
      <c r="H802" s="34"/>
      <c r="I802" s="34"/>
      <c r="J802" s="34"/>
      <c r="K802" s="34"/>
      <c r="L802" s="34"/>
      <c r="M802" s="34"/>
      <c r="N802" s="34"/>
      <c r="O802" s="36"/>
      <c r="P802" s="34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15.75" customHeight="1">
      <c r="A803" s="34"/>
      <c r="B803" s="34"/>
      <c r="C803" s="34"/>
      <c r="D803" s="34"/>
      <c r="E803" s="34"/>
      <c r="F803" s="35"/>
      <c r="G803" s="34"/>
      <c r="H803" s="34"/>
      <c r="I803" s="34"/>
      <c r="J803" s="34"/>
      <c r="K803" s="34"/>
      <c r="L803" s="34"/>
      <c r="M803" s="34"/>
      <c r="N803" s="34"/>
      <c r="O803" s="36"/>
      <c r="P803" s="34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15.75" customHeight="1">
      <c r="A804" s="34"/>
      <c r="B804" s="34"/>
      <c r="C804" s="34"/>
      <c r="D804" s="34"/>
      <c r="E804" s="34"/>
      <c r="F804" s="35"/>
      <c r="G804" s="34"/>
      <c r="H804" s="34"/>
      <c r="I804" s="34"/>
      <c r="J804" s="34"/>
      <c r="K804" s="34"/>
      <c r="L804" s="34"/>
      <c r="M804" s="34"/>
      <c r="N804" s="34"/>
      <c r="O804" s="36"/>
      <c r="P804" s="34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15.75" customHeight="1">
      <c r="A805" s="34"/>
      <c r="B805" s="34"/>
      <c r="C805" s="34"/>
      <c r="D805" s="34"/>
      <c r="E805" s="34"/>
      <c r="F805" s="35"/>
      <c r="G805" s="34"/>
      <c r="H805" s="34"/>
      <c r="I805" s="34"/>
      <c r="J805" s="34"/>
      <c r="K805" s="34"/>
      <c r="L805" s="34"/>
      <c r="M805" s="34"/>
      <c r="N805" s="34"/>
      <c r="O805" s="36"/>
      <c r="P805" s="34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15.75" customHeight="1">
      <c r="A806" s="34"/>
      <c r="B806" s="34"/>
      <c r="C806" s="34"/>
      <c r="D806" s="34"/>
      <c r="E806" s="34"/>
      <c r="F806" s="35"/>
      <c r="G806" s="34"/>
      <c r="H806" s="34"/>
      <c r="I806" s="34"/>
      <c r="J806" s="34"/>
      <c r="K806" s="34"/>
      <c r="L806" s="34"/>
      <c r="M806" s="34"/>
      <c r="N806" s="34"/>
      <c r="O806" s="36"/>
      <c r="P806" s="34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15.75" customHeight="1">
      <c r="A807" s="34"/>
      <c r="B807" s="34"/>
      <c r="C807" s="34"/>
      <c r="D807" s="34"/>
      <c r="E807" s="34"/>
      <c r="F807" s="35"/>
      <c r="G807" s="34"/>
      <c r="H807" s="34"/>
      <c r="I807" s="34"/>
      <c r="J807" s="34"/>
      <c r="K807" s="34"/>
      <c r="L807" s="34"/>
      <c r="M807" s="34"/>
      <c r="N807" s="34"/>
      <c r="O807" s="36"/>
      <c r="P807" s="34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15.75" customHeight="1">
      <c r="A808" s="34"/>
      <c r="B808" s="34"/>
      <c r="C808" s="34"/>
      <c r="D808" s="34"/>
      <c r="E808" s="34"/>
      <c r="F808" s="35"/>
      <c r="G808" s="34"/>
      <c r="H808" s="34"/>
      <c r="I808" s="34"/>
      <c r="J808" s="34"/>
      <c r="K808" s="34"/>
      <c r="L808" s="34"/>
      <c r="M808" s="34"/>
      <c r="N808" s="34"/>
      <c r="O808" s="36"/>
      <c r="P808" s="34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15.75" customHeight="1">
      <c r="A809" s="34"/>
      <c r="B809" s="34"/>
      <c r="C809" s="34"/>
      <c r="D809" s="34"/>
      <c r="E809" s="34"/>
      <c r="F809" s="35"/>
      <c r="G809" s="34"/>
      <c r="H809" s="34"/>
      <c r="I809" s="34"/>
      <c r="J809" s="34"/>
      <c r="K809" s="34"/>
      <c r="L809" s="34"/>
      <c r="M809" s="34"/>
      <c r="N809" s="34"/>
      <c r="O809" s="36"/>
      <c r="P809" s="34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15.75" customHeight="1">
      <c r="A810" s="34"/>
      <c r="B810" s="34"/>
      <c r="C810" s="34"/>
      <c r="D810" s="34"/>
      <c r="E810" s="34"/>
      <c r="F810" s="35"/>
      <c r="G810" s="34"/>
      <c r="H810" s="34"/>
      <c r="I810" s="34"/>
      <c r="J810" s="34"/>
      <c r="K810" s="34"/>
      <c r="L810" s="34"/>
      <c r="M810" s="34"/>
      <c r="N810" s="34"/>
      <c r="O810" s="36"/>
      <c r="P810" s="34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15.75" customHeight="1">
      <c r="A811" s="34"/>
      <c r="B811" s="34"/>
      <c r="C811" s="34"/>
      <c r="D811" s="34"/>
      <c r="E811" s="34"/>
      <c r="F811" s="35"/>
      <c r="G811" s="34"/>
      <c r="H811" s="34"/>
      <c r="I811" s="34"/>
      <c r="J811" s="34"/>
      <c r="K811" s="34"/>
      <c r="L811" s="34"/>
      <c r="M811" s="34"/>
      <c r="N811" s="34"/>
      <c r="O811" s="36"/>
      <c r="P811" s="34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15.75" customHeight="1">
      <c r="A812" s="34"/>
      <c r="B812" s="34"/>
      <c r="C812" s="34"/>
      <c r="D812" s="34"/>
      <c r="E812" s="34"/>
      <c r="F812" s="35"/>
      <c r="G812" s="34"/>
      <c r="H812" s="34"/>
      <c r="I812" s="34"/>
      <c r="J812" s="34"/>
      <c r="K812" s="34"/>
      <c r="L812" s="34"/>
      <c r="M812" s="34"/>
      <c r="N812" s="34"/>
      <c r="O812" s="36"/>
      <c r="P812" s="34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15.75" customHeight="1">
      <c r="A813" s="34"/>
      <c r="B813" s="34"/>
      <c r="C813" s="34"/>
      <c r="D813" s="34"/>
      <c r="E813" s="34"/>
      <c r="F813" s="35"/>
      <c r="G813" s="34"/>
      <c r="H813" s="34"/>
      <c r="I813" s="34"/>
      <c r="J813" s="34"/>
      <c r="K813" s="34"/>
      <c r="L813" s="34"/>
      <c r="M813" s="34"/>
      <c r="N813" s="34"/>
      <c r="O813" s="36"/>
      <c r="P813" s="34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15.75" customHeight="1">
      <c r="A814" s="34"/>
      <c r="B814" s="34"/>
      <c r="C814" s="34"/>
      <c r="D814" s="34"/>
      <c r="E814" s="34"/>
      <c r="F814" s="35"/>
      <c r="G814" s="34"/>
      <c r="H814" s="34"/>
      <c r="I814" s="34"/>
      <c r="J814" s="34"/>
      <c r="K814" s="34"/>
      <c r="L814" s="34"/>
      <c r="M814" s="34"/>
      <c r="N814" s="34"/>
      <c r="O814" s="36"/>
      <c r="P814" s="34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15.75" customHeight="1">
      <c r="A815" s="34"/>
      <c r="B815" s="34"/>
      <c r="C815" s="34"/>
      <c r="D815" s="34"/>
      <c r="E815" s="34"/>
      <c r="F815" s="35"/>
      <c r="G815" s="34"/>
      <c r="H815" s="34"/>
      <c r="I815" s="34"/>
      <c r="J815" s="34"/>
      <c r="K815" s="34"/>
      <c r="L815" s="34"/>
      <c r="M815" s="34"/>
      <c r="N815" s="34"/>
      <c r="O815" s="36"/>
      <c r="P815" s="34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15.75" customHeight="1">
      <c r="A816" s="34"/>
      <c r="B816" s="34"/>
      <c r="C816" s="34"/>
      <c r="D816" s="34"/>
      <c r="E816" s="34"/>
      <c r="F816" s="35"/>
      <c r="G816" s="34"/>
      <c r="H816" s="34"/>
      <c r="I816" s="34"/>
      <c r="J816" s="34"/>
      <c r="K816" s="34"/>
      <c r="L816" s="34"/>
      <c r="M816" s="34"/>
      <c r="N816" s="34"/>
      <c r="O816" s="36"/>
      <c r="P816" s="34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15.75" customHeight="1">
      <c r="A817" s="34"/>
      <c r="B817" s="34"/>
      <c r="C817" s="34"/>
      <c r="D817" s="34"/>
      <c r="E817" s="34"/>
      <c r="F817" s="35"/>
      <c r="G817" s="34"/>
      <c r="H817" s="34"/>
      <c r="I817" s="34"/>
      <c r="J817" s="34"/>
      <c r="K817" s="34"/>
      <c r="L817" s="34"/>
      <c r="M817" s="34"/>
      <c r="N817" s="34"/>
      <c r="O817" s="36"/>
      <c r="P817" s="34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15.75" customHeight="1">
      <c r="A818" s="34"/>
      <c r="B818" s="34"/>
      <c r="C818" s="34"/>
      <c r="D818" s="34"/>
      <c r="E818" s="34"/>
      <c r="F818" s="35"/>
      <c r="G818" s="34"/>
      <c r="H818" s="34"/>
      <c r="I818" s="34"/>
      <c r="J818" s="34"/>
      <c r="K818" s="34"/>
      <c r="L818" s="34"/>
      <c r="M818" s="34"/>
      <c r="N818" s="34"/>
      <c r="O818" s="36"/>
      <c r="P818" s="34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15.75" customHeight="1">
      <c r="A819" s="34"/>
      <c r="B819" s="34"/>
      <c r="C819" s="34"/>
      <c r="D819" s="34"/>
      <c r="E819" s="34"/>
      <c r="F819" s="35"/>
      <c r="G819" s="34"/>
      <c r="H819" s="34"/>
      <c r="I819" s="34"/>
      <c r="J819" s="34"/>
      <c r="K819" s="34"/>
      <c r="L819" s="34"/>
      <c r="M819" s="34"/>
      <c r="N819" s="34"/>
      <c r="O819" s="36"/>
      <c r="P819" s="34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15.75" customHeight="1">
      <c r="A820" s="34"/>
      <c r="B820" s="34"/>
      <c r="C820" s="34"/>
      <c r="D820" s="34"/>
      <c r="E820" s="34"/>
      <c r="F820" s="35"/>
      <c r="G820" s="34"/>
      <c r="H820" s="34"/>
      <c r="I820" s="34"/>
      <c r="J820" s="34"/>
      <c r="K820" s="34"/>
      <c r="L820" s="34"/>
      <c r="M820" s="34"/>
      <c r="N820" s="34"/>
      <c r="O820" s="36"/>
      <c r="P820" s="34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15.75" customHeight="1">
      <c r="A821" s="34"/>
      <c r="B821" s="34"/>
      <c r="C821" s="34"/>
      <c r="D821" s="34"/>
      <c r="E821" s="34"/>
      <c r="F821" s="35"/>
      <c r="G821" s="34"/>
      <c r="H821" s="34"/>
      <c r="I821" s="34"/>
      <c r="J821" s="34"/>
      <c r="K821" s="34"/>
      <c r="L821" s="34"/>
      <c r="M821" s="34"/>
      <c r="N821" s="34"/>
      <c r="O821" s="36"/>
      <c r="P821" s="34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15.75" customHeight="1">
      <c r="A822" s="34"/>
      <c r="B822" s="34"/>
      <c r="C822" s="34"/>
      <c r="D822" s="34"/>
      <c r="E822" s="34"/>
      <c r="F822" s="35"/>
      <c r="G822" s="34"/>
      <c r="H822" s="34"/>
      <c r="I822" s="34"/>
      <c r="J822" s="34"/>
      <c r="K822" s="34"/>
      <c r="L822" s="34"/>
      <c r="M822" s="34"/>
      <c r="N822" s="34"/>
      <c r="O822" s="36"/>
      <c r="P822" s="34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15.75" customHeight="1">
      <c r="A823" s="34"/>
      <c r="B823" s="34"/>
      <c r="C823" s="34"/>
      <c r="D823" s="34"/>
      <c r="E823" s="34"/>
      <c r="F823" s="35"/>
      <c r="G823" s="34"/>
      <c r="H823" s="34"/>
      <c r="I823" s="34"/>
      <c r="J823" s="34"/>
      <c r="K823" s="34"/>
      <c r="L823" s="34"/>
      <c r="M823" s="34"/>
      <c r="N823" s="34"/>
      <c r="O823" s="36"/>
      <c r="P823" s="34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15.75" customHeight="1">
      <c r="A824" s="34"/>
      <c r="B824" s="34"/>
      <c r="C824" s="34"/>
      <c r="D824" s="34"/>
      <c r="E824" s="34"/>
      <c r="F824" s="35"/>
      <c r="G824" s="34"/>
      <c r="H824" s="34"/>
      <c r="I824" s="34"/>
      <c r="J824" s="34"/>
      <c r="K824" s="34"/>
      <c r="L824" s="34"/>
      <c r="M824" s="34"/>
      <c r="N824" s="34"/>
      <c r="O824" s="36"/>
      <c r="P824" s="34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15.75" customHeight="1">
      <c r="A825" s="34"/>
      <c r="B825" s="34"/>
      <c r="C825" s="34"/>
      <c r="D825" s="34"/>
      <c r="E825" s="34"/>
      <c r="F825" s="35"/>
      <c r="G825" s="34"/>
      <c r="H825" s="34"/>
      <c r="I825" s="34"/>
      <c r="J825" s="34"/>
      <c r="K825" s="34"/>
      <c r="L825" s="34"/>
      <c r="M825" s="34"/>
      <c r="N825" s="34"/>
      <c r="O825" s="36"/>
      <c r="P825" s="34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15.75" customHeight="1">
      <c r="A826" s="34"/>
      <c r="B826" s="34"/>
      <c r="C826" s="34"/>
      <c r="D826" s="34"/>
      <c r="E826" s="34"/>
      <c r="F826" s="35"/>
      <c r="G826" s="34"/>
      <c r="H826" s="34"/>
      <c r="I826" s="34"/>
      <c r="J826" s="34"/>
      <c r="K826" s="34"/>
      <c r="L826" s="34"/>
      <c r="M826" s="34"/>
      <c r="N826" s="34"/>
      <c r="O826" s="36"/>
      <c r="P826" s="34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15.75" customHeight="1">
      <c r="A827" s="34"/>
      <c r="B827" s="34"/>
      <c r="C827" s="34"/>
      <c r="D827" s="34"/>
      <c r="E827" s="34"/>
      <c r="F827" s="35"/>
      <c r="G827" s="34"/>
      <c r="H827" s="34"/>
      <c r="I827" s="34"/>
      <c r="J827" s="34"/>
      <c r="K827" s="34"/>
      <c r="L827" s="34"/>
      <c r="M827" s="34"/>
      <c r="N827" s="34"/>
      <c r="O827" s="36"/>
      <c r="P827" s="34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15.75" customHeight="1">
      <c r="A828" s="34"/>
      <c r="B828" s="34"/>
      <c r="C828" s="34"/>
      <c r="D828" s="34"/>
      <c r="E828" s="34"/>
      <c r="F828" s="35"/>
      <c r="G828" s="34"/>
      <c r="H828" s="34"/>
      <c r="I828" s="34"/>
      <c r="J828" s="34"/>
      <c r="K828" s="34"/>
      <c r="L828" s="34"/>
      <c r="M828" s="34"/>
      <c r="N828" s="34"/>
      <c r="O828" s="36"/>
      <c r="P828" s="34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15.75" customHeight="1">
      <c r="A829" s="34"/>
      <c r="B829" s="34"/>
      <c r="C829" s="34"/>
      <c r="D829" s="34"/>
      <c r="E829" s="34"/>
      <c r="F829" s="35"/>
      <c r="G829" s="34"/>
      <c r="H829" s="34"/>
      <c r="I829" s="34"/>
      <c r="J829" s="34"/>
      <c r="K829" s="34"/>
      <c r="L829" s="34"/>
      <c r="M829" s="34"/>
      <c r="N829" s="34"/>
      <c r="O829" s="36"/>
      <c r="P829" s="34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15.75" customHeight="1">
      <c r="A830" s="34"/>
      <c r="B830" s="34"/>
      <c r="C830" s="34"/>
      <c r="D830" s="34"/>
      <c r="E830" s="34"/>
      <c r="F830" s="35"/>
      <c r="G830" s="34"/>
      <c r="H830" s="34"/>
      <c r="I830" s="34"/>
      <c r="J830" s="34"/>
      <c r="K830" s="34"/>
      <c r="L830" s="34"/>
      <c r="M830" s="34"/>
      <c r="N830" s="34"/>
      <c r="O830" s="36"/>
      <c r="P830" s="34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15.75" customHeight="1">
      <c r="A831" s="34"/>
      <c r="B831" s="34"/>
      <c r="C831" s="34"/>
      <c r="D831" s="34"/>
      <c r="E831" s="34"/>
      <c r="F831" s="35"/>
      <c r="G831" s="34"/>
      <c r="H831" s="34"/>
      <c r="I831" s="34"/>
      <c r="J831" s="34"/>
      <c r="K831" s="34"/>
      <c r="L831" s="34"/>
      <c r="M831" s="34"/>
      <c r="N831" s="34"/>
      <c r="O831" s="36"/>
      <c r="P831" s="34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15.75" customHeight="1">
      <c r="A832" s="34"/>
      <c r="B832" s="34"/>
      <c r="C832" s="34"/>
      <c r="D832" s="34"/>
      <c r="E832" s="34"/>
      <c r="F832" s="35"/>
      <c r="G832" s="34"/>
      <c r="H832" s="34"/>
      <c r="I832" s="34"/>
      <c r="J832" s="34"/>
      <c r="K832" s="34"/>
      <c r="L832" s="34"/>
      <c r="M832" s="34"/>
      <c r="N832" s="34"/>
      <c r="O832" s="36"/>
      <c r="P832" s="34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15.75" customHeight="1">
      <c r="A833" s="34"/>
      <c r="B833" s="34"/>
      <c r="C833" s="34"/>
      <c r="D833" s="34"/>
      <c r="E833" s="34"/>
      <c r="F833" s="35"/>
      <c r="G833" s="34"/>
      <c r="H833" s="34"/>
      <c r="I833" s="34"/>
      <c r="J833" s="34"/>
      <c r="K833" s="34"/>
      <c r="L833" s="34"/>
      <c r="M833" s="34"/>
      <c r="N833" s="34"/>
      <c r="O833" s="36"/>
      <c r="P833" s="34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15.75" customHeight="1">
      <c r="A834" s="34"/>
      <c r="B834" s="34"/>
      <c r="C834" s="34"/>
      <c r="D834" s="34"/>
      <c r="E834" s="34"/>
      <c r="F834" s="35"/>
      <c r="G834" s="34"/>
      <c r="H834" s="34"/>
      <c r="I834" s="34"/>
      <c r="J834" s="34"/>
      <c r="K834" s="34"/>
      <c r="L834" s="34"/>
      <c r="M834" s="34"/>
      <c r="N834" s="34"/>
      <c r="O834" s="36"/>
      <c r="P834" s="34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15.75" customHeight="1">
      <c r="A835" s="34"/>
      <c r="B835" s="34"/>
      <c r="C835" s="34"/>
      <c r="D835" s="34"/>
      <c r="E835" s="34"/>
      <c r="F835" s="35"/>
      <c r="G835" s="34"/>
      <c r="H835" s="34"/>
      <c r="I835" s="34"/>
      <c r="J835" s="34"/>
      <c r="K835" s="34"/>
      <c r="L835" s="34"/>
      <c r="M835" s="34"/>
      <c r="N835" s="34"/>
      <c r="O835" s="36"/>
      <c r="P835" s="34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15.75" customHeight="1">
      <c r="A836" s="34"/>
      <c r="B836" s="34"/>
      <c r="C836" s="34"/>
      <c r="D836" s="34"/>
      <c r="E836" s="34"/>
      <c r="F836" s="35"/>
      <c r="G836" s="34"/>
      <c r="H836" s="34"/>
      <c r="I836" s="34"/>
      <c r="J836" s="34"/>
      <c r="K836" s="34"/>
      <c r="L836" s="34"/>
      <c r="M836" s="34"/>
      <c r="N836" s="34"/>
      <c r="O836" s="36"/>
      <c r="P836" s="34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15.75" customHeight="1">
      <c r="A837" s="34"/>
      <c r="B837" s="34"/>
      <c r="C837" s="34"/>
      <c r="D837" s="34"/>
      <c r="E837" s="34"/>
      <c r="F837" s="35"/>
      <c r="G837" s="34"/>
      <c r="H837" s="34"/>
      <c r="I837" s="34"/>
      <c r="J837" s="34"/>
      <c r="K837" s="34"/>
      <c r="L837" s="34"/>
      <c r="M837" s="34"/>
      <c r="N837" s="34"/>
      <c r="O837" s="36"/>
      <c r="P837" s="34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15.75" customHeight="1">
      <c r="A838" s="34"/>
      <c r="B838" s="34"/>
      <c r="C838" s="34"/>
      <c r="D838" s="34"/>
      <c r="E838" s="34"/>
      <c r="F838" s="35"/>
      <c r="G838" s="34"/>
      <c r="H838" s="34"/>
      <c r="I838" s="34"/>
      <c r="J838" s="34"/>
      <c r="K838" s="34"/>
      <c r="L838" s="34"/>
      <c r="M838" s="34"/>
      <c r="N838" s="34"/>
      <c r="O838" s="36"/>
      <c r="P838" s="34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15.75" customHeight="1">
      <c r="A839" s="34"/>
      <c r="B839" s="34"/>
      <c r="C839" s="34"/>
      <c r="D839" s="34"/>
      <c r="E839" s="34"/>
      <c r="F839" s="35"/>
      <c r="G839" s="34"/>
      <c r="H839" s="34"/>
      <c r="I839" s="34"/>
      <c r="J839" s="34"/>
      <c r="K839" s="34"/>
      <c r="L839" s="34"/>
      <c r="M839" s="34"/>
      <c r="N839" s="34"/>
      <c r="O839" s="36"/>
      <c r="P839" s="34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15.75" customHeight="1">
      <c r="A840" s="34"/>
      <c r="B840" s="34"/>
      <c r="C840" s="34"/>
      <c r="D840" s="34"/>
      <c r="E840" s="34"/>
      <c r="F840" s="35"/>
      <c r="G840" s="34"/>
      <c r="H840" s="34"/>
      <c r="I840" s="34"/>
      <c r="J840" s="34"/>
      <c r="K840" s="34"/>
      <c r="L840" s="34"/>
      <c r="M840" s="34"/>
      <c r="N840" s="34"/>
      <c r="O840" s="36"/>
      <c r="P840" s="34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15.75" customHeight="1">
      <c r="A841" s="34"/>
      <c r="B841" s="34"/>
      <c r="C841" s="34"/>
      <c r="D841" s="34"/>
      <c r="E841" s="34"/>
      <c r="F841" s="35"/>
      <c r="G841" s="34"/>
      <c r="H841" s="34"/>
      <c r="I841" s="34"/>
      <c r="J841" s="34"/>
      <c r="K841" s="34"/>
      <c r="L841" s="34"/>
      <c r="M841" s="34"/>
      <c r="N841" s="34"/>
      <c r="O841" s="36"/>
      <c r="P841" s="34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15.75" customHeight="1">
      <c r="A842" s="34"/>
      <c r="B842" s="34"/>
      <c r="C842" s="34"/>
      <c r="D842" s="34"/>
      <c r="E842" s="34"/>
      <c r="F842" s="35"/>
      <c r="G842" s="34"/>
      <c r="H842" s="34"/>
      <c r="I842" s="34"/>
      <c r="J842" s="34"/>
      <c r="K842" s="34"/>
      <c r="L842" s="34"/>
      <c r="M842" s="34"/>
      <c r="N842" s="34"/>
      <c r="O842" s="36"/>
      <c r="P842" s="34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15.75" customHeight="1">
      <c r="A843" s="34"/>
      <c r="B843" s="34"/>
      <c r="C843" s="34"/>
      <c r="D843" s="34"/>
      <c r="E843" s="34"/>
      <c r="F843" s="35"/>
      <c r="G843" s="34"/>
      <c r="H843" s="34"/>
      <c r="I843" s="34"/>
      <c r="J843" s="34"/>
      <c r="K843" s="34"/>
      <c r="L843" s="34"/>
      <c r="M843" s="34"/>
      <c r="N843" s="34"/>
      <c r="O843" s="36"/>
      <c r="P843" s="34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15.75" customHeight="1">
      <c r="A844" s="34"/>
      <c r="B844" s="34"/>
      <c r="C844" s="34"/>
      <c r="D844" s="34"/>
      <c r="E844" s="34"/>
      <c r="F844" s="35"/>
      <c r="G844" s="34"/>
      <c r="H844" s="34"/>
      <c r="I844" s="34"/>
      <c r="J844" s="34"/>
      <c r="K844" s="34"/>
      <c r="L844" s="34"/>
      <c r="M844" s="34"/>
      <c r="N844" s="34"/>
      <c r="O844" s="36"/>
      <c r="P844" s="34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15.75" customHeight="1">
      <c r="A845" s="34"/>
      <c r="B845" s="34"/>
      <c r="C845" s="34"/>
      <c r="D845" s="34"/>
      <c r="E845" s="34"/>
      <c r="F845" s="35"/>
      <c r="G845" s="34"/>
      <c r="H845" s="34"/>
      <c r="I845" s="34"/>
      <c r="J845" s="34"/>
      <c r="K845" s="34"/>
      <c r="L845" s="34"/>
      <c r="M845" s="34"/>
      <c r="N845" s="34"/>
      <c r="O845" s="36"/>
      <c r="P845" s="34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15.75" customHeight="1">
      <c r="A846" s="34"/>
      <c r="B846" s="34"/>
      <c r="C846" s="34"/>
      <c r="D846" s="34"/>
      <c r="E846" s="34"/>
      <c r="F846" s="35"/>
      <c r="G846" s="34"/>
      <c r="H846" s="34"/>
      <c r="I846" s="34"/>
      <c r="J846" s="34"/>
      <c r="K846" s="34"/>
      <c r="L846" s="34"/>
      <c r="M846" s="34"/>
      <c r="N846" s="34"/>
      <c r="O846" s="36"/>
      <c r="P846" s="34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15.75" customHeight="1">
      <c r="A847" s="34"/>
      <c r="B847" s="34"/>
      <c r="C847" s="34"/>
      <c r="D847" s="34"/>
      <c r="E847" s="34"/>
      <c r="F847" s="35"/>
      <c r="G847" s="34"/>
      <c r="H847" s="34"/>
      <c r="I847" s="34"/>
      <c r="J847" s="34"/>
      <c r="K847" s="34"/>
      <c r="L847" s="34"/>
      <c r="M847" s="34"/>
      <c r="N847" s="34"/>
      <c r="O847" s="36"/>
      <c r="P847" s="34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15.75" customHeight="1">
      <c r="A848" s="34"/>
      <c r="B848" s="34"/>
      <c r="C848" s="34"/>
      <c r="D848" s="34"/>
      <c r="E848" s="34"/>
      <c r="F848" s="35"/>
      <c r="G848" s="34"/>
      <c r="H848" s="34"/>
      <c r="I848" s="34"/>
      <c r="J848" s="34"/>
      <c r="K848" s="34"/>
      <c r="L848" s="34"/>
      <c r="M848" s="34"/>
      <c r="N848" s="34"/>
      <c r="O848" s="36"/>
      <c r="P848" s="34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15.75" customHeight="1">
      <c r="A849" s="34"/>
      <c r="B849" s="34"/>
      <c r="C849" s="34"/>
      <c r="D849" s="34"/>
      <c r="E849" s="34"/>
      <c r="F849" s="35"/>
      <c r="G849" s="34"/>
      <c r="H849" s="34"/>
      <c r="I849" s="34"/>
      <c r="J849" s="34"/>
      <c r="K849" s="34"/>
      <c r="L849" s="34"/>
      <c r="M849" s="34"/>
      <c r="N849" s="34"/>
      <c r="O849" s="36"/>
      <c r="P849" s="34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15.75" customHeight="1">
      <c r="A850" s="34"/>
      <c r="B850" s="34"/>
      <c r="C850" s="34"/>
      <c r="D850" s="34"/>
      <c r="E850" s="34"/>
      <c r="F850" s="35"/>
      <c r="G850" s="34"/>
      <c r="H850" s="34"/>
      <c r="I850" s="34"/>
      <c r="J850" s="34"/>
      <c r="K850" s="34"/>
      <c r="L850" s="34"/>
      <c r="M850" s="34"/>
      <c r="N850" s="34"/>
      <c r="O850" s="36"/>
      <c r="P850" s="34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15.75" customHeight="1">
      <c r="A851" s="34"/>
      <c r="B851" s="34"/>
      <c r="C851" s="34"/>
      <c r="D851" s="34"/>
      <c r="E851" s="34"/>
      <c r="F851" s="35"/>
      <c r="G851" s="34"/>
      <c r="H851" s="34"/>
      <c r="I851" s="34"/>
      <c r="J851" s="34"/>
      <c r="K851" s="34"/>
      <c r="L851" s="34"/>
      <c r="M851" s="34"/>
      <c r="N851" s="34"/>
      <c r="O851" s="36"/>
      <c r="P851" s="34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15.75" customHeight="1">
      <c r="A852" s="34"/>
      <c r="B852" s="34"/>
      <c r="C852" s="34"/>
      <c r="D852" s="34"/>
      <c r="E852" s="34"/>
      <c r="F852" s="35"/>
      <c r="G852" s="34"/>
      <c r="H852" s="34"/>
      <c r="I852" s="34"/>
      <c r="J852" s="34"/>
      <c r="K852" s="34"/>
      <c r="L852" s="34"/>
      <c r="M852" s="34"/>
      <c r="N852" s="34"/>
      <c r="O852" s="36"/>
      <c r="P852" s="34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15.75" customHeight="1">
      <c r="A853" s="34"/>
      <c r="B853" s="34"/>
      <c r="C853" s="34"/>
      <c r="D853" s="34"/>
      <c r="E853" s="34"/>
      <c r="F853" s="35"/>
      <c r="G853" s="34"/>
      <c r="H853" s="34"/>
      <c r="I853" s="34"/>
      <c r="J853" s="34"/>
      <c r="K853" s="34"/>
      <c r="L853" s="34"/>
      <c r="M853" s="34"/>
      <c r="N853" s="34"/>
      <c r="O853" s="36"/>
      <c r="P853" s="34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15.75" customHeight="1">
      <c r="A854" s="34"/>
      <c r="B854" s="34"/>
      <c r="C854" s="34"/>
      <c r="D854" s="34"/>
      <c r="E854" s="34"/>
      <c r="F854" s="35"/>
      <c r="G854" s="34"/>
      <c r="H854" s="34"/>
      <c r="I854" s="34"/>
      <c r="J854" s="34"/>
      <c r="K854" s="34"/>
      <c r="L854" s="34"/>
      <c r="M854" s="34"/>
      <c r="N854" s="34"/>
      <c r="O854" s="36"/>
      <c r="P854" s="34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15.75" customHeight="1">
      <c r="A855" s="34"/>
      <c r="B855" s="34"/>
      <c r="C855" s="34"/>
      <c r="D855" s="34"/>
      <c r="E855" s="34"/>
      <c r="F855" s="35"/>
      <c r="G855" s="34"/>
      <c r="H855" s="34"/>
      <c r="I855" s="34"/>
      <c r="J855" s="34"/>
      <c r="K855" s="34"/>
      <c r="L855" s="34"/>
      <c r="M855" s="34"/>
      <c r="N855" s="34"/>
      <c r="O855" s="36"/>
      <c r="P855" s="34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15.75" customHeight="1">
      <c r="A856" s="34"/>
      <c r="B856" s="34"/>
      <c r="C856" s="34"/>
      <c r="D856" s="34"/>
      <c r="E856" s="34"/>
      <c r="F856" s="35"/>
      <c r="G856" s="34"/>
      <c r="H856" s="34"/>
      <c r="I856" s="34"/>
      <c r="J856" s="34"/>
      <c r="K856" s="34"/>
      <c r="L856" s="34"/>
      <c r="M856" s="34"/>
      <c r="N856" s="34"/>
      <c r="O856" s="36"/>
      <c r="P856" s="34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15.75" customHeight="1">
      <c r="A857" s="34"/>
      <c r="B857" s="34"/>
      <c r="C857" s="34"/>
      <c r="D857" s="34"/>
      <c r="E857" s="34"/>
      <c r="F857" s="35"/>
      <c r="G857" s="34"/>
      <c r="H857" s="34"/>
      <c r="I857" s="34"/>
      <c r="J857" s="34"/>
      <c r="K857" s="34"/>
      <c r="L857" s="34"/>
      <c r="M857" s="34"/>
      <c r="N857" s="34"/>
      <c r="O857" s="36"/>
      <c r="P857" s="34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15.75" customHeight="1">
      <c r="A858" s="34"/>
      <c r="B858" s="34"/>
      <c r="C858" s="34"/>
      <c r="D858" s="34"/>
      <c r="E858" s="34"/>
      <c r="F858" s="35"/>
      <c r="G858" s="34"/>
      <c r="H858" s="34"/>
      <c r="I858" s="34"/>
      <c r="J858" s="34"/>
      <c r="K858" s="34"/>
      <c r="L858" s="34"/>
      <c r="M858" s="34"/>
      <c r="N858" s="34"/>
      <c r="O858" s="36"/>
      <c r="P858" s="34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15.75" customHeight="1">
      <c r="A859" s="34"/>
      <c r="B859" s="34"/>
      <c r="C859" s="34"/>
      <c r="D859" s="34"/>
      <c r="E859" s="34"/>
      <c r="F859" s="35"/>
      <c r="G859" s="34"/>
      <c r="H859" s="34"/>
      <c r="I859" s="34"/>
      <c r="J859" s="34"/>
      <c r="K859" s="34"/>
      <c r="L859" s="34"/>
      <c r="M859" s="34"/>
      <c r="N859" s="34"/>
      <c r="O859" s="36"/>
      <c r="P859" s="34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15.75" customHeight="1">
      <c r="A860" s="34"/>
      <c r="B860" s="34"/>
      <c r="C860" s="34"/>
      <c r="D860" s="34"/>
      <c r="E860" s="34"/>
      <c r="F860" s="35"/>
      <c r="G860" s="34"/>
      <c r="H860" s="34"/>
      <c r="I860" s="34"/>
      <c r="J860" s="34"/>
      <c r="K860" s="34"/>
      <c r="L860" s="34"/>
      <c r="M860" s="34"/>
      <c r="N860" s="34"/>
      <c r="O860" s="36"/>
      <c r="P860" s="34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15.75" customHeight="1">
      <c r="A861" s="34"/>
      <c r="B861" s="34"/>
      <c r="C861" s="34"/>
      <c r="D861" s="34"/>
      <c r="E861" s="34"/>
      <c r="F861" s="35"/>
      <c r="G861" s="34"/>
      <c r="H861" s="34"/>
      <c r="I861" s="34"/>
      <c r="J861" s="34"/>
      <c r="K861" s="34"/>
      <c r="L861" s="34"/>
      <c r="M861" s="34"/>
      <c r="N861" s="34"/>
      <c r="O861" s="36"/>
      <c r="P861" s="34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15.75" customHeight="1">
      <c r="A862" s="34"/>
      <c r="B862" s="34"/>
      <c r="C862" s="34"/>
      <c r="D862" s="34"/>
      <c r="E862" s="34"/>
      <c r="F862" s="35"/>
      <c r="G862" s="34"/>
      <c r="H862" s="34"/>
      <c r="I862" s="34"/>
      <c r="J862" s="34"/>
      <c r="K862" s="34"/>
      <c r="L862" s="34"/>
      <c r="M862" s="34"/>
      <c r="N862" s="34"/>
      <c r="O862" s="36"/>
      <c r="P862" s="34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15.75" customHeight="1">
      <c r="A863" s="34"/>
      <c r="B863" s="34"/>
      <c r="C863" s="34"/>
      <c r="D863" s="34"/>
      <c r="E863" s="34"/>
      <c r="F863" s="35"/>
      <c r="G863" s="34"/>
      <c r="H863" s="34"/>
      <c r="I863" s="34"/>
      <c r="J863" s="34"/>
      <c r="K863" s="34"/>
      <c r="L863" s="34"/>
      <c r="M863" s="34"/>
      <c r="N863" s="34"/>
      <c r="O863" s="36"/>
      <c r="P863" s="34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15.75" customHeight="1">
      <c r="A864" s="34"/>
      <c r="B864" s="34"/>
      <c r="C864" s="34"/>
      <c r="D864" s="34"/>
      <c r="E864" s="34"/>
      <c r="F864" s="35"/>
      <c r="G864" s="34"/>
      <c r="H864" s="34"/>
      <c r="I864" s="34"/>
      <c r="J864" s="34"/>
      <c r="K864" s="34"/>
      <c r="L864" s="34"/>
      <c r="M864" s="34"/>
      <c r="N864" s="34"/>
      <c r="O864" s="36"/>
      <c r="P864" s="34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15.75" customHeight="1">
      <c r="A865" s="34"/>
      <c r="B865" s="34"/>
      <c r="C865" s="34"/>
      <c r="D865" s="34"/>
      <c r="E865" s="34"/>
      <c r="F865" s="35"/>
      <c r="G865" s="34"/>
      <c r="H865" s="34"/>
      <c r="I865" s="34"/>
      <c r="J865" s="34"/>
      <c r="K865" s="34"/>
      <c r="L865" s="34"/>
      <c r="M865" s="34"/>
      <c r="N865" s="34"/>
      <c r="O865" s="36"/>
      <c r="P865" s="34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15.75" customHeight="1">
      <c r="A866" s="34"/>
      <c r="B866" s="34"/>
      <c r="C866" s="34"/>
      <c r="D866" s="34"/>
      <c r="E866" s="34"/>
      <c r="F866" s="35"/>
      <c r="G866" s="34"/>
      <c r="H866" s="34"/>
      <c r="I866" s="34"/>
      <c r="J866" s="34"/>
      <c r="K866" s="34"/>
      <c r="L866" s="34"/>
      <c r="M866" s="34"/>
      <c r="N866" s="34"/>
      <c r="O866" s="36"/>
      <c r="P866" s="34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15.75" customHeight="1">
      <c r="A867" s="34"/>
      <c r="B867" s="34"/>
      <c r="C867" s="34"/>
      <c r="D867" s="34"/>
      <c r="E867" s="34"/>
      <c r="F867" s="35"/>
      <c r="G867" s="34"/>
      <c r="H867" s="34"/>
      <c r="I867" s="34"/>
      <c r="J867" s="34"/>
      <c r="K867" s="34"/>
      <c r="L867" s="34"/>
      <c r="M867" s="34"/>
      <c r="N867" s="34"/>
      <c r="O867" s="36"/>
      <c r="P867" s="34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15.75" customHeight="1">
      <c r="A868" s="34"/>
      <c r="B868" s="34"/>
      <c r="C868" s="34"/>
      <c r="D868" s="34"/>
      <c r="E868" s="34"/>
      <c r="F868" s="35"/>
      <c r="G868" s="34"/>
      <c r="H868" s="34"/>
      <c r="I868" s="34"/>
      <c r="J868" s="34"/>
      <c r="K868" s="34"/>
      <c r="L868" s="34"/>
      <c r="M868" s="34"/>
      <c r="N868" s="34"/>
      <c r="O868" s="36"/>
      <c r="P868" s="34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15.75" customHeight="1">
      <c r="A869" s="34"/>
      <c r="B869" s="34"/>
      <c r="C869" s="34"/>
      <c r="D869" s="34"/>
      <c r="E869" s="34"/>
      <c r="F869" s="35"/>
      <c r="G869" s="34"/>
      <c r="H869" s="34"/>
      <c r="I869" s="34"/>
      <c r="J869" s="34"/>
      <c r="K869" s="34"/>
      <c r="L869" s="34"/>
      <c r="M869" s="34"/>
      <c r="N869" s="34"/>
      <c r="O869" s="36"/>
      <c r="P869" s="34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15.75" customHeight="1">
      <c r="A870" s="34"/>
      <c r="B870" s="34"/>
      <c r="C870" s="34"/>
      <c r="D870" s="34"/>
      <c r="E870" s="34"/>
      <c r="F870" s="35"/>
      <c r="G870" s="34"/>
      <c r="H870" s="34"/>
      <c r="I870" s="34"/>
      <c r="J870" s="34"/>
      <c r="K870" s="34"/>
      <c r="L870" s="34"/>
      <c r="M870" s="34"/>
      <c r="N870" s="34"/>
      <c r="O870" s="36"/>
      <c r="P870" s="34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15.75" customHeight="1">
      <c r="A871" s="34"/>
      <c r="B871" s="34"/>
      <c r="C871" s="34"/>
      <c r="D871" s="34"/>
      <c r="E871" s="34"/>
      <c r="F871" s="35"/>
      <c r="G871" s="34"/>
      <c r="H871" s="34"/>
      <c r="I871" s="34"/>
      <c r="J871" s="34"/>
      <c r="K871" s="34"/>
      <c r="L871" s="34"/>
      <c r="M871" s="34"/>
      <c r="N871" s="34"/>
      <c r="O871" s="36"/>
      <c r="P871" s="34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15.75" customHeight="1">
      <c r="A872" s="34"/>
      <c r="B872" s="34"/>
      <c r="C872" s="34"/>
      <c r="D872" s="34"/>
      <c r="E872" s="34"/>
      <c r="F872" s="35"/>
      <c r="G872" s="34"/>
      <c r="H872" s="34"/>
      <c r="I872" s="34"/>
      <c r="J872" s="34"/>
      <c r="K872" s="34"/>
      <c r="L872" s="34"/>
      <c r="M872" s="34"/>
      <c r="N872" s="34"/>
      <c r="O872" s="36"/>
      <c r="P872" s="34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15.75" customHeight="1">
      <c r="A873" s="34"/>
      <c r="B873" s="34"/>
      <c r="C873" s="34"/>
      <c r="D873" s="34"/>
      <c r="E873" s="34"/>
      <c r="F873" s="35"/>
      <c r="G873" s="34"/>
      <c r="H873" s="34"/>
      <c r="I873" s="34"/>
      <c r="J873" s="34"/>
      <c r="K873" s="34"/>
      <c r="L873" s="34"/>
      <c r="M873" s="34"/>
      <c r="N873" s="34"/>
      <c r="O873" s="36"/>
      <c r="P873" s="34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15.75" customHeight="1">
      <c r="A874" s="34"/>
      <c r="B874" s="34"/>
      <c r="C874" s="34"/>
      <c r="D874" s="34"/>
      <c r="E874" s="34"/>
      <c r="F874" s="35"/>
      <c r="G874" s="34"/>
      <c r="H874" s="34"/>
      <c r="I874" s="34"/>
      <c r="J874" s="34"/>
      <c r="K874" s="34"/>
      <c r="L874" s="34"/>
      <c r="M874" s="34"/>
      <c r="N874" s="34"/>
      <c r="O874" s="36"/>
      <c r="P874" s="34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15.75" customHeight="1">
      <c r="A875" s="34"/>
      <c r="B875" s="34"/>
      <c r="C875" s="34"/>
      <c r="D875" s="34"/>
      <c r="E875" s="34"/>
      <c r="F875" s="35"/>
      <c r="G875" s="34"/>
      <c r="H875" s="34"/>
      <c r="I875" s="34"/>
      <c r="J875" s="34"/>
      <c r="K875" s="34"/>
      <c r="L875" s="34"/>
      <c r="M875" s="34"/>
      <c r="N875" s="34"/>
      <c r="O875" s="36"/>
      <c r="P875" s="34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15.75" customHeight="1">
      <c r="A876" s="34"/>
      <c r="B876" s="34"/>
      <c r="C876" s="34"/>
      <c r="D876" s="34"/>
      <c r="E876" s="34"/>
      <c r="F876" s="35"/>
      <c r="G876" s="34"/>
      <c r="H876" s="34"/>
      <c r="I876" s="34"/>
      <c r="J876" s="34"/>
      <c r="K876" s="34"/>
      <c r="L876" s="34"/>
      <c r="M876" s="34"/>
      <c r="N876" s="34"/>
      <c r="O876" s="36"/>
      <c r="P876" s="34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15.75" customHeight="1">
      <c r="A877" s="34"/>
      <c r="B877" s="34"/>
      <c r="C877" s="34"/>
      <c r="D877" s="34"/>
      <c r="E877" s="34"/>
      <c r="F877" s="35"/>
      <c r="G877" s="34"/>
      <c r="H877" s="34"/>
      <c r="I877" s="34"/>
      <c r="J877" s="34"/>
      <c r="K877" s="34"/>
      <c r="L877" s="34"/>
      <c r="M877" s="34"/>
      <c r="N877" s="34"/>
      <c r="O877" s="36"/>
      <c r="P877" s="34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15.75" customHeight="1">
      <c r="A878" s="34"/>
      <c r="B878" s="34"/>
      <c r="C878" s="34"/>
      <c r="D878" s="34"/>
      <c r="E878" s="34"/>
      <c r="F878" s="35"/>
      <c r="G878" s="34"/>
      <c r="H878" s="34"/>
      <c r="I878" s="34"/>
      <c r="J878" s="34"/>
      <c r="K878" s="34"/>
      <c r="L878" s="34"/>
      <c r="M878" s="34"/>
      <c r="N878" s="34"/>
      <c r="O878" s="36"/>
      <c r="P878" s="34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15.75" customHeight="1">
      <c r="A879" s="34"/>
      <c r="B879" s="34"/>
      <c r="C879" s="34"/>
      <c r="D879" s="34"/>
      <c r="E879" s="34"/>
      <c r="F879" s="35"/>
      <c r="G879" s="34"/>
      <c r="H879" s="34"/>
      <c r="I879" s="34"/>
      <c r="J879" s="34"/>
      <c r="K879" s="34"/>
      <c r="L879" s="34"/>
      <c r="M879" s="34"/>
      <c r="N879" s="34"/>
      <c r="O879" s="36"/>
      <c r="P879" s="34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15.75" customHeight="1">
      <c r="A880" s="34"/>
      <c r="B880" s="34"/>
      <c r="C880" s="34"/>
      <c r="D880" s="34"/>
      <c r="E880" s="34"/>
      <c r="F880" s="35"/>
      <c r="G880" s="34"/>
      <c r="H880" s="34"/>
      <c r="I880" s="34"/>
      <c r="J880" s="34"/>
      <c r="K880" s="34"/>
      <c r="L880" s="34"/>
      <c r="M880" s="34"/>
      <c r="N880" s="34"/>
      <c r="O880" s="36"/>
      <c r="P880" s="34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15.75" customHeight="1">
      <c r="A881" s="34"/>
      <c r="B881" s="34"/>
      <c r="C881" s="34"/>
      <c r="D881" s="34"/>
      <c r="E881" s="34"/>
      <c r="F881" s="35"/>
      <c r="G881" s="34"/>
      <c r="H881" s="34"/>
      <c r="I881" s="34"/>
      <c r="J881" s="34"/>
      <c r="K881" s="34"/>
      <c r="L881" s="34"/>
      <c r="M881" s="34"/>
      <c r="N881" s="34"/>
      <c r="O881" s="36"/>
      <c r="P881" s="34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15.75" customHeight="1">
      <c r="A882" s="34"/>
      <c r="B882" s="34"/>
      <c r="C882" s="34"/>
      <c r="D882" s="34"/>
      <c r="E882" s="34"/>
      <c r="F882" s="35"/>
      <c r="G882" s="34"/>
      <c r="H882" s="34"/>
      <c r="I882" s="34"/>
      <c r="J882" s="34"/>
      <c r="K882" s="34"/>
      <c r="L882" s="34"/>
      <c r="M882" s="34"/>
      <c r="N882" s="34"/>
      <c r="O882" s="36"/>
      <c r="P882" s="34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15.75" customHeight="1">
      <c r="A883" s="34"/>
      <c r="B883" s="34"/>
      <c r="C883" s="34"/>
      <c r="D883" s="34"/>
      <c r="E883" s="34"/>
      <c r="F883" s="35"/>
      <c r="G883" s="34"/>
      <c r="H883" s="34"/>
      <c r="I883" s="34"/>
      <c r="J883" s="34"/>
      <c r="K883" s="34"/>
      <c r="L883" s="34"/>
      <c r="M883" s="34"/>
      <c r="N883" s="34"/>
      <c r="O883" s="36"/>
      <c r="P883" s="34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15.75" customHeight="1">
      <c r="A884" s="34"/>
      <c r="B884" s="34"/>
      <c r="C884" s="34"/>
      <c r="D884" s="34"/>
      <c r="E884" s="34"/>
      <c r="F884" s="35"/>
      <c r="G884" s="34"/>
      <c r="H884" s="34"/>
      <c r="I884" s="34"/>
      <c r="J884" s="34"/>
      <c r="K884" s="34"/>
      <c r="L884" s="34"/>
      <c r="M884" s="34"/>
      <c r="N884" s="34"/>
      <c r="O884" s="36"/>
      <c r="P884" s="34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15.75" customHeight="1">
      <c r="A885" s="34"/>
      <c r="B885" s="34"/>
      <c r="C885" s="34"/>
      <c r="D885" s="34"/>
      <c r="E885" s="34"/>
      <c r="F885" s="35"/>
      <c r="G885" s="34"/>
      <c r="H885" s="34"/>
      <c r="I885" s="34"/>
      <c r="J885" s="34"/>
      <c r="K885" s="34"/>
      <c r="L885" s="34"/>
      <c r="M885" s="34"/>
      <c r="N885" s="34"/>
      <c r="O885" s="36"/>
      <c r="P885" s="34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15.75" customHeight="1">
      <c r="A886" s="34"/>
      <c r="B886" s="34"/>
      <c r="C886" s="34"/>
      <c r="D886" s="34"/>
      <c r="E886" s="34"/>
      <c r="F886" s="35"/>
      <c r="G886" s="34"/>
      <c r="H886" s="34"/>
      <c r="I886" s="34"/>
      <c r="J886" s="34"/>
      <c r="K886" s="34"/>
      <c r="L886" s="34"/>
      <c r="M886" s="34"/>
      <c r="N886" s="34"/>
      <c r="O886" s="36"/>
      <c r="P886" s="34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15.75" customHeight="1">
      <c r="A887" s="34"/>
      <c r="B887" s="34"/>
      <c r="C887" s="34"/>
      <c r="D887" s="34"/>
      <c r="E887" s="34"/>
      <c r="F887" s="35"/>
      <c r="G887" s="34"/>
      <c r="H887" s="34"/>
      <c r="I887" s="34"/>
      <c r="J887" s="34"/>
      <c r="K887" s="34"/>
      <c r="L887" s="34"/>
      <c r="M887" s="34"/>
      <c r="N887" s="34"/>
      <c r="O887" s="36"/>
      <c r="P887" s="34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15.75" customHeight="1">
      <c r="A888" s="34"/>
      <c r="B888" s="34"/>
      <c r="C888" s="34"/>
      <c r="D888" s="34"/>
      <c r="E888" s="34"/>
      <c r="F888" s="35"/>
      <c r="G888" s="34"/>
      <c r="H888" s="34"/>
      <c r="I888" s="34"/>
      <c r="J888" s="34"/>
      <c r="K888" s="34"/>
      <c r="L888" s="34"/>
      <c r="M888" s="34"/>
      <c r="N888" s="34"/>
      <c r="O888" s="36"/>
      <c r="P888" s="34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15.75" customHeight="1">
      <c r="A889" s="34"/>
      <c r="B889" s="34"/>
      <c r="C889" s="34"/>
      <c r="D889" s="34"/>
      <c r="E889" s="34"/>
      <c r="F889" s="35"/>
      <c r="G889" s="34"/>
      <c r="H889" s="34"/>
      <c r="I889" s="34"/>
      <c r="J889" s="34"/>
      <c r="K889" s="34"/>
      <c r="L889" s="34"/>
      <c r="M889" s="34"/>
      <c r="N889" s="34"/>
      <c r="O889" s="36"/>
      <c r="P889" s="34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15.75" customHeight="1">
      <c r="A890" s="34"/>
      <c r="B890" s="34"/>
      <c r="C890" s="34"/>
      <c r="D890" s="34"/>
      <c r="E890" s="34"/>
      <c r="F890" s="35"/>
      <c r="G890" s="34"/>
      <c r="H890" s="34"/>
      <c r="I890" s="34"/>
      <c r="J890" s="34"/>
      <c r="K890" s="34"/>
      <c r="L890" s="34"/>
      <c r="M890" s="34"/>
      <c r="N890" s="34"/>
      <c r="O890" s="36"/>
      <c r="P890" s="34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15.75" customHeight="1">
      <c r="A891" s="34"/>
      <c r="B891" s="34"/>
      <c r="C891" s="34"/>
      <c r="D891" s="34"/>
      <c r="E891" s="34"/>
      <c r="F891" s="35"/>
      <c r="G891" s="34"/>
      <c r="H891" s="34"/>
      <c r="I891" s="34"/>
      <c r="J891" s="34"/>
      <c r="K891" s="34"/>
      <c r="L891" s="34"/>
      <c r="M891" s="34"/>
      <c r="N891" s="34"/>
      <c r="O891" s="36"/>
      <c r="P891" s="34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15.75" customHeight="1">
      <c r="A892" s="34"/>
      <c r="B892" s="34"/>
      <c r="C892" s="34"/>
      <c r="D892" s="34"/>
      <c r="E892" s="34"/>
      <c r="F892" s="35"/>
      <c r="G892" s="34"/>
      <c r="H892" s="34"/>
      <c r="I892" s="34"/>
      <c r="J892" s="34"/>
      <c r="K892" s="34"/>
      <c r="L892" s="34"/>
      <c r="M892" s="34"/>
      <c r="N892" s="34"/>
      <c r="O892" s="36"/>
      <c r="P892" s="34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15.75" customHeight="1">
      <c r="A893" s="34"/>
      <c r="B893" s="34"/>
      <c r="C893" s="34"/>
      <c r="D893" s="34"/>
      <c r="E893" s="34"/>
      <c r="F893" s="35"/>
      <c r="G893" s="34"/>
      <c r="H893" s="34"/>
      <c r="I893" s="34"/>
      <c r="J893" s="34"/>
      <c r="K893" s="34"/>
      <c r="L893" s="34"/>
      <c r="M893" s="34"/>
      <c r="N893" s="34"/>
      <c r="O893" s="36"/>
      <c r="P893" s="34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15.75" customHeight="1">
      <c r="A894" s="34"/>
      <c r="B894" s="34"/>
      <c r="C894" s="34"/>
      <c r="D894" s="34"/>
      <c r="E894" s="34"/>
      <c r="F894" s="35"/>
      <c r="G894" s="34"/>
      <c r="H894" s="34"/>
      <c r="I894" s="34"/>
      <c r="J894" s="34"/>
      <c r="K894" s="34"/>
      <c r="L894" s="34"/>
      <c r="M894" s="34"/>
      <c r="N894" s="34"/>
      <c r="O894" s="36"/>
      <c r="P894" s="34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15.75" customHeight="1">
      <c r="A895" s="34"/>
      <c r="B895" s="34"/>
      <c r="C895" s="34"/>
      <c r="D895" s="34"/>
      <c r="E895" s="34"/>
      <c r="F895" s="35"/>
      <c r="G895" s="34"/>
      <c r="H895" s="34"/>
      <c r="I895" s="34"/>
      <c r="J895" s="34"/>
      <c r="K895" s="34"/>
      <c r="L895" s="34"/>
      <c r="M895" s="34"/>
      <c r="N895" s="34"/>
      <c r="O895" s="36"/>
      <c r="P895" s="34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15.75" customHeight="1">
      <c r="A896" s="34"/>
      <c r="B896" s="34"/>
      <c r="C896" s="34"/>
      <c r="D896" s="34"/>
      <c r="E896" s="34"/>
      <c r="F896" s="35"/>
      <c r="G896" s="34"/>
      <c r="H896" s="34"/>
      <c r="I896" s="34"/>
      <c r="J896" s="34"/>
      <c r="K896" s="34"/>
      <c r="L896" s="34"/>
      <c r="M896" s="34"/>
      <c r="N896" s="34"/>
      <c r="O896" s="36"/>
      <c r="P896" s="34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15.75" customHeight="1">
      <c r="A897" s="34"/>
      <c r="B897" s="34"/>
      <c r="C897" s="34"/>
      <c r="D897" s="34"/>
      <c r="E897" s="34"/>
      <c r="F897" s="35"/>
      <c r="G897" s="34"/>
      <c r="H897" s="34"/>
      <c r="I897" s="34"/>
      <c r="J897" s="34"/>
      <c r="K897" s="34"/>
      <c r="L897" s="34"/>
      <c r="M897" s="34"/>
      <c r="N897" s="34"/>
      <c r="O897" s="36"/>
      <c r="P897" s="34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15.75" customHeight="1">
      <c r="A898" s="34"/>
      <c r="B898" s="34"/>
      <c r="C898" s="34"/>
      <c r="D898" s="34"/>
      <c r="E898" s="34"/>
      <c r="F898" s="35"/>
      <c r="G898" s="34"/>
      <c r="H898" s="34"/>
      <c r="I898" s="34"/>
      <c r="J898" s="34"/>
      <c r="K898" s="34"/>
      <c r="L898" s="34"/>
      <c r="M898" s="34"/>
      <c r="N898" s="34"/>
      <c r="O898" s="36"/>
      <c r="P898" s="34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15.75" customHeight="1">
      <c r="A899" s="34"/>
      <c r="B899" s="34"/>
      <c r="C899" s="34"/>
      <c r="D899" s="34"/>
      <c r="E899" s="34"/>
      <c r="F899" s="35"/>
      <c r="G899" s="34"/>
      <c r="H899" s="34"/>
      <c r="I899" s="34"/>
      <c r="J899" s="34"/>
      <c r="K899" s="34"/>
      <c r="L899" s="34"/>
      <c r="M899" s="34"/>
      <c r="N899" s="34"/>
      <c r="O899" s="36"/>
      <c r="P899" s="34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15.75" customHeight="1">
      <c r="A900" s="34"/>
      <c r="B900" s="34"/>
      <c r="C900" s="34"/>
      <c r="D900" s="34"/>
      <c r="E900" s="34"/>
      <c r="F900" s="35"/>
      <c r="G900" s="34"/>
      <c r="H900" s="34"/>
      <c r="I900" s="34"/>
      <c r="J900" s="34"/>
      <c r="K900" s="34"/>
      <c r="L900" s="34"/>
      <c r="M900" s="34"/>
      <c r="N900" s="34"/>
      <c r="O900" s="36"/>
      <c r="P900" s="34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15.75" customHeight="1">
      <c r="A901" s="34"/>
      <c r="B901" s="34"/>
      <c r="C901" s="34"/>
      <c r="D901" s="34"/>
      <c r="E901" s="34"/>
      <c r="F901" s="35"/>
      <c r="G901" s="34"/>
      <c r="H901" s="34"/>
      <c r="I901" s="34"/>
      <c r="J901" s="34"/>
      <c r="K901" s="34"/>
      <c r="L901" s="34"/>
      <c r="M901" s="34"/>
      <c r="N901" s="34"/>
      <c r="O901" s="36"/>
      <c r="P901" s="34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15.75" customHeight="1">
      <c r="A902" s="34"/>
      <c r="B902" s="34"/>
      <c r="C902" s="34"/>
      <c r="D902" s="34"/>
      <c r="E902" s="34"/>
      <c r="F902" s="35"/>
      <c r="G902" s="34"/>
      <c r="H902" s="34"/>
      <c r="I902" s="34"/>
      <c r="J902" s="34"/>
      <c r="K902" s="34"/>
      <c r="L902" s="34"/>
      <c r="M902" s="34"/>
      <c r="N902" s="34"/>
      <c r="O902" s="36"/>
      <c r="P902" s="34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15.75" customHeight="1">
      <c r="A903" s="34"/>
      <c r="B903" s="34"/>
      <c r="C903" s="34"/>
      <c r="D903" s="34"/>
      <c r="E903" s="34"/>
      <c r="F903" s="35"/>
      <c r="G903" s="34"/>
      <c r="H903" s="34"/>
      <c r="I903" s="34"/>
      <c r="J903" s="34"/>
      <c r="K903" s="34"/>
      <c r="L903" s="34"/>
      <c r="M903" s="34"/>
      <c r="N903" s="34"/>
      <c r="O903" s="36"/>
      <c r="P903" s="34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15.75" customHeight="1">
      <c r="A904" s="34"/>
      <c r="B904" s="34"/>
      <c r="C904" s="34"/>
      <c r="D904" s="34"/>
      <c r="E904" s="34"/>
      <c r="F904" s="35"/>
      <c r="G904" s="34"/>
      <c r="H904" s="34"/>
      <c r="I904" s="34"/>
      <c r="J904" s="34"/>
      <c r="K904" s="34"/>
      <c r="L904" s="34"/>
      <c r="M904" s="34"/>
      <c r="N904" s="34"/>
      <c r="O904" s="36"/>
      <c r="P904" s="34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15.75" customHeight="1">
      <c r="A905" s="34"/>
      <c r="B905" s="34"/>
      <c r="C905" s="34"/>
      <c r="D905" s="34"/>
      <c r="E905" s="34"/>
      <c r="F905" s="35"/>
      <c r="G905" s="34"/>
      <c r="H905" s="34"/>
      <c r="I905" s="34"/>
      <c r="J905" s="34"/>
      <c r="K905" s="34"/>
      <c r="L905" s="34"/>
      <c r="M905" s="34"/>
      <c r="N905" s="34"/>
      <c r="O905" s="36"/>
      <c r="P905" s="34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15.75" customHeight="1">
      <c r="A906" s="34"/>
      <c r="B906" s="34"/>
      <c r="C906" s="34"/>
      <c r="D906" s="34"/>
      <c r="E906" s="34"/>
      <c r="F906" s="35"/>
      <c r="G906" s="34"/>
      <c r="H906" s="34"/>
      <c r="I906" s="34"/>
      <c r="J906" s="34"/>
      <c r="K906" s="34"/>
      <c r="L906" s="34"/>
      <c r="M906" s="34"/>
      <c r="N906" s="34"/>
      <c r="O906" s="36"/>
      <c r="P906" s="34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15.75" customHeight="1">
      <c r="A907" s="34"/>
      <c r="B907" s="34"/>
      <c r="C907" s="34"/>
      <c r="D907" s="34"/>
      <c r="E907" s="34"/>
      <c r="F907" s="35"/>
      <c r="G907" s="34"/>
      <c r="H907" s="34"/>
      <c r="I907" s="34"/>
      <c r="J907" s="34"/>
      <c r="K907" s="34"/>
      <c r="L907" s="34"/>
      <c r="M907" s="34"/>
      <c r="N907" s="34"/>
      <c r="O907" s="36"/>
      <c r="P907" s="34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15.75" customHeight="1">
      <c r="A908" s="34"/>
      <c r="B908" s="34"/>
      <c r="C908" s="34"/>
      <c r="D908" s="34"/>
      <c r="E908" s="34"/>
      <c r="F908" s="35"/>
      <c r="G908" s="34"/>
      <c r="H908" s="34"/>
      <c r="I908" s="34"/>
      <c r="J908" s="34"/>
      <c r="K908" s="34"/>
      <c r="L908" s="34"/>
      <c r="M908" s="34"/>
      <c r="N908" s="34"/>
      <c r="O908" s="36"/>
      <c r="P908" s="34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15.75" customHeight="1">
      <c r="A909" s="34"/>
      <c r="B909" s="34"/>
      <c r="C909" s="34"/>
      <c r="D909" s="34"/>
      <c r="E909" s="34"/>
      <c r="F909" s="35"/>
      <c r="G909" s="34"/>
      <c r="H909" s="34"/>
      <c r="I909" s="34"/>
      <c r="J909" s="34"/>
      <c r="K909" s="34"/>
      <c r="L909" s="34"/>
      <c r="M909" s="34"/>
      <c r="N909" s="34"/>
      <c r="O909" s="36"/>
      <c r="P909" s="34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15.75" customHeight="1">
      <c r="A910" s="34"/>
      <c r="B910" s="34"/>
      <c r="C910" s="34"/>
      <c r="D910" s="34"/>
      <c r="E910" s="34"/>
      <c r="F910" s="35"/>
      <c r="G910" s="34"/>
      <c r="H910" s="34"/>
      <c r="I910" s="34"/>
      <c r="J910" s="34"/>
      <c r="K910" s="34"/>
      <c r="L910" s="34"/>
      <c r="M910" s="34"/>
      <c r="N910" s="34"/>
      <c r="O910" s="36"/>
      <c r="P910" s="34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15.75" customHeight="1">
      <c r="A911" s="34"/>
      <c r="B911" s="34"/>
      <c r="C911" s="34"/>
      <c r="D911" s="34"/>
      <c r="E911" s="34"/>
      <c r="F911" s="35"/>
      <c r="G911" s="34"/>
      <c r="H911" s="34"/>
      <c r="I911" s="34"/>
      <c r="J911" s="34"/>
      <c r="K911" s="34"/>
      <c r="L911" s="34"/>
      <c r="M911" s="34"/>
      <c r="N911" s="34"/>
      <c r="O911" s="36"/>
      <c r="P911" s="34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15.75" customHeight="1">
      <c r="A912" s="34"/>
      <c r="B912" s="34"/>
      <c r="C912" s="34"/>
      <c r="D912" s="34"/>
      <c r="E912" s="34"/>
      <c r="F912" s="35"/>
      <c r="G912" s="34"/>
      <c r="H912" s="34"/>
      <c r="I912" s="34"/>
      <c r="J912" s="34"/>
      <c r="K912" s="34"/>
      <c r="L912" s="34"/>
      <c r="M912" s="34"/>
      <c r="N912" s="34"/>
      <c r="O912" s="36"/>
      <c r="P912" s="34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15.75" customHeight="1">
      <c r="A913" s="34"/>
      <c r="B913" s="34"/>
      <c r="C913" s="34"/>
      <c r="D913" s="34"/>
      <c r="E913" s="34"/>
      <c r="F913" s="35"/>
      <c r="G913" s="34"/>
      <c r="H913" s="34"/>
      <c r="I913" s="34"/>
      <c r="J913" s="34"/>
      <c r="K913" s="34"/>
      <c r="L913" s="34"/>
      <c r="M913" s="34"/>
      <c r="N913" s="34"/>
      <c r="O913" s="36"/>
      <c r="P913" s="34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15.75" customHeight="1">
      <c r="A914" s="34"/>
      <c r="B914" s="34"/>
      <c r="C914" s="34"/>
      <c r="D914" s="34"/>
      <c r="E914" s="34"/>
      <c r="F914" s="35"/>
      <c r="G914" s="34"/>
      <c r="H914" s="34"/>
      <c r="I914" s="34"/>
      <c r="J914" s="34"/>
      <c r="K914" s="34"/>
      <c r="L914" s="34"/>
      <c r="M914" s="34"/>
      <c r="N914" s="34"/>
      <c r="O914" s="36"/>
      <c r="P914" s="34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15.75" customHeight="1">
      <c r="A915" s="34"/>
      <c r="B915" s="34"/>
      <c r="C915" s="34"/>
      <c r="D915" s="34"/>
      <c r="E915" s="34"/>
      <c r="F915" s="35"/>
      <c r="G915" s="34"/>
      <c r="H915" s="34"/>
      <c r="I915" s="34"/>
      <c r="J915" s="34"/>
      <c r="K915" s="34"/>
      <c r="L915" s="34"/>
      <c r="M915" s="34"/>
      <c r="N915" s="34"/>
      <c r="O915" s="36"/>
      <c r="P915" s="34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15.75" customHeight="1">
      <c r="A916" s="34"/>
      <c r="B916" s="34"/>
      <c r="C916" s="34"/>
      <c r="D916" s="34"/>
      <c r="E916" s="34"/>
      <c r="F916" s="35"/>
      <c r="G916" s="34"/>
      <c r="H916" s="34"/>
      <c r="I916" s="34"/>
      <c r="J916" s="34"/>
      <c r="K916" s="34"/>
      <c r="L916" s="34"/>
      <c r="M916" s="34"/>
      <c r="N916" s="34"/>
      <c r="O916" s="36"/>
      <c r="P916" s="34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15.75" customHeight="1">
      <c r="A917" s="34"/>
      <c r="B917" s="34"/>
      <c r="C917" s="34"/>
      <c r="D917" s="34"/>
      <c r="E917" s="34"/>
      <c r="F917" s="35"/>
      <c r="G917" s="34"/>
      <c r="H917" s="34"/>
      <c r="I917" s="34"/>
      <c r="J917" s="34"/>
      <c r="K917" s="34"/>
      <c r="L917" s="34"/>
      <c r="M917" s="34"/>
      <c r="N917" s="34"/>
      <c r="O917" s="36"/>
      <c r="P917" s="34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15.75" customHeight="1">
      <c r="A918" s="34"/>
      <c r="B918" s="34"/>
      <c r="C918" s="34"/>
      <c r="D918" s="34"/>
      <c r="E918" s="34"/>
      <c r="F918" s="35"/>
      <c r="G918" s="34"/>
      <c r="H918" s="34"/>
      <c r="I918" s="34"/>
      <c r="J918" s="34"/>
      <c r="K918" s="34"/>
      <c r="L918" s="34"/>
      <c r="M918" s="34"/>
      <c r="N918" s="34"/>
      <c r="O918" s="36"/>
      <c r="P918" s="34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15.75" customHeight="1">
      <c r="A919" s="34"/>
      <c r="B919" s="34"/>
      <c r="C919" s="34"/>
      <c r="D919" s="34"/>
      <c r="E919" s="34"/>
      <c r="F919" s="35"/>
      <c r="G919" s="34"/>
      <c r="H919" s="34"/>
      <c r="I919" s="34"/>
      <c r="J919" s="34"/>
      <c r="K919" s="34"/>
      <c r="L919" s="34"/>
      <c r="M919" s="34"/>
      <c r="N919" s="34"/>
      <c r="O919" s="36"/>
      <c r="P919" s="34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15.75" customHeight="1">
      <c r="A920" s="34"/>
      <c r="B920" s="34"/>
      <c r="C920" s="34"/>
      <c r="D920" s="34"/>
      <c r="E920" s="34"/>
      <c r="F920" s="35"/>
      <c r="G920" s="34"/>
      <c r="H920" s="34"/>
      <c r="I920" s="34"/>
      <c r="J920" s="34"/>
      <c r="K920" s="34"/>
      <c r="L920" s="34"/>
      <c r="M920" s="34"/>
      <c r="N920" s="34"/>
      <c r="O920" s="36"/>
      <c r="P920" s="34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15.75" customHeight="1">
      <c r="A921" s="34"/>
      <c r="B921" s="34"/>
      <c r="C921" s="34"/>
      <c r="D921" s="34"/>
      <c r="E921" s="34"/>
      <c r="F921" s="35"/>
      <c r="G921" s="34"/>
      <c r="H921" s="34"/>
      <c r="I921" s="34"/>
      <c r="J921" s="34"/>
      <c r="K921" s="34"/>
      <c r="L921" s="34"/>
      <c r="M921" s="34"/>
      <c r="N921" s="34"/>
      <c r="O921" s="36"/>
      <c r="P921" s="34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15.75" customHeight="1">
      <c r="A922" s="34"/>
      <c r="B922" s="34"/>
      <c r="C922" s="34"/>
      <c r="D922" s="34"/>
      <c r="E922" s="34"/>
      <c r="F922" s="35"/>
      <c r="G922" s="34"/>
      <c r="H922" s="34"/>
      <c r="I922" s="34"/>
      <c r="J922" s="34"/>
      <c r="K922" s="34"/>
      <c r="L922" s="34"/>
      <c r="M922" s="34"/>
      <c r="N922" s="34"/>
      <c r="O922" s="36"/>
      <c r="P922" s="34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15.75" customHeight="1">
      <c r="A923" s="34"/>
      <c r="B923" s="34"/>
      <c r="C923" s="34"/>
      <c r="D923" s="34"/>
      <c r="E923" s="34"/>
      <c r="F923" s="35"/>
      <c r="G923" s="34"/>
      <c r="H923" s="34"/>
      <c r="I923" s="34"/>
      <c r="J923" s="34"/>
      <c r="K923" s="34"/>
      <c r="L923" s="34"/>
      <c r="M923" s="34"/>
      <c r="N923" s="34"/>
      <c r="O923" s="36"/>
      <c r="P923" s="34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15.75" customHeight="1">
      <c r="A924" s="34"/>
      <c r="B924" s="34"/>
      <c r="C924" s="34"/>
      <c r="D924" s="34"/>
      <c r="E924" s="34"/>
      <c r="F924" s="35"/>
      <c r="G924" s="34"/>
      <c r="H924" s="34"/>
      <c r="I924" s="34"/>
      <c r="J924" s="34"/>
      <c r="K924" s="34"/>
      <c r="L924" s="34"/>
      <c r="M924" s="34"/>
      <c r="N924" s="34"/>
      <c r="O924" s="36"/>
      <c r="P924" s="34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15.75" customHeight="1">
      <c r="A925" s="34"/>
      <c r="B925" s="34"/>
      <c r="C925" s="34"/>
      <c r="D925" s="34"/>
      <c r="E925" s="34"/>
      <c r="F925" s="35"/>
      <c r="G925" s="34"/>
      <c r="H925" s="34"/>
      <c r="I925" s="34"/>
      <c r="J925" s="34"/>
      <c r="K925" s="34"/>
      <c r="L925" s="34"/>
      <c r="M925" s="34"/>
      <c r="N925" s="34"/>
      <c r="O925" s="36"/>
      <c r="P925" s="34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15.75" customHeight="1">
      <c r="A926" s="34"/>
      <c r="B926" s="34"/>
      <c r="C926" s="34"/>
      <c r="D926" s="34"/>
      <c r="E926" s="34"/>
      <c r="F926" s="35"/>
      <c r="G926" s="34"/>
      <c r="H926" s="34"/>
      <c r="I926" s="34"/>
      <c r="J926" s="34"/>
      <c r="K926" s="34"/>
      <c r="L926" s="34"/>
      <c r="M926" s="34"/>
      <c r="N926" s="34"/>
      <c r="O926" s="36"/>
      <c r="P926" s="34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15.75" customHeight="1">
      <c r="A927" s="34"/>
      <c r="B927" s="34"/>
      <c r="C927" s="34"/>
      <c r="D927" s="34"/>
      <c r="E927" s="34"/>
      <c r="F927" s="35"/>
      <c r="G927" s="34"/>
      <c r="H927" s="34"/>
      <c r="I927" s="34"/>
      <c r="J927" s="34"/>
      <c r="K927" s="34"/>
      <c r="L927" s="34"/>
      <c r="M927" s="34"/>
      <c r="N927" s="34"/>
      <c r="O927" s="36"/>
      <c r="P927" s="34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15.75" customHeight="1">
      <c r="A928" s="34"/>
      <c r="B928" s="34"/>
      <c r="C928" s="34"/>
      <c r="D928" s="34"/>
      <c r="E928" s="34"/>
      <c r="F928" s="35"/>
      <c r="G928" s="34"/>
      <c r="H928" s="34"/>
      <c r="I928" s="34"/>
      <c r="J928" s="34"/>
      <c r="K928" s="34"/>
      <c r="L928" s="34"/>
      <c r="M928" s="34"/>
      <c r="N928" s="34"/>
      <c r="O928" s="36"/>
      <c r="P928" s="34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15.75" customHeight="1">
      <c r="A929" s="34"/>
      <c r="B929" s="34"/>
      <c r="C929" s="34"/>
      <c r="D929" s="34"/>
      <c r="E929" s="34"/>
      <c r="F929" s="35"/>
      <c r="G929" s="34"/>
      <c r="H929" s="34"/>
      <c r="I929" s="34"/>
      <c r="J929" s="34"/>
      <c r="K929" s="34"/>
      <c r="L929" s="34"/>
      <c r="M929" s="34"/>
      <c r="N929" s="34"/>
      <c r="O929" s="36"/>
      <c r="P929" s="34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15.75" customHeight="1">
      <c r="A930" s="34"/>
      <c r="B930" s="34"/>
      <c r="C930" s="34"/>
      <c r="D930" s="34"/>
      <c r="E930" s="34"/>
      <c r="F930" s="35"/>
      <c r="G930" s="34"/>
      <c r="H930" s="34"/>
      <c r="I930" s="34"/>
      <c r="J930" s="34"/>
      <c r="K930" s="34"/>
      <c r="L930" s="34"/>
      <c r="M930" s="34"/>
      <c r="N930" s="34"/>
      <c r="O930" s="36"/>
      <c r="P930" s="34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15.75" customHeight="1">
      <c r="A931" s="34"/>
      <c r="B931" s="34"/>
      <c r="C931" s="34"/>
      <c r="D931" s="34"/>
      <c r="E931" s="34"/>
      <c r="F931" s="35"/>
      <c r="G931" s="34"/>
      <c r="H931" s="34"/>
      <c r="I931" s="34"/>
      <c r="J931" s="34"/>
      <c r="K931" s="34"/>
      <c r="L931" s="34"/>
      <c r="M931" s="34"/>
      <c r="N931" s="34"/>
      <c r="O931" s="36"/>
      <c r="P931" s="34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15.75" customHeight="1">
      <c r="A932" s="34"/>
      <c r="B932" s="34"/>
      <c r="C932" s="34"/>
      <c r="D932" s="34"/>
      <c r="E932" s="34"/>
      <c r="F932" s="35"/>
      <c r="G932" s="34"/>
      <c r="H932" s="34"/>
      <c r="I932" s="34"/>
      <c r="J932" s="34"/>
      <c r="K932" s="34"/>
      <c r="L932" s="34"/>
      <c r="M932" s="34"/>
      <c r="N932" s="34"/>
      <c r="O932" s="36"/>
      <c r="P932" s="34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15.75" customHeight="1">
      <c r="A933" s="34"/>
      <c r="B933" s="34"/>
      <c r="C933" s="34"/>
      <c r="D933" s="34"/>
      <c r="E933" s="34"/>
      <c r="F933" s="35"/>
      <c r="G933" s="34"/>
      <c r="H933" s="34"/>
      <c r="I933" s="34"/>
      <c r="J933" s="34"/>
      <c r="K933" s="34"/>
      <c r="L933" s="34"/>
      <c r="M933" s="34"/>
      <c r="N933" s="34"/>
      <c r="O933" s="36"/>
      <c r="P933" s="34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15.75" customHeight="1">
      <c r="A934" s="34"/>
      <c r="B934" s="34"/>
      <c r="C934" s="34"/>
      <c r="D934" s="34"/>
      <c r="E934" s="34"/>
      <c r="F934" s="35"/>
      <c r="G934" s="34"/>
      <c r="H934" s="34"/>
      <c r="I934" s="34"/>
      <c r="J934" s="34"/>
      <c r="K934" s="34"/>
      <c r="L934" s="34"/>
      <c r="M934" s="34"/>
      <c r="N934" s="34"/>
      <c r="O934" s="36"/>
      <c r="P934" s="34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15.75" customHeight="1">
      <c r="A935" s="34"/>
      <c r="B935" s="34"/>
      <c r="C935" s="34"/>
      <c r="D935" s="34"/>
      <c r="E935" s="34"/>
      <c r="F935" s="35"/>
      <c r="G935" s="34"/>
      <c r="H935" s="34"/>
      <c r="I935" s="34"/>
      <c r="J935" s="34"/>
      <c r="K935" s="34"/>
      <c r="L935" s="34"/>
      <c r="M935" s="34"/>
      <c r="N935" s="34"/>
      <c r="O935" s="36"/>
      <c r="P935" s="34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15.75" customHeight="1">
      <c r="A936" s="34"/>
      <c r="B936" s="34"/>
      <c r="C936" s="34"/>
      <c r="D936" s="34"/>
      <c r="E936" s="34"/>
      <c r="F936" s="35"/>
      <c r="G936" s="34"/>
      <c r="H936" s="34"/>
      <c r="I936" s="34"/>
      <c r="J936" s="34"/>
      <c r="K936" s="34"/>
      <c r="L936" s="34"/>
      <c r="M936" s="34"/>
      <c r="N936" s="34"/>
      <c r="O936" s="36"/>
      <c r="P936" s="34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15.75" customHeight="1">
      <c r="A937" s="34"/>
      <c r="B937" s="34"/>
      <c r="C937" s="34"/>
      <c r="D937" s="34"/>
      <c r="E937" s="34"/>
      <c r="F937" s="35"/>
      <c r="G937" s="34"/>
      <c r="H937" s="34"/>
      <c r="I937" s="34"/>
      <c r="J937" s="34"/>
      <c r="K937" s="34"/>
      <c r="L937" s="34"/>
      <c r="M937" s="34"/>
      <c r="N937" s="34"/>
      <c r="O937" s="36"/>
      <c r="P937" s="34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15.75" customHeight="1">
      <c r="A938" s="34"/>
      <c r="B938" s="34"/>
      <c r="C938" s="34"/>
      <c r="D938" s="34"/>
      <c r="E938" s="34"/>
      <c r="F938" s="35"/>
      <c r="G938" s="34"/>
      <c r="H938" s="34"/>
      <c r="I938" s="34"/>
      <c r="J938" s="34"/>
      <c r="K938" s="34"/>
      <c r="L938" s="34"/>
      <c r="M938" s="34"/>
      <c r="N938" s="34"/>
      <c r="O938" s="36"/>
      <c r="P938" s="34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15.75" customHeight="1">
      <c r="A939" s="34"/>
      <c r="B939" s="34"/>
      <c r="C939" s="34"/>
      <c r="D939" s="34"/>
      <c r="E939" s="34"/>
      <c r="F939" s="35"/>
      <c r="G939" s="34"/>
      <c r="H939" s="34"/>
      <c r="I939" s="34"/>
      <c r="J939" s="34"/>
      <c r="K939" s="34"/>
      <c r="L939" s="34"/>
      <c r="M939" s="34"/>
      <c r="N939" s="34"/>
      <c r="O939" s="36"/>
      <c r="P939" s="34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15.75" customHeight="1">
      <c r="A940" s="34"/>
      <c r="B940" s="34"/>
      <c r="C940" s="34"/>
      <c r="D940" s="34"/>
      <c r="E940" s="34"/>
      <c r="F940" s="35"/>
      <c r="G940" s="34"/>
      <c r="H940" s="34"/>
      <c r="I940" s="34"/>
      <c r="J940" s="34"/>
      <c r="K940" s="34"/>
      <c r="L940" s="34"/>
      <c r="M940" s="34"/>
      <c r="N940" s="34"/>
      <c r="O940" s="36"/>
      <c r="P940" s="34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15.75" customHeight="1">
      <c r="A941" s="34"/>
      <c r="B941" s="34"/>
      <c r="C941" s="34"/>
      <c r="D941" s="34"/>
      <c r="E941" s="34"/>
      <c r="F941" s="35"/>
      <c r="G941" s="34"/>
      <c r="H941" s="34"/>
      <c r="I941" s="34"/>
      <c r="J941" s="34"/>
      <c r="K941" s="34"/>
      <c r="L941" s="34"/>
      <c r="M941" s="34"/>
      <c r="N941" s="34"/>
      <c r="O941" s="36"/>
      <c r="P941" s="34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15.75" customHeight="1">
      <c r="A942" s="34"/>
      <c r="B942" s="34"/>
      <c r="C942" s="34"/>
      <c r="D942" s="34"/>
      <c r="E942" s="34"/>
      <c r="F942" s="35"/>
      <c r="G942" s="34"/>
      <c r="H942" s="34"/>
      <c r="I942" s="34"/>
      <c r="J942" s="34"/>
      <c r="K942" s="34"/>
      <c r="L942" s="34"/>
      <c r="M942" s="34"/>
      <c r="N942" s="34"/>
      <c r="O942" s="36"/>
      <c r="P942" s="34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15.75" customHeight="1">
      <c r="A943" s="34"/>
      <c r="B943" s="34"/>
      <c r="C943" s="34"/>
      <c r="D943" s="34"/>
      <c r="E943" s="34"/>
      <c r="F943" s="35"/>
      <c r="G943" s="34"/>
      <c r="H943" s="34"/>
      <c r="I943" s="34"/>
      <c r="J943" s="34"/>
      <c r="K943" s="34"/>
      <c r="L943" s="34"/>
      <c r="M943" s="34"/>
      <c r="N943" s="34"/>
      <c r="O943" s="36"/>
      <c r="P943" s="34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15.75" customHeight="1">
      <c r="A944" s="34"/>
      <c r="B944" s="34"/>
      <c r="C944" s="34"/>
      <c r="D944" s="34"/>
      <c r="E944" s="34"/>
      <c r="F944" s="35"/>
      <c r="G944" s="34"/>
      <c r="H944" s="34"/>
      <c r="I944" s="34"/>
      <c r="J944" s="34"/>
      <c r="K944" s="34"/>
      <c r="L944" s="34"/>
      <c r="M944" s="34"/>
      <c r="N944" s="34"/>
      <c r="O944" s="36"/>
      <c r="P944" s="34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15.75" customHeight="1">
      <c r="A945" s="34"/>
      <c r="B945" s="34"/>
      <c r="C945" s="34"/>
      <c r="D945" s="34"/>
      <c r="E945" s="34"/>
      <c r="F945" s="35"/>
      <c r="G945" s="34"/>
      <c r="H945" s="34"/>
      <c r="I945" s="34"/>
      <c r="J945" s="34"/>
      <c r="K945" s="34"/>
      <c r="L945" s="34"/>
      <c r="M945" s="34"/>
      <c r="N945" s="34"/>
      <c r="O945" s="36"/>
      <c r="P945" s="34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15.75" customHeight="1">
      <c r="A946" s="34"/>
      <c r="B946" s="34"/>
      <c r="C946" s="34"/>
      <c r="D946" s="34"/>
      <c r="E946" s="34"/>
      <c r="F946" s="35"/>
      <c r="G946" s="34"/>
      <c r="H946" s="34"/>
      <c r="I946" s="34"/>
      <c r="J946" s="34"/>
      <c r="K946" s="34"/>
      <c r="L946" s="34"/>
      <c r="M946" s="34"/>
      <c r="N946" s="34"/>
      <c r="O946" s="36"/>
      <c r="P946" s="34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15.75" customHeight="1">
      <c r="A947" s="34"/>
      <c r="B947" s="34"/>
      <c r="C947" s="34"/>
      <c r="D947" s="34"/>
      <c r="E947" s="34"/>
      <c r="F947" s="35"/>
      <c r="G947" s="34"/>
      <c r="H947" s="34"/>
      <c r="I947" s="34"/>
      <c r="J947" s="34"/>
      <c r="K947" s="34"/>
      <c r="L947" s="34"/>
      <c r="M947" s="34"/>
      <c r="N947" s="34"/>
      <c r="O947" s="36"/>
      <c r="P947" s="34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15.75" customHeight="1">
      <c r="A948" s="34"/>
      <c r="B948" s="34"/>
      <c r="C948" s="34"/>
      <c r="D948" s="34"/>
      <c r="E948" s="34"/>
      <c r="F948" s="35"/>
      <c r="G948" s="34"/>
      <c r="H948" s="34"/>
      <c r="I948" s="34"/>
      <c r="J948" s="34"/>
      <c r="K948" s="34"/>
      <c r="L948" s="34"/>
      <c r="M948" s="34"/>
      <c r="N948" s="34"/>
      <c r="O948" s="36"/>
      <c r="P948" s="34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15.75" customHeight="1">
      <c r="A949" s="34"/>
      <c r="B949" s="34"/>
      <c r="C949" s="34"/>
      <c r="D949" s="34"/>
      <c r="E949" s="34"/>
      <c r="F949" s="35"/>
      <c r="G949" s="34"/>
      <c r="H949" s="34"/>
      <c r="I949" s="34"/>
      <c r="J949" s="34"/>
      <c r="K949" s="34"/>
      <c r="L949" s="34"/>
      <c r="M949" s="34"/>
      <c r="N949" s="34"/>
      <c r="O949" s="36"/>
      <c r="P949" s="34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15.75" customHeight="1">
      <c r="A950" s="34"/>
      <c r="B950" s="34"/>
      <c r="C950" s="34"/>
      <c r="D950" s="34"/>
      <c r="E950" s="34"/>
      <c r="F950" s="35"/>
      <c r="G950" s="34"/>
      <c r="H950" s="34"/>
      <c r="I950" s="34"/>
      <c r="J950" s="34"/>
      <c r="K950" s="34"/>
      <c r="L950" s="34"/>
      <c r="M950" s="34"/>
      <c r="N950" s="34"/>
      <c r="O950" s="36"/>
      <c r="P950" s="34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15.75" customHeight="1">
      <c r="A951" s="34"/>
      <c r="B951" s="34"/>
      <c r="C951" s="34"/>
      <c r="D951" s="34"/>
      <c r="E951" s="34"/>
      <c r="F951" s="35"/>
      <c r="G951" s="34"/>
      <c r="H951" s="34"/>
      <c r="I951" s="34"/>
      <c r="J951" s="34"/>
      <c r="K951" s="34"/>
      <c r="L951" s="34"/>
      <c r="M951" s="34"/>
      <c r="N951" s="34"/>
      <c r="O951" s="36"/>
      <c r="P951" s="34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15.75" customHeight="1">
      <c r="A952" s="34"/>
      <c r="B952" s="34"/>
      <c r="C952" s="34"/>
      <c r="D952" s="34"/>
      <c r="E952" s="34"/>
      <c r="F952" s="35"/>
      <c r="G952" s="34"/>
      <c r="H952" s="34"/>
      <c r="I952" s="34"/>
      <c r="J952" s="34"/>
      <c r="K952" s="34"/>
      <c r="L952" s="34"/>
      <c r="M952" s="34"/>
      <c r="N952" s="34"/>
      <c r="O952" s="36"/>
      <c r="P952" s="34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15.75" customHeight="1">
      <c r="A953" s="34"/>
      <c r="B953" s="34"/>
      <c r="C953" s="34"/>
      <c r="D953" s="34"/>
      <c r="E953" s="34"/>
      <c r="F953" s="35"/>
      <c r="G953" s="34"/>
      <c r="H953" s="34"/>
      <c r="I953" s="34"/>
      <c r="J953" s="34"/>
      <c r="K953" s="34"/>
      <c r="L953" s="34"/>
      <c r="M953" s="34"/>
      <c r="N953" s="34"/>
      <c r="O953" s="36"/>
      <c r="P953" s="34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15.75" customHeight="1">
      <c r="A954" s="34"/>
      <c r="B954" s="34"/>
      <c r="C954" s="34"/>
      <c r="D954" s="34"/>
      <c r="E954" s="34"/>
      <c r="F954" s="35"/>
      <c r="G954" s="34"/>
      <c r="H954" s="34"/>
      <c r="I954" s="34"/>
      <c r="J954" s="34"/>
      <c r="K954" s="34"/>
      <c r="L954" s="34"/>
      <c r="M954" s="34"/>
      <c r="N954" s="34"/>
      <c r="O954" s="36"/>
      <c r="P954" s="34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15.75" customHeight="1">
      <c r="A955" s="34"/>
      <c r="B955" s="34"/>
      <c r="C955" s="34"/>
      <c r="D955" s="34"/>
      <c r="E955" s="34"/>
      <c r="F955" s="35"/>
      <c r="G955" s="34"/>
      <c r="H955" s="34"/>
      <c r="I955" s="34"/>
      <c r="J955" s="34"/>
      <c r="K955" s="34"/>
      <c r="L955" s="34"/>
      <c r="M955" s="34"/>
      <c r="N955" s="34"/>
      <c r="O955" s="36"/>
      <c r="P955" s="34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15.75" customHeight="1">
      <c r="A956" s="34"/>
      <c r="B956" s="34"/>
      <c r="C956" s="34"/>
      <c r="D956" s="34"/>
      <c r="E956" s="34"/>
      <c r="F956" s="35"/>
      <c r="G956" s="34"/>
      <c r="H956" s="34"/>
      <c r="I956" s="34"/>
      <c r="J956" s="34"/>
      <c r="K956" s="34"/>
      <c r="L956" s="34"/>
      <c r="M956" s="34"/>
      <c r="N956" s="34"/>
      <c r="O956" s="36"/>
      <c r="P956" s="34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15.75" customHeight="1">
      <c r="A957" s="34"/>
      <c r="B957" s="34"/>
      <c r="C957" s="34"/>
      <c r="D957" s="34"/>
      <c r="E957" s="34"/>
      <c r="F957" s="35"/>
      <c r="G957" s="34"/>
      <c r="H957" s="34"/>
      <c r="I957" s="34"/>
      <c r="J957" s="34"/>
      <c r="K957" s="34"/>
      <c r="L957" s="34"/>
      <c r="M957" s="34"/>
      <c r="N957" s="34"/>
      <c r="O957" s="36"/>
      <c r="P957" s="34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15.75" customHeight="1">
      <c r="A958" s="34"/>
      <c r="B958" s="34"/>
      <c r="C958" s="34"/>
      <c r="D958" s="34"/>
      <c r="E958" s="34"/>
      <c r="F958" s="35"/>
      <c r="G958" s="34"/>
      <c r="H958" s="34"/>
      <c r="I958" s="34"/>
      <c r="J958" s="34"/>
      <c r="K958" s="34"/>
      <c r="L958" s="34"/>
      <c r="M958" s="34"/>
      <c r="N958" s="34"/>
      <c r="O958" s="36"/>
      <c r="P958" s="34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15.75" customHeight="1">
      <c r="A959" s="34"/>
      <c r="B959" s="34"/>
      <c r="C959" s="34"/>
      <c r="D959" s="34"/>
      <c r="E959" s="34"/>
      <c r="F959" s="35"/>
      <c r="G959" s="34"/>
      <c r="H959" s="34"/>
      <c r="I959" s="34"/>
      <c r="J959" s="34"/>
      <c r="K959" s="34"/>
      <c r="L959" s="34"/>
      <c r="M959" s="34"/>
      <c r="N959" s="34"/>
      <c r="O959" s="36"/>
      <c r="P959" s="34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15.75" customHeight="1">
      <c r="A960" s="34"/>
      <c r="B960" s="34"/>
      <c r="C960" s="34"/>
      <c r="D960" s="34"/>
      <c r="E960" s="34"/>
      <c r="F960" s="35"/>
      <c r="G960" s="34"/>
      <c r="H960" s="34"/>
      <c r="I960" s="34"/>
      <c r="J960" s="34"/>
      <c r="K960" s="34"/>
      <c r="L960" s="34"/>
      <c r="M960" s="34"/>
      <c r="N960" s="34"/>
      <c r="O960" s="36"/>
      <c r="P960" s="34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15.75" customHeight="1">
      <c r="A961" s="34"/>
      <c r="B961" s="34"/>
      <c r="C961" s="34"/>
      <c r="D961" s="34"/>
      <c r="E961" s="34"/>
      <c r="F961" s="35"/>
      <c r="G961" s="34"/>
      <c r="H961" s="34"/>
      <c r="I961" s="34"/>
      <c r="J961" s="34"/>
      <c r="K961" s="34"/>
      <c r="L961" s="34"/>
      <c r="M961" s="34"/>
      <c r="N961" s="34"/>
      <c r="O961" s="36"/>
      <c r="P961" s="34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15.75" customHeight="1">
      <c r="A962" s="34"/>
      <c r="B962" s="34"/>
      <c r="C962" s="34"/>
      <c r="D962" s="34"/>
      <c r="E962" s="34"/>
      <c r="F962" s="35"/>
      <c r="G962" s="34"/>
      <c r="H962" s="34"/>
      <c r="I962" s="34"/>
      <c r="J962" s="34"/>
      <c r="K962" s="34"/>
      <c r="L962" s="34"/>
      <c r="M962" s="34"/>
      <c r="N962" s="34"/>
      <c r="O962" s="36"/>
      <c r="P962" s="34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15.75" customHeight="1">
      <c r="A963" s="34"/>
      <c r="B963" s="34"/>
      <c r="C963" s="34"/>
      <c r="D963" s="34"/>
      <c r="E963" s="34"/>
      <c r="F963" s="35"/>
      <c r="G963" s="34"/>
      <c r="H963" s="34"/>
      <c r="I963" s="34"/>
      <c r="J963" s="34"/>
      <c r="K963" s="34"/>
      <c r="L963" s="34"/>
      <c r="M963" s="34"/>
      <c r="N963" s="34"/>
      <c r="O963" s="36"/>
      <c r="P963" s="34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15.75" customHeight="1">
      <c r="A964" s="34"/>
      <c r="B964" s="34"/>
      <c r="C964" s="34"/>
      <c r="D964" s="34"/>
      <c r="E964" s="34"/>
      <c r="F964" s="35"/>
      <c r="G964" s="34"/>
      <c r="H964" s="34"/>
      <c r="I964" s="34"/>
      <c r="J964" s="34"/>
      <c r="K964" s="34"/>
      <c r="L964" s="34"/>
      <c r="M964" s="34"/>
      <c r="N964" s="34"/>
      <c r="O964" s="36"/>
      <c r="P964" s="34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15.75" customHeight="1">
      <c r="A965" s="34"/>
      <c r="B965" s="34"/>
      <c r="C965" s="34"/>
      <c r="D965" s="34"/>
      <c r="E965" s="34"/>
      <c r="F965" s="35"/>
      <c r="G965" s="34"/>
      <c r="H965" s="34"/>
      <c r="I965" s="34"/>
      <c r="J965" s="34"/>
      <c r="K965" s="34"/>
      <c r="L965" s="34"/>
      <c r="M965" s="34"/>
      <c r="N965" s="34"/>
      <c r="O965" s="36"/>
      <c r="P965" s="34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15.75" customHeight="1">
      <c r="A966" s="34"/>
      <c r="B966" s="34"/>
      <c r="C966" s="34"/>
      <c r="D966" s="34"/>
      <c r="E966" s="34"/>
      <c r="F966" s="35"/>
      <c r="G966" s="34"/>
      <c r="H966" s="34"/>
      <c r="I966" s="34"/>
      <c r="J966" s="34"/>
      <c r="K966" s="34"/>
      <c r="L966" s="34"/>
      <c r="M966" s="34"/>
      <c r="N966" s="34"/>
      <c r="O966" s="36"/>
      <c r="P966" s="34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15.75" customHeight="1">
      <c r="A967" s="34"/>
      <c r="B967" s="34"/>
      <c r="C967" s="34"/>
      <c r="D967" s="34"/>
      <c r="E967" s="34"/>
      <c r="F967" s="35"/>
      <c r="G967" s="34"/>
      <c r="H967" s="34"/>
      <c r="I967" s="34"/>
      <c r="J967" s="34"/>
      <c r="K967" s="34"/>
      <c r="L967" s="34"/>
      <c r="M967" s="34"/>
      <c r="N967" s="34"/>
      <c r="O967" s="36"/>
      <c r="P967" s="34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15.75" customHeight="1">
      <c r="A968" s="34"/>
      <c r="B968" s="34"/>
      <c r="C968" s="34"/>
      <c r="D968" s="34"/>
      <c r="E968" s="34"/>
      <c r="F968" s="35"/>
      <c r="G968" s="34"/>
      <c r="H968" s="34"/>
      <c r="I968" s="34"/>
      <c r="J968" s="34"/>
      <c r="K968" s="34"/>
      <c r="L968" s="34"/>
      <c r="M968" s="34"/>
      <c r="N968" s="34"/>
      <c r="O968" s="36"/>
      <c r="P968" s="34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15.75" customHeight="1">
      <c r="A969" s="34"/>
      <c r="B969" s="34"/>
      <c r="C969" s="34"/>
      <c r="D969" s="34"/>
      <c r="E969" s="34"/>
      <c r="F969" s="35"/>
      <c r="G969" s="34"/>
      <c r="H969" s="34"/>
      <c r="I969" s="34"/>
      <c r="J969" s="34"/>
      <c r="K969" s="34"/>
      <c r="L969" s="34"/>
      <c r="M969" s="34"/>
      <c r="N969" s="34"/>
      <c r="O969" s="36"/>
      <c r="P969" s="34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15.75" customHeight="1">
      <c r="A970" s="34"/>
      <c r="B970" s="34"/>
      <c r="C970" s="34"/>
      <c r="D970" s="34"/>
      <c r="E970" s="34"/>
      <c r="F970" s="35"/>
      <c r="G970" s="34"/>
      <c r="H970" s="34"/>
      <c r="I970" s="34"/>
      <c r="J970" s="34"/>
      <c r="K970" s="34"/>
      <c r="L970" s="34"/>
      <c r="M970" s="34"/>
      <c r="N970" s="34"/>
      <c r="O970" s="36"/>
      <c r="P970" s="34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15.75" customHeight="1">
      <c r="A971" s="34"/>
      <c r="B971" s="34"/>
      <c r="C971" s="34"/>
      <c r="D971" s="34"/>
      <c r="E971" s="34"/>
      <c r="F971" s="35"/>
      <c r="G971" s="34"/>
      <c r="H971" s="34"/>
      <c r="I971" s="34"/>
      <c r="J971" s="34"/>
      <c r="K971" s="34"/>
      <c r="L971" s="34"/>
      <c r="M971" s="34"/>
      <c r="N971" s="34"/>
      <c r="O971" s="36"/>
      <c r="P971" s="34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15.75" customHeight="1">
      <c r="A972" s="34"/>
      <c r="B972" s="34"/>
      <c r="C972" s="34"/>
      <c r="D972" s="34"/>
      <c r="E972" s="34"/>
      <c r="F972" s="35"/>
      <c r="G972" s="34"/>
      <c r="H972" s="34"/>
      <c r="I972" s="34"/>
      <c r="J972" s="34"/>
      <c r="K972" s="34"/>
      <c r="L972" s="34"/>
      <c r="M972" s="34"/>
      <c r="N972" s="34"/>
      <c r="O972" s="36"/>
      <c r="P972" s="34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15.75" customHeight="1">
      <c r="A973" s="34"/>
      <c r="B973" s="34"/>
      <c r="C973" s="34"/>
      <c r="D973" s="34"/>
      <c r="E973" s="34"/>
      <c r="F973" s="35"/>
      <c r="G973" s="34"/>
      <c r="H973" s="34"/>
      <c r="I973" s="34"/>
      <c r="J973" s="34"/>
      <c r="K973" s="34"/>
      <c r="L973" s="34"/>
      <c r="M973" s="34"/>
      <c r="N973" s="34"/>
      <c r="O973" s="36"/>
      <c r="P973" s="34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15.75" customHeight="1">
      <c r="A974" s="34"/>
      <c r="B974" s="34"/>
      <c r="C974" s="34"/>
      <c r="D974" s="34"/>
      <c r="E974" s="34"/>
      <c r="F974" s="35"/>
      <c r="G974" s="34"/>
      <c r="H974" s="34"/>
      <c r="I974" s="34"/>
      <c r="J974" s="34"/>
      <c r="K974" s="34"/>
      <c r="L974" s="34"/>
      <c r="M974" s="34"/>
      <c r="N974" s="34"/>
      <c r="O974" s="36"/>
      <c r="P974" s="34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15.75" customHeight="1">
      <c r="A975" s="34"/>
      <c r="B975" s="34"/>
      <c r="C975" s="34"/>
      <c r="D975" s="34"/>
      <c r="E975" s="34"/>
      <c r="F975" s="35"/>
      <c r="G975" s="34"/>
      <c r="H975" s="34"/>
      <c r="I975" s="34"/>
      <c r="J975" s="34"/>
      <c r="K975" s="34"/>
      <c r="L975" s="34"/>
      <c r="M975" s="34"/>
      <c r="N975" s="34"/>
      <c r="O975" s="36"/>
      <c r="P975" s="34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15.75" customHeight="1">
      <c r="A976" s="34"/>
      <c r="B976" s="34"/>
      <c r="C976" s="34"/>
      <c r="D976" s="34"/>
      <c r="E976" s="34"/>
      <c r="F976" s="35"/>
      <c r="G976" s="34"/>
      <c r="H976" s="34"/>
      <c r="I976" s="34"/>
      <c r="J976" s="34"/>
      <c r="K976" s="34"/>
      <c r="L976" s="34"/>
      <c r="M976" s="34"/>
      <c r="N976" s="34"/>
      <c r="O976" s="36"/>
      <c r="P976" s="34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15.75" customHeight="1">
      <c r="A977" s="34"/>
      <c r="B977" s="34"/>
      <c r="C977" s="34"/>
      <c r="D977" s="34"/>
      <c r="E977" s="34"/>
      <c r="F977" s="35"/>
      <c r="G977" s="34"/>
      <c r="H977" s="34"/>
      <c r="I977" s="34"/>
      <c r="J977" s="34"/>
      <c r="K977" s="34"/>
      <c r="L977" s="34"/>
      <c r="M977" s="34"/>
      <c r="N977" s="34"/>
      <c r="O977" s="36"/>
      <c r="P977" s="34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15.75" customHeight="1">
      <c r="A978" s="34"/>
      <c r="B978" s="34"/>
      <c r="C978" s="34"/>
      <c r="D978" s="34"/>
      <c r="E978" s="34"/>
      <c r="F978" s="35"/>
      <c r="G978" s="34"/>
      <c r="H978" s="34"/>
      <c r="I978" s="34"/>
      <c r="J978" s="34"/>
      <c r="K978" s="34"/>
      <c r="L978" s="34"/>
      <c r="M978" s="34"/>
      <c r="N978" s="34"/>
      <c r="O978" s="36"/>
      <c r="P978" s="34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15.75" customHeight="1">
      <c r="A979" s="34"/>
      <c r="B979" s="34"/>
      <c r="C979" s="34"/>
      <c r="D979" s="34"/>
      <c r="E979" s="34"/>
      <c r="F979" s="35"/>
      <c r="G979" s="34"/>
      <c r="H979" s="34"/>
      <c r="I979" s="34"/>
      <c r="J979" s="34"/>
      <c r="K979" s="34"/>
      <c r="L979" s="34"/>
      <c r="M979" s="34"/>
      <c r="N979" s="34"/>
      <c r="O979" s="36"/>
      <c r="P979" s="34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15.75" customHeight="1">
      <c r="A980" s="34"/>
      <c r="B980" s="34"/>
      <c r="C980" s="34"/>
      <c r="D980" s="34"/>
      <c r="E980" s="34"/>
      <c r="F980" s="35"/>
      <c r="G980" s="34"/>
      <c r="H980" s="34"/>
      <c r="I980" s="34"/>
      <c r="J980" s="34"/>
      <c r="K980" s="34"/>
      <c r="L980" s="34"/>
      <c r="M980" s="34"/>
      <c r="N980" s="34"/>
      <c r="O980" s="36"/>
      <c r="P980" s="34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15.75" customHeight="1">
      <c r="A981" s="34"/>
      <c r="B981" s="34"/>
      <c r="C981" s="34"/>
      <c r="D981" s="34"/>
      <c r="E981" s="34"/>
      <c r="F981" s="35"/>
      <c r="G981" s="34"/>
      <c r="H981" s="34"/>
      <c r="I981" s="34"/>
      <c r="J981" s="34"/>
      <c r="K981" s="34"/>
      <c r="L981" s="34"/>
      <c r="M981" s="34"/>
      <c r="N981" s="34"/>
      <c r="O981" s="36"/>
      <c r="P981" s="34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15.75" customHeight="1">
      <c r="A982" s="34"/>
      <c r="B982" s="34"/>
      <c r="C982" s="34"/>
      <c r="D982" s="34"/>
      <c r="E982" s="34"/>
      <c r="F982" s="35"/>
      <c r="G982" s="34"/>
      <c r="H982" s="34"/>
      <c r="I982" s="34"/>
      <c r="J982" s="34"/>
      <c r="K982" s="34"/>
      <c r="L982" s="34"/>
      <c r="M982" s="34"/>
      <c r="N982" s="34"/>
      <c r="O982" s="36"/>
      <c r="P982" s="34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15.75" customHeight="1">
      <c r="A983" s="34"/>
      <c r="B983" s="34"/>
      <c r="C983" s="34"/>
      <c r="D983" s="34"/>
      <c r="E983" s="34"/>
      <c r="F983" s="35"/>
      <c r="G983" s="34"/>
      <c r="H983" s="34"/>
      <c r="I983" s="34"/>
      <c r="J983" s="34"/>
      <c r="K983" s="34"/>
      <c r="L983" s="34"/>
      <c r="M983" s="34"/>
      <c r="N983" s="34"/>
      <c r="O983" s="36"/>
      <c r="P983" s="34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15.75" customHeight="1">
      <c r="A984" s="34"/>
      <c r="B984" s="34"/>
      <c r="C984" s="34"/>
      <c r="D984" s="34"/>
      <c r="E984" s="34"/>
      <c r="F984" s="35"/>
      <c r="G984" s="34"/>
      <c r="H984" s="34"/>
      <c r="I984" s="34"/>
      <c r="J984" s="34"/>
      <c r="K984" s="34"/>
      <c r="L984" s="34"/>
      <c r="M984" s="34"/>
      <c r="N984" s="34"/>
      <c r="O984" s="36"/>
      <c r="P984" s="34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15.75" customHeight="1">
      <c r="A985" s="34"/>
      <c r="B985" s="34"/>
      <c r="C985" s="34"/>
      <c r="D985" s="34"/>
      <c r="E985" s="34"/>
      <c r="F985" s="35"/>
      <c r="G985" s="34"/>
      <c r="H985" s="34"/>
      <c r="I985" s="34"/>
      <c r="J985" s="34"/>
      <c r="K985" s="34"/>
      <c r="L985" s="34"/>
      <c r="M985" s="34"/>
      <c r="N985" s="34"/>
      <c r="O985" s="36"/>
      <c r="P985" s="34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15.75" customHeight="1">
      <c r="A986" s="34"/>
      <c r="B986" s="34"/>
      <c r="C986" s="34"/>
      <c r="D986" s="34"/>
      <c r="E986" s="34"/>
      <c r="F986" s="35"/>
      <c r="G986" s="34"/>
      <c r="H986" s="34"/>
      <c r="I986" s="34"/>
      <c r="J986" s="34"/>
      <c r="K986" s="34"/>
      <c r="L986" s="34"/>
      <c r="M986" s="34"/>
      <c r="N986" s="34"/>
      <c r="O986" s="36"/>
      <c r="P986" s="34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15.75" customHeight="1">
      <c r="A987" s="34"/>
      <c r="B987" s="34"/>
      <c r="C987" s="34"/>
      <c r="D987" s="34"/>
      <c r="E987" s="34"/>
      <c r="F987" s="35"/>
      <c r="G987" s="34"/>
      <c r="H987" s="34"/>
      <c r="I987" s="34"/>
      <c r="J987" s="34"/>
      <c r="K987" s="34"/>
      <c r="L987" s="34"/>
      <c r="M987" s="34"/>
      <c r="N987" s="34"/>
      <c r="O987" s="36"/>
      <c r="P987" s="34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15.75" customHeight="1">
      <c r="A988" s="34"/>
      <c r="B988" s="34"/>
      <c r="C988" s="34"/>
      <c r="D988" s="34"/>
      <c r="E988" s="34"/>
      <c r="F988" s="35"/>
      <c r="G988" s="34"/>
      <c r="H988" s="34"/>
      <c r="I988" s="34"/>
      <c r="J988" s="34"/>
      <c r="K988" s="34"/>
      <c r="L988" s="34"/>
      <c r="M988" s="34"/>
      <c r="N988" s="34"/>
      <c r="O988" s="36"/>
      <c r="P988" s="34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15.75" customHeight="1">
      <c r="A989" s="34"/>
      <c r="B989" s="34"/>
      <c r="C989" s="34"/>
      <c r="D989" s="34"/>
      <c r="E989" s="34"/>
      <c r="F989" s="35"/>
      <c r="G989" s="34"/>
      <c r="H989" s="34"/>
      <c r="I989" s="34"/>
      <c r="J989" s="34"/>
      <c r="K989" s="34"/>
      <c r="L989" s="34"/>
      <c r="M989" s="34"/>
      <c r="N989" s="34"/>
      <c r="O989" s="36"/>
      <c r="P989" s="34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15.75" customHeight="1">
      <c r="A990" s="34"/>
      <c r="B990" s="34"/>
      <c r="C990" s="34"/>
      <c r="D990" s="34"/>
      <c r="E990" s="34"/>
      <c r="F990" s="35"/>
      <c r="G990" s="34"/>
      <c r="H990" s="34"/>
      <c r="I990" s="34"/>
      <c r="J990" s="34"/>
      <c r="K990" s="34"/>
      <c r="L990" s="34"/>
      <c r="M990" s="34"/>
      <c r="N990" s="34"/>
      <c r="O990" s="36"/>
      <c r="P990" s="34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15.75" customHeight="1">
      <c r="A991" s="34"/>
      <c r="B991" s="34"/>
      <c r="C991" s="34"/>
      <c r="D991" s="34"/>
      <c r="E991" s="34"/>
      <c r="F991" s="35"/>
      <c r="G991" s="34"/>
      <c r="H991" s="34"/>
      <c r="I991" s="34"/>
      <c r="J991" s="34"/>
      <c r="K991" s="34"/>
      <c r="L991" s="34"/>
      <c r="M991" s="34"/>
      <c r="N991" s="34"/>
      <c r="O991" s="36"/>
      <c r="P991" s="34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15.75" customHeight="1">
      <c r="A992" s="34"/>
      <c r="B992" s="34"/>
      <c r="C992" s="34"/>
      <c r="D992" s="34"/>
      <c r="E992" s="34"/>
      <c r="F992" s="35"/>
      <c r="G992" s="34"/>
      <c r="H992" s="34"/>
      <c r="I992" s="34"/>
      <c r="J992" s="34"/>
      <c r="K992" s="34"/>
      <c r="L992" s="34"/>
      <c r="M992" s="34"/>
      <c r="N992" s="34"/>
      <c r="O992" s="36"/>
      <c r="P992" s="34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15.75" customHeight="1">
      <c r="A993" s="34"/>
      <c r="B993" s="34"/>
      <c r="C993" s="34"/>
      <c r="D993" s="34"/>
      <c r="E993" s="34"/>
      <c r="F993" s="35"/>
      <c r="G993" s="34"/>
      <c r="H993" s="34"/>
      <c r="I993" s="34"/>
      <c r="J993" s="34"/>
      <c r="K993" s="34"/>
      <c r="L993" s="34"/>
      <c r="M993" s="34"/>
      <c r="N993" s="34"/>
      <c r="O993" s="36"/>
      <c r="P993" s="34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15.75" customHeight="1">
      <c r="A994" s="34"/>
      <c r="B994" s="34"/>
      <c r="C994" s="34"/>
      <c r="D994" s="34"/>
      <c r="E994" s="34"/>
      <c r="F994" s="35"/>
      <c r="G994" s="34"/>
      <c r="H994" s="34"/>
      <c r="I994" s="34"/>
      <c r="J994" s="34"/>
      <c r="K994" s="34"/>
      <c r="L994" s="34"/>
      <c r="M994" s="34"/>
      <c r="N994" s="34"/>
      <c r="O994" s="36"/>
      <c r="P994" s="34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15.75" customHeight="1">
      <c r="A995" s="34"/>
      <c r="B995" s="34"/>
      <c r="C995" s="34"/>
      <c r="D995" s="34"/>
      <c r="E995" s="34"/>
      <c r="F995" s="35"/>
      <c r="G995" s="34"/>
      <c r="H995" s="34"/>
      <c r="I995" s="34"/>
      <c r="J995" s="34"/>
      <c r="K995" s="34"/>
      <c r="L995" s="34"/>
      <c r="M995" s="34"/>
      <c r="N995" s="34"/>
      <c r="O995" s="36"/>
      <c r="P995" s="34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15.75" customHeight="1">
      <c r="A996" s="34"/>
      <c r="B996" s="34"/>
      <c r="C996" s="34"/>
      <c r="D996" s="34"/>
      <c r="E996" s="34"/>
      <c r="F996" s="35"/>
      <c r="G996" s="34"/>
      <c r="H996" s="34"/>
      <c r="I996" s="34"/>
      <c r="J996" s="34"/>
      <c r="K996" s="34"/>
      <c r="L996" s="34"/>
      <c r="M996" s="34"/>
      <c r="N996" s="34"/>
      <c r="O996" s="36"/>
      <c r="P996" s="34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15.75" customHeight="1">
      <c r="A997" s="34"/>
      <c r="B997" s="34"/>
      <c r="C997" s="34"/>
      <c r="D997" s="34"/>
      <c r="E997" s="34"/>
      <c r="F997" s="35"/>
      <c r="G997" s="34"/>
      <c r="H997" s="34"/>
      <c r="I997" s="34"/>
      <c r="J997" s="34"/>
      <c r="K997" s="34"/>
      <c r="L997" s="34"/>
      <c r="M997" s="34"/>
      <c r="N997" s="34"/>
      <c r="O997" s="36"/>
      <c r="P997" s="34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15.75" customHeight="1">
      <c r="A998" s="34"/>
      <c r="B998" s="34"/>
      <c r="C998" s="34"/>
      <c r="D998" s="34"/>
      <c r="E998" s="34"/>
      <c r="F998" s="35"/>
      <c r="G998" s="34"/>
      <c r="H998" s="34"/>
      <c r="I998" s="34"/>
      <c r="J998" s="34"/>
      <c r="K998" s="34"/>
      <c r="L998" s="34"/>
      <c r="M998" s="34"/>
      <c r="N998" s="34"/>
      <c r="O998" s="36"/>
      <c r="P998" s="34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ht="15.75" customHeight="1">
      <c r="A999" s="34"/>
      <c r="B999" s="34"/>
      <c r="C999" s="34"/>
      <c r="D999" s="34"/>
      <c r="E999" s="34"/>
      <c r="F999" s="35"/>
      <c r="G999" s="34"/>
      <c r="H999" s="34"/>
      <c r="I999" s="34"/>
      <c r="J999" s="34"/>
      <c r="K999" s="34"/>
      <c r="L999" s="34"/>
      <c r="M999" s="34"/>
      <c r="N999" s="34"/>
      <c r="O999" s="36"/>
      <c r="P999" s="34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ht="15.75" customHeight="1">
      <c r="A1000" s="34"/>
      <c r="B1000" s="34"/>
      <c r="C1000" s="34"/>
      <c r="D1000" s="34"/>
      <c r="E1000" s="34"/>
      <c r="F1000" s="35"/>
      <c r="G1000" s="34"/>
      <c r="H1000" s="34"/>
      <c r="I1000" s="34"/>
      <c r="J1000" s="34"/>
      <c r="K1000" s="34"/>
      <c r="L1000" s="34"/>
      <c r="M1000" s="34"/>
      <c r="N1000" s="34"/>
      <c r="O1000" s="36"/>
      <c r="P1000" s="34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autoFilter ref="$A$1:$S$411">
    <sortState ref="A1:S411">
      <sortCondition ref="F1:F411"/>
    </sortState>
  </autoFilter>
  <conditionalFormatting sqref="A2:F2 A3:A407 B3:B28 C3:C8 D1 D3:D400 F3:F8 G1:K2 G4:G343 G348:I348 G395:G406 G407:K407 H4:K340 H341:J343 H395:J401 H402:K406 K341:K405 O1:P2 O7:O232 O234:O342 O394:O406 O407:P407 P4:P263 P266:P343 P348:P406">
    <cfRule type="containsBlanks" dxfId="0" priority="1">
      <formula>LEN(TRIM(A2))=0</formula>
    </cfRule>
  </conditionalFormatting>
  <conditionalFormatting sqref="B91 Q1:R1">
    <cfRule type="containsBlanks" dxfId="0" priority="2">
      <formula>LEN(TRIM(B91))=0</formula>
    </cfRule>
  </conditionalFormatting>
  <dataValidations>
    <dataValidation type="list" allowBlank="1" showErrorMessage="1" sqref="K1 K3:K407">
      <formula1>Sheet1!$C$1:$C$8</formula1>
    </dataValidation>
    <dataValidation type="list" allowBlank="1" showErrorMessage="1" sqref="F1:F407">
      <formula1>Sheet1!$A$1:$A$24</formula1>
    </dataValidation>
  </dataValidations>
  <printOptions horizontalCentered="1"/>
  <pageMargins bottom="0.7480314960629921" footer="0.0" header="0.0" left="0.7086614173228347" right="0.7086614173228347" top="0.7480314960629921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hidden="1" min="2" max="2" width="10.43"/>
    <col customWidth="1" hidden="1" min="3" max="3" width="9.14"/>
    <col customWidth="1" min="4" max="4" width="11.86"/>
    <col customWidth="1" min="5" max="5" width="44.29"/>
    <col customWidth="1" min="6" max="6" width="22.29"/>
    <col customWidth="1" hidden="1" min="7" max="7" width="10.14"/>
    <col customWidth="1" min="8" max="8" width="11.86"/>
    <col customWidth="1" hidden="1" min="9" max="9" width="11.29"/>
    <col customWidth="1" hidden="1" min="10" max="10" width="11.86"/>
    <col customWidth="1" min="11" max="11" width="24.0"/>
    <col customWidth="1" hidden="1" min="12" max="12" width="3.57"/>
    <col customWidth="1" hidden="1" min="13" max="13" width="9.86"/>
    <col customWidth="1" hidden="1" min="14" max="14" width="7.14"/>
    <col customWidth="1" hidden="1" min="15" max="15" width="10.71"/>
    <col customWidth="1" min="16" max="16" width="15.0"/>
    <col customWidth="1" hidden="1" min="17" max="17" width="14.0"/>
    <col customWidth="1" hidden="1" min="18" max="18" width="15.29"/>
    <col customWidth="1" hidden="1" min="19" max="19" width="4.71"/>
    <col customWidth="1" hidden="1" min="20" max="23" width="9.29"/>
    <col customWidth="1" min="24" max="24" width="6.57"/>
    <col customWidth="1" min="25" max="25" width="14.71"/>
    <col customWidth="1" min="26" max="26" width="16.14"/>
    <col customWidth="1" min="27" max="28" width="9.29"/>
    <col customWidth="1" min="29" max="29" width="16.14"/>
    <col customWidth="1" min="30" max="30" width="20.29"/>
    <col customWidth="1" min="31" max="32" width="9.29"/>
  </cols>
  <sheetData>
    <row r="1" ht="42.75" customHeight="1">
      <c r="A1" s="38" t="s">
        <v>1680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1"/>
      <c r="R1" s="42"/>
      <c r="S1" s="42"/>
      <c r="T1" s="43"/>
      <c r="U1" s="43"/>
      <c r="V1" s="43"/>
      <c r="W1" s="43"/>
      <c r="X1" s="43"/>
      <c r="Y1" s="43"/>
      <c r="Z1" s="44"/>
      <c r="AA1" s="43"/>
      <c r="AB1" s="43"/>
      <c r="AC1" s="44"/>
      <c r="AD1" s="43"/>
      <c r="AE1" s="43"/>
      <c r="AF1" s="43"/>
    </row>
    <row r="2" ht="33.0" customHeight="1">
      <c r="A2" s="45" t="s">
        <v>1681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  <c r="Q2" s="46"/>
      <c r="R2" s="47"/>
      <c r="S2" s="47"/>
      <c r="T2" s="48"/>
      <c r="U2" s="48"/>
      <c r="V2" s="48"/>
      <c r="W2" s="48"/>
      <c r="X2" s="48"/>
      <c r="Y2" s="48"/>
      <c r="Z2" s="49"/>
      <c r="AA2" s="48"/>
      <c r="AB2" s="48"/>
      <c r="AC2" s="49"/>
      <c r="AD2" s="48"/>
      <c r="AE2" s="48"/>
      <c r="AF2" s="48"/>
    </row>
    <row r="3" ht="27.75" customHeight="1">
      <c r="A3" s="50" t="s">
        <v>19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2"/>
      <c r="P3" s="53"/>
      <c r="Q3" s="54"/>
      <c r="R3" s="55"/>
      <c r="S3" s="55"/>
      <c r="T3" s="56"/>
      <c r="U3" s="56"/>
      <c r="V3" s="56"/>
      <c r="W3" s="56"/>
      <c r="X3" s="56"/>
      <c r="Y3" s="56"/>
      <c r="Z3" s="57"/>
      <c r="AA3" s="56"/>
      <c r="AB3" s="56"/>
      <c r="AC3" s="57"/>
      <c r="AD3" s="56"/>
      <c r="AE3" s="56"/>
      <c r="AF3" s="58"/>
    </row>
    <row r="4" ht="24.0" customHeight="1">
      <c r="A4" s="59" t="s">
        <v>0</v>
      </c>
      <c r="B4" s="59"/>
      <c r="C4" s="59"/>
      <c r="D4" s="59" t="s">
        <v>1</v>
      </c>
      <c r="E4" s="60" t="s">
        <v>2</v>
      </c>
      <c r="F4" s="59" t="s">
        <v>3</v>
      </c>
      <c r="G4" s="59" t="s">
        <v>4</v>
      </c>
      <c r="H4" s="59" t="s">
        <v>5</v>
      </c>
      <c r="I4" s="59" t="s">
        <v>6</v>
      </c>
      <c r="J4" s="59" t="s">
        <v>7</v>
      </c>
      <c r="K4" s="59" t="s">
        <v>8</v>
      </c>
      <c r="L4" s="60" t="s">
        <v>9</v>
      </c>
      <c r="M4" s="60" t="s">
        <v>10</v>
      </c>
      <c r="N4" s="61" t="s">
        <v>11</v>
      </c>
      <c r="O4" s="59" t="s">
        <v>12</v>
      </c>
      <c r="P4" s="62" t="s">
        <v>13</v>
      </c>
      <c r="Q4" s="4" t="s">
        <v>13</v>
      </c>
      <c r="R4" s="4" t="s">
        <v>13</v>
      </c>
      <c r="S4" s="4" t="s">
        <v>13</v>
      </c>
      <c r="T4" s="4" t="s">
        <v>13</v>
      </c>
      <c r="U4" s="4" t="s">
        <v>14</v>
      </c>
      <c r="V4" s="5"/>
      <c r="W4" s="5"/>
      <c r="X4" s="5"/>
      <c r="Y4" s="5"/>
      <c r="Z4" s="63"/>
      <c r="AA4" s="5"/>
      <c r="AB4" s="5"/>
      <c r="AC4" s="63"/>
      <c r="AD4" s="5"/>
      <c r="AE4" s="5"/>
      <c r="AF4" s="5"/>
    </row>
    <row r="5" ht="44.25" customHeight="1">
      <c r="A5" s="6">
        <v>1.0</v>
      </c>
      <c r="B5" s="6" t="s">
        <v>15</v>
      </c>
      <c r="C5" s="6" t="s">
        <v>16</v>
      </c>
      <c r="D5" s="6" t="s">
        <v>17</v>
      </c>
      <c r="E5" s="7" t="s">
        <v>18</v>
      </c>
      <c r="F5" s="8" t="s">
        <v>19</v>
      </c>
      <c r="G5" s="9">
        <v>5.0</v>
      </c>
      <c r="H5" s="9">
        <v>6.0</v>
      </c>
      <c r="I5" s="9">
        <v>150.0</v>
      </c>
      <c r="J5" s="6">
        <f t="shared" ref="J5:J14" si="1">I5*H5</f>
        <v>900</v>
      </c>
      <c r="K5" s="6" t="s">
        <v>20</v>
      </c>
      <c r="L5" s="7" t="s">
        <v>21</v>
      </c>
      <c r="M5" s="7" t="s">
        <v>22</v>
      </c>
      <c r="N5" s="7" t="s">
        <v>23</v>
      </c>
      <c r="O5" s="10" t="s">
        <v>24</v>
      </c>
      <c r="P5" s="6" t="str">
        <f>IMAGE("https://m.media-amazon.com/images/I/61ZBVWoGgCL._SL1500_.jpg",1)</f>
        <v/>
      </c>
      <c r="Q5" s="64"/>
      <c r="R5" s="65"/>
      <c r="S5" s="66"/>
      <c r="T5" s="12"/>
      <c r="U5" s="11">
        <v>0.0</v>
      </c>
      <c r="V5" s="12"/>
      <c r="W5" s="12"/>
      <c r="X5" s="12"/>
      <c r="Y5" s="12"/>
      <c r="Z5" s="67"/>
      <c r="AA5" s="12"/>
      <c r="AB5" s="12"/>
      <c r="AC5" s="67"/>
      <c r="AD5" s="12"/>
      <c r="AE5" s="12"/>
      <c r="AF5" s="12"/>
    </row>
    <row r="6" ht="45.0" customHeight="1">
      <c r="A6" s="6">
        <v>2.0</v>
      </c>
      <c r="B6" s="6" t="s">
        <v>15</v>
      </c>
      <c r="C6" s="6" t="s">
        <v>25</v>
      </c>
      <c r="D6" s="6" t="s">
        <v>26</v>
      </c>
      <c r="E6" s="7" t="s">
        <v>27</v>
      </c>
      <c r="F6" s="8" t="s">
        <v>19</v>
      </c>
      <c r="G6" s="9">
        <v>1.0</v>
      </c>
      <c r="H6" s="9">
        <v>2.0</v>
      </c>
      <c r="I6" s="9">
        <v>150.0</v>
      </c>
      <c r="J6" s="6">
        <f t="shared" si="1"/>
        <v>300</v>
      </c>
      <c r="K6" s="6" t="s">
        <v>20</v>
      </c>
      <c r="L6" s="7" t="s">
        <v>21</v>
      </c>
      <c r="M6" s="7" t="s">
        <v>22</v>
      </c>
      <c r="N6" s="7"/>
      <c r="O6" s="10" t="s">
        <v>28</v>
      </c>
      <c r="P6" s="6" t="str">
        <f>IMAGE("https://5.imimg.com/data5/BN/FC/MY-25588345/omega-cell-tape-dispenser-500x500.jpg",1)</f>
        <v/>
      </c>
      <c r="Q6" s="64"/>
      <c r="R6" s="65"/>
      <c r="S6" s="66"/>
      <c r="T6" s="12"/>
      <c r="U6" s="11">
        <v>0.0</v>
      </c>
      <c r="V6" s="12"/>
      <c r="W6" s="12"/>
      <c r="X6" s="12"/>
      <c r="Y6" s="12"/>
      <c r="Z6" s="67"/>
      <c r="AA6" s="12"/>
      <c r="AB6" s="12"/>
      <c r="AC6" s="67"/>
      <c r="AD6" s="12"/>
      <c r="AE6" s="12"/>
      <c r="AF6" s="12"/>
    </row>
    <row r="7" ht="45.0" customHeight="1">
      <c r="A7" s="6">
        <v>3.0</v>
      </c>
      <c r="B7" s="6" t="s">
        <v>15</v>
      </c>
      <c r="C7" s="6" t="s">
        <v>29</v>
      </c>
      <c r="D7" s="6" t="s">
        <v>30</v>
      </c>
      <c r="E7" s="7" t="s">
        <v>31</v>
      </c>
      <c r="F7" s="8" t="s">
        <v>19</v>
      </c>
      <c r="G7" s="9">
        <v>5.0</v>
      </c>
      <c r="H7" s="9">
        <v>6.0</v>
      </c>
      <c r="I7" s="13">
        <v>25.0</v>
      </c>
      <c r="J7" s="6">
        <f t="shared" si="1"/>
        <v>150</v>
      </c>
      <c r="K7" s="6" t="s">
        <v>20</v>
      </c>
      <c r="L7" s="7" t="s">
        <v>21</v>
      </c>
      <c r="M7" s="7" t="s">
        <v>22</v>
      </c>
      <c r="N7" s="7" t="s">
        <v>23</v>
      </c>
      <c r="O7" s="10" t="s">
        <v>32</v>
      </c>
      <c r="P7" s="6" t="str">
        <f>IMAGE("https://m.media-amazon.com/images/I/21wXjA1iP5L.jpg",1)</f>
        <v/>
      </c>
      <c r="Q7" s="64"/>
      <c r="R7" s="65"/>
      <c r="S7" s="66"/>
      <c r="T7" s="5"/>
      <c r="U7" s="14">
        <v>0.0</v>
      </c>
      <c r="V7" s="5"/>
      <c r="W7" s="5"/>
      <c r="X7" s="5"/>
      <c r="Y7" s="5"/>
      <c r="Z7" s="63"/>
      <c r="AA7" s="5"/>
      <c r="AB7" s="5"/>
      <c r="AC7" s="63"/>
      <c r="AD7" s="5"/>
      <c r="AE7" s="5"/>
      <c r="AF7" s="5"/>
    </row>
    <row r="8" ht="45.0" customHeight="1">
      <c r="A8" s="6">
        <v>4.0</v>
      </c>
      <c r="B8" s="6" t="s">
        <v>15</v>
      </c>
      <c r="C8" s="6" t="s">
        <v>33</v>
      </c>
      <c r="D8" s="6" t="s">
        <v>34</v>
      </c>
      <c r="E8" s="7" t="s">
        <v>35</v>
      </c>
      <c r="F8" s="8" t="s">
        <v>19</v>
      </c>
      <c r="G8" s="9">
        <v>5.0</v>
      </c>
      <c r="H8" s="9">
        <v>6.0</v>
      </c>
      <c r="I8" s="9">
        <v>80.0</v>
      </c>
      <c r="J8" s="6">
        <f t="shared" si="1"/>
        <v>480</v>
      </c>
      <c r="K8" s="6" t="s">
        <v>20</v>
      </c>
      <c r="L8" s="7" t="s">
        <v>21</v>
      </c>
      <c r="M8" s="7" t="s">
        <v>22</v>
      </c>
      <c r="N8" s="7" t="s">
        <v>23</v>
      </c>
      <c r="O8" s="10"/>
      <c r="P8" s="6" t="str">
        <f>IMAGE("https://5.imimg.com/data5/YG/CD/MY-4112616/transparent-tape-500x500.jpg",1)</f>
        <v/>
      </c>
      <c r="Q8" s="64"/>
      <c r="R8" s="65"/>
      <c r="S8" s="66"/>
      <c r="T8" s="12"/>
      <c r="U8" s="11">
        <v>0.0</v>
      </c>
      <c r="V8" s="12"/>
      <c r="W8" s="12"/>
      <c r="X8" s="12"/>
      <c r="Y8" s="12"/>
      <c r="Z8" s="67"/>
      <c r="AA8" s="12"/>
      <c r="AB8" s="12"/>
      <c r="AC8" s="67"/>
      <c r="AD8" s="12"/>
      <c r="AE8" s="12"/>
      <c r="AF8" s="12"/>
    </row>
    <row r="9" ht="45.0" customHeight="1">
      <c r="A9" s="6">
        <v>5.0</v>
      </c>
      <c r="B9" s="6" t="s">
        <v>15</v>
      </c>
      <c r="C9" s="6" t="s">
        <v>36</v>
      </c>
      <c r="D9" s="6" t="s">
        <v>37</v>
      </c>
      <c r="E9" s="7" t="s">
        <v>38</v>
      </c>
      <c r="F9" s="8" t="s">
        <v>19</v>
      </c>
      <c r="G9" s="9">
        <v>5.0</v>
      </c>
      <c r="H9" s="9">
        <v>6.0</v>
      </c>
      <c r="I9" s="9">
        <v>80.0</v>
      </c>
      <c r="J9" s="6">
        <f t="shared" si="1"/>
        <v>480</v>
      </c>
      <c r="K9" s="6" t="s">
        <v>20</v>
      </c>
      <c r="L9" s="7" t="s">
        <v>21</v>
      </c>
      <c r="M9" s="7" t="s">
        <v>22</v>
      </c>
      <c r="N9" s="7" t="s">
        <v>23</v>
      </c>
      <c r="O9" s="10" t="s">
        <v>39</v>
      </c>
      <c r="P9" s="6" t="str">
        <f>IMAGE("https://m.media-amazon.com/images/I/61JiUrBk2-L._SL1082_.jpg",1)</f>
        <v/>
      </c>
      <c r="Q9" s="64"/>
      <c r="R9" s="65"/>
      <c r="S9" s="66"/>
      <c r="T9" s="12"/>
      <c r="U9" s="11">
        <v>0.0</v>
      </c>
      <c r="V9" s="12"/>
      <c r="W9" s="12"/>
      <c r="X9" s="12"/>
      <c r="Y9" s="12"/>
      <c r="Z9" s="67"/>
      <c r="AA9" s="12"/>
      <c r="AB9" s="12"/>
      <c r="AC9" s="67"/>
      <c r="AD9" s="12"/>
      <c r="AE9" s="12"/>
      <c r="AF9" s="12"/>
    </row>
    <row r="10" ht="45.0" customHeight="1">
      <c r="A10" s="6">
        <v>6.0</v>
      </c>
      <c r="B10" s="6" t="s">
        <v>15</v>
      </c>
      <c r="C10" s="6" t="s">
        <v>40</v>
      </c>
      <c r="D10" s="6" t="s">
        <v>41</v>
      </c>
      <c r="E10" s="7" t="s">
        <v>42</v>
      </c>
      <c r="F10" s="8" t="s">
        <v>19</v>
      </c>
      <c r="G10" s="9">
        <v>5.0</v>
      </c>
      <c r="H10" s="9">
        <v>6.0</v>
      </c>
      <c r="I10" s="9">
        <v>80.0</v>
      </c>
      <c r="J10" s="6">
        <f t="shared" si="1"/>
        <v>480</v>
      </c>
      <c r="K10" s="6" t="s">
        <v>20</v>
      </c>
      <c r="L10" s="7" t="s">
        <v>21</v>
      </c>
      <c r="M10" s="7" t="s">
        <v>22</v>
      </c>
      <c r="N10" s="7" t="s">
        <v>23</v>
      </c>
      <c r="O10" s="10" t="s">
        <v>43</v>
      </c>
      <c r="P10" s="6" t="str">
        <f>IMAGE("https://m.media-amazon.com/images/I/51JAsOuirxL._SL1000_.jpg",1)</f>
        <v/>
      </c>
      <c r="Q10" s="64" t="s">
        <v>56</v>
      </c>
      <c r="R10" s="68"/>
      <c r="S10" s="69"/>
      <c r="T10" s="12"/>
      <c r="U10" s="11">
        <v>0.0</v>
      </c>
      <c r="V10" s="12"/>
      <c r="W10" s="12"/>
      <c r="X10" s="12"/>
      <c r="Y10" s="12"/>
      <c r="Z10" s="67"/>
      <c r="AA10" s="12"/>
      <c r="AB10" s="12"/>
      <c r="AC10" s="67"/>
      <c r="AD10" s="12"/>
      <c r="AE10" s="12"/>
      <c r="AF10" s="12"/>
    </row>
    <row r="11" ht="45.0" customHeight="1">
      <c r="A11" s="6">
        <v>7.0</v>
      </c>
      <c r="B11" s="6" t="s">
        <v>15</v>
      </c>
      <c r="C11" s="6" t="s">
        <v>44</v>
      </c>
      <c r="D11" s="6" t="s">
        <v>45</v>
      </c>
      <c r="E11" s="7" t="s">
        <v>46</v>
      </c>
      <c r="F11" s="8" t="s">
        <v>19</v>
      </c>
      <c r="G11" s="6">
        <v>10.0</v>
      </c>
      <c r="H11" s="6">
        <v>10.0</v>
      </c>
      <c r="I11" s="6"/>
      <c r="J11" s="6">
        <f t="shared" si="1"/>
        <v>0</v>
      </c>
      <c r="K11" s="6" t="s">
        <v>20</v>
      </c>
      <c r="L11" s="7" t="s">
        <v>47</v>
      </c>
      <c r="M11" s="7" t="s">
        <v>22</v>
      </c>
      <c r="N11" s="7" t="s">
        <v>23</v>
      </c>
      <c r="O11" s="10" t="s">
        <v>48</v>
      </c>
      <c r="P11" s="6" t="str">
        <f>IMAGE("https://m.media-amazon.com/images/I/81zdeTxqkLL._SL1500_.jpg",1)</f>
        <v/>
      </c>
      <c r="Q11" s="64"/>
      <c r="R11" s="65"/>
      <c r="S11" s="66"/>
      <c r="T11" s="12"/>
      <c r="U11" s="11">
        <v>0.0</v>
      </c>
      <c r="V11" s="5"/>
      <c r="W11" s="5"/>
      <c r="X11" s="5"/>
      <c r="Y11" s="5"/>
      <c r="Z11" s="63"/>
      <c r="AA11" s="5"/>
      <c r="AB11" s="5"/>
      <c r="AC11" s="63"/>
      <c r="AD11" s="5"/>
      <c r="AE11" s="5"/>
      <c r="AF11" s="5"/>
    </row>
    <row r="12" ht="45.0" customHeight="1">
      <c r="A12" s="6">
        <v>8.0</v>
      </c>
      <c r="B12" s="6" t="s">
        <v>15</v>
      </c>
      <c r="C12" s="6" t="s">
        <v>49</v>
      </c>
      <c r="D12" s="6" t="s">
        <v>50</v>
      </c>
      <c r="E12" s="7" t="s">
        <v>51</v>
      </c>
      <c r="F12" s="8" t="s">
        <v>19</v>
      </c>
      <c r="G12" s="9">
        <v>5.0</v>
      </c>
      <c r="H12" s="9">
        <v>5.0</v>
      </c>
      <c r="I12" s="9">
        <v>80.0</v>
      </c>
      <c r="J12" s="6">
        <f t="shared" si="1"/>
        <v>400</v>
      </c>
      <c r="K12" s="6" t="s">
        <v>20</v>
      </c>
      <c r="L12" s="7" t="s">
        <v>21</v>
      </c>
      <c r="M12" s="7" t="s">
        <v>22</v>
      </c>
      <c r="N12" s="7" t="s">
        <v>23</v>
      </c>
      <c r="O12" s="10" t="s">
        <v>52</v>
      </c>
      <c r="P12" s="6" t="str">
        <f>IMAGE("https://megahardwarett.com/wp-content/uploads/2022/03/71TQZaRi6yL._AC_SX425_.jpg",1)</f>
        <v/>
      </c>
      <c r="Q12" s="64"/>
      <c r="R12" s="65"/>
      <c r="S12" s="66"/>
      <c r="T12" s="5"/>
      <c r="U12" s="14">
        <v>0.0</v>
      </c>
      <c r="V12" s="12"/>
      <c r="W12" s="12"/>
      <c r="X12" s="12"/>
      <c r="Y12" s="12"/>
      <c r="Z12" s="67"/>
      <c r="AA12" s="12"/>
      <c r="AB12" s="12"/>
      <c r="AC12" s="67"/>
      <c r="AD12" s="12"/>
      <c r="AE12" s="12"/>
      <c r="AF12" s="12"/>
    </row>
    <row r="13" ht="45.0" customHeight="1">
      <c r="A13" s="6">
        <v>9.0</v>
      </c>
      <c r="B13" s="6" t="s">
        <v>15</v>
      </c>
      <c r="C13" s="6" t="s">
        <v>53</v>
      </c>
      <c r="D13" s="6" t="s">
        <v>54</v>
      </c>
      <c r="E13" s="7" t="s">
        <v>55</v>
      </c>
      <c r="F13" s="8" t="s">
        <v>19</v>
      </c>
      <c r="G13" s="9">
        <v>5.0</v>
      </c>
      <c r="H13" s="9">
        <v>10.0</v>
      </c>
      <c r="I13" s="9">
        <v>60.0</v>
      </c>
      <c r="J13" s="6">
        <f t="shared" si="1"/>
        <v>600</v>
      </c>
      <c r="K13" s="6" t="s">
        <v>20</v>
      </c>
      <c r="L13" s="7" t="s">
        <v>47</v>
      </c>
      <c r="M13" s="7" t="s">
        <v>22</v>
      </c>
      <c r="N13" s="7" t="s">
        <v>23</v>
      </c>
      <c r="O13" s="9" t="s">
        <v>56</v>
      </c>
      <c r="P13" s="6" t="str">
        <f>IMAGE("https://m.media-amazon.com/images/I/51xkFZnkVFL._SX466_.jpg",1)</f>
        <v/>
      </c>
      <c r="Q13" s="64"/>
      <c r="R13" s="65"/>
      <c r="S13" s="66"/>
      <c r="T13" s="12"/>
      <c r="U13" s="11">
        <v>0.0</v>
      </c>
      <c r="V13" s="12"/>
      <c r="W13" s="12"/>
      <c r="X13" s="12"/>
      <c r="Y13" s="12"/>
      <c r="Z13" s="67"/>
      <c r="AA13" s="12"/>
      <c r="AB13" s="12"/>
      <c r="AC13" s="67"/>
      <c r="AD13" s="12"/>
      <c r="AE13" s="12"/>
      <c r="AF13" s="12"/>
    </row>
    <row r="14" ht="45.0" customHeight="1">
      <c r="A14" s="6">
        <v>10.0</v>
      </c>
      <c r="B14" s="6" t="s">
        <v>15</v>
      </c>
      <c r="C14" s="6" t="s">
        <v>57</v>
      </c>
      <c r="D14" s="6" t="s">
        <v>58</v>
      </c>
      <c r="E14" s="7" t="s">
        <v>59</v>
      </c>
      <c r="F14" s="8" t="s">
        <v>19</v>
      </c>
      <c r="G14" s="9">
        <v>5.0</v>
      </c>
      <c r="H14" s="9">
        <v>10.0</v>
      </c>
      <c r="I14" s="9">
        <v>70.0</v>
      </c>
      <c r="J14" s="6">
        <f t="shared" si="1"/>
        <v>700</v>
      </c>
      <c r="K14" s="6" t="s">
        <v>20</v>
      </c>
      <c r="L14" s="7" t="s">
        <v>47</v>
      </c>
      <c r="M14" s="7" t="s">
        <v>22</v>
      </c>
      <c r="N14" s="7" t="s">
        <v>23</v>
      </c>
      <c r="O14" s="10" t="s">
        <v>60</v>
      </c>
      <c r="P14" s="6" t="str">
        <f>IMAGE("https://5.imimg.com/data5/LJ/PW/MY-3849711/loctite-401-super-glue-500x500.jpg",1)</f>
        <v/>
      </c>
      <c r="Q14" s="64"/>
      <c r="R14" s="65"/>
      <c r="S14" s="66"/>
      <c r="T14" s="12"/>
      <c r="U14" s="11">
        <v>0.0</v>
      </c>
      <c r="V14" s="12"/>
      <c r="W14" s="12"/>
      <c r="X14" s="12"/>
      <c r="Y14" s="12"/>
      <c r="Z14" s="67"/>
      <c r="AA14" s="12"/>
      <c r="AB14" s="12"/>
      <c r="AC14" s="67"/>
      <c r="AD14" s="12"/>
      <c r="AE14" s="12"/>
      <c r="AF14" s="12"/>
    </row>
    <row r="15" ht="27.75" customHeight="1">
      <c r="A15" s="50" t="s">
        <v>1682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2"/>
      <c r="P15" s="53"/>
      <c r="Q15" s="54"/>
      <c r="R15" s="55"/>
      <c r="S15" s="55"/>
      <c r="T15" s="56"/>
      <c r="U15" s="56"/>
      <c r="V15" s="56"/>
      <c r="W15" s="56"/>
      <c r="X15" s="56"/>
      <c r="Y15" s="56"/>
      <c r="Z15" s="57"/>
      <c r="AA15" s="56"/>
      <c r="AB15" s="56"/>
      <c r="AC15" s="57"/>
      <c r="AD15" s="56"/>
      <c r="AE15" s="56"/>
      <c r="AF15" s="56"/>
    </row>
    <row r="16" ht="24.0" customHeight="1">
      <c r="A16" s="59" t="s">
        <v>0</v>
      </c>
      <c r="B16" s="59"/>
      <c r="C16" s="59"/>
      <c r="D16" s="59" t="s">
        <v>1</v>
      </c>
      <c r="E16" s="60" t="s">
        <v>2</v>
      </c>
      <c r="F16" s="59" t="s">
        <v>3</v>
      </c>
      <c r="G16" s="59" t="s">
        <v>4</v>
      </c>
      <c r="H16" s="59" t="s">
        <v>5</v>
      </c>
      <c r="I16" s="59" t="s">
        <v>6</v>
      </c>
      <c r="J16" s="59" t="s">
        <v>7</v>
      </c>
      <c r="K16" s="59" t="s">
        <v>8</v>
      </c>
      <c r="L16" s="60" t="s">
        <v>9</v>
      </c>
      <c r="M16" s="60" t="s">
        <v>10</v>
      </c>
      <c r="N16" s="61" t="s">
        <v>11</v>
      </c>
      <c r="O16" s="59" t="s">
        <v>12</v>
      </c>
      <c r="P16" s="62" t="s">
        <v>13</v>
      </c>
      <c r="Q16" s="4" t="s">
        <v>13</v>
      </c>
      <c r="R16" s="4" t="s">
        <v>13</v>
      </c>
      <c r="S16" s="4" t="s">
        <v>13</v>
      </c>
      <c r="T16" s="4" t="s">
        <v>13</v>
      </c>
      <c r="U16" s="4" t="s">
        <v>14</v>
      </c>
      <c r="V16" s="5"/>
      <c r="W16" s="5"/>
      <c r="X16" s="5"/>
      <c r="Y16" s="5"/>
      <c r="Z16" s="63"/>
      <c r="AA16" s="5"/>
      <c r="AB16" s="5"/>
      <c r="AC16" s="63"/>
      <c r="AD16" s="5"/>
      <c r="AE16" s="5"/>
      <c r="AF16" s="5"/>
    </row>
    <row r="17" ht="45.0" customHeight="1">
      <c r="A17" s="6">
        <v>11.0</v>
      </c>
      <c r="B17" s="6" t="s">
        <v>15</v>
      </c>
      <c r="C17" s="6" t="s">
        <v>61</v>
      </c>
      <c r="D17" s="6" t="s">
        <v>62</v>
      </c>
      <c r="E17" s="7" t="s">
        <v>63</v>
      </c>
      <c r="F17" s="8" t="s">
        <v>64</v>
      </c>
      <c r="G17" s="9">
        <v>20.0</v>
      </c>
      <c r="H17" s="9">
        <v>60.0</v>
      </c>
      <c r="I17" s="9">
        <v>300.0</v>
      </c>
      <c r="J17" s="6">
        <f t="shared" ref="J17:J23" si="2">I17*H17</f>
        <v>18000</v>
      </c>
      <c r="K17" s="6" t="s">
        <v>20</v>
      </c>
      <c r="L17" s="7" t="s">
        <v>65</v>
      </c>
      <c r="M17" s="7" t="s">
        <v>66</v>
      </c>
      <c r="N17" s="7" t="s">
        <v>67</v>
      </c>
      <c r="O17" s="10" t="s">
        <v>68</v>
      </c>
      <c r="P17" s="6" t="str">
        <f>IMAGE("https://5.imimg.com/data5/SELLER/Default/2020/9/EF/FR/SW/13763930/fevicryte-acrylic-colors-500x500.jpg",1)</f>
        <v/>
      </c>
      <c r="Q17" s="64" t="s">
        <v>56</v>
      </c>
      <c r="R17" s="65"/>
      <c r="S17" s="66"/>
      <c r="T17" s="12"/>
      <c r="U17" s="11">
        <v>0.0</v>
      </c>
      <c r="V17" s="12"/>
      <c r="W17" s="12"/>
      <c r="X17" s="12"/>
      <c r="Y17" s="12"/>
      <c r="Z17" s="67"/>
      <c r="AA17" s="12"/>
      <c r="AB17" s="12"/>
      <c r="AC17" s="67"/>
      <c r="AD17" s="12"/>
      <c r="AE17" s="12"/>
      <c r="AF17" s="12"/>
    </row>
    <row r="18" ht="45.0" customHeight="1">
      <c r="A18" s="6">
        <v>12.0</v>
      </c>
      <c r="B18" s="6" t="s">
        <v>15</v>
      </c>
      <c r="C18" s="6" t="s">
        <v>69</v>
      </c>
      <c r="D18" s="6" t="s">
        <v>70</v>
      </c>
      <c r="E18" s="7" t="s">
        <v>71</v>
      </c>
      <c r="F18" s="8" t="s">
        <v>64</v>
      </c>
      <c r="G18" s="9">
        <v>1.0</v>
      </c>
      <c r="H18" s="9">
        <v>25.0</v>
      </c>
      <c r="I18" s="13">
        <v>1000.0</v>
      </c>
      <c r="J18" s="6">
        <f t="shared" si="2"/>
        <v>25000</v>
      </c>
      <c r="K18" s="6" t="s">
        <v>20</v>
      </c>
      <c r="L18" s="7" t="s">
        <v>72</v>
      </c>
      <c r="M18" s="7" t="s">
        <v>65</v>
      </c>
      <c r="N18" s="7" t="s">
        <v>65</v>
      </c>
      <c r="O18" s="15" t="s">
        <v>73</v>
      </c>
      <c r="P18" s="6" t="str">
        <f>IMAGE("https://helloaugust.in/wp-content/uploads/2020/04/dark-colour-chart-paper-full-size-300x300.jpg",1)</f>
        <v/>
      </c>
      <c r="Q18" s="64"/>
      <c r="R18" s="65"/>
      <c r="S18" s="66"/>
      <c r="T18" s="12"/>
      <c r="U18" s="11">
        <v>0.0</v>
      </c>
      <c r="V18" s="12"/>
      <c r="W18" s="12"/>
      <c r="X18" s="12"/>
      <c r="Y18" s="12"/>
      <c r="Z18" s="67"/>
      <c r="AA18" s="12"/>
      <c r="AB18" s="12"/>
      <c r="AC18" s="67"/>
      <c r="AD18" s="12"/>
      <c r="AE18" s="12"/>
      <c r="AF18" s="12"/>
    </row>
    <row r="19" ht="45.0" customHeight="1">
      <c r="A19" s="6">
        <v>13.0</v>
      </c>
      <c r="B19" s="6" t="s">
        <v>15</v>
      </c>
      <c r="C19" s="6" t="s">
        <v>74</v>
      </c>
      <c r="D19" s="6" t="s">
        <v>75</v>
      </c>
      <c r="E19" s="7" t="s">
        <v>76</v>
      </c>
      <c r="F19" s="8" t="s">
        <v>64</v>
      </c>
      <c r="G19" s="6">
        <v>10.0</v>
      </c>
      <c r="H19" s="6">
        <v>10.0</v>
      </c>
      <c r="I19" s="6">
        <v>50.0</v>
      </c>
      <c r="J19" s="6">
        <f t="shared" si="2"/>
        <v>500</v>
      </c>
      <c r="K19" s="6" t="s">
        <v>20</v>
      </c>
      <c r="L19" s="7" t="s">
        <v>77</v>
      </c>
      <c r="M19" s="16" t="s">
        <v>65</v>
      </c>
      <c r="N19" s="7" t="s">
        <v>65</v>
      </c>
      <c r="O19" s="10" t="s">
        <v>78</v>
      </c>
      <c r="P19" s="6" t="str">
        <f>IMAGE("https://m.media-amazon.com/images/W/MEDIAX_792452-T2/images/I/611Q9E31rML._SL1500_.jpg",1)</f>
        <v/>
      </c>
      <c r="Q19" s="64"/>
      <c r="R19" s="65"/>
      <c r="S19" s="66"/>
      <c r="T19" s="12"/>
      <c r="U19" s="11">
        <v>0.0</v>
      </c>
      <c r="V19" s="12"/>
      <c r="W19" s="12"/>
      <c r="X19" s="12"/>
      <c r="Y19" s="12"/>
      <c r="Z19" s="67"/>
      <c r="AA19" s="12"/>
      <c r="AB19" s="12"/>
      <c r="AC19" s="67"/>
      <c r="AD19" s="12"/>
      <c r="AE19" s="12"/>
      <c r="AF19" s="12"/>
    </row>
    <row r="20" ht="45.0" customHeight="1">
      <c r="A20" s="6">
        <v>14.0</v>
      </c>
      <c r="B20" s="6" t="s">
        <v>15</v>
      </c>
      <c r="C20" s="6" t="s">
        <v>79</v>
      </c>
      <c r="D20" s="6" t="s">
        <v>80</v>
      </c>
      <c r="E20" s="7" t="s">
        <v>81</v>
      </c>
      <c r="F20" s="8" t="s">
        <v>64</v>
      </c>
      <c r="G20" s="9">
        <v>5.0</v>
      </c>
      <c r="H20" s="9">
        <v>5.0</v>
      </c>
      <c r="I20" s="13">
        <v>100.0</v>
      </c>
      <c r="J20" s="6">
        <f t="shared" si="2"/>
        <v>500</v>
      </c>
      <c r="K20" s="6" t="s">
        <v>20</v>
      </c>
      <c r="L20" s="7" t="s">
        <v>65</v>
      </c>
      <c r="M20" s="7" t="s">
        <v>82</v>
      </c>
      <c r="N20" s="7" t="s">
        <v>83</v>
      </c>
      <c r="O20" s="10" t="s">
        <v>84</v>
      </c>
      <c r="P20" s="6" t="str">
        <f>IMAGE("https://4.imimg.com/data4/TN/NP/MY-32886991/a4-colour-paper-500x500.jpg",1)</f>
        <v/>
      </c>
      <c r="Q20" s="64"/>
      <c r="R20" s="65"/>
      <c r="S20" s="66"/>
      <c r="T20" s="12"/>
      <c r="U20" s="11">
        <v>0.0</v>
      </c>
      <c r="V20" s="12"/>
      <c r="W20" s="12"/>
      <c r="X20" s="12"/>
      <c r="Y20" s="12"/>
      <c r="Z20" s="67"/>
      <c r="AA20" s="12"/>
      <c r="AB20" s="12"/>
      <c r="AC20" s="67"/>
      <c r="AD20" s="12"/>
      <c r="AE20" s="12"/>
      <c r="AF20" s="12"/>
    </row>
    <row r="21" ht="45.0" customHeight="1">
      <c r="A21" s="6">
        <v>15.0</v>
      </c>
      <c r="B21" s="6" t="s">
        <v>15</v>
      </c>
      <c r="C21" s="6" t="s">
        <v>85</v>
      </c>
      <c r="D21" s="6" t="s">
        <v>86</v>
      </c>
      <c r="E21" s="7" t="s">
        <v>87</v>
      </c>
      <c r="F21" s="8" t="s">
        <v>64</v>
      </c>
      <c r="G21" s="9">
        <v>5.0</v>
      </c>
      <c r="H21" s="9">
        <v>5.0</v>
      </c>
      <c r="I21" s="9">
        <v>70.0</v>
      </c>
      <c r="J21" s="6">
        <f t="shared" si="2"/>
        <v>350</v>
      </c>
      <c r="K21" s="6" t="s">
        <v>20</v>
      </c>
      <c r="L21" s="7" t="s">
        <v>77</v>
      </c>
      <c r="M21" s="16" t="s">
        <v>65</v>
      </c>
      <c r="N21" s="16" t="s">
        <v>65</v>
      </c>
      <c r="O21" s="10" t="s">
        <v>88</v>
      </c>
      <c r="P21" s="6" t="str">
        <f>IMAGE("https://www.htconline.in/images/thumbs/0019821_camlin-drawing-pencils-set-of-6.jpeg",1)</f>
        <v/>
      </c>
      <c r="Q21" s="64"/>
      <c r="R21" s="65"/>
      <c r="S21" s="66"/>
      <c r="T21" s="12"/>
      <c r="U21" s="11">
        <v>0.0</v>
      </c>
      <c r="V21" s="12"/>
      <c r="W21" s="12"/>
      <c r="X21" s="12"/>
      <c r="Y21" s="12"/>
      <c r="Z21" s="67"/>
      <c r="AA21" s="12"/>
      <c r="AB21" s="12"/>
      <c r="AC21" s="67"/>
      <c r="AD21" s="12"/>
      <c r="AE21" s="12"/>
      <c r="AF21" s="12"/>
    </row>
    <row r="22" ht="45.0" customHeight="1">
      <c r="A22" s="6">
        <v>16.0</v>
      </c>
      <c r="B22" s="6" t="s">
        <v>15</v>
      </c>
      <c r="C22" s="6" t="s">
        <v>89</v>
      </c>
      <c r="D22" s="6" t="s">
        <v>90</v>
      </c>
      <c r="E22" s="7" t="s">
        <v>91</v>
      </c>
      <c r="F22" s="8" t="s">
        <v>64</v>
      </c>
      <c r="G22" s="9">
        <v>10.0</v>
      </c>
      <c r="H22" s="9">
        <v>20.0</v>
      </c>
      <c r="I22" s="9">
        <v>10.0</v>
      </c>
      <c r="J22" s="6">
        <f t="shared" si="2"/>
        <v>200</v>
      </c>
      <c r="K22" s="6" t="s">
        <v>20</v>
      </c>
      <c r="L22" s="7" t="s">
        <v>77</v>
      </c>
      <c r="M22" s="16" t="s">
        <v>65</v>
      </c>
      <c r="N22" s="16" t="s">
        <v>65</v>
      </c>
      <c r="O22" s="10" t="s">
        <v>92</v>
      </c>
      <c r="P22" s="6" t="str">
        <f>IMAGE("https://upload.wikimedia.org/wikipedia/commons/e/e8/Office-pink-erasers.jpg",1)</f>
        <v/>
      </c>
      <c r="Q22" s="64" t="s">
        <v>56</v>
      </c>
      <c r="R22" s="65"/>
      <c r="S22" s="66"/>
      <c r="T22" s="12"/>
      <c r="U22" s="11">
        <v>0.0</v>
      </c>
      <c r="V22" s="12"/>
      <c r="W22" s="12"/>
      <c r="X22" s="12"/>
      <c r="Y22" s="12"/>
      <c r="Z22" s="67"/>
      <c r="AA22" s="12"/>
      <c r="AB22" s="12"/>
      <c r="AC22" s="67"/>
      <c r="AD22" s="12"/>
      <c r="AE22" s="12"/>
      <c r="AF22" s="12"/>
    </row>
    <row r="23" ht="45.0" customHeight="1">
      <c r="A23" s="6">
        <v>17.0</v>
      </c>
      <c r="B23" s="6" t="s">
        <v>15</v>
      </c>
      <c r="C23" s="6" t="s">
        <v>93</v>
      </c>
      <c r="D23" s="6" t="s">
        <v>94</v>
      </c>
      <c r="E23" s="7" t="s">
        <v>95</v>
      </c>
      <c r="F23" s="8" t="s">
        <v>64</v>
      </c>
      <c r="G23" s="9">
        <v>10.0</v>
      </c>
      <c r="H23" s="9">
        <v>10.0</v>
      </c>
      <c r="I23" s="9">
        <v>35.0</v>
      </c>
      <c r="J23" s="6">
        <f t="shared" si="2"/>
        <v>350</v>
      </c>
      <c r="K23" s="6" t="s">
        <v>20</v>
      </c>
      <c r="L23" s="7" t="s">
        <v>77</v>
      </c>
      <c r="M23" s="16" t="s">
        <v>65</v>
      </c>
      <c r="N23" s="16" t="s">
        <v>65</v>
      </c>
      <c r="O23" s="17" t="s">
        <v>96</v>
      </c>
      <c r="P23" s="6" t="str">
        <f>IMAGE("https://cdn.shopify.com/s/files/1/0064/3412/7939/products/Main-2_2baab3ae-c700-4dd7-acd2-e9442aee0358_2048x.jpg?v=1669799264",1)</f>
        <v/>
      </c>
      <c r="Q23" s="64"/>
      <c r="R23" s="65"/>
      <c r="S23" s="66"/>
      <c r="T23" s="12"/>
      <c r="U23" s="11">
        <v>0.0</v>
      </c>
      <c r="V23" s="12"/>
      <c r="W23" s="12"/>
      <c r="X23" s="12"/>
      <c r="Y23" s="12"/>
      <c r="Z23" s="67"/>
      <c r="AA23" s="12"/>
      <c r="AB23" s="12"/>
      <c r="AC23" s="67"/>
      <c r="AD23" s="12"/>
      <c r="AE23" s="12"/>
      <c r="AF23" s="12"/>
    </row>
    <row r="24" ht="45.0" customHeight="1">
      <c r="A24" s="6">
        <v>18.0</v>
      </c>
      <c r="B24" s="6"/>
      <c r="C24" s="6"/>
      <c r="D24" s="6" t="s">
        <v>97</v>
      </c>
      <c r="E24" s="7" t="s">
        <v>98</v>
      </c>
      <c r="F24" s="8" t="s">
        <v>64</v>
      </c>
      <c r="G24" s="9" t="s">
        <v>56</v>
      </c>
      <c r="H24" s="9">
        <v>10.0</v>
      </c>
      <c r="I24" s="9"/>
      <c r="J24" s="6"/>
      <c r="K24" s="6" t="s">
        <v>20</v>
      </c>
      <c r="L24" s="7" t="s">
        <v>77</v>
      </c>
      <c r="M24" s="16"/>
      <c r="N24" s="16"/>
      <c r="O24" s="17"/>
      <c r="P24" s="6" t="e">
        <v>#VALUE!</v>
      </c>
      <c r="Q24" s="64"/>
      <c r="R24" s="65"/>
      <c r="S24" s="66"/>
      <c r="T24" s="12"/>
      <c r="U24" s="11">
        <v>0.0</v>
      </c>
      <c r="V24" s="12"/>
      <c r="W24" s="12"/>
      <c r="X24" s="12"/>
      <c r="Y24" s="12"/>
      <c r="Z24" s="67"/>
      <c r="AA24" s="12"/>
      <c r="AB24" s="12"/>
      <c r="AC24" s="67"/>
      <c r="AD24" s="12"/>
      <c r="AE24" s="12"/>
      <c r="AF24" s="12"/>
    </row>
    <row r="25" ht="45.0" customHeight="1">
      <c r="A25" s="6">
        <v>19.0</v>
      </c>
      <c r="B25" s="6" t="s">
        <v>15</v>
      </c>
      <c r="C25" s="6" t="s">
        <v>99</v>
      </c>
      <c r="D25" s="6" t="s">
        <v>100</v>
      </c>
      <c r="E25" s="7" t="s">
        <v>101</v>
      </c>
      <c r="F25" s="8" t="s">
        <v>64</v>
      </c>
      <c r="G25" s="9">
        <v>5.0</v>
      </c>
      <c r="H25" s="9">
        <v>10.0</v>
      </c>
      <c r="I25" s="9">
        <v>200.0</v>
      </c>
      <c r="J25" s="6">
        <f t="shared" ref="J25:J33" si="3">I25*H25</f>
        <v>2000</v>
      </c>
      <c r="K25" s="6" t="s">
        <v>20</v>
      </c>
      <c r="L25" s="7" t="s">
        <v>77</v>
      </c>
      <c r="M25" s="16" t="s">
        <v>65</v>
      </c>
      <c r="N25" s="16" t="s">
        <v>65</v>
      </c>
      <c r="O25" s="10" t="s">
        <v>102</v>
      </c>
      <c r="P25" s="6" t="str">
        <f>IMAGE("https://i5.walmartimages.com/asr/2f51619b-ee1e-4e7f-9717-927459ae38b6.1308a61cc28d473c3122e46595affb79.jpeg",1)</f>
        <v/>
      </c>
      <c r="Q25" s="64"/>
      <c r="R25" s="65"/>
      <c r="S25" s="66"/>
      <c r="T25" s="12"/>
      <c r="U25" s="11">
        <v>0.0</v>
      </c>
      <c r="V25" s="12"/>
      <c r="W25" s="12"/>
      <c r="X25" s="12"/>
      <c r="Y25" s="12"/>
      <c r="Z25" s="67"/>
      <c r="AA25" s="12"/>
      <c r="AB25" s="12"/>
      <c r="AC25" s="67"/>
      <c r="AD25" s="12"/>
      <c r="AE25" s="12"/>
      <c r="AF25" s="12"/>
    </row>
    <row r="26" ht="45.0" customHeight="1">
      <c r="A26" s="6">
        <v>20.0</v>
      </c>
      <c r="B26" s="6" t="s">
        <v>15</v>
      </c>
      <c r="C26" s="6" t="s">
        <v>103</v>
      </c>
      <c r="D26" s="6" t="s">
        <v>104</v>
      </c>
      <c r="E26" s="7" t="s">
        <v>105</v>
      </c>
      <c r="F26" s="8" t="s">
        <v>64</v>
      </c>
      <c r="G26" s="9">
        <v>5.0</v>
      </c>
      <c r="H26" s="9">
        <v>5.0</v>
      </c>
      <c r="I26" s="9">
        <v>50.0</v>
      </c>
      <c r="J26" s="6">
        <f t="shared" si="3"/>
        <v>250</v>
      </c>
      <c r="K26" s="6" t="s">
        <v>20</v>
      </c>
      <c r="L26" s="7" t="s">
        <v>21</v>
      </c>
      <c r="M26" s="16" t="s">
        <v>65</v>
      </c>
      <c r="N26" s="16" t="s">
        <v>65</v>
      </c>
      <c r="O26" s="10" t="s">
        <v>106</v>
      </c>
      <c r="P26" s="6" t="str">
        <f>IMAGE("https://c8.alamy.com/comp/R7TP32/paint-palette-with-various-acrylic-paints-and-a-brush-R7TP32.jpg",1)</f>
        <v/>
      </c>
      <c r="Q26" s="70"/>
      <c r="R26" s="65"/>
      <c r="S26" s="66"/>
      <c r="T26" s="12"/>
      <c r="U26" s="11">
        <v>0.0</v>
      </c>
      <c r="V26" s="12"/>
      <c r="W26" s="12"/>
      <c r="X26" s="12"/>
      <c r="Y26" s="12"/>
      <c r="Z26" s="67"/>
      <c r="AA26" s="12"/>
      <c r="AB26" s="12"/>
      <c r="AC26" s="67"/>
      <c r="AD26" s="12"/>
      <c r="AE26" s="12"/>
      <c r="AF26" s="12"/>
    </row>
    <row r="27" ht="45.0" customHeight="1">
      <c r="A27" s="6">
        <v>21.0</v>
      </c>
      <c r="B27" s="6" t="s">
        <v>15</v>
      </c>
      <c r="C27" s="6" t="s">
        <v>107</v>
      </c>
      <c r="D27" s="6" t="s">
        <v>108</v>
      </c>
      <c r="E27" s="7" t="s">
        <v>109</v>
      </c>
      <c r="F27" s="8" t="s">
        <v>64</v>
      </c>
      <c r="G27" s="9">
        <v>10.0</v>
      </c>
      <c r="H27" s="9">
        <v>1.0</v>
      </c>
      <c r="I27" s="13">
        <v>20.0</v>
      </c>
      <c r="J27" s="6">
        <f t="shared" si="3"/>
        <v>20</v>
      </c>
      <c r="K27" s="6" t="s">
        <v>20</v>
      </c>
      <c r="L27" s="7" t="s">
        <v>77</v>
      </c>
      <c r="M27" s="7" t="s">
        <v>110</v>
      </c>
      <c r="N27" s="7" t="s">
        <v>111</v>
      </c>
      <c r="O27" s="10" t="s">
        <v>112</v>
      </c>
      <c r="P27" s="6" t="str">
        <f>IMAGE("https://i5.walmartimages.com/asr/093150f9-deec-44c1-a07d-a6985f3f45c7.dad44d94862d81eed55b6d8aef2937c1.jpeg?odnHeight=612&amp;odnWidth=612&amp;odnBg=FFFFFF",1)</f>
        <v/>
      </c>
      <c r="Q27" s="64"/>
      <c r="R27" s="65"/>
      <c r="S27" s="66"/>
      <c r="T27" s="5"/>
      <c r="U27" s="11">
        <v>0.0</v>
      </c>
      <c r="V27" s="5"/>
      <c r="W27" s="5"/>
      <c r="X27" s="5"/>
      <c r="Y27" s="5"/>
      <c r="Z27" s="63"/>
      <c r="AA27" s="5"/>
      <c r="AB27" s="5"/>
      <c r="AC27" s="63"/>
      <c r="AD27" s="5"/>
      <c r="AE27" s="5"/>
      <c r="AF27" s="5"/>
    </row>
    <row r="28" ht="45.0" customHeight="1">
      <c r="A28" s="6">
        <v>22.0</v>
      </c>
      <c r="B28" s="6" t="s">
        <v>15</v>
      </c>
      <c r="C28" s="6" t="s">
        <v>113</v>
      </c>
      <c r="D28" s="6" t="s">
        <v>114</v>
      </c>
      <c r="E28" s="7" t="s">
        <v>115</v>
      </c>
      <c r="F28" s="8" t="s">
        <v>64</v>
      </c>
      <c r="G28" s="9">
        <v>5.0</v>
      </c>
      <c r="H28" s="9">
        <v>10.0</v>
      </c>
      <c r="I28" s="9">
        <v>40.0</v>
      </c>
      <c r="J28" s="6">
        <f t="shared" si="3"/>
        <v>400</v>
      </c>
      <c r="K28" s="6" t="s">
        <v>20</v>
      </c>
      <c r="L28" s="7" t="s">
        <v>77</v>
      </c>
      <c r="M28" s="7" t="s">
        <v>110</v>
      </c>
      <c r="N28" s="7" t="s">
        <v>116</v>
      </c>
      <c r="O28" s="6" t="s">
        <v>56</v>
      </c>
      <c r="P28" s="6" t="str">
        <f>IMAGE("https://m.media-amazon.com/images/I/81XeaSXczEL._SL1500_.jpg",1)</f>
        <v/>
      </c>
      <c r="Q28" s="64"/>
      <c r="R28" s="65"/>
      <c r="S28" s="66"/>
      <c r="T28" s="12"/>
      <c r="U28" s="11">
        <v>0.0</v>
      </c>
      <c r="V28" s="12"/>
      <c r="W28" s="12"/>
      <c r="X28" s="12"/>
      <c r="Y28" s="12"/>
      <c r="Z28" s="67"/>
      <c r="AA28" s="12"/>
      <c r="AB28" s="12"/>
      <c r="AC28" s="67"/>
      <c r="AD28" s="12"/>
      <c r="AE28" s="12"/>
      <c r="AF28" s="12"/>
    </row>
    <row r="29" ht="45.0" customHeight="1">
      <c r="A29" s="6">
        <v>23.0</v>
      </c>
      <c r="B29" s="6" t="s">
        <v>15</v>
      </c>
      <c r="C29" s="6" t="s">
        <v>117</v>
      </c>
      <c r="D29" s="6" t="s">
        <v>118</v>
      </c>
      <c r="E29" s="7" t="s">
        <v>119</v>
      </c>
      <c r="F29" s="8" t="s">
        <v>64</v>
      </c>
      <c r="G29" s="9">
        <v>10.0</v>
      </c>
      <c r="H29" s="9">
        <v>10.0</v>
      </c>
      <c r="I29" s="9">
        <v>100.0</v>
      </c>
      <c r="J29" s="6">
        <f t="shared" si="3"/>
        <v>1000</v>
      </c>
      <c r="K29" s="6" t="s">
        <v>20</v>
      </c>
      <c r="L29" s="7" t="s">
        <v>21</v>
      </c>
      <c r="M29" s="16" t="s">
        <v>65</v>
      </c>
      <c r="N29" s="16" t="s">
        <v>65</v>
      </c>
      <c r="O29" s="10" t="s">
        <v>120</v>
      </c>
      <c r="P29" s="6" t="str">
        <f>IMAGE("https://www.faithfulltools.com/images/xxlarge/FAIRULE150SS.jpg",1)</f>
        <v/>
      </c>
      <c r="Q29" s="70"/>
      <c r="R29" s="65"/>
      <c r="S29" s="66"/>
      <c r="T29" s="12"/>
      <c r="U29" s="11">
        <v>0.0</v>
      </c>
      <c r="V29" s="12"/>
      <c r="W29" s="12"/>
      <c r="X29" s="12"/>
      <c r="Y29" s="12"/>
      <c r="Z29" s="67"/>
      <c r="AA29" s="12"/>
      <c r="AB29" s="12"/>
      <c r="AC29" s="67"/>
      <c r="AD29" s="12"/>
      <c r="AE29" s="12"/>
      <c r="AF29" s="12"/>
    </row>
    <row r="30" ht="45.0" customHeight="1">
      <c r="A30" s="6">
        <v>24.0</v>
      </c>
      <c r="B30" s="6" t="s">
        <v>15</v>
      </c>
      <c r="C30" s="6" t="s">
        <v>121</v>
      </c>
      <c r="D30" s="6" t="s">
        <v>122</v>
      </c>
      <c r="E30" s="7" t="s">
        <v>123</v>
      </c>
      <c r="F30" s="8" t="s">
        <v>64</v>
      </c>
      <c r="G30" s="9">
        <v>10.0</v>
      </c>
      <c r="H30" s="9">
        <v>10.0</v>
      </c>
      <c r="I30" s="9">
        <v>25.0</v>
      </c>
      <c r="J30" s="6">
        <f t="shared" si="3"/>
        <v>250</v>
      </c>
      <c r="K30" s="6" t="s">
        <v>20</v>
      </c>
      <c r="L30" s="7" t="s">
        <v>77</v>
      </c>
      <c r="M30" s="16" t="s">
        <v>65</v>
      </c>
      <c r="N30" s="16" t="s">
        <v>65</v>
      </c>
      <c r="O30" s="10" t="s">
        <v>124</v>
      </c>
      <c r="P30" s="6" t="str">
        <f>IMAGE("https://images.meesho.com/images/products/60299132/dranx_512.jpg",1)</f>
        <v/>
      </c>
      <c r="Q30" s="64"/>
      <c r="R30" s="68"/>
      <c r="S30" s="69"/>
      <c r="T30" s="12"/>
      <c r="U30" s="11">
        <v>0.0</v>
      </c>
      <c r="V30" s="12"/>
      <c r="W30" s="12"/>
      <c r="X30" s="12"/>
      <c r="Y30" s="12"/>
      <c r="Z30" s="67"/>
      <c r="AA30" s="12"/>
      <c r="AB30" s="12"/>
      <c r="AC30" s="67"/>
      <c r="AD30" s="12"/>
      <c r="AE30" s="12"/>
      <c r="AF30" s="12"/>
    </row>
    <row r="31" ht="45.0" customHeight="1">
      <c r="A31" s="6">
        <v>25.0</v>
      </c>
      <c r="B31" s="6" t="s">
        <v>15</v>
      </c>
      <c r="C31" s="6" t="s">
        <v>125</v>
      </c>
      <c r="D31" s="6" t="s">
        <v>126</v>
      </c>
      <c r="E31" s="7" t="s">
        <v>127</v>
      </c>
      <c r="F31" s="8" t="s">
        <v>64</v>
      </c>
      <c r="G31" s="9">
        <v>5.0</v>
      </c>
      <c r="H31" s="9">
        <v>5.0</v>
      </c>
      <c r="I31" s="9">
        <v>25.0</v>
      </c>
      <c r="J31" s="6">
        <f t="shared" si="3"/>
        <v>125</v>
      </c>
      <c r="K31" s="6" t="s">
        <v>20</v>
      </c>
      <c r="L31" s="7" t="s">
        <v>65</v>
      </c>
      <c r="M31" s="16"/>
      <c r="N31" s="7"/>
      <c r="O31" s="10" t="s">
        <v>128</v>
      </c>
      <c r="P31" s="6" t="e">
        <v>#VALUE!</v>
      </c>
      <c r="Q31" s="64"/>
      <c r="R31" s="65"/>
      <c r="S31" s="66"/>
      <c r="T31" s="12"/>
      <c r="U31" s="11">
        <v>0.0</v>
      </c>
      <c r="V31" s="12"/>
      <c r="W31" s="12"/>
      <c r="X31" s="12"/>
      <c r="Y31" s="12"/>
      <c r="Z31" s="67"/>
      <c r="AA31" s="12"/>
      <c r="AB31" s="12"/>
      <c r="AC31" s="67"/>
      <c r="AD31" s="12"/>
      <c r="AE31" s="12"/>
      <c r="AF31" s="12"/>
    </row>
    <row r="32" ht="45.0" customHeight="1">
      <c r="A32" s="6">
        <v>26.0</v>
      </c>
      <c r="B32" s="6" t="s">
        <v>15</v>
      </c>
      <c r="C32" s="6" t="s">
        <v>129</v>
      </c>
      <c r="D32" s="6" t="s">
        <v>130</v>
      </c>
      <c r="E32" s="7" t="s">
        <v>131</v>
      </c>
      <c r="F32" s="8" t="s">
        <v>64</v>
      </c>
      <c r="G32" s="9">
        <v>10.0</v>
      </c>
      <c r="H32" s="9">
        <v>10.0</v>
      </c>
      <c r="I32" s="9">
        <v>50.0</v>
      </c>
      <c r="J32" s="6">
        <f t="shared" si="3"/>
        <v>500</v>
      </c>
      <c r="K32" s="6" t="s">
        <v>20</v>
      </c>
      <c r="L32" s="7"/>
      <c r="M32" s="7"/>
      <c r="N32" s="7"/>
      <c r="O32" s="10" t="s">
        <v>132</v>
      </c>
      <c r="P32" s="6" t="str">
        <f>IMAGE("https://5.imimg.com/data5/AO/GN/AU/SELLER-10873750/floppy-disk-1000x1000.jpg",1)</f>
        <v/>
      </c>
      <c r="Q32" s="64"/>
      <c r="R32" s="65"/>
      <c r="S32" s="66"/>
      <c r="T32" s="12"/>
      <c r="U32" s="11">
        <v>0.0</v>
      </c>
      <c r="V32" s="12"/>
      <c r="W32" s="12"/>
      <c r="X32" s="12"/>
      <c r="Y32" s="12"/>
      <c r="Z32" s="67"/>
      <c r="AA32" s="12"/>
      <c r="AB32" s="12"/>
      <c r="AC32" s="67"/>
      <c r="AD32" s="12"/>
      <c r="AE32" s="12"/>
      <c r="AF32" s="12"/>
    </row>
    <row r="33" ht="45.0" customHeight="1">
      <c r="A33" s="6">
        <v>27.0</v>
      </c>
      <c r="B33" s="6" t="s">
        <v>15</v>
      </c>
      <c r="C33" s="6" t="s">
        <v>133</v>
      </c>
      <c r="D33" s="6" t="s">
        <v>134</v>
      </c>
      <c r="E33" s="7" t="s">
        <v>135</v>
      </c>
      <c r="F33" s="8" t="s">
        <v>64</v>
      </c>
      <c r="G33" s="9">
        <v>10.0</v>
      </c>
      <c r="H33" s="9">
        <v>10.0</v>
      </c>
      <c r="I33" s="9">
        <v>20.0</v>
      </c>
      <c r="J33" s="6">
        <f t="shared" si="3"/>
        <v>200</v>
      </c>
      <c r="K33" s="6" t="s">
        <v>20</v>
      </c>
      <c r="L33" s="7" t="s">
        <v>77</v>
      </c>
      <c r="M33" s="16" t="s">
        <v>65</v>
      </c>
      <c r="N33" s="7"/>
      <c r="O33" s="10" t="s">
        <v>136</v>
      </c>
      <c r="P33" s="6" t="str">
        <f>IMAGE("https://m.media-amazon.com/images/I/717edTeWYZL._SL1500_.jpg",1)</f>
        <v/>
      </c>
      <c r="Q33" s="64"/>
      <c r="R33" s="65"/>
      <c r="S33" s="66"/>
      <c r="T33" s="5"/>
      <c r="U33" s="11">
        <v>0.0</v>
      </c>
      <c r="V33" s="5"/>
      <c r="W33" s="5"/>
      <c r="X33" s="5"/>
      <c r="Y33" s="5"/>
      <c r="Z33" s="63"/>
      <c r="AA33" s="5"/>
      <c r="AB33" s="5"/>
      <c r="AC33" s="63"/>
      <c r="AD33" s="5"/>
      <c r="AE33" s="5"/>
      <c r="AF33" s="5"/>
    </row>
    <row r="34" ht="27.75" customHeight="1">
      <c r="A34" s="50" t="s">
        <v>1683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2"/>
      <c r="P34" s="53"/>
      <c r="Q34" s="54"/>
      <c r="R34" s="55"/>
      <c r="S34" s="55"/>
      <c r="T34" s="56"/>
      <c r="U34" s="56"/>
      <c r="V34" s="56"/>
      <c r="W34" s="56"/>
      <c r="X34" s="56"/>
      <c r="Y34" s="56"/>
      <c r="Z34" s="57"/>
      <c r="AA34" s="56"/>
      <c r="AB34" s="56"/>
      <c r="AC34" s="57"/>
      <c r="AD34" s="56"/>
      <c r="AE34" s="56"/>
      <c r="AF34" s="56"/>
    </row>
    <row r="35" ht="24.0" customHeight="1">
      <c r="A35" s="59" t="s">
        <v>0</v>
      </c>
      <c r="B35" s="59"/>
      <c r="C35" s="59"/>
      <c r="D35" s="59" t="s">
        <v>1</v>
      </c>
      <c r="E35" s="60" t="s">
        <v>2</v>
      </c>
      <c r="F35" s="59" t="s">
        <v>3</v>
      </c>
      <c r="G35" s="59" t="s">
        <v>4</v>
      </c>
      <c r="H35" s="59" t="s">
        <v>5</v>
      </c>
      <c r="I35" s="59" t="s">
        <v>6</v>
      </c>
      <c r="J35" s="59" t="s">
        <v>7</v>
      </c>
      <c r="K35" s="59" t="s">
        <v>8</v>
      </c>
      <c r="L35" s="60" t="s">
        <v>9</v>
      </c>
      <c r="M35" s="60" t="s">
        <v>10</v>
      </c>
      <c r="N35" s="61" t="s">
        <v>11</v>
      </c>
      <c r="O35" s="59" t="s">
        <v>12</v>
      </c>
      <c r="P35" s="62" t="s">
        <v>13</v>
      </c>
      <c r="Q35" s="4" t="s">
        <v>13</v>
      </c>
      <c r="R35" s="4" t="s">
        <v>13</v>
      </c>
      <c r="S35" s="4" t="s">
        <v>13</v>
      </c>
      <c r="T35" s="4" t="s">
        <v>13</v>
      </c>
      <c r="U35" s="4" t="s">
        <v>14</v>
      </c>
      <c r="V35" s="5"/>
      <c r="W35" s="5"/>
      <c r="X35" s="5"/>
      <c r="Y35" s="5"/>
      <c r="Z35" s="63"/>
      <c r="AA35" s="5"/>
      <c r="AB35" s="5"/>
      <c r="AC35" s="63"/>
      <c r="AD35" s="5"/>
      <c r="AE35" s="5"/>
      <c r="AF35" s="5"/>
    </row>
    <row r="36" ht="45.0" customHeight="1">
      <c r="A36" s="6">
        <v>28.0</v>
      </c>
      <c r="B36" s="6" t="s">
        <v>137</v>
      </c>
      <c r="C36" s="6" t="s">
        <v>138</v>
      </c>
      <c r="D36" s="6" t="s">
        <v>139</v>
      </c>
      <c r="E36" s="7" t="s">
        <v>140</v>
      </c>
      <c r="F36" s="8" t="s">
        <v>141</v>
      </c>
      <c r="G36" s="6">
        <v>1.0</v>
      </c>
      <c r="H36" s="6">
        <v>1.0</v>
      </c>
      <c r="I36" s="6">
        <v>2000.0</v>
      </c>
      <c r="J36" s="6">
        <f t="shared" ref="J36:J43" si="4">I36*H36</f>
        <v>2000</v>
      </c>
      <c r="K36" s="6" t="s">
        <v>142</v>
      </c>
      <c r="L36" s="7"/>
      <c r="M36" s="7"/>
      <c r="N36" s="7"/>
      <c r="O36" s="10" t="s">
        <v>143</v>
      </c>
      <c r="P36" s="6" t="e">
        <v>#VALUE!</v>
      </c>
      <c r="Q36" s="71" t="s">
        <v>1684</v>
      </c>
      <c r="R36" s="65">
        <v>60.0</v>
      </c>
      <c r="S36" s="66"/>
      <c r="T36" s="12"/>
      <c r="U36" s="11">
        <v>0.0</v>
      </c>
      <c r="V36" s="12"/>
      <c r="W36" s="12" t="s">
        <v>144</v>
      </c>
      <c r="X36" s="12">
        <v>2500.0</v>
      </c>
      <c r="Y36" s="12">
        <f t="shared" ref="Y36:Y43" si="5">X36*H36</f>
        <v>2500</v>
      </c>
      <c r="Z36" s="67"/>
      <c r="AA36" s="12"/>
      <c r="AB36" s="12"/>
      <c r="AC36" s="67"/>
      <c r="AD36" s="12"/>
      <c r="AE36" s="12"/>
      <c r="AF36" s="12"/>
    </row>
    <row r="37" ht="45.0" customHeight="1">
      <c r="A37" s="6">
        <v>29.0</v>
      </c>
      <c r="B37" s="6" t="s">
        <v>137</v>
      </c>
      <c r="C37" s="6" t="s">
        <v>145</v>
      </c>
      <c r="D37" s="6" t="s">
        <v>146</v>
      </c>
      <c r="E37" s="7" t="s">
        <v>147</v>
      </c>
      <c r="F37" s="8" t="s">
        <v>141</v>
      </c>
      <c r="G37" s="9">
        <v>1.0</v>
      </c>
      <c r="H37" s="9">
        <v>1.0</v>
      </c>
      <c r="I37" s="9">
        <v>1000.0</v>
      </c>
      <c r="J37" s="6">
        <f t="shared" si="4"/>
        <v>1000</v>
      </c>
      <c r="K37" s="6" t="s">
        <v>142</v>
      </c>
      <c r="L37" s="7"/>
      <c r="M37" s="7"/>
      <c r="N37" s="7"/>
      <c r="O37" s="10" t="s">
        <v>148</v>
      </c>
      <c r="P37" s="6" t="str">
        <f>IMAGE("https://i0.wp.com/www.deltastore.in/wp-content/uploads/2021/05/Untitled-design-95.png?fit=1080%2C1080&amp;ssl=1",1)</f>
        <v/>
      </c>
      <c r="Q37" s="64"/>
      <c r="R37" s="65"/>
      <c r="S37" s="66"/>
      <c r="T37" s="12"/>
      <c r="U37" s="11">
        <v>0.0</v>
      </c>
      <c r="V37" s="12"/>
      <c r="W37" s="12" t="s">
        <v>144</v>
      </c>
      <c r="X37" s="12">
        <v>1500.0</v>
      </c>
      <c r="Y37" s="12">
        <f t="shared" si="5"/>
        <v>1500</v>
      </c>
      <c r="Z37" s="67"/>
      <c r="AA37" s="12"/>
      <c r="AB37" s="12"/>
      <c r="AC37" s="67"/>
      <c r="AD37" s="12"/>
      <c r="AE37" s="12"/>
      <c r="AF37" s="12"/>
    </row>
    <row r="38" ht="45.0" customHeight="1">
      <c r="A38" s="6">
        <v>30.0</v>
      </c>
      <c r="B38" s="6" t="s">
        <v>137</v>
      </c>
      <c r="C38" s="6" t="s">
        <v>149</v>
      </c>
      <c r="D38" s="6" t="s">
        <v>150</v>
      </c>
      <c r="E38" s="7" t="s">
        <v>151</v>
      </c>
      <c r="F38" s="8" t="s">
        <v>141</v>
      </c>
      <c r="G38" s="9">
        <v>2.0</v>
      </c>
      <c r="H38" s="9">
        <v>2.0</v>
      </c>
      <c r="I38" s="9">
        <v>250.0</v>
      </c>
      <c r="J38" s="6">
        <f t="shared" si="4"/>
        <v>500</v>
      </c>
      <c r="K38" s="6" t="s">
        <v>142</v>
      </c>
      <c r="L38" s="7"/>
      <c r="M38" s="7"/>
      <c r="N38" s="7"/>
      <c r="O38" s="10" t="s">
        <v>152</v>
      </c>
      <c r="P38" s="6" t="str">
        <f>IMAGE("https://m.media-amazon.com/images/I/51KO2QtXE8L._SL1000_.jpg", 1)</f>
        <v/>
      </c>
      <c r="Q38" s="71" t="s">
        <v>1684</v>
      </c>
      <c r="R38" s="65">
        <v>120.0</v>
      </c>
      <c r="S38" s="66"/>
      <c r="T38" s="12"/>
      <c r="U38" s="11">
        <v>0.0</v>
      </c>
      <c r="V38" s="12"/>
      <c r="W38" s="12" t="s">
        <v>144</v>
      </c>
      <c r="X38" s="12">
        <v>500.0</v>
      </c>
      <c r="Y38" s="12">
        <f t="shared" si="5"/>
        <v>1000</v>
      </c>
      <c r="Z38" s="67"/>
      <c r="AA38" s="12"/>
      <c r="AB38" s="12"/>
      <c r="AC38" s="67"/>
      <c r="AD38" s="12"/>
      <c r="AE38" s="12"/>
      <c r="AF38" s="12"/>
    </row>
    <row r="39" ht="45.0" customHeight="1">
      <c r="A39" s="6">
        <v>31.0</v>
      </c>
      <c r="B39" s="6" t="s">
        <v>137</v>
      </c>
      <c r="C39" s="6" t="s">
        <v>153</v>
      </c>
      <c r="D39" s="6" t="s">
        <v>154</v>
      </c>
      <c r="E39" s="7" t="s">
        <v>155</v>
      </c>
      <c r="F39" s="8" t="s">
        <v>141</v>
      </c>
      <c r="G39" s="9">
        <v>1.0</v>
      </c>
      <c r="H39" s="9">
        <v>1.0</v>
      </c>
      <c r="I39" s="9">
        <v>500.0</v>
      </c>
      <c r="J39" s="6">
        <f t="shared" si="4"/>
        <v>500</v>
      </c>
      <c r="K39" s="6" t="s">
        <v>142</v>
      </c>
      <c r="L39" s="7"/>
      <c r="M39" s="7"/>
      <c r="N39" s="7"/>
      <c r="O39" s="10" t="s">
        <v>156</v>
      </c>
      <c r="P39" s="6" t="str">
        <f>IMAGE("https://m.media-amazon.com/images/I/61Zlcg+2mNL.jpg")</f>
        <v/>
      </c>
      <c r="Q39" s="72" t="s">
        <v>1684</v>
      </c>
      <c r="R39" s="65">
        <v>55.0</v>
      </c>
      <c r="S39" s="66"/>
      <c r="T39" s="12"/>
      <c r="U39" s="11">
        <v>0.0</v>
      </c>
      <c r="V39" s="12"/>
      <c r="W39" s="12" t="s">
        <v>144</v>
      </c>
      <c r="X39" s="12">
        <v>2000.0</v>
      </c>
      <c r="Y39" s="12">
        <f t="shared" si="5"/>
        <v>2000</v>
      </c>
      <c r="Z39" s="67"/>
      <c r="AA39" s="12"/>
      <c r="AB39" s="12"/>
      <c r="AC39" s="67"/>
      <c r="AD39" s="12"/>
      <c r="AE39" s="12"/>
      <c r="AF39" s="12"/>
    </row>
    <row r="40" ht="45.0" customHeight="1">
      <c r="A40" s="6">
        <v>32.0</v>
      </c>
      <c r="B40" s="6" t="s">
        <v>137</v>
      </c>
      <c r="C40" s="6" t="s">
        <v>157</v>
      </c>
      <c r="D40" s="6" t="s">
        <v>158</v>
      </c>
      <c r="E40" s="7" t="s">
        <v>159</v>
      </c>
      <c r="F40" s="8" t="s">
        <v>141</v>
      </c>
      <c r="G40" s="9">
        <v>1.0</v>
      </c>
      <c r="H40" s="9">
        <v>1.0</v>
      </c>
      <c r="I40" s="9">
        <v>35000.0</v>
      </c>
      <c r="J40" s="6">
        <f t="shared" si="4"/>
        <v>35000</v>
      </c>
      <c r="K40" s="6" t="s">
        <v>142</v>
      </c>
      <c r="L40" s="7"/>
      <c r="M40" s="7"/>
      <c r="N40" s="7"/>
      <c r="O40" s="10" t="s">
        <v>160</v>
      </c>
      <c r="P40" s="6" t="str">
        <f>IMAGE("https://c1.neweggimages.com/Productimage/24-001-864-04.jpg",1)</f>
        <v/>
      </c>
      <c r="Q40" s="71" t="s">
        <v>1685</v>
      </c>
      <c r="R40" s="65"/>
      <c r="S40" s="66"/>
      <c r="T40" s="12"/>
      <c r="U40" s="11">
        <v>0.0</v>
      </c>
      <c r="V40" s="12"/>
      <c r="W40" s="12" t="s">
        <v>144</v>
      </c>
      <c r="X40" s="12">
        <v>35000.0</v>
      </c>
      <c r="Y40" s="12">
        <f t="shared" si="5"/>
        <v>35000</v>
      </c>
      <c r="Z40" s="67"/>
      <c r="AA40" s="12"/>
      <c r="AB40" s="12"/>
      <c r="AC40" s="67"/>
      <c r="AD40" s="12"/>
      <c r="AE40" s="12"/>
      <c r="AF40" s="12"/>
    </row>
    <row r="41" ht="45.0" customHeight="1">
      <c r="A41" s="6">
        <v>33.0</v>
      </c>
      <c r="B41" s="6" t="s">
        <v>137</v>
      </c>
      <c r="C41" s="6" t="s">
        <v>161</v>
      </c>
      <c r="D41" s="6" t="s">
        <v>162</v>
      </c>
      <c r="E41" s="7" t="s">
        <v>163</v>
      </c>
      <c r="F41" s="8" t="s">
        <v>141</v>
      </c>
      <c r="G41" s="9">
        <v>1.0</v>
      </c>
      <c r="H41" s="9">
        <v>1.0</v>
      </c>
      <c r="I41" s="9">
        <v>1000.0</v>
      </c>
      <c r="J41" s="6">
        <f t="shared" si="4"/>
        <v>1000</v>
      </c>
      <c r="K41" s="6" t="s">
        <v>142</v>
      </c>
      <c r="L41" s="7"/>
      <c r="M41" s="7"/>
      <c r="N41" s="7"/>
      <c r="O41" s="10" t="s">
        <v>164</v>
      </c>
      <c r="P41" s="6" t="str">
        <f>IMAGE("https://m.media-amazon.com/images/I/6100FnINmsL._SL1468_.jpg",1)</f>
        <v/>
      </c>
      <c r="Q41" s="64" t="s">
        <v>1686</v>
      </c>
      <c r="R41" s="65">
        <v>55.0</v>
      </c>
      <c r="S41" s="66"/>
      <c r="T41" s="12"/>
      <c r="U41" s="11">
        <v>0.0</v>
      </c>
      <c r="V41" s="12"/>
      <c r="W41" s="12" t="s">
        <v>144</v>
      </c>
      <c r="X41" s="12">
        <v>1500.0</v>
      </c>
      <c r="Y41" s="12">
        <f t="shared" si="5"/>
        <v>1500</v>
      </c>
      <c r="Z41" s="67"/>
      <c r="AA41" s="12"/>
      <c r="AB41" s="12"/>
      <c r="AC41" s="67"/>
      <c r="AD41" s="12"/>
      <c r="AE41" s="12"/>
      <c r="AF41" s="12"/>
    </row>
    <row r="42" ht="45.0" customHeight="1">
      <c r="A42" s="6">
        <v>34.0</v>
      </c>
      <c r="B42" s="6" t="s">
        <v>137</v>
      </c>
      <c r="C42" s="6" t="s">
        <v>165</v>
      </c>
      <c r="D42" s="6" t="s">
        <v>166</v>
      </c>
      <c r="E42" s="7" t="s">
        <v>167</v>
      </c>
      <c r="F42" s="8" t="s">
        <v>141</v>
      </c>
      <c r="G42" s="9">
        <v>1.0</v>
      </c>
      <c r="H42" s="9">
        <v>1.0</v>
      </c>
      <c r="I42" s="9">
        <v>1500.0</v>
      </c>
      <c r="J42" s="6">
        <f t="shared" si="4"/>
        <v>1500</v>
      </c>
      <c r="K42" s="6" t="s">
        <v>142</v>
      </c>
      <c r="L42" s="7"/>
      <c r="M42" s="7"/>
      <c r="N42" s="7"/>
      <c r="O42" s="10" t="s">
        <v>168</v>
      </c>
      <c r="P42" s="6" t="str">
        <f>IMAGE("https://encrypted-tbn1.gstatic.com/shopping?q=tbn:ANd9GcSwk1vUmWwFhmXgluT27_kpt_1XbFeMGM9voPktN2V8FycBha0_9qycLyoE5G3LsPm9IAaz9ZK9JsFmIAo5gwJtywrUheHD9Zzv6NIaMNLbw1go2XSC6Z0l&amp;usqp=CAE",1)</f>
        <v/>
      </c>
      <c r="Q42" s="71" t="s">
        <v>1684</v>
      </c>
      <c r="R42" s="65">
        <v>60.0</v>
      </c>
      <c r="S42" s="66"/>
      <c r="T42" s="12"/>
      <c r="U42" s="11">
        <v>0.0</v>
      </c>
      <c r="V42" s="12"/>
      <c r="W42" s="12" t="s">
        <v>144</v>
      </c>
      <c r="X42" s="12">
        <v>2000.0</v>
      </c>
      <c r="Y42" s="12">
        <f t="shared" si="5"/>
        <v>2000</v>
      </c>
      <c r="Z42" s="67"/>
      <c r="AA42" s="12"/>
      <c r="AB42" s="12"/>
      <c r="AC42" s="67"/>
      <c r="AD42" s="12"/>
      <c r="AE42" s="12"/>
      <c r="AF42" s="12"/>
    </row>
    <row r="43" ht="45.0" customHeight="1">
      <c r="A43" s="6">
        <v>35.0</v>
      </c>
      <c r="B43" s="6" t="s">
        <v>137</v>
      </c>
      <c r="C43" s="6" t="s">
        <v>169</v>
      </c>
      <c r="D43" s="6" t="s">
        <v>170</v>
      </c>
      <c r="E43" s="7" t="s">
        <v>171</v>
      </c>
      <c r="F43" s="8" t="s">
        <v>141</v>
      </c>
      <c r="G43" s="9">
        <v>1.0</v>
      </c>
      <c r="H43" s="9">
        <v>1.0</v>
      </c>
      <c r="I43" s="9">
        <v>35000.0</v>
      </c>
      <c r="J43" s="6">
        <f t="shared" si="4"/>
        <v>35000</v>
      </c>
      <c r="K43" s="6" t="s">
        <v>142</v>
      </c>
      <c r="L43" s="7"/>
      <c r="M43" s="16" t="s">
        <v>65</v>
      </c>
      <c r="N43" s="7"/>
      <c r="O43" s="10" t="s">
        <v>172</v>
      </c>
      <c r="P43" s="6" t="str">
        <f>IMAGE("https://www.designinfo.in/wp-content/uploads/nc/p/5/1/4/9/0/51490-485x485.jpg",1)</f>
        <v/>
      </c>
      <c r="Q43" s="71" t="s">
        <v>1684</v>
      </c>
      <c r="R43" s="65">
        <v>55.0</v>
      </c>
      <c r="S43" s="66"/>
      <c r="T43" s="12"/>
      <c r="U43" s="11">
        <v>0.0</v>
      </c>
      <c r="V43" s="12"/>
      <c r="W43" s="12" t="s">
        <v>144</v>
      </c>
      <c r="X43" s="12">
        <v>50000.0</v>
      </c>
      <c r="Y43" s="12">
        <f t="shared" si="5"/>
        <v>50000</v>
      </c>
      <c r="Z43" s="67"/>
      <c r="AA43" s="12"/>
      <c r="AB43" s="12"/>
      <c r="AC43" s="67"/>
      <c r="AD43" s="12"/>
      <c r="AE43" s="12"/>
      <c r="AF43" s="12"/>
    </row>
    <row r="44" ht="27.75" customHeight="1">
      <c r="A44" s="50" t="s">
        <v>1687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2"/>
      <c r="P44" s="53"/>
      <c r="Q44" s="54"/>
      <c r="R44" s="55"/>
      <c r="S44" s="55"/>
      <c r="T44" s="56"/>
      <c r="U44" s="56"/>
      <c r="V44" s="56"/>
      <c r="W44" s="56"/>
      <c r="X44" s="56"/>
      <c r="Y44" s="56"/>
      <c r="Z44" s="57"/>
      <c r="AA44" s="56"/>
      <c r="AB44" s="56"/>
      <c r="AC44" s="57"/>
      <c r="AD44" s="56"/>
      <c r="AE44" s="56"/>
      <c r="AF44" s="56"/>
    </row>
    <row r="45" ht="24.0" customHeight="1">
      <c r="A45" s="59" t="s">
        <v>0</v>
      </c>
      <c r="B45" s="59"/>
      <c r="C45" s="59"/>
      <c r="D45" s="59" t="s">
        <v>1</v>
      </c>
      <c r="E45" s="60" t="s">
        <v>2</v>
      </c>
      <c r="F45" s="59" t="s">
        <v>3</v>
      </c>
      <c r="G45" s="59" t="s">
        <v>4</v>
      </c>
      <c r="H45" s="59" t="s">
        <v>5</v>
      </c>
      <c r="I45" s="59" t="s">
        <v>6</v>
      </c>
      <c r="J45" s="59" t="s">
        <v>7</v>
      </c>
      <c r="K45" s="59" t="s">
        <v>8</v>
      </c>
      <c r="L45" s="60" t="s">
        <v>9</v>
      </c>
      <c r="M45" s="60" t="s">
        <v>10</v>
      </c>
      <c r="N45" s="61" t="s">
        <v>11</v>
      </c>
      <c r="O45" s="59" t="s">
        <v>12</v>
      </c>
      <c r="P45" s="62" t="s">
        <v>13</v>
      </c>
      <c r="Q45" s="4" t="s">
        <v>13</v>
      </c>
      <c r="R45" s="4" t="s">
        <v>13</v>
      </c>
      <c r="S45" s="4" t="s">
        <v>13</v>
      </c>
      <c r="T45" s="4" t="s">
        <v>13</v>
      </c>
      <c r="U45" s="4" t="s">
        <v>14</v>
      </c>
      <c r="V45" s="5"/>
      <c r="W45" s="5"/>
      <c r="X45" s="5"/>
      <c r="Y45" s="5"/>
      <c r="Z45" s="63"/>
      <c r="AA45" s="5"/>
      <c r="AB45" s="5"/>
      <c r="AC45" s="63"/>
      <c r="AD45" s="5"/>
      <c r="AE45" s="5"/>
      <c r="AF45" s="5"/>
    </row>
    <row r="46" ht="45.0" customHeight="1">
      <c r="A46" s="6">
        <v>36.0</v>
      </c>
      <c r="B46" s="6" t="s">
        <v>173</v>
      </c>
      <c r="C46" s="6" t="s">
        <v>174</v>
      </c>
      <c r="D46" s="6" t="s">
        <v>175</v>
      </c>
      <c r="E46" s="7" t="s">
        <v>176</v>
      </c>
      <c r="F46" s="8" t="s">
        <v>177</v>
      </c>
      <c r="G46" s="9">
        <v>5.0</v>
      </c>
      <c r="H46" s="9">
        <v>5.0</v>
      </c>
      <c r="I46" s="9">
        <v>250.0</v>
      </c>
      <c r="J46" s="6">
        <f t="shared" ref="J46:J58" si="6">I46*H46</f>
        <v>1250</v>
      </c>
      <c r="K46" s="6" t="s">
        <v>178</v>
      </c>
      <c r="L46" s="7"/>
      <c r="M46" s="7" t="s">
        <v>179</v>
      </c>
      <c r="N46" s="7" t="s">
        <v>176</v>
      </c>
      <c r="O46" s="10" t="s">
        <v>180</v>
      </c>
      <c r="P46" s="6" t="str">
        <f>IMAGE("https://robu.in/wp-content/uploads/2021/05/EU-Plug-Universal-Battery-Charger-For-18650-16340-14500-Li-ion-Rechargeable-Battery-Charger-3.jpg",1)</f>
        <v/>
      </c>
      <c r="Q46" s="64" t="s">
        <v>1688</v>
      </c>
      <c r="R46" s="65"/>
      <c r="S46" s="66"/>
      <c r="T46" s="12"/>
      <c r="U46" s="11">
        <v>1.0</v>
      </c>
      <c r="V46" s="12"/>
      <c r="W46" s="12"/>
      <c r="X46" s="12"/>
      <c r="Y46" s="12"/>
      <c r="Z46" s="67"/>
      <c r="AA46" s="12"/>
      <c r="AB46" s="12"/>
      <c r="AC46" s="67"/>
      <c r="AD46" s="12"/>
      <c r="AE46" s="12"/>
      <c r="AF46" s="12"/>
    </row>
    <row r="47" ht="45.0" customHeight="1">
      <c r="A47" s="6">
        <v>37.0</v>
      </c>
      <c r="B47" s="6" t="s">
        <v>173</v>
      </c>
      <c r="C47" s="6" t="s">
        <v>181</v>
      </c>
      <c r="D47" s="6" t="s">
        <v>182</v>
      </c>
      <c r="E47" s="7" t="s">
        <v>183</v>
      </c>
      <c r="F47" s="8" t="s">
        <v>177</v>
      </c>
      <c r="G47" s="9">
        <v>5.0</v>
      </c>
      <c r="H47" s="9">
        <v>5.0</v>
      </c>
      <c r="I47" s="9">
        <v>100.0</v>
      </c>
      <c r="J47" s="6">
        <f t="shared" si="6"/>
        <v>500</v>
      </c>
      <c r="K47" s="6" t="s">
        <v>178</v>
      </c>
      <c r="L47" s="7"/>
      <c r="M47" s="7" t="s">
        <v>110</v>
      </c>
      <c r="N47" s="7" t="s">
        <v>184</v>
      </c>
      <c r="O47" s="18" t="s">
        <v>185</v>
      </c>
      <c r="P47" s="6" t="str">
        <f>IMAGE("https://rukminim2.flixcart.com/image/832/832/krs40i80/worldwide-adaptor/f/7/g/pack-of-1-power-adapter-12v-2-amp-dual-pin-for-charger-with-original-imag5hmbvgzazbzz.jpeg?q=70",1)</f>
        <v/>
      </c>
      <c r="Q47" s="64" t="s">
        <v>1688</v>
      </c>
      <c r="R47" s="65"/>
      <c r="S47" s="66"/>
      <c r="T47" s="12"/>
      <c r="U47" s="11">
        <v>1.0</v>
      </c>
      <c r="V47" s="12"/>
      <c r="W47" s="12"/>
      <c r="X47" s="12"/>
      <c r="Y47" s="12"/>
      <c r="Z47" s="67"/>
      <c r="AA47" s="12"/>
      <c r="AB47" s="12"/>
      <c r="AC47" s="67"/>
      <c r="AD47" s="12"/>
      <c r="AE47" s="12"/>
      <c r="AF47" s="12"/>
    </row>
    <row r="48" ht="45.0" customHeight="1">
      <c r="A48" s="6">
        <v>38.0</v>
      </c>
      <c r="B48" s="6" t="s">
        <v>173</v>
      </c>
      <c r="C48" s="6" t="s">
        <v>186</v>
      </c>
      <c r="D48" s="6" t="s">
        <v>187</v>
      </c>
      <c r="E48" s="7" t="s">
        <v>188</v>
      </c>
      <c r="F48" s="8" t="s">
        <v>177</v>
      </c>
      <c r="G48" s="9">
        <v>5.0</v>
      </c>
      <c r="H48" s="9">
        <v>5.0</v>
      </c>
      <c r="I48" s="9">
        <v>300.0</v>
      </c>
      <c r="J48" s="6">
        <f t="shared" si="6"/>
        <v>1500</v>
      </c>
      <c r="K48" s="6" t="s">
        <v>178</v>
      </c>
      <c r="L48" s="7"/>
      <c r="M48" s="7" t="s">
        <v>66</v>
      </c>
      <c r="N48" s="7" t="s">
        <v>188</v>
      </c>
      <c r="O48" s="10" t="s">
        <v>189</v>
      </c>
      <c r="P48" s="6" t="str">
        <f>IMAGE("https://m.media-amazon.com/images/I/6161NXWtz-L._SL1500_.jpg",1)</f>
        <v/>
      </c>
      <c r="Q48" s="64" t="s">
        <v>1688</v>
      </c>
      <c r="R48" s="65"/>
      <c r="S48" s="66"/>
      <c r="T48" s="12"/>
      <c r="U48" s="11">
        <v>1.0</v>
      </c>
      <c r="V48" s="12"/>
      <c r="W48" s="12"/>
      <c r="X48" s="12"/>
      <c r="Y48" s="12"/>
      <c r="Z48" s="67"/>
      <c r="AA48" s="12"/>
      <c r="AB48" s="12"/>
      <c r="AC48" s="67"/>
      <c r="AD48" s="12"/>
      <c r="AE48" s="12"/>
      <c r="AF48" s="12"/>
    </row>
    <row r="49" ht="45.0" customHeight="1">
      <c r="A49" s="6">
        <v>39.0</v>
      </c>
      <c r="B49" s="6" t="s">
        <v>173</v>
      </c>
      <c r="C49" s="6" t="s">
        <v>190</v>
      </c>
      <c r="D49" s="6" t="s">
        <v>191</v>
      </c>
      <c r="E49" s="7" t="s">
        <v>192</v>
      </c>
      <c r="F49" s="8" t="s">
        <v>177</v>
      </c>
      <c r="G49" s="9">
        <v>20.0</v>
      </c>
      <c r="H49" s="9">
        <v>20.0</v>
      </c>
      <c r="I49" s="9">
        <v>6.0</v>
      </c>
      <c r="J49" s="6">
        <f t="shared" si="6"/>
        <v>120</v>
      </c>
      <c r="K49" s="6" t="s">
        <v>178</v>
      </c>
      <c r="L49" s="7"/>
      <c r="M49" s="7" t="s">
        <v>193</v>
      </c>
      <c r="N49" s="7" t="s">
        <v>194</v>
      </c>
      <c r="O49" s="10" t="s">
        <v>195</v>
      </c>
      <c r="P49" s="6" t="str">
        <f>IMAGE("https://i0.wp.com/www.rytronics.in/wp-content/uploads/2021/09/9v-batter-connector-snap-connector02.jpg?fit=1000%2C1000&amp;ssl=1",1)</f>
        <v/>
      </c>
      <c r="Q49" s="64" t="s">
        <v>1688</v>
      </c>
      <c r="R49" s="65"/>
      <c r="S49" s="66"/>
      <c r="T49" s="12"/>
      <c r="U49" s="11">
        <v>1.0</v>
      </c>
      <c r="V49" s="12"/>
      <c r="W49" s="12"/>
      <c r="X49" s="12"/>
      <c r="Y49" s="12"/>
      <c r="Z49" s="67"/>
      <c r="AA49" s="12"/>
      <c r="AB49" s="12"/>
      <c r="AC49" s="67"/>
      <c r="AD49" s="12"/>
      <c r="AE49" s="12"/>
      <c r="AF49" s="12"/>
    </row>
    <row r="50" ht="45.0" customHeight="1">
      <c r="A50" s="6">
        <v>40.0</v>
      </c>
      <c r="B50" s="6" t="s">
        <v>173</v>
      </c>
      <c r="C50" s="6" t="s">
        <v>196</v>
      </c>
      <c r="D50" s="6" t="s">
        <v>197</v>
      </c>
      <c r="E50" s="7" t="s">
        <v>198</v>
      </c>
      <c r="F50" s="8" t="s">
        <v>177</v>
      </c>
      <c r="G50" s="9">
        <v>15.0</v>
      </c>
      <c r="H50" s="9">
        <v>15.0</v>
      </c>
      <c r="I50" s="9">
        <v>20.0</v>
      </c>
      <c r="J50" s="6">
        <f t="shared" si="6"/>
        <v>300</v>
      </c>
      <c r="K50" s="6" t="s">
        <v>178</v>
      </c>
      <c r="L50" s="7"/>
      <c r="M50" s="7" t="s">
        <v>193</v>
      </c>
      <c r="N50" s="7" t="s">
        <v>194</v>
      </c>
      <c r="O50" s="10" t="s">
        <v>199</v>
      </c>
      <c r="P50" s="6" t="str">
        <f>IMAGE("https://m.media-amazon.com/images/W/MEDIAX_792452-T2/images/I/61UPqH4BXuL.SS700.jpg",1)</f>
        <v/>
      </c>
      <c r="Q50" s="64" t="s">
        <v>1688</v>
      </c>
      <c r="R50" s="65"/>
      <c r="S50" s="66"/>
      <c r="T50" s="12"/>
      <c r="U50" s="11">
        <v>1.0</v>
      </c>
      <c r="V50" s="12"/>
      <c r="W50" s="12"/>
      <c r="X50" s="12"/>
      <c r="Y50" s="12"/>
      <c r="Z50" s="67"/>
      <c r="AA50" s="12"/>
      <c r="AB50" s="12"/>
      <c r="AC50" s="67"/>
      <c r="AD50" s="12"/>
      <c r="AE50" s="12"/>
      <c r="AF50" s="12"/>
    </row>
    <row r="51" ht="45.0" customHeight="1">
      <c r="A51" s="6">
        <v>41.0</v>
      </c>
      <c r="B51" s="6" t="s">
        <v>173</v>
      </c>
      <c r="C51" s="6" t="s">
        <v>200</v>
      </c>
      <c r="D51" s="6" t="s">
        <v>201</v>
      </c>
      <c r="E51" s="7" t="s">
        <v>202</v>
      </c>
      <c r="F51" s="8" t="s">
        <v>177</v>
      </c>
      <c r="G51" s="9">
        <v>10.0</v>
      </c>
      <c r="H51" s="9">
        <v>10.0</v>
      </c>
      <c r="I51" s="9">
        <v>50.0</v>
      </c>
      <c r="J51" s="6">
        <f t="shared" si="6"/>
        <v>500</v>
      </c>
      <c r="K51" s="6" t="s">
        <v>178</v>
      </c>
      <c r="L51" s="7"/>
      <c r="M51" s="7" t="s">
        <v>22</v>
      </c>
      <c r="N51" s="7" t="s">
        <v>203</v>
      </c>
      <c r="O51" s="10" t="s">
        <v>204</v>
      </c>
      <c r="P51" s="6" t="str">
        <f>IMAGE("https://robotools.in/wp-content/uploads/2022/09/18650-x-2-battery-holder-with-cover-and-OnOff-Switch-5.jpg",1)</f>
        <v/>
      </c>
      <c r="Q51" s="64" t="s">
        <v>1688</v>
      </c>
      <c r="R51" s="65"/>
      <c r="S51" s="66"/>
      <c r="T51" s="12"/>
      <c r="U51" s="11">
        <v>1.0</v>
      </c>
      <c r="V51" s="12"/>
      <c r="W51" s="12"/>
      <c r="X51" s="12"/>
      <c r="Y51" s="12"/>
      <c r="Z51" s="67"/>
      <c r="AA51" s="12"/>
      <c r="AB51" s="12"/>
      <c r="AC51" s="67"/>
      <c r="AD51" s="12"/>
      <c r="AE51" s="12"/>
      <c r="AF51" s="12"/>
    </row>
    <row r="52" ht="45.0" customHeight="1">
      <c r="A52" s="6">
        <v>42.0</v>
      </c>
      <c r="B52" s="6" t="s">
        <v>173</v>
      </c>
      <c r="C52" s="6" t="s">
        <v>205</v>
      </c>
      <c r="D52" s="6" t="s">
        <v>206</v>
      </c>
      <c r="E52" s="7" t="s">
        <v>207</v>
      </c>
      <c r="F52" s="8" t="s">
        <v>177</v>
      </c>
      <c r="G52" s="9">
        <v>30.0</v>
      </c>
      <c r="H52" s="9">
        <v>30.0</v>
      </c>
      <c r="I52" s="9">
        <v>20.0</v>
      </c>
      <c r="J52" s="6">
        <f t="shared" si="6"/>
        <v>600</v>
      </c>
      <c r="K52" s="6" t="s">
        <v>178</v>
      </c>
      <c r="L52" s="7"/>
      <c r="M52" s="7" t="s">
        <v>22</v>
      </c>
      <c r="N52" s="7" t="s">
        <v>203</v>
      </c>
      <c r="O52" s="10" t="s">
        <v>208</v>
      </c>
      <c r="P52" s="6" t="str">
        <f>IMAGE("https://robu.in/wp-content/uploads/2019/03/2-x-1.5V-AA-battery-holder-with-cover-and-OnOff-Switch-6.jpg",1)</f>
        <v/>
      </c>
      <c r="Q52" s="64" t="s">
        <v>1688</v>
      </c>
      <c r="R52" s="65"/>
      <c r="S52" s="66"/>
      <c r="T52" s="12"/>
      <c r="U52" s="11">
        <v>1.0</v>
      </c>
      <c r="V52" s="12"/>
      <c r="W52" s="12"/>
      <c r="X52" s="12"/>
      <c r="Y52" s="12"/>
      <c r="Z52" s="67"/>
      <c r="AA52" s="12"/>
      <c r="AB52" s="12"/>
      <c r="AC52" s="67"/>
      <c r="AD52" s="12"/>
      <c r="AE52" s="12"/>
      <c r="AF52" s="12"/>
    </row>
    <row r="53" ht="45.0" customHeight="1">
      <c r="A53" s="6">
        <v>43.0</v>
      </c>
      <c r="B53" s="6" t="s">
        <v>173</v>
      </c>
      <c r="C53" s="6" t="s">
        <v>209</v>
      </c>
      <c r="D53" s="6" t="s">
        <v>210</v>
      </c>
      <c r="E53" s="7" t="s">
        <v>211</v>
      </c>
      <c r="F53" s="8" t="s">
        <v>177</v>
      </c>
      <c r="G53" s="9">
        <v>20.0</v>
      </c>
      <c r="H53" s="9">
        <v>20.0</v>
      </c>
      <c r="I53" s="9">
        <v>40.0</v>
      </c>
      <c r="J53" s="6">
        <f t="shared" si="6"/>
        <v>800</v>
      </c>
      <c r="K53" s="6" t="s">
        <v>178</v>
      </c>
      <c r="L53" s="7"/>
      <c r="M53" s="7" t="s">
        <v>22</v>
      </c>
      <c r="N53" s="7" t="s">
        <v>203</v>
      </c>
      <c r="O53" s="10" t="s">
        <v>212</v>
      </c>
      <c r="P53" s="6" t="str">
        <f>IMAGE("https://probots.co.in/pub/media/catalog/product/cache/d8ddd0f9b0cd008b57085cd218b48832/4/-/4-x-1.5v-aa-battery-holder01.jpg",1)</f>
        <v/>
      </c>
      <c r="Q53" s="64" t="s">
        <v>1688</v>
      </c>
      <c r="R53" s="65"/>
      <c r="S53" s="66"/>
      <c r="T53" s="5"/>
      <c r="U53" s="14">
        <v>1.0</v>
      </c>
      <c r="V53" s="5"/>
      <c r="W53" s="5"/>
      <c r="X53" s="5"/>
      <c r="Y53" s="5"/>
      <c r="Z53" s="63"/>
      <c r="AA53" s="5"/>
      <c r="AB53" s="5"/>
      <c r="AC53" s="63"/>
      <c r="AD53" s="5"/>
      <c r="AE53" s="5"/>
      <c r="AF53" s="5"/>
    </row>
    <row r="54" ht="45.0" customHeight="1">
      <c r="A54" s="6">
        <v>44.0</v>
      </c>
      <c r="B54" s="6" t="s">
        <v>173</v>
      </c>
      <c r="C54" s="6" t="s">
        <v>213</v>
      </c>
      <c r="D54" s="6" t="s">
        <v>214</v>
      </c>
      <c r="E54" s="7" t="s">
        <v>215</v>
      </c>
      <c r="F54" s="8" t="s">
        <v>177</v>
      </c>
      <c r="G54" s="9">
        <v>20.0</v>
      </c>
      <c r="H54" s="9">
        <v>20.0</v>
      </c>
      <c r="I54" s="9">
        <v>30.0</v>
      </c>
      <c r="J54" s="6">
        <f t="shared" si="6"/>
        <v>600</v>
      </c>
      <c r="K54" s="6" t="s">
        <v>178</v>
      </c>
      <c r="L54" s="7"/>
      <c r="M54" s="7" t="s">
        <v>193</v>
      </c>
      <c r="N54" s="7" t="s">
        <v>216</v>
      </c>
      <c r="O54" s="10" t="s">
        <v>217</v>
      </c>
      <c r="P54" s="6" t="str">
        <f>IMAGE("https://robu.in/wp-content/uploads/2022/06/510c1Z93PDL._SX679_.jpg",1)</f>
        <v/>
      </c>
      <c r="Q54" s="64" t="s">
        <v>1688</v>
      </c>
      <c r="R54" s="65"/>
      <c r="S54" s="66"/>
      <c r="T54" s="12"/>
      <c r="U54" s="11">
        <v>1.0</v>
      </c>
      <c r="V54" s="12"/>
      <c r="W54" s="12"/>
      <c r="X54" s="12"/>
      <c r="Y54" s="12"/>
      <c r="Z54" s="67"/>
      <c r="AA54" s="12"/>
      <c r="AB54" s="12"/>
      <c r="AC54" s="67"/>
      <c r="AD54" s="12"/>
      <c r="AE54" s="12"/>
      <c r="AF54" s="12"/>
    </row>
    <row r="55" ht="45.0" customHeight="1">
      <c r="A55" s="6">
        <v>45.0</v>
      </c>
      <c r="B55" s="6" t="s">
        <v>173</v>
      </c>
      <c r="C55" s="6" t="s">
        <v>218</v>
      </c>
      <c r="D55" s="6" t="s">
        <v>219</v>
      </c>
      <c r="E55" s="7" t="s">
        <v>220</v>
      </c>
      <c r="F55" s="8" t="s">
        <v>177</v>
      </c>
      <c r="G55" s="9">
        <v>5.0</v>
      </c>
      <c r="H55" s="9">
        <v>5.0</v>
      </c>
      <c r="I55" s="9">
        <v>500.0</v>
      </c>
      <c r="J55" s="6">
        <f t="shared" si="6"/>
        <v>2500</v>
      </c>
      <c r="K55" s="6" t="s">
        <v>178</v>
      </c>
      <c r="L55" s="7"/>
      <c r="M55" s="7"/>
      <c r="N55" s="7"/>
      <c r="O55" s="10" t="s">
        <v>221</v>
      </c>
      <c r="P55" s="6" t="str">
        <f>IMAGE("https://i02.psgsm.net/gsm.com/p/887576/480/power-bank-hoco-j26-10000-mah-micro-usb-type-b-input-5v-2a-2-usb-outputs-5-v-2-1-a-139-70-16-mm-with-micro-usb-cable-type-b-black.jpg",1)</f>
        <v/>
      </c>
      <c r="Q55" s="64" t="s">
        <v>1688</v>
      </c>
      <c r="R55" s="65"/>
      <c r="S55" s="66"/>
      <c r="T55" s="12"/>
      <c r="U55" s="11">
        <v>1.0</v>
      </c>
      <c r="V55" s="12"/>
      <c r="W55" s="12"/>
      <c r="X55" s="12"/>
      <c r="Y55" s="12"/>
      <c r="Z55" s="67"/>
      <c r="AA55" s="12"/>
      <c r="AB55" s="12"/>
      <c r="AC55" s="67"/>
      <c r="AD55" s="12"/>
      <c r="AE55" s="12"/>
      <c r="AF55" s="12"/>
    </row>
    <row r="56" ht="45.0" customHeight="1">
      <c r="A56" s="6">
        <v>46.0</v>
      </c>
      <c r="B56" s="6" t="s">
        <v>173</v>
      </c>
      <c r="C56" s="6" t="s">
        <v>222</v>
      </c>
      <c r="D56" s="6" t="s">
        <v>223</v>
      </c>
      <c r="E56" s="7" t="s">
        <v>224</v>
      </c>
      <c r="F56" s="8" t="s">
        <v>177</v>
      </c>
      <c r="G56" s="9">
        <v>10.0</v>
      </c>
      <c r="H56" s="9">
        <v>10.0</v>
      </c>
      <c r="I56" s="9">
        <v>150.0</v>
      </c>
      <c r="J56" s="6">
        <f t="shared" si="6"/>
        <v>1500</v>
      </c>
      <c r="K56" s="6" t="s">
        <v>178</v>
      </c>
      <c r="L56" s="19"/>
      <c r="M56" s="7" t="s">
        <v>179</v>
      </c>
      <c r="N56" s="7"/>
      <c r="O56" s="10" t="s">
        <v>225</v>
      </c>
      <c r="P56" s="6" t="str">
        <f>IMAGE("https://images-na.ssl-images-amazon.com/images/I/51p4KPR9o1L.SS700.jpg",1)</f>
        <v/>
      </c>
      <c r="Q56" s="64" t="s">
        <v>1688</v>
      </c>
      <c r="R56" s="65"/>
      <c r="S56" s="66"/>
      <c r="T56" s="12"/>
      <c r="U56" s="11">
        <v>1.0</v>
      </c>
      <c r="V56" s="12"/>
      <c r="W56" s="12"/>
      <c r="X56" s="12"/>
      <c r="Y56" s="12"/>
      <c r="Z56" s="67"/>
      <c r="AA56" s="12"/>
      <c r="AB56" s="12"/>
      <c r="AC56" s="67"/>
      <c r="AD56" s="12"/>
      <c r="AE56" s="12"/>
      <c r="AF56" s="12"/>
    </row>
    <row r="57" ht="45.0" customHeight="1">
      <c r="A57" s="6">
        <v>47.0</v>
      </c>
      <c r="B57" s="6" t="s">
        <v>173</v>
      </c>
      <c r="C57" s="6" t="s">
        <v>226</v>
      </c>
      <c r="D57" s="6" t="s">
        <v>227</v>
      </c>
      <c r="E57" s="7" t="s">
        <v>228</v>
      </c>
      <c r="F57" s="8" t="s">
        <v>177</v>
      </c>
      <c r="G57" s="9">
        <v>10.0</v>
      </c>
      <c r="H57" s="9">
        <v>10.0</v>
      </c>
      <c r="I57" s="9">
        <v>200.0</v>
      </c>
      <c r="J57" s="6">
        <f t="shared" si="6"/>
        <v>2000</v>
      </c>
      <c r="K57" s="6" t="s">
        <v>178</v>
      </c>
      <c r="L57" s="7"/>
      <c r="M57" s="7" t="s">
        <v>179</v>
      </c>
      <c r="N57" s="7"/>
      <c r="O57" s="10" t="s">
        <v>229</v>
      </c>
      <c r="P57" s="6" t="str">
        <f>IMAGE("https://5.imimg.com/data5/SELLER/Default/2021/7/XA/OZ/BW/6610292/9v-power-plus-nimh-rechargeable-battery-500x500.jpg",1)</f>
        <v/>
      </c>
      <c r="Q57" s="64" t="s">
        <v>1688</v>
      </c>
      <c r="R57" s="65"/>
      <c r="S57" s="66"/>
      <c r="T57" s="12"/>
      <c r="U57" s="11">
        <v>1.0</v>
      </c>
      <c r="V57" s="12"/>
      <c r="W57" s="12"/>
      <c r="X57" s="12"/>
      <c r="Y57" s="12"/>
      <c r="Z57" s="67"/>
      <c r="AA57" s="12"/>
      <c r="AB57" s="12"/>
      <c r="AC57" s="67"/>
      <c r="AD57" s="12"/>
      <c r="AE57" s="12"/>
      <c r="AF57" s="12"/>
    </row>
    <row r="58" ht="45.0" customHeight="1">
      <c r="A58" s="6">
        <v>48.0</v>
      </c>
      <c r="B58" s="6" t="s">
        <v>173</v>
      </c>
      <c r="C58" s="6" t="s">
        <v>230</v>
      </c>
      <c r="D58" s="6" t="s">
        <v>231</v>
      </c>
      <c r="E58" s="7" t="s">
        <v>232</v>
      </c>
      <c r="F58" s="8" t="s">
        <v>177</v>
      </c>
      <c r="G58" s="9">
        <v>20.0</v>
      </c>
      <c r="H58" s="9">
        <v>20.0</v>
      </c>
      <c r="I58" s="9">
        <v>100.0</v>
      </c>
      <c r="J58" s="6">
        <f t="shared" si="6"/>
        <v>2000</v>
      </c>
      <c r="K58" s="6" t="s">
        <v>178</v>
      </c>
      <c r="L58" s="7"/>
      <c r="M58" s="7" t="s">
        <v>179</v>
      </c>
      <c r="N58" s="7"/>
      <c r="O58" s="10" t="s">
        <v>233</v>
      </c>
      <c r="P58" s="6" t="str">
        <f>IMAGE("https://images-cdn.ubuy.co.in/6578382306deda07ed788ca4-rechargeable-aa-batteries-aa.jpg",1)</f>
        <v/>
      </c>
      <c r="Q58" s="64" t="s">
        <v>1688</v>
      </c>
      <c r="R58" s="65"/>
      <c r="S58" s="66"/>
      <c r="T58" s="12"/>
      <c r="U58" s="11">
        <v>1.0</v>
      </c>
      <c r="V58" s="12"/>
      <c r="W58" s="12"/>
      <c r="X58" s="12"/>
      <c r="Y58" s="12"/>
      <c r="Z58" s="67"/>
      <c r="AA58" s="12"/>
      <c r="AB58" s="12"/>
      <c r="AC58" s="67"/>
      <c r="AD58" s="12"/>
      <c r="AE58" s="12"/>
      <c r="AF58" s="12"/>
    </row>
    <row r="59" ht="27.75" customHeight="1">
      <c r="A59" s="50" t="s">
        <v>237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2"/>
      <c r="P59" s="53"/>
      <c r="Q59" s="54"/>
      <c r="R59" s="55"/>
      <c r="S59" s="55"/>
      <c r="T59" s="56"/>
      <c r="U59" s="56"/>
      <c r="V59" s="56"/>
      <c r="W59" s="56"/>
      <c r="X59" s="56"/>
      <c r="Y59" s="56"/>
      <c r="Z59" s="57"/>
      <c r="AA59" s="56"/>
      <c r="AB59" s="56"/>
      <c r="AC59" s="57"/>
      <c r="AD59" s="56"/>
      <c r="AE59" s="56"/>
      <c r="AF59" s="56"/>
    </row>
    <row r="60" ht="24.0" customHeight="1">
      <c r="A60" s="59" t="s">
        <v>0</v>
      </c>
      <c r="B60" s="59"/>
      <c r="C60" s="59"/>
      <c r="D60" s="59" t="s">
        <v>1</v>
      </c>
      <c r="E60" s="60" t="s">
        <v>2</v>
      </c>
      <c r="F60" s="59" t="s">
        <v>3</v>
      </c>
      <c r="G60" s="59" t="s">
        <v>4</v>
      </c>
      <c r="H60" s="59" t="s">
        <v>5</v>
      </c>
      <c r="I60" s="59" t="s">
        <v>6</v>
      </c>
      <c r="J60" s="59" t="s">
        <v>7</v>
      </c>
      <c r="K60" s="59" t="s">
        <v>8</v>
      </c>
      <c r="L60" s="60" t="s">
        <v>9</v>
      </c>
      <c r="M60" s="60" t="s">
        <v>10</v>
      </c>
      <c r="N60" s="61" t="s">
        <v>11</v>
      </c>
      <c r="O60" s="59" t="s">
        <v>12</v>
      </c>
      <c r="P60" s="62" t="s">
        <v>13</v>
      </c>
      <c r="Q60" s="4" t="s">
        <v>13</v>
      </c>
      <c r="R60" s="4" t="s">
        <v>13</v>
      </c>
      <c r="S60" s="4" t="s">
        <v>13</v>
      </c>
      <c r="T60" s="4" t="s">
        <v>13</v>
      </c>
      <c r="U60" s="4" t="s">
        <v>14</v>
      </c>
      <c r="V60" s="5"/>
      <c r="W60" s="5"/>
      <c r="X60" s="5"/>
      <c r="Y60" s="5"/>
      <c r="Z60" s="63"/>
      <c r="AA60" s="5"/>
      <c r="AB60" s="5"/>
      <c r="AC60" s="63"/>
      <c r="AD60" s="5"/>
      <c r="AE60" s="5"/>
      <c r="AF60" s="5"/>
    </row>
    <row r="61" ht="45.0" customHeight="1">
      <c r="A61" s="6">
        <v>49.0</v>
      </c>
      <c r="B61" s="6" t="s">
        <v>173</v>
      </c>
      <c r="C61" s="6" t="s">
        <v>234</v>
      </c>
      <c r="D61" s="6" t="s">
        <v>235</v>
      </c>
      <c r="E61" s="7" t="s">
        <v>236</v>
      </c>
      <c r="F61" s="8" t="s">
        <v>237</v>
      </c>
      <c r="G61" s="9">
        <v>20.0</v>
      </c>
      <c r="H61" s="9">
        <v>20.0</v>
      </c>
      <c r="I61" s="9">
        <v>7.5</v>
      </c>
      <c r="J61" s="6">
        <f t="shared" ref="J61:J80" si="7">I61*H61</f>
        <v>150</v>
      </c>
      <c r="K61" s="6" t="s">
        <v>178</v>
      </c>
      <c r="L61" s="7"/>
      <c r="M61" s="7" t="s">
        <v>66</v>
      </c>
      <c r="N61" s="7"/>
      <c r="O61" s="10" t="s">
        <v>238</v>
      </c>
      <c r="P61" s="6" t="str">
        <f>IMAGE("https://robu.in/wp-content/uploads/2017/04/Alligator-Clips-Electrical-DIY-Test-Leads-10pcs-For-Test-Leads-Double-ended-Crocodile-Clips-Roach-Clip-2.jpg",1)</f>
        <v/>
      </c>
      <c r="Q61" s="64" t="s">
        <v>1688</v>
      </c>
      <c r="R61" s="65"/>
      <c r="S61" s="66"/>
      <c r="T61" s="12"/>
      <c r="U61" s="11">
        <v>1.0</v>
      </c>
      <c r="V61" s="12"/>
      <c r="W61" s="12"/>
      <c r="X61" s="12"/>
      <c r="Y61" s="12"/>
      <c r="Z61" s="67"/>
      <c r="AA61" s="12"/>
      <c r="AB61" s="12"/>
      <c r="AC61" s="67"/>
      <c r="AD61" s="12"/>
      <c r="AE61" s="12"/>
      <c r="AF61" s="12"/>
    </row>
    <row r="62" ht="45.0" customHeight="1">
      <c r="A62" s="6">
        <v>50.0</v>
      </c>
      <c r="B62" s="6" t="s">
        <v>173</v>
      </c>
      <c r="C62" s="6" t="s">
        <v>239</v>
      </c>
      <c r="D62" s="6" t="s">
        <v>240</v>
      </c>
      <c r="E62" s="7" t="s">
        <v>241</v>
      </c>
      <c r="F62" s="8" t="s">
        <v>237</v>
      </c>
      <c r="G62" s="9">
        <v>20.0</v>
      </c>
      <c r="H62" s="9">
        <v>20.0</v>
      </c>
      <c r="I62" s="9">
        <v>20.0</v>
      </c>
      <c r="J62" s="6">
        <f t="shared" si="7"/>
        <v>400</v>
      </c>
      <c r="K62" s="6" t="s">
        <v>178</v>
      </c>
      <c r="L62" s="7"/>
      <c r="M62" s="7" t="s">
        <v>193</v>
      </c>
      <c r="N62" s="7"/>
      <c r="O62" s="10" t="s">
        <v>242</v>
      </c>
      <c r="P62" s="6" t="str">
        <f>IMAGE("https://makerbazar.in/cdn/shop/products/dcmalejackwithwire2_600x.jpg?v=1642675074",1)</f>
        <v/>
      </c>
      <c r="Q62" s="64" t="s">
        <v>1688</v>
      </c>
      <c r="R62" s="65"/>
      <c r="S62" s="66"/>
      <c r="T62" s="12"/>
      <c r="U62" s="11">
        <v>1.0</v>
      </c>
      <c r="V62" s="12"/>
      <c r="W62" s="12"/>
      <c r="X62" s="12"/>
      <c r="Y62" s="12"/>
      <c r="Z62" s="67"/>
      <c r="AA62" s="12"/>
      <c r="AB62" s="12"/>
      <c r="AC62" s="67"/>
      <c r="AD62" s="12"/>
      <c r="AE62" s="12"/>
      <c r="AF62" s="12"/>
    </row>
    <row r="63" ht="45.0" customHeight="1">
      <c r="A63" s="6">
        <v>51.0</v>
      </c>
      <c r="B63" s="6" t="s">
        <v>173</v>
      </c>
      <c r="C63" s="6" t="s">
        <v>243</v>
      </c>
      <c r="D63" s="6" t="s">
        <v>244</v>
      </c>
      <c r="E63" s="7" t="s">
        <v>245</v>
      </c>
      <c r="F63" s="8" t="s">
        <v>237</v>
      </c>
      <c r="G63" s="6">
        <v>1.0</v>
      </c>
      <c r="H63" s="6">
        <v>1.0</v>
      </c>
      <c r="I63" s="6">
        <v>200.0</v>
      </c>
      <c r="J63" s="6">
        <f t="shared" si="7"/>
        <v>200</v>
      </c>
      <c r="K63" s="6" t="s">
        <v>178</v>
      </c>
      <c r="L63" s="7"/>
      <c r="M63" s="7"/>
      <c r="N63" s="7"/>
      <c r="O63" s="10"/>
      <c r="P63" s="6" t="str">
        <f>IMAGE("https://m.media-amazon.com/images/I/61YPX7I4aSL._SL1500_.jpg",1)</f>
        <v/>
      </c>
      <c r="Q63" s="64"/>
      <c r="R63" s="65"/>
      <c r="S63" s="66"/>
      <c r="T63" s="12"/>
      <c r="U63" s="11">
        <v>1.0</v>
      </c>
      <c r="V63" s="12"/>
      <c r="W63" s="12"/>
      <c r="X63" s="12"/>
      <c r="Y63" s="12"/>
      <c r="Z63" s="67"/>
      <c r="AA63" s="12"/>
      <c r="AB63" s="12"/>
      <c r="AC63" s="67"/>
      <c r="AD63" s="12"/>
      <c r="AE63" s="12"/>
      <c r="AF63" s="12"/>
    </row>
    <row r="64" ht="45.0" customHeight="1">
      <c r="A64" s="6">
        <v>52.0</v>
      </c>
      <c r="B64" s="6" t="s">
        <v>173</v>
      </c>
      <c r="C64" s="6" t="s">
        <v>246</v>
      </c>
      <c r="D64" s="6" t="s">
        <v>247</v>
      </c>
      <c r="E64" s="7" t="s">
        <v>248</v>
      </c>
      <c r="F64" s="8" t="s">
        <v>237</v>
      </c>
      <c r="G64" s="9">
        <v>1.0</v>
      </c>
      <c r="H64" s="9">
        <v>1.0</v>
      </c>
      <c r="I64" s="9">
        <v>150.0</v>
      </c>
      <c r="J64" s="6">
        <f t="shared" si="7"/>
        <v>150</v>
      </c>
      <c r="K64" s="6" t="s">
        <v>178</v>
      </c>
      <c r="L64" s="7"/>
      <c r="M64" s="7" t="s">
        <v>249</v>
      </c>
      <c r="N64" s="7" t="s">
        <v>250</v>
      </c>
      <c r="O64" s="10" t="s">
        <v>251</v>
      </c>
      <c r="P64" s="6" t="str">
        <f>IMAGE("https://rukminim2.flixcart.com/image/832/832/k8t3jbk0/cable-sleeve/j/c/q/black-2mm-polyolefin-heat-shrink-tube-sleeve-for-wrap-60-meter-original-imafqq3y2g2v9vzz.jpeg?q=70",1)</f>
        <v/>
      </c>
      <c r="Q64" s="64" t="s">
        <v>1688</v>
      </c>
      <c r="R64" s="65"/>
      <c r="S64" s="66"/>
      <c r="T64" s="12"/>
      <c r="U64" s="11">
        <v>1.0</v>
      </c>
      <c r="V64" s="12"/>
      <c r="W64" s="12"/>
      <c r="X64" s="12"/>
      <c r="Y64" s="12"/>
      <c r="Z64" s="67"/>
      <c r="AA64" s="12"/>
      <c r="AB64" s="12"/>
      <c r="AC64" s="67"/>
      <c r="AD64" s="12"/>
      <c r="AE64" s="12"/>
      <c r="AF64" s="12"/>
    </row>
    <row r="65" ht="45.0" customHeight="1">
      <c r="A65" s="6">
        <v>53.0</v>
      </c>
      <c r="B65" s="6" t="s">
        <v>173</v>
      </c>
      <c r="C65" s="6" t="s">
        <v>252</v>
      </c>
      <c r="D65" s="6" t="s">
        <v>253</v>
      </c>
      <c r="E65" s="7" t="s">
        <v>254</v>
      </c>
      <c r="F65" s="8" t="s">
        <v>237</v>
      </c>
      <c r="G65" s="9">
        <v>1.0</v>
      </c>
      <c r="H65" s="9">
        <v>1.0</v>
      </c>
      <c r="I65" s="9">
        <v>150.0</v>
      </c>
      <c r="J65" s="6">
        <f t="shared" si="7"/>
        <v>150</v>
      </c>
      <c r="K65" s="6" t="s">
        <v>178</v>
      </c>
      <c r="L65" s="7"/>
      <c r="M65" s="7" t="s">
        <v>249</v>
      </c>
      <c r="N65" s="7" t="s">
        <v>250</v>
      </c>
      <c r="O65" s="10" t="s">
        <v>255</v>
      </c>
      <c r="P65" s="6" t="str">
        <f>IMAGE("https://m.media-amazon.com/images/I/61zJ0n1EqGS._AC_SL1500_.jpg",1)</f>
        <v/>
      </c>
      <c r="Q65" s="64" t="s">
        <v>1688</v>
      </c>
      <c r="R65" s="68"/>
      <c r="S65" s="69"/>
      <c r="T65" s="5"/>
      <c r="U65" s="14">
        <v>1.0</v>
      </c>
      <c r="V65" s="5"/>
      <c r="W65" s="5"/>
      <c r="X65" s="5"/>
      <c r="Y65" s="5"/>
      <c r="Z65" s="63"/>
      <c r="AA65" s="5"/>
      <c r="AB65" s="5"/>
      <c r="AC65" s="63"/>
      <c r="AD65" s="5"/>
      <c r="AE65" s="5"/>
      <c r="AF65" s="5"/>
    </row>
    <row r="66" ht="45.0" customHeight="1">
      <c r="A66" s="6">
        <v>54.0</v>
      </c>
      <c r="B66" s="6" t="s">
        <v>173</v>
      </c>
      <c r="C66" s="6" t="s">
        <v>256</v>
      </c>
      <c r="D66" s="6" t="s">
        <v>257</v>
      </c>
      <c r="E66" s="7" t="s">
        <v>258</v>
      </c>
      <c r="F66" s="8" t="s">
        <v>237</v>
      </c>
      <c r="G66" s="9">
        <v>1.0</v>
      </c>
      <c r="H66" s="9">
        <v>1.0</v>
      </c>
      <c r="I66" s="9">
        <v>150.0</v>
      </c>
      <c r="J66" s="6">
        <f t="shared" si="7"/>
        <v>150</v>
      </c>
      <c r="K66" s="6" t="s">
        <v>178</v>
      </c>
      <c r="L66" s="7"/>
      <c r="M66" s="7" t="s">
        <v>249</v>
      </c>
      <c r="N66" s="7" t="s">
        <v>250</v>
      </c>
      <c r="O66" s="10" t="s">
        <v>259</v>
      </c>
      <c r="P66" s="6" t="str">
        <f>IMAGE("https://m.media-amazon.com/images/W/MEDIAX_792452-T2/images/I/417I5BCQPSL.jpg",1)</f>
        <v/>
      </c>
      <c r="Q66" s="64" t="s">
        <v>1688</v>
      </c>
      <c r="R66" s="65"/>
      <c r="S66" s="66"/>
      <c r="T66" s="5"/>
      <c r="U66" s="14">
        <v>1.0</v>
      </c>
      <c r="V66" s="5"/>
      <c r="W66" s="5"/>
      <c r="X66" s="5"/>
      <c r="Y66" s="5"/>
      <c r="Z66" s="63"/>
      <c r="AA66" s="5"/>
      <c r="AB66" s="5"/>
      <c r="AC66" s="63"/>
      <c r="AD66" s="5"/>
      <c r="AE66" s="5"/>
      <c r="AF66" s="5"/>
    </row>
    <row r="67" ht="45.0" customHeight="1">
      <c r="A67" s="6">
        <v>55.0</v>
      </c>
      <c r="B67" s="6" t="s">
        <v>173</v>
      </c>
      <c r="C67" s="6" t="s">
        <v>260</v>
      </c>
      <c r="D67" s="6" t="s">
        <v>261</v>
      </c>
      <c r="E67" s="7" t="s">
        <v>262</v>
      </c>
      <c r="F67" s="8" t="s">
        <v>237</v>
      </c>
      <c r="G67" s="9">
        <v>1.0</v>
      </c>
      <c r="H67" s="9">
        <v>1.0</v>
      </c>
      <c r="I67" s="9">
        <v>150.0</v>
      </c>
      <c r="J67" s="6">
        <f t="shared" si="7"/>
        <v>150</v>
      </c>
      <c r="K67" s="6" t="s">
        <v>178</v>
      </c>
      <c r="L67" s="7"/>
      <c r="M67" s="7" t="s">
        <v>249</v>
      </c>
      <c r="N67" s="7" t="s">
        <v>250</v>
      </c>
      <c r="O67" s="10" t="s">
        <v>263</v>
      </c>
      <c r="P67" s="6" t="str">
        <f>IMAGE("https://m.media-amazon.com/images/I/61zJ0n1EqGS._AC_SL1500_.jpg",1)</f>
        <v/>
      </c>
      <c r="Q67" s="64" t="s">
        <v>1688</v>
      </c>
      <c r="R67" s="65"/>
      <c r="S67" s="66"/>
      <c r="T67" s="12"/>
      <c r="U67" s="11">
        <v>1.0</v>
      </c>
      <c r="V67" s="12"/>
      <c r="W67" s="12"/>
      <c r="X67" s="12"/>
      <c r="Y67" s="12"/>
      <c r="Z67" s="67"/>
      <c r="AA67" s="12"/>
      <c r="AB67" s="12"/>
      <c r="AC67" s="67"/>
      <c r="AD67" s="12"/>
      <c r="AE67" s="12"/>
      <c r="AF67" s="12"/>
    </row>
    <row r="68" ht="45.0" customHeight="1">
      <c r="A68" s="6">
        <v>56.0</v>
      </c>
      <c r="B68" s="6" t="s">
        <v>173</v>
      </c>
      <c r="C68" s="6" t="s">
        <v>264</v>
      </c>
      <c r="D68" s="6" t="s">
        <v>265</v>
      </c>
      <c r="E68" s="7" t="s">
        <v>266</v>
      </c>
      <c r="F68" s="8" t="s">
        <v>237</v>
      </c>
      <c r="G68" s="9">
        <v>20.0</v>
      </c>
      <c r="H68" s="9">
        <v>20.0</v>
      </c>
      <c r="I68" s="9">
        <v>20.0</v>
      </c>
      <c r="J68" s="6">
        <f t="shared" si="7"/>
        <v>400</v>
      </c>
      <c r="K68" s="6" t="s">
        <v>178</v>
      </c>
      <c r="L68" s="7"/>
      <c r="M68" s="7" t="s">
        <v>66</v>
      </c>
      <c r="N68" s="7" t="s">
        <v>267</v>
      </c>
      <c r="O68" s="10" t="s">
        <v>268</v>
      </c>
      <c r="P68" s="6" t="str">
        <f t="shared" ref="P68:P72" si="8">IMAGE("https://i.ebayimg.com/images/g/xCYAAOSwjvJlEQU8/s-l1600.jpg",1)</f>
        <v/>
      </c>
      <c r="Q68" s="64" t="s">
        <v>1688</v>
      </c>
      <c r="R68" s="65"/>
      <c r="S68" s="66"/>
      <c r="T68" s="12"/>
      <c r="U68" s="11">
        <v>1.0</v>
      </c>
      <c r="V68" s="12"/>
      <c r="W68" s="12"/>
      <c r="X68" s="12"/>
      <c r="Y68" s="12"/>
      <c r="Z68" s="67"/>
      <c r="AA68" s="12"/>
      <c r="AB68" s="12"/>
      <c r="AC68" s="67"/>
      <c r="AD68" s="12"/>
      <c r="AE68" s="12"/>
      <c r="AF68" s="12"/>
    </row>
    <row r="69" ht="45.0" customHeight="1">
      <c r="A69" s="6">
        <v>57.0</v>
      </c>
      <c r="B69" s="6" t="s">
        <v>173</v>
      </c>
      <c r="C69" s="6" t="s">
        <v>269</v>
      </c>
      <c r="D69" s="6" t="s">
        <v>270</v>
      </c>
      <c r="E69" s="7" t="s">
        <v>271</v>
      </c>
      <c r="F69" s="8" t="s">
        <v>237</v>
      </c>
      <c r="G69" s="9">
        <v>20.0</v>
      </c>
      <c r="H69" s="9">
        <v>20.0</v>
      </c>
      <c r="I69" s="9">
        <v>20.0</v>
      </c>
      <c r="J69" s="6">
        <f t="shared" si="7"/>
        <v>400</v>
      </c>
      <c r="K69" s="6" t="s">
        <v>178</v>
      </c>
      <c r="L69" s="7"/>
      <c r="M69" s="7" t="s">
        <v>66</v>
      </c>
      <c r="N69" s="7" t="s">
        <v>267</v>
      </c>
      <c r="O69" s="10" t="s">
        <v>272</v>
      </c>
      <c r="P69" s="6" t="str">
        <f t="shared" si="8"/>
        <v/>
      </c>
      <c r="Q69" s="64" t="s">
        <v>1688</v>
      </c>
      <c r="R69" s="65"/>
      <c r="S69" s="66"/>
      <c r="T69" s="12"/>
      <c r="U69" s="11">
        <v>1.0</v>
      </c>
      <c r="V69" s="12"/>
      <c r="W69" s="12"/>
      <c r="X69" s="12"/>
      <c r="Y69" s="12"/>
      <c r="Z69" s="67"/>
      <c r="AA69" s="12"/>
      <c r="AB69" s="12"/>
      <c r="AC69" s="67"/>
      <c r="AD69" s="12"/>
      <c r="AE69" s="12"/>
      <c r="AF69" s="12"/>
    </row>
    <row r="70" ht="45.0" customHeight="1">
      <c r="A70" s="6">
        <v>58.0</v>
      </c>
      <c r="B70" s="6" t="s">
        <v>173</v>
      </c>
      <c r="C70" s="6" t="s">
        <v>273</v>
      </c>
      <c r="D70" s="6" t="s">
        <v>274</v>
      </c>
      <c r="E70" s="7" t="s">
        <v>275</v>
      </c>
      <c r="F70" s="8" t="s">
        <v>237</v>
      </c>
      <c r="G70" s="9">
        <v>20.0</v>
      </c>
      <c r="H70" s="9">
        <v>20.0</v>
      </c>
      <c r="I70" s="9">
        <v>20.0</v>
      </c>
      <c r="J70" s="6">
        <f t="shared" si="7"/>
        <v>400</v>
      </c>
      <c r="K70" s="6" t="s">
        <v>178</v>
      </c>
      <c r="L70" s="7"/>
      <c r="M70" s="7" t="s">
        <v>66</v>
      </c>
      <c r="N70" s="7" t="s">
        <v>267</v>
      </c>
      <c r="O70" s="10" t="s">
        <v>276</v>
      </c>
      <c r="P70" s="6" t="str">
        <f t="shared" si="8"/>
        <v/>
      </c>
      <c r="Q70" s="64" t="s">
        <v>1688</v>
      </c>
      <c r="R70" s="65"/>
      <c r="S70" s="66"/>
      <c r="T70" s="12"/>
      <c r="U70" s="11">
        <v>1.0</v>
      </c>
      <c r="V70" s="12"/>
      <c r="W70" s="12"/>
      <c r="X70" s="12"/>
      <c r="Y70" s="12"/>
      <c r="Z70" s="67"/>
      <c r="AA70" s="12"/>
      <c r="AB70" s="12"/>
      <c r="AC70" s="67"/>
      <c r="AD70" s="12"/>
      <c r="AE70" s="12"/>
      <c r="AF70" s="12"/>
    </row>
    <row r="71" ht="45.0" customHeight="1">
      <c r="A71" s="6">
        <v>59.0</v>
      </c>
      <c r="B71" s="6" t="s">
        <v>173</v>
      </c>
      <c r="C71" s="6" t="s">
        <v>277</v>
      </c>
      <c r="D71" s="6" t="s">
        <v>278</v>
      </c>
      <c r="E71" s="7" t="s">
        <v>279</v>
      </c>
      <c r="F71" s="8" t="s">
        <v>237</v>
      </c>
      <c r="G71" s="9">
        <v>20.0</v>
      </c>
      <c r="H71" s="9">
        <v>20.0</v>
      </c>
      <c r="I71" s="9">
        <v>20.0</v>
      </c>
      <c r="J71" s="6">
        <f t="shared" si="7"/>
        <v>400</v>
      </c>
      <c r="K71" s="6" t="s">
        <v>178</v>
      </c>
      <c r="L71" s="7"/>
      <c r="M71" s="7" t="s">
        <v>66</v>
      </c>
      <c r="N71" s="7" t="s">
        <v>267</v>
      </c>
      <c r="O71" s="10" t="s">
        <v>280</v>
      </c>
      <c r="P71" s="6" t="str">
        <f t="shared" si="8"/>
        <v/>
      </c>
      <c r="Q71" s="64" t="s">
        <v>1688</v>
      </c>
      <c r="R71" s="65"/>
      <c r="S71" s="66"/>
      <c r="T71" s="12"/>
      <c r="U71" s="11">
        <v>1.0</v>
      </c>
      <c r="V71" s="12"/>
      <c r="W71" s="12"/>
      <c r="X71" s="12"/>
      <c r="Y71" s="12"/>
      <c r="Z71" s="67"/>
      <c r="AA71" s="12"/>
      <c r="AB71" s="12"/>
      <c r="AC71" s="67"/>
      <c r="AD71" s="12"/>
      <c r="AE71" s="12"/>
      <c r="AF71" s="12"/>
    </row>
    <row r="72" ht="45.0" customHeight="1">
      <c r="A72" s="6">
        <v>60.0</v>
      </c>
      <c r="B72" s="6" t="s">
        <v>173</v>
      </c>
      <c r="C72" s="6" t="s">
        <v>281</v>
      </c>
      <c r="D72" s="6" t="s">
        <v>282</v>
      </c>
      <c r="E72" s="7" t="s">
        <v>283</v>
      </c>
      <c r="F72" s="8" t="s">
        <v>237</v>
      </c>
      <c r="G72" s="9">
        <v>20.0</v>
      </c>
      <c r="H72" s="9">
        <v>20.0</v>
      </c>
      <c r="I72" s="9">
        <v>20.0</v>
      </c>
      <c r="J72" s="6">
        <f t="shared" si="7"/>
        <v>400</v>
      </c>
      <c r="K72" s="6" t="s">
        <v>178</v>
      </c>
      <c r="L72" s="7"/>
      <c r="M72" s="7" t="s">
        <v>66</v>
      </c>
      <c r="N72" s="7" t="s">
        <v>267</v>
      </c>
      <c r="O72" s="10" t="s">
        <v>284</v>
      </c>
      <c r="P72" s="6" t="str">
        <f t="shared" si="8"/>
        <v/>
      </c>
      <c r="Q72" s="64" t="s">
        <v>1688</v>
      </c>
      <c r="R72" s="65"/>
      <c r="S72" s="66"/>
      <c r="T72" s="12"/>
      <c r="U72" s="11">
        <v>1.0</v>
      </c>
      <c r="V72" s="12"/>
      <c r="W72" s="12"/>
      <c r="X72" s="12"/>
      <c r="Y72" s="12"/>
      <c r="Z72" s="67"/>
      <c r="AA72" s="12"/>
      <c r="AB72" s="12"/>
      <c r="AC72" s="67"/>
      <c r="AD72" s="12"/>
      <c r="AE72" s="12"/>
      <c r="AF72" s="12"/>
    </row>
    <row r="73" ht="45.0" customHeight="1">
      <c r="A73" s="6">
        <v>61.0</v>
      </c>
      <c r="B73" s="6" t="s">
        <v>173</v>
      </c>
      <c r="C73" s="6" t="s">
        <v>285</v>
      </c>
      <c r="D73" s="6" t="s">
        <v>286</v>
      </c>
      <c r="E73" s="7" t="s">
        <v>287</v>
      </c>
      <c r="F73" s="8" t="s">
        <v>237</v>
      </c>
      <c r="G73" s="9">
        <v>20.0</v>
      </c>
      <c r="H73" s="9">
        <v>20.0</v>
      </c>
      <c r="I73" s="9">
        <v>40.0</v>
      </c>
      <c r="J73" s="6">
        <f t="shared" si="7"/>
        <v>800</v>
      </c>
      <c r="K73" s="6" t="s">
        <v>178</v>
      </c>
      <c r="L73" s="7"/>
      <c r="M73" s="7" t="s">
        <v>22</v>
      </c>
      <c r="N73" s="7" t="s">
        <v>288</v>
      </c>
      <c r="O73" s="10" t="s">
        <v>289</v>
      </c>
      <c r="P73" s="6" t="str">
        <f t="shared" ref="P73:P75" si="9">IMAGE("https://cdn.shopify.com/s/files/1/0527/2692/3444/products/M-M10CM_800x.jpg?v=1620840829",1)</f>
        <v/>
      </c>
      <c r="Q73" s="64" t="s">
        <v>1688</v>
      </c>
      <c r="R73" s="65"/>
      <c r="S73" s="66"/>
      <c r="T73" s="12"/>
      <c r="U73" s="11">
        <v>1.0</v>
      </c>
      <c r="V73" s="12"/>
      <c r="W73" s="12"/>
      <c r="X73" s="12"/>
      <c r="Y73" s="12"/>
      <c r="Z73" s="67"/>
      <c r="AA73" s="12"/>
      <c r="AB73" s="12"/>
      <c r="AC73" s="67"/>
      <c r="AD73" s="12"/>
      <c r="AE73" s="12"/>
      <c r="AF73" s="12"/>
    </row>
    <row r="74" ht="45.0" customHeight="1">
      <c r="A74" s="6">
        <v>62.0</v>
      </c>
      <c r="B74" s="6" t="s">
        <v>173</v>
      </c>
      <c r="C74" s="6" t="s">
        <v>290</v>
      </c>
      <c r="D74" s="6" t="s">
        <v>291</v>
      </c>
      <c r="E74" s="7" t="s">
        <v>292</v>
      </c>
      <c r="F74" s="8" t="s">
        <v>237</v>
      </c>
      <c r="G74" s="9">
        <v>20.0</v>
      </c>
      <c r="H74" s="9">
        <v>20.0</v>
      </c>
      <c r="I74" s="9">
        <v>40.0</v>
      </c>
      <c r="J74" s="6">
        <f t="shared" si="7"/>
        <v>800</v>
      </c>
      <c r="K74" s="6" t="s">
        <v>178</v>
      </c>
      <c r="L74" s="7"/>
      <c r="M74" s="7" t="s">
        <v>22</v>
      </c>
      <c r="N74" s="7" t="s">
        <v>288</v>
      </c>
      <c r="O74" s="10" t="s">
        <v>293</v>
      </c>
      <c r="P74" s="6" t="str">
        <f t="shared" si="9"/>
        <v/>
      </c>
      <c r="Q74" s="64" t="s">
        <v>1688</v>
      </c>
      <c r="R74" s="65"/>
      <c r="S74" s="66"/>
      <c r="T74" s="12"/>
      <c r="U74" s="11">
        <v>1.0</v>
      </c>
      <c r="V74" s="12"/>
      <c r="W74" s="12"/>
      <c r="X74" s="12"/>
      <c r="Y74" s="12"/>
      <c r="Z74" s="67"/>
      <c r="AA74" s="12"/>
      <c r="AB74" s="12"/>
      <c r="AC74" s="67"/>
      <c r="AD74" s="12"/>
      <c r="AE74" s="12"/>
      <c r="AF74" s="12"/>
    </row>
    <row r="75" ht="45.0" customHeight="1">
      <c r="A75" s="6">
        <v>63.0</v>
      </c>
      <c r="B75" s="6" t="s">
        <v>173</v>
      </c>
      <c r="C75" s="6" t="s">
        <v>294</v>
      </c>
      <c r="D75" s="6" t="s">
        <v>295</v>
      </c>
      <c r="E75" s="7" t="s">
        <v>296</v>
      </c>
      <c r="F75" s="8" t="s">
        <v>237</v>
      </c>
      <c r="G75" s="9">
        <v>20.0</v>
      </c>
      <c r="H75" s="9">
        <v>20.0</v>
      </c>
      <c r="I75" s="9">
        <v>40.0</v>
      </c>
      <c r="J75" s="6">
        <f t="shared" si="7"/>
        <v>800</v>
      </c>
      <c r="K75" s="6" t="s">
        <v>178</v>
      </c>
      <c r="L75" s="7"/>
      <c r="M75" s="7" t="s">
        <v>22</v>
      </c>
      <c r="N75" s="7" t="s">
        <v>288</v>
      </c>
      <c r="O75" s="10" t="s">
        <v>297</v>
      </c>
      <c r="P75" s="6" t="str">
        <f t="shared" si="9"/>
        <v/>
      </c>
      <c r="Q75" s="64" t="s">
        <v>1688</v>
      </c>
      <c r="R75" s="65"/>
      <c r="S75" s="66"/>
      <c r="T75" s="12"/>
      <c r="U75" s="11">
        <v>1.0</v>
      </c>
      <c r="V75" s="12"/>
      <c r="W75" s="12"/>
      <c r="X75" s="12"/>
      <c r="Y75" s="12"/>
      <c r="Z75" s="67"/>
      <c r="AA75" s="12"/>
      <c r="AB75" s="12"/>
      <c r="AC75" s="67"/>
      <c r="AD75" s="12"/>
      <c r="AE75" s="12"/>
      <c r="AF75" s="12"/>
    </row>
    <row r="76" ht="45.0" customHeight="1">
      <c r="A76" s="6">
        <v>64.0</v>
      </c>
      <c r="B76" s="6" t="s">
        <v>173</v>
      </c>
      <c r="C76" s="6" t="s">
        <v>298</v>
      </c>
      <c r="D76" s="6" t="s">
        <v>299</v>
      </c>
      <c r="E76" s="7" t="s">
        <v>300</v>
      </c>
      <c r="F76" s="8" t="s">
        <v>237</v>
      </c>
      <c r="G76" s="9">
        <v>10.0</v>
      </c>
      <c r="H76" s="9">
        <v>10.0</v>
      </c>
      <c r="I76" s="9">
        <v>50.0</v>
      </c>
      <c r="J76" s="6">
        <f t="shared" si="7"/>
        <v>500</v>
      </c>
      <c r="K76" s="6" t="s">
        <v>178</v>
      </c>
      <c r="L76" s="7"/>
      <c r="M76" s="7" t="s">
        <v>66</v>
      </c>
      <c r="N76" s="7" t="s">
        <v>300</v>
      </c>
      <c r="O76" s="10" t="s">
        <v>301</v>
      </c>
      <c r="P76" s="6" t="str">
        <f>IMAGE("https://encrypted-tbn0.gstatic.com/images?q=tbn:ANd9GcR4A79FMiemvwjtYU3z1SGV0ayCZPtc8oNMobr5AuvlhGOJoeuq78aTh7JjRPQlfFrsXfE&amp;usqp=CAU",1)</f>
        <v/>
      </c>
      <c r="Q76" s="64" t="s">
        <v>1688</v>
      </c>
      <c r="R76" s="65"/>
      <c r="S76" s="66"/>
      <c r="T76" s="12"/>
      <c r="U76" s="11">
        <v>1.0</v>
      </c>
      <c r="V76" s="12"/>
      <c r="W76" s="12"/>
      <c r="X76" s="12"/>
      <c r="Y76" s="12"/>
      <c r="Z76" s="67"/>
      <c r="AA76" s="12"/>
      <c r="AB76" s="12"/>
      <c r="AC76" s="67"/>
      <c r="AD76" s="12"/>
      <c r="AE76" s="12"/>
      <c r="AF76" s="12"/>
    </row>
    <row r="77" ht="45.0" customHeight="1">
      <c r="A77" s="6">
        <v>65.0</v>
      </c>
      <c r="B77" s="6" t="s">
        <v>173</v>
      </c>
      <c r="C77" s="6" t="s">
        <v>302</v>
      </c>
      <c r="D77" s="6" t="s">
        <v>303</v>
      </c>
      <c r="E77" s="7" t="s">
        <v>304</v>
      </c>
      <c r="F77" s="8" t="s">
        <v>237</v>
      </c>
      <c r="G77" s="9">
        <v>10.0</v>
      </c>
      <c r="H77" s="9">
        <v>10.0</v>
      </c>
      <c r="I77" s="9">
        <v>50.0</v>
      </c>
      <c r="J77" s="6">
        <f t="shared" si="7"/>
        <v>500</v>
      </c>
      <c r="K77" s="6" t="s">
        <v>178</v>
      </c>
      <c r="L77" s="7"/>
      <c r="M77" s="7" t="s">
        <v>66</v>
      </c>
      <c r="N77" s="7" t="s">
        <v>305</v>
      </c>
      <c r="O77" s="10" t="s">
        <v>306</v>
      </c>
      <c r="P77" s="6" t="str">
        <f>IMAGE("https://robu.in/wp-content/uploads/2018/07/50-CM-Micro-USB-Cable-1.jpg",1)</f>
        <v/>
      </c>
      <c r="Q77" s="64" t="s">
        <v>1688</v>
      </c>
      <c r="R77" s="65"/>
      <c r="S77" s="66"/>
      <c r="T77" s="5"/>
      <c r="U77" s="14">
        <v>1.0</v>
      </c>
      <c r="V77" s="5"/>
      <c r="W77" s="5"/>
      <c r="X77" s="5"/>
      <c r="Y77" s="5"/>
      <c r="Z77" s="63"/>
      <c r="AA77" s="5"/>
      <c r="AB77" s="5"/>
      <c r="AC77" s="63"/>
      <c r="AD77" s="5"/>
      <c r="AE77" s="5"/>
      <c r="AF77" s="5"/>
    </row>
    <row r="78" ht="45.0" customHeight="1">
      <c r="A78" s="6">
        <v>66.0</v>
      </c>
      <c r="B78" s="6" t="s">
        <v>173</v>
      </c>
      <c r="C78" s="6" t="s">
        <v>307</v>
      </c>
      <c r="D78" s="6" t="s">
        <v>308</v>
      </c>
      <c r="E78" s="7" t="s">
        <v>309</v>
      </c>
      <c r="F78" s="8" t="s">
        <v>237</v>
      </c>
      <c r="G78" s="9">
        <v>10.0</v>
      </c>
      <c r="H78" s="9">
        <v>10.0</v>
      </c>
      <c r="I78" s="9">
        <v>50.0</v>
      </c>
      <c r="J78" s="6">
        <f t="shared" si="7"/>
        <v>500</v>
      </c>
      <c r="K78" s="6" t="s">
        <v>178</v>
      </c>
      <c r="L78" s="7"/>
      <c r="M78" s="7" t="s">
        <v>66</v>
      </c>
      <c r="N78" s="7" t="s">
        <v>310</v>
      </c>
      <c r="O78" s="10" t="s">
        <v>311</v>
      </c>
      <c r="P78" s="6" t="str">
        <f>IMAGE("https://m.media-amazon.com/images/I/618b8Xq+hXL._SL1500_.jpg",1)</f>
        <v/>
      </c>
      <c r="Q78" s="64" t="s">
        <v>1688</v>
      </c>
      <c r="R78" s="65"/>
      <c r="S78" s="66"/>
      <c r="T78" s="5"/>
      <c r="U78" s="14">
        <v>0.0</v>
      </c>
      <c r="V78" s="5"/>
      <c r="W78" s="5"/>
      <c r="X78" s="5"/>
      <c r="Y78" s="5"/>
      <c r="Z78" s="63"/>
      <c r="AA78" s="5"/>
      <c r="AB78" s="5"/>
      <c r="AC78" s="63"/>
      <c r="AD78" s="5"/>
      <c r="AE78" s="5"/>
      <c r="AF78" s="5"/>
    </row>
    <row r="79" ht="45.0" customHeight="1">
      <c r="A79" s="6">
        <v>67.0</v>
      </c>
      <c r="B79" s="6" t="s">
        <v>173</v>
      </c>
      <c r="C79" s="6" t="s">
        <v>312</v>
      </c>
      <c r="D79" s="6" t="s">
        <v>313</v>
      </c>
      <c r="E79" s="7" t="s">
        <v>314</v>
      </c>
      <c r="F79" s="8" t="s">
        <v>237</v>
      </c>
      <c r="G79" s="6">
        <v>1.0</v>
      </c>
      <c r="H79" s="6">
        <v>1.0</v>
      </c>
      <c r="I79" s="6">
        <v>300.0</v>
      </c>
      <c r="J79" s="6">
        <f t="shared" si="7"/>
        <v>300</v>
      </c>
      <c r="K79" s="6" t="s">
        <v>178</v>
      </c>
      <c r="L79" s="7"/>
      <c r="M79" s="7"/>
      <c r="N79" s="7"/>
      <c r="O79" s="10" t="s">
        <v>315</v>
      </c>
      <c r="P79" s="6" t="str">
        <f>IMAGE("https://m.media-amazon.com/images/I/41ajXEZ8zhL._SL1200_.jpg",1)</f>
        <v/>
      </c>
      <c r="Q79" s="64"/>
      <c r="R79" s="68"/>
      <c r="S79" s="69"/>
      <c r="T79" s="12"/>
      <c r="U79" s="11">
        <v>0.0</v>
      </c>
      <c r="V79" s="12"/>
      <c r="W79" s="12"/>
      <c r="X79" s="12"/>
      <c r="Y79" s="12"/>
      <c r="Z79" s="67"/>
      <c r="AA79" s="12"/>
      <c r="AB79" s="12"/>
      <c r="AC79" s="67"/>
      <c r="AD79" s="12"/>
      <c r="AE79" s="12"/>
      <c r="AF79" s="12"/>
    </row>
    <row r="80" ht="45.0" customHeight="1">
      <c r="A80" s="6">
        <v>68.0</v>
      </c>
      <c r="B80" s="6" t="s">
        <v>173</v>
      </c>
      <c r="C80" s="6" t="s">
        <v>316</v>
      </c>
      <c r="D80" s="6" t="s">
        <v>317</v>
      </c>
      <c r="E80" s="7" t="s">
        <v>318</v>
      </c>
      <c r="F80" s="8" t="s">
        <v>237</v>
      </c>
      <c r="G80" s="9">
        <v>10.0</v>
      </c>
      <c r="H80" s="9">
        <v>10.0</v>
      </c>
      <c r="I80" s="9">
        <v>50.0</v>
      </c>
      <c r="J80" s="6">
        <f t="shared" si="7"/>
        <v>500</v>
      </c>
      <c r="K80" s="6" t="s">
        <v>178</v>
      </c>
      <c r="L80" s="7"/>
      <c r="M80" s="7" t="s">
        <v>193</v>
      </c>
      <c r="N80" s="7" t="s">
        <v>319</v>
      </c>
      <c r="O80" s="10" t="s">
        <v>320</v>
      </c>
      <c r="P80" s="6" t="str">
        <f>IMAGE("https://robu.in/wp-content/uploads/2019/06/3.5mm-Audio-Plug-3-Pole-Gold-plated-Earphone-Adapter-For-DIY-Stereo-Headset-5.jpg",1)</f>
        <v/>
      </c>
      <c r="Q80" s="64" t="s">
        <v>1688</v>
      </c>
      <c r="R80" s="65"/>
      <c r="S80" s="66"/>
      <c r="T80" s="12"/>
      <c r="U80" s="11">
        <v>1.0</v>
      </c>
      <c r="V80" s="12"/>
      <c r="W80" s="12"/>
      <c r="X80" s="12"/>
      <c r="Y80" s="12"/>
      <c r="Z80" s="67"/>
      <c r="AA80" s="12"/>
      <c r="AB80" s="12"/>
      <c r="AC80" s="67"/>
      <c r="AD80" s="12"/>
      <c r="AE80" s="12"/>
      <c r="AF80" s="12"/>
    </row>
    <row r="81" ht="27.75" customHeight="1">
      <c r="A81" s="50" t="s">
        <v>325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2"/>
      <c r="P81" s="53"/>
      <c r="Q81" s="54"/>
      <c r="R81" s="55"/>
      <c r="S81" s="55"/>
      <c r="T81" s="56"/>
      <c r="U81" s="56"/>
      <c r="V81" s="56"/>
      <c r="W81" s="56"/>
      <c r="X81" s="56"/>
      <c r="Y81" s="56"/>
      <c r="Z81" s="57"/>
      <c r="AA81" s="56"/>
      <c r="AB81" s="56"/>
      <c r="AC81" s="57"/>
      <c r="AD81" s="56"/>
      <c r="AE81" s="56"/>
      <c r="AF81" s="56"/>
    </row>
    <row r="82" ht="24.0" customHeight="1">
      <c r="A82" s="59" t="s">
        <v>0</v>
      </c>
      <c r="B82" s="59"/>
      <c r="C82" s="59"/>
      <c r="D82" s="59" t="s">
        <v>1</v>
      </c>
      <c r="E82" s="60" t="s">
        <v>2</v>
      </c>
      <c r="F82" s="59" t="s">
        <v>3</v>
      </c>
      <c r="G82" s="59" t="s">
        <v>4</v>
      </c>
      <c r="H82" s="59" t="s">
        <v>5</v>
      </c>
      <c r="I82" s="59" t="s">
        <v>6</v>
      </c>
      <c r="J82" s="59" t="s">
        <v>7</v>
      </c>
      <c r="K82" s="59" t="s">
        <v>8</v>
      </c>
      <c r="L82" s="60" t="s">
        <v>9</v>
      </c>
      <c r="M82" s="60" t="s">
        <v>10</v>
      </c>
      <c r="N82" s="61" t="s">
        <v>11</v>
      </c>
      <c r="O82" s="59" t="s">
        <v>12</v>
      </c>
      <c r="P82" s="62" t="s">
        <v>13</v>
      </c>
      <c r="Q82" s="4" t="s">
        <v>13</v>
      </c>
      <c r="R82" s="4" t="s">
        <v>13</v>
      </c>
      <c r="S82" s="4" t="s">
        <v>13</v>
      </c>
      <c r="T82" s="4" t="s">
        <v>13</v>
      </c>
      <c r="U82" s="4" t="s">
        <v>14</v>
      </c>
      <c r="V82" s="5"/>
      <c r="W82" s="5"/>
      <c r="X82" s="5"/>
      <c r="Y82" s="5"/>
      <c r="Z82" s="63"/>
      <c r="AA82" s="5"/>
      <c r="AB82" s="5"/>
      <c r="AC82" s="63"/>
      <c r="AD82" s="5"/>
      <c r="AE82" s="5"/>
      <c r="AF82" s="5"/>
    </row>
    <row r="83" ht="45.0" customHeight="1">
      <c r="A83" s="6">
        <v>69.0</v>
      </c>
      <c r="B83" s="6" t="s">
        <v>321</v>
      </c>
      <c r="C83" s="6" t="s">
        <v>322</v>
      </c>
      <c r="D83" s="6" t="s">
        <v>323</v>
      </c>
      <c r="E83" s="7" t="s">
        <v>324</v>
      </c>
      <c r="F83" s="8" t="s">
        <v>325</v>
      </c>
      <c r="G83" s="6">
        <v>1.0</v>
      </c>
      <c r="H83" s="6">
        <v>1.0</v>
      </c>
      <c r="I83" s="6">
        <v>200.0</v>
      </c>
      <c r="J83" s="6">
        <f t="shared" ref="J83:J87" si="10">I83*H83</f>
        <v>200</v>
      </c>
      <c r="K83" s="6" t="s">
        <v>326</v>
      </c>
      <c r="L83" s="7"/>
      <c r="M83" s="7"/>
      <c r="N83" s="7"/>
      <c r="O83" s="10" t="s">
        <v>78</v>
      </c>
      <c r="P83" s="6" t="str">
        <f>IMAGE("https://5.imimg.com/data5/PL/FV/MY-11916319/synthetic-angle-broom-500x500.jpg",1)</f>
        <v/>
      </c>
      <c r="Q83" s="64"/>
      <c r="R83" s="65"/>
      <c r="S83" s="66"/>
      <c r="T83" s="12"/>
      <c r="U83" s="11">
        <v>0.0</v>
      </c>
      <c r="V83" s="12"/>
      <c r="W83" s="12"/>
      <c r="X83" s="12">
        <v>350.0</v>
      </c>
      <c r="Y83" s="12"/>
      <c r="Z83" s="67"/>
      <c r="AA83" s="12"/>
      <c r="AB83" s="12"/>
      <c r="AC83" s="67"/>
      <c r="AD83" s="12"/>
      <c r="AE83" s="12"/>
      <c r="AF83" s="12"/>
    </row>
    <row r="84" ht="45.0" customHeight="1">
      <c r="A84" s="6">
        <v>70.0</v>
      </c>
      <c r="B84" s="6" t="s">
        <v>321</v>
      </c>
      <c r="C84" s="6" t="s">
        <v>327</v>
      </c>
      <c r="D84" s="6" t="s">
        <v>328</v>
      </c>
      <c r="E84" s="7" t="s">
        <v>329</v>
      </c>
      <c r="F84" s="8" t="s">
        <v>325</v>
      </c>
      <c r="G84" s="6">
        <v>1.0</v>
      </c>
      <c r="H84" s="6">
        <v>1.0</v>
      </c>
      <c r="I84" s="6">
        <v>100.0</v>
      </c>
      <c r="J84" s="6">
        <f t="shared" si="10"/>
        <v>100</v>
      </c>
      <c r="K84" s="6" t="s">
        <v>326</v>
      </c>
      <c r="L84" s="7"/>
      <c r="M84" s="7"/>
      <c r="N84" s="7"/>
      <c r="O84" s="10" t="s">
        <v>330</v>
      </c>
      <c r="P84" s="6" t="str">
        <f>IMAGE("https://m.media-amazon.com/images/W/MEDIAX_792452-T2/images/I/61z4uqZdmPL._AC_UF1000,1000_QL80_.jpg",1)</f>
        <v/>
      </c>
      <c r="Q84" s="64" t="s">
        <v>56</v>
      </c>
      <c r="R84" s="68"/>
      <c r="S84" s="69"/>
      <c r="T84" s="12"/>
      <c r="U84" s="11">
        <v>0.0</v>
      </c>
      <c r="V84" s="12"/>
      <c r="W84" s="12"/>
      <c r="X84" s="12">
        <v>100.0</v>
      </c>
      <c r="Y84" s="12"/>
      <c r="Z84" s="67"/>
      <c r="AA84" s="12"/>
      <c r="AB84" s="12"/>
      <c r="AC84" s="67"/>
      <c r="AD84" s="12"/>
      <c r="AE84" s="12"/>
      <c r="AF84" s="12"/>
    </row>
    <row r="85" ht="45.0" customHeight="1">
      <c r="A85" s="6">
        <v>71.0</v>
      </c>
      <c r="B85" s="6" t="s">
        <v>321</v>
      </c>
      <c r="C85" s="6" t="s">
        <v>331</v>
      </c>
      <c r="D85" s="6" t="s">
        <v>332</v>
      </c>
      <c r="E85" s="7" t="s">
        <v>333</v>
      </c>
      <c r="F85" s="8" t="s">
        <v>325</v>
      </c>
      <c r="G85" s="6">
        <v>5.0</v>
      </c>
      <c r="H85" s="6">
        <v>5.0</v>
      </c>
      <c r="I85" s="6">
        <v>100.0</v>
      </c>
      <c r="J85" s="6">
        <f t="shared" si="10"/>
        <v>500</v>
      </c>
      <c r="K85" s="6" t="s">
        <v>326</v>
      </c>
      <c r="L85" s="7"/>
      <c r="M85" s="7"/>
      <c r="N85" s="7"/>
      <c r="O85" s="10" t="s">
        <v>334</v>
      </c>
      <c r="P85" s="6" t="str">
        <f>IMAGE("https://m.media-amazon.com/images/W/MEDIAX_792452-T2/images/I/61Njm4X2d2L._AC_UF1000,1000_QL80_.jpg",1)</f>
        <v/>
      </c>
      <c r="Q85" s="64"/>
      <c r="R85" s="65"/>
      <c r="S85" s="66"/>
      <c r="T85" s="12"/>
      <c r="U85" s="11">
        <v>0.0</v>
      </c>
      <c r="V85" s="12"/>
      <c r="W85" s="12"/>
      <c r="X85" s="12">
        <v>400.0</v>
      </c>
      <c r="Y85" s="12"/>
      <c r="Z85" s="67"/>
      <c r="AA85" s="12"/>
      <c r="AB85" s="12"/>
      <c r="AC85" s="67"/>
      <c r="AD85" s="12"/>
      <c r="AE85" s="12"/>
      <c r="AF85" s="12"/>
    </row>
    <row r="86" ht="45.0" customHeight="1">
      <c r="A86" s="6">
        <v>72.0</v>
      </c>
      <c r="B86" s="6" t="s">
        <v>321</v>
      </c>
      <c r="C86" s="6" t="s">
        <v>335</v>
      </c>
      <c r="D86" s="6" t="s">
        <v>336</v>
      </c>
      <c r="E86" s="7" t="s">
        <v>337</v>
      </c>
      <c r="F86" s="8" t="s">
        <v>325</v>
      </c>
      <c r="G86" s="6">
        <v>1.0</v>
      </c>
      <c r="H86" s="6">
        <v>1.0</v>
      </c>
      <c r="I86" s="6">
        <v>3600.0</v>
      </c>
      <c r="J86" s="6">
        <f t="shared" si="10"/>
        <v>3600</v>
      </c>
      <c r="K86" s="6" t="s">
        <v>326</v>
      </c>
      <c r="L86" s="7" t="s">
        <v>65</v>
      </c>
      <c r="M86" s="16" t="s">
        <v>65</v>
      </c>
      <c r="N86" s="7"/>
      <c r="O86" s="10" t="s">
        <v>338</v>
      </c>
      <c r="P86" s="6" t="str">
        <f>IMAGE("https://m.media-amazon.com/images/I/61HelF+y3YL._SL1500_.jpg",1)</f>
        <v/>
      </c>
      <c r="Q86" s="71" t="s">
        <v>1689</v>
      </c>
      <c r="R86" s="65"/>
      <c r="S86" s="66"/>
      <c r="T86" s="5"/>
      <c r="U86" s="14">
        <v>0.0</v>
      </c>
      <c r="V86" s="5"/>
      <c r="W86" s="5"/>
      <c r="X86" s="5"/>
      <c r="Y86" s="5"/>
      <c r="Z86" s="63"/>
      <c r="AA86" s="5"/>
      <c r="AB86" s="5"/>
      <c r="AC86" s="63"/>
      <c r="AD86" s="5"/>
      <c r="AE86" s="5"/>
      <c r="AF86" s="5"/>
    </row>
    <row r="87" ht="45.0" customHeight="1">
      <c r="A87" s="6">
        <v>73.0</v>
      </c>
      <c r="B87" s="6" t="s">
        <v>321</v>
      </c>
      <c r="C87" s="6" t="s">
        <v>339</v>
      </c>
      <c r="D87" s="6" t="s">
        <v>340</v>
      </c>
      <c r="E87" s="7" t="s">
        <v>341</v>
      </c>
      <c r="F87" s="8" t="s">
        <v>325</v>
      </c>
      <c r="G87" s="6">
        <v>3.0</v>
      </c>
      <c r="H87" s="6">
        <v>3.0</v>
      </c>
      <c r="I87" s="6">
        <v>800.0</v>
      </c>
      <c r="J87" s="6">
        <f t="shared" si="10"/>
        <v>2400</v>
      </c>
      <c r="K87" s="6" t="s">
        <v>326</v>
      </c>
      <c r="L87" s="7"/>
      <c r="M87" s="7"/>
      <c r="N87" s="7"/>
      <c r="O87" s="10"/>
      <c r="P87" s="6" t="str">
        <f>IMAGE("https://rukminim2.flixcart.com/image/850/1000/kshtxu80/dustbin/p/l/y/swaccha-bharat-champaign-dry-and-wet-waste-bins-small-11ltr-original-imag6fnfj6pqmsba.jpeg?q=20",1)</f>
        <v/>
      </c>
      <c r="Q87" s="64"/>
      <c r="R87" s="68"/>
      <c r="S87" s="69"/>
      <c r="T87" s="12"/>
      <c r="U87" s="11">
        <v>0.0</v>
      </c>
      <c r="V87" s="12"/>
      <c r="W87" s="12"/>
      <c r="X87" s="12">
        <v>500.0</v>
      </c>
      <c r="Y87" s="12"/>
      <c r="Z87" s="67"/>
      <c r="AA87" s="12"/>
      <c r="AB87" s="12"/>
      <c r="AC87" s="67"/>
      <c r="AD87" s="12"/>
      <c r="AE87" s="12"/>
      <c r="AF87" s="12"/>
    </row>
    <row r="88" ht="27.75" customHeight="1">
      <c r="A88" s="50" t="s">
        <v>1690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2"/>
      <c r="P88" s="53"/>
      <c r="Q88" s="54"/>
      <c r="R88" s="55"/>
      <c r="S88" s="55"/>
      <c r="T88" s="56"/>
      <c r="U88" s="56"/>
      <c r="V88" s="56"/>
      <c r="W88" s="56"/>
      <c r="X88" s="56"/>
      <c r="Y88" s="56"/>
      <c r="Z88" s="57"/>
      <c r="AA88" s="56"/>
      <c r="AB88" s="56"/>
      <c r="AC88" s="57"/>
      <c r="AD88" s="56"/>
      <c r="AE88" s="56"/>
      <c r="AF88" s="56"/>
    </row>
    <row r="89" ht="24.0" customHeight="1">
      <c r="A89" s="59" t="s">
        <v>0</v>
      </c>
      <c r="B89" s="59"/>
      <c r="C89" s="59"/>
      <c r="D89" s="59" t="s">
        <v>1</v>
      </c>
      <c r="E89" s="60" t="s">
        <v>2</v>
      </c>
      <c r="F89" s="59" t="s">
        <v>3</v>
      </c>
      <c r="G89" s="59" t="s">
        <v>4</v>
      </c>
      <c r="H89" s="59" t="s">
        <v>5</v>
      </c>
      <c r="I89" s="59" t="s">
        <v>6</v>
      </c>
      <c r="J89" s="59" t="s">
        <v>7</v>
      </c>
      <c r="K89" s="59" t="s">
        <v>8</v>
      </c>
      <c r="L89" s="60" t="s">
        <v>9</v>
      </c>
      <c r="M89" s="60" t="s">
        <v>10</v>
      </c>
      <c r="N89" s="61" t="s">
        <v>11</v>
      </c>
      <c r="O89" s="59" t="s">
        <v>12</v>
      </c>
      <c r="P89" s="62" t="s">
        <v>13</v>
      </c>
      <c r="Q89" s="4" t="s">
        <v>13</v>
      </c>
      <c r="R89" s="4" t="s">
        <v>13</v>
      </c>
      <c r="S89" s="4" t="s">
        <v>13</v>
      </c>
      <c r="T89" s="4" t="s">
        <v>13</v>
      </c>
      <c r="U89" s="4" t="s">
        <v>14</v>
      </c>
      <c r="V89" s="5"/>
      <c r="W89" s="5"/>
      <c r="X89" s="5"/>
      <c r="Y89" s="5"/>
      <c r="Z89" s="63"/>
      <c r="AA89" s="5"/>
      <c r="AB89" s="5"/>
      <c r="AC89" s="63"/>
      <c r="AD89" s="5"/>
      <c r="AE89" s="5"/>
      <c r="AF89" s="5"/>
    </row>
    <row r="90" ht="45.0" customHeight="1">
      <c r="A90" s="6">
        <v>74.0</v>
      </c>
      <c r="B90" s="6" t="s">
        <v>342</v>
      </c>
      <c r="C90" s="6" t="s">
        <v>343</v>
      </c>
      <c r="D90" s="6" t="s">
        <v>344</v>
      </c>
      <c r="E90" s="7" t="s">
        <v>345</v>
      </c>
      <c r="F90" s="8" t="s">
        <v>346</v>
      </c>
      <c r="G90" s="9">
        <v>1.0</v>
      </c>
      <c r="H90" s="9">
        <v>1.0</v>
      </c>
      <c r="I90" s="9">
        <v>200.0</v>
      </c>
      <c r="J90" s="6">
        <f t="shared" ref="J90:J99" si="11">I90*H90</f>
        <v>200</v>
      </c>
      <c r="K90" s="6" t="s">
        <v>347</v>
      </c>
      <c r="L90" s="7" t="s">
        <v>21</v>
      </c>
      <c r="M90" s="6"/>
      <c r="N90" s="7"/>
      <c r="O90" s="10" t="s">
        <v>348</v>
      </c>
      <c r="P90" s="6" t="str">
        <f>IMAGE("https://m.media-amazon.com/images/I/71NdWJD1LKL._SL1500_.jpg",1)</f>
        <v/>
      </c>
      <c r="Q90" s="64" t="s">
        <v>1689</v>
      </c>
      <c r="R90" s="65" t="s">
        <v>1691</v>
      </c>
      <c r="S90" s="66"/>
      <c r="T90" s="12"/>
      <c r="U90" s="11">
        <v>0.0</v>
      </c>
      <c r="V90" s="12"/>
      <c r="W90" s="12"/>
      <c r="X90" s="12"/>
      <c r="Y90" s="12"/>
      <c r="Z90" s="67"/>
      <c r="AA90" s="12"/>
      <c r="AB90" s="12"/>
      <c r="AC90" s="67"/>
      <c r="AD90" s="12"/>
      <c r="AE90" s="12"/>
      <c r="AF90" s="12"/>
    </row>
    <row r="91" ht="45.0" customHeight="1">
      <c r="A91" s="6">
        <v>75.0</v>
      </c>
      <c r="B91" s="6" t="s">
        <v>342</v>
      </c>
      <c r="C91" s="6" t="s">
        <v>349</v>
      </c>
      <c r="D91" s="6" t="s">
        <v>350</v>
      </c>
      <c r="E91" s="7" t="s">
        <v>351</v>
      </c>
      <c r="F91" s="8" t="s">
        <v>346</v>
      </c>
      <c r="G91" s="9">
        <v>1.0</v>
      </c>
      <c r="H91" s="9">
        <v>1.0</v>
      </c>
      <c r="I91" s="9">
        <v>180.0</v>
      </c>
      <c r="J91" s="6">
        <f t="shared" si="11"/>
        <v>180</v>
      </c>
      <c r="K91" s="6" t="s">
        <v>347</v>
      </c>
      <c r="L91" s="7"/>
      <c r="M91" s="7"/>
      <c r="N91" s="7" t="s">
        <v>352</v>
      </c>
      <c r="O91" s="10" t="s">
        <v>353</v>
      </c>
      <c r="P91" s="6" t="str">
        <f>IMAGE("https://m.media-amazon.com/images/I/41GBeFsg3kL.jpg",1)</f>
        <v/>
      </c>
      <c r="Q91" s="64"/>
      <c r="R91" s="65"/>
      <c r="S91" s="66"/>
      <c r="T91" s="12"/>
      <c r="U91" s="11">
        <v>0.0</v>
      </c>
      <c r="V91" s="12"/>
      <c r="W91" s="12"/>
      <c r="X91" s="12"/>
      <c r="Y91" s="12"/>
      <c r="Z91" s="67"/>
      <c r="AA91" s="12"/>
      <c r="AB91" s="12"/>
      <c r="AC91" s="67"/>
      <c r="AD91" s="12"/>
      <c r="AE91" s="12"/>
      <c r="AF91" s="12"/>
    </row>
    <row r="92" ht="45.0" customHeight="1">
      <c r="A92" s="6">
        <v>76.0</v>
      </c>
      <c r="B92" s="6" t="s">
        <v>342</v>
      </c>
      <c r="C92" s="6" t="s">
        <v>354</v>
      </c>
      <c r="D92" s="6" t="s">
        <v>355</v>
      </c>
      <c r="E92" s="7" t="s">
        <v>356</v>
      </c>
      <c r="F92" s="8" t="s">
        <v>346</v>
      </c>
      <c r="G92" s="9">
        <v>1.0</v>
      </c>
      <c r="H92" s="9">
        <v>1.0</v>
      </c>
      <c r="I92" s="9">
        <v>300.0</v>
      </c>
      <c r="J92" s="6">
        <f t="shared" si="11"/>
        <v>300</v>
      </c>
      <c r="K92" s="6" t="s">
        <v>347</v>
      </c>
      <c r="L92" s="7" t="s">
        <v>77</v>
      </c>
      <c r="M92" s="7"/>
      <c r="N92" s="7"/>
      <c r="O92" s="10" t="s">
        <v>357</v>
      </c>
      <c r="P92" s="6" t="str">
        <f>IMAGE("https://services.ibo.com/media/v1/products/images/db78032d-e5ba-4c4c-bc8f-110fa0021b77/stanley-sta7221xjin-16-pc-drilling-and-screwdriving-set-1.jpeg",1)</f>
        <v/>
      </c>
      <c r="Q92" s="71" t="s">
        <v>1689</v>
      </c>
      <c r="R92" s="65" t="s">
        <v>1692</v>
      </c>
      <c r="S92" s="66"/>
      <c r="T92" s="12"/>
      <c r="U92" s="11">
        <v>0.0</v>
      </c>
      <c r="V92" s="5"/>
      <c r="W92" s="5"/>
      <c r="X92" s="5"/>
      <c r="Y92" s="5"/>
      <c r="Z92" s="63"/>
      <c r="AA92" s="5"/>
      <c r="AB92" s="5"/>
      <c r="AC92" s="63"/>
      <c r="AD92" s="5"/>
      <c r="AE92" s="5"/>
      <c r="AF92" s="5"/>
    </row>
    <row r="93" ht="45.0" customHeight="1">
      <c r="A93" s="6">
        <v>77.0</v>
      </c>
      <c r="B93" s="6" t="s">
        <v>342</v>
      </c>
      <c r="C93" s="6" t="s">
        <v>358</v>
      </c>
      <c r="D93" s="6" t="s">
        <v>359</v>
      </c>
      <c r="E93" s="7" t="s">
        <v>360</v>
      </c>
      <c r="F93" s="8" t="s">
        <v>346</v>
      </c>
      <c r="G93" s="9">
        <v>1.0</v>
      </c>
      <c r="H93" s="9">
        <v>1.0</v>
      </c>
      <c r="I93" s="9">
        <v>2500.0</v>
      </c>
      <c r="J93" s="6">
        <f t="shared" si="11"/>
        <v>2500</v>
      </c>
      <c r="K93" s="6" t="s">
        <v>347</v>
      </c>
      <c r="L93" s="7" t="s">
        <v>21</v>
      </c>
      <c r="M93" s="7"/>
      <c r="N93" s="7"/>
      <c r="O93" s="10" t="s">
        <v>361</v>
      </c>
      <c r="P93" s="6" t="str">
        <f>IMAGE("https://cdn.moglix.com/p/Rn8lZopeAizs5-xxlarge.jpg",1)</f>
        <v/>
      </c>
      <c r="Q93" s="71" t="s">
        <v>1689</v>
      </c>
      <c r="R93" s="65" t="s">
        <v>1693</v>
      </c>
      <c r="S93" s="66"/>
      <c r="T93" s="12"/>
      <c r="U93" s="11">
        <v>1.0</v>
      </c>
      <c r="V93" s="12"/>
      <c r="W93" s="12"/>
      <c r="X93" s="12"/>
      <c r="Y93" s="12"/>
      <c r="Z93" s="67"/>
      <c r="AA93" s="12"/>
      <c r="AB93" s="12"/>
      <c r="AC93" s="67"/>
      <c r="AD93" s="12"/>
      <c r="AE93" s="12"/>
      <c r="AF93" s="12"/>
    </row>
    <row r="94" ht="45.0" customHeight="1">
      <c r="A94" s="6">
        <v>78.0</v>
      </c>
      <c r="B94" s="6" t="s">
        <v>342</v>
      </c>
      <c r="C94" s="6" t="s">
        <v>362</v>
      </c>
      <c r="D94" s="6" t="s">
        <v>363</v>
      </c>
      <c r="E94" s="7" t="s">
        <v>364</v>
      </c>
      <c r="F94" s="8" t="s">
        <v>346</v>
      </c>
      <c r="G94" s="9">
        <v>1.0</v>
      </c>
      <c r="H94" s="9">
        <v>1.0</v>
      </c>
      <c r="I94" s="9">
        <v>500.0</v>
      </c>
      <c r="J94" s="6">
        <f t="shared" si="11"/>
        <v>500</v>
      </c>
      <c r="K94" s="6" t="s">
        <v>347</v>
      </c>
      <c r="L94" s="7"/>
      <c r="M94" s="7"/>
      <c r="N94" s="7"/>
      <c r="O94" s="10" t="s">
        <v>365</v>
      </c>
      <c r="P94" s="6" t="str">
        <f>IMAGE("https://m.media-amazon.com/images/I/51wli9aWH9S._SL1000_.jpg",1)</f>
        <v/>
      </c>
      <c r="Q94" s="71" t="s">
        <v>1684</v>
      </c>
      <c r="R94" s="65">
        <v>60.0</v>
      </c>
      <c r="S94" s="66"/>
      <c r="T94" s="12"/>
      <c r="U94" s="11">
        <v>0.0</v>
      </c>
      <c r="V94" s="12"/>
      <c r="W94" s="12"/>
      <c r="X94" s="12"/>
      <c r="Y94" s="12"/>
      <c r="Z94" s="67"/>
      <c r="AA94" s="12"/>
      <c r="AB94" s="12"/>
      <c r="AC94" s="67"/>
      <c r="AD94" s="12"/>
      <c r="AE94" s="12"/>
      <c r="AF94" s="12"/>
    </row>
    <row r="95" ht="45.0" customHeight="1">
      <c r="A95" s="6">
        <v>79.0</v>
      </c>
      <c r="B95" s="6" t="s">
        <v>342</v>
      </c>
      <c r="C95" s="6" t="s">
        <v>366</v>
      </c>
      <c r="D95" s="6" t="s">
        <v>367</v>
      </c>
      <c r="E95" s="7" t="s">
        <v>368</v>
      </c>
      <c r="F95" s="8" t="s">
        <v>346</v>
      </c>
      <c r="G95" s="9">
        <v>20.0</v>
      </c>
      <c r="H95" s="9">
        <v>20.0</v>
      </c>
      <c r="I95" s="9">
        <v>5.0</v>
      </c>
      <c r="J95" s="6">
        <f t="shared" si="11"/>
        <v>100</v>
      </c>
      <c r="K95" s="6" t="s">
        <v>347</v>
      </c>
      <c r="L95" s="7"/>
      <c r="M95" s="7"/>
      <c r="N95" s="7"/>
      <c r="O95" s="10" t="s">
        <v>369</v>
      </c>
      <c r="P95" s="6" t="str">
        <f>IMAGE("https://res.cloudinary.com/rsc/image/upload/b_rgb:FFFFFF,c_pad,dpr_1.0,f_auto,q_auto,w_700/c_pad,w_700/C4847566-05",1)</f>
        <v/>
      </c>
      <c r="Q95" s="64"/>
      <c r="R95" s="65"/>
      <c r="S95" s="66"/>
      <c r="T95" s="5"/>
      <c r="U95" s="14">
        <v>0.0</v>
      </c>
      <c r="V95" s="12"/>
      <c r="W95" s="12"/>
      <c r="X95" s="12"/>
      <c r="Y95" s="12"/>
      <c r="Z95" s="67"/>
      <c r="AA95" s="12"/>
      <c r="AB95" s="12"/>
      <c r="AC95" s="67"/>
      <c r="AD95" s="12"/>
      <c r="AE95" s="12"/>
      <c r="AF95" s="12"/>
    </row>
    <row r="96" ht="45.0" customHeight="1">
      <c r="A96" s="6">
        <v>80.0</v>
      </c>
      <c r="B96" s="6" t="s">
        <v>342</v>
      </c>
      <c r="C96" s="6" t="s">
        <v>370</v>
      </c>
      <c r="D96" s="6" t="s">
        <v>371</v>
      </c>
      <c r="E96" s="7" t="s">
        <v>372</v>
      </c>
      <c r="F96" s="8" t="s">
        <v>346</v>
      </c>
      <c r="G96" s="9">
        <v>1.0</v>
      </c>
      <c r="H96" s="9">
        <v>1.0</v>
      </c>
      <c r="I96" s="9">
        <v>150.0</v>
      </c>
      <c r="J96" s="6">
        <f t="shared" si="11"/>
        <v>150</v>
      </c>
      <c r="K96" s="6" t="s">
        <v>347</v>
      </c>
      <c r="L96" s="7"/>
      <c r="M96" s="7"/>
      <c r="N96" s="7"/>
      <c r="O96" s="10"/>
      <c r="P96" s="6" t="str">
        <f>IMAGE("https://5.imimg.com/data5/JR/LF/GK/SELLER-30390418/hacksaw-500x500.png",1)</f>
        <v/>
      </c>
      <c r="Q96" s="71" t="s">
        <v>1689</v>
      </c>
      <c r="R96" s="65"/>
      <c r="S96" s="66"/>
      <c r="T96" s="5"/>
      <c r="U96" s="14">
        <v>0.0</v>
      </c>
      <c r="V96" s="12"/>
      <c r="W96" s="12"/>
      <c r="X96" s="12"/>
      <c r="Y96" s="12"/>
      <c r="Z96" s="67"/>
      <c r="AA96" s="12"/>
      <c r="AB96" s="12"/>
      <c r="AC96" s="67"/>
      <c r="AD96" s="12"/>
      <c r="AE96" s="12"/>
      <c r="AF96" s="12"/>
    </row>
    <row r="97" ht="45.0" customHeight="1">
      <c r="A97" s="6">
        <v>81.0</v>
      </c>
      <c r="B97" s="6" t="s">
        <v>342</v>
      </c>
      <c r="C97" s="6" t="s">
        <v>373</v>
      </c>
      <c r="D97" s="6" t="s">
        <v>374</v>
      </c>
      <c r="E97" s="7" t="s">
        <v>375</v>
      </c>
      <c r="F97" s="8" t="s">
        <v>346</v>
      </c>
      <c r="G97" s="9">
        <v>5.0</v>
      </c>
      <c r="H97" s="9">
        <v>5.0</v>
      </c>
      <c r="I97" s="9">
        <v>170.0</v>
      </c>
      <c r="J97" s="6">
        <f t="shared" si="11"/>
        <v>850</v>
      </c>
      <c r="K97" s="6" t="s">
        <v>347</v>
      </c>
      <c r="L97" s="7"/>
      <c r="M97" s="7"/>
      <c r="N97" s="7"/>
      <c r="O97" s="10" t="s">
        <v>376</v>
      </c>
      <c r="P97" s="6" t="str">
        <f>IMAGE("https://encrypted-tbn0.gstatic.com/images?q=tbn:ANd9GcRnlFGDkPLnXJSjTXFe7fzQ2kj51brspxAcjVtkmgU5NgUWN5-EbmbNTptE-Y3t4g8lr84&amp;usqp=CAU",1)</f>
        <v/>
      </c>
      <c r="Q97" s="71" t="s">
        <v>1689</v>
      </c>
      <c r="R97" s="65" t="s">
        <v>1694</v>
      </c>
      <c r="S97" s="66"/>
      <c r="T97" s="5"/>
      <c r="U97" s="14">
        <v>0.0</v>
      </c>
      <c r="V97" s="5"/>
      <c r="W97" s="5"/>
      <c r="X97" s="5"/>
      <c r="Y97" s="5"/>
      <c r="Z97" s="63"/>
      <c r="AA97" s="5"/>
      <c r="AB97" s="5"/>
      <c r="AC97" s="63"/>
      <c r="AD97" s="5"/>
      <c r="AE97" s="5"/>
      <c r="AF97" s="5"/>
    </row>
    <row r="98" ht="45.0" customHeight="1">
      <c r="A98" s="6">
        <v>82.0</v>
      </c>
      <c r="B98" s="6" t="s">
        <v>342</v>
      </c>
      <c r="C98" s="6" t="s">
        <v>377</v>
      </c>
      <c r="D98" s="6" t="s">
        <v>378</v>
      </c>
      <c r="E98" s="7" t="s">
        <v>379</v>
      </c>
      <c r="F98" s="8" t="s">
        <v>346</v>
      </c>
      <c r="G98" s="9">
        <v>2.0</v>
      </c>
      <c r="H98" s="9">
        <v>2.0</v>
      </c>
      <c r="I98" s="9">
        <v>500.0</v>
      </c>
      <c r="J98" s="6">
        <f t="shared" si="11"/>
        <v>1000</v>
      </c>
      <c r="K98" s="6" t="s">
        <v>347</v>
      </c>
      <c r="L98" s="7"/>
      <c r="M98" s="7"/>
      <c r="N98" s="7"/>
      <c r="O98" s="10" t="s">
        <v>156</v>
      </c>
      <c r="P98" s="6" t="str">
        <f>IMAGE("https://www.stanleytools.me/EMEA/PRODUCT/IMAGES/HIRES/STHT0-10194/STHT0-10194_1.jpg?resize=530x530",1)</f>
        <v/>
      </c>
      <c r="Q98" s="71" t="s">
        <v>1689</v>
      </c>
      <c r="R98" s="65" t="s">
        <v>1695</v>
      </c>
      <c r="S98" s="66"/>
      <c r="T98" s="5"/>
      <c r="U98" s="14">
        <v>0.0</v>
      </c>
      <c r="V98" s="5"/>
      <c r="W98" s="5"/>
      <c r="X98" s="5"/>
      <c r="Y98" s="5"/>
      <c r="Z98" s="63"/>
      <c r="AA98" s="5"/>
      <c r="AB98" s="5"/>
      <c r="AC98" s="63"/>
      <c r="AD98" s="5"/>
      <c r="AE98" s="5"/>
      <c r="AF98" s="5"/>
    </row>
    <row r="99" ht="45.0" customHeight="1">
      <c r="A99" s="6">
        <v>83.0</v>
      </c>
      <c r="B99" s="6" t="s">
        <v>342</v>
      </c>
      <c r="C99" s="6" t="s">
        <v>380</v>
      </c>
      <c r="D99" s="6" t="s">
        <v>381</v>
      </c>
      <c r="E99" s="7" t="s">
        <v>382</v>
      </c>
      <c r="F99" s="8" t="s">
        <v>346</v>
      </c>
      <c r="G99" s="9">
        <v>10.0</v>
      </c>
      <c r="H99" s="9">
        <v>10.0</v>
      </c>
      <c r="I99" s="9">
        <v>80.0</v>
      </c>
      <c r="J99" s="6">
        <f t="shared" si="11"/>
        <v>800</v>
      </c>
      <c r="K99" s="6" t="s">
        <v>347</v>
      </c>
      <c r="L99" s="7"/>
      <c r="M99" s="7"/>
      <c r="N99" s="7"/>
      <c r="O99" s="10" t="s">
        <v>383</v>
      </c>
      <c r="P99" s="6" t="str">
        <f>IMAGE("https://sc04.alicdn.com/kf/HTB1fK8lXPvuK1Rjy0Faq6x2aVXa5.jpg",1)</f>
        <v/>
      </c>
      <c r="Q99" s="71" t="s">
        <v>1689</v>
      </c>
      <c r="R99" s="65"/>
      <c r="S99" s="66"/>
      <c r="T99" s="12"/>
      <c r="U99" s="11">
        <v>0.0</v>
      </c>
      <c r="V99" s="5"/>
      <c r="W99" s="5"/>
      <c r="X99" s="5"/>
      <c r="Y99" s="5"/>
      <c r="Z99" s="63"/>
      <c r="AA99" s="5"/>
      <c r="AB99" s="5"/>
      <c r="AC99" s="63"/>
      <c r="AD99" s="5"/>
      <c r="AE99" s="5"/>
      <c r="AF99" s="5"/>
    </row>
    <row r="100" ht="45.0" customHeight="1">
      <c r="A100" s="6">
        <v>84.0</v>
      </c>
      <c r="B100" s="6" t="s">
        <v>342</v>
      </c>
      <c r="C100" s="6" t="s">
        <v>384</v>
      </c>
      <c r="D100" s="6" t="s">
        <v>385</v>
      </c>
      <c r="E100" s="7" t="s">
        <v>386</v>
      </c>
      <c r="F100" s="8" t="s">
        <v>346</v>
      </c>
      <c r="G100" s="6">
        <v>1.0</v>
      </c>
      <c r="H100" s="6">
        <v>1.0</v>
      </c>
      <c r="I100" s="6">
        <v>3500.0</v>
      </c>
      <c r="J100" s="6">
        <v>3500.0</v>
      </c>
      <c r="K100" s="6" t="s">
        <v>347</v>
      </c>
      <c r="L100" s="7"/>
      <c r="M100" s="7"/>
      <c r="N100" s="7"/>
      <c r="O100" s="10"/>
      <c r="P100" s="6" t="str">
        <f>IMAGE("https://asia.blackanddecker.global/ASIA/PRODUCT/IMAGES/HIRES/RT18KA-B1/RT18KA_1.jpg?resize=530x530", 1)</f>
        <v/>
      </c>
      <c r="Q100" s="71" t="s">
        <v>1689</v>
      </c>
      <c r="R100" s="65"/>
      <c r="S100" s="66"/>
      <c r="T100" s="12"/>
      <c r="U100" s="11">
        <v>1.0</v>
      </c>
      <c r="V100" s="5"/>
      <c r="W100" s="5"/>
      <c r="X100" s="5"/>
      <c r="Y100" s="5"/>
      <c r="Z100" s="63"/>
      <c r="AA100" s="5"/>
      <c r="AB100" s="5"/>
      <c r="AC100" s="63"/>
      <c r="AD100" s="5"/>
      <c r="AE100" s="5"/>
      <c r="AF100" s="5"/>
    </row>
    <row r="101" ht="45.0" customHeight="1">
      <c r="A101" s="6">
        <v>85.0</v>
      </c>
      <c r="B101" s="6" t="s">
        <v>342</v>
      </c>
      <c r="C101" s="6" t="s">
        <v>387</v>
      </c>
      <c r="D101" s="6" t="s">
        <v>388</v>
      </c>
      <c r="E101" s="7" t="s">
        <v>389</v>
      </c>
      <c r="F101" s="8" t="s">
        <v>346</v>
      </c>
      <c r="G101" s="9">
        <v>5.0</v>
      </c>
      <c r="H101" s="9">
        <v>5.0</v>
      </c>
      <c r="I101" s="9">
        <v>50.0</v>
      </c>
      <c r="J101" s="6">
        <f t="shared" ref="J101:J105" si="12">I101*H101</f>
        <v>250</v>
      </c>
      <c r="K101" s="6" t="s">
        <v>347</v>
      </c>
      <c r="L101" s="7" t="s">
        <v>77</v>
      </c>
      <c r="M101" s="16" t="s">
        <v>65</v>
      </c>
      <c r="N101" s="7"/>
      <c r="O101" s="10" t="s">
        <v>390</v>
      </c>
      <c r="P101" s="6" t="str">
        <f>IMAGE("https://m.media-amazon.com/images/I/518vUksgebL._SL1100_.jpg",1)</f>
        <v/>
      </c>
      <c r="Q101" s="64"/>
      <c r="R101" s="65"/>
      <c r="S101" s="66"/>
      <c r="T101" s="12"/>
      <c r="U101" s="11">
        <v>0.0</v>
      </c>
      <c r="V101" s="12"/>
      <c r="W101" s="12"/>
      <c r="X101" s="12"/>
      <c r="Y101" s="12"/>
      <c r="Z101" s="67"/>
      <c r="AA101" s="12"/>
      <c r="AB101" s="12"/>
      <c r="AC101" s="67"/>
      <c r="AD101" s="12"/>
      <c r="AE101" s="12"/>
      <c r="AF101" s="12"/>
    </row>
    <row r="102" ht="45.0" customHeight="1">
      <c r="A102" s="6">
        <v>86.0</v>
      </c>
      <c r="B102" s="6" t="s">
        <v>342</v>
      </c>
      <c r="C102" s="6" t="s">
        <v>391</v>
      </c>
      <c r="D102" s="6" t="s">
        <v>392</v>
      </c>
      <c r="E102" s="7" t="s">
        <v>393</v>
      </c>
      <c r="F102" s="8" t="s">
        <v>346</v>
      </c>
      <c r="G102" s="9">
        <v>5.0</v>
      </c>
      <c r="H102" s="9">
        <v>5.0</v>
      </c>
      <c r="I102" s="9">
        <v>50.0</v>
      </c>
      <c r="J102" s="6">
        <f t="shared" si="12"/>
        <v>250</v>
      </c>
      <c r="K102" s="6" t="s">
        <v>347</v>
      </c>
      <c r="L102" s="7" t="s">
        <v>77</v>
      </c>
      <c r="M102" s="16" t="s">
        <v>65</v>
      </c>
      <c r="N102" s="7"/>
      <c r="O102" s="10" t="s">
        <v>394</v>
      </c>
      <c r="P102" s="6" t="str">
        <f>IMAGE("https://rukminim1.flixcart.com/image/416/416/jidg9zk0/art-craft-kit/f/g/a/9mm-snap-off-precision-blades-30-degree-blades-100-blade-pack-1-original-imaf66g6ahvgzem3.jpeg?q=70",1)</f>
        <v/>
      </c>
      <c r="Q102" s="64"/>
      <c r="R102" s="65"/>
      <c r="S102" s="66"/>
      <c r="T102" s="12"/>
      <c r="U102" s="11">
        <v>0.0</v>
      </c>
      <c r="V102" s="12"/>
      <c r="W102" s="12"/>
      <c r="X102" s="12"/>
      <c r="Y102" s="12"/>
      <c r="Z102" s="67"/>
      <c r="AA102" s="12"/>
      <c r="AB102" s="12"/>
      <c r="AC102" s="67"/>
      <c r="AD102" s="12"/>
      <c r="AE102" s="12"/>
      <c r="AF102" s="12"/>
    </row>
    <row r="103" ht="45.0" customHeight="1">
      <c r="A103" s="6">
        <v>87.0</v>
      </c>
      <c r="B103" s="6" t="s">
        <v>342</v>
      </c>
      <c r="C103" s="6" t="s">
        <v>395</v>
      </c>
      <c r="D103" s="6" t="s">
        <v>396</v>
      </c>
      <c r="E103" s="7" t="s">
        <v>397</v>
      </c>
      <c r="F103" s="8" t="s">
        <v>346</v>
      </c>
      <c r="G103" s="9">
        <v>5.0</v>
      </c>
      <c r="H103" s="9">
        <v>5.0</v>
      </c>
      <c r="I103" s="9">
        <v>100.0</v>
      </c>
      <c r="J103" s="6">
        <f t="shared" si="12"/>
        <v>500</v>
      </c>
      <c r="K103" s="6" t="s">
        <v>347</v>
      </c>
      <c r="L103" s="7" t="s">
        <v>77</v>
      </c>
      <c r="M103" s="16" t="s">
        <v>65</v>
      </c>
      <c r="N103" s="7"/>
      <c r="O103" s="10" t="s">
        <v>398</v>
      </c>
      <c r="P103" s="6" t="str">
        <f>IMAGE("https://m.media-amazon.com/images/I/31u15vg7r0L._SX342_.jpg",1)</f>
        <v/>
      </c>
      <c r="Q103" s="71" t="s">
        <v>1689</v>
      </c>
      <c r="R103" s="65"/>
      <c r="S103" s="66"/>
      <c r="T103" s="12"/>
      <c r="U103" s="11">
        <v>0.0</v>
      </c>
      <c r="V103" s="12"/>
      <c r="W103" s="12"/>
      <c r="X103" s="12"/>
      <c r="Y103" s="12"/>
      <c r="Z103" s="67"/>
      <c r="AA103" s="12"/>
      <c r="AB103" s="12"/>
      <c r="AC103" s="67"/>
      <c r="AD103" s="12"/>
      <c r="AE103" s="12"/>
      <c r="AF103" s="12"/>
    </row>
    <row r="104" ht="45.0" customHeight="1">
      <c r="A104" s="6">
        <v>88.0</v>
      </c>
      <c r="B104" s="6" t="s">
        <v>342</v>
      </c>
      <c r="C104" s="6" t="s">
        <v>399</v>
      </c>
      <c r="D104" s="6" t="s">
        <v>400</v>
      </c>
      <c r="E104" s="7" t="s">
        <v>401</v>
      </c>
      <c r="F104" s="8" t="s">
        <v>346</v>
      </c>
      <c r="G104" s="9">
        <v>10.0</v>
      </c>
      <c r="H104" s="9">
        <v>10.0</v>
      </c>
      <c r="I104" s="9">
        <v>100.0</v>
      </c>
      <c r="J104" s="6">
        <f t="shared" si="12"/>
        <v>1000</v>
      </c>
      <c r="K104" s="6" t="s">
        <v>347</v>
      </c>
      <c r="L104" s="7" t="s">
        <v>77</v>
      </c>
      <c r="M104" s="6"/>
      <c r="N104" s="6"/>
      <c r="O104" s="10" t="s">
        <v>402</v>
      </c>
      <c r="P104" s="6" t="str">
        <f>IMAGE("https://hydetools.com/wp-content/uploads/2019/09/42046b.jpg",1)</f>
        <v/>
      </c>
      <c r="Q104" s="64"/>
      <c r="R104" s="65"/>
      <c r="S104" s="66"/>
      <c r="T104" s="12"/>
      <c r="U104" s="11">
        <v>0.0</v>
      </c>
      <c r="V104" s="12"/>
      <c r="W104" s="12"/>
      <c r="X104" s="12"/>
      <c r="Y104" s="12"/>
      <c r="Z104" s="67"/>
      <c r="AA104" s="12"/>
      <c r="AB104" s="12"/>
      <c r="AC104" s="67"/>
      <c r="AD104" s="12"/>
      <c r="AE104" s="12"/>
      <c r="AF104" s="12"/>
    </row>
    <row r="105" ht="45.0" customHeight="1">
      <c r="A105" s="6">
        <v>89.0</v>
      </c>
      <c r="B105" s="6" t="s">
        <v>342</v>
      </c>
      <c r="C105" s="6" t="s">
        <v>403</v>
      </c>
      <c r="D105" s="6" t="s">
        <v>404</v>
      </c>
      <c r="E105" s="7" t="s">
        <v>405</v>
      </c>
      <c r="F105" s="8" t="s">
        <v>346</v>
      </c>
      <c r="G105" s="9">
        <v>10.0</v>
      </c>
      <c r="H105" s="9">
        <v>10.0</v>
      </c>
      <c r="I105" s="9">
        <v>100.0</v>
      </c>
      <c r="J105" s="6">
        <f t="shared" si="12"/>
        <v>1000</v>
      </c>
      <c r="K105" s="6" t="s">
        <v>347</v>
      </c>
      <c r="L105" s="7" t="s">
        <v>21</v>
      </c>
      <c r="M105" s="6"/>
      <c r="N105" s="6"/>
      <c r="O105" s="10" t="s">
        <v>406</v>
      </c>
      <c r="P105" s="6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Q105" s="64"/>
      <c r="R105" s="65"/>
      <c r="S105" s="66"/>
      <c r="T105" s="12"/>
      <c r="U105" s="11">
        <v>0.0</v>
      </c>
      <c r="V105" s="12"/>
      <c r="W105" s="12"/>
      <c r="X105" s="12"/>
      <c r="Y105" s="12"/>
      <c r="Z105" s="67"/>
      <c r="AA105" s="12"/>
      <c r="AB105" s="12"/>
      <c r="AC105" s="67"/>
      <c r="AD105" s="12"/>
      <c r="AE105" s="12"/>
      <c r="AF105" s="12"/>
    </row>
    <row r="106" ht="45.0" customHeight="1">
      <c r="A106" s="6">
        <v>90.0</v>
      </c>
      <c r="B106" s="6" t="s">
        <v>407</v>
      </c>
      <c r="C106" s="6"/>
      <c r="D106" s="6" t="s">
        <v>407</v>
      </c>
      <c r="E106" s="7" t="s">
        <v>408</v>
      </c>
      <c r="F106" s="8" t="s">
        <v>346</v>
      </c>
      <c r="G106" s="9">
        <v>10.0</v>
      </c>
      <c r="H106" s="9">
        <v>10.0</v>
      </c>
      <c r="I106" s="9"/>
      <c r="J106" s="6"/>
      <c r="K106" s="6" t="s">
        <v>347</v>
      </c>
      <c r="L106" s="7" t="s">
        <v>77</v>
      </c>
      <c r="M106" s="6"/>
      <c r="N106" s="6"/>
      <c r="O106" s="10"/>
      <c r="P106" s="6" t="str">
        <f>IMAGE("https://cdn-reichelt.de/bilder/web/xxl_ws/I210/LEITZ_54166095.png",1)</f>
        <v/>
      </c>
      <c r="Q106" s="64"/>
      <c r="R106" s="65"/>
      <c r="S106" s="66"/>
      <c r="T106" s="12"/>
      <c r="U106" s="11">
        <v>0.0</v>
      </c>
      <c r="V106" s="12"/>
      <c r="W106" s="12"/>
      <c r="X106" s="12"/>
      <c r="Y106" s="12"/>
      <c r="Z106" s="67"/>
      <c r="AA106" s="12"/>
      <c r="AB106" s="12"/>
      <c r="AC106" s="67"/>
      <c r="AD106" s="12"/>
      <c r="AE106" s="12"/>
      <c r="AF106" s="12"/>
    </row>
    <row r="107" ht="45.0" customHeight="1">
      <c r="A107" s="6">
        <v>91.0</v>
      </c>
      <c r="B107" s="6" t="s">
        <v>342</v>
      </c>
      <c r="C107" s="6" t="s">
        <v>409</v>
      </c>
      <c r="D107" s="6" t="s">
        <v>410</v>
      </c>
      <c r="E107" s="7" t="s">
        <v>411</v>
      </c>
      <c r="F107" s="8" t="s">
        <v>346</v>
      </c>
      <c r="G107" s="9">
        <v>10.0</v>
      </c>
      <c r="H107" s="9">
        <v>10.0</v>
      </c>
      <c r="I107" s="9">
        <v>150.0</v>
      </c>
      <c r="J107" s="6">
        <f>I107*H107</f>
        <v>1500</v>
      </c>
      <c r="K107" s="6" t="s">
        <v>347</v>
      </c>
      <c r="L107" s="7" t="s">
        <v>21</v>
      </c>
      <c r="M107" s="16" t="s">
        <v>65</v>
      </c>
      <c r="N107" s="7"/>
      <c r="O107" s="10"/>
      <c r="P107" s="6" t="e">
        <v>#VALUE!</v>
      </c>
      <c r="Q107" s="64"/>
      <c r="R107" s="65"/>
      <c r="S107" s="66"/>
      <c r="T107" s="12"/>
      <c r="U107" s="11">
        <v>0.0</v>
      </c>
      <c r="V107" s="12"/>
      <c r="W107" s="12"/>
      <c r="X107" s="12"/>
      <c r="Y107" s="12"/>
      <c r="Z107" s="67"/>
      <c r="AA107" s="12"/>
      <c r="AB107" s="12"/>
      <c r="AC107" s="67"/>
      <c r="AD107" s="12"/>
      <c r="AE107" s="12"/>
      <c r="AF107" s="12"/>
    </row>
    <row r="108" ht="27.75" customHeight="1">
      <c r="A108" s="50" t="s">
        <v>415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2"/>
      <c r="P108" s="53"/>
      <c r="Q108" s="54"/>
      <c r="R108" s="55"/>
      <c r="S108" s="55"/>
      <c r="T108" s="56"/>
      <c r="U108" s="56"/>
      <c r="V108" s="56"/>
      <c r="W108" s="56"/>
      <c r="X108" s="56"/>
      <c r="Y108" s="56"/>
      <c r="Z108" s="57"/>
      <c r="AA108" s="56"/>
      <c r="AB108" s="56"/>
      <c r="AC108" s="57"/>
      <c r="AD108" s="56"/>
      <c r="AE108" s="56"/>
      <c r="AF108" s="56"/>
    </row>
    <row r="109" ht="24.0" customHeight="1">
      <c r="A109" s="59" t="s">
        <v>0</v>
      </c>
      <c r="B109" s="59"/>
      <c r="C109" s="59"/>
      <c r="D109" s="59" t="s">
        <v>1</v>
      </c>
      <c r="E109" s="60" t="s">
        <v>2</v>
      </c>
      <c r="F109" s="59" t="s">
        <v>3</v>
      </c>
      <c r="G109" s="59" t="s">
        <v>4</v>
      </c>
      <c r="H109" s="59" t="s">
        <v>5</v>
      </c>
      <c r="I109" s="59" t="s">
        <v>6</v>
      </c>
      <c r="J109" s="59" t="s">
        <v>7</v>
      </c>
      <c r="K109" s="59" t="s">
        <v>8</v>
      </c>
      <c r="L109" s="60" t="s">
        <v>9</v>
      </c>
      <c r="M109" s="60" t="s">
        <v>10</v>
      </c>
      <c r="N109" s="61" t="s">
        <v>11</v>
      </c>
      <c r="O109" s="59" t="s">
        <v>12</v>
      </c>
      <c r="P109" s="62" t="s">
        <v>13</v>
      </c>
      <c r="Q109" s="4" t="s">
        <v>13</v>
      </c>
      <c r="R109" s="4" t="s">
        <v>13</v>
      </c>
      <c r="S109" s="4" t="s">
        <v>13</v>
      </c>
      <c r="T109" s="4" t="s">
        <v>13</v>
      </c>
      <c r="U109" s="4" t="s">
        <v>14</v>
      </c>
      <c r="V109" s="5"/>
      <c r="W109" s="5"/>
      <c r="X109" s="5"/>
      <c r="Y109" s="5"/>
      <c r="Z109" s="63"/>
      <c r="AA109" s="5"/>
      <c r="AB109" s="5"/>
      <c r="AC109" s="63"/>
      <c r="AD109" s="5"/>
      <c r="AE109" s="5"/>
      <c r="AF109" s="5"/>
    </row>
    <row r="110" ht="45.0" customHeight="1">
      <c r="A110" s="6">
        <v>92.0</v>
      </c>
      <c r="B110" s="6" t="s">
        <v>173</v>
      </c>
      <c r="C110" s="6" t="s">
        <v>412</v>
      </c>
      <c r="D110" s="6" t="s">
        <v>413</v>
      </c>
      <c r="E110" s="7" t="s">
        <v>414</v>
      </c>
      <c r="F110" s="8" t="s">
        <v>415</v>
      </c>
      <c r="G110" s="20">
        <v>12.0</v>
      </c>
      <c r="H110" s="20">
        <v>12.0</v>
      </c>
      <c r="I110" s="6"/>
      <c r="J110" s="6"/>
      <c r="K110" s="6" t="s">
        <v>178</v>
      </c>
      <c r="L110" s="7"/>
      <c r="M110" s="7" t="s">
        <v>249</v>
      </c>
      <c r="N110" s="7" t="s">
        <v>416</v>
      </c>
      <c r="O110" s="10" t="s">
        <v>417</v>
      </c>
      <c r="P110" s="6" t="str">
        <f>IMAGE("https://www.electronicscomp.com/image/cache/catalog/cnc-shield-v3-400x400.jpg",1)</f>
        <v/>
      </c>
      <c r="Q110" s="64"/>
      <c r="R110" s="65"/>
      <c r="S110" s="66"/>
      <c r="T110" s="5"/>
      <c r="U110" s="14">
        <v>0.0</v>
      </c>
      <c r="V110" s="12"/>
      <c r="W110" s="12"/>
      <c r="X110" s="12"/>
      <c r="Y110" s="12"/>
      <c r="Z110" s="67"/>
      <c r="AA110" s="12"/>
      <c r="AB110" s="12"/>
      <c r="AC110" s="67"/>
      <c r="AD110" s="12"/>
      <c r="AE110" s="12"/>
      <c r="AF110" s="12"/>
    </row>
    <row r="111" ht="45.0" customHeight="1">
      <c r="A111" s="6">
        <v>93.0</v>
      </c>
      <c r="B111" s="6" t="s">
        <v>173</v>
      </c>
      <c r="C111" s="6" t="s">
        <v>418</v>
      </c>
      <c r="D111" s="6" t="s">
        <v>419</v>
      </c>
      <c r="E111" s="7" t="s">
        <v>420</v>
      </c>
      <c r="F111" s="8" t="s">
        <v>415</v>
      </c>
      <c r="G111" s="9">
        <v>15.0</v>
      </c>
      <c r="H111" s="9">
        <v>15.0</v>
      </c>
      <c r="I111" s="9">
        <v>400.0</v>
      </c>
      <c r="J111" s="6">
        <f t="shared" ref="J111:J120" si="13">I111*H111</f>
        <v>6000</v>
      </c>
      <c r="K111" s="6" t="s">
        <v>178</v>
      </c>
      <c r="L111" s="7"/>
      <c r="M111" s="7" t="s">
        <v>66</v>
      </c>
      <c r="N111" s="7" t="s">
        <v>421</v>
      </c>
      <c r="O111" s="10" t="s">
        <v>422</v>
      </c>
      <c r="P111" s="6" t="str">
        <f>IMAGE("https://5.imimg.com/data5/VS/XC/MY-4167793/arduino-nano-500x500.jpg",1)</f>
        <v/>
      </c>
      <c r="Q111" s="64" t="s">
        <v>1688</v>
      </c>
      <c r="R111" s="65"/>
      <c r="S111" s="66"/>
      <c r="T111" s="12"/>
      <c r="U111" s="11">
        <v>1.0</v>
      </c>
      <c r="V111" s="12"/>
      <c r="W111" s="12"/>
      <c r="X111" s="12"/>
      <c r="Y111" s="12"/>
      <c r="Z111" s="67"/>
      <c r="AA111" s="12"/>
      <c r="AB111" s="12"/>
      <c r="AC111" s="67"/>
      <c r="AD111" s="12"/>
      <c r="AE111" s="12"/>
      <c r="AF111" s="12"/>
    </row>
    <row r="112" ht="45.0" customHeight="1">
      <c r="A112" s="6">
        <v>94.0</v>
      </c>
      <c r="B112" s="6" t="s">
        <v>173</v>
      </c>
      <c r="C112" s="6" t="s">
        <v>423</v>
      </c>
      <c r="D112" s="6" t="s">
        <v>424</v>
      </c>
      <c r="E112" s="7" t="s">
        <v>425</v>
      </c>
      <c r="F112" s="8" t="s">
        <v>415</v>
      </c>
      <c r="G112" s="9">
        <v>10.0</v>
      </c>
      <c r="H112" s="9">
        <v>10.0</v>
      </c>
      <c r="I112" s="9">
        <v>500.0</v>
      </c>
      <c r="J112" s="6">
        <f t="shared" si="13"/>
        <v>5000</v>
      </c>
      <c r="K112" s="6" t="s">
        <v>178</v>
      </c>
      <c r="L112" s="7"/>
      <c r="M112" s="7" t="s">
        <v>66</v>
      </c>
      <c r="N112" s="7" t="s">
        <v>421</v>
      </c>
      <c r="O112" s="10" t="s">
        <v>426</v>
      </c>
      <c r="P112" s="6" t="str">
        <f>IMAGE("https://robu.in/wp-content/uploads/2017/04/Arduino_NANO_expansion1.jpg",1)</f>
        <v/>
      </c>
      <c r="Q112" s="64" t="s">
        <v>1688</v>
      </c>
      <c r="R112" s="68"/>
      <c r="S112" s="69"/>
      <c r="T112" s="12"/>
      <c r="U112" s="11">
        <v>1.0</v>
      </c>
      <c r="V112" s="12"/>
      <c r="W112" s="12"/>
      <c r="X112" s="12"/>
      <c r="Y112" s="12"/>
      <c r="Z112" s="67"/>
      <c r="AA112" s="12"/>
      <c r="AB112" s="12"/>
      <c r="AC112" s="67"/>
      <c r="AD112" s="12"/>
      <c r="AE112" s="12"/>
      <c r="AF112" s="12"/>
    </row>
    <row r="113" ht="45.0" customHeight="1">
      <c r="A113" s="6">
        <v>95.0</v>
      </c>
      <c r="B113" s="6" t="s">
        <v>173</v>
      </c>
      <c r="C113" s="6" t="s">
        <v>427</v>
      </c>
      <c r="D113" s="6" t="s">
        <v>428</v>
      </c>
      <c r="E113" s="7" t="s">
        <v>429</v>
      </c>
      <c r="F113" s="8" t="s">
        <v>415</v>
      </c>
      <c r="G113" s="9">
        <v>15.0</v>
      </c>
      <c r="H113" s="9">
        <v>15.0</v>
      </c>
      <c r="I113" s="9">
        <v>450.0</v>
      </c>
      <c r="J113" s="6">
        <f t="shared" si="13"/>
        <v>6750</v>
      </c>
      <c r="K113" s="6" t="s">
        <v>178</v>
      </c>
      <c r="L113" s="7"/>
      <c r="M113" s="7" t="s">
        <v>66</v>
      </c>
      <c r="N113" s="7" t="s">
        <v>430</v>
      </c>
      <c r="O113" s="10" t="s">
        <v>431</v>
      </c>
      <c r="P113" s="6" t="str">
        <f>IMAGE("https://robu.in/wp-content/uploads/2017/10/Uno-R3-CH340G-ATmega328p-Development-Board-Compatible-with-Arduino2.png",1)</f>
        <v/>
      </c>
      <c r="Q113" s="64" t="s">
        <v>1688</v>
      </c>
      <c r="R113" s="65"/>
      <c r="S113" s="66"/>
      <c r="T113" s="12"/>
      <c r="U113" s="11">
        <v>1.0</v>
      </c>
      <c r="V113" s="12"/>
      <c r="W113" s="12"/>
      <c r="X113" s="12"/>
      <c r="Y113" s="12"/>
      <c r="Z113" s="67"/>
      <c r="AA113" s="12"/>
      <c r="AB113" s="12"/>
      <c r="AC113" s="67"/>
      <c r="AD113" s="12"/>
      <c r="AE113" s="12"/>
      <c r="AF113" s="12"/>
    </row>
    <row r="114" ht="45.0" customHeight="1">
      <c r="A114" s="6">
        <v>96.0</v>
      </c>
      <c r="B114" s="6" t="s">
        <v>173</v>
      </c>
      <c r="C114" s="6" t="s">
        <v>432</v>
      </c>
      <c r="D114" s="6" t="s">
        <v>433</v>
      </c>
      <c r="E114" s="7" t="s">
        <v>434</v>
      </c>
      <c r="F114" s="8" t="s">
        <v>415</v>
      </c>
      <c r="G114" s="9">
        <v>10.0</v>
      </c>
      <c r="H114" s="9">
        <v>10.0</v>
      </c>
      <c r="I114" s="9">
        <v>700.0</v>
      </c>
      <c r="J114" s="6">
        <f t="shared" si="13"/>
        <v>7000</v>
      </c>
      <c r="K114" s="6" t="s">
        <v>178</v>
      </c>
      <c r="L114" s="7"/>
      <c r="M114" s="7" t="s">
        <v>66</v>
      </c>
      <c r="N114" s="7" t="s">
        <v>430</v>
      </c>
      <c r="O114" s="10" t="s">
        <v>435</v>
      </c>
      <c r="P114" s="6" t="str">
        <f>IMAGE("https://robu.in/wp-content/uploads/2015/11/SKU-6337.png",1)</f>
        <v/>
      </c>
      <c r="Q114" s="64" t="s">
        <v>1688</v>
      </c>
      <c r="R114" s="65"/>
      <c r="S114" s="66"/>
      <c r="T114" s="12"/>
      <c r="U114" s="11">
        <v>1.0</v>
      </c>
      <c r="V114" s="12"/>
      <c r="W114" s="12"/>
      <c r="X114" s="12"/>
      <c r="Y114" s="12"/>
      <c r="Z114" s="67"/>
      <c r="AA114" s="12"/>
      <c r="AB114" s="12"/>
      <c r="AC114" s="67"/>
      <c r="AD114" s="12"/>
      <c r="AE114" s="12"/>
      <c r="AF114" s="12"/>
    </row>
    <row r="115" ht="45.0" customHeight="1">
      <c r="A115" s="6">
        <v>97.0</v>
      </c>
      <c r="B115" s="6" t="s">
        <v>173</v>
      </c>
      <c r="C115" s="6" t="s">
        <v>436</v>
      </c>
      <c r="D115" s="6" t="s">
        <v>437</v>
      </c>
      <c r="E115" s="7" t="s">
        <v>438</v>
      </c>
      <c r="F115" s="8" t="s">
        <v>415</v>
      </c>
      <c r="G115" s="9">
        <v>10.0</v>
      </c>
      <c r="H115" s="9">
        <v>10.0</v>
      </c>
      <c r="I115" s="9">
        <v>150.0</v>
      </c>
      <c r="J115" s="6">
        <f t="shared" si="13"/>
        <v>1500</v>
      </c>
      <c r="K115" s="6" t="s">
        <v>178</v>
      </c>
      <c r="L115" s="7"/>
      <c r="M115" s="7" t="s">
        <v>193</v>
      </c>
      <c r="N115" s="7" t="s">
        <v>438</v>
      </c>
      <c r="O115" s="10" t="s">
        <v>439</v>
      </c>
      <c r="P115" s="6" t="str">
        <f>IMAGE("https://www.electronicscomp.com/image/cache/catalog/esp8266-esp01-wifi-module-india-800x800.jpg",1)</f>
        <v/>
      </c>
      <c r="Q115" s="64" t="s">
        <v>1688</v>
      </c>
      <c r="R115" s="65"/>
      <c r="S115" s="66"/>
      <c r="T115" s="12"/>
      <c r="U115" s="11">
        <v>1.0</v>
      </c>
      <c r="V115" s="12"/>
      <c r="W115" s="12"/>
      <c r="X115" s="12"/>
      <c r="Y115" s="12"/>
      <c r="Z115" s="67"/>
      <c r="AA115" s="12"/>
      <c r="AB115" s="12"/>
      <c r="AC115" s="67"/>
      <c r="AD115" s="12"/>
      <c r="AE115" s="12"/>
      <c r="AF115" s="12"/>
    </row>
    <row r="116" ht="45.0" customHeight="1">
      <c r="A116" s="6">
        <v>98.0</v>
      </c>
      <c r="B116" s="6" t="s">
        <v>173</v>
      </c>
      <c r="C116" s="6" t="s">
        <v>436</v>
      </c>
      <c r="D116" s="6" t="s">
        <v>440</v>
      </c>
      <c r="E116" s="7" t="s">
        <v>441</v>
      </c>
      <c r="F116" s="8" t="s">
        <v>415</v>
      </c>
      <c r="G116" s="9">
        <v>10.0</v>
      </c>
      <c r="H116" s="9">
        <v>10.0</v>
      </c>
      <c r="I116" s="9">
        <v>300.0</v>
      </c>
      <c r="J116" s="6">
        <f t="shared" si="13"/>
        <v>3000</v>
      </c>
      <c r="K116" s="6" t="s">
        <v>178</v>
      </c>
      <c r="L116" s="7"/>
      <c r="M116" s="7" t="s">
        <v>66</v>
      </c>
      <c r="N116" s="7" t="s">
        <v>442</v>
      </c>
      <c r="O116" s="10" t="s">
        <v>443</v>
      </c>
      <c r="P116" s="6" t="str">
        <f>IMAGE("https://makerselectronics.com/wp-content/uploads/2020/07/ESP32-CAM-2.jpg",1)</f>
        <v/>
      </c>
      <c r="Q116" s="64" t="s">
        <v>1688</v>
      </c>
      <c r="R116" s="65"/>
      <c r="S116" s="66"/>
      <c r="T116" s="12"/>
      <c r="U116" s="11">
        <v>1.0</v>
      </c>
      <c r="V116" s="5"/>
      <c r="W116" s="5"/>
      <c r="X116" s="5"/>
      <c r="Y116" s="5"/>
      <c r="Z116" s="63"/>
      <c r="AA116" s="5"/>
      <c r="AB116" s="5"/>
      <c r="AC116" s="63"/>
      <c r="AD116" s="5"/>
      <c r="AE116" s="5"/>
      <c r="AF116" s="5"/>
    </row>
    <row r="117" ht="45.0" customHeight="1">
      <c r="A117" s="6">
        <v>99.0</v>
      </c>
      <c r="B117" s="6" t="s">
        <v>173</v>
      </c>
      <c r="C117" s="6" t="s">
        <v>444</v>
      </c>
      <c r="D117" s="6" t="s">
        <v>445</v>
      </c>
      <c r="E117" s="7" t="s">
        <v>446</v>
      </c>
      <c r="F117" s="8" t="s">
        <v>415</v>
      </c>
      <c r="G117" s="9">
        <v>10.0</v>
      </c>
      <c r="H117" s="9">
        <v>10.0</v>
      </c>
      <c r="I117" s="9">
        <v>200.0</v>
      </c>
      <c r="J117" s="6">
        <f t="shared" si="13"/>
        <v>2000</v>
      </c>
      <c r="K117" s="6" t="s">
        <v>178</v>
      </c>
      <c r="L117" s="7"/>
      <c r="M117" s="7" t="s">
        <v>66</v>
      </c>
      <c r="N117" s="7" t="s">
        <v>442</v>
      </c>
      <c r="O117" s="10" t="s">
        <v>447</v>
      </c>
      <c r="P117" s="6" t="str">
        <f>IMAGE("https://www.berrybase.de/media/image/c5/26/b6/ID_186599_orig_600x600.jpg",1)</f>
        <v/>
      </c>
      <c r="Q117" s="64" t="s">
        <v>1688</v>
      </c>
      <c r="R117" s="65"/>
      <c r="S117" s="66"/>
      <c r="T117" s="12"/>
      <c r="U117" s="11">
        <v>1.0</v>
      </c>
      <c r="V117" s="5"/>
      <c r="W117" s="5"/>
      <c r="X117" s="5"/>
      <c r="Y117" s="5"/>
      <c r="Z117" s="63"/>
      <c r="AA117" s="5"/>
      <c r="AB117" s="5"/>
      <c r="AC117" s="63"/>
      <c r="AD117" s="5"/>
      <c r="AE117" s="5"/>
      <c r="AF117" s="5"/>
    </row>
    <row r="118" ht="45.0" customHeight="1">
      <c r="A118" s="6">
        <v>100.0</v>
      </c>
      <c r="B118" s="6" t="s">
        <v>173</v>
      </c>
      <c r="C118" s="6" t="s">
        <v>448</v>
      </c>
      <c r="D118" s="6" t="s">
        <v>449</v>
      </c>
      <c r="E118" s="7" t="s">
        <v>450</v>
      </c>
      <c r="F118" s="8" t="s">
        <v>415</v>
      </c>
      <c r="G118" s="9">
        <v>15.0</v>
      </c>
      <c r="H118" s="9">
        <v>15.0</v>
      </c>
      <c r="I118" s="9">
        <v>250.0</v>
      </c>
      <c r="J118" s="6">
        <f t="shared" si="13"/>
        <v>3750</v>
      </c>
      <c r="K118" s="6" t="s">
        <v>178</v>
      </c>
      <c r="L118" s="7"/>
      <c r="M118" s="7" t="s">
        <v>249</v>
      </c>
      <c r="N118" s="7" t="s">
        <v>450</v>
      </c>
      <c r="O118" s="10" t="s">
        <v>451</v>
      </c>
      <c r="P118" s="6" t="str">
        <f>IMAGE("https://m.media-amazon.com/images/I/61rcnccrByL._SL1238_.jpg",1)</f>
        <v/>
      </c>
      <c r="Q118" s="64" t="s">
        <v>1688</v>
      </c>
      <c r="R118" s="65"/>
      <c r="S118" s="66"/>
      <c r="T118" s="5"/>
      <c r="U118" s="14">
        <v>0.0</v>
      </c>
      <c r="V118" s="12"/>
      <c r="W118" s="12"/>
      <c r="X118" s="12"/>
      <c r="Y118" s="12"/>
      <c r="Z118" s="67"/>
      <c r="AA118" s="12"/>
      <c r="AB118" s="12"/>
      <c r="AC118" s="67"/>
      <c r="AD118" s="12"/>
      <c r="AE118" s="12"/>
      <c r="AF118" s="12"/>
    </row>
    <row r="119" ht="45.0" customHeight="1">
      <c r="A119" s="6">
        <v>101.0</v>
      </c>
      <c r="B119" s="6" t="s">
        <v>173</v>
      </c>
      <c r="C119" s="6" t="s">
        <v>452</v>
      </c>
      <c r="D119" s="6" t="s">
        <v>453</v>
      </c>
      <c r="E119" s="7" t="s">
        <v>454</v>
      </c>
      <c r="F119" s="8" t="s">
        <v>415</v>
      </c>
      <c r="G119" s="9">
        <v>15.0</v>
      </c>
      <c r="H119" s="9">
        <v>15.0</v>
      </c>
      <c r="I119" s="9">
        <v>400.0</v>
      </c>
      <c r="J119" s="6">
        <f t="shared" si="13"/>
        <v>6000</v>
      </c>
      <c r="K119" s="6" t="s">
        <v>178</v>
      </c>
      <c r="L119" s="7"/>
      <c r="M119" s="7" t="s">
        <v>66</v>
      </c>
      <c r="N119" s="7" t="s">
        <v>455</v>
      </c>
      <c r="O119" s="10" t="s">
        <v>456</v>
      </c>
      <c r="P119" s="6" t="str">
        <f>IMAGE("https://m.media-amazon.com/images/W/MEDIAX_792452-T2/images/I/61t+lNeiChL._SL1443_.jpg",1)</f>
        <v/>
      </c>
      <c r="Q119" s="64" t="s">
        <v>1688</v>
      </c>
      <c r="R119" s="65"/>
      <c r="S119" s="66"/>
      <c r="T119" s="5"/>
      <c r="U119" s="14">
        <v>1.0</v>
      </c>
      <c r="V119" s="12"/>
      <c r="W119" s="12"/>
      <c r="X119" s="12"/>
      <c r="Y119" s="12"/>
      <c r="Z119" s="67"/>
      <c r="AA119" s="12"/>
      <c r="AB119" s="12"/>
      <c r="AC119" s="67"/>
      <c r="AD119" s="12"/>
      <c r="AE119" s="12"/>
      <c r="AF119" s="12"/>
    </row>
    <row r="120" ht="45.0" customHeight="1">
      <c r="A120" s="6">
        <v>102.0</v>
      </c>
      <c r="B120" s="6" t="s">
        <v>173</v>
      </c>
      <c r="C120" s="6" t="s">
        <v>457</v>
      </c>
      <c r="D120" s="6" t="s">
        <v>458</v>
      </c>
      <c r="E120" s="21" t="s">
        <v>459</v>
      </c>
      <c r="F120" s="8" t="s">
        <v>415</v>
      </c>
      <c r="G120" s="9">
        <v>10.0</v>
      </c>
      <c r="H120" s="9">
        <v>10.0</v>
      </c>
      <c r="I120" s="9">
        <v>500.0</v>
      </c>
      <c r="J120" s="6">
        <f t="shared" si="13"/>
        <v>5000</v>
      </c>
      <c r="K120" s="6" t="s">
        <v>178</v>
      </c>
      <c r="L120" s="7"/>
      <c r="M120" s="7" t="s">
        <v>66</v>
      </c>
      <c r="N120" s="7" t="s">
        <v>455</v>
      </c>
      <c r="O120" s="10" t="s">
        <v>460</v>
      </c>
      <c r="P120" s="6" t="str">
        <f>IMAGE("https://m.media-amazon.com/images/W/MEDIAX_792452-T2/images/I/61xb9SMx4AL._SL1440_.jpg",1)</f>
        <v/>
      </c>
      <c r="Q120" s="64" t="s">
        <v>1688</v>
      </c>
      <c r="R120" s="65"/>
      <c r="S120" s="66"/>
      <c r="T120" s="12"/>
      <c r="U120" s="11">
        <v>1.0</v>
      </c>
      <c r="V120" s="12"/>
      <c r="W120" s="12"/>
      <c r="X120" s="12"/>
      <c r="Y120" s="12"/>
      <c r="Z120" s="67"/>
      <c r="AA120" s="12"/>
      <c r="AB120" s="12"/>
      <c r="AC120" s="67"/>
      <c r="AD120" s="12"/>
      <c r="AE120" s="12"/>
      <c r="AF120" s="12"/>
    </row>
    <row r="121" ht="27.75" customHeight="1">
      <c r="A121" s="50" t="s">
        <v>1696</v>
      </c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2"/>
      <c r="P121" s="53"/>
      <c r="Q121" s="54"/>
      <c r="R121" s="55"/>
      <c r="S121" s="55"/>
      <c r="T121" s="56"/>
      <c r="U121" s="56"/>
      <c r="V121" s="56"/>
      <c r="W121" s="56"/>
      <c r="X121" s="56"/>
      <c r="Y121" s="56"/>
      <c r="Z121" s="57"/>
      <c r="AA121" s="56"/>
      <c r="AB121" s="56"/>
      <c r="AC121" s="57"/>
      <c r="AD121" s="56"/>
      <c r="AE121" s="56"/>
      <c r="AF121" s="56"/>
    </row>
    <row r="122" ht="24.0" customHeight="1">
      <c r="A122" s="59" t="s">
        <v>0</v>
      </c>
      <c r="B122" s="59"/>
      <c r="C122" s="59"/>
      <c r="D122" s="59" t="s">
        <v>1</v>
      </c>
      <c r="E122" s="60" t="s">
        <v>2</v>
      </c>
      <c r="F122" s="59" t="s">
        <v>3</v>
      </c>
      <c r="G122" s="59" t="s">
        <v>4</v>
      </c>
      <c r="H122" s="59" t="s">
        <v>5</v>
      </c>
      <c r="I122" s="59" t="s">
        <v>6</v>
      </c>
      <c r="J122" s="59" t="s">
        <v>7</v>
      </c>
      <c r="K122" s="59" t="s">
        <v>8</v>
      </c>
      <c r="L122" s="60" t="s">
        <v>9</v>
      </c>
      <c r="M122" s="60" t="s">
        <v>10</v>
      </c>
      <c r="N122" s="61" t="s">
        <v>11</v>
      </c>
      <c r="O122" s="59" t="s">
        <v>12</v>
      </c>
      <c r="P122" s="62" t="s">
        <v>13</v>
      </c>
      <c r="Q122" s="4" t="s">
        <v>13</v>
      </c>
      <c r="R122" s="4" t="s">
        <v>13</v>
      </c>
      <c r="S122" s="4" t="s">
        <v>13</v>
      </c>
      <c r="T122" s="4" t="s">
        <v>13</v>
      </c>
      <c r="U122" s="4" t="s">
        <v>14</v>
      </c>
      <c r="V122" s="5"/>
      <c r="W122" s="5"/>
      <c r="X122" s="5"/>
      <c r="Y122" s="5"/>
      <c r="Z122" s="63"/>
      <c r="AA122" s="5"/>
      <c r="AB122" s="5"/>
      <c r="AC122" s="63"/>
      <c r="AD122" s="5"/>
      <c r="AE122" s="5"/>
      <c r="AF122" s="5"/>
    </row>
    <row r="123" ht="45.0" customHeight="1">
      <c r="A123" s="6">
        <v>103.0</v>
      </c>
      <c r="B123" s="6" t="s">
        <v>461</v>
      </c>
      <c r="C123" s="6" t="s">
        <v>462</v>
      </c>
      <c r="D123" s="6" t="s">
        <v>463</v>
      </c>
      <c r="E123" s="7" t="s">
        <v>464</v>
      </c>
      <c r="F123" s="8" t="s">
        <v>465</v>
      </c>
      <c r="G123" s="9">
        <v>5.0</v>
      </c>
      <c r="H123" s="9">
        <v>5.0</v>
      </c>
      <c r="I123" s="9">
        <v>1200.0</v>
      </c>
      <c r="J123" s="6">
        <f t="shared" ref="J123:J124" si="14">I123*H123</f>
        <v>6000</v>
      </c>
      <c r="K123" s="6" t="s">
        <v>466</v>
      </c>
      <c r="L123" s="7" t="s">
        <v>47</v>
      </c>
      <c r="M123" s="7" t="s">
        <v>467</v>
      </c>
      <c r="N123" s="7"/>
      <c r="O123" s="10" t="s">
        <v>468</v>
      </c>
      <c r="P123" s="6" t="str">
        <f>IMAGE("https://5.imimg.com/data5/SELLER/Default/2020/10/MN/BG/IF/24066098/sunlu-sl-300-3d-pen-green-500x500.jpg",1)</f>
        <v/>
      </c>
      <c r="Q123" s="71" t="s">
        <v>1684</v>
      </c>
      <c r="R123" s="65">
        <f>3*60</f>
        <v>180</v>
      </c>
      <c r="S123" s="66"/>
      <c r="T123" s="12"/>
      <c r="U123" s="11">
        <v>0.0</v>
      </c>
      <c r="V123" s="5"/>
      <c r="W123" s="5" t="s">
        <v>144</v>
      </c>
      <c r="X123" s="5">
        <v>500.0</v>
      </c>
      <c r="Y123" s="12">
        <f t="shared" ref="Y123:Y128" si="15">X123*H123</f>
        <v>2500</v>
      </c>
      <c r="Z123" s="63"/>
      <c r="AA123" s="5"/>
      <c r="AB123" s="5"/>
      <c r="AC123" s="63"/>
      <c r="AD123" s="5"/>
      <c r="AF123" s="5"/>
    </row>
    <row r="124" ht="45.0" customHeight="1">
      <c r="A124" s="6">
        <v>104.0</v>
      </c>
      <c r="B124" s="6" t="s">
        <v>461</v>
      </c>
      <c r="C124" s="6" t="s">
        <v>469</v>
      </c>
      <c r="D124" s="6" t="s">
        <v>470</v>
      </c>
      <c r="E124" s="7" t="s">
        <v>471</v>
      </c>
      <c r="F124" s="8" t="s">
        <v>465</v>
      </c>
      <c r="G124" s="9">
        <v>1.0</v>
      </c>
      <c r="H124" s="9">
        <v>1.0</v>
      </c>
      <c r="I124" s="9">
        <v>35000.0</v>
      </c>
      <c r="J124" s="6">
        <f t="shared" si="14"/>
        <v>35000</v>
      </c>
      <c r="K124" s="6" t="s">
        <v>466</v>
      </c>
      <c r="L124" s="7" t="s">
        <v>47</v>
      </c>
      <c r="M124" s="16" t="s">
        <v>65</v>
      </c>
      <c r="N124" s="7"/>
      <c r="O124" s="10" t="s">
        <v>472</v>
      </c>
      <c r="P124" s="6" t="str">
        <f>IMAGE("https://m.media-amazon.com/images/I/61UtNlSmPaL._SX342_.jpg",1)</f>
        <v/>
      </c>
      <c r="Q124" s="71" t="s">
        <v>1684</v>
      </c>
      <c r="R124" s="65">
        <f>55</f>
        <v>55</v>
      </c>
      <c r="S124" s="66"/>
      <c r="T124" s="12"/>
      <c r="U124" s="11">
        <v>0.0</v>
      </c>
      <c r="V124" s="12"/>
      <c r="W124" s="12" t="s">
        <v>144</v>
      </c>
      <c r="X124" s="12">
        <v>40000.0</v>
      </c>
      <c r="Y124" s="12">
        <f t="shared" si="15"/>
        <v>40000</v>
      </c>
      <c r="Z124" s="67"/>
      <c r="AA124" s="12"/>
      <c r="AB124" s="12"/>
      <c r="AC124" s="67"/>
      <c r="AD124" s="12"/>
      <c r="AE124" s="12"/>
      <c r="AF124" s="12"/>
    </row>
    <row r="125" ht="45.0" customHeight="1">
      <c r="A125" s="6">
        <v>105.0</v>
      </c>
      <c r="B125" s="6" t="s">
        <v>461</v>
      </c>
      <c r="C125" s="6" t="s">
        <v>473</v>
      </c>
      <c r="D125" s="6" t="s">
        <v>474</v>
      </c>
      <c r="E125" s="7" t="s">
        <v>475</v>
      </c>
      <c r="F125" s="8" t="s">
        <v>465</v>
      </c>
      <c r="G125" s="9"/>
      <c r="H125" s="9">
        <v>1.0</v>
      </c>
      <c r="I125" s="9"/>
      <c r="J125" s="6"/>
      <c r="K125" s="6" t="s">
        <v>466</v>
      </c>
      <c r="L125" s="6"/>
      <c r="M125" s="7" t="s">
        <v>476</v>
      </c>
      <c r="N125" s="7"/>
      <c r="O125" s="10"/>
      <c r="P125" s="6" t="e">
        <v>#VALUE!</v>
      </c>
      <c r="Q125" s="71"/>
      <c r="R125" s="65"/>
      <c r="S125" s="66"/>
      <c r="T125" s="12"/>
      <c r="U125" s="11">
        <v>0.0</v>
      </c>
      <c r="V125" s="12"/>
      <c r="W125" s="12"/>
      <c r="X125" s="12"/>
      <c r="Y125" s="12">
        <f t="shared" si="15"/>
        <v>0</v>
      </c>
      <c r="Z125" s="67"/>
      <c r="AA125" s="12"/>
      <c r="AB125" s="12"/>
      <c r="AC125" s="67"/>
      <c r="AD125" s="12"/>
      <c r="AE125" s="12"/>
      <c r="AF125" s="12"/>
    </row>
    <row r="126" ht="45.0" customHeight="1">
      <c r="A126" s="6">
        <v>106.0</v>
      </c>
      <c r="B126" s="6" t="s">
        <v>461</v>
      </c>
      <c r="C126" s="6" t="s">
        <v>477</v>
      </c>
      <c r="D126" s="6" t="s">
        <v>478</v>
      </c>
      <c r="E126" s="7" t="s">
        <v>479</v>
      </c>
      <c r="F126" s="8" t="s">
        <v>465</v>
      </c>
      <c r="G126" s="9">
        <v>3.0</v>
      </c>
      <c r="H126" s="9">
        <v>3.0</v>
      </c>
      <c r="I126" s="9">
        <v>500.0</v>
      </c>
      <c r="J126" s="6">
        <f t="shared" ref="J126:J128" si="16">I126*H126</f>
        <v>1500</v>
      </c>
      <c r="K126" s="6" t="s">
        <v>466</v>
      </c>
      <c r="L126" s="7" t="s">
        <v>47</v>
      </c>
      <c r="M126" s="7" t="s">
        <v>110</v>
      </c>
      <c r="N126" s="7" t="s">
        <v>480</v>
      </c>
      <c r="O126" s="10" t="s">
        <v>481</v>
      </c>
      <c r="P126" s="6" t="str">
        <f>IMAGE("https://5.imimg.com/data5/LA/TM/JO/SELLER-79394111/3d-printer-nylon-filament-500x500.jpg",1)</f>
        <v/>
      </c>
      <c r="Q126" s="71" t="s">
        <v>1684</v>
      </c>
      <c r="R126" s="65"/>
      <c r="S126" s="66"/>
      <c r="T126" s="12"/>
      <c r="U126" s="11">
        <v>0.0</v>
      </c>
      <c r="V126" s="12"/>
      <c r="W126" s="12" t="s">
        <v>144</v>
      </c>
      <c r="X126" s="12">
        <v>2000.0</v>
      </c>
      <c r="Y126" s="12">
        <f t="shared" si="15"/>
        <v>6000</v>
      </c>
      <c r="Z126" s="67"/>
      <c r="AA126" s="12"/>
      <c r="AB126" s="12"/>
      <c r="AC126" s="67"/>
      <c r="AD126" s="12"/>
      <c r="AE126" s="12"/>
      <c r="AF126" s="12"/>
    </row>
    <row r="127" ht="45.0" customHeight="1">
      <c r="A127" s="6">
        <v>107.0</v>
      </c>
      <c r="B127" s="6" t="s">
        <v>461</v>
      </c>
      <c r="C127" s="6"/>
      <c r="D127" s="6" t="s">
        <v>482</v>
      </c>
      <c r="E127" s="7" t="s">
        <v>483</v>
      </c>
      <c r="F127" s="8" t="s">
        <v>465</v>
      </c>
      <c r="G127" s="9">
        <v>1.0</v>
      </c>
      <c r="H127" s="9">
        <v>1.0</v>
      </c>
      <c r="I127" s="9">
        <v>15000.0</v>
      </c>
      <c r="J127" s="6">
        <f t="shared" si="16"/>
        <v>15000</v>
      </c>
      <c r="K127" s="6" t="s">
        <v>466</v>
      </c>
      <c r="L127" s="7" t="s">
        <v>47</v>
      </c>
      <c r="M127" s="16" t="s">
        <v>65</v>
      </c>
      <c r="N127" s="7"/>
      <c r="O127" s="10" t="s">
        <v>484</v>
      </c>
      <c r="P127" s="6" t="str">
        <f>IMAGE("https://robu.in/wp-content/uploads/2022/12/Creality-X-Ender-CR-Laser-Falcon-Laser-Engraver-10W-1.jpg",1)</f>
        <v/>
      </c>
      <c r="Q127" s="73" t="s">
        <v>1684</v>
      </c>
      <c r="R127" s="74">
        <v>55.0</v>
      </c>
      <c r="S127" s="75"/>
      <c r="T127" s="12"/>
      <c r="U127" s="11">
        <v>0.0</v>
      </c>
      <c r="V127" s="12"/>
      <c r="W127" s="12" t="s">
        <v>144</v>
      </c>
      <c r="X127" s="12">
        <v>32000.0</v>
      </c>
      <c r="Y127" s="12">
        <f t="shared" si="15"/>
        <v>32000</v>
      </c>
      <c r="Z127" s="67"/>
      <c r="AA127" s="12"/>
      <c r="AB127" s="12"/>
      <c r="AC127" s="67"/>
      <c r="AD127" s="12"/>
      <c r="AE127" s="12"/>
      <c r="AF127" s="12"/>
    </row>
    <row r="128" ht="45.0" customHeight="1">
      <c r="A128" s="6">
        <v>108.0</v>
      </c>
      <c r="B128" s="6" t="s">
        <v>461</v>
      </c>
      <c r="C128" s="6"/>
      <c r="D128" s="6" t="s">
        <v>482</v>
      </c>
      <c r="E128" s="7" t="s">
        <v>485</v>
      </c>
      <c r="F128" s="8" t="s">
        <v>465</v>
      </c>
      <c r="G128" s="9">
        <v>1.0</v>
      </c>
      <c r="H128" s="9">
        <v>1.0</v>
      </c>
      <c r="I128" s="9">
        <v>15000.0</v>
      </c>
      <c r="J128" s="6">
        <f t="shared" si="16"/>
        <v>15000</v>
      </c>
      <c r="K128" s="6" t="s">
        <v>466</v>
      </c>
      <c r="L128" s="7" t="s">
        <v>47</v>
      </c>
      <c r="M128" s="16" t="s">
        <v>65</v>
      </c>
      <c r="N128" s="7"/>
      <c r="O128" s="10" t="s">
        <v>484</v>
      </c>
      <c r="P128" s="6" t="e">
        <v>#VALUE!</v>
      </c>
      <c r="Q128" s="73" t="s">
        <v>1684</v>
      </c>
      <c r="R128" s="74">
        <v>55.0</v>
      </c>
      <c r="S128" s="75"/>
      <c r="T128" s="12"/>
      <c r="U128" s="11">
        <v>0.0</v>
      </c>
      <c r="V128" s="12"/>
      <c r="W128" s="12" t="s">
        <v>144</v>
      </c>
      <c r="X128" s="12">
        <v>28000.0</v>
      </c>
      <c r="Y128" s="12">
        <f t="shared" si="15"/>
        <v>28000</v>
      </c>
      <c r="Z128" s="67"/>
      <c r="AA128" s="12"/>
      <c r="AB128" s="12"/>
      <c r="AC128" s="67"/>
      <c r="AD128" s="12"/>
      <c r="AE128" s="12"/>
      <c r="AF128" s="12"/>
    </row>
    <row r="129" ht="27.75" customHeight="1">
      <c r="A129" s="50" t="s">
        <v>1697</v>
      </c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2"/>
      <c r="P129" s="53"/>
      <c r="Q129" s="54"/>
      <c r="R129" s="55"/>
      <c r="S129" s="55"/>
      <c r="T129" s="56"/>
      <c r="U129" s="56"/>
      <c r="V129" s="56"/>
      <c r="W129" s="56"/>
      <c r="X129" s="56"/>
      <c r="Y129" s="56"/>
      <c r="Z129" s="57"/>
      <c r="AA129" s="56"/>
      <c r="AB129" s="56"/>
      <c r="AC129" s="57"/>
      <c r="AD129" s="56"/>
      <c r="AE129" s="56"/>
      <c r="AF129" s="56"/>
    </row>
    <row r="130" ht="24.0" customHeight="1">
      <c r="A130" s="59" t="s">
        <v>0</v>
      </c>
      <c r="B130" s="59"/>
      <c r="C130" s="59"/>
      <c r="D130" s="59" t="s">
        <v>1</v>
      </c>
      <c r="E130" s="60" t="s">
        <v>2</v>
      </c>
      <c r="F130" s="59" t="s">
        <v>3</v>
      </c>
      <c r="G130" s="59" t="s">
        <v>4</v>
      </c>
      <c r="H130" s="59" t="s">
        <v>5</v>
      </c>
      <c r="I130" s="59" t="s">
        <v>6</v>
      </c>
      <c r="J130" s="59" t="s">
        <v>7</v>
      </c>
      <c r="K130" s="59" t="s">
        <v>8</v>
      </c>
      <c r="L130" s="60" t="s">
        <v>9</v>
      </c>
      <c r="M130" s="60" t="s">
        <v>10</v>
      </c>
      <c r="N130" s="61" t="s">
        <v>11</v>
      </c>
      <c r="O130" s="59" t="s">
        <v>12</v>
      </c>
      <c r="P130" s="62" t="s">
        <v>13</v>
      </c>
      <c r="Q130" s="4" t="s">
        <v>13</v>
      </c>
      <c r="R130" s="4" t="s">
        <v>13</v>
      </c>
      <c r="S130" s="4" t="s">
        <v>13</v>
      </c>
      <c r="T130" s="4" t="s">
        <v>13</v>
      </c>
      <c r="U130" s="4" t="s">
        <v>14</v>
      </c>
      <c r="V130" s="5"/>
      <c r="W130" s="5"/>
      <c r="X130" s="5"/>
      <c r="Y130" s="5"/>
      <c r="Z130" s="63"/>
      <c r="AA130" s="5"/>
      <c r="AB130" s="5"/>
      <c r="AC130" s="63"/>
      <c r="AD130" s="5"/>
      <c r="AE130" s="5"/>
      <c r="AF130" s="5"/>
    </row>
    <row r="131" ht="45.0" customHeight="1">
      <c r="A131" s="6">
        <v>109.0</v>
      </c>
      <c r="B131" s="6" t="s">
        <v>173</v>
      </c>
      <c r="C131" s="6" t="s">
        <v>486</v>
      </c>
      <c r="D131" s="6" t="s">
        <v>487</v>
      </c>
      <c r="E131" s="7" t="s">
        <v>488</v>
      </c>
      <c r="F131" s="8" t="s">
        <v>489</v>
      </c>
      <c r="G131" s="9">
        <v>20.0</v>
      </c>
      <c r="H131" s="9">
        <v>20.0</v>
      </c>
      <c r="I131" s="9">
        <v>40.0</v>
      </c>
      <c r="J131" s="6">
        <f t="shared" ref="J131:J230" si="17">I131*H131</f>
        <v>800</v>
      </c>
      <c r="K131" s="6" t="s">
        <v>178</v>
      </c>
      <c r="L131" s="7"/>
      <c r="M131" s="7" t="s">
        <v>193</v>
      </c>
      <c r="N131" s="7"/>
      <c r="O131" s="10" t="s">
        <v>490</v>
      </c>
      <c r="P131" s="6" t="str">
        <f>IMAGE("https://m.media-amazon.com/images/I/51BByYhTjOL._SX425_.jpg",1)</f>
        <v/>
      </c>
      <c r="Q131" s="64" t="s">
        <v>1688</v>
      </c>
      <c r="R131" s="68"/>
      <c r="S131" s="69"/>
      <c r="T131" s="12"/>
      <c r="U131" s="11">
        <v>1.0</v>
      </c>
      <c r="V131" s="12"/>
      <c r="W131" s="12"/>
      <c r="X131" s="12"/>
      <c r="Y131" s="12"/>
      <c r="Z131" s="67"/>
      <c r="AA131" s="12"/>
      <c r="AB131" s="12"/>
      <c r="AC131" s="67"/>
      <c r="AD131" s="12"/>
      <c r="AE131" s="12"/>
      <c r="AF131" s="12"/>
    </row>
    <row r="132" ht="45.0" customHeight="1">
      <c r="A132" s="6">
        <v>110.0</v>
      </c>
      <c r="B132" s="6" t="s">
        <v>173</v>
      </c>
      <c r="C132" s="6" t="s">
        <v>491</v>
      </c>
      <c r="D132" s="6" t="s">
        <v>492</v>
      </c>
      <c r="E132" s="7" t="s">
        <v>493</v>
      </c>
      <c r="F132" s="8" t="s">
        <v>489</v>
      </c>
      <c r="G132" s="9">
        <v>10.0</v>
      </c>
      <c r="H132" s="9">
        <v>10.0</v>
      </c>
      <c r="I132" s="9">
        <v>60.0</v>
      </c>
      <c r="J132" s="6">
        <f t="shared" si="17"/>
        <v>600</v>
      </c>
      <c r="K132" s="6" t="s">
        <v>178</v>
      </c>
      <c r="L132" s="7"/>
      <c r="M132" s="7" t="s">
        <v>249</v>
      </c>
      <c r="N132" s="7"/>
      <c r="O132" s="10" t="s">
        <v>494</v>
      </c>
      <c r="P132" s="6" t="str">
        <f>IMAGE("https://5.imimg.com/data5/SR/JZ/RD/SELLER-80355495/large-breadboard-800-points--500x500.jpg",1)</f>
        <v/>
      </c>
      <c r="Q132" s="64" t="s">
        <v>1688</v>
      </c>
      <c r="R132" s="65"/>
      <c r="S132" s="66"/>
      <c r="T132" s="12"/>
      <c r="U132" s="11">
        <v>1.0</v>
      </c>
      <c r="V132" s="12"/>
      <c r="W132" s="12"/>
      <c r="X132" s="12"/>
      <c r="Y132" s="12"/>
      <c r="Z132" s="67"/>
      <c r="AA132" s="12"/>
      <c r="AB132" s="12"/>
      <c r="AC132" s="67"/>
      <c r="AD132" s="12"/>
      <c r="AE132" s="12"/>
      <c r="AF132" s="12"/>
    </row>
    <row r="133" ht="45.0" customHeight="1">
      <c r="A133" s="6">
        <v>111.0</v>
      </c>
      <c r="B133" s="6" t="s">
        <v>173</v>
      </c>
      <c r="C133" s="6" t="s">
        <v>495</v>
      </c>
      <c r="D133" s="6" t="s">
        <v>496</v>
      </c>
      <c r="E133" s="7" t="s">
        <v>497</v>
      </c>
      <c r="F133" s="8" t="s">
        <v>489</v>
      </c>
      <c r="G133" s="9">
        <v>10.0</v>
      </c>
      <c r="H133" s="9">
        <v>10.0</v>
      </c>
      <c r="I133" s="9">
        <v>40.0</v>
      </c>
      <c r="J133" s="6">
        <f t="shared" si="17"/>
        <v>400</v>
      </c>
      <c r="K133" s="6" t="s">
        <v>178</v>
      </c>
      <c r="L133" s="7"/>
      <c r="M133" s="7" t="s">
        <v>249</v>
      </c>
      <c r="N133" s="7" t="s">
        <v>493</v>
      </c>
      <c r="O133" s="10" t="s">
        <v>498</v>
      </c>
      <c r="P133" s="6" t="str">
        <f>IMAGE("https://5.imimg.com/data5/SELLER/Default/2020/12/GY/DK/LM/59387089/400-point-solderless-breadboard-500x500.jpg",1)</f>
        <v/>
      </c>
      <c r="Q133" s="64" t="s">
        <v>1688</v>
      </c>
      <c r="R133" s="65"/>
      <c r="S133" s="66"/>
      <c r="T133" s="12"/>
      <c r="U133" s="11">
        <v>1.0</v>
      </c>
      <c r="V133" s="12"/>
      <c r="W133" s="12"/>
      <c r="X133" s="12"/>
      <c r="Y133" s="12"/>
      <c r="Z133" s="67"/>
      <c r="AA133" s="12"/>
      <c r="AB133" s="12"/>
      <c r="AC133" s="67"/>
      <c r="AD133" s="12"/>
      <c r="AE133" s="12"/>
      <c r="AF133" s="12"/>
    </row>
    <row r="134" ht="45.0" customHeight="1">
      <c r="A134" s="6">
        <v>112.0</v>
      </c>
      <c r="B134" s="6" t="s">
        <v>173</v>
      </c>
      <c r="C134" s="6" t="s">
        <v>499</v>
      </c>
      <c r="D134" s="6" t="s">
        <v>500</v>
      </c>
      <c r="E134" s="7" t="s">
        <v>501</v>
      </c>
      <c r="F134" s="8" t="s">
        <v>489</v>
      </c>
      <c r="G134" s="9">
        <v>10.0</v>
      </c>
      <c r="H134" s="9">
        <v>10.0</v>
      </c>
      <c r="I134" s="9">
        <v>200.0</v>
      </c>
      <c r="J134" s="6">
        <f t="shared" si="17"/>
        <v>2000</v>
      </c>
      <c r="K134" s="6" t="s">
        <v>178</v>
      </c>
      <c r="L134" s="7"/>
      <c r="M134" s="7" t="s">
        <v>179</v>
      </c>
      <c r="N134" s="7" t="s">
        <v>493</v>
      </c>
      <c r="O134" s="22" t="s">
        <v>502</v>
      </c>
      <c r="P134" s="6" t="str">
        <f>IMAGE("https://1ohm.in/wp-content/uploads/2021/07/MB102-3.3V5V-Breadboard-Power-Supply-Module.png",1)</f>
        <v/>
      </c>
      <c r="Q134" s="64" t="s">
        <v>1688</v>
      </c>
      <c r="R134" s="65"/>
      <c r="S134" s="66"/>
      <c r="T134" s="12"/>
      <c r="U134" s="11">
        <v>1.0</v>
      </c>
      <c r="V134" s="12"/>
      <c r="W134" s="12"/>
      <c r="X134" s="12"/>
      <c r="Y134" s="12"/>
      <c r="Z134" s="67"/>
      <c r="AA134" s="12"/>
      <c r="AB134" s="12"/>
      <c r="AC134" s="67"/>
      <c r="AD134" s="12"/>
      <c r="AE134" s="12"/>
      <c r="AF134" s="12"/>
    </row>
    <row r="135" ht="45.0" customHeight="1">
      <c r="A135" s="6">
        <v>113.0</v>
      </c>
      <c r="B135" s="6" t="s">
        <v>173</v>
      </c>
      <c r="C135" s="6" t="s">
        <v>503</v>
      </c>
      <c r="D135" s="6" t="s">
        <v>504</v>
      </c>
      <c r="E135" s="7" t="s">
        <v>505</v>
      </c>
      <c r="F135" s="8" t="s">
        <v>489</v>
      </c>
      <c r="G135" s="9">
        <v>100.0</v>
      </c>
      <c r="H135" s="9">
        <v>100.0</v>
      </c>
      <c r="I135" s="9">
        <v>10.0</v>
      </c>
      <c r="J135" s="6">
        <f t="shared" si="17"/>
        <v>1000</v>
      </c>
      <c r="K135" s="6" t="s">
        <v>178</v>
      </c>
      <c r="L135" s="7"/>
      <c r="M135" s="7" t="s">
        <v>193</v>
      </c>
      <c r="N135" s="7" t="s">
        <v>23</v>
      </c>
      <c r="O135" s="10" t="s">
        <v>506</v>
      </c>
      <c r="P135" s="6" t="str">
        <f>IMAGE("https://rukminim2.flixcart.com/image/832/832/ks243gw0/electronic-hobby-kit/x/f/2/2mm-pitch-female-burg-strip-40-pin-5-pcs-prime-intact-original-imag5pxpqjxcdsgh.jpeg?q=70",1)</f>
        <v/>
      </c>
      <c r="Q135" s="64" t="s">
        <v>1688</v>
      </c>
      <c r="R135" s="65"/>
      <c r="S135" s="66"/>
      <c r="T135" s="12"/>
      <c r="U135" s="11">
        <v>1.0</v>
      </c>
      <c r="V135" s="12"/>
      <c r="W135" s="12"/>
      <c r="X135" s="12"/>
      <c r="Y135" s="12"/>
      <c r="Z135" s="67"/>
      <c r="AA135" s="12"/>
      <c r="AB135" s="12"/>
      <c r="AC135" s="67"/>
      <c r="AD135" s="12"/>
      <c r="AE135" s="12"/>
      <c r="AF135" s="12"/>
    </row>
    <row r="136" ht="45.0" customHeight="1">
      <c r="A136" s="6">
        <v>114.0</v>
      </c>
      <c r="B136" s="6" t="s">
        <v>173</v>
      </c>
      <c r="C136" s="6" t="s">
        <v>507</v>
      </c>
      <c r="D136" s="6" t="s">
        <v>508</v>
      </c>
      <c r="E136" s="7" t="s">
        <v>509</v>
      </c>
      <c r="F136" s="8" t="s">
        <v>489</v>
      </c>
      <c r="G136" s="9">
        <v>50.0</v>
      </c>
      <c r="H136" s="9">
        <v>50.0</v>
      </c>
      <c r="I136" s="9">
        <v>15.0</v>
      </c>
      <c r="J136" s="6">
        <f t="shared" si="17"/>
        <v>750</v>
      </c>
      <c r="K136" s="6" t="s">
        <v>178</v>
      </c>
      <c r="L136" s="7"/>
      <c r="M136" s="7" t="s">
        <v>193</v>
      </c>
      <c r="N136" s="7"/>
      <c r="O136" s="10" t="s">
        <v>510</v>
      </c>
      <c r="P136" s="6" t="str">
        <f>IMAGE("https://5.imimg.com/data5/OF/VW/IL/SELLER-9316309/burg-strips-500x500.jpg",1)</f>
        <v/>
      </c>
      <c r="Q136" s="64" t="s">
        <v>1688</v>
      </c>
      <c r="R136" s="65"/>
      <c r="S136" s="66"/>
      <c r="T136" s="12"/>
      <c r="U136" s="11">
        <v>1.0</v>
      </c>
      <c r="V136" s="12"/>
      <c r="W136" s="12"/>
      <c r="X136" s="12"/>
      <c r="Y136" s="12"/>
      <c r="Z136" s="67"/>
      <c r="AA136" s="12"/>
      <c r="AB136" s="12"/>
      <c r="AC136" s="67"/>
      <c r="AD136" s="12"/>
      <c r="AE136" s="12"/>
      <c r="AF136" s="12"/>
    </row>
    <row r="137" ht="45.0" customHeight="1">
      <c r="A137" s="6">
        <v>115.0</v>
      </c>
      <c r="B137" s="6" t="s">
        <v>173</v>
      </c>
      <c r="C137" s="6" t="s">
        <v>511</v>
      </c>
      <c r="D137" s="6" t="s">
        <v>512</v>
      </c>
      <c r="E137" s="7" t="s">
        <v>513</v>
      </c>
      <c r="F137" s="8" t="s">
        <v>489</v>
      </c>
      <c r="G137" s="9">
        <v>50.0</v>
      </c>
      <c r="H137" s="9">
        <v>50.0</v>
      </c>
      <c r="I137" s="9">
        <v>20.0</v>
      </c>
      <c r="J137" s="6">
        <f t="shared" si="17"/>
        <v>1000</v>
      </c>
      <c r="K137" s="6" t="s">
        <v>178</v>
      </c>
      <c r="L137" s="7"/>
      <c r="M137" s="7" t="s">
        <v>193</v>
      </c>
      <c r="N137" s="7"/>
      <c r="O137" s="10" t="s">
        <v>514</v>
      </c>
      <c r="P137" s="6" t="str">
        <f>IMAGE("https://www.tomsonelectronics.com/cdn/shop/products/40X1MALERAI_2048x2048.jpg?v=1602835171",1)</f>
        <v/>
      </c>
      <c r="Q137" s="64" t="s">
        <v>1688</v>
      </c>
      <c r="R137" s="65"/>
      <c r="S137" s="66"/>
      <c r="T137" s="12"/>
      <c r="U137" s="11">
        <v>1.0</v>
      </c>
      <c r="V137" s="12"/>
      <c r="W137" s="12"/>
      <c r="X137" s="12"/>
      <c r="Y137" s="12"/>
      <c r="Z137" s="67"/>
      <c r="AA137" s="12"/>
      <c r="AB137" s="12"/>
      <c r="AC137" s="67"/>
      <c r="AD137" s="12"/>
      <c r="AE137" s="12"/>
      <c r="AF137" s="12"/>
    </row>
    <row r="138" ht="45.0" customHeight="1">
      <c r="A138" s="6">
        <v>116.0</v>
      </c>
      <c r="B138" s="6" t="s">
        <v>173</v>
      </c>
      <c r="C138" s="6" t="s">
        <v>515</v>
      </c>
      <c r="D138" s="6" t="s">
        <v>516</v>
      </c>
      <c r="E138" s="7" t="s">
        <v>517</v>
      </c>
      <c r="F138" s="8" t="s">
        <v>489</v>
      </c>
      <c r="G138" s="9">
        <v>100.0</v>
      </c>
      <c r="H138" s="9">
        <v>100.0</v>
      </c>
      <c r="I138" s="9">
        <v>5.0</v>
      </c>
      <c r="J138" s="6">
        <f t="shared" si="17"/>
        <v>500</v>
      </c>
      <c r="K138" s="6" t="s">
        <v>178</v>
      </c>
      <c r="L138" s="7" t="s">
        <v>65</v>
      </c>
      <c r="M138" s="7" t="s">
        <v>518</v>
      </c>
      <c r="N138" s="7"/>
      <c r="O138" s="10" t="s">
        <v>519</v>
      </c>
      <c r="P138" s="6" t="str">
        <f>IMAGE("https://projectpoint.in/image/cache/catalog/102-672x504.jpg",1)</f>
        <v/>
      </c>
      <c r="Q138" s="64" t="s">
        <v>1688</v>
      </c>
      <c r="R138" s="65"/>
      <c r="S138" s="66"/>
      <c r="T138" s="12"/>
      <c r="U138" s="11">
        <v>1.0</v>
      </c>
      <c r="V138" s="12"/>
      <c r="W138" s="12"/>
      <c r="X138" s="12"/>
      <c r="Y138" s="12"/>
      <c r="Z138" s="67"/>
      <c r="AA138" s="12"/>
      <c r="AB138" s="12"/>
      <c r="AC138" s="67"/>
      <c r="AD138" s="12"/>
      <c r="AE138" s="12"/>
      <c r="AF138" s="12"/>
    </row>
    <row r="139" ht="45.0" customHeight="1">
      <c r="A139" s="6">
        <v>117.0</v>
      </c>
      <c r="B139" s="6" t="s">
        <v>173</v>
      </c>
      <c r="C139" s="6" t="s">
        <v>520</v>
      </c>
      <c r="D139" s="6" t="s">
        <v>521</v>
      </c>
      <c r="E139" s="7" t="s">
        <v>522</v>
      </c>
      <c r="F139" s="8" t="s">
        <v>489</v>
      </c>
      <c r="G139" s="9">
        <v>100.0</v>
      </c>
      <c r="H139" s="9">
        <v>100.0</v>
      </c>
      <c r="I139" s="9">
        <v>5.0</v>
      </c>
      <c r="J139" s="6">
        <f t="shared" si="17"/>
        <v>500</v>
      </c>
      <c r="K139" s="6" t="s">
        <v>178</v>
      </c>
      <c r="L139" s="7" t="s">
        <v>65</v>
      </c>
      <c r="M139" s="7" t="s">
        <v>518</v>
      </c>
      <c r="N139" s="7"/>
      <c r="O139" s="10" t="s">
        <v>523</v>
      </c>
      <c r="P139" s="6" t="str">
        <f>IMAGE("https://projectpoint.in/image/cache/catalog/103-672x504.jpg",1)</f>
        <v/>
      </c>
      <c r="Q139" s="64" t="s">
        <v>1688</v>
      </c>
      <c r="R139" s="65"/>
      <c r="S139" s="66"/>
      <c r="T139" s="12"/>
      <c r="U139" s="11">
        <v>1.0</v>
      </c>
      <c r="V139" s="12"/>
      <c r="W139" s="12"/>
      <c r="X139" s="12"/>
      <c r="Y139" s="12"/>
      <c r="Z139" s="67"/>
      <c r="AA139" s="12"/>
      <c r="AB139" s="12"/>
      <c r="AC139" s="67"/>
      <c r="AD139" s="12"/>
      <c r="AE139" s="12"/>
      <c r="AF139" s="12"/>
    </row>
    <row r="140" ht="45.0" customHeight="1">
      <c r="A140" s="6">
        <v>118.0</v>
      </c>
      <c r="B140" s="6" t="s">
        <v>173</v>
      </c>
      <c r="C140" s="6" t="s">
        <v>524</v>
      </c>
      <c r="D140" s="6" t="s">
        <v>525</v>
      </c>
      <c r="E140" s="7" t="s">
        <v>526</v>
      </c>
      <c r="F140" s="8" t="s">
        <v>489</v>
      </c>
      <c r="G140" s="9">
        <v>100.0</v>
      </c>
      <c r="H140" s="9">
        <v>100.0</v>
      </c>
      <c r="I140" s="9">
        <v>5.0</v>
      </c>
      <c r="J140" s="6">
        <f t="shared" si="17"/>
        <v>500</v>
      </c>
      <c r="K140" s="6" t="s">
        <v>178</v>
      </c>
      <c r="L140" s="7" t="s">
        <v>65</v>
      </c>
      <c r="M140" s="7" t="s">
        <v>518</v>
      </c>
      <c r="N140" s="7"/>
      <c r="O140" s="10" t="s">
        <v>527</v>
      </c>
      <c r="P140" s="6" t="str">
        <f>IMAGE("https://m.media-amazon.com/images/W/MEDIAX_792452-T2/images/I/31vPU3nIarL.jpg",1)</f>
        <v/>
      </c>
      <c r="Q140" s="64" t="s">
        <v>1688</v>
      </c>
      <c r="R140" s="65"/>
      <c r="S140" s="66"/>
      <c r="T140" s="12"/>
      <c r="U140" s="11">
        <v>1.0</v>
      </c>
      <c r="V140" s="12"/>
      <c r="W140" s="12"/>
      <c r="X140" s="12"/>
      <c r="Y140" s="12"/>
      <c r="Z140" s="67"/>
      <c r="AA140" s="12"/>
      <c r="AB140" s="12"/>
      <c r="AC140" s="67"/>
      <c r="AD140" s="12"/>
      <c r="AE140" s="12"/>
      <c r="AF140" s="12"/>
    </row>
    <row r="141" ht="45.0" customHeight="1">
      <c r="A141" s="6">
        <v>119.0</v>
      </c>
      <c r="B141" s="6" t="s">
        <v>173</v>
      </c>
      <c r="C141" s="6" t="s">
        <v>528</v>
      </c>
      <c r="D141" s="6" t="s">
        <v>529</v>
      </c>
      <c r="E141" s="7" t="s">
        <v>530</v>
      </c>
      <c r="F141" s="8" t="s">
        <v>489</v>
      </c>
      <c r="G141" s="9">
        <v>100.0</v>
      </c>
      <c r="H141" s="9">
        <v>100.0</v>
      </c>
      <c r="I141" s="9">
        <v>5.0</v>
      </c>
      <c r="J141" s="6">
        <f t="shared" si="17"/>
        <v>500</v>
      </c>
      <c r="K141" s="6" t="s">
        <v>178</v>
      </c>
      <c r="L141" s="7" t="s">
        <v>65</v>
      </c>
      <c r="M141" s="7" t="s">
        <v>518</v>
      </c>
      <c r="N141" s="7"/>
      <c r="O141" s="10" t="s">
        <v>531</v>
      </c>
      <c r="P141" s="6" t="str">
        <f>IMAGE("https://www.ato.com/content/images/thumbs/0011952_01f-50v-disc-ceramic-capacitor_550.jpeg",1)</f>
        <v/>
      </c>
      <c r="Q141" s="64" t="s">
        <v>1688</v>
      </c>
      <c r="R141" s="65"/>
      <c r="S141" s="66"/>
      <c r="T141" s="12"/>
      <c r="U141" s="11">
        <v>1.0</v>
      </c>
      <c r="V141" s="12"/>
      <c r="W141" s="12"/>
      <c r="X141" s="12"/>
      <c r="Y141" s="12"/>
      <c r="Z141" s="67"/>
      <c r="AA141" s="12"/>
      <c r="AB141" s="12"/>
      <c r="AC141" s="67"/>
      <c r="AD141" s="12"/>
      <c r="AE141" s="12"/>
      <c r="AF141" s="12"/>
    </row>
    <row r="142" ht="45.0" customHeight="1">
      <c r="A142" s="6">
        <v>120.0</v>
      </c>
      <c r="B142" s="6" t="s">
        <v>173</v>
      </c>
      <c r="C142" s="6" t="s">
        <v>532</v>
      </c>
      <c r="D142" s="6" t="s">
        <v>533</v>
      </c>
      <c r="E142" s="7" t="s">
        <v>534</v>
      </c>
      <c r="F142" s="8" t="s">
        <v>489</v>
      </c>
      <c r="G142" s="9">
        <v>50.0</v>
      </c>
      <c r="H142" s="9">
        <v>50.0</v>
      </c>
      <c r="I142" s="9">
        <v>10.0</v>
      </c>
      <c r="J142" s="6">
        <f t="shared" si="17"/>
        <v>500</v>
      </c>
      <c r="K142" s="6" t="s">
        <v>178</v>
      </c>
      <c r="L142" s="7" t="s">
        <v>65</v>
      </c>
      <c r="M142" s="7" t="s">
        <v>518</v>
      </c>
      <c r="N142" s="7"/>
      <c r="O142" s="10" t="s">
        <v>535</v>
      </c>
      <c r="P142" s="6" t="str">
        <f>IMAGE("https://www.faranux.com/wp-content/uploads/2017/04/2f2603f8-1uf-50v-electrolytic-capacitor-pack-of-5-tech3179-8225-800x800-1.jpg",1)</f>
        <v/>
      </c>
      <c r="Q142" s="64" t="s">
        <v>1688</v>
      </c>
      <c r="R142" s="65"/>
      <c r="S142" s="66"/>
      <c r="T142" s="12"/>
      <c r="U142" s="11">
        <v>1.0</v>
      </c>
      <c r="V142" s="12"/>
      <c r="W142" s="12"/>
      <c r="X142" s="12"/>
      <c r="Y142" s="12"/>
      <c r="Z142" s="67"/>
      <c r="AA142" s="12"/>
      <c r="AB142" s="12"/>
      <c r="AC142" s="67"/>
      <c r="AD142" s="12"/>
      <c r="AE142" s="12"/>
      <c r="AF142" s="12"/>
    </row>
    <row r="143" ht="45.0" customHeight="1">
      <c r="A143" s="6">
        <v>121.0</v>
      </c>
      <c r="B143" s="6" t="s">
        <v>173</v>
      </c>
      <c r="C143" s="6" t="s">
        <v>536</v>
      </c>
      <c r="D143" s="6" t="s">
        <v>537</v>
      </c>
      <c r="E143" s="7" t="s">
        <v>538</v>
      </c>
      <c r="F143" s="8" t="s">
        <v>489</v>
      </c>
      <c r="G143" s="9">
        <v>50.0</v>
      </c>
      <c r="H143" s="9">
        <v>50.0</v>
      </c>
      <c r="I143" s="9">
        <v>15.0</v>
      </c>
      <c r="J143" s="6">
        <f t="shared" si="17"/>
        <v>750</v>
      </c>
      <c r="K143" s="6" t="s">
        <v>178</v>
      </c>
      <c r="L143" s="7" t="s">
        <v>65</v>
      </c>
      <c r="M143" s="7" t="s">
        <v>518</v>
      </c>
      <c r="N143" s="7"/>
      <c r="O143" s="10" t="s">
        <v>539</v>
      </c>
      <c r="P143" s="6" t="str">
        <f>IMAGE("https://new.sunrobotics.in/web/image/product.product/7775/image_1024/%5B10061%5D%2010uF%20Electrolytic%20Capacitor?unique=2e60387",1)</f>
        <v/>
      </c>
      <c r="Q143" s="64" t="s">
        <v>1688</v>
      </c>
      <c r="R143" s="65"/>
      <c r="S143" s="66"/>
      <c r="T143" s="12"/>
      <c r="U143" s="11">
        <v>1.0</v>
      </c>
      <c r="V143" s="12"/>
      <c r="W143" s="12"/>
      <c r="X143" s="12"/>
      <c r="Y143" s="12"/>
      <c r="Z143" s="67"/>
      <c r="AA143" s="12"/>
      <c r="AB143" s="12"/>
      <c r="AC143" s="67"/>
      <c r="AD143" s="12"/>
      <c r="AE143" s="12"/>
      <c r="AF143" s="12"/>
    </row>
    <row r="144" ht="45.0" customHeight="1">
      <c r="A144" s="6">
        <v>122.0</v>
      </c>
      <c r="B144" s="6" t="s">
        <v>173</v>
      </c>
      <c r="C144" s="6" t="s">
        <v>540</v>
      </c>
      <c r="D144" s="6" t="s">
        <v>541</v>
      </c>
      <c r="E144" s="7" t="s">
        <v>542</v>
      </c>
      <c r="F144" s="8" t="s">
        <v>489</v>
      </c>
      <c r="G144" s="9">
        <v>20.0</v>
      </c>
      <c r="H144" s="9">
        <v>20.0</v>
      </c>
      <c r="I144" s="9">
        <v>20.0</v>
      </c>
      <c r="J144" s="6">
        <f t="shared" si="17"/>
        <v>400</v>
      </c>
      <c r="K144" s="6" t="s">
        <v>178</v>
      </c>
      <c r="L144" s="7" t="s">
        <v>65</v>
      </c>
      <c r="M144" s="7" t="s">
        <v>518</v>
      </c>
      <c r="N144" s="7"/>
      <c r="O144" s="10" t="s">
        <v>543</v>
      </c>
      <c r="P144" s="6" t="str">
        <f>IMAGE("https://www.sunrobotics.in/web/image/product.product/3164/image_1024/%5B10042%5D%201000UF-25V%20Electrolytic%20Capacitor?unique=acd9ab2",1)</f>
        <v/>
      </c>
      <c r="Q144" s="64" t="s">
        <v>1688</v>
      </c>
      <c r="R144" s="65"/>
      <c r="S144" s="66"/>
      <c r="T144" s="12"/>
      <c r="U144" s="11">
        <v>1.0</v>
      </c>
      <c r="V144" s="12"/>
      <c r="W144" s="12"/>
      <c r="X144" s="12"/>
      <c r="Y144" s="12"/>
      <c r="Z144" s="67"/>
      <c r="AA144" s="12"/>
      <c r="AB144" s="12"/>
      <c r="AC144" s="67"/>
      <c r="AD144" s="12"/>
      <c r="AE144" s="12"/>
      <c r="AF144" s="12"/>
    </row>
    <row r="145" ht="45.0" customHeight="1">
      <c r="A145" s="6">
        <v>123.0</v>
      </c>
      <c r="B145" s="6" t="s">
        <v>173</v>
      </c>
      <c r="C145" s="6" t="s">
        <v>544</v>
      </c>
      <c r="D145" s="6" t="s">
        <v>545</v>
      </c>
      <c r="E145" s="7" t="s">
        <v>546</v>
      </c>
      <c r="F145" s="8" t="s">
        <v>489</v>
      </c>
      <c r="G145" s="9">
        <v>20.0</v>
      </c>
      <c r="H145" s="9">
        <v>20.0</v>
      </c>
      <c r="I145" s="9">
        <v>30.0</v>
      </c>
      <c r="J145" s="6">
        <f t="shared" si="17"/>
        <v>600</v>
      </c>
      <c r="K145" s="6" t="s">
        <v>178</v>
      </c>
      <c r="L145" s="7" t="s">
        <v>65</v>
      </c>
      <c r="M145" s="7" t="s">
        <v>518</v>
      </c>
      <c r="N145" s="7"/>
      <c r="O145" s="10" t="s">
        <v>547</v>
      </c>
      <c r="P145" s="6" t="str">
        <f>IMAGE("https://res.cloudinary.com/rsc/image/upload/b_rgb:FFFFFF,c_pad,dpr_1.0,f_auto,q_auto,w_700/c_pad,w_700/F5201539-01",1)</f>
        <v/>
      </c>
      <c r="Q145" s="64" t="s">
        <v>1688</v>
      </c>
      <c r="R145" s="65"/>
      <c r="S145" s="66"/>
      <c r="T145" s="12"/>
      <c r="U145" s="11">
        <v>1.0</v>
      </c>
      <c r="V145" s="12"/>
      <c r="W145" s="12"/>
      <c r="X145" s="12"/>
      <c r="Y145" s="12"/>
      <c r="Z145" s="67"/>
      <c r="AA145" s="12"/>
      <c r="AB145" s="12"/>
      <c r="AC145" s="67"/>
      <c r="AD145" s="12"/>
      <c r="AE145" s="12"/>
      <c r="AF145" s="12"/>
    </row>
    <row r="146" ht="45.0" customHeight="1">
      <c r="A146" s="6">
        <v>124.0</v>
      </c>
      <c r="B146" s="6" t="s">
        <v>173</v>
      </c>
      <c r="C146" s="6" t="s">
        <v>548</v>
      </c>
      <c r="D146" s="6" t="s">
        <v>549</v>
      </c>
      <c r="E146" s="7" t="s">
        <v>550</v>
      </c>
      <c r="F146" s="8" t="s">
        <v>489</v>
      </c>
      <c r="G146" s="9">
        <v>50.0</v>
      </c>
      <c r="H146" s="9">
        <v>50.0</v>
      </c>
      <c r="I146" s="9">
        <v>10.0</v>
      </c>
      <c r="J146" s="6">
        <f t="shared" si="17"/>
        <v>500</v>
      </c>
      <c r="K146" s="6" t="s">
        <v>178</v>
      </c>
      <c r="L146" s="7" t="s">
        <v>65</v>
      </c>
      <c r="M146" s="7" t="s">
        <v>518</v>
      </c>
      <c r="N146" s="7"/>
      <c r="O146" s="10" t="s">
        <v>551</v>
      </c>
      <c r="P146" s="6" t="str">
        <f>IMAGE("https://sharvielectronics.com/wp-content/uploads/2020/02/2.2uF-50V-Electrolytic-Capacitor.jpg",1)</f>
        <v/>
      </c>
      <c r="Q146" s="64" t="s">
        <v>1688</v>
      </c>
      <c r="R146" s="65"/>
      <c r="S146" s="66"/>
      <c r="T146" s="12"/>
      <c r="U146" s="11">
        <v>1.0</v>
      </c>
      <c r="V146" s="12"/>
      <c r="W146" s="12"/>
      <c r="X146" s="12"/>
      <c r="Y146" s="12"/>
      <c r="Z146" s="67"/>
      <c r="AA146" s="12"/>
      <c r="AB146" s="12"/>
      <c r="AC146" s="67"/>
      <c r="AD146" s="12"/>
      <c r="AE146" s="12"/>
      <c r="AF146" s="12"/>
    </row>
    <row r="147" ht="45.0" customHeight="1">
      <c r="A147" s="6">
        <v>125.0</v>
      </c>
      <c r="B147" s="6" t="s">
        <v>173</v>
      </c>
      <c r="C147" s="6" t="s">
        <v>552</v>
      </c>
      <c r="D147" s="6" t="s">
        <v>553</v>
      </c>
      <c r="E147" s="7" t="s">
        <v>554</v>
      </c>
      <c r="F147" s="8" t="s">
        <v>489</v>
      </c>
      <c r="G147" s="9">
        <v>50.0</v>
      </c>
      <c r="H147" s="9">
        <v>50.0</v>
      </c>
      <c r="I147" s="9">
        <v>15.0</v>
      </c>
      <c r="J147" s="6">
        <f t="shared" si="17"/>
        <v>750</v>
      </c>
      <c r="K147" s="6" t="s">
        <v>178</v>
      </c>
      <c r="L147" s="7" t="s">
        <v>65</v>
      </c>
      <c r="M147" s="7" t="s">
        <v>518</v>
      </c>
      <c r="N147" s="7"/>
      <c r="O147" s="10" t="s">
        <v>555</v>
      </c>
      <c r="P147" s="6" t="str">
        <f>IMAGE("https://projectpoint.in/image/cache/catalog/22uf-450v-672x504.jpg",1)</f>
        <v/>
      </c>
      <c r="Q147" s="64" t="s">
        <v>1688</v>
      </c>
      <c r="R147" s="68"/>
      <c r="S147" s="69"/>
      <c r="T147" s="12"/>
      <c r="U147" s="11">
        <v>1.0</v>
      </c>
      <c r="V147" s="12"/>
      <c r="W147" s="12"/>
      <c r="X147" s="12"/>
      <c r="Y147" s="12"/>
      <c r="Z147" s="67"/>
      <c r="AA147" s="12"/>
      <c r="AB147" s="12"/>
      <c r="AC147" s="67"/>
      <c r="AD147" s="12"/>
      <c r="AE147" s="12"/>
      <c r="AF147" s="12"/>
    </row>
    <row r="148" ht="45.0" customHeight="1">
      <c r="A148" s="6">
        <v>126.0</v>
      </c>
      <c r="B148" s="6" t="s">
        <v>173</v>
      </c>
      <c r="C148" s="6" t="s">
        <v>556</v>
      </c>
      <c r="D148" s="6" t="s">
        <v>557</v>
      </c>
      <c r="E148" s="7" t="s">
        <v>558</v>
      </c>
      <c r="F148" s="8" t="s">
        <v>489</v>
      </c>
      <c r="G148" s="9">
        <v>20.0</v>
      </c>
      <c r="H148" s="9">
        <v>20.0</v>
      </c>
      <c r="I148" s="9">
        <v>20.0</v>
      </c>
      <c r="J148" s="6">
        <f t="shared" si="17"/>
        <v>400</v>
      </c>
      <c r="K148" s="6" t="s">
        <v>178</v>
      </c>
      <c r="L148" s="7" t="s">
        <v>65</v>
      </c>
      <c r="M148" s="7" t="s">
        <v>518</v>
      </c>
      <c r="N148" s="7"/>
      <c r="O148" s="10" t="s">
        <v>559</v>
      </c>
      <c r="P148" s="6" t="str">
        <f>IMAGE("https://5.imimg.com/data5/SP/GM/AD/SELLER-84581978/keltron-2200uf-35-v-electrolytic-capacitors-500x500.jpg",1)</f>
        <v/>
      </c>
      <c r="Q148" s="64" t="s">
        <v>1688</v>
      </c>
      <c r="R148" s="68"/>
      <c r="S148" s="69"/>
      <c r="T148" s="12"/>
      <c r="U148" s="11">
        <v>1.0</v>
      </c>
      <c r="V148" s="12"/>
      <c r="W148" s="12"/>
      <c r="X148" s="12"/>
      <c r="Y148" s="12"/>
      <c r="Z148" s="67"/>
      <c r="AA148" s="12"/>
      <c r="AB148" s="12"/>
      <c r="AC148" s="67"/>
      <c r="AD148" s="12"/>
      <c r="AE148" s="12"/>
      <c r="AF148" s="12"/>
    </row>
    <row r="149" ht="45.0" customHeight="1">
      <c r="A149" s="6">
        <v>127.0</v>
      </c>
      <c r="B149" s="6" t="s">
        <v>173</v>
      </c>
      <c r="C149" s="6" t="s">
        <v>560</v>
      </c>
      <c r="D149" s="6" t="s">
        <v>561</v>
      </c>
      <c r="E149" s="7" t="s">
        <v>562</v>
      </c>
      <c r="F149" s="8" t="s">
        <v>489</v>
      </c>
      <c r="G149" s="9">
        <v>20.0</v>
      </c>
      <c r="H149" s="9">
        <v>20.0</v>
      </c>
      <c r="I149" s="9">
        <v>30.0</v>
      </c>
      <c r="J149" s="6">
        <f t="shared" si="17"/>
        <v>600</v>
      </c>
      <c r="K149" s="6" t="s">
        <v>178</v>
      </c>
      <c r="L149" s="7" t="s">
        <v>65</v>
      </c>
      <c r="M149" s="7" t="s">
        <v>518</v>
      </c>
      <c r="N149" s="7"/>
      <c r="O149" s="10" t="s">
        <v>563</v>
      </c>
      <c r="P149" s="6" t="str">
        <f>IMAGE("https://5.imimg.com/data5/QO/AU/MY-77080729/uge-electrolytic-capacitors-500x375-500x500.jpg",1)</f>
        <v/>
      </c>
      <c r="Q149" s="64" t="s">
        <v>1688</v>
      </c>
      <c r="R149" s="65"/>
      <c r="S149" s="66"/>
      <c r="T149" s="12"/>
      <c r="U149" s="11">
        <v>1.0</v>
      </c>
      <c r="V149" s="12"/>
      <c r="W149" s="12"/>
      <c r="X149" s="12"/>
      <c r="Y149" s="12"/>
      <c r="Z149" s="67"/>
      <c r="AA149" s="12"/>
      <c r="AB149" s="12"/>
      <c r="AC149" s="67"/>
      <c r="AD149" s="12"/>
      <c r="AE149" s="12"/>
      <c r="AF149" s="12"/>
    </row>
    <row r="150" ht="45.0" customHeight="1">
      <c r="A150" s="6">
        <v>128.0</v>
      </c>
      <c r="B150" s="6" t="s">
        <v>173</v>
      </c>
      <c r="C150" s="6" t="s">
        <v>564</v>
      </c>
      <c r="D150" s="6" t="s">
        <v>565</v>
      </c>
      <c r="E150" s="7" t="s">
        <v>566</v>
      </c>
      <c r="F150" s="8" t="s">
        <v>489</v>
      </c>
      <c r="G150" s="9">
        <v>100.0</v>
      </c>
      <c r="H150" s="9">
        <v>100.0</v>
      </c>
      <c r="I150" s="9">
        <v>5.0</v>
      </c>
      <c r="J150" s="6">
        <f t="shared" si="17"/>
        <v>500</v>
      </c>
      <c r="K150" s="6" t="s">
        <v>178</v>
      </c>
      <c r="L150" s="7" t="s">
        <v>65</v>
      </c>
      <c r="M150" s="7" t="s">
        <v>518</v>
      </c>
      <c r="N150" s="7"/>
      <c r="O150" s="10" t="s">
        <v>567</v>
      </c>
      <c r="P150" s="6" t="str">
        <f>IMAGE("https://www.makestore.in/wp-content/uploads/2019/06/27pF_50V_Ceramic_Capacitors.png",1)</f>
        <v/>
      </c>
      <c r="Q150" s="64" t="s">
        <v>1688</v>
      </c>
      <c r="R150" s="68"/>
      <c r="S150" s="69"/>
      <c r="T150" s="12"/>
      <c r="U150" s="11">
        <v>1.0</v>
      </c>
      <c r="V150" s="12"/>
      <c r="W150" s="12"/>
      <c r="X150" s="12"/>
      <c r="Y150" s="12"/>
      <c r="Z150" s="67"/>
      <c r="AA150" s="12"/>
      <c r="AB150" s="12"/>
      <c r="AC150" s="67"/>
      <c r="AD150" s="12"/>
      <c r="AE150" s="12"/>
      <c r="AF150" s="12"/>
    </row>
    <row r="151" ht="45.0" customHeight="1">
      <c r="A151" s="6">
        <v>129.0</v>
      </c>
      <c r="B151" s="6" t="s">
        <v>173</v>
      </c>
      <c r="C151" s="6" t="s">
        <v>568</v>
      </c>
      <c r="D151" s="6" t="s">
        <v>569</v>
      </c>
      <c r="E151" s="7" t="s">
        <v>570</v>
      </c>
      <c r="F151" s="8" t="s">
        <v>489</v>
      </c>
      <c r="G151" s="9">
        <v>100.0</v>
      </c>
      <c r="H151" s="9">
        <v>100.0</v>
      </c>
      <c r="I151" s="9">
        <v>5.0</v>
      </c>
      <c r="J151" s="6">
        <f t="shared" si="17"/>
        <v>500</v>
      </c>
      <c r="K151" s="6" t="s">
        <v>178</v>
      </c>
      <c r="L151" s="7" t="s">
        <v>65</v>
      </c>
      <c r="M151" s="7" t="s">
        <v>518</v>
      </c>
      <c r="N151" s="7"/>
      <c r="O151" s="10" t="s">
        <v>571</v>
      </c>
      <c r="P151" s="6" t="str">
        <f>IMAGE("https://projectpoint.in/image/cache/catalog/ceramic-capacitors-50V-4.7pf-672x504.jpg",1)</f>
        <v/>
      </c>
      <c r="Q151" s="64" t="s">
        <v>1688</v>
      </c>
      <c r="R151" s="68"/>
      <c r="S151" s="69"/>
      <c r="T151" s="12"/>
      <c r="U151" s="11">
        <v>1.0</v>
      </c>
      <c r="V151" s="12"/>
      <c r="W151" s="12"/>
      <c r="X151" s="12"/>
      <c r="Y151" s="12"/>
      <c r="Z151" s="67"/>
      <c r="AA151" s="12"/>
      <c r="AB151" s="12"/>
      <c r="AC151" s="67"/>
      <c r="AD151" s="12"/>
      <c r="AE151" s="12"/>
      <c r="AF151" s="12"/>
    </row>
    <row r="152" ht="45.0" customHeight="1">
      <c r="A152" s="6">
        <v>130.0</v>
      </c>
      <c r="B152" s="6" t="s">
        <v>173</v>
      </c>
      <c r="C152" s="6" t="s">
        <v>572</v>
      </c>
      <c r="D152" s="6" t="s">
        <v>573</v>
      </c>
      <c r="E152" s="7" t="s">
        <v>574</v>
      </c>
      <c r="F152" s="8" t="s">
        <v>489</v>
      </c>
      <c r="G152" s="9">
        <v>50.0</v>
      </c>
      <c r="H152" s="9">
        <v>50.0</v>
      </c>
      <c r="I152" s="9">
        <v>10.0</v>
      </c>
      <c r="J152" s="6">
        <f t="shared" si="17"/>
        <v>500</v>
      </c>
      <c r="K152" s="6" t="s">
        <v>178</v>
      </c>
      <c r="L152" s="7" t="s">
        <v>65</v>
      </c>
      <c r="M152" s="7" t="s">
        <v>518</v>
      </c>
      <c r="N152" s="7"/>
      <c r="O152" s="10" t="s">
        <v>575</v>
      </c>
      <c r="P152" s="6" t="str">
        <f>IMAGE("https://5.imimg.com/data5/JL/JS/ZA/SELLER-21614932/4-7uf-400v-keltron-capacitor-500x500.jpg",1)</f>
        <v/>
      </c>
      <c r="Q152" s="64" t="s">
        <v>1688</v>
      </c>
      <c r="R152" s="68"/>
      <c r="S152" s="69"/>
      <c r="T152" s="12"/>
      <c r="U152" s="11">
        <v>1.0</v>
      </c>
      <c r="V152" s="12"/>
      <c r="W152" s="12"/>
      <c r="X152" s="12"/>
      <c r="Y152" s="12"/>
      <c r="Z152" s="67"/>
      <c r="AA152" s="12"/>
      <c r="AB152" s="12"/>
      <c r="AC152" s="67"/>
      <c r="AD152" s="12"/>
      <c r="AE152" s="12"/>
      <c r="AF152" s="12"/>
    </row>
    <row r="153" ht="45.0" customHeight="1">
      <c r="A153" s="6">
        <v>131.0</v>
      </c>
      <c r="B153" s="6" t="s">
        <v>173</v>
      </c>
      <c r="C153" s="6" t="s">
        <v>576</v>
      </c>
      <c r="D153" s="6" t="s">
        <v>577</v>
      </c>
      <c r="E153" s="7" t="s">
        <v>578</v>
      </c>
      <c r="F153" s="8" t="s">
        <v>489</v>
      </c>
      <c r="G153" s="9">
        <v>50.0</v>
      </c>
      <c r="H153" s="9">
        <v>50.0</v>
      </c>
      <c r="I153" s="9">
        <v>15.0</v>
      </c>
      <c r="J153" s="6">
        <f t="shared" si="17"/>
        <v>750</v>
      </c>
      <c r="K153" s="6" t="s">
        <v>178</v>
      </c>
      <c r="L153" s="7" t="s">
        <v>65</v>
      </c>
      <c r="M153" s="7" t="s">
        <v>518</v>
      </c>
      <c r="N153" s="7"/>
      <c r="O153" s="10" t="s">
        <v>579</v>
      </c>
      <c r="P153" s="6" t="str">
        <f>IMAGE("https://projectpoint.in/image/cache/catalog/47uf-250v-672x504.jpg",1)</f>
        <v/>
      </c>
      <c r="Q153" s="64" t="s">
        <v>1688</v>
      </c>
      <c r="R153" s="65"/>
      <c r="S153" s="66"/>
      <c r="T153" s="12"/>
      <c r="U153" s="11">
        <v>1.0</v>
      </c>
      <c r="V153" s="12"/>
      <c r="W153" s="12"/>
      <c r="X153" s="12"/>
      <c r="Y153" s="12"/>
      <c r="Z153" s="67"/>
      <c r="AA153" s="12"/>
      <c r="AB153" s="12"/>
      <c r="AC153" s="67"/>
      <c r="AD153" s="12"/>
      <c r="AE153" s="12"/>
      <c r="AF153" s="12"/>
    </row>
    <row r="154" ht="45.0" customHeight="1">
      <c r="A154" s="6">
        <v>132.0</v>
      </c>
      <c r="B154" s="6" t="s">
        <v>173</v>
      </c>
      <c r="C154" s="6" t="s">
        <v>580</v>
      </c>
      <c r="D154" s="6" t="s">
        <v>581</v>
      </c>
      <c r="E154" s="7" t="s">
        <v>582</v>
      </c>
      <c r="F154" s="8" t="s">
        <v>489</v>
      </c>
      <c r="G154" s="9">
        <v>20.0</v>
      </c>
      <c r="H154" s="9">
        <v>20.0</v>
      </c>
      <c r="I154" s="9">
        <v>20.0</v>
      </c>
      <c r="J154" s="6">
        <f t="shared" si="17"/>
        <v>400</v>
      </c>
      <c r="K154" s="6" t="s">
        <v>178</v>
      </c>
      <c r="L154" s="7" t="s">
        <v>65</v>
      </c>
      <c r="M154" s="7" t="s">
        <v>518</v>
      </c>
      <c r="N154" s="7"/>
      <c r="O154" s="10" t="s">
        <v>583</v>
      </c>
      <c r="P154" s="6" t="str">
        <f>IMAGE("https://5.imimg.com/data5/QO/AU/MY-77080729/uge-electrolytic-capacitors-500x375-500x500.jpg",1)</f>
        <v/>
      </c>
      <c r="Q154" s="64" t="s">
        <v>1688</v>
      </c>
      <c r="R154" s="65"/>
      <c r="S154" s="66"/>
      <c r="T154" s="12"/>
      <c r="U154" s="11">
        <v>1.0</v>
      </c>
      <c r="V154" s="12"/>
      <c r="W154" s="12"/>
      <c r="X154" s="12"/>
      <c r="Y154" s="12"/>
      <c r="Z154" s="67"/>
      <c r="AA154" s="12"/>
      <c r="AB154" s="12"/>
      <c r="AC154" s="67"/>
      <c r="AD154" s="12"/>
      <c r="AE154" s="12"/>
      <c r="AF154" s="12"/>
    </row>
    <row r="155" ht="45.0" customHeight="1">
      <c r="A155" s="6">
        <v>133.0</v>
      </c>
      <c r="B155" s="6" t="s">
        <v>173</v>
      </c>
      <c r="C155" s="6" t="s">
        <v>584</v>
      </c>
      <c r="D155" s="6" t="s">
        <v>585</v>
      </c>
      <c r="E155" s="7" t="s">
        <v>586</v>
      </c>
      <c r="F155" s="8" t="s">
        <v>489</v>
      </c>
      <c r="G155" s="9">
        <v>20.0</v>
      </c>
      <c r="H155" s="9">
        <v>20.0</v>
      </c>
      <c r="I155" s="9">
        <v>25.0</v>
      </c>
      <c r="J155" s="6">
        <f t="shared" si="17"/>
        <v>500</v>
      </c>
      <c r="K155" s="6" t="s">
        <v>178</v>
      </c>
      <c r="L155" s="7"/>
      <c r="M155" s="7" t="s">
        <v>193</v>
      </c>
      <c r="N155" s="7"/>
      <c r="O155" s="10" t="s">
        <v>587</v>
      </c>
      <c r="P155" s="6" t="str">
        <f>IMAGE("https://www.electronicscomp.com/image/cache/catalog/cd4033-5-stage-johnson-decade-counter-ic-dip-16-800x800.jpg",1)</f>
        <v/>
      </c>
      <c r="Q155" s="64" t="s">
        <v>1688</v>
      </c>
      <c r="R155" s="65"/>
      <c r="S155" s="66"/>
      <c r="T155" s="12"/>
      <c r="U155" s="11">
        <v>1.0</v>
      </c>
      <c r="V155" s="12"/>
      <c r="W155" s="12"/>
      <c r="X155" s="12"/>
      <c r="Y155" s="12"/>
      <c r="Z155" s="67"/>
      <c r="AA155" s="12"/>
      <c r="AB155" s="12"/>
      <c r="AC155" s="67"/>
      <c r="AD155" s="12"/>
      <c r="AE155" s="12"/>
      <c r="AF155" s="12"/>
    </row>
    <row r="156" ht="45.0" customHeight="1">
      <c r="A156" s="6">
        <v>134.0</v>
      </c>
      <c r="B156" s="6" t="s">
        <v>173</v>
      </c>
      <c r="C156" s="6" t="s">
        <v>588</v>
      </c>
      <c r="D156" s="6" t="s">
        <v>589</v>
      </c>
      <c r="E156" s="7" t="s">
        <v>590</v>
      </c>
      <c r="F156" s="8" t="s">
        <v>489</v>
      </c>
      <c r="G156" s="9">
        <v>20.0</v>
      </c>
      <c r="H156" s="9">
        <v>20.0</v>
      </c>
      <c r="I156" s="9">
        <v>5.0</v>
      </c>
      <c r="J156" s="6">
        <f t="shared" si="17"/>
        <v>100</v>
      </c>
      <c r="K156" s="6" t="s">
        <v>178</v>
      </c>
      <c r="L156" s="7"/>
      <c r="M156" s="7" t="s">
        <v>518</v>
      </c>
      <c r="N156" s="7"/>
      <c r="O156" s="23" t="s">
        <v>591</v>
      </c>
      <c r="P156" s="6" t="str">
        <f t="shared" ref="P156:P157" si="18">IMAGE("https://m.media-amazon.com/images/W/MEDIAX_792452-T2/images/I/41A+MQfyyEL.jpg",1)</f>
        <v/>
      </c>
      <c r="Q156" s="64" t="s">
        <v>1688</v>
      </c>
      <c r="R156" s="65"/>
      <c r="S156" s="66"/>
      <c r="T156" s="12"/>
      <c r="U156" s="11">
        <v>1.0</v>
      </c>
      <c r="V156" s="12"/>
      <c r="W156" s="12"/>
      <c r="X156" s="12"/>
      <c r="Y156" s="12"/>
      <c r="Z156" s="67"/>
      <c r="AA156" s="12"/>
      <c r="AB156" s="12"/>
      <c r="AC156" s="67"/>
      <c r="AD156" s="12"/>
      <c r="AE156" s="12"/>
      <c r="AF156" s="12"/>
    </row>
    <row r="157" ht="45.0" customHeight="1">
      <c r="A157" s="6">
        <v>135.0</v>
      </c>
      <c r="B157" s="6" t="s">
        <v>173</v>
      </c>
      <c r="C157" s="6" t="s">
        <v>592</v>
      </c>
      <c r="D157" s="6" t="s">
        <v>593</v>
      </c>
      <c r="E157" s="7" t="s">
        <v>594</v>
      </c>
      <c r="F157" s="8" t="s">
        <v>489</v>
      </c>
      <c r="G157" s="9">
        <v>20.0</v>
      </c>
      <c r="H157" s="9">
        <v>20.0</v>
      </c>
      <c r="I157" s="9">
        <v>5.0</v>
      </c>
      <c r="J157" s="6">
        <f t="shared" si="17"/>
        <v>100</v>
      </c>
      <c r="K157" s="6" t="s">
        <v>178</v>
      </c>
      <c r="L157" s="7"/>
      <c r="M157" s="7" t="s">
        <v>518</v>
      </c>
      <c r="N157" s="7"/>
      <c r="O157" s="10" t="s">
        <v>595</v>
      </c>
      <c r="P157" s="6" t="str">
        <f t="shared" si="18"/>
        <v/>
      </c>
      <c r="Q157" s="64" t="s">
        <v>1688</v>
      </c>
      <c r="R157" s="65"/>
      <c r="S157" s="66"/>
      <c r="T157" s="12"/>
      <c r="U157" s="11">
        <v>1.0</v>
      </c>
      <c r="V157" s="12"/>
      <c r="W157" s="12"/>
      <c r="X157" s="12"/>
      <c r="Y157" s="12"/>
      <c r="Z157" s="67"/>
      <c r="AA157" s="12"/>
      <c r="AB157" s="12"/>
      <c r="AC157" s="67"/>
      <c r="AD157" s="12"/>
      <c r="AE157" s="12"/>
      <c r="AF157" s="12"/>
    </row>
    <row r="158" ht="45.0" customHeight="1">
      <c r="A158" s="6">
        <v>136.0</v>
      </c>
      <c r="B158" s="6" t="s">
        <v>173</v>
      </c>
      <c r="C158" s="6" t="s">
        <v>596</v>
      </c>
      <c r="D158" s="6" t="s">
        <v>597</v>
      </c>
      <c r="E158" s="7" t="s">
        <v>598</v>
      </c>
      <c r="F158" s="8" t="s">
        <v>489</v>
      </c>
      <c r="G158" s="9">
        <v>20.0</v>
      </c>
      <c r="H158" s="9">
        <v>20.0</v>
      </c>
      <c r="I158" s="9">
        <v>30.0</v>
      </c>
      <c r="J158" s="6">
        <f t="shared" si="17"/>
        <v>600</v>
      </c>
      <c r="K158" s="6" t="s">
        <v>178</v>
      </c>
      <c r="L158" s="7"/>
      <c r="M158" s="7" t="s">
        <v>599</v>
      </c>
      <c r="N158" s="7"/>
      <c r="O158" s="10" t="s">
        <v>600</v>
      </c>
      <c r="P158" s="6" t="str">
        <f>IMAGE("https://robu.in/wp-content/uploads/2018/11/LM358P-PDIP-8-High-Gain-Operational-Amplifier-Pack-of-5-ICs-9.jpg",1)</f>
        <v/>
      </c>
      <c r="Q158" s="64" t="s">
        <v>1688</v>
      </c>
      <c r="R158" s="65"/>
      <c r="S158" s="66"/>
      <c r="T158" s="12"/>
      <c r="U158" s="11">
        <v>1.0</v>
      </c>
      <c r="V158" s="12"/>
      <c r="W158" s="12"/>
      <c r="X158" s="12"/>
      <c r="Y158" s="12"/>
      <c r="Z158" s="67"/>
      <c r="AA158" s="12"/>
      <c r="AB158" s="12"/>
      <c r="AC158" s="67"/>
      <c r="AD158" s="12"/>
      <c r="AE158" s="12"/>
      <c r="AF158" s="12"/>
    </row>
    <row r="159" ht="45.0" customHeight="1">
      <c r="A159" s="6">
        <v>137.0</v>
      </c>
      <c r="B159" s="6" t="s">
        <v>173</v>
      </c>
      <c r="C159" s="6" t="s">
        <v>601</v>
      </c>
      <c r="D159" s="6" t="s">
        <v>602</v>
      </c>
      <c r="E159" s="7" t="s">
        <v>603</v>
      </c>
      <c r="F159" s="8" t="s">
        <v>489</v>
      </c>
      <c r="G159" s="9">
        <v>500.0</v>
      </c>
      <c r="H159" s="9">
        <v>500.0</v>
      </c>
      <c r="I159" s="9">
        <v>1.5</v>
      </c>
      <c r="J159" s="6">
        <f t="shared" si="17"/>
        <v>750</v>
      </c>
      <c r="K159" s="6" t="s">
        <v>178</v>
      </c>
      <c r="L159" s="7"/>
      <c r="M159" s="7" t="s">
        <v>518</v>
      </c>
      <c r="N159" s="7"/>
      <c r="O159" s="10" t="s">
        <v>604</v>
      </c>
      <c r="P159" s="6" t="str">
        <f>IMAGE("https://rukminim2.flixcart.com/image/832/832/xif0q/electronic-hobby-kit/d/o/s/50-pcs-blue-led-5mm-kitsguru-original-imaghfqbjbn4hshz.jpeg?q=70",1)</f>
        <v/>
      </c>
      <c r="Q159" s="64" t="s">
        <v>1688</v>
      </c>
      <c r="R159" s="68"/>
      <c r="S159" s="69"/>
      <c r="T159" s="12"/>
      <c r="U159" s="11">
        <v>1.0</v>
      </c>
      <c r="V159" s="12"/>
      <c r="W159" s="12"/>
      <c r="X159" s="12"/>
      <c r="Y159" s="12"/>
      <c r="Z159" s="67"/>
      <c r="AA159" s="12"/>
      <c r="AB159" s="12"/>
      <c r="AC159" s="67"/>
      <c r="AD159" s="12"/>
      <c r="AE159" s="12"/>
      <c r="AF159" s="12"/>
    </row>
    <row r="160" ht="45.0" customHeight="1">
      <c r="A160" s="6">
        <v>138.0</v>
      </c>
      <c r="B160" s="6" t="s">
        <v>173</v>
      </c>
      <c r="C160" s="6" t="s">
        <v>605</v>
      </c>
      <c r="D160" s="6" t="s">
        <v>606</v>
      </c>
      <c r="E160" s="7" t="s">
        <v>607</v>
      </c>
      <c r="F160" s="8" t="s">
        <v>489</v>
      </c>
      <c r="G160" s="9">
        <v>500.0</v>
      </c>
      <c r="H160" s="9">
        <v>500.0</v>
      </c>
      <c r="I160" s="9">
        <v>1.5</v>
      </c>
      <c r="J160" s="6">
        <f t="shared" si="17"/>
        <v>750</v>
      </c>
      <c r="K160" s="6" t="s">
        <v>178</v>
      </c>
      <c r="L160" s="7"/>
      <c r="M160" s="7" t="s">
        <v>518</v>
      </c>
      <c r="N160" s="7"/>
      <c r="O160" s="10"/>
      <c r="P160" s="6" t="str">
        <f>IMAGE("https://rukminim2.flixcart.com/image/832/832/krz97rk0/electronic-hobby-kit/r/p/r/5mm-green-led-light-emitting-diode-highlight-for-arduino-pack-of-original-imag5n63ad6pnxqe.jpeg?q=70", 1)</f>
        <v/>
      </c>
      <c r="Q160" s="64" t="s">
        <v>1688</v>
      </c>
      <c r="R160" s="68"/>
      <c r="S160" s="69"/>
      <c r="T160" s="12"/>
      <c r="U160" s="11">
        <v>1.0</v>
      </c>
      <c r="V160" s="12"/>
      <c r="W160" s="12"/>
      <c r="X160" s="12"/>
      <c r="Y160" s="12"/>
      <c r="Z160" s="67"/>
      <c r="AA160" s="12"/>
      <c r="AB160" s="12"/>
      <c r="AC160" s="67"/>
      <c r="AD160" s="12"/>
      <c r="AE160" s="12"/>
      <c r="AF160" s="12"/>
    </row>
    <row r="161" ht="45.0" customHeight="1">
      <c r="A161" s="6">
        <v>139.0</v>
      </c>
      <c r="B161" s="6" t="s">
        <v>173</v>
      </c>
      <c r="C161" s="6" t="s">
        <v>608</v>
      </c>
      <c r="D161" s="6" t="s">
        <v>609</v>
      </c>
      <c r="E161" s="7" t="s">
        <v>610</v>
      </c>
      <c r="F161" s="8" t="s">
        <v>489</v>
      </c>
      <c r="G161" s="9">
        <v>500.0</v>
      </c>
      <c r="H161" s="9">
        <v>500.0</v>
      </c>
      <c r="I161" s="9">
        <v>1.5</v>
      </c>
      <c r="J161" s="6">
        <f t="shared" si="17"/>
        <v>750</v>
      </c>
      <c r="K161" s="6" t="s">
        <v>178</v>
      </c>
      <c r="L161" s="7"/>
      <c r="M161" s="7" t="s">
        <v>518</v>
      </c>
      <c r="N161" s="7"/>
      <c r="O161" s="10" t="s">
        <v>611</v>
      </c>
      <c r="P161" s="6" t="str">
        <f>IMAGE("https://rukminim2.flixcart.com/image/832/832/ktrk13k0/electronic-hobby-kit/u/f/w/10-pcs-5mm-round-diffused-red-color-led-light-bulb-lamp-light-original-imag7ff6rchccrbz.jpeg?q=70", 1)</f>
        <v/>
      </c>
      <c r="Q161" s="64" t="s">
        <v>1688</v>
      </c>
      <c r="R161" s="65"/>
      <c r="S161" s="66"/>
      <c r="T161" s="12"/>
      <c r="U161" s="11">
        <v>1.0</v>
      </c>
      <c r="V161" s="12"/>
      <c r="W161" s="12"/>
      <c r="X161" s="12"/>
      <c r="Y161" s="12"/>
      <c r="Z161" s="67"/>
      <c r="AA161" s="12"/>
      <c r="AB161" s="12"/>
      <c r="AC161" s="67"/>
      <c r="AD161" s="12"/>
      <c r="AE161" s="12"/>
      <c r="AF161" s="12"/>
    </row>
    <row r="162" ht="45.0" customHeight="1">
      <c r="A162" s="6">
        <v>140.0</v>
      </c>
      <c r="B162" s="6" t="s">
        <v>173</v>
      </c>
      <c r="C162" s="6" t="s">
        <v>612</v>
      </c>
      <c r="D162" s="6" t="s">
        <v>613</v>
      </c>
      <c r="E162" s="7" t="s">
        <v>614</v>
      </c>
      <c r="F162" s="8" t="s">
        <v>489</v>
      </c>
      <c r="G162" s="9">
        <v>500.0</v>
      </c>
      <c r="H162" s="9">
        <v>500.0</v>
      </c>
      <c r="I162" s="9">
        <v>1.5</v>
      </c>
      <c r="J162" s="6">
        <f t="shared" si="17"/>
        <v>750</v>
      </c>
      <c r="K162" s="6" t="s">
        <v>178</v>
      </c>
      <c r="L162" s="7"/>
      <c r="M162" s="7" t="s">
        <v>518</v>
      </c>
      <c r="N162" s="7"/>
      <c r="O162" s="10" t="s">
        <v>615</v>
      </c>
      <c r="P162" s="6" t="str">
        <f>IMAGE("https://robu.in/wp-content/uploads/2020/10/5mm-DIP-Led-White.png", 1)</f>
        <v/>
      </c>
      <c r="Q162" s="64" t="s">
        <v>1688</v>
      </c>
      <c r="R162" s="65"/>
      <c r="S162" s="66"/>
      <c r="T162" s="12"/>
      <c r="U162" s="11">
        <v>1.0</v>
      </c>
      <c r="V162" s="12"/>
      <c r="W162" s="12"/>
      <c r="X162" s="12"/>
      <c r="Y162" s="12"/>
      <c r="Z162" s="67"/>
      <c r="AA162" s="12"/>
      <c r="AB162" s="12"/>
      <c r="AC162" s="67"/>
      <c r="AD162" s="12"/>
      <c r="AE162" s="12"/>
      <c r="AF162" s="12"/>
    </row>
    <row r="163" ht="45.0" customHeight="1">
      <c r="A163" s="6">
        <v>141.0</v>
      </c>
      <c r="B163" s="6" t="s">
        <v>173</v>
      </c>
      <c r="C163" s="6" t="s">
        <v>616</v>
      </c>
      <c r="D163" s="6" t="s">
        <v>617</v>
      </c>
      <c r="E163" s="7" t="s">
        <v>618</v>
      </c>
      <c r="F163" s="8" t="s">
        <v>489</v>
      </c>
      <c r="G163" s="9">
        <v>500.0</v>
      </c>
      <c r="H163" s="9">
        <v>500.0</v>
      </c>
      <c r="I163" s="9">
        <v>1.5</v>
      </c>
      <c r="J163" s="6">
        <f t="shared" si="17"/>
        <v>750</v>
      </c>
      <c r="K163" s="6" t="s">
        <v>178</v>
      </c>
      <c r="L163" s="7"/>
      <c r="M163" s="7" t="s">
        <v>518</v>
      </c>
      <c r="N163" s="7"/>
      <c r="O163" s="18" t="s">
        <v>619</v>
      </c>
      <c r="P163" s="6" t="str">
        <f>IMAGE("https://robu.in/wp-content/uploads/2020/10/5-mm-DIP-Led-Yellow.png", 1)</f>
        <v/>
      </c>
      <c r="Q163" s="64" t="s">
        <v>1688</v>
      </c>
      <c r="R163" s="65"/>
      <c r="S163" s="66"/>
      <c r="T163" s="12"/>
      <c r="U163" s="11">
        <v>1.0</v>
      </c>
      <c r="V163" s="12"/>
      <c r="W163" s="12"/>
      <c r="X163" s="12"/>
      <c r="Y163" s="12"/>
      <c r="Z163" s="67"/>
      <c r="AA163" s="12"/>
      <c r="AB163" s="12"/>
      <c r="AC163" s="67"/>
      <c r="AD163" s="12"/>
      <c r="AE163" s="12"/>
      <c r="AF163" s="12"/>
    </row>
    <row r="164" ht="45.0" customHeight="1">
      <c r="A164" s="6">
        <v>142.0</v>
      </c>
      <c r="B164" s="6" t="s">
        <v>173</v>
      </c>
      <c r="C164" s="6" t="s">
        <v>620</v>
      </c>
      <c r="D164" s="6" t="s">
        <v>621</v>
      </c>
      <c r="E164" s="7" t="s">
        <v>622</v>
      </c>
      <c r="F164" s="8" t="s">
        <v>489</v>
      </c>
      <c r="G164" s="9">
        <v>100.0</v>
      </c>
      <c r="H164" s="9">
        <v>100.0</v>
      </c>
      <c r="I164" s="9">
        <v>20.0</v>
      </c>
      <c r="J164" s="6">
        <f t="shared" si="17"/>
        <v>2000</v>
      </c>
      <c r="K164" s="6" t="s">
        <v>178</v>
      </c>
      <c r="L164" s="7"/>
      <c r="M164" s="7" t="s">
        <v>518</v>
      </c>
      <c r="N164" s="7"/>
      <c r="O164" s="10" t="s">
        <v>623</v>
      </c>
      <c r="P164" s="6" t="str">
        <f>IMAGE("https://image.robotistan.com/5mm-transparent-rgb-led-2633-11-O.jpg", 1)</f>
        <v/>
      </c>
      <c r="Q164" s="64" t="s">
        <v>1688</v>
      </c>
      <c r="R164" s="68"/>
      <c r="S164" s="69"/>
      <c r="T164" s="12"/>
      <c r="U164" s="11">
        <v>1.0</v>
      </c>
      <c r="V164" s="12"/>
      <c r="W164" s="12"/>
      <c r="X164" s="12"/>
      <c r="Y164" s="12"/>
      <c r="Z164" s="67"/>
      <c r="AA164" s="12"/>
      <c r="AB164" s="12"/>
      <c r="AC164" s="67"/>
      <c r="AD164" s="12"/>
      <c r="AE164" s="12"/>
      <c r="AF164" s="12"/>
    </row>
    <row r="165" ht="45.0" customHeight="1">
      <c r="A165" s="6">
        <v>143.0</v>
      </c>
      <c r="B165" s="6" t="s">
        <v>173</v>
      </c>
      <c r="C165" s="6" t="s">
        <v>624</v>
      </c>
      <c r="D165" s="6" t="s">
        <v>625</v>
      </c>
      <c r="E165" s="7" t="s">
        <v>626</v>
      </c>
      <c r="F165" s="8" t="s">
        <v>489</v>
      </c>
      <c r="G165" s="9">
        <v>20.0</v>
      </c>
      <c r="H165" s="9">
        <v>20.0</v>
      </c>
      <c r="I165" s="9">
        <v>15.0</v>
      </c>
      <c r="J165" s="6">
        <f t="shared" si="17"/>
        <v>300</v>
      </c>
      <c r="K165" s="6" t="s">
        <v>178</v>
      </c>
      <c r="L165" s="7"/>
      <c r="M165" s="7" t="s">
        <v>518</v>
      </c>
      <c r="N165" s="7"/>
      <c r="O165" s="10" t="s">
        <v>627</v>
      </c>
      <c r="P165" s="6" t="str">
        <f>IMAGE("https://5.imimg.com/data5/AH/OG/AM/SELLER-5278310/mkc-27701-changeover-reed-switch-500x500.jpg",1)</f>
        <v/>
      </c>
      <c r="Q165" s="64" t="s">
        <v>1688</v>
      </c>
      <c r="R165" s="65"/>
      <c r="S165" s="66"/>
      <c r="T165" s="12"/>
      <c r="U165" s="11">
        <v>1.0</v>
      </c>
      <c r="V165" s="12"/>
      <c r="W165" s="12"/>
      <c r="X165" s="12"/>
      <c r="Y165" s="12"/>
      <c r="Z165" s="67"/>
      <c r="AA165" s="12"/>
      <c r="AB165" s="12"/>
      <c r="AC165" s="67"/>
      <c r="AD165" s="12"/>
      <c r="AE165" s="12"/>
      <c r="AF165" s="12"/>
    </row>
    <row r="166" ht="45.0" customHeight="1">
      <c r="A166" s="6">
        <v>144.0</v>
      </c>
      <c r="B166" s="6" t="s">
        <v>173</v>
      </c>
      <c r="C166" s="6" t="s">
        <v>628</v>
      </c>
      <c r="D166" s="6" t="s">
        <v>629</v>
      </c>
      <c r="E166" s="7" t="s">
        <v>630</v>
      </c>
      <c r="F166" s="8" t="s">
        <v>489</v>
      </c>
      <c r="G166" s="9">
        <v>20.0</v>
      </c>
      <c r="H166" s="9">
        <v>20.0</v>
      </c>
      <c r="I166" s="9">
        <v>20.0</v>
      </c>
      <c r="J166" s="6">
        <f t="shared" si="17"/>
        <v>400</v>
      </c>
      <c r="K166" s="6" t="s">
        <v>178</v>
      </c>
      <c r="L166" s="7"/>
      <c r="M166" s="7" t="s">
        <v>518</v>
      </c>
      <c r="N166" s="7"/>
      <c r="O166" s="10" t="s">
        <v>631</v>
      </c>
      <c r="P166" s="6" t="str">
        <f t="shared" ref="P166:P167" si="19">IMAGE("https://www.electronicscomp.com/image/cache/catalog/irfz44-n-channel-power-mosfet-1-800x800.JPG",1)</f>
        <v/>
      </c>
      <c r="Q166" s="64" t="s">
        <v>1688</v>
      </c>
      <c r="R166" s="65"/>
      <c r="S166" s="66"/>
      <c r="T166" s="12"/>
      <c r="U166" s="11">
        <v>1.0</v>
      </c>
      <c r="V166" s="12"/>
      <c r="W166" s="12"/>
      <c r="X166" s="12"/>
      <c r="Y166" s="12"/>
      <c r="Z166" s="67"/>
      <c r="AA166" s="12"/>
      <c r="AB166" s="12"/>
      <c r="AC166" s="67"/>
      <c r="AD166" s="12"/>
      <c r="AE166" s="12"/>
      <c r="AF166" s="12"/>
    </row>
    <row r="167" ht="45.0" customHeight="1">
      <c r="A167" s="6">
        <v>145.0</v>
      </c>
      <c r="B167" s="6" t="s">
        <v>173</v>
      </c>
      <c r="C167" s="6" t="s">
        <v>632</v>
      </c>
      <c r="D167" s="6" t="s">
        <v>633</v>
      </c>
      <c r="E167" s="7" t="s">
        <v>634</v>
      </c>
      <c r="F167" s="8" t="s">
        <v>489</v>
      </c>
      <c r="G167" s="9">
        <v>20.0</v>
      </c>
      <c r="H167" s="9">
        <v>20.0</v>
      </c>
      <c r="I167" s="9">
        <v>30.0</v>
      </c>
      <c r="J167" s="6">
        <f t="shared" si="17"/>
        <v>600</v>
      </c>
      <c r="K167" s="6" t="s">
        <v>178</v>
      </c>
      <c r="L167" s="7"/>
      <c r="M167" s="7" t="s">
        <v>518</v>
      </c>
      <c r="N167" s="7"/>
      <c r="O167" s="10" t="s">
        <v>635</v>
      </c>
      <c r="P167" s="6" t="str">
        <f t="shared" si="19"/>
        <v/>
      </c>
      <c r="Q167" s="64" t="s">
        <v>1688</v>
      </c>
      <c r="R167" s="65"/>
      <c r="S167" s="66"/>
      <c r="T167" s="12"/>
      <c r="U167" s="11">
        <v>1.0</v>
      </c>
      <c r="V167" s="12"/>
      <c r="W167" s="12"/>
      <c r="X167" s="12"/>
      <c r="Y167" s="12"/>
      <c r="Z167" s="67"/>
      <c r="AA167" s="12"/>
      <c r="AB167" s="12"/>
      <c r="AC167" s="67"/>
      <c r="AD167" s="12"/>
      <c r="AE167" s="12"/>
      <c r="AF167" s="12"/>
    </row>
    <row r="168" ht="45.0" customHeight="1">
      <c r="A168" s="6">
        <v>146.0</v>
      </c>
      <c r="B168" s="6" t="s">
        <v>173</v>
      </c>
      <c r="C168" s="6" t="s">
        <v>636</v>
      </c>
      <c r="D168" s="6" t="s">
        <v>637</v>
      </c>
      <c r="E168" s="7" t="s">
        <v>638</v>
      </c>
      <c r="F168" s="8" t="s">
        <v>489</v>
      </c>
      <c r="G168" s="9">
        <v>20.0</v>
      </c>
      <c r="H168" s="9">
        <v>20.0</v>
      </c>
      <c r="I168" s="9">
        <v>50.0</v>
      </c>
      <c r="J168" s="6">
        <f t="shared" si="17"/>
        <v>1000</v>
      </c>
      <c r="K168" s="6" t="s">
        <v>178</v>
      </c>
      <c r="L168" s="7"/>
      <c r="M168" s="7" t="s">
        <v>193</v>
      </c>
      <c r="N168" s="7"/>
      <c r="O168" s="10" t="s">
        <v>639</v>
      </c>
      <c r="P168" s="6" t="str">
        <f>IMAGE("https://5.imimg.com/data5/FI/FV/DZ/SELLER-22718366/27-mm-3p-piezoelectric-buzzer-plate-500x500.jpg",1)</f>
        <v/>
      </c>
      <c r="Q168" s="64" t="s">
        <v>1688</v>
      </c>
      <c r="R168" s="65"/>
      <c r="S168" s="66"/>
      <c r="T168" s="12"/>
      <c r="U168" s="11">
        <v>1.0</v>
      </c>
      <c r="V168" s="12"/>
      <c r="W168" s="12"/>
      <c r="X168" s="12"/>
      <c r="Y168" s="12"/>
      <c r="Z168" s="67"/>
      <c r="AA168" s="12"/>
      <c r="AB168" s="12"/>
      <c r="AC168" s="67"/>
      <c r="AD168" s="12"/>
      <c r="AE168" s="12"/>
      <c r="AF168" s="12"/>
    </row>
    <row r="169" ht="45.0" customHeight="1">
      <c r="A169" s="6">
        <v>147.0</v>
      </c>
      <c r="B169" s="6" t="s">
        <v>173</v>
      </c>
      <c r="C169" s="6" t="s">
        <v>640</v>
      </c>
      <c r="D169" s="6" t="s">
        <v>641</v>
      </c>
      <c r="E169" s="7" t="s">
        <v>642</v>
      </c>
      <c r="F169" s="8" t="s">
        <v>489</v>
      </c>
      <c r="G169" s="9">
        <v>20.0</v>
      </c>
      <c r="H169" s="9">
        <v>20.0</v>
      </c>
      <c r="I169" s="9">
        <v>20.0</v>
      </c>
      <c r="J169" s="6">
        <f t="shared" si="17"/>
        <v>400</v>
      </c>
      <c r="K169" s="6" t="s">
        <v>178</v>
      </c>
      <c r="L169" s="7"/>
      <c r="M169" s="7" t="s">
        <v>193</v>
      </c>
      <c r="N169" s="7"/>
      <c r="O169" s="10" t="s">
        <v>643</v>
      </c>
      <c r="P169" s="6" t="str">
        <f t="shared" ref="P169:P172" si="20">IMAGE("https://m.media-amazon.com/images/I/31ALofIyvBL._SX466_.jpg",1)</f>
        <v/>
      </c>
      <c r="Q169" s="64" t="s">
        <v>1688</v>
      </c>
      <c r="R169" s="65"/>
      <c r="S169" s="66"/>
      <c r="T169" s="12"/>
      <c r="U169" s="11">
        <v>1.0</v>
      </c>
      <c r="V169" s="12"/>
      <c r="W169" s="12"/>
      <c r="X169" s="12"/>
      <c r="Y169" s="12"/>
      <c r="Z169" s="67"/>
      <c r="AA169" s="12"/>
      <c r="AB169" s="12"/>
      <c r="AC169" s="67"/>
      <c r="AD169" s="12"/>
      <c r="AE169" s="12"/>
      <c r="AF169" s="12"/>
    </row>
    <row r="170" ht="45.0" customHeight="1">
      <c r="A170" s="6">
        <v>148.0</v>
      </c>
      <c r="B170" s="6" t="s">
        <v>173</v>
      </c>
      <c r="C170" s="6" t="s">
        <v>644</v>
      </c>
      <c r="D170" s="6" t="s">
        <v>645</v>
      </c>
      <c r="E170" s="7" t="s">
        <v>646</v>
      </c>
      <c r="F170" s="8" t="s">
        <v>489</v>
      </c>
      <c r="G170" s="9">
        <v>20.0</v>
      </c>
      <c r="H170" s="9">
        <v>20.0</v>
      </c>
      <c r="I170" s="9">
        <v>15.0</v>
      </c>
      <c r="J170" s="6">
        <f t="shared" si="17"/>
        <v>300</v>
      </c>
      <c r="K170" s="6" t="s">
        <v>178</v>
      </c>
      <c r="L170" s="7"/>
      <c r="M170" s="7" t="s">
        <v>193</v>
      </c>
      <c r="N170" s="7"/>
      <c r="O170" s="10" t="s">
        <v>647</v>
      </c>
      <c r="P170" s="6" t="str">
        <f t="shared" si="20"/>
        <v/>
      </c>
      <c r="Q170" s="64" t="s">
        <v>1688</v>
      </c>
      <c r="R170" s="65"/>
      <c r="S170" s="66"/>
      <c r="T170" s="12"/>
      <c r="U170" s="11">
        <v>1.0</v>
      </c>
      <c r="V170" s="12"/>
      <c r="W170" s="12"/>
      <c r="X170" s="12"/>
      <c r="Y170" s="12"/>
      <c r="Z170" s="67"/>
      <c r="AA170" s="12"/>
      <c r="AB170" s="12"/>
      <c r="AC170" s="67"/>
      <c r="AD170" s="12"/>
      <c r="AE170" s="12"/>
      <c r="AF170" s="12"/>
    </row>
    <row r="171" ht="45.0" customHeight="1">
      <c r="A171" s="6">
        <v>149.0</v>
      </c>
      <c r="B171" s="6" t="s">
        <v>173</v>
      </c>
      <c r="C171" s="6" t="s">
        <v>648</v>
      </c>
      <c r="D171" s="6" t="s">
        <v>649</v>
      </c>
      <c r="E171" s="7" t="s">
        <v>650</v>
      </c>
      <c r="F171" s="8" t="s">
        <v>489</v>
      </c>
      <c r="G171" s="9">
        <v>20.0</v>
      </c>
      <c r="H171" s="9">
        <v>20.0</v>
      </c>
      <c r="I171" s="9">
        <v>10.0</v>
      </c>
      <c r="J171" s="6">
        <f t="shared" si="17"/>
        <v>200</v>
      </c>
      <c r="K171" s="6" t="s">
        <v>178</v>
      </c>
      <c r="L171" s="7"/>
      <c r="M171" s="7" t="s">
        <v>193</v>
      </c>
      <c r="N171" s="7"/>
      <c r="O171" s="10" t="s">
        <v>651</v>
      </c>
      <c r="P171" s="6" t="str">
        <f t="shared" si="20"/>
        <v/>
      </c>
      <c r="Q171" s="64" t="s">
        <v>1688</v>
      </c>
      <c r="R171" s="65"/>
      <c r="S171" s="66"/>
      <c r="T171" s="12"/>
      <c r="U171" s="11">
        <v>1.0</v>
      </c>
      <c r="V171" s="12"/>
      <c r="W171" s="12"/>
      <c r="X171" s="12"/>
      <c r="Y171" s="12"/>
      <c r="Z171" s="67"/>
      <c r="AA171" s="12"/>
      <c r="AB171" s="12"/>
      <c r="AC171" s="67"/>
      <c r="AD171" s="12"/>
      <c r="AE171" s="12"/>
      <c r="AF171" s="12"/>
    </row>
    <row r="172" ht="45.0" customHeight="1">
      <c r="A172" s="6">
        <v>150.0</v>
      </c>
      <c r="B172" s="6" t="s">
        <v>173</v>
      </c>
      <c r="C172" s="6" t="s">
        <v>652</v>
      </c>
      <c r="D172" s="6" t="s">
        <v>653</v>
      </c>
      <c r="E172" s="7" t="s">
        <v>654</v>
      </c>
      <c r="F172" s="8" t="s">
        <v>489</v>
      </c>
      <c r="G172" s="9">
        <v>20.0</v>
      </c>
      <c r="H172" s="9">
        <v>20.0</v>
      </c>
      <c r="I172" s="9">
        <v>25.0</v>
      </c>
      <c r="J172" s="6">
        <f t="shared" si="17"/>
        <v>500</v>
      </c>
      <c r="K172" s="6" t="s">
        <v>178</v>
      </c>
      <c r="L172" s="7"/>
      <c r="M172" s="7" t="s">
        <v>193</v>
      </c>
      <c r="N172" s="7"/>
      <c r="O172" s="10" t="s">
        <v>655</v>
      </c>
      <c r="P172" s="6" t="str">
        <f t="shared" si="20"/>
        <v/>
      </c>
      <c r="Q172" s="64" t="s">
        <v>1688</v>
      </c>
      <c r="R172" s="68"/>
      <c r="S172" s="69"/>
      <c r="T172" s="12"/>
      <c r="U172" s="11">
        <v>1.0</v>
      </c>
      <c r="V172" s="12"/>
      <c r="W172" s="12"/>
      <c r="X172" s="12"/>
      <c r="Y172" s="12"/>
      <c r="Z172" s="67"/>
      <c r="AA172" s="12"/>
      <c r="AB172" s="12"/>
      <c r="AC172" s="67"/>
      <c r="AD172" s="12"/>
      <c r="AE172" s="12"/>
      <c r="AF172" s="12"/>
    </row>
    <row r="173" ht="45.0" customHeight="1">
      <c r="A173" s="6">
        <v>151.0</v>
      </c>
      <c r="B173" s="6" t="s">
        <v>173</v>
      </c>
      <c r="C173" s="6" t="s">
        <v>656</v>
      </c>
      <c r="D173" s="6" t="s">
        <v>657</v>
      </c>
      <c r="E173" s="7" t="s">
        <v>658</v>
      </c>
      <c r="F173" s="8" t="s">
        <v>489</v>
      </c>
      <c r="G173" s="9">
        <v>100.0</v>
      </c>
      <c r="H173" s="9">
        <v>100.0</v>
      </c>
      <c r="I173" s="9">
        <v>1.0</v>
      </c>
      <c r="J173" s="6">
        <f t="shared" si="17"/>
        <v>100</v>
      </c>
      <c r="K173" s="6" t="s">
        <v>178</v>
      </c>
      <c r="L173" s="7"/>
      <c r="M173" s="7" t="s">
        <v>518</v>
      </c>
      <c r="N173" s="7"/>
      <c r="O173" s="10" t="s">
        <v>659</v>
      </c>
      <c r="P173" s="6" t="str">
        <f t="shared" ref="P173:P214" si="21">IMAGE("https://projectpoint.in/image/cache/catalog/CFR_Resistor_Kit-672x504.jpg",1)</f>
        <v/>
      </c>
      <c r="Q173" s="64" t="s">
        <v>1688</v>
      </c>
      <c r="R173" s="65"/>
      <c r="S173" s="66"/>
      <c r="T173" s="12"/>
      <c r="U173" s="11">
        <v>1.0</v>
      </c>
      <c r="V173" s="12"/>
      <c r="W173" s="12"/>
      <c r="X173" s="12"/>
      <c r="Y173" s="12"/>
      <c r="Z173" s="67"/>
      <c r="AA173" s="12"/>
      <c r="AB173" s="12"/>
      <c r="AC173" s="67"/>
      <c r="AD173" s="12"/>
      <c r="AE173" s="12"/>
      <c r="AF173" s="12"/>
    </row>
    <row r="174" ht="45.0" customHeight="1">
      <c r="A174" s="6">
        <v>152.0</v>
      </c>
      <c r="B174" s="6" t="s">
        <v>173</v>
      </c>
      <c r="C174" s="6" t="s">
        <v>660</v>
      </c>
      <c r="D174" s="6" t="s">
        <v>661</v>
      </c>
      <c r="E174" s="7" t="s">
        <v>662</v>
      </c>
      <c r="F174" s="8" t="s">
        <v>489</v>
      </c>
      <c r="G174" s="9">
        <v>100.0</v>
      </c>
      <c r="H174" s="9">
        <v>100.0</v>
      </c>
      <c r="I174" s="9">
        <v>1.0</v>
      </c>
      <c r="J174" s="6">
        <f t="shared" si="17"/>
        <v>100</v>
      </c>
      <c r="K174" s="6" t="s">
        <v>178</v>
      </c>
      <c r="L174" s="7"/>
      <c r="M174" s="7" t="s">
        <v>518</v>
      </c>
      <c r="N174" s="7"/>
      <c r="O174" s="10" t="s">
        <v>663</v>
      </c>
      <c r="P174" s="6" t="str">
        <f t="shared" si="21"/>
        <v/>
      </c>
      <c r="Q174" s="64" t="s">
        <v>1688</v>
      </c>
      <c r="R174" s="65"/>
      <c r="S174" s="66"/>
      <c r="T174" s="12"/>
      <c r="U174" s="11">
        <v>1.0</v>
      </c>
      <c r="V174" s="12"/>
      <c r="W174" s="12"/>
      <c r="X174" s="12"/>
      <c r="Y174" s="12"/>
      <c r="Z174" s="67"/>
      <c r="AA174" s="12"/>
      <c r="AB174" s="12"/>
      <c r="AC174" s="67"/>
      <c r="AD174" s="12"/>
      <c r="AE174" s="12"/>
      <c r="AF174" s="12"/>
    </row>
    <row r="175" ht="45.0" customHeight="1">
      <c r="A175" s="6">
        <v>153.0</v>
      </c>
      <c r="B175" s="6" t="s">
        <v>173</v>
      </c>
      <c r="C175" s="6" t="s">
        <v>664</v>
      </c>
      <c r="D175" s="6" t="s">
        <v>665</v>
      </c>
      <c r="E175" s="7" t="s">
        <v>666</v>
      </c>
      <c r="F175" s="8" t="s">
        <v>489</v>
      </c>
      <c r="G175" s="9">
        <v>100.0</v>
      </c>
      <c r="H175" s="9">
        <v>100.0</v>
      </c>
      <c r="I175" s="9">
        <v>1.0</v>
      </c>
      <c r="J175" s="6">
        <f t="shared" si="17"/>
        <v>100</v>
      </c>
      <c r="K175" s="6" t="s">
        <v>178</v>
      </c>
      <c r="L175" s="7"/>
      <c r="M175" s="7" t="s">
        <v>518</v>
      </c>
      <c r="N175" s="7"/>
      <c r="O175" s="10" t="s">
        <v>667</v>
      </c>
      <c r="P175" s="6" t="str">
        <f t="shared" si="21"/>
        <v/>
      </c>
      <c r="Q175" s="64" t="s">
        <v>1688</v>
      </c>
      <c r="R175" s="65"/>
      <c r="S175" s="66"/>
      <c r="T175" s="12"/>
      <c r="U175" s="11">
        <v>1.0</v>
      </c>
      <c r="V175" s="12"/>
      <c r="W175" s="12"/>
      <c r="X175" s="12"/>
      <c r="Y175" s="12"/>
      <c r="Z175" s="67"/>
      <c r="AA175" s="12"/>
      <c r="AB175" s="12"/>
      <c r="AC175" s="67"/>
      <c r="AD175" s="12"/>
      <c r="AE175" s="12"/>
      <c r="AF175" s="12"/>
    </row>
    <row r="176" ht="45.0" customHeight="1">
      <c r="A176" s="6">
        <v>154.0</v>
      </c>
      <c r="B176" s="6" t="s">
        <v>173</v>
      </c>
      <c r="C176" s="6" t="s">
        <v>668</v>
      </c>
      <c r="D176" s="6" t="s">
        <v>669</v>
      </c>
      <c r="E176" s="7" t="s">
        <v>670</v>
      </c>
      <c r="F176" s="8" t="s">
        <v>489</v>
      </c>
      <c r="G176" s="9">
        <v>100.0</v>
      </c>
      <c r="H176" s="9">
        <v>100.0</v>
      </c>
      <c r="I176" s="9">
        <v>1.0</v>
      </c>
      <c r="J176" s="6">
        <f t="shared" si="17"/>
        <v>100</v>
      </c>
      <c r="K176" s="6" t="s">
        <v>178</v>
      </c>
      <c r="L176" s="7"/>
      <c r="M176" s="7" t="s">
        <v>518</v>
      </c>
      <c r="N176" s="7"/>
      <c r="O176" s="10" t="s">
        <v>671</v>
      </c>
      <c r="P176" s="6" t="str">
        <f t="shared" si="21"/>
        <v/>
      </c>
      <c r="Q176" s="64" t="s">
        <v>1688</v>
      </c>
      <c r="R176" s="65"/>
      <c r="S176" s="66"/>
      <c r="T176" s="12"/>
      <c r="U176" s="11">
        <v>1.0</v>
      </c>
      <c r="V176" s="12"/>
      <c r="W176" s="12"/>
      <c r="X176" s="12"/>
      <c r="Y176" s="12"/>
      <c r="Z176" s="67"/>
      <c r="AA176" s="12"/>
      <c r="AB176" s="12"/>
      <c r="AC176" s="67"/>
      <c r="AD176" s="12"/>
      <c r="AE176" s="12"/>
      <c r="AF176" s="12"/>
    </row>
    <row r="177" ht="45.0" customHeight="1">
      <c r="A177" s="6">
        <v>155.0</v>
      </c>
      <c r="B177" s="6" t="s">
        <v>173</v>
      </c>
      <c r="C177" s="6" t="s">
        <v>672</v>
      </c>
      <c r="D177" s="6" t="s">
        <v>673</v>
      </c>
      <c r="E177" s="7" t="s">
        <v>674</v>
      </c>
      <c r="F177" s="8" t="s">
        <v>489</v>
      </c>
      <c r="G177" s="9">
        <v>100.0</v>
      </c>
      <c r="H177" s="9">
        <v>100.0</v>
      </c>
      <c r="I177" s="9">
        <v>1.0</v>
      </c>
      <c r="J177" s="6">
        <f t="shared" si="17"/>
        <v>100</v>
      </c>
      <c r="K177" s="6" t="s">
        <v>178</v>
      </c>
      <c r="L177" s="7"/>
      <c r="M177" s="7" t="s">
        <v>518</v>
      </c>
      <c r="N177" s="7"/>
      <c r="O177" s="10" t="s">
        <v>675</v>
      </c>
      <c r="P177" s="6" t="str">
        <f t="shared" si="21"/>
        <v/>
      </c>
      <c r="Q177" s="64" t="s">
        <v>1688</v>
      </c>
      <c r="R177" s="65"/>
      <c r="S177" s="66"/>
      <c r="T177" s="12"/>
      <c r="U177" s="11">
        <v>1.0</v>
      </c>
      <c r="V177" s="12"/>
      <c r="W177" s="12"/>
      <c r="X177" s="12"/>
      <c r="Y177" s="12"/>
      <c r="Z177" s="67"/>
      <c r="AA177" s="12"/>
      <c r="AB177" s="12"/>
      <c r="AC177" s="67"/>
      <c r="AD177" s="12"/>
      <c r="AE177" s="12"/>
      <c r="AF177" s="12"/>
    </row>
    <row r="178" ht="45.0" customHeight="1">
      <c r="A178" s="6">
        <v>156.0</v>
      </c>
      <c r="B178" s="6" t="s">
        <v>173</v>
      </c>
      <c r="C178" s="6" t="s">
        <v>676</v>
      </c>
      <c r="D178" s="6" t="s">
        <v>677</v>
      </c>
      <c r="E178" s="7" t="s">
        <v>678</v>
      </c>
      <c r="F178" s="8" t="s">
        <v>489</v>
      </c>
      <c r="G178" s="9">
        <v>100.0</v>
      </c>
      <c r="H178" s="9">
        <v>100.0</v>
      </c>
      <c r="I178" s="9">
        <v>1.0</v>
      </c>
      <c r="J178" s="6">
        <f t="shared" si="17"/>
        <v>100</v>
      </c>
      <c r="K178" s="6" t="s">
        <v>178</v>
      </c>
      <c r="L178" s="7"/>
      <c r="M178" s="7" t="s">
        <v>518</v>
      </c>
      <c r="N178" s="7"/>
      <c r="O178" s="10" t="s">
        <v>679</v>
      </c>
      <c r="P178" s="6" t="str">
        <f t="shared" si="21"/>
        <v/>
      </c>
      <c r="Q178" s="64" t="s">
        <v>1688</v>
      </c>
      <c r="R178" s="65"/>
      <c r="S178" s="66"/>
      <c r="T178" s="12"/>
      <c r="U178" s="11">
        <v>1.0</v>
      </c>
      <c r="V178" s="12"/>
      <c r="W178" s="12"/>
      <c r="X178" s="12"/>
      <c r="Y178" s="12"/>
      <c r="Z178" s="67"/>
      <c r="AA178" s="12"/>
      <c r="AB178" s="12"/>
      <c r="AC178" s="67"/>
      <c r="AD178" s="12"/>
      <c r="AE178" s="12"/>
      <c r="AF178" s="12"/>
    </row>
    <row r="179" ht="45.0" customHeight="1">
      <c r="A179" s="6">
        <v>157.0</v>
      </c>
      <c r="B179" s="6" t="s">
        <v>173</v>
      </c>
      <c r="C179" s="6" t="s">
        <v>680</v>
      </c>
      <c r="D179" s="6" t="s">
        <v>681</v>
      </c>
      <c r="E179" s="7" t="s">
        <v>682</v>
      </c>
      <c r="F179" s="8" t="s">
        <v>489</v>
      </c>
      <c r="G179" s="9">
        <v>100.0</v>
      </c>
      <c r="H179" s="9">
        <v>100.0</v>
      </c>
      <c r="I179" s="9">
        <v>1.0</v>
      </c>
      <c r="J179" s="6">
        <f t="shared" si="17"/>
        <v>100</v>
      </c>
      <c r="K179" s="6" t="s">
        <v>178</v>
      </c>
      <c r="L179" s="7"/>
      <c r="M179" s="7" t="s">
        <v>518</v>
      </c>
      <c r="N179" s="7"/>
      <c r="O179" s="10" t="s">
        <v>683</v>
      </c>
      <c r="P179" s="6" t="str">
        <f t="shared" si="21"/>
        <v/>
      </c>
      <c r="Q179" s="64" t="s">
        <v>1688</v>
      </c>
      <c r="R179" s="65"/>
      <c r="S179" s="66"/>
      <c r="T179" s="12"/>
      <c r="U179" s="11">
        <v>1.0</v>
      </c>
      <c r="V179" s="12"/>
      <c r="W179" s="12"/>
      <c r="X179" s="12"/>
      <c r="Y179" s="12"/>
      <c r="Z179" s="67"/>
      <c r="AA179" s="12"/>
      <c r="AB179" s="12"/>
      <c r="AC179" s="67"/>
      <c r="AD179" s="12"/>
      <c r="AE179" s="12"/>
      <c r="AF179" s="12"/>
    </row>
    <row r="180" ht="45.0" customHeight="1">
      <c r="A180" s="6">
        <v>158.0</v>
      </c>
      <c r="B180" s="6" t="s">
        <v>173</v>
      </c>
      <c r="C180" s="6" t="s">
        <v>684</v>
      </c>
      <c r="D180" s="6" t="s">
        <v>685</v>
      </c>
      <c r="E180" s="7" t="s">
        <v>686</v>
      </c>
      <c r="F180" s="8" t="s">
        <v>489</v>
      </c>
      <c r="G180" s="9">
        <v>100.0</v>
      </c>
      <c r="H180" s="9">
        <v>100.0</v>
      </c>
      <c r="I180" s="9">
        <v>1.0</v>
      </c>
      <c r="J180" s="6">
        <f t="shared" si="17"/>
        <v>100</v>
      </c>
      <c r="K180" s="6" t="s">
        <v>178</v>
      </c>
      <c r="L180" s="7"/>
      <c r="M180" s="7" t="s">
        <v>518</v>
      </c>
      <c r="N180" s="7"/>
      <c r="O180" s="10" t="s">
        <v>687</v>
      </c>
      <c r="P180" s="6" t="str">
        <f t="shared" si="21"/>
        <v/>
      </c>
      <c r="Q180" s="64" t="s">
        <v>1688</v>
      </c>
      <c r="R180" s="65"/>
      <c r="S180" s="66"/>
      <c r="T180" s="12"/>
      <c r="U180" s="11">
        <v>1.0</v>
      </c>
      <c r="V180" s="12"/>
      <c r="W180" s="12"/>
      <c r="X180" s="12"/>
      <c r="Y180" s="12"/>
      <c r="Z180" s="67"/>
      <c r="AA180" s="12"/>
      <c r="AB180" s="12"/>
      <c r="AC180" s="67"/>
      <c r="AD180" s="12"/>
      <c r="AE180" s="12"/>
      <c r="AF180" s="12"/>
    </row>
    <row r="181" ht="45.0" customHeight="1">
      <c r="A181" s="6">
        <v>159.0</v>
      </c>
      <c r="B181" s="6" t="s">
        <v>173</v>
      </c>
      <c r="C181" s="6" t="s">
        <v>688</v>
      </c>
      <c r="D181" s="6" t="s">
        <v>689</v>
      </c>
      <c r="E181" s="7" t="s">
        <v>690</v>
      </c>
      <c r="F181" s="8" t="s">
        <v>489</v>
      </c>
      <c r="G181" s="9">
        <v>100.0</v>
      </c>
      <c r="H181" s="9">
        <v>100.0</v>
      </c>
      <c r="I181" s="9">
        <v>1.0</v>
      </c>
      <c r="J181" s="6">
        <f t="shared" si="17"/>
        <v>100</v>
      </c>
      <c r="K181" s="6" t="s">
        <v>178</v>
      </c>
      <c r="L181" s="7"/>
      <c r="M181" s="7" t="s">
        <v>518</v>
      </c>
      <c r="N181" s="7"/>
      <c r="O181" s="10" t="s">
        <v>691</v>
      </c>
      <c r="P181" s="6" t="str">
        <f t="shared" si="21"/>
        <v/>
      </c>
      <c r="Q181" s="64" t="s">
        <v>1688</v>
      </c>
      <c r="R181" s="65"/>
      <c r="S181" s="66"/>
      <c r="T181" s="12"/>
      <c r="U181" s="11">
        <v>1.0</v>
      </c>
      <c r="V181" s="12"/>
      <c r="W181" s="12"/>
      <c r="X181" s="12"/>
      <c r="Y181" s="12"/>
      <c r="Z181" s="67"/>
      <c r="AA181" s="12"/>
      <c r="AB181" s="12"/>
      <c r="AC181" s="67"/>
      <c r="AD181" s="12"/>
      <c r="AE181" s="12"/>
      <c r="AF181" s="12"/>
    </row>
    <row r="182" ht="45.0" customHeight="1">
      <c r="A182" s="6">
        <v>160.0</v>
      </c>
      <c r="B182" s="6" t="s">
        <v>173</v>
      </c>
      <c r="C182" s="6" t="s">
        <v>692</v>
      </c>
      <c r="D182" s="6" t="s">
        <v>693</v>
      </c>
      <c r="E182" s="7" t="s">
        <v>694</v>
      </c>
      <c r="F182" s="8" t="s">
        <v>489</v>
      </c>
      <c r="G182" s="9">
        <v>100.0</v>
      </c>
      <c r="H182" s="9">
        <v>100.0</v>
      </c>
      <c r="I182" s="9">
        <v>1.0</v>
      </c>
      <c r="J182" s="6">
        <f t="shared" si="17"/>
        <v>100</v>
      </c>
      <c r="K182" s="6" t="s">
        <v>178</v>
      </c>
      <c r="L182" s="7"/>
      <c r="M182" s="7" t="s">
        <v>518</v>
      </c>
      <c r="N182" s="7"/>
      <c r="O182" s="10" t="s">
        <v>695</v>
      </c>
      <c r="P182" s="6" t="str">
        <f t="shared" si="21"/>
        <v/>
      </c>
      <c r="Q182" s="64" t="s">
        <v>1688</v>
      </c>
      <c r="R182" s="65"/>
      <c r="S182" s="66"/>
      <c r="T182" s="12"/>
      <c r="U182" s="11">
        <v>1.0</v>
      </c>
      <c r="V182" s="12"/>
      <c r="W182" s="12"/>
      <c r="X182" s="12"/>
      <c r="Y182" s="12"/>
      <c r="Z182" s="67"/>
      <c r="AA182" s="12"/>
      <c r="AB182" s="12"/>
      <c r="AC182" s="67"/>
      <c r="AD182" s="12"/>
      <c r="AE182" s="12"/>
      <c r="AF182" s="12"/>
    </row>
    <row r="183" ht="45.0" customHeight="1">
      <c r="A183" s="6">
        <v>161.0</v>
      </c>
      <c r="B183" s="6" t="s">
        <v>173</v>
      </c>
      <c r="C183" s="6" t="s">
        <v>696</v>
      </c>
      <c r="D183" s="6" t="s">
        <v>697</v>
      </c>
      <c r="E183" s="7" t="s">
        <v>698</v>
      </c>
      <c r="F183" s="8" t="s">
        <v>489</v>
      </c>
      <c r="G183" s="9">
        <v>100.0</v>
      </c>
      <c r="H183" s="9">
        <v>100.0</v>
      </c>
      <c r="I183" s="9">
        <v>1.0</v>
      </c>
      <c r="J183" s="6">
        <f t="shared" si="17"/>
        <v>100</v>
      </c>
      <c r="K183" s="6" t="s">
        <v>178</v>
      </c>
      <c r="L183" s="7"/>
      <c r="M183" s="7" t="s">
        <v>518</v>
      </c>
      <c r="N183" s="7"/>
      <c r="O183" s="10" t="s">
        <v>699</v>
      </c>
      <c r="P183" s="6" t="str">
        <f t="shared" si="21"/>
        <v/>
      </c>
      <c r="Q183" s="64" t="s">
        <v>1688</v>
      </c>
      <c r="R183" s="65"/>
      <c r="S183" s="66"/>
      <c r="T183" s="5"/>
      <c r="U183" s="14">
        <v>1.0</v>
      </c>
      <c r="V183" s="12"/>
      <c r="W183" s="12"/>
      <c r="X183" s="5"/>
      <c r="Y183" s="5"/>
      <c r="Z183" s="63"/>
      <c r="AA183" s="5"/>
      <c r="AB183" s="5"/>
      <c r="AC183" s="63"/>
      <c r="AD183" s="5"/>
      <c r="AE183" s="5"/>
      <c r="AF183" s="5"/>
    </row>
    <row r="184" ht="45.0" customHeight="1">
      <c r="A184" s="6">
        <v>162.0</v>
      </c>
      <c r="B184" s="6" t="s">
        <v>173</v>
      </c>
      <c r="C184" s="6" t="s">
        <v>700</v>
      </c>
      <c r="D184" s="6" t="s">
        <v>701</v>
      </c>
      <c r="E184" s="7" t="s">
        <v>702</v>
      </c>
      <c r="F184" s="8" t="s">
        <v>489</v>
      </c>
      <c r="G184" s="9">
        <v>100.0</v>
      </c>
      <c r="H184" s="9">
        <v>100.0</v>
      </c>
      <c r="I184" s="9">
        <v>1.0</v>
      </c>
      <c r="J184" s="6">
        <f t="shared" si="17"/>
        <v>100</v>
      </c>
      <c r="K184" s="6" t="s">
        <v>178</v>
      </c>
      <c r="L184" s="7"/>
      <c r="M184" s="7" t="s">
        <v>518</v>
      </c>
      <c r="N184" s="7"/>
      <c r="O184" s="10" t="s">
        <v>703</v>
      </c>
      <c r="P184" s="6" t="str">
        <f t="shared" si="21"/>
        <v/>
      </c>
      <c r="Q184" s="64" t="s">
        <v>1688</v>
      </c>
      <c r="R184" s="65"/>
      <c r="S184" s="66"/>
      <c r="T184" s="12"/>
      <c r="U184" s="11">
        <v>1.0</v>
      </c>
      <c r="V184" s="12"/>
      <c r="W184" s="12"/>
      <c r="X184" s="12"/>
      <c r="Y184" s="12"/>
      <c r="Z184" s="67"/>
      <c r="AA184" s="12"/>
      <c r="AB184" s="12"/>
      <c r="AC184" s="67"/>
      <c r="AD184" s="12"/>
      <c r="AE184" s="12"/>
      <c r="AF184" s="12"/>
    </row>
    <row r="185" ht="45.0" customHeight="1">
      <c r="A185" s="6">
        <v>163.0</v>
      </c>
      <c r="B185" s="6" t="s">
        <v>173</v>
      </c>
      <c r="C185" s="6" t="s">
        <v>704</v>
      </c>
      <c r="D185" s="6" t="s">
        <v>705</v>
      </c>
      <c r="E185" s="7" t="s">
        <v>706</v>
      </c>
      <c r="F185" s="8" t="s">
        <v>489</v>
      </c>
      <c r="G185" s="9">
        <v>100.0</v>
      </c>
      <c r="H185" s="9">
        <v>100.0</v>
      </c>
      <c r="I185" s="9">
        <v>1.0</v>
      </c>
      <c r="J185" s="6">
        <f t="shared" si="17"/>
        <v>100</v>
      </c>
      <c r="K185" s="6" t="s">
        <v>178</v>
      </c>
      <c r="L185" s="7"/>
      <c r="M185" s="7" t="s">
        <v>518</v>
      </c>
      <c r="N185" s="7"/>
      <c r="O185" s="10" t="s">
        <v>707</v>
      </c>
      <c r="P185" s="6" t="str">
        <f t="shared" si="21"/>
        <v/>
      </c>
      <c r="Q185" s="64" t="s">
        <v>1688</v>
      </c>
      <c r="R185" s="65"/>
      <c r="S185" s="66"/>
      <c r="T185" s="12"/>
      <c r="U185" s="11">
        <v>1.0</v>
      </c>
      <c r="V185" s="5"/>
      <c r="W185" s="5"/>
      <c r="X185" s="12"/>
      <c r="Y185" s="12"/>
      <c r="Z185" s="67"/>
      <c r="AA185" s="12"/>
      <c r="AB185" s="12"/>
      <c r="AC185" s="67"/>
      <c r="AD185" s="12"/>
      <c r="AE185" s="12"/>
      <c r="AF185" s="12"/>
    </row>
    <row r="186" ht="45.0" customHeight="1">
      <c r="A186" s="6">
        <v>164.0</v>
      </c>
      <c r="B186" s="6" t="s">
        <v>173</v>
      </c>
      <c r="C186" s="6" t="s">
        <v>708</v>
      </c>
      <c r="D186" s="6" t="s">
        <v>709</v>
      </c>
      <c r="E186" s="7" t="s">
        <v>710</v>
      </c>
      <c r="F186" s="8" t="s">
        <v>489</v>
      </c>
      <c r="G186" s="9">
        <v>100.0</v>
      </c>
      <c r="H186" s="9">
        <v>100.0</v>
      </c>
      <c r="I186" s="9">
        <v>1.0</v>
      </c>
      <c r="J186" s="6">
        <f t="shared" si="17"/>
        <v>100</v>
      </c>
      <c r="K186" s="6" t="s">
        <v>178</v>
      </c>
      <c r="L186" s="7"/>
      <c r="M186" s="7" t="s">
        <v>518</v>
      </c>
      <c r="N186" s="7"/>
      <c r="O186" s="10" t="s">
        <v>711</v>
      </c>
      <c r="P186" s="6" t="str">
        <f t="shared" si="21"/>
        <v/>
      </c>
      <c r="Q186" s="64" t="s">
        <v>1688</v>
      </c>
      <c r="R186" s="65"/>
      <c r="S186" s="66"/>
      <c r="T186" s="12"/>
      <c r="U186" s="11">
        <v>1.0</v>
      </c>
      <c r="V186" s="12"/>
      <c r="W186" s="12"/>
      <c r="X186" s="12"/>
      <c r="Y186" s="12"/>
      <c r="Z186" s="67"/>
      <c r="AA186" s="12"/>
      <c r="AB186" s="12"/>
      <c r="AC186" s="67"/>
      <c r="AD186" s="12"/>
      <c r="AE186" s="12"/>
      <c r="AF186" s="12"/>
    </row>
    <row r="187" ht="45.0" customHeight="1">
      <c r="A187" s="6">
        <v>165.0</v>
      </c>
      <c r="B187" s="6" t="s">
        <v>173</v>
      </c>
      <c r="C187" s="6" t="s">
        <v>712</v>
      </c>
      <c r="D187" s="6" t="s">
        <v>713</v>
      </c>
      <c r="E187" s="7" t="s">
        <v>714</v>
      </c>
      <c r="F187" s="8" t="s">
        <v>489</v>
      </c>
      <c r="G187" s="9">
        <v>100.0</v>
      </c>
      <c r="H187" s="9">
        <v>100.0</v>
      </c>
      <c r="I187" s="9">
        <v>1.0</v>
      </c>
      <c r="J187" s="6">
        <f t="shared" si="17"/>
        <v>100</v>
      </c>
      <c r="K187" s="6" t="s">
        <v>178</v>
      </c>
      <c r="L187" s="7"/>
      <c r="M187" s="7" t="s">
        <v>518</v>
      </c>
      <c r="N187" s="7"/>
      <c r="O187" s="10" t="s">
        <v>715</v>
      </c>
      <c r="P187" s="6" t="str">
        <f t="shared" si="21"/>
        <v/>
      </c>
      <c r="Q187" s="64" t="s">
        <v>1688</v>
      </c>
      <c r="R187" s="65"/>
      <c r="S187" s="66"/>
      <c r="T187" s="12"/>
      <c r="U187" s="11">
        <v>1.0</v>
      </c>
      <c r="V187" s="12"/>
      <c r="W187" s="12"/>
      <c r="X187" s="12"/>
      <c r="Y187" s="12"/>
      <c r="Z187" s="67"/>
      <c r="AA187" s="12"/>
      <c r="AB187" s="12"/>
      <c r="AC187" s="67"/>
      <c r="AD187" s="12"/>
      <c r="AE187" s="12"/>
      <c r="AF187" s="12"/>
    </row>
    <row r="188" ht="45.0" customHeight="1">
      <c r="A188" s="6">
        <v>166.0</v>
      </c>
      <c r="B188" s="6" t="s">
        <v>173</v>
      </c>
      <c r="C188" s="6" t="s">
        <v>716</v>
      </c>
      <c r="D188" s="6" t="s">
        <v>717</v>
      </c>
      <c r="E188" s="7" t="s">
        <v>718</v>
      </c>
      <c r="F188" s="8" t="s">
        <v>489</v>
      </c>
      <c r="G188" s="9">
        <v>100.0</v>
      </c>
      <c r="H188" s="9">
        <v>100.0</v>
      </c>
      <c r="I188" s="9">
        <v>1.0</v>
      </c>
      <c r="J188" s="6">
        <f t="shared" si="17"/>
        <v>100</v>
      </c>
      <c r="K188" s="6" t="s">
        <v>178</v>
      </c>
      <c r="L188" s="7"/>
      <c r="M188" s="7" t="s">
        <v>518</v>
      </c>
      <c r="N188" s="7"/>
      <c r="O188" s="10" t="s">
        <v>719</v>
      </c>
      <c r="P188" s="6" t="str">
        <f t="shared" si="21"/>
        <v/>
      </c>
      <c r="Q188" s="64" t="s">
        <v>1688</v>
      </c>
      <c r="R188" s="65"/>
      <c r="S188" s="66"/>
      <c r="T188" s="12"/>
      <c r="U188" s="11">
        <v>1.0</v>
      </c>
      <c r="V188" s="12"/>
      <c r="W188" s="12"/>
      <c r="X188" s="12"/>
      <c r="Y188" s="12"/>
      <c r="Z188" s="67"/>
      <c r="AA188" s="12"/>
      <c r="AB188" s="12"/>
      <c r="AC188" s="67"/>
      <c r="AD188" s="12"/>
      <c r="AE188" s="12"/>
      <c r="AF188" s="12"/>
    </row>
    <row r="189" ht="45.0" customHeight="1">
      <c r="A189" s="6">
        <v>167.0</v>
      </c>
      <c r="B189" s="6" t="s">
        <v>173</v>
      </c>
      <c r="C189" s="6" t="s">
        <v>720</v>
      </c>
      <c r="D189" s="6" t="s">
        <v>721</v>
      </c>
      <c r="E189" s="7" t="s">
        <v>722</v>
      </c>
      <c r="F189" s="8" t="s">
        <v>489</v>
      </c>
      <c r="G189" s="9">
        <v>100.0</v>
      </c>
      <c r="H189" s="9">
        <v>100.0</v>
      </c>
      <c r="I189" s="9">
        <v>1.0</v>
      </c>
      <c r="J189" s="6">
        <f t="shared" si="17"/>
        <v>100</v>
      </c>
      <c r="K189" s="6" t="s">
        <v>178</v>
      </c>
      <c r="L189" s="7"/>
      <c r="M189" s="7" t="s">
        <v>518</v>
      </c>
      <c r="N189" s="7"/>
      <c r="O189" s="10" t="s">
        <v>723</v>
      </c>
      <c r="P189" s="6" t="str">
        <f t="shared" si="21"/>
        <v/>
      </c>
      <c r="Q189" s="64" t="s">
        <v>1688</v>
      </c>
      <c r="R189" s="65"/>
      <c r="S189" s="66"/>
      <c r="T189" s="12"/>
      <c r="U189" s="11">
        <v>1.0</v>
      </c>
      <c r="V189" s="12"/>
      <c r="W189" s="12"/>
      <c r="X189" s="12"/>
      <c r="Y189" s="12"/>
      <c r="Z189" s="67"/>
      <c r="AA189" s="12"/>
      <c r="AB189" s="12"/>
      <c r="AC189" s="67"/>
      <c r="AD189" s="12"/>
      <c r="AE189" s="12"/>
      <c r="AF189" s="12"/>
    </row>
    <row r="190" ht="45.0" customHeight="1">
      <c r="A190" s="6">
        <v>168.0</v>
      </c>
      <c r="B190" s="6" t="s">
        <v>173</v>
      </c>
      <c r="C190" s="6" t="s">
        <v>724</v>
      </c>
      <c r="D190" s="6" t="s">
        <v>725</v>
      </c>
      <c r="E190" s="7" t="s">
        <v>726</v>
      </c>
      <c r="F190" s="8" t="s">
        <v>489</v>
      </c>
      <c r="G190" s="9">
        <v>100.0</v>
      </c>
      <c r="H190" s="9">
        <v>100.0</v>
      </c>
      <c r="I190" s="9">
        <v>1.0</v>
      </c>
      <c r="J190" s="6">
        <f t="shared" si="17"/>
        <v>100</v>
      </c>
      <c r="K190" s="6" t="s">
        <v>178</v>
      </c>
      <c r="L190" s="7"/>
      <c r="M190" s="7" t="s">
        <v>518</v>
      </c>
      <c r="N190" s="7"/>
      <c r="O190" s="10" t="s">
        <v>727</v>
      </c>
      <c r="P190" s="6" t="str">
        <f t="shared" si="21"/>
        <v/>
      </c>
      <c r="Q190" s="64" t="s">
        <v>1688</v>
      </c>
      <c r="R190" s="65"/>
      <c r="S190" s="66"/>
      <c r="T190" s="12"/>
      <c r="U190" s="11">
        <v>1.0</v>
      </c>
      <c r="V190" s="12"/>
      <c r="W190" s="12"/>
      <c r="X190" s="12"/>
      <c r="Y190" s="12"/>
      <c r="Z190" s="67"/>
      <c r="AA190" s="12"/>
      <c r="AB190" s="12"/>
      <c r="AC190" s="67"/>
      <c r="AD190" s="12"/>
      <c r="AE190" s="12"/>
      <c r="AF190" s="12"/>
    </row>
    <row r="191" ht="45.0" customHeight="1">
      <c r="A191" s="6">
        <v>169.0</v>
      </c>
      <c r="B191" s="6" t="s">
        <v>173</v>
      </c>
      <c r="C191" s="6" t="s">
        <v>728</v>
      </c>
      <c r="D191" s="6" t="s">
        <v>729</v>
      </c>
      <c r="E191" s="7" t="s">
        <v>730</v>
      </c>
      <c r="F191" s="8" t="s">
        <v>489</v>
      </c>
      <c r="G191" s="9">
        <v>100.0</v>
      </c>
      <c r="H191" s="9">
        <v>100.0</v>
      </c>
      <c r="I191" s="9">
        <v>1.0</v>
      </c>
      <c r="J191" s="6">
        <f t="shared" si="17"/>
        <v>100</v>
      </c>
      <c r="K191" s="6" t="s">
        <v>178</v>
      </c>
      <c r="L191" s="7"/>
      <c r="M191" s="7" t="s">
        <v>518</v>
      </c>
      <c r="N191" s="7"/>
      <c r="O191" s="10" t="s">
        <v>731</v>
      </c>
      <c r="P191" s="6" t="str">
        <f t="shared" si="21"/>
        <v/>
      </c>
      <c r="Q191" s="64" t="s">
        <v>1688</v>
      </c>
      <c r="R191" s="65"/>
      <c r="S191" s="66"/>
      <c r="T191" s="12"/>
      <c r="U191" s="11">
        <v>1.0</v>
      </c>
      <c r="V191" s="12"/>
      <c r="W191" s="12"/>
      <c r="X191" s="12"/>
      <c r="Y191" s="12"/>
      <c r="Z191" s="67"/>
      <c r="AA191" s="12"/>
      <c r="AB191" s="12"/>
      <c r="AC191" s="67"/>
      <c r="AD191" s="12"/>
      <c r="AE191" s="12"/>
      <c r="AF191" s="12"/>
    </row>
    <row r="192" ht="45.0" customHeight="1">
      <c r="A192" s="6">
        <v>170.0</v>
      </c>
      <c r="B192" s="6" t="s">
        <v>173</v>
      </c>
      <c r="C192" s="6" t="s">
        <v>732</v>
      </c>
      <c r="D192" s="6" t="s">
        <v>733</v>
      </c>
      <c r="E192" s="7" t="s">
        <v>734</v>
      </c>
      <c r="F192" s="8" t="s">
        <v>489</v>
      </c>
      <c r="G192" s="9">
        <v>100.0</v>
      </c>
      <c r="H192" s="9">
        <v>100.0</v>
      </c>
      <c r="I192" s="9">
        <v>1.0</v>
      </c>
      <c r="J192" s="6">
        <f t="shared" si="17"/>
        <v>100</v>
      </c>
      <c r="K192" s="6" t="s">
        <v>178</v>
      </c>
      <c r="L192" s="7"/>
      <c r="M192" s="7" t="s">
        <v>518</v>
      </c>
      <c r="N192" s="7"/>
      <c r="O192" s="10" t="s">
        <v>735</v>
      </c>
      <c r="P192" s="6" t="str">
        <f t="shared" si="21"/>
        <v/>
      </c>
      <c r="Q192" s="64" t="s">
        <v>1688</v>
      </c>
      <c r="R192" s="65"/>
      <c r="S192" s="66"/>
      <c r="T192" s="5"/>
      <c r="U192" s="14">
        <v>1.0</v>
      </c>
      <c r="V192" s="12"/>
      <c r="W192" s="12"/>
      <c r="X192" s="5"/>
      <c r="Y192" s="5"/>
      <c r="Z192" s="63"/>
      <c r="AA192" s="5"/>
      <c r="AB192" s="5"/>
      <c r="AC192" s="63"/>
      <c r="AD192" s="5"/>
      <c r="AE192" s="5"/>
      <c r="AF192" s="5"/>
    </row>
    <row r="193" ht="45.0" customHeight="1">
      <c r="A193" s="6">
        <v>171.0</v>
      </c>
      <c r="B193" s="6" t="s">
        <v>173</v>
      </c>
      <c r="C193" s="6" t="s">
        <v>736</v>
      </c>
      <c r="D193" s="6" t="s">
        <v>737</v>
      </c>
      <c r="E193" s="7" t="s">
        <v>738</v>
      </c>
      <c r="F193" s="8" t="s">
        <v>489</v>
      </c>
      <c r="G193" s="9">
        <v>100.0</v>
      </c>
      <c r="H193" s="9">
        <v>100.0</v>
      </c>
      <c r="I193" s="9">
        <v>1.0</v>
      </c>
      <c r="J193" s="6">
        <f t="shared" si="17"/>
        <v>100</v>
      </c>
      <c r="K193" s="6" t="s">
        <v>178</v>
      </c>
      <c r="L193" s="7"/>
      <c r="M193" s="7" t="s">
        <v>518</v>
      </c>
      <c r="N193" s="7"/>
      <c r="O193" s="10" t="s">
        <v>739</v>
      </c>
      <c r="P193" s="6" t="str">
        <f t="shared" si="21"/>
        <v/>
      </c>
      <c r="Q193" s="64" t="s">
        <v>1688</v>
      </c>
      <c r="R193" s="65"/>
      <c r="S193" s="66"/>
      <c r="T193" s="12"/>
      <c r="U193" s="11">
        <v>1.0</v>
      </c>
      <c r="V193" s="12"/>
      <c r="W193" s="12"/>
      <c r="X193" s="12"/>
      <c r="Y193" s="12"/>
      <c r="Z193" s="67"/>
      <c r="AA193" s="12"/>
      <c r="AB193" s="12"/>
      <c r="AC193" s="67"/>
      <c r="AD193" s="12"/>
      <c r="AE193" s="12"/>
      <c r="AF193" s="12"/>
    </row>
    <row r="194" ht="45.0" customHeight="1">
      <c r="A194" s="6">
        <v>172.0</v>
      </c>
      <c r="B194" s="6" t="s">
        <v>173</v>
      </c>
      <c r="C194" s="6" t="s">
        <v>740</v>
      </c>
      <c r="D194" s="6" t="s">
        <v>741</v>
      </c>
      <c r="E194" s="7" t="s">
        <v>742</v>
      </c>
      <c r="F194" s="8" t="s">
        <v>489</v>
      </c>
      <c r="G194" s="9">
        <v>100.0</v>
      </c>
      <c r="H194" s="9">
        <v>100.0</v>
      </c>
      <c r="I194" s="9">
        <v>1.0</v>
      </c>
      <c r="J194" s="6">
        <f t="shared" si="17"/>
        <v>100</v>
      </c>
      <c r="K194" s="6" t="s">
        <v>178</v>
      </c>
      <c r="L194" s="7"/>
      <c r="M194" s="7" t="s">
        <v>518</v>
      </c>
      <c r="N194" s="7"/>
      <c r="O194" s="10" t="s">
        <v>743</v>
      </c>
      <c r="P194" s="6" t="str">
        <f t="shared" si="21"/>
        <v/>
      </c>
      <c r="Q194" s="64" t="s">
        <v>1688</v>
      </c>
      <c r="R194" s="65"/>
      <c r="S194" s="66"/>
      <c r="T194" s="12"/>
      <c r="U194" s="11">
        <v>1.0</v>
      </c>
      <c r="V194" s="5"/>
      <c r="W194" s="5"/>
      <c r="X194" s="12"/>
      <c r="Y194" s="12"/>
      <c r="Z194" s="67"/>
      <c r="AA194" s="12"/>
      <c r="AB194" s="12"/>
      <c r="AC194" s="67"/>
      <c r="AD194" s="12"/>
      <c r="AE194" s="12"/>
      <c r="AF194" s="12"/>
    </row>
    <row r="195" ht="45.0" customHeight="1">
      <c r="A195" s="6">
        <v>173.0</v>
      </c>
      <c r="B195" s="6" t="s">
        <v>173</v>
      </c>
      <c r="C195" s="6" t="s">
        <v>744</v>
      </c>
      <c r="D195" s="6" t="s">
        <v>745</v>
      </c>
      <c r="E195" s="7" t="s">
        <v>746</v>
      </c>
      <c r="F195" s="8" t="s">
        <v>489</v>
      </c>
      <c r="G195" s="9">
        <v>100.0</v>
      </c>
      <c r="H195" s="9">
        <v>100.0</v>
      </c>
      <c r="I195" s="9">
        <v>1.0</v>
      </c>
      <c r="J195" s="6">
        <f t="shared" si="17"/>
        <v>100</v>
      </c>
      <c r="K195" s="6" t="s">
        <v>178</v>
      </c>
      <c r="L195" s="7"/>
      <c r="M195" s="7" t="s">
        <v>518</v>
      </c>
      <c r="N195" s="7"/>
      <c r="O195" s="10" t="s">
        <v>747</v>
      </c>
      <c r="P195" s="6" t="str">
        <f t="shared" si="21"/>
        <v/>
      </c>
      <c r="Q195" s="64" t="s">
        <v>1688</v>
      </c>
      <c r="R195" s="65"/>
      <c r="S195" s="66"/>
      <c r="T195" s="12"/>
      <c r="U195" s="11">
        <v>1.0</v>
      </c>
      <c r="V195" s="12"/>
      <c r="W195" s="12"/>
      <c r="X195" s="12"/>
      <c r="Y195" s="12"/>
      <c r="Z195" s="67"/>
      <c r="AA195" s="12"/>
      <c r="AB195" s="12"/>
      <c r="AC195" s="67"/>
      <c r="AD195" s="12"/>
      <c r="AE195" s="12"/>
      <c r="AF195" s="12"/>
    </row>
    <row r="196" ht="45.0" customHeight="1">
      <c r="A196" s="6">
        <v>174.0</v>
      </c>
      <c r="B196" s="6" t="s">
        <v>173</v>
      </c>
      <c r="C196" s="6" t="s">
        <v>748</v>
      </c>
      <c r="D196" s="6" t="s">
        <v>749</v>
      </c>
      <c r="E196" s="7" t="s">
        <v>750</v>
      </c>
      <c r="F196" s="8" t="s">
        <v>489</v>
      </c>
      <c r="G196" s="9">
        <v>100.0</v>
      </c>
      <c r="H196" s="9">
        <v>100.0</v>
      </c>
      <c r="I196" s="9">
        <v>1.0</v>
      </c>
      <c r="J196" s="6">
        <f t="shared" si="17"/>
        <v>100</v>
      </c>
      <c r="K196" s="6" t="s">
        <v>178</v>
      </c>
      <c r="L196" s="7"/>
      <c r="M196" s="7" t="s">
        <v>518</v>
      </c>
      <c r="N196" s="7"/>
      <c r="O196" s="10" t="s">
        <v>751</v>
      </c>
      <c r="P196" s="6" t="str">
        <f t="shared" si="21"/>
        <v/>
      </c>
      <c r="Q196" s="64" t="s">
        <v>1688</v>
      </c>
      <c r="R196" s="65"/>
      <c r="S196" s="66"/>
      <c r="T196" s="12"/>
      <c r="U196" s="11">
        <v>1.0</v>
      </c>
      <c r="V196" s="12"/>
      <c r="W196" s="12"/>
      <c r="X196" s="12"/>
      <c r="Y196" s="12"/>
      <c r="Z196" s="67"/>
      <c r="AA196" s="12"/>
      <c r="AB196" s="12"/>
      <c r="AC196" s="67"/>
      <c r="AD196" s="12"/>
      <c r="AE196" s="12"/>
      <c r="AF196" s="12"/>
    </row>
    <row r="197" ht="45.0" customHeight="1">
      <c r="A197" s="6">
        <v>175.0</v>
      </c>
      <c r="B197" s="6" t="s">
        <v>173</v>
      </c>
      <c r="C197" s="6" t="s">
        <v>752</v>
      </c>
      <c r="D197" s="6" t="s">
        <v>753</v>
      </c>
      <c r="E197" s="7" t="s">
        <v>754</v>
      </c>
      <c r="F197" s="8" t="s">
        <v>489</v>
      </c>
      <c r="G197" s="9">
        <v>100.0</v>
      </c>
      <c r="H197" s="9">
        <v>100.0</v>
      </c>
      <c r="I197" s="9">
        <v>1.0</v>
      </c>
      <c r="J197" s="6">
        <f t="shared" si="17"/>
        <v>100</v>
      </c>
      <c r="K197" s="6" t="s">
        <v>178</v>
      </c>
      <c r="L197" s="7"/>
      <c r="M197" s="7" t="s">
        <v>518</v>
      </c>
      <c r="N197" s="7"/>
      <c r="O197" s="10" t="s">
        <v>755</v>
      </c>
      <c r="P197" s="6" t="str">
        <f t="shared" si="21"/>
        <v/>
      </c>
      <c r="Q197" s="64" t="s">
        <v>1688</v>
      </c>
      <c r="R197" s="65"/>
      <c r="S197" s="66"/>
      <c r="T197" s="12"/>
      <c r="U197" s="11">
        <v>1.0</v>
      </c>
      <c r="V197" s="12"/>
      <c r="W197" s="12"/>
      <c r="X197" s="12"/>
      <c r="Y197" s="12"/>
      <c r="Z197" s="67"/>
      <c r="AA197" s="12"/>
      <c r="AB197" s="12"/>
      <c r="AC197" s="67"/>
      <c r="AD197" s="12"/>
      <c r="AE197" s="12"/>
      <c r="AF197" s="12"/>
    </row>
    <row r="198" ht="45.0" customHeight="1">
      <c r="A198" s="6">
        <v>176.0</v>
      </c>
      <c r="B198" s="6" t="s">
        <v>173</v>
      </c>
      <c r="C198" s="6" t="s">
        <v>756</v>
      </c>
      <c r="D198" s="6" t="s">
        <v>757</v>
      </c>
      <c r="E198" s="7" t="s">
        <v>758</v>
      </c>
      <c r="F198" s="8" t="s">
        <v>489</v>
      </c>
      <c r="G198" s="9">
        <v>100.0</v>
      </c>
      <c r="H198" s="9">
        <v>100.0</v>
      </c>
      <c r="I198" s="9">
        <v>1.0</v>
      </c>
      <c r="J198" s="6">
        <f t="shared" si="17"/>
        <v>100</v>
      </c>
      <c r="K198" s="6" t="s">
        <v>178</v>
      </c>
      <c r="L198" s="7"/>
      <c r="M198" s="7" t="s">
        <v>518</v>
      </c>
      <c r="N198" s="7"/>
      <c r="O198" s="10" t="s">
        <v>759</v>
      </c>
      <c r="P198" s="6" t="str">
        <f t="shared" si="21"/>
        <v/>
      </c>
      <c r="Q198" s="64" t="s">
        <v>1688</v>
      </c>
      <c r="R198" s="65"/>
      <c r="S198" s="66"/>
      <c r="T198" s="12"/>
      <c r="U198" s="11">
        <v>1.0</v>
      </c>
      <c r="V198" s="12"/>
      <c r="W198" s="12"/>
      <c r="X198" s="12"/>
      <c r="Y198" s="12"/>
      <c r="Z198" s="67"/>
      <c r="AA198" s="12"/>
      <c r="AB198" s="12"/>
      <c r="AC198" s="67"/>
      <c r="AD198" s="12"/>
      <c r="AE198" s="12"/>
      <c r="AF198" s="12"/>
    </row>
    <row r="199" ht="45.0" customHeight="1">
      <c r="A199" s="6">
        <v>177.0</v>
      </c>
      <c r="B199" s="6" t="s">
        <v>173</v>
      </c>
      <c r="C199" s="6" t="s">
        <v>760</v>
      </c>
      <c r="D199" s="6" t="s">
        <v>761</v>
      </c>
      <c r="E199" s="7" t="s">
        <v>762</v>
      </c>
      <c r="F199" s="8" t="s">
        <v>489</v>
      </c>
      <c r="G199" s="9">
        <v>100.0</v>
      </c>
      <c r="H199" s="9">
        <v>100.0</v>
      </c>
      <c r="I199" s="9">
        <v>1.0</v>
      </c>
      <c r="J199" s="6">
        <f t="shared" si="17"/>
        <v>100</v>
      </c>
      <c r="K199" s="6" t="s">
        <v>178</v>
      </c>
      <c r="L199" s="7"/>
      <c r="M199" s="7" t="s">
        <v>518</v>
      </c>
      <c r="N199" s="7"/>
      <c r="O199" s="10" t="s">
        <v>763</v>
      </c>
      <c r="P199" s="6" t="str">
        <f t="shared" si="21"/>
        <v/>
      </c>
      <c r="Q199" s="64" t="s">
        <v>1688</v>
      </c>
      <c r="R199" s="65"/>
      <c r="S199" s="66"/>
      <c r="T199" s="12"/>
      <c r="U199" s="11">
        <v>1.0</v>
      </c>
      <c r="V199" s="12"/>
      <c r="W199" s="12"/>
      <c r="X199" s="12"/>
      <c r="Y199" s="12"/>
      <c r="Z199" s="67"/>
      <c r="AA199" s="12"/>
      <c r="AB199" s="12"/>
      <c r="AC199" s="67"/>
      <c r="AD199" s="12"/>
      <c r="AE199" s="12"/>
      <c r="AF199" s="12"/>
    </row>
    <row r="200" ht="45.0" customHeight="1">
      <c r="A200" s="6">
        <v>178.0</v>
      </c>
      <c r="B200" s="6" t="s">
        <v>173</v>
      </c>
      <c r="C200" s="6" t="s">
        <v>764</v>
      </c>
      <c r="D200" s="6" t="s">
        <v>765</v>
      </c>
      <c r="E200" s="7" t="s">
        <v>766</v>
      </c>
      <c r="F200" s="8" t="s">
        <v>489</v>
      </c>
      <c r="G200" s="9">
        <v>100.0</v>
      </c>
      <c r="H200" s="9">
        <v>100.0</v>
      </c>
      <c r="I200" s="9">
        <v>1.0</v>
      </c>
      <c r="J200" s="6">
        <f t="shared" si="17"/>
        <v>100</v>
      </c>
      <c r="K200" s="6" t="s">
        <v>178</v>
      </c>
      <c r="L200" s="7"/>
      <c r="M200" s="7" t="s">
        <v>518</v>
      </c>
      <c r="N200" s="7"/>
      <c r="O200" s="10" t="s">
        <v>767</v>
      </c>
      <c r="P200" s="6" t="str">
        <f t="shared" si="21"/>
        <v/>
      </c>
      <c r="Q200" s="64" t="s">
        <v>1688</v>
      </c>
      <c r="R200" s="65"/>
      <c r="S200" s="66"/>
      <c r="T200" s="12"/>
      <c r="U200" s="11">
        <v>1.0</v>
      </c>
      <c r="V200" s="12"/>
      <c r="W200" s="12"/>
      <c r="X200" s="12"/>
      <c r="Y200" s="12"/>
      <c r="Z200" s="67"/>
      <c r="AA200" s="12"/>
      <c r="AB200" s="12"/>
      <c r="AC200" s="67"/>
      <c r="AD200" s="12"/>
      <c r="AE200" s="12"/>
      <c r="AF200" s="12"/>
    </row>
    <row r="201" ht="45.0" customHeight="1">
      <c r="A201" s="6">
        <v>179.0</v>
      </c>
      <c r="B201" s="6" t="s">
        <v>173</v>
      </c>
      <c r="C201" s="6" t="s">
        <v>768</v>
      </c>
      <c r="D201" s="6" t="s">
        <v>769</v>
      </c>
      <c r="E201" s="7" t="s">
        <v>770</v>
      </c>
      <c r="F201" s="8" t="s">
        <v>489</v>
      </c>
      <c r="G201" s="9">
        <v>100.0</v>
      </c>
      <c r="H201" s="9">
        <v>100.0</v>
      </c>
      <c r="I201" s="9">
        <v>1.0</v>
      </c>
      <c r="J201" s="6">
        <f t="shared" si="17"/>
        <v>100</v>
      </c>
      <c r="K201" s="6" t="s">
        <v>178</v>
      </c>
      <c r="L201" s="7"/>
      <c r="M201" s="7" t="s">
        <v>518</v>
      </c>
      <c r="N201" s="7"/>
      <c r="O201" s="10" t="s">
        <v>771</v>
      </c>
      <c r="P201" s="6" t="str">
        <f t="shared" si="21"/>
        <v/>
      </c>
      <c r="Q201" s="64" t="s">
        <v>1688</v>
      </c>
      <c r="R201" s="65"/>
      <c r="S201" s="66"/>
      <c r="T201" s="12"/>
      <c r="U201" s="11">
        <v>1.0</v>
      </c>
      <c r="V201" s="12"/>
      <c r="W201" s="12"/>
      <c r="X201" s="12"/>
      <c r="Y201" s="12"/>
      <c r="Z201" s="67"/>
      <c r="AA201" s="12"/>
      <c r="AB201" s="12"/>
      <c r="AC201" s="67"/>
      <c r="AD201" s="12"/>
      <c r="AE201" s="12"/>
      <c r="AF201" s="12"/>
    </row>
    <row r="202" ht="45.0" customHeight="1">
      <c r="A202" s="6">
        <v>180.0</v>
      </c>
      <c r="B202" s="6" t="s">
        <v>173</v>
      </c>
      <c r="C202" s="6" t="s">
        <v>772</v>
      </c>
      <c r="D202" s="6" t="s">
        <v>773</v>
      </c>
      <c r="E202" s="7" t="s">
        <v>774</v>
      </c>
      <c r="F202" s="8" t="s">
        <v>489</v>
      </c>
      <c r="G202" s="9">
        <v>100.0</v>
      </c>
      <c r="H202" s="9">
        <v>100.0</v>
      </c>
      <c r="I202" s="9">
        <v>1.0</v>
      </c>
      <c r="J202" s="6">
        <f t="shared" si="17"/>
        <v>100</v>
      </c>
      <c r="K202" s="6" t="s">
        <v>178</v>
      </c>
      <c r="L202" s="7"/>
      <c r="M202" s="7" t="s">
        <v>518</v>
      </c>
      <c r="N202" s="7"/>
      <c r="O202" s="10" t="s">
        <v>775</v>
      </c>
      <c r="P202" s="6" t="str">
        <f t="shared" si="21"/>
        <v/>
      </c>
      <c r="Q202" s="64" t="s">
        <v>1688</v>
      </c>
      <c r="R202" s="65"/>
      <c r="S202" s="66"/>
      <c r="T202" s="12"/>
      <c r="U202" s="11">
        <v>1.0</v>
      </c>
      <c r="V202" s="12"/>
      <c r="W202" s="12"/>
      <c r="X202" s="12"/>
      <c r="Y202" s="12"/>
      <c r="Z202" s="67"/>
      <c r="AA202" s="12"/>
      <c r="AB202" s="12"/>
      <c r="AC202" s="67"/>
      <c r="AD202" s="12"/>
      <c r="AE202" s="12"/>
      <c r="AF202" s="12"/>
    </row>
    <row r="203" ht="45.0" customHeight="1">
      <c r="A203" s="6">
        <v>181.0</v>
      </c>
      <c r="B203" s="6" t="s">
        <v>173</v>
      </c>
      <c r="C203" s="6" t="s">
        <v>776</v>
      </c>
      <c r="D203" s="6" t="s">
        <v>777</v>
      </c>
      <c r="E203" s="7" t="s">
        <v>778</v>
      </c>
      <c r="F203" s="8" t="s">
        <v>489</v>
      </c>
      <c r="G203" s="9">
        <v>100.0</v>
      </c>
      <c r="H203" s="9">
        <v>100.0</v>
      </c>
      <c r="I203" s="9">
        <v>1.0</v>
      </c>
      <c r="J203" s="6">
        <f t="shared" si="17"/>
        <v>100</v>
      </c>
      <c r="K203" s="6" t="s">
        <v>178</v>
      </c>
      <c r="L203" s="7"/>
      <c r="M203" s="7" t="s">
        <v>518</v>
      </c>
      <c r="N203" s="7"/>
      <c r="O203" s="10" t="s">
        <v>779</v>
      </c>
      <c r="P203" s="6" t="str">
        <f t="shared" si="21"/>
        <v/>
      </c>
      <c r="Q203" s="64" t="s">
        <v>1688</v>
      </c>
      <c r="R203" s="65"/>
      <c r="S203" s="66"/>
      <c r="T203" s="12"/>
      <c r="U203" s="11">
        <v>1.0</v>
      </c>
      <c r="V203" s="12"/>
      <c r="W203" s="12"/>
      <c r="X203" s="12"/>
      <c r="Y203" s="12"/>
      <c r="Z203" s="67"/>
      <c r="AA203" s="12"/>
      <c r="AB203" s="12"/>
      <c r="AC203" s="67"/>
      <c r="AD203" s="12"/>
      <c r="AE203" s="12"/>
      <c r="AF203" s="12"/>
    </row>
    <row r="204" ht="45.0" customHeight="1">
      <c r="A204" s="6">
        <v>182.0</v>
      </c>
      <c r="B204" s="6" t="s">
        <v>173</v>
      </c>
      <c r="C204" s="6" t="s">
        <v>780</v>
      </c>
      <c r="D204" s="6" t="s">
        <v>781</v>
      </c>
      <c r="E204" s="7" t="s">
        <v>782</v>
      </c>
      <c r="F204" s="8" t="s">
        <v>489</v>
      </c>
      <c r="G204" s="9">
        <v>100.0</v>
      </c>
      <c r="H204" s="9">
        <v>100.0</v>
      </c>
      <c r="I204" s="9">
        <v>1.0</v>
      </c>
      <c r="J204" s="6">
        <f t="shared" si="17"/>
        <v>100</v>
      </c>
      <c r="K204" s="6" t="s">
        <v>178</v>
      </c>
      <c r="L204" s="7"/>
      <c r="M204" s="7" t="s">
        <v>518</v>
      </c>
      <c r="N204" s="7"/>
      <c r="O204" s="10" t="s">
        <v>783</v>
      </c>
      <c r="P204" s="6" t="str">
        <f t="shared" si="21"/>
        <v/>
      </c>
      <c r="Q204" s="64" t="s">
        <v>1688</v>
      </c>
      <c r="R204" s="65"/>
      <c r="S204" s="66"/>
      <c r="T204" s="12"/>
      <c r="U204" s="11">
        <v>1.0</v>
      </c>
      <c r="V204" s="12"/>
      <c r="W204" s="12"/>
      <c r="X204" s="12"/>
      <c r="Y204" s="12"/>
      <c r="Z204" s="67"/>
      <c r="AA204" s="12"/>
      <c r="AB204" s="12"/>
      <c r="AC204" s="67"/>
      <c r="AD204" s="12"/>
      <c r="AE204" s="12"/>
      <c r="AF204" s="12"/>
    </row>
    <row r="205" ht="45.0" customHeight="1">
      <c r="A205" s="6">
        <v>183.0</v>
      </c>
      <c r="B205" s="6" t="s">
        <v>173</v>
      </c>
      <c r="C205" s="6" t="s">
        <v>784</v>
      </c>
      <c r="D205" s="6" t="s">
        <v>785</v>
      </c>
      <c r="E205" s="7" t="s">
        <v>786</v>
      </c>
      <c r="F205" s="8" t="s">
        <v>489</v>
      </c>
      <c r="G205" s="9">
        <v>100.0</v>
      </c>
      <c r="H205" s="9">
        <v>100.0</v>
      </c>
      <c r="I205" s="9">
        <v>1.0</v>
      </c>
      <c r="J205" s="6">
        <f t="shared" si="17"/>
        <v>100</v>
      </c>
      <c r="K205" s="6" t="s">
        <v>178</v>
      </c>
      <c r="L205" s="7"/>
      <c r="M205" s="7" t="s">
        <v>518</v>
      </c>
      <c r="N205" s="7"/>
      <c r="O205" s="10" t="s">
        <v>787</v>
      </c>
      <c r="P205" s="6" t="str">
        <f t="shared" si="21"/>
        <v/>
      </c>
      <c r="Q205" s="64" t="s">
        <v>1688</v>
      </c>
      <c r="R205" s="65"/>
      <c r="S205" s="66"/>
      <c r="T205" s="12"/>
      <c r="U205" s="11">
        <v>1.0</v>
      </c>
      <c r="V205" s="12"/>
      <c r="W205" s="12"/>
      <c r="X205" s="12"/>
      <c r="Y205" s="12"/>
      <c r="Z205" s="67"/>
      <c r="AA205" s="12"/>
      <c r="AB205" s="12"/>
      <c r="AC205" s="67"/>
      <c r="AD205" s="12"/>
      <c r="AE205" s="12"/>
      <c r="AF205" s="12"/>
    </row>
    <row r="206" ht="45.0" customHeight="1">
      <c r="A206" s="6">
        <v>184.0</v>
      </c>
      <c r="B206" s="6" t="s">
        <v>173</v>
      </c>
      <c r="C206" s="6" t="s">
        <v>788</v>
      </c>
      <c r="D206" s="6" t="s">
        <v>789</v>
      </c>
      <c r="E206" s="7" t="s">
        <v>790</v>
      </c>
      <c r="F206" s="8" t="s">
        <v>489</v>
      </c>
      <c r="G206" s="9">
        <v>100.0</v>
      </c>
      <c r="H206" s="9">
        <v>100.0</v>
      </c>
      <c r="I206" s="9">
        <v>1.0</v>
      </c>
      <c r="J206" s="6">
        <f t="shared" si="17"/>
        <v>100</v>
      </c>
      <c r="K206" s="6" t="s">
        <v>178</v>
      </c>
      <c r="L206" s="7"/>
      <c r="M206" s="7" t="s">
        <v>518</v>
      </c>
      <c r="N206" s="7"/>
      <c r="O206" s="10" t="s">
        <v>791</v>
      </c>
      <c r="P206" s="6" t="str">
        <f t="shared" si="21"/>
        <v/>
      </c>
      <c r="Q206" s="64" t="s">
        <v>1688</v>
      </c>
      <c r="R206" s="65"/>
      <c r="S206" s="66"/>
      <c r="T206" s="12"/>
      <c r="U206" s="11">
        <v>1.0</v>
      </c>
      <c r="V206" s="12"/>
      <c r="W206" s="12"/>
      <c r="X206" s="12"/>
      <c r="Y206" s="12"/>
      <c r="Z206" s="67"/>
      <c r="AA206" s="12"/>
      <c r="AB206" s="12"/>
      <c r="AC206" s="67"/>
      <c r="AD206" s="12"/>
      <c r="AE206" s="12"/>
      <c r="AF206" s="12"/>
    </row>
    <row r="207" ht="45.0" customHeight="1">
      <c r="A207" s="6">
        <v>185.0</v>
      </c>
      <c r="B207" s="6" t="s">
        <v>173</v>
      </c>
      <c r="C207" s="6" t="s">
        <v>792</v>
      </c>
      <c r="D207" s="6" t="s">
        <v>793</v>
      </c>
      <c r="E207" s="7" t="s">
        <v>794</v>
      </c>
      <c r="F207" s="8" t="s">
        <v>489</v>
      </c>
      <c r="G207" s="9">
        <v>100.0</v>
      </c>
      <c r="H207" s="9">
        <v>100.0</v>
      </c>
      <c r="I207" s="9">
        <v>1.0</v>
      </c>
      <c r="J207" s="6">
        <f t="shared" si="17"/>
        <v>100</v>
      </c>
      <c r="K207" s="6" t="s">
        <v>178</v>
      </c>
      <c r="L207" s="7"/>
      <c r="M207" s="7" t="s">
        <v>518</v>
      </c>
      <c r="N207" s="7"/>
      <c r="O207" s="10" t="s">
        <v>795</v>
      </c>
      <c r="P207" s="6" t="str">
        <f t="shared" si="21"/>
        <v/>
      </c>
      <c r="Q207" s="64" t="s">
        <v>1688</v>
      </c>
      <c r="R207" s="65"/>
      <c r="S207" s="66"/>
      <c r="T207" s="12"/>
      <c r="U207" s="11">
        <v>1.0</v>
      </c>
      <c r="V207" s="12"/>
      <c r="W207" s="12"/>
      <c r="X207" s="12"/>
      <c r="Y207" s="12"/>
      <c r="Z207" s="67"/>
      <c r="AA207" s="12"/>
      <c r="AB207" s="12"/>
      <c r="AC207" s="67"/>
      <c r="AD207" s="12"/>
      <c r="AE207" s="12"/>
      <c r="AF207" s="12"/>
    </row>
    <row r="208" ht="45.0" customHeight="1">
      <c r="A208" s="6">
        <v>186.0</v>
      </c>
      <c r="B208" s="6" t="s">
        <v>173</v>
      </c>
      <c r="C208" s="6" t="s">
        <v>796</v>
      </c>
      <c r="D208" s="6" t="s">
        <v>797</v>
      </c>
      <c r="E208" s="7" t="s">
        <v>798</v>
      </c>
      <c r="F208" s="8" t="s">
        <v>489</v>
      </c>
      <c r="G208" s="9">
        <v>100.0</v>
      </c>
      <c r="H208" s="9">
        <v>100.0</v>
      </c>
      <c r="I208" s="9">
        <v>1.0</v>
      </c>
      <c r="J208" s="6">
        <f t="shared" si="17"/>
        <v>100</v>
      </c>
      <c r="K208" s="6" t="s">
        <v>178</v>
      </c>
      <c r="L208" s="7"/>
      <c r="M208" s="7" t="s">
        <v>518</v>
      </c>
      <c r="N208" s="7"/>
      <c r="O208" s="10" t="s">
        <v>799</v>
      </c>
      <c r="P208" s="6" t="str">
        <f t="shared" si="21"/>
        <v/>
      </c>
      <c r="Q208" s="64" t="s">
        <v>1688</v>
      </c>
      <c r="R208" s="65"/>
      <c r="S208" s="66"/>
      <c r="T208" s="12"/>
      <c r="U208" s="11">
        <v>1.0</v>
      </c>
      <c r="V208" s="12"/>
      <c r="W208" s="12"/>
      <c r="X208" s="12"/>
      <c r="Y208" s="12"/>
      <c r="Z208" s="67"/>
      <c r="AA208" s="12"/>
      <c r="AB208" s="12"/>
      <c r="AC208" s="67"/>
      <c r="AD208" s="12"/>
      <c r="AE208" s="12"/>
      <c r="AF208" s="12"/>
    </row>
    <row r="209" ht="45.0" customHeight="1">
      <c r="A209" s="6">
        <v>187.0</v>
      </c>
      <c r="B209" s="6" t="s">
        <v>173</v>
      </c>
      <c r="C209" s="6" t="s">
        <v>800</v>
      </c>
      <c r="D209" s="6" t="s">
        <v>801</v>
      </c>
      <c r="E209" s="7" t="s">
        <v>802</v>
      </c>
      <c r="F209" s="8" t="s">
        <v>489</v>
      </c>
      <c r="G209" s="9">
        <v>100.0</v>
      </c>
      <c r="H209" s="9">
        <v>100.0</v>
      </c>
      <c r="I209" s="9">
        <v>1.0</v>
      </c>
      <c r="J209" s="6">
        <f t="shared" si="17"/>
        <v>100</v>
      </c>
      <c r="K209" s="6" t="s">
        <v>178</v>
      </c>
      <c r="L209" s="7"/>
      <c r="M209" s="7" t="s">
        <v>518</v>
      </c>
      <c r="N209" s="7"/>
      <c r="O209" s="10" t="s">
        <v>803</v>
      </c>
      <c r="P209" s="6" t="str">
        <f t="shared" si="21"/>
        <v/>
      </c>
      <c r="Q209" s="64" t="s">
        <v>1688</v>
      </c>
      <c r="R209" s="65"/>
      <c r="S209" s="66"/>
      <c r="T209" s="12"/>
      <c r="U209" s="11">
        <v>1.0</v>
      </c>
      <c r="V209" s="12"/>
      <c r="W209" s="12"/>
      <c r="X209" s="12"/>
      <c r="Y209" s="12"/>
      <c r="Z209" s="67"/>
      <c r="AA209" s="12"/>
      <c r="AB209" s="12"/>
      <c r="AC209" s="67"/>
      <c r="AD209" s="12"/>
      <c r="AE209" s="12"/>
      <c r="AF209" s="12"/>
    </row>
    <row r="210" ht="45.0" customHeight="1">
      <c r="A210" s="6">
        <v>188.0</v>
      </c>
      <c r="B210" s="6" t="s">
        <v>173</v>
      </c>
      <c r="C210" s="6" t="s">
        <v>804</v>
      </c>
      <c r="D210" s="6" t="s">
        <v>805</v>
      </c>
      <c r="E210" s="7" t="s">
        <v>806</v>
      </c>
      <c r="F210" s="8" t="s">
        <v>489</v>
      </c>
      <c r="G210" s="9">
        <v>100.0</v>
      </c>
      <c r="H210" s="9">
        <v>100.0</v>
      </c>
      <c r="I210" s="9">
        <v>1.0</v>
      </c>
      <c r="J210" s="6">
        <f t="shared" si="17"/>
        <v>100</v>
      </c>
      <c r="K210" s="6" t="s">
        <v>178</v>
      </c>
      <c r="L210" s="7"/>
      <c r="M210" s="7" t="s">
        <v>518</v>
      </c>
      <c r="N210" s="7"/>
      <c r="O210" s="10" t="s">
        <v>807</v>
      </c>
      <c r="P210" s="6" t="str">
        <f t="shared" si="21"/>
        <v/>
      </c>
      <c r="Q210" s="64" t="s">
        <v>1688</v>
      </c>
      <c r="R210" s="65"/>
      <c r="S210" s="66"/>
      <c r="T210" s="12"/>
      <c r="U210" s="11">
        <v>1.0</v>
      </c>
      <c r="V210" s="12"/>
      <c r="W210" s="12"/>
      <c r="X210" s="12"/>
      <c r="Y210" s="12"/>
      <c r="Z210" s="67"/>
      <c r="AA210" s="12"/>
      <c r="AB210" s="12"/>
      <c r="AC210" s="67"/>
      <c r="AD210" s="12"/>
      <c r="AE210" s="12"/>
      <c r="AF210" s="12"/>
    </row>
    <row r="211" ht="45.0" customHeight="1">
      <c r="A211" s="6">
        <v>189.0</v>
      </c>
      <c r="B211" s="6" t="s">
        <v>173</v>
      </c>
      <c r="C211" s="6" t="s">
        <v>808</v>
      </c>
      <c r="D211" s="6" t="s">
        <v>809</v>
      </c>
      <c r="E211" s="7" t="s">
        <v>810</v>
      </c>
      <c r="F211" s="8" t="s">
        <v>489</v>
      </c>
      <c r="G211" s="9">
        <v>100.0</v>
      </c>
      <c r="H211" s="9">
        <v>100.0</v>
      </c>
      <c r="I211" s="9">
        <v>1.0</v>
      </c>
      <c r="J211" s="6">
        <f t="shared" si="17"/>
        <v>100</v>
      </c>
      <c r="K211" s="6" t="s">
        <v>178</v>
      </c>
      <c r="L211" s="7"/>
      <c r="M211" s="7" t="s">
        <v>518</v>
      </c>
      <c r="N211" s="7"/>
      <c r="O211" s="10" t="s">
        <v>811</v>
      </c>
      <c r="P211" s="6" t="str">
        <f t="shared" si="21"/>
        <v/>
      </c>
      <c r="Q211" s="64" t="s">
        <v>1688</v>
      </c>
      <c r="R211" s="65"/>
      <c r="S211" s="66"/>
      <c r="T211" s="12"/>
      <c r="U211" s="11">
        <v>1.0</v>
      </c>
      <c r="V211" s="12"/>
      <c r="W211" s="12"/>
      <c r="X211" s="12"/>
      <c r="Y211" s="12"/>
      <c r="Z211" s="67"/>
      <c r="AA211" s="12"/>
      <c r="AB211" s="12"/>
      <c r="AC211" s="67"/>
      <c r="AD211" s="12"/>
      <c r="AE211" s="12"/>
      <c r="AF211" s="12"/>
    </row>
    <row r="212" ht="45.0" customHeight="1">
      <c r="A212" s="6">
        <v>190.0</v>
      </c>
      <c r="B212" s="6" t="s">
        <v>173</v>
      </c>
      <c r="C212" s="6" t="s">
        <v>812</v>
      </c>
      <c r="D212" s="6" t="s">
        <v>813</v>
      </c>
      <c r="E212" s="7" t="s">
        <v>814</v>
      </c>
      <c r="F212" s="8" t="s">
        <v>489</v>
      </c>
      <c r="G212" s="9">
        <v>100.0</v>
      </c>
      <c r="H212" s="9">
        <v>100.0</v>
      </c>
      <c r="I212" s="9">
        <v>1.0</v>
      </c>
      <c r="J212" s="6">
        <f t="shared" si="17"/>
        <v>100</v>
      </c>
      <c r="K212" s="6" t="s">
        <v>178</v>
      </c>
      <c r="L212" s="7"/>
      <c r="M212" s="7" t="s">
        <v>518</v>
      </c>
      <c r="N212" s="7"/>
      <c r="O212" s="10" t="s">
        <v>815</v>
      </c>
      <c r="P212" s="6" t="str">
        <f t="shared" si="21"/>
        <v/>
      </c>
      <c r="Q212" s="64" t="s">
        <v>1688</v>
      </c>
      <c r="R212" s="65"/>
      <c r="S212" s="66"/>
      <c r="T212" s="12"/>
      <c r="U212" s="11">
        <v>1.0</v>
      </c>
      <c r="V212" s="12"/>
      <c r="W212" s="12"/>
      <c r="X212" s="12"/>
      <c r="Y212" s="12"/>
      <c r="Z212" s="67"/>
      <c r="AA212" s="12"/>
      <c r="AB212" s="12"/>
      <c r="AC212" s="67"/>
      <c r="AD212" s="12"/>
      <c r="AE212" s="12"/>
      <c r="AF212" s="12"/>
    </row>
    <row r="213" ht="45.0" customHeight="1">
      <c r="A213" s="6">
        <v>191.0</v>
      </c>
      <c r="B213" s="6" t="s">
        <v>173</v>
      </c>
      <c r="C213" s="6" t="s">
        <v>816</v>
      </c>
      <c r="D213" s="6" t="s">
        <v>817</v>
      </c>
      <c r="E213" s="7" t="s">
        <v>818</v>
      </c>
      <c r="F213" s="8" t="s">
        <v>489</v>
      </c>
      <c r="G213" s="9">
        <v>100.0</v>
      </c>
      <c r="H213" s="9">
        <v>100.0</v>
      </c>
      <c r="I213" s="9">
        <v>1.0</v>
      </c>
      <c r="J213" s="6">
        <f t="shared" si="17"/>
        <v>100</v>
      </c>
      <c r="K213" s="6" t="s">
        <v>178</v>
      </c>
      <c r="L213" s="7"/>
      <c r="M213" s="7" t="s">
        <v>518</v>
      </c>
      <c r="N213" s="7"/>
      <c r="O213" s="10" t="s">
        <v>819</v>
      </c>
      <c r="P213" s="6" t="str">
        <f t="shared" si="21"/>
        <v/>
      </c>
      <c r="Q213" s="64" t="s">
        <v>1688</v>
      </c>
      <c r="R213" s="65"/>
      <c r="S213" s="66"/>
      <c r="T213" s="12"/>
      <c r="U213" s="11">
        <v>1.0</v>
      </c>
      <c r="V213" s="12"/>
      <c r="W213" s="12"/>
      <c r="X213" s="12"/>
      <c r="Y213" s="12"/>
      <c r="Z213" s="67"/>
      <c r="AA213" s="12"/>
      <c r="AB213" s="12"/>
      <c r="AC213" s="67"/>
      <c r="AD213" s="12"/>
      <c r="AE213" s="12"/>
      <c r="AF213" s="12"/>
    </row>
    <row r="214" ht="45.0" customHeight="1">
      <c r="A214" s="6">
        <v>192.0</v>
      </c>
      <c r="B214" s="6" t="s">
        <v>173</v>
      </c>
      <c r="C214" s="6" t="s">
        <v>820</v>
      </c>
      <c r="D214" s="6" t="s">
        <v>821</v>
      </c>
      <c r="E214" s="7" t="s">
        <v>822</v>
      </c>
      <c r="F214" s="8" t="s">
        <v>489</v>
      </c>
      <c r="G214" s="9">
        <v>100.0</v>
      </c>
      <c r="H214" s="9">
        <v>100.0</v>
      </c>
      <c r="I214" s="9">
        <v>1.0</v>
      </c>
      <c r="J214" s="6">
        <f t="shared" si="17"/>
        <v>100</v>
      </c>
      <c r="K214" s="6" t="s">
        <v>178</v>
      </c>
      <c r="L214" s="7"/>
      <c r="M214" s="7" t="s">
        <v>518</v>
      </c>
      <c r="N214" s="7"/>
      <c r="O214" s="10" t="s">
        <v>823</v>
      </c>
      <c r="P214" s="6" t="str">
        <f t="shared" si="21"/>
        <v/>
      </c>
      <c r="Q214" s="64" t="s">
        <v>1688</v>
      </c>
      <c r="R214" s="65"/>
      <c r="S214" s="66"/>
      <c r="T214" s="12"/>
      <c r="U214" s="11">
        <v>1.0</v>
      </c>
      <c r="V214" s="12"/>
      <c r="W214" s="12"/>
      <c r="X214" s="12"/>
      <c r="Y214" s="12"/>
      <c r="Z214" s="67"/>
      <c r="AA214" s="12"/>
      <c r="AB214" s="12"/>
      <c r="AC214" s="67"/>
      <c r="AD214" s="12"/>
      <c r="AE214" s="12"/>
      <c r="AF214" s="12"/>
    </row>
    <row r="215" ht="45.0" customHeight="1">
      <c r="A215" s="6">
        <v>193.0</v>
      </c>
      <c r="B215" s="6" t="s">
        <v>173</v>
      </c>
      <c r="C215" s="6" t="s">
        <v>824</v>
      </c>
      <c r="D215" s="6" t="s">
        <v>825</v>
      </c>
      <c r="E215" s="7" t="s">
        <v>826</v>
      </c>
      <c r="F215" s="8" t="s">
        <v>489</v>
      </c>
      <c r="G215" s="9">
        <v>100.0</v>
      </c>
      <c r="H215" s="9">
        <v>100.0</v>
      </c>
      <c r="I215" s="9">
        <v>3.0</v>
      </c>
      <c r="J215" s="6">
        <f t="shared" si="17"/>
        <v>300</v>
      </c>
      <c r="K215" s="6" t="s">
        <v>178</v>
      </c>
      <c r="L215" s="7"/>
      <c r="M215" s="7" t="s">
        <v>193</v>
      </c>
      <c r="N215" s="7"/>
      <c r="O215" s="10" t="s">
        <v>827</v>
      </c>
      <c r="P215" s="6" t="str">
        <f>IMAGE("https://encrypted-tbn0.gstatic.com/images?q=tbn:ANd9GcR-ur1Cl_3Rq82qZ9KbLtZX3U_7cevDQWdUVA&amp;usqp=CAU",1)</f>
        <v/>
      </c>
      <c r="Q215" s="64" t="s">
        <v>1688</v>
      </c>
      <c r="R215" s="65"/>
      <c r="S215" s="66"/>
      <c r="T215" s="12"/>
      <c r="U215" s="11">
        <v>1.0</v>
      </c>
      <c r="V215" s="12"/>
      <c r="W215" s="12"/>
      <c r="X215" s="12"/>
      <c r="Y215" s="12"/>
      <c r="Z215" s="67"/>
      <c r="AA215" s="12"/>
      <c r="AB215" s="12"/>
      <c r="AC215" s="67"/>
      <c r="AD215" s="12"/>
      <c r="AE215" s="12"/>
      <c r="AF215" s="12"/>
    </row>
    <row r="216" ht="45.0" customHeight="1">
      <c r="A216" s="6">
        <v>194.0</v>
      </c>
      <c r="B216" s="6" t="s">
        <v>173</v>
      </c>
      <c r="C216" s="6" t="s">
        <v>828</v>
      </c>
      <c r="D216" s="6" t="s">
        <v>829</v>
      </c>
      <c r="E216" s="7" t="s">
        <v>830</v>
      </c>
      <c r="F216" s="8" t="s">
        <v>489</v>
      </c>
      <c r="G216" s="9">
        <v>50.0</v>
      </c>
      <c r="H216" s="9">
        <v>50.0</v>
      </c>
      <c r="I216" s="9">
        <v>10.0</v>
      </c>
      <c r="J216" s="6">
        <f t="shared" si="17"/>
        <v>500</v>
      </c>
      <c r="K216" s="6" t="s">
        <v>178</v>
      </c>
      <c r="L216" s="7"/>
      <c r="M216" s="7" t="s">
        <v>193</v>
      </c>
      <c r="N216" s="7"/>
      <c r="O216" s="10" t="s">
        <v>831</v>
      </c>
      <c r="P216" s="6" t="str">
        <f>IMAGE("https://m.media-amazon.com/images/I/51khY6g46VL._AC_SL1500_.jpg",1)</f>
        <v/>
      </c>
      <c r="Q216" s="64" t="s">
        <v>1688</v>
      </c>
      <c r="R216" s="65"/>
      <c r="S216" s="66"/>
      <c r="T216" s="12"/>
      <c r="U216" s="11">
        <v>1.0</v>
      </c>
      <c r="V216" s="12"/>
      <c r="W216" s="12"/>
      <c r="X216" s="12"/>
      <c r="Y216" s="12"/>
      <c r="Z216" s="67"/>
      <c r="AA216" s="12"/>
      <c r="AB216" s="12"/>
      <c r="AC216" s="67"/>
      <c r="AD216" s="12"/>
      <c r="AE216" s="12"/>
      <c r="AF216" s="12"/>
    </row>
    <row r="217" ht="45.0" customHeight="1">
      <c r="A217" s="6">
        <v>195.0</v>
      </c>
      <c r="B217" s="6" t="s">
        <v>173</v>
      </c>
      <c r="C217" s="6" t="s">
        <v>832</v>
      </c>
      <c r="D217" s="6" t="s">
        <v>833</v>
      </c>
      <c r="E217" s="7" t="s">
        <v>834</v>
      </c>
      <c r="F217" s="8" t="s">
        <v>489</v>
      </c>
      <c r="G217" s="9">
        <v>50.0</v>
      </c>
      <c r="H217" s="9">
        <v>50.0</v>
      </c>
      <c r="I217" s="9">
        <v>10.0</v>
      </c>
      <c r="J217" s="6">
        <f t="shared" si="17"/>
        <v>500</v>
      </c>
      <c r="K217" s="6" t="s">
        <v>178</v>
      </c>
      <c r="L217" s="7"/>
      <c r="M217" s="7" t="s">
        <v>193</v>
      </c>
      <c r="N217" s="7"/>
      <c r="O217" s="10" t="s">
        <v>835</v>
      </c>
      <c r="P217" s="6" t="str">
        <f>IMAGE("https://etstore.in/wp-content/uploads/2021/12/IMG_20201130_100203.png",1)</f>
        <v/>
      </c>
      <c r="Q217" s="64" t="s">
        <v>1688</v>
      </c>
      <c r="R217" s="68"/>
      <c r="S217" s="69"/>
      <c r="T217" s="12"/>
      <c r="U217" s="11">
        <v>1.0</v>
      </c>
      <c r="V217" s="12"/>
      <c r="W217" s="12"/>
      <c r="X217" s="12"/>
      <c r="Y217" s="12"/>
      <c r="Z217" s="67"/>
      <c r="AA217" s="12"/>
      <c r="AB217" s="12"/>
      <c r="AC217" s="67"/>
      <c r="AD217" s="12"/>
      <c r="AE217" s="12"/>
      <c r="AF217" s="12"/>
    </row>
    <row r="218" ht="45.0" customHeight="1">
      <c r="A218" s="6">
        <v>196.0</v>
      </c>
      <c r="B218" s="6" t="s">
        <v>173</v>
      </c>
      <c r="C218" s="6" t="s">
        <v>836</v>
      </c>
      <c r="D218" s="6" t="s">
        <v>837</v>
      </c>
      <c r="E218" s="7" t="s">
        <v>838</v>
      </c>
      <c r="F218" s="8" t="s">
        <v>489</v>
      </c>
      <c r="G218" s="9">
        <v>50.0</v>
      </c>
      <c r="H218" s="9">
        <v>50.0</v>
      </c>
      <c r="I218" s="9">
        <v>10.0</v>
      </c>
      <c r="J218" s="6">
        <f t="shared" si="17"/>
        <v>500</v>
      </c>
      <c r="K218" s="6" t="s">
        <v>178</v>
      </c>
      <c r="L218" s="7"/>
      <c r="M218" s="7" t="s">
        <v>193</v>
      </c>
      <c r="N218" s="7"/>
      <c r="O218" s="10" t="s">
        <v>839</v>
      </c>
      <c r="P218" s="6" t="str">
        <f>IMAGE("https://m.media-amazon.com/images/I/71UDXftBeaL._SX466_.jpg",1)</f>
        <v/>
      </c>
      <c r="Q218" s="64" t="s">
        <v>1688</v>
      </c>
      <c r="R218" s="65"/>
      <c r="S218" s="66"/>
      <c r="T218" s="12"/>
      <c r="U218" s="11">
        <v>1.0</v>
      </c>
      <c r="V218" s="12"/>
      <c r="W218" s="12"/>
      <c r="X218" s="12"/>
      <c r="Y218" s="12"/>
      <c r="Z218" s="67"/>
      <c r="AA218" s="12"/>
      <c r="AB218" s="12"/>
      <c r="AC218" s="67"/>
      <c r="AD218" s="12"/>
      <c r="AE218" s="12"/>
      <c r="AF218" s="12"/>
    </row>
    <row r="219" ht="45.0" customHeight="1">
      <c r="A219" s="6">
        <v>197.0</v>
      </c>
      <c r="B219" s="6" t="s">
        <v>173</v>
      </c>
      <c r="C219" s="6" t="s">
        <v>840</v>
      </c>
      <c r="D219" s="6" t="s">
        <v>841</v>
      </c>
      <c r="E219" s="7" t="s">
        <v>842</v>
      </c>
      <c r="F219" s="8" t="s">
        <v>489</v>
      </c>
      <c r="G219" s="9">
        <v>50.0</v>
      </c>
      <c r="H219" s="9">
        <v>50.0</v>
      </c>
      <c r="I219" s="9">
        <v>10.0</v>
      </c>
      <c r="J219" s="6">
        <f t="shared" si="17"/>
        <v>500</v>
      </c>
      <c r="K219" s="6" t="s">
        <v>178</v>
      </c>
      <c r="L219" s="7"/>
      <c r="M219" s="7" t="s">
        <v>193</v>
      </c>
      <c r="N219" s="7"/>
      <c r="O219" s="10" t="s">
        <v>843</v>
      </c>
      <c r="P219" s="6" t="str">
        <f>IMAGE("https://m.media-amazon.com/images/I/4116hBQx0XL._SX425_.jpg",1)</f>
        <v/>
      </c>
      <c r="Q219" s="64" t="s">
        <v>1688</v>
      </c>
      <c r="R219" s="68"/>
      <c r="S219" s="69"/>
      <c r="T219" s="12"/>
      <c r="U219" s="11">
        <v>1.0</v>
      </c>
      <c r="V219" s="12"/>
      <c r="W219" s="12"/>
      <c r="X219" s="12"/>
      <c r="Y219" s="12"/>
      <c r="Z219" s="67"/>
      <c r="AA219" s="12"/>
      <c r="AB219" s="12"/>
      <c r="AC219" s="67"/>
      <c r="AD219" s="12"/>
      <c r="AE219" s="12"/>
      <c r="AF219" s="12"/>
    </row>
    <row r="220" ht="45.0" customHeight="1">
      <c r="A220" s="6">
        <v>198.0</v>
      </c>
      <c r="B220" s="6" t="s">
        <v>173</v>
      </c>
      <c r="C220" s="6" t="s">
        <v>844</v>
      </c>
      <c r="D220" s="6" t="s">
        <v>845</v>
      </c>
      <c r="E220" s="7" t="s">
        <v>846</v>
      </c>
      <c r="F220" s="8" t="s">
        <v>489</v>
      </c>
      <c r="G220" s="9">
        <v>20.0</v>
      </c>
      <c r="H220" s="9">
        <v>20.0</v>
      </c>
      <c r="I220" s="9">
        <v>5.0</v>
      </c>
      <c r="J220" s="6">
        <f t="shared" si="17"/>
        <v>100</v>
      </c>
      <c r="K220" s="6" t="s">
        <v>178</v>
      </c>
      <c r="L220" s="7"/>
      <c r="M220" s="7" t="s">
        <v>193</v>
      </c>
      <c r="N220" s="7"/>
      <c r="O220" s="10" t="s">
        <v>847</v>
      </c>
      <c r="P220" s="6" t="str">
        <f>IMAGE("https://potentiallabs.com/cart/image/cache/catalog/2021/555-timer-ic-400x400.jpeg",1)</f>
        <v/>
      </c>
      <c r="Q220" s="64" t="s">
        <v>1688</v>
      </c>
      <c r="R220" s="65"/>
      <c r="S220" s="66"/>
      <c r="T220" s="12"/>
      <c r="U220" s="11">
        <v>1.0</v>
      </c>
      <c r="V220" s="12"/>
      <c r="W220" s="12"/>
      <c r="X220" s="12"/>
      <c r="Y220" s="12"/>
      <c r="Z220" s="67"/>
      <c r="AA220" s="12"/>
      <c r="AB220" s="12"/>
      <c r="AC220" s="67"/>
      <c r="AD220" s="12"/>
      <c r="AE220" s="12"/>
      <c r="AF220" s="12"/>
    </row>
    <row r="221" ht="45.0" customHeight="1">
      <c r="A221" s="6">
        <v>199.0</v>
      </c>
      <c r="B221" s="6" t="s">
        <v>173</v>
      </c>
      <c r="C221" s="6" t="s">
        <v>848</v>
      </c>
      <c r="D221" s="6" t="s">
        <v>849</v>
      </c>
      <c r="E221" s="7" t="s">
        <v>850</v>
      </c>
      <c r="F221" s="8" t="s">
        <v>489</v>
      </c>
      <c r="G221" s="9">
        <v>100.0</v>
      </c>
      <c r="H221" s="9">
        <v>100.0</v>
      </c>
      <c r="I221" s="9">
        <v>5.0</v>
      </c>
      <c r="J221" s="6">
        <f t="shared" si="17"/>
        <v>500</v>
      </c>
      <c r="K221" s="6" t="s">
        <v>178</v>
      </c>
      <c r="L221" s="7"/>
      <c r="M221" s="7" t="s">
        <v>518</v>
      </c>
      <c r="N221" s="7"/>
      <c r="O221" s="10" t="s">
        <v>851</v>
      </c>
      <c r="P221" s="6" t="str">
        <f>IMAGE("https://5.imimg.com/data5/SELLER/Default/2020/8/IJ/BD/HA/84543611/2n3904-transistor-500x500.jpg",1)</f>
        <v/>
      </c>
      <c r="Q221" s="64" t="s">
        <v>1688</v>
      </c>
      <c r="R221" s="65"/>
      <c r="S221" s="66"/>
      <c r="T221" s="12"/>
      <c r="U221" s="11">
        <v>1.0</v>
      </c>
      <c r="V221" s="12"/>
      <c r="W221" s="12"/>
      <c r="X221" s="12"/>
      <c r="Y221" s="12"/>
      <c r="Z221" s="67"/>
      <c r="AA221" s="12"/>
      <c r="AB221" s="12"/>
      <c r="AC221" s="67"/>
      <c r="AD221" s="12"/>
      <c r="AE221" s="12"/>
      <c r="AF221" s="12"/>
    </row>
    <row r="222" ht="45.0" customHeight="1">
      <c r="A222" s="6">
        <v>200.0</v>
      </c>
      <c r="B222" s="6" t="s">
        <v>173</v>
      </c>
      <c r="C222" s="6" t="s">
        <v>852</v>
      </c>
      <c r="D222" s="6" t="s">
        <v>853</v>
      </c>
      <c r="E222" s="7" t="s">
        <v>854</v>
      </c>
      <c r="F222" s="8" t="s">
        <v>489</v>
      </c>
      <c r="G222" s="9">
        <v>100.0</v>
      </c>
      <c r="H222" s="9">
        <v>100.0</v>
      </c>
      <c r="I222" s="9">
        <v>5.0</v>
      </c>
      <c r="J222" s="6">
        <f t="shared" si="17"/>
        <v>500</v>
      </c>
      <c r="K222" s="6" t="s">
        <v>178</v>
      </c>
      <c r="L222" s="7"/>
      <c r="M222" s="7" t="s">
        <v>518</v>
      </c>
      <c r="N222" s="7"/>
      <c r="O222" s="10" t="s">
        <v>855</v>
      </c>
      <c r="P222" s="6" t="str">
        <f>IMAGE("https://rukminim2.flixcart.com/image/832/832/k44hksw0/transistor/d/m/d/100-pics-bc547-npn-transistor-sme-original-imafn3dfw2fqwgxg.jpeg?q=70",1)</f>
        <v/>
      </c>
      <c r="Q222" s="64" t="s">
        <v>1688</v>
      </c>
      <c r="R222" s="65"/>
      <c r="S222" s="66"/>
      <c r="T222" s="12"/>
      <c r="U222" s="11">
        <v>1.0</v>
      </c>
      <c r="V222" s="12"/>
      <c r="W222" s="12"/>
      <c r="X222" s="12"/>
      <c r="Y222" s="12"/>
      <c r="Z222" s="67"/>
      <c r="AA222" s="12"/>
      <c r="AB222" s="12"/>
      <c r="AC222" s="67"/>
      <c r="AD222" s="12"/>
      <c r="AE222" s="12"/>
      <c r="AF222" s="12"/>
    </row>
    <row r="223" ht="45.0" customHeight="1">
      <c r="A223" s="6">
        <v>201.0</v>
      </c>
      <c r="B223" s="6" t="s">
        <v>173</v>
      </c>
      <c r="C223" s="6" t="s">
        <v>856</v>
      </c>
      <c r="D223" s="6" t="s">
        <v>857</v>
      </c>
      <c r="E223" s="7" t="s">
        <v>858</v>
      </c>
      <c r="F223" s="8" t="s">
        <v>489</v>
      </c>
      <c r="G223" s="9">
        <v>100.0</v>
      </c>
      <c r="H223" s="9">
        <v>100.0</v>
      </c>
      <c r="I223" s="9">
        <v>5.0</v>
      </c>
      <c r="J223" s="6">
        <f t="shared" si="17"/>
        <v>500</v>
      </c>
      <c r="K223" s="6" t="s">
        <v>178</v>
      </c>
      <c r="L223" s="7"/>
      <c r="M223" s="7" t="s">
        <v>518</v>
      </c>
      <c r="N223" s="7"/>
      <c r="O223" s="10" t="s">
        <v>859</v>
      </c>
      <c r="P223" s="6" t="str">
        <f>IMAGE("https://m.media-amazon.com/images/W/MEDIAX_792452-T2/images/I/31po6g2eu+L.jpg",1)</f>
        <v/>
      </c>
      <c r="Q223" s="64" t="s">
        <v>1688</v>
      </c>
      <c r="R223" s="65"/>
      <c r="S223" s="66"/>
      <c r="T223" s="12"/>
      <c r="U223" s="11">
        <v>1.0</v>
      </c>
      <c r="V223" s="12"/>
      <c r="W223" s="12"/>
      <c r="X223" s="12"/>
      <c r="Y223" s="12"/>
      <c r="Z223" s="67"/>
      <c r="AA223" s="12"/>
      <c r="AB223" s="12"/>
      <c r="AC223" s="67"/>
      <c r="AD223" s="12"/>
      <c r="AE223" s="12"/>
      <c r="AF223" s="12"/>
    </row>
    <row r="224" ht="45.0" customHeight="1">
      <c r="A224" s="6">
        <v>202.0</v>
      </c>
      <c r="B224" s="6" t="s">
        <v>173</v>
      </c>
      <c r="C224" s="6" t="s">
        <v>860</v>
      </c>
      <c r="D224" s="6" t="s">
        <v>861</v>
      </c>
      <c r="E224" s="7" t="s">
        <v>862</v>
      </c>
      <c r="F224" s="8" t="s">
        <v>489</v>
      </c>
      <c r="G224" s="9">
        <v>100.0</v>
      </c>
      <c r="H224" s="9">
        <v>100.0</v>
      </c>
      <c r="I224" s="9">
        <v>5.0</v>
      </c>
      <c r="J224" s="6">
        <f t="shared" si="17"/>
        <v>500</v>
      </c>
      <c r="K224" s="6" t="s">
        <v>178</v>
      </c>
      <c r="L224" s="7"/>
      <c r="M224" s="7" t="s">
        <v>518</v>
      </c>
      <c r="N224" s="7"/>
      <c r="O224" s="10" t="s">
        <v>863</v>
      </c>
      <c r="P224" s="6" t="str">
        <f>IMAGE("https://5.imimg.com/data5/MA/XW/GW/SELLER-84581978/cdil-transistor-bc557-500x500.jpg",1)</f>
        <v/>
      </c>
      <c r="Q224" s="64" t="s">
        <v>1688</v>
      </c>
      <c r="R224" s="65"/>
      <c r="S224" s="66"/>
      <c r="T224" s="12"/>
      <c r="U224" s="11">
        <v>1.0</v>
      </c>
      <c r="V224" s="12"/>
      <c r="W224" s="12"/>
      <c r="X224" s="12"/>
      <c r="Y224" s="12"/>
      <c r="Z224" s="67"/>
      <c r="AA224" s="12"/>
      <c r="AB224" s="12"/>
      <c r="AC224" s="67"/>
      <c r="AD224" s="12"/>
      <c r="AE224" s="12"/>
      <c r="AF224" s="12"/>
    </row>
    <row r="225" ht="45.0" customHeight="1">
      <c r="A225" s="6">
        <v>203.0</v>
      </c>
      <c r="B225" s="6" t="s">
        <v>173</v>
      </c>
      <c r="C225" s="6" t="s">
        <v>864</v>
      </c>
      <c r="D225" s="6" t="s">
        <v>865</v>
      </c>
      <c r="E225" s="7" t="s">
        <v>866</v>
      </c>
      <c r="F225" s="8" t="s">
        <v>489</v>
      </c>
      <c r="G225" s="9">
        <v>100.0</v>
      </c>
      <c r="H225" s="9">
        <v>100.0</v>
      </c>
      <c r="I225" s="9">
        <v>5.0</v>
      </c>
      <c r="J225" s="6">
        <f t="shared" si="17"/>
        <v>500</v>
      </c>
      <c r="K225" s="6" t="s">
        <v>178</v>
      </c>
      <c r="L225" s="7"/>
      <c r="M225" s="7" t="s">
        <v>518</v>
      </c>
      <c r="N225" s="7"/>
      <c r="O225" s="10" t="s">
        <v>867</v>
      </c>
      <c r="P225" s="6" t="str">
        <f>IMAGE("https://www.chipmart.in/wp-content/uploads/2022/08/SL100-NPN-General-Purpose-Medium-Power-Transistor-50V-500mA.png",1)</f>
        <v/>
      </c>
      <c r="Q225" s="64" t="s">
        <v>1688</v>
      </c>
      <c r="R225" s="65"/>
      <c r="S225" s="66"/>
      <c r="T225" s="12"/>
      <c r="U225" s="11">
        <v>1.0</v>
      </c>
      <c r="V225" s="12"/>
      <c r="W225" s="12"/>
      <c r="X225" s="12"/>
      <c r="Y225" s="12"/>
      <c r="Z225" s="67"/>
      <c r="AA225" s="12"/>
      <c r="AB225" s="12"/>
      <c r="AC225" s="67"/>
      <c r="AD225" s="12"/>
      <c r="AE225" s="12"/>
      <c r="AF225" s="12"/>
    </row>
    <row r="226" ht="45.0" customHeight="1">
      <c r="A226" s="6">
        <v>204.0</v>
      </c>
      <c r="B226" s="6" t="s">
        <v>173</v>
      </c>
      <c r="C226" s="6" t="s">
        <v>868</v>
      </c>
      <c r="D226" s="6" t="s">
        <v>869</v>
      </c>
      <c r="E226" s="7" t="s">
        <v>870</v>
      </c>
      <c r="F226" s="8" t="s">
        <v>489</v>
      </c>
      <c r="G226" s="9">
        <v>100.0</v>
      </c>
      <c r="H226" s="9">
        <v>100.0</v>
      </c>
      <c r="I226" s="9">
        <v>5.0</v>
      </c>
      <c r="J226" s="6">
        <f t="shared" si="17"/>
        <v>500</v>
      </c>
      <c r="K226" s="6" t="s">
        <v>178</v>
      </c>
      <c r="L226" s="7"/>
      <c r="M226" s="7" t="s">
        <v>518</v>
      </c>
      <c r="N226" s="7"/>
      <c r="O226" s="10" t="s">
        <v>871</v>
      </c>
      <c r="P226" s="6" t="str">
        <f>IMAGE("https://5.imimg.com/data5/WJ/EW/MY-25117786/2n2222-npn-transistors-500x500.jpg",1)</f>
        <v/>
      </c>
      <c r="Q226" s="64" t="s">
        <v>1688</v>
      </c>
      <c r="R226" s="65"/>
      <c r="S226" s="66"/>
      <c r="T226" s="12"/>
      <c r="U226" s="11">
        <v>1.0</v>
      </c>
      <c r="V226" s="12"/>
      <c r="W226" s="12"/>
      <c r="X226" s="12"/>
      <c r="Y226" s="12"/>
      <c r="Z226" s="67"/>
      <c r="AA226" s="12"/>
      <c r="AB226" s="12"/>
      <c r="AC226" s="67"/>
      <c r="AD226" s="12"/>
      <c r="AE226" s="12"/>
      <c r="AF226" s="12"/>
    </row>
    <row r="227" ht="45.0" customHeight="1">
      <c r="A227" s="6">
        <v>205.0</v>
      </c>
      <c r="B227" s="6" t="s">
        <v>173</v>
      </c>
      <c r="C227" s="6" t="s">
        <v>872</v>
      </c>
      <c r="D227" s="6" t="s">
        <v>873</v>
      </c>
      <c r="E227" s="7" t="s">
        <v>878</v>
      </c>
      <c r="F227" s="8" t="s">
        <v>489</v>
      </c>
      <c r="G227" s="9">
        <v>20.0</v>
      </c>
      <c r="H227" s="9">
        <v>20.0</v>
      </c>
      <c r="I227" s="9">
        <v>10.0</v>
      </c>
      <c r="J227" s="6">
        <f t="shared" si="17"/>
        <v>200</v>
      </c>
      <c r="K227" s="6" t="s">
        <v>178</v>
      </c>
      <c r="L227" s="7"/>
      <c r="M227" s="7" t="s">
        <v>518</v>
      </c>
      <c r="N227" s="7"/>
      <c r="O227" s="10" t="s">
        <v>875</v>
      </c>
      <c r="P227" s="6" t="str">
        <f t="shared" ref="P227:P229" si="22">IMAGE("https://probots.co.in/pub/media/catalog/product/cache/d8ddd0f9b0cd008b57085cd218b48832/1/k/1k_ohm_variable_resistor_potentiometer1-1000x1000_12.jpg",1)</f>
        <v/>
      </c>
      <c r="Q227" s="64" t="s">
        <v>1688</v>
      </c>
      <c r="R227" s="65"/>
      <c r="S227" s="66"/>
      <c r="T227" s="12"/>
      <c r="U227" s="11">
        <v>1.0</v>
      </c>
      <c r="V227" s="12"/>
      <c r="W227" s="12"/>
      <c r="X227" s="12"/>
      <c r="Y227" s="12"/>
      <c r="Z227" s="67"/>
      <c r="AA227" s="12"/>
      <c r="AB227" s="12"/>
      <c r="AC227" s="67"/>
      <c r="AD227" s="12"/>
      <c r="AE227" s="12"/>
      <c r="AF227" s="12"/>
    </row>
    <row r="228" ht="45.0" customHeight="1">
      <c r="A228" s="6">
        <v>206.0</v>
      </c>
      <c r="B228" s="6" t="s">
        <v>173</v>
      </c>
      <c r="C228" s="6" t="s">
        <v>876</v>
      </c>
      <c r="D228" s="6" t="s">
        <v>877</v>
      </c>
      <c r="E228" s="7" t="s">
        <v>874</v>
      </c>
      <c r="F228" s="8" t="s">
        <v>489</v>
      </c>
      <c r="G228" s="9">
        <v>20.0</v>
      </c>
      <c r="H228" s="9">
        <v>20.0</v>
      </c>
      <c r="I228" s="9">
        <v>10.0</v>
      </c>
      <c r="J228" s="6">
        <f t="shared" si="17"/>
        <v>200</v>
      </c>
      <c r="K228" s="6" t="s">
        <v>178</v>
      </c>
      <c r="L228" s="7"/>
      <c r="M228" s="7" t="s">
        <v>518</v>
      </c>
      <c r="N228" s="7"/>
      <c r="O228" s="10" t="s">
        <v>879</v>
      </c>
      <c r="P228" s="6" t="str">
        <f t="shared" si="22"/>
        <v/>
      </c>
      <c r="Q228" s="64" t="s">
        <v>1688</v>
      </c>
      <c r="R228" s="65"/>
      <c r="S228" s="66"/>
      <c r="T228" s="12"/>
      <c r="U228" s="11">
        <v>1.0</v>
      </c>
      <c r="V228" s="12"/>
      <c r="W228" s="12"/>
      <c r="X228" s="12"/>
      <c r="Y228" s="12"/>
      <c r="Z228" s="67"/>
      <c r="AA228" s="12"/>
      <c r="AB228" s="12"/>
      <c r="AC228" s="67"/>
      <c r="AD228" s="12"/>
      <c r="AE228" s="12"/>
      <c r="AF228" s="12"/>
    </row>
    <row r="229" ht="45.0" customHeight="1">
      <c r="A229" s="6">
        <v>207.0</v>
      </c>
      <c r="B229" s="6" t="s">
        <v>173</v>
      </c>
      <c r="C229" s="6" t="s">
        <v>880</v>
      </c>
      <c r="D229" s="6" t="s">
        <v>881</v>
      </c>
      <c r="E229" s="7" t="s">
        <v>882</v>
      </c>
      <c r="F229" s="8" t="s">
        <v>489</v>
      </c>
      <c r="G229" s="9">
        <v>20.0</v>
      </c>
      <c r="H229" s="9">
        <v>20.0</v>
      </c>
      <c r="I229" s="9">
        <v>10.0</v>
      </c>
      <c r="J229" s="6">
        <f t="shared" si="17"/>
        <v>200</v>
      </c>
      <c r="K229" s="6" t="s">
        <v>178</v>
      </c>
      <c r="L229" s="7"/>
      <c r="M229" s="7" t="s">
        <v>518</v>
      </c>
      <c r="N229" s="7"/>
      <c r="O229" s="10" t="s">
        <v>883</v>
      </c>
      <c r="P229" s="6" t="str">
        <f t="shared" si="22"/>
        <v/>
      </c>
      <c r="Q229" s="64" t="s">
        <v>1688</v>
      </c>
      <c r="R229" s="65"/>
      <c r="S229" s="66"/>
      <c r="T229" s="12"/>
      <c r="U229" s="11">
        <v>1.0</v>
      </c>
      <c r="V229" s="12"/>
      <c r="W229" s="12"/>
      <c r="X229" s="12"/>
      <c r="Y229" s="12"/>
      <c r="Z229" s="67"/>
      <c r="AA229" s="12"/>
      <c r="AB229" s="12"/>
      <c r="AC229" s="67"/>
      <c r="AD229" s="12"/>
      <c r="AE229" s="12"/>
      <c r="AF229" s="12"/>
    </row>
    <row r="230" ht="45.0" customHeight="1">
      <c r="A230" s="6">
        <v>208.0</v>
      </c>
      <c r="B230" s="6" t="s">
        <v>173</v>
      </c>
      <c r="C230" s="6" t="s">
        <v>884</v>
      </c>
      <c r="D230" s="6" t="s">
        <v>885</v>
      </c>
      <c r="E230" s="7" t="s">
        <v>886</v>
      </c>
      <c r="F230" s="8" t="s">
        <v>489</v>
      </c>
      <c r="G230" s="9">
        <v>20.0</v>
      </c>
      <c r="H230" s="9">
        <v>20.0</v>
      </c>
      <c r="I230" s="9">
        <v>20.0</v>
      </c>
      <c r="J230" s="6">
        <f t="shared" si="17"/>
        <v>400</v>
      </c>
      <c r="K230" s="6" t="s">
        <v>178</v>
      </c>
      <c r="L230" s="7"/>
      <c r="M230" s="7" t="s">
        <v>193</v>
      </c>
      <c r="N230" s="7"/>
      <c r="O230" s="10" t="s">
        <v>887</v>
      </c>
      <c r="P230" s="6" t="str">
        <f>IMAGE("https://www.olelectronics.in/wp-content/uploads/Miniature-Vibration-Motor.png",1)</f>
        <v/>
      </c>
      <c r="Q230" s="64" t="s">
        <v>1688</v>
      </c>
      <c r="R230" s="65"/>
      <c r="S230" s="66"/>
      <c r="T230" s="12"/>
      <c r="U230" s="11">
        <v>1.0</v>
      </c>
      <c r="V230" s="12"/>
      <c r="W230" s="12"/>
      <c r="X230" s="12"/>
      <c r="Y230" s="12"/>
      <c r="Z230" s="67"/>
      <c r="AA230" s="12"/>
      <c r="AB230" s="12"/>
      <c r="AC230" s="67"/>
      <c r="AD230" s="12"/>
      <c r="AE230" s="12"/>
      <c r="AF230" s="12"/>
    </row>
    <row r="231" ht="27.75" customHeight="1">
      <c r="A231" s="50" t="s">
        <v>1698</v>
      </c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2"/>
      <c r="P231" s="53"/>
      <c r="Q231" s="54"/>
      <c r="R231" s="55"/>
      <c r="S231" s="55"/>
      <c r="T231" s="56"/>
      <c r="U231" s="56"/>
      <c r="V231" s="56"/>
      <c r="W231" s="56"/>
      <c r="X231" s="56"/>
      <c r="Y231" s="56"/>
      <c r="Z231" s="57"/>
      <c r="AA231" s="56"/>
      <c r="AB231" s="56"/>
      <c r="AC231" s="57"/>
      <c r="AD231" s="56"/>
      <c r="AE231" s="56"/>
      <c r="AF231" s="56"/>
    </row>
    <row r="232" ht="24.0" customHeight="1">
      <c r="A232" s="59" t="s">
        <v>0</v>
      </c>
      <c r="B232" s="59"/>
      <c r="C232" s="59"/>
      <c r="D232" s="59" t="s">
        <v>1</v>
      </c>
      <c r="E232" s="60" t="s">
        <v>2</v>
      </c>
      <c r="F232" s="59" t="s">
        <v>3</v>
      </c>
      <c r="G232" s="59" t="s">
        <v>4</v>
      </c>
      <c r="H232" s="59" t="s">
        <v>5</v>
      </c>
      <c r="I232" s="59" t="s">
        <v>6</v>
      </c>
      <c r="J232" s="59" t="s">
        <v>7</v>
      </c>
      <c r="K232" s="59" t="s">
        <v>8</v>
      </c>
      <c r="L232" s="60" t="s">
        <v>9</v>
      </c>
      <c r="M232" s="60" t="s">
        <v>10</v>
      </c>
      <c r="N232" s="61" t="s">
        <v>11</v>
      </c>
      <c r="O232" s="59" t="s">
        <v>12</v>
      </c>
      <c r="P232" s="62" t="s">
        <v>13</v>
      </c>
      <c r="Q232" s="4" t="s">
        <v>13</v>
      </c>
      <c r="R232" s="4" t="s">
        <v>13</v>
      </c>
      <c r="S232" s="4" t="s">
        <v>13</v>
      </c>
      <c r="T232" s="4" t="s">
        <v>13</v>
      </c>
      <c r="U232" s="4" t="s">
        <v>14</v>
      </c>
      <c r="V232" s="5"/>
      <c r="W232" s="5"/>
      <c r="X232" s="5"/>
      <c r="Y232" s="5"/>
      <c r="Z232" s="63"/>
      <c r="AA232" s="5"/>
      <c r="AB232" s="5"/>
      <c r="AC232" s="63"/>
      <c r="AD232" s="5"/>
      <c r="AE232" s="5"/>
      <c r="AF232" s="5"/>
    </row>
    <row r="233" ht="45.0" customHeight="1">
      <c r="A233" s="6">
        <v>209.0</v>
      </c>
      <c r="B233" s="6" t="s">
        <v>173</v>
      </c>
      <c r="C233" s="6" t="s">
        <v>888</v>
      </c>
      <c r="D233" s="6" t="s">
        <v>889</v>
      </c>
      <c r="E233" s="7" t="s">
        <v>890</v>
      </c>
      <c r="F233" s="8" t="s">
        <v>891</v>
      </c>
      <c r="G233" s="9">
        <v>10.0</v>
      </c>
      <c r="H233" s="9">
        <v>10.0</v>
      </c>
      <c r="I233" s="9">
        <v>300.0</v>
      </c>
      <c r="J233" s="6">
        <f t="shared" ref="J233:J251" si="23">I233*H233</f>
        <v>3000</v>
      </c>
      <c r="K233" s="6" t="s">
        <v>178</v>
      </c>
      <c r="L233" s="7"/>
      <c r="M233" s="7" t="s">
        <v>599</v>
      </c>
      <c r="N233" s="7"/>
      <c r="O233" s="10" t="s">
        <v>892</v>
      </c>
      <c r="P233" s="6" t="str">
        <f>IMAGE("https://encrypted-tbn0.gstatic.com/images?q=tbn:ANd9GcQ9HdcUbkhENGQnNmIni640zFk33IAUdUx_x0uluq_AFf1Hud04FBhhZQFZXM2xrHw_7W4&amp;usqp=CAU",1)</f>
        <v/>
      </c>
      <c r="Q233" s="64" t="s">
        <v>1688</v>
      </c>
      <c r="R233" s="65"/>
      <c r="S233" s="66"/>
      <c r="T233" s="12"/>
      <c r="U233" s="11">
        <v>1.0</v>
      </c>
      <c r="V233" s="12"/>
      <c r="W233" s="12"/>
      <c r="X233" s="12"/>
      <c r="Y233" s="12"/>
      <c r="Z233" s="67"/>
      <c r="AA233" s="12"/>
      <c r="AB233" s="12"/>
      <c r="AC233" s="67"/>
      <c r="AD233" s="12"/>
      <c r="AE233" s="12"/>
      <c r="AF233" s="12"/>
    </row>
    <row r="234" ht="45.0" customHeight="1">
      <c r="A234" s="6">
        <v>210.0</v>
      </c>
      <c r="B234" s="6" t="s">
        <v>173</v>
      </c>
      <c r="C234" s="6" t="s">
        <v>893</v>
      </c>
      <c r="D234" s="6" t="s">
        <v>894</v>
      </c>
      <c r="E234" s="7" t="s">
        <v>895</v>
      </c>
      <c r="F234" s="8" t="s">
        <v>891</v>
      </c>
      <c r="G234" s="9">
        <v>10.0</v>
      </c>
      <c r="H234" s="9">
        <v>10.0</v>
      </c>
      <c r="I234" s="9">
        <v>200.0</v>
      </c>
      <c r="J234" s="6">
        <f t="shared" si="23"/>
        <v>2000</v>
      </c>
      <c r="K234" s="6" t="s">
        <v>178</v>
      </c>
      <c r="L234" s="7"/>
      <c r="M234" s="7" t="s">
        <v>599</v>
      </c>
      <c r="N234" s="7"/>
      <c r="O234" s="10" t="s">
        <v>896</v>
      </c>
      <c r="P234" s="6" t="str">
        <f>IMAGE("https://m.media-amazon.com/images/W/MEDIAX_792452-T2/images/I/612Fb4y5P6S._SL1100_.jpg",1)</f>
        <v/>
      </c>
      <c r="Q234" s="64" t="s">
        <v>1688</v>
      </c>
      <c r="R234" s="65"/>
      <c r="S234" s="66"/>
      <c r="T234" s="12"/>
      <c r="U234" s="11">
        <v>1.0</v>
      </c>
      <c r="V234" s="12"/>
      <c r="W234" s="12"/>
      <c r="X234" s="12"/>
      <c r="Y234" s="12"/>
      <c r="Z234" s="67"/>
      <c r="AA234" s="12"/>
      <c r="AB234" s="12"/>
      <c r="AC234" s="67"/>
      <c r="AD234" s="12"/>
      <c r="AE234" s="12"/>
      <c r="AF234" s="12"/>
    </row>
    <row r="235" ht="45.0" customHeight="1">
      <c r="A235" s="6">
        <v>211.0</v>
      </c>
      <c r="B235" s="6" t="s">
        <v>173</v>
      </c>
      <c r="C235" s="6" t="s">
        <v>897</v>
      </c>
      <c r="D235" s="6" t="s">
        <v>898</v>
      </c>
      <c r="E235" s="7" t="s">
        <v>899</v>
      </c>
      <c r="F235" s="8" t="s">
        <v>891</v>
      </c>
      <c r="G235" s="6" t="s">
        <v>56</v>
      </c>
      <c r="H235" s="6" t="s">
        <v>56</v>
      </c>
      <c r="I235" s="6"/>
      <c r="J235" s="6" t="str">
        <f t="shared" si="23"/>
        <v>#VALUE!</v>
      </c>
      <c r="K235" s="6" t="s">
        <v>178</v>
      </c>
      <c r="L235" s="7"/>
      <c r="M235" s="7" t="s">
        <v>599</v>
      </c>
      <c r="N235" s="7"/>
      <c r="O235" s="10" t="s">
        <v>900</v>
      </c>
      <c r="P235" s="6" t="str">
        <f>IMAGE("https://robu.in/wp-content/uploads/2021/05/DC-DC-Boost-Module-0.9V5V-to-5V-600MA-USB-Step-up-Board-5V-Output-1.png",1)</f>
        <v/>
      </c>
      <c r="Q235" s="64"/>
      <c r="R235" s="65"/>
      <c r="S235" s="66"/>
      <c r="T235" s="12"/>
      <c r="U235" s="11">
        <v>0.0</v>
      </c>
      <c r="V235" s="12"/>
      <c r="W235" s="12"/>
      <c r="X235" s="12"/>
      <c r="Y235" s="12"/>
      <c r="Z235" s="67"/>
      <c r="AA235" s="12"/>
      <c r="AB235" s="12"/>
      <c r="AC235" s="67"/>
      <c r="AD235" s="12"/>
      <c r="AE235" s="12"/>
      <c r="AF235" s="12"/>
    </row>
    <row r="236" ht="45.0" customHeight="1">
      <c r="A236" s="6">
        <v>212.0</v>
      </c>
      <c r="B236" s="6" t="s">
        <v>173</v>
      </c>
      <c r="C236" s="6" t="s">
        <v>901</v>
      </c>
      <c r="D236" s="6" t="s">
        <v>902</v>
      </c>
      <c r="E236" s="7" t="s">
        <v>903</v>
      </c>
      <c r="F236" s="8" t="s">
        <v>891</v>
      </c>
      <c r="G236" s="9">
        <v>5.0</v>
      </c>
      <c r="H236" s="9">
        <v>5.0</v>
      </c>
      <c r="I236" s="9">
        <v>150.0</v>
      </c>
      <c r="J236" s="6">
        <f t="shared" si="23"/>
        <v>750</v>
      </c>
      <c r="K236" s="6" t="s">
        <v>178</v>
      </c>
      <c r="L236" s="7"/>
      <c r="M236" s="7" t="s">
        <v>66</v>
      </c>
      <c r="N236" s="7"/>
      <c r="O236" s="10" t="s">
        <v>904</v>
      </c>
      <c r="P236" s="6" t="str">
        <f>IMAGE("https://makerbazar.in/cdn/shop/files/6015fanwithwire_600x.jpg?v=1695792315",1)</f>
        <v/>
      </c>
      <c r="Q236" s="64" t="s">
        <v>1688</v>
      </c>
      <c r="R236" s="65"/>
      <c r="S236" s="66"/>
      <c r="T236" s="12"/>
      <c r="U236" s="11">
        <v>1.0</v>
      </c>
      <c r="V236" s="12"/>
      <c r="W236" s="12"/>
      <c r="X236" s="12"/>
      <c r="Y236" s="12"/>
      <c r="Z236" s="67"/>
      <c r="AA236" s="12"/>
      <c r="AB236" s="12"/>
      <c r="AC236" s="67"/>
      <c r="AD236" s="12"/>
      <c r="AE236" s="12"/>
      <c r="AF236" s="12"/>
    </row>
    <row r="237" ht="45.0" customHeight="1">
      <c r="A237" s="6">
        <v>213.0</v>
      </c>
      <c r="B237" s="6" t="s">
        <v>173</v>
      </c>
      <c r="C237" s="6" t="s">
        <v>905</v>
      </c>
      <c r="D237" s="6" t="s">
        <v>906</v>
      </c>
      <c r="E237" s="7" t="s">
        <v>907</v>
      </c>
      <c r="F237" s="8" t="s">
        <v>891</v>
      </c>
      <c r="G237" s="9">
        <v>10.0</v>
      </c>
      <c r="H237" s="9">
        <v>10.0</v>
      </c>
      <c r="I237" s="9">
        <v>200.0</v>
      </c>
      <c r="J237" s="6">
        <f t="shared" si="23"/>
        <v>2000</v>
      </c>
      <c r="K237" s="6" t="s">
        <v>178</v>
      </c>
      <c r="L237" s="7"/>
      <c r="M237" s="7" t="s">
        <v>249</v>
      </c>
      <c r="N237" s="7"/>
      <c r="O237" s="10" t="s">
        <v>908</v>
      </c>
      <c r="P237" s="6" t="str">
        <f>IMAGE("https://5.imimg.com/data5/II/UT/SO/SELLER-1968074/16x2-lcd-display-500x500.jpg",1)</f>
        <v/>
      </c>
      <c r="Q237" s="64" t="s">
        <v>1688</v>
      </c>
      <c r="R237" s="65"/>
      <c r="S237" s="66"/>
      <c r="T237" s="12"/>
      <c r="U237" s="11">
        <v>1.0</v>
      </c>
      <c r="V237" s="12"/>
      <c r="W237" s="12"/>
      <c r="X237" s="12"/>
      <c r="Y237" s="12"/>
      <c r="Z237" s="67"/>
      <c r="AA237" s="12"/>
      <c r="AB237" s="12"/>
      <c r="AC237" s="67"/>
      <c r="AD237" s="12"/>
      <c r="AE237" s="12"/>
      <c r="AF237" s="12"/>
    </row>
    <row r="238" ht="45.0" customHeight="1">
      <c r="A238" s="6">
        <v>214.0</v>
      </c>
      <c r="B238" s="6" t="s">
        <v>173</v>
      </c>
      <c r="C238" s="6" t="s">
        <v>909</v>
      </c>
      <c r="D238" s="6" t="s">
        <v>910</v>
      </c>
      <c r="E238" s="7" t="s">
        <v>911</v>
      </c>
      <c r="F238" s="8" t="s">
        <v>891</v>
      </c>
      <c r="G238" s="9">
        <v>20.0</v>
      </c>
      <c r="H238" s="9">
        <v>20.0</v>
      </c>
      <c r="I238" s="9">
        <v>15.0</v>
      </c>
      <c r="J238" s="6">
        <f t="shared" si="23"/>
        <v>300</v>
      </c>
      <c r="K238" s="6" t="s">
        <v>178</v>
      </c>
      <c r="L238" s="7"/>
      <c r="M238" s="7" t="s">
        <v>193</v>
      </c>
      <c r="N238" s="7"/>
      <c r="O238" s="10" t="s">
        <v>912</v>
      </c>
      <c r="P238" s="6" t="str">
        <f>IMAGE("https://ashokaonlineshop.in/wp-content/uploads/2022/11/650nm-Mini-Laser-Dot-Diode-Module1.jpeg",1)</f>
        <v/>
      </c>
      <c r="Q238" s="64" t="s">
        <v>1688</v>
      </c>
      <c r="R238" s="68"/>
      <c r="S238" s="69"/>
      <c r="T238" s="12"/>
      <c r="U238" s="11">
        <v>1.0</v>
      </c>
      <c r="V238" s="12"/>
      <c r="W238" s="12"/>
      <c r="X238" s="12"/>
      <c r="Y238" s="12"/>
      <c r="Z238" s="67"/>
      <c r="AA238" s="12"/>
      <c r="AB238" s="12"/>
      <c r="AC238" s="67"/>
      <c r="AD238" s="12"/>
      <c r="AE238" s="12"/>
      <c r="AF238" s="12"/>
    </row>
    <row r="239" ht="45.0" customHeight="1">
      <c r="A239" s="6">
        <v>215.0</v>
      </c>
      <c r="B239" s="6" t="s">
        <v>173</v>
      </c>
      <c r="C239" s="6" t="s">
        <v>913</v>
      </c>
      <c r="D239" s="6" t="s">
        <v>914</v>
      </c>
      <c r="E239" s="7" t="s">
        <v>915</v>
      </c>
      <c r="F239" s="8" t="s">
        <v>891</v>
      </c>
      <c r="G239" s="9">
        <v>10.0</v>
      </c>
      <c r="H239" s="9">
        <v>10.0</v>
      </c>
      <c r="I239" s="9">
        <v>300.0</v>
      </c>
      <c r="J239" s="6">
        <f t="shared" si="23"/>
        <v>3000</v>
      </c>
      <c r="K239" s="6" t="s">
        <v>178</v>
      </c>
      <c r="L239" s="7"/>
      <c r="M239" s="7" t="s">
        <v>179</v>
      </c>
      <c r="N239" s="7"/>
      <c r="O239" s="10" t="s">
        <v>916</v>
      </c>
      <c r="P239" s="6" t="str">
        <f>IMAGE("https://m.media-amazon.com/images/I/51l+Qhaiu3L._SL1000_.jpg",1)</f>
        <v/>
      </c>
      <c r="Q239" s="64" t="s">
        <v>1688</v>
      </c>
      <c r="R239" s="65"/>
      <c r="S239" s="66"/>
      <c r="T239" s="12"/>
      <c r="U239" s="11">
        <v>0.0</v>
      </c>
      <c r="V239" s="12"/>
      <c r="W239" s="12"/>
      <c r="X239" s="12"/>
      <c r="Y239" s="12"/>
      <c r="Z239" s="67"/>
      <c r="AA239" s="12"/>
      <c r="AB239" s="12"/>
      <c r="AC239" s="67"/>
      <c r="AD239" s="12"/>
      <c r="AE239" s="12"/>
      <c r="AF239" s="12"/>
    </row>
    <row r="240" ht="45.0" customHeight="1">
      <c r="A240" s="6">
        <v>216.0</v>
      </c>
      <c r="B240" s="6" t="s">
        <v>173</v>
      </c>
      <c r="C240" s="6" t="s">
        <v>917</v>
      </c>
      <c r="D240" s="6" t="s">
        <v>918</v>
      </c>
      <c r="E240" s="7" t="s">
        <v>919</v>
      </c>
      <c r="F240" s="8" t="s">
        <v>891</v>
      </c>
      <c r="G240" s="9">
        <v>10.0</v>
      </c>
      <c r="H240" s="9">
        <v>10.0</v>
      </c>
      <c r="I240" s="9">
        <v>100.0</v>
      </c>
      <c r="J240" s="6">
        <f t="shared" si="23"/>
        <v>1000</v>
      </c>
      <c r="K240" s="6" t="s">
        <v>178</v>
      </c>
      <c r="L240" s="7"/>
      <c r="M240" s="7" t="s">
        <v>179</v>
      </c>
      <c r="N240" s="7"/>
      <c r="O240" s="10" t="s">
        <v>920</v>
      </c>
      <c r="P240" s="6" t="str">
        <f>IMAGE("https://rukminim1.flixcart.com/image/850/1000/k62i5jk0/solar-panel/7/g/q/diy-projects-6v-80ma-wire-attached-mini-power-solar-cells-for-original-imafzm93vcqqnsat.jpeg?q=20")</f>
        <v/>
      </c>
      <c r="Q240" s="64" t="s">
        <v>1688</v>
      </c>
      <c r="R240" s="65"/>
      <c r="S240" s="66"/>
      <c r="T240" s="12"/>
      <c r="U240" s="11">
        <v>1.0</v>
      </c>
      <c r="V240" s="12"/>
      <c r="W240" s="12"/>
      <c r="X240" s="12"/>
      <c r="Y240" s="12"/>
      <c r="Z240" s="67"/>
      <c r="AA240" s="12"/>
      <c r="AB240" s="12"/>
      <c r="AC240" s="67"/>
      <c r="AD240" s="12"/>
      <c r="AE240" s="12"/>
      <c r="AF240" s="12"/>
    </row>
    <row r="241" ht="45.0" customHeight="1">
      <c r="A241" s="6">
        <v>217.0</v>
      </c>
      <c r="B241" s="6" t="s">
        <v>173</v>
      </c>
      <c r="C241" s="6" t="s">
        <v>921</v>
      </c>
      <c r="D241" s="6" t="s">
        <v>922</v>
      </c>
      <c r="E241" s="7" t="s">
        <v>923</v>
      </c>
      <c r="F241" s="8" t="s">
        <v>891</v>
      </c>
      <c r="G241" s="9">
        <v>5.0</v>
      </c>
      <c r="H241" s="9">
        <v>5.0</v>
      </c>
      <c r="I241" s="9">
        <v>250.0</v>
      </c>
      <c r="J241" s="6">
        <f t="shared" si="23"/>
        <v>1250</v>
      </c>
      <c r="K241" s="6" t="s">
        <v>178</v>
      </c>
      <c r="L241" s="7"/>
      <c r="M241" s="7" t="s">
        <v>249</v>
      </c>
      <c r="N241" s="7"/>
      <c r="O241" s="10" t="s">
        <v>924</v>
      </c>
      <c r="P241" s="6" t="str">
        <f>IMAGE("https://robu.in/wp-content/uploads/2017/06/robu-3-13.jpg",1)</f>
        <v/>
      </c>
      <c r="Q241" s="64" t="s">
        <v>1688</v>
      </c>
      <c r="R241" s="65"/>
      <c r="S241" s="66"/>
      <c r="T241" s="12"/>
      <c r="U241" s="11">
        <v>1.0</v>
      </c>
      <c r="V241" s="12"/>
      <c r="W241" s="12"/>
      <c r="X241" s="12"/>
      <c r="Y241" s="12"/>
      <c r="Z241" s="67"/>
      <c r="AA241" s="12"/>
      <c r="AB241" s="12"/>
      <c r="AC241" s="67"/>
      <c r="AD241" s="12"/>
      <c r="AE241" s="12"/>
      <c r="AF241" s="12"/>
    </row>
    <row r="242" ht="45.0" customHeight="1">
      <c r="A242" s="6">
        <v>218.0</v>
      </c>
      <c r="B242" s="6" t="s">
        <v>173</v>
      </c>
      <c r="C242" s="6" t="s">
        <v>925</v>
      </c>
      <c r="D242" s="6" t="s">
        <v>926</v>
      </c>
      <c r="E242" s="7" t="s">
        <v>927</v>
      </c>
      <c r="F242" s="8" t="s">
        <v>891</v>
      </c>
      <c r="G242" s="9">
        <v>10.0</v>
      </c>
      <c r="H242" s="9">
        <v>10.0</v>
      </c>
      <c r="I242" s="9">
        <v>50.0</v>
      </c>
      <c r="J242" s="6">
        <f t="shared" si="23"/>
        <v>500</v>
      </c>
      <c r="K242" s="6" t="s">
        <v>178</v>
      </c>
      <c r="L242" s="7"/>
      <c r="M242" s="7" t="s">
        <v>179</v>
      </c>
      <c r="N242" s="7"/>
      <c r="O242" s="10"/>
      <c r="P242" s="6" t="str">
        <f>IMAGE("https://robu.in/wp-content/uploads/2021/05/0.5W-8OHM-Trumpet-Diameter-36mm-1.jpeg",1)</f>
        <v/>
      </c>
      <c r="Q242" s="64" t="s">
        <v>1688</v>
      </c>
      <c r="R242" s="65"/>
      <c r="S242" s="66"/>
      <c r="T242" s="12"/>
      <c r="U242" s="11">
        <v>1.0</v>
      </c>
      <c r="V242" s="12"/>
      <c r="W242" s="12"/>
      <c r="X242" s="12"/>
      <c r="Y242" s="12"/>
      <c r="Z242" s="67"/>
      <c r="AA242" s="12"/>
      <c r="AB242" s="12"/>
      <c r="AC242" s="67"/>
      <c r="AD242" s="12"/>
      <c r="AE242" s="12"/>
      <c r="AF242" s="12"/>
    </row>
    <row r="243" ht="45.0" customHeight="1">
      <c r="A243" s="6">
        <v>219.0</v>
      </c>
      <c r="B243" s="6" t="s">
        <v>173</v>
      </c>
      <c r="C243" s="6" t="s">
        <v>928</v>
      </c>
      <c r="D243" s="6" t="s">
        <v>929</v>
      </c>
      <c r="E243" s="7" t="s">
        <v>930</v>
      </c>
      <c r="F243" s="8" t="s">
        <v>891</v>
      </c>
      <c r="G243" s="9">
        <v>10.0</v>
      </c>
      <c r="H243" s="9">
        <v>10.0</v>
      </c>
      <c r="I243" s="9">
        <v>40.0</v>
      </c>
      <c r="J243" s="6">
        <f t="shared" si="23"/>
        <v>400</v>
      </c>
      <c r="K243" s="6" t="s">
        <v>178</v>
      </c>
      <c r="L243" s="7"/>
      <c r="M243" s="7" t="s">
        <v>179</v>
      </c>
      <c r="N243" s="7"/>
      <c r="O243" s="10" t="s">
        <v>931</v>
      </c>
      <c r="P243" s="6" t="str">
        <f>IMAGE("https://5.imimg.com/data5/SELLER/Default/2023/2/OP/GV/HH/182244990/water-pump-module-1000x1000.jpg",1)</f>
        <v/>
      </c>
      <c r="Q243" s="64" t="s">
        <v>1688</v>
      </c>
      <c r="R243" s="65"/>
      <c r="S243" s="66"/>
      <c r="T243" s="12"/>
      <c r="U243" s="11">
        <v>1.0</v>
      </c>
      <c r="V243" s="12"/>
      <c r="W243" s="12"/>
      <c r="X243" s="12"/>
      <c r="Y243" s="12"/>
      <c r="Z243" s="67"/>
      <c r="AA243" s="12"/>
      <c r="AB243" s="12"/>
      <c r="AC243" s="67"/>
      <c r="AD243" s="12"/>
      <c r="AE243" s="12"/>
      <c r="AF243" s="12"/>
    </row>
    <row r="244" ht="45.0" customHeight="1">
      <c r="A244" s="6">
        <v>220.0</v>
      </c>
      <c r="B244" s="6" t="s">
        <v>173</v>
      </c>
      <c r="C244" s="6" t="s">
        <v>932</v>
      </c>
      <c r="D244" s="6" t="s">
        <v>933</v>
      </c>
      <c r="E244" s="7" t="s">
        <v>934</v>
      </c>
      <c r="F244" s="8" t="s">
        <v>891</v>
      </c>
      <c r="G244" s="6">
        <v>15.0</v>
      </c>
      <c r="H244" s="6">
        <v>15.0</v>
      </c>
      <c r="I244" s="6">
        <v>21.0</v>
      </c>
      <c r="J244" s="6">
        <f t="shared" si="23"/>
        <v>315</v>
      </c>
      <c r="K244" s="6" t="s">
        <v>178</v>
      </c>
      <c r="L244" s="7"/>
      <c r="M244" s="7" t="s">
        <v>935</v>
      </c>
      <c r="N244" s="7" t="s">
        <v>936</v>
      </c>
      <c r="O244" s="10" t="s">
        <v>937</v>
      </c>
      <c r="P244" s="6" t="str">
        <f>IMAGE("https://robu.in/wp-content/uploads/2020/10/TP4056-1A-Li-ion-lithium-Battery-Charging-Module-With-Current-Protection-Type-C-2.png",1)</f>
        <v/>
      </c>
      <c r="Q244" s="64"/>
      <c r="R244" s="65"/>
      <c r="S244" s="66"/>
      <c r="T244" s="12"/>
      <c r="U244" s="11">
        <v>0.0</v>
      </c>
      <c r="V244" s="12"/>
      <c r="W244" s="12"/>
      <c r="X244" s="12"/>
      <c r="Y244" s="12"/>
      <c r="Z244" s="67"/>
      <c r="AA244" s="12"/>
      <c r="AB244" s="12"/>
      <c r="AC244" s="67"/>
      <c r="AD244" s="12"/>
      <c r="AE244" s="12"/>
      <c r="AF244" s="12"/>
    </row>
    <row r="245" ht="45.0" customHeight="1">
      <c r="A245" s="6">
        <v>221.0</v>
      </c>
      <c r="B245" s="6" t="s">
        <v>173</v>
      </c>
      <c r="C245" s="6" t="s">
        <v>938</v>
      </c>
      <c r="D245" s="6" t="s">
        <v>939</v>
      </c>
      <c r="E245" s="7" t="s">
        <v>940</v>
      </c>
      <c r="F245" s="8" t="s">
        <v>891</v>
      </c>
      <c r="G245" s="9">
        <v>5.0</v>
      </c>
      <c r="H245" s="9">
        <v>5.0</v>
      </c>
      <c r="I245" s="9">
        <v>250.0</v>
      </c>
      <c r="J245" s="6">
        <f t="shared" si="23"/>
        <v>1250</v>
      </c>
      <c r="K245" s="6" t="s">
        <v>178</v>
      </c>
      <c r="L245" s="7"/>
      <c r="M245" s="7" t="s">
        <v>599</v>
      </c>
      <c r="N245" s="7"/>
      <c r="O245" s="10"/>
      <c r="P245" s="6" t="str">
        <f>IMAGE("https://robu.in/wp-content/uploads/2016/03/Ublox-Neo-6M-GPS.jpg",1)</f>
        <v/>
      </c>
      <c r="Q245" s="64" t="s">
        <v>1688</v>
      </c>
      <c r="R245" s="65"/>
      <c r="S245" s="66"/>
      <c r="T245" s="12"/>
      <c r="U245" s="11">
        <v>1.0</v>
      </c>
      <c r="V245" s="12"/>
      <c r="W245" s="12"/>
      <c r="X245" s="12"/>
      <c r="Y245" s="12"/>
      <c r="Z245" s="67"/>
      <c r="AA245" s="12"/>
      <c r="AB245" s="12"/>
      <c r="AC245" s="67"/>
      <c r="AD245" s="12"/>
      <c r="AE245" s="12"/>
      <c r="AF245" s="12"/>
    </row>
    <row r="246" ht="45.0" customHeight="1">
      <c r="A246" s="6">
        <v>222.0</v>
      </c>
      <c r="B246" s="6" t="s">
        <v>173</v>
      </c>
      <c r="C246" s="6" t="s">
        <v>941</v>
      </c>
      <c r="D246" s="6" t="s">
        <v>942</v>
      </c>
      <c r="E246" s="7" t="s">
        <v>943</v>
      </c>
      <c r="F246" s="8" t="s">
        <v>891</v>
      </c>
      <c r="G246" s="9">
        <v>5.0</v>
      </c>
      <c r="H246" s="9">
        <v>5.0</v>
      </c>
      <c r="I246" s="9">
        <v>40.0</v>
      </c>
      <c r="J246" s="6">
        <f t="shared" si="23"/>
        <v>200</v>
      </c>
      <c r="K246" s="6" t="s">
        <v>178</v>
      </c>
      <c r="L246" s="7"/>
      <c r="M246" s="7" t="s">
        <v>599</v>
      </c>
      <c r="N246" s="7"/>
      <c r="O246" s="10" t="s">
        <v>944</v>
      </c>
      <c r="P246" s="6" t="str">
        <f>IMAGE("https://m.media-amazon.com/images/W/MEDIAX_792452-T2/images/I/51cWZAAMiWL._SL1000_.jpg",1)</f>
        <v/>
      </c>
      <c r="Q246" s="64" t="s">
        <v>1688</v>
      </c>
      <c r="R246" s="65"/>
      <c r="S246" s="66"/>
      <c r="T246" s="12"/>
      <c r="U246" s="11">
        <v>1.0</v>
      </c>
      <c r="V246" s="12"/>
      <c r="W246" s="12"/>
      <c r="X246" s="12"/>
      <c r="Y246" s="12"/>
      <c r="Z246" s="67"/>
      <c r="AA246" s="12"/>
      <c r="AB246" s="12"/>
      <c r="AC246" s="67"/>
      <c r="AD246" s="12"/>
      <c r="AE246" s="12"/>
      <c r="AF246" s="12"/>
    </row>
    <row r="247" ht="45.0" customHeight="1">
      <c r="A247" s="6">
        <v>223.0</v>
      </c>
      <c r="B247" s="6" t="s">
        <v>173</v>
      </c>
      <c r="C247" s="6" t="s">
        <v>945</v>
      </c>
      <c r="D247" s="6" t="s">
        <v>946</v>
      </c>
      <c r="E247" s="7" t="s">
        <v>947</v>
      </c>
      <c r="F247" s="8" t="s">
        <v>891</v>
      </c>
      <c r="G247" s="9">
        <v>5.0</v>
      </c>
      <c r="H247" s="9">
        <v>5.0</v>
      </c>
      <c r="I247" s="9">
        <v>40.0</v>
      </c>
      <c r="J247" s="6">
        <f t="shared" si="23"/>
        <v>200</v>
      </c>
      <c r="K247" s="6" t="s">
        <v>178</v>
      </c>
      <c r="L247" s="7"/>
      <c r="M247" s="7" t="s">
        <v>599</v>
      </c>
      <c r="N247" s="7"/>
      <c r="O247" s="10"/>
      <c r="P247" s="6" t="str">
        <f>IMAGE("https://m.media-amazon.com/images/W/MEDIAX_792452-T2/images/I/61wbYlIdx0L._SL1500_.jpg",1)</f>
        <v/>
      </c>
      <c r="Q247" s="64" t="s">
        <v>1688</v>
      </c>
      <c r="R247" s="65"/>
      <c r="S247" s="66"/>
      <c r="T247" s="12"/>
      <c r="U247" s="11">
        <v>1.0</v>
      </c>
      <c r="V247" s="12"/>
      <c r="W247" s="12"/>
      <c r="X247" s="12"/>
      <c r="Y247" s="12"/>
      <c r="Z247" s="67"/>
      <c r="AA247" s="12"/>
      <c r="AB247" s="12"/>
      <c r="AC247" s="67"/>
      <c r="AD247" s="12"/>
      <c r="AE247" s="12"/>
      <c r="AF247" s="12"/>
    </row>
    <row r="248" ht="45.0" customHeight="1">
      <c r="A248" s="6">
        <v>224.0</v>
      </c>
      <c r="B248" s="6" t="s">
        <v>173</v>
      </c>
      <c r="C248" s="6" t="s">
        <v>948</v>
      </c>
      <c r="D248" s="6" t="s">
        <v>949</v>
      </c>
      <c r="E248" s="7" t="s">
        <v>950</v>
      </c>
      <c r="F248" s="8" t="s">
        <v>891</v>
      </c>
      <c r="G248" s="9">
        <v>10.0</v>
      </c>
      <c r="H248" s="9">
        <v>10.0</v>
      </c>
      <c r="I248" s="9">
        <v>40.0</v>
      </c>
      <c r="J248" s="6">
        <f t="shared" si="23"/>
        <v>400</v>
      </c>
      <c r="K248" s="6" t="s">
        <v>178</v>
      </c>
      <c r="L248" s="7"/>
      <c r="M248" s="7" t="s">
        <v>599</v>
      </c>
      <c r="N248" s="7"/>
      <c r="O248" s="10" t="s">
        <v>951</v>
      </c>
      <c r="P248" s="6" t="str">
        <f>IMAGE("https://5.imimg.com/data5/SELLER/Default/2022/9/HX/YZ/GJ/43948449/micro-sd-card-adapter-with-level-shifter-500x500.png",1)</f>
        <v/>
      </c>
      <c r="Q248" s="64" t="s">
        <v>1688</v>
      </c>
      <c r="R248" s="65"/>
      <c r="S248" s="66"/>
      <c r="T248" s="12"/>
      <c r="U248" s="11">
        <v>1.0</v>
      </c>
      <c r="V248" s="12"/>
      <c r="W248" s="12"/>
      <c r="X248" s="12"/>
      <c r="Y248" s="12"/>
      <c r="Z248" s="67"/>
      <c r="AA248" s="12"/>
      <c r="AB248" s="12"/>
      <c r="AC248" s="67"/>
      <c r="AD248" s="12"/>
      <c r="AE248" s="12"/>
      <c r="AF248" s="12"/>
    </row>
    <row r="249" ht="45.0" customHeight="1">
      <c r="A249" s="6">
        <v>225.0</v>
      </c>
      <c r="B249" s="6" t="s">
        <v>173</v>
      </c>
      <c r="C249" s="6" t="s">
        <v>952</v>
      </c>
      <c r="D249" s="6" t="s">
        <v>953</v>
      </c>
      <c r="E249" s="7" t="s">
        <v>954</v>
      </c>
      <c r="F249" s="8" t="s">
        <v>891</v>
      </c>
      <c r="G249" s="9">
        <v>10.0</v>
      </c>
      <c r="H249" s="9">
        <v>10.0</v>
      </c>
      <c r="I249" s="9">
        <v>200.0</v>
      </c>
      <c r="J249" s="6">
        <f t="shared" si="23"/>
        <v>2000</v>
      </c>
      <c r="K249" s="6" t="s">
        <v>178</v>
      </c>
      <c r="L249" s="7"/>
      <c r="M249" s="7" t="s">
        <v>66</v>
      </c>
      <c r="N249" s="7"/>
      <c r="O249" s="18" t="s">
        <v>955</v>
      </c>
      <c r="P249" s="6" t="str">
        <f>IMAGE("https://robu.in/wp-content/uploads/2020/09/L298P-Motor-Driver-Shield-for-Arduino-3.jpg",1)</f>
        <v/>
      </c>
      <c r="Q249" s="64" t="s">
        <v>1688</v>
      </c>
      <c r="R249" s="65"/>
      <c r="S249" s="66"/>
      <c r="T249" s="12"/>
      <c r="U249" s="11">
        <v>0.0</v>
      </c>
      <c r="V249" s="12"/>
      <c r="W249" s="12"/>
      <c r="X249" s="12"/>
      <c r="Y249" s="12"/>
      <c r="Z249" s="67"/>
      <c r="AA249" s="12"/>
      <c r="AB249" s="12"/>
      <c r="AC249" s="67"/>
      <c r="AD249" s="12"/>
      <c r="AE249" s="12"/>
      <c r="AF249" s="12"/>
    </row>
    <row r="250" ht="45.0" customHeight="1">
      <c r="A250" s="6">
        <v>226.0</v>
      </c>
      <c r="B250" s="6" t="s">
        <v>173</v>
      </c>
      <c r="C250" s="6" t="s">
        <v>956</v>
      </c>
      <c r="D250" s="6" t="s">
        <v>957</v>
      </c>
      <c r="E250" s="7" t="s">
        <v>958</v>
      </c>
      <c r="F250" s="8" t="s">
        <v>891</v>
      </c>
      <c r="G250" s="9">
        <v>5.0</v>
      </c>
      <c r="H250" s="9">
        <v>5.0</v>
      </c>
      <c r="I250" s="9">
        <v>95.0</v>
      </c>
      <c r="J250" s="6">
        <f t="shared" si="23"/>
        <v>475</v>
      </c>
      <c r="K250" s="6" t="s">
        <v>178</v>
      </c>
      <c r="L250" s="7"/>
      <c r="M250" s="7" t="s">
        <v>599</v>
      </c>
      <c r="N250" s="7"/>
      <c r="O250" s="10" t="s">
        <v>959</v>
      </c>
      <c r="P250" s="6" t="str">
        <f>IMAGE("https://m.media-amazon.com/images/I/41Y-5b4TQcL.jpg",1)</f>
        <v/>
      </c>
      <c r="Q250" s="64" t="s">
        <v>1688</v>
      </c>
      <c r="R250" s="65"/>
      <c r="S250" s="66"/>
      <c r="T250" s="12"/>
      <c r="U250" s="11">
        <v>1.0</v>
      </c>
      <c r="V250" s="12"/>
      <c r="W250" s="12"/>
      <c r="X250" s="12"/>
      <c r="Y250" s="12"/>
      <c r="Z250" s="67"/>
      <c r="AA250" s="12"/>
      <c r="AB250" s="12"/>
      <c r="AC250" s="67"/>
      <c r="AD250" s="12"/>
      <c r="AE250" s="12"/>
      <c r="AF250" s="12"/>
    </row>
    <row r="251" ht="45.0" customHeight="1">
      <c r="A251" s="6">
        <v>227.0</v>
      </c>
      <c r="B251" s="6" t="s">
        <v>173</v>
      </c>
      <c r="C251" s="6" t="s">
        <v>960</v>
      </c>
      <c r="D251" s="6" t="s">
        <v>961</v>
      </c>
      <c r="E251" s="7" t="s">
        <v>962</v>
      </c>
      <c r="F251" s="8" t="s">
        <v>891</v>
      </c>
      <c r="G251" s="9">
        <v>10.0</v>
      </c>
      <c r="H251" s="9">
        <v>10.0</v>
      </c>
      <c r="I251" s="9">
        <v>500.0</v>
      </c>
      <c r="J251" s="6">
        <f t="shared" si="23"/>
        <v>5000</v>
      </c>
      <c r="K251" s="6" t="s">
        <v>178</v>
      </c>
      <c r="L251" s="7"/>
      <c r="M251" s="7" t="s">
        <v>599</v>
      </c>
      <c r="N251" s="7"/>
      <c r="O251" s="10" t="s">
        <v>963</v>
      </c>
      <c r="P251" s="6" t="str">
        <f>IMAGE("https://robu.in/wp-content/uploads/2016/02/617hpF6cJbL._SL1000_.jpg",1)</f>
        <v/>
      </c>
      <c r="Q251" s="64" t="s">
        <v>1688</v>
      </c>
      <c r="R251" s="65"/>
      <c r="S251" s="66"/>
      <c r="T251" s="5"/>
      <c r="U251" s="14">
        <v>1.0</v>
      </c>
      <c r="V251" s="12"/>
      <c r="W251" s="12"/>
      <c r="X251" s="5"/>
      <c r="Y251" s="12"/>
      <c r="Z251" s="63"/>
      <c r="AA251" s="5"/>
      <c r="AB251" s="5"/>
      <c r="AC251" s="63"/>
      <c r="AD251" s="5"/>
      <c r="AE251" s="5"/>
      <c r="AF251" s="5"/>
    </row>
    <row r="252" ht="27.75" customHeight="1">
      <c r="A252" s="50" t="s">
        <v>1699</v>
      </c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2"/>
      <c r="P252" s="53"/>
      <c r="Q252" s="54"/>
      <c r="R252" s="55"/>
      <c r="S252" s="55"/>
      <c r="T252" s="56"/>
      <c r="U252" s="56"/>
      <c r="V252" s="56"/>
      <c r="W252" s="56"/>
      <c r="X252" s="56"/>
      <c r="Y252" s="56"/>
      <c r="Z252" s="57"/>
      <c r="AA252" s="56"/>
      <c r="AB252" s="56"/>
      <c r="AC252" s="57"/>
      <c r="AD252" s="56"/>
      <c r="AE252" s="56"/>
      <c r="AF252" s="56"/>
    </row>
    <row r="253" ht="24.0" customHeight="1">
      <c r="A253" s="59" t="s">
        <v>0</v>
      </c>
      <c r="B253" s="59"/>
      <c r="C253" s="59"/>
      <c r="D253" s="59" t="s">
        <v>1</v>
      </c>
      <c r="E253" s="60" t="s">
        <v>2</v>
      </c>
      <c r="F253" s="59" t="s">
        <v>3</v>
      </c>
      <c r="G253" s="59" t="s">
        <v>4</v>
      </c>
      <c r="H253" s="59" t="s">
        <v>5</v>
      </c>
      <c r="I253" s="59" t="s">
        <v>6</v>
      </c>
      <c r="J253" s="59" t="s">
        <v>7</v>
      </c>
      <c r="K253" s="59" t="s">
        <v>8</v>
      </c>
      <c r="L253" s="60" t="s">
        <v>9</v>
      </c>
      <c r="M253" s="60" t="s">
        <v>10</v>
      </c>
      <c r="N253" s="61" t="s">
        <v>11</v>
      </c>
      <c r="O253" s="59" t="s">
        <v>12</v>
      </c>
      <c r="P253" s="62" t="s">
        <v>13</v>
      </c>
      <c r="Q253" s="4" t="s">
        <v>13</v>
      </c>
      <c r="R253" s="4" t="s">
        <v>13</v>
      </c>
      <c r="S253" s="4" t="s">
        <v>13</v>
      </c>
      <c r="T253" s="4" t="s">
        <v>13</v>
      </c>
      <c r="U253" s="4" t="s">
        <v>14</v>
      </c>
      <c r="V253" s="5"/>
      <c r="W253" s="5"/>
      <c r="X253" s="5"/>
      <c r="Y253" s="5"/>
      <c r="Z253" s="63"/>
      <c r="AA253" s="5"/>
      <c r="AB253" s="5"/>
      <c r="AC253" s="63"/>
      <c r="AD253" s="5"/>
      <c r="AE253" s="5"/>
      <c r="AF253" s="5"/>
    </row>
    <row r="254" ht="45.0" customHeight="1">
      <c r="A254" s="6">
        <v>228.0</v>
      </c>
      <c r="B254" s="6" t="s">
        <v>321</v>
      </c>
      <c r="C254" s="6" t="s">
        <v>964</v>
      </c>
      <c r="D254" s="6" t="s">
        <v>965</v>
      </c>
      <c r="E254" s="7" t="s">
        <v>966</v>
      </c>
      <c r="F254" s="8" t="s">
        <v>326</v>
      </c>
      <c r="G254" s="9">
        <v>6.0</v>
      </c>
      <c r="H254" s="9">
        <v>6.0</v>
      </c>
      <c r="I254" s="9">
        <v>500.0</v>
      </c>
      <c r="J254" s="6">
        <f t="shared" ref="J254:J257" si="24">I254*H254</f>
        <v>3000</v>
      </c>
      <c r="K254" s="6" t="s">
        <v>326</v>
      </c>
      <c r="L254" s="7"/>
      <c r="M254" s="7"/>
      <c r="N254" s="7"/>
      <c r="O254" s="15" t="s">
        <v>967</v>
      </c>
      <c r="P254" s="6" t="str">
        <f>IMAGE("https://www.220converters.com/resize/Shared/images/Product/Seven-Star-ES5C-220-Volt-Universal-5-Outlet-Power-Strip-With-Surge-Protection-220V-240V/es5c.jpg?bw=500&amp;bh=500",1)</f>
        <v/>
      </c>
      <c r="Q254" s="64"/>
      <c r="R254" s="65"/>
      <c r="S254" s="66"/>
      <c r="T254" s="5"/>
      <c r="U254" s="11">
        <v>0.0</v>
      </c>
      <c r="V254" s="12"/>
      <c r="W254" s="12" t="s">
        <v>144</v>
      </c>
      <c r="X254" s="5">
        <v>500.0</v>
      </c>
      <c r="Y254" s="12">
        <f t="shared" ref="Y254:Y257" si="25">X254*H254</f>
        <v>3000</v>
      </c>
      <c r="Z254" s="63"/>
      <c r="AA254" s="5"/>
      <c r="AB254" s="5"/>
      <c r="AC254" s="63"/>
      <c r="AD254" s="5"/>
      <c r="AE254" s="5"/>
      <c r="AF254" s="5"/>
    </row>
    <row r="255" ht="45.0" customHeight="1">
      <c r="A255" s="6">
        <v>229.0</v>
      </c>
      <c r="B255" s="6" t="s">
        <v>321</v>
      </c>
      <c r="C255" s="6" t="s">
        <v>968</v>
      </c>
      <c r="D255" s="6" t="s">
        <v>969</v>
      </c>
      <c r="E255" s="7" t="s">
        <v>970</v>
      </c>
      <c r="F255" s="8" t="s">
        <v>326</v>
      </c>
      <c r="G255" s="9">
        <v>1.0</v>
      </c>
      <c r="H255" s="9">
        <v>1.0</v>
      </c>
      <c r="I255" s="9">
        <v>2000.0</v>
      </c>
      <c r="J255" s="6">
        <f t="shared" si="24"/>
        <v>2000</v>
      </c>
      <c r="K255" s="6" t="s">
        <v>326</v>
      </c>
      <c r="L255" s="7"/>
      <c r="M255" s="7"/>
      <c r="N255" s="7"/>
      <c r="O255" s="10" t="s">
        <v>971</v>
      </c>
      <c r="P255" s="6" t="str">
        <f>IMAGE("https://www.jiomart.com/images/product/original/491503417/mi-home-security-camera-digital-o491503417-p590045677-0-202010110622.jpeg")</f>
        <v/>
      </c>
      <c r="Q255" s="71" t="s">
        <v>1684</v>
      </c>
      <c r="R255" s="65">
        <v>55.0</v>
      </c>
      <c r="S255" s="66"/>
      <c r="T255" s="12"/>
      <c r="U255" s="11">
        <v>0.0</v>
      </c>
      <c r="V255" s="5"/>
      <c r="W255" s="5" t="s">
        <v>144</v>
      </c>
      <c r="X255" s="12">
        <v>2500.0</v>
      </c>
      <c r="Y255" s="12">
        <f t="shared" si="25"/>
        <v>2500</v>
      </c>
      <c r="Z255" s="67"/>
      <c r="AA255" s="12"/>
      <c r="AB255" s="12"/>
      <c r="AC255" s="67"/>
      <c r="AD255" s="12"/>
      <c r="AE255" s="12"/>
      <c r="AF255" s="12"/>
    </row>
    <row r="256" ht="45.0" customHeight="1">
      <c r="A256" s="6">
        <v>230.0</v>
      </c>
      <c r="B256" s="6" t="s">
        <v>137</v>
      </c>
      <c r="C256" s="6" t="s">
        <v>972</v>
      </c>
      <c r="D256" s="6" t="s">
        <v>973</v>
      </c>
      <c r="E256" s="7" t="s">
        <v>974</v>
      </c>
      <c r="F256" s="8" t="s">
        <v>326</v>
      </c>
      <c r="G256" s="9">
        <v>1.0</v>
      </c>
      <c r="H256" s="9">
        <v>1.0</v>
      </c>
      <c r="I256" s="9">
        <v>30000.0</v>
      </c>
      <c r="J256" s="6">
        <f t="shared" si="24"/>
        <v>30000</v>
      </c>
      <c r="K256" s="6" t="s">
        <v>142</v>
      </c>
      <c r="L256" s="7"/>
      <c r="M256" s="7"/>
      <c r="N256" s="7"/>
      <c r="O256" s="10"/>
      <c r="P256" s="6" t="str">
        <f>IMAGE("https://cdn.ttgtmedia.com/rms/onlineimages/hp_elitebook_mobile.jpg",1)</f>
        <v/>
      </c>
      <c r="Q256" s="71"/>
      <c r="R256" s="65"/>
      <c r="S256" s="66"/>
      <c r="T256" s="12"/>
      <c r="U256" s="11">
        <v>0.0</v>
      </c>
      <c r="V256" s="5"/>
      <c r="W256" s="5" t="s">
        <v>144</v>
      </c>
      <c r="X256" s="12">
        <v>32000.0</v>
      </c>
      <c r="Y256" s="12">
        <f t="shared" si="25"/>
        <v>32000</v>
      </c>
      <c r="Z256" s="67"/>
      <c r="AA256" s="12"/>
      <c r="AB256" s="12"/>
      <c r="AC256" s="67"/>
      <c r="AD256" s="12"/>
      <c r="AE256" s="12"/>
      <c r="AF256" s="12"/>
    </row>
    <row r="257" ht="45.0" customHeight="1">
      <c r="A257" s="6">
        <v>231.0</v>
      </c>
      <c r="B257" s="6" t="s">
        <v>137</v>
      </c>
      <c r="C257" s="6" t="s">
        <v>975</v>
      </c>
      <c r="D257" s="6" t="s">
        <v>976</v>
      </c>
      <c r="E257" s="7" t="s">
        <v>977</v>
      </c>
      <c r="F257" s="8" t="s">
        <v>326</v>
      </c>
      <c r="G257" s="9">
        <v>1.0</v>
      </c>
      <c r="H257" s="9">
        <v>1.0</v>
      </c>
      <c r="I257" s="9">
        <v>1500.0</v>
      </c>
      <c r="J257" s="6">
        <f t="shared" si="24"/>
        <v>1500</v>
      </c>
      <c r="K257" s="6" t="s">
        <v>142</v>
      </c>
      <c r="L257" s="7"/>
      <c r="M257" s="7"/>
      <c r="N257" s="7"/>
      <c r="O257" s="10"/>
      <c r="P257" s="6" t="str">
        <f>IMAGE("https://m.media-amazon.com/images/W/MEDIAX_792452-T2/images/I/51UzU+2x3OS._SL1000_.jpg")</f>
        <v/>
      </c>
      <c r="Q257" s="71" t="s">
        <v>1700</v>
      </c>
      <c r="R257" s="65"/>
      <c r="S257" s="66"/>
      <c r="T257" s="12"/>
      <c r="U257" s="11">
        <v>0.0</v>
      </c>
      <c r="V257" s="12"/>
      <c r="W257" s="12" t="s">
        <v>144</v>
      </c>
      <c r="X257" s="12">
        <v>2500.0</v>
      </c>
      <c r="Y257" s="12">
        <f t="shared" si="25"/>
        <v>2500</v>
      </c>
      <c r="Z257" s="67"/>
      <c r="AA257" s="12"/>
      <c r="AB257" s="12"/>
      <c r="AC257" s="67"/>
      <c r="AD257" s="12"/>
      <c r="AE257" s="12"/>
      <c r="AF257" s="12"/>
    </row>
    <row r="258" ht="27.75" customHeight="1">
      <c r="A258" s="50" t="s">
        <v>1701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2"/>
      <c r="P258" s="53"/>
      <c r="Q258" s="54"/>
      <c r="R258" s="55"/>
      <c r="S258" s="55"/>
      <c r="T258" s="56"/>
      <c r="U258" s="56"/>
      <c r="V258" s="56"/>
      <c r="W258" s="56"/>
      <c r="X258" s="56"/>
      <c r="Y258" s="56"/>
      <c r="Z258" s="57"/>
      <c r="AA258" s="56"/>
      <c r="AB258" s="56"/>
      <c r="AC258" s="57"/>
      <c r="AD258" s="56"/>
      <c r="AE258" s="56"/>
      <c r="AF258" s="56"/>
    </row>
    <row r="259" ht="24.0" customHeight="1">
      <c r="A259" s="59" t="s">
        <v>0</v>
      </c>
      <c r="B259" s="59"/>
      <c r="C259" s="59"/>
      <c r="D259" s="59" t="s">
        <v>1</v>
      </c>
      <c r="E259" s="60" t="s">
        <v>2</v>
      </c>
      <c r="F259" s="59" t="s">
        <v>3</v>
      </c>
      <c r="G259" s="59" t="s">
        <v>4</v>
      </c>
      <c r="H259" s="59" t="s">
        <v>5</v>
      </c>
      <c r="I259" s="59" t="s">
        <v>6</v>
      </c>
      <c r="J259" s="59" t="s">
        <v>7</v>
      </c>
      <c r="K259" s="59" t="s">
        <v>8</v>
      </c>
      <c r="L259" s="60" t="s">
        <v>9</v>
      </c>
      <c r="M259" s="60" t="s">
        <v>10</v>
      </c>
      <c r="N259" s="61" t="s">
        <v>11</v>
      </c>
      <c r="O259" s="59" t="s">
        <v>12</v>
      </c>
      <c r="P259" s="62" t="s">
        <v>13</v>
      </c>
      <c r="Q259" s="4" t="s">
        <v>13</v>
      </c>
      <c r="R259" s="4" t="s">
        <v>13</v>
      </c>
      <c r="S259" s="4" t="s">
        <v>13</v>
      </c>
      <c r="T259" s="4" t="s">
        <v>13</v>
      </c>
      <c r="U259" s="4" t="s">
        <v>14</v>
      </c>
      <c r="V259" s="5"/>
      <c r="W259" s="5"/>
      <c r="X259" s="5"/>
      <c r="Y259" s="5"/>
      <c r="Z259" s="63"/>
      <c r="AA259" s="5"/>
      <c r="AB259" s="5"/>
      <c r="AC259" s="63"/>
      <c r="AD259" s="5"/>
      <c r="AE259" s="5"/>
      <c r="AF259" s="5"/>
    </row>
    <row r="260" ht="45.0" customHeight="1">
      <c r="A260" s="6">
        <v>232.0</v>
      </c>
      <c r="B260" s="6" t="s">
        <v>15</v>
      </c>
      <c r="C260" s="6" t="s">
        <v>978</v>
      </c>
      <c r="D260" s="6" t="s">
        <v>979</v>
      </c>
      <c r="E260" s="7" t="s">
        <v>980</v>
      </c>
      <c r="F260" s="8" t="s">
        <v>981</v>
      </c>
      <c r="G260" s="9">
        <v>5.0</v>
      </c>
      <c r="H260" s="9">
        <v>5.0</v>
      </c>
      <c r="I260" s="13">
        <v>20.0</v>
      </c>
      <c r="J260" s="6">
        <f t="shared" ref="J260:J272" si="26">I260*H260</f>
        <v>100</v>
      </c>
      <c r="K260" s="6" t="s">
        <v>20</v>
      </c>
      <c r="L260" s="7" t="s">
        <v>77</v>
      </c>
      <c r="M260" s="7" t="s">
        <v>65</v>
      </c>
      <c r="N260" s="7"/>
      <c r="O260" s="10" t="s">
        <v>982</v>
      </c>
      <c r="P260" s="6" t="str">
        <f t="shared" ref="P260:P262" si="27">IMAGE("https://encrypted-tbn0.gstatic.com/=IMAGEs?q=tbn:ANd9GcSdcvov5296EXdnf0Fj0qF-G6iK-nu0n6Z4THAWosUzBx_wQ7GuJyrL0Rnbt1uBxLroiao&amp;usqp=CAU",1)</f>
        <v/>
      </c>
      <c r="Q260" s="64"/>
      <c r="R260" s="65"/>
      <c r="S260" s="66"/>
      <c r="T260" s="12"/>
      <c r="U260" s="11">
        <v>0.0</v>
      </c>
      <c r="V260" s="12"/>
      <c r="W260" s="12"/>
      <c r="X260" s="12"/>
      <c r="Y260" s="12"/>
      <c r="Z260" s="67"/>
      <c r="AA260" s="12"/>
      <c r="AB260" s="12"/>
      <c r="AC260" s="67"/>
      <c r="AD260" s="12"/>
      <c r="AE260" s="12"/>
      <c r="AF260" s="12"/>
    </row>
    <row r="261" ht="45.0" customHeight="1">
      <c r="A261" s="6">
        <v>233.0</v>
      </c>
      <c r="B261" s="6" t="s">
        <v>15</v>
      </c>
      <c r="C261" s="6" t="s">
        <v>983</v>
      </c>
      <c r="D261" s="6" t="s">
        <v>984</v>
      </c>
      <c r="E261" s="7" t="s">
        <v>985</v>
      </c>
      <c r="F261" s="8" t="s">
        <v>981</v>
      </c>
      <c r="G261" s="9">
        <v>5.0</v>
      </c>
      <c r="H261" s="9">
        <v>5.0</v>
      </c>
      <c r="I261" s="13">
        <v>40.0</v>
      </c>
      <c r="J261" s="6">
        <f t="shared" si="26"/>
        <v>200</v>
      </c>
      <c r="K261" s="6" t="s">
        <v>20</v>
      </c>
      <c r="L261" s="7" t="s">
        <v>77</v>
      </c>
      <c r="M261" s="7" t="s">
        <v>65</v>
      </c>
      <c r="N261" s="7"/>
      <c r="O261" s="10" t="s">
        <v>986</v>
      </c>
      <c r="P261" s="6" t="str">
        <f t="shared" si="27"/>
        <v/>
      </c>
      <c r="Q261" s="64"/>
      <c r="R261" s="65"/>
      <c r="S261" s="66"/>
      <c r="T261" s="12"/>
      <c r="U261" s="11">
        <v>0.0</v>
      </c>
      <c r="V261" s="12"/>
      <c r="W261" s="12"/>
      <c r="X261" s="12"/>
      <c r="Y261" s="12"/>
      <c r="Z261" s="67"/>
      <c r="AA261" s="12"/>
      <c r="AB261" s="12"/>
      <c r="AC261" s="67"/>
      <c r="AD261" s="12"/>
      <c r="AE261" s="12"/>
      <c r="AF261" s="12"/>
    </row>
    <row r="262" ht="45.0" customHeight="1">
      <c r="A262" s="6">
        <v>234.0</v>
      </c>
      <c r="B262" s="6" t="s">
        <v>15</v>
      </c>
      <c r="C262" s="6" t="s">
        <v>987</v>
      </c>
      <c r="D262" s="6" t="s">
        <v>988</v>
      </c>
      <c r="E262" s="7" t="s">
        <v>989</v>
      </c>
      <c r="F262" s="8" t="s">
        <v>981</v>
      </c>
      <c r="G262" s="9">
        <v>2.0</v>
      </c>
      <c r="H262" s="9">
        <v>2.0</v>
      </c>
      <c r="I262" s="13">
        <v>50.0</v>
      </c>
      <c r="J262" s="6">
        <f t="shared" si="26"/>
        <v>100</v>
      </c>
      <c r="K262" s="6" t="s">
        <v>20</v>
      </c>
      <c r="L262" s="7" t="s">
        <v>77</v>
      </c>
      <c r="M262" s="7" t="s">
        <v>65</v>
      </c>
      <c r="N262" s="7"/>
      <c r="O262" s="10" t="s">
        <v>990</v>
      </c>
      <c r="P262" s="6" t="str">
        <f t="shared" si="27"/>
        <v/>
      </c>
      <c r="Q262" s="64"/>
      <c r="R262" s="65"/>
      <c r="S262" s="66"/>
      <c r="T262" s="12"/>
      <c r="U262" s="11">
        <v>0.0</v>
      </c>
      <c r="V262" s="12"/>
      <c r="W262" s="12"/>
      <c r="X262" s="12"/>
      <c r="Y262" s="12"/>
      <c r="Z262" s="67"/>
      <c r="AA262" s="12"/>
      <c r="AB262" s="12"/>
      <c r="AC262" s="67"/>
      <c r="AD262" s="12"/>
      <c r="AE262" s="12"/>
      <c r="AF262" s="12"/>
    </row>
    <row r="263" ht="45.0" customHeight="1">
      <c r="A263" s="6">
        <v>235.0</v>
      </c>
      <c r="B263" s="6" t="s">
        <v>15</v>
      </c>
      <c r="C263" s="6" t="s">
        <v>991</v>
      </c>
      <c r="D263" s="6" t="s">
        <v>992</v>
      </c>
      <c r="E263" s="7" t="s">
        <v>993</v>
      </c>
      <c r="F263" s="8" t="s">
        <v>981</v>
      </c>
      <c r="G263" s="9">
        <v>5.0</v>
      </c>
      <c r="H263" s="9">
        <v>5.0</v>
      </c>
      <c r="I263" s="13">
        <v>50.0</v>
      </c>
      <c r="J263" s="6">
        <f t="shared" si="26"/>
        <v>250</v>
      </c>
      <c r="K263" s="6" t="s">
        <v>20</v>
      </c>
      <c r="L263" s="7" t="s">
        <v>77</v>
      </c>
      <c r="M263" s="7" t="s">
        <v>65</v>
      </c>
      <c r="N263" s="7"/>
      <c r="O263" s="10" t="s">
        <v>994</v>
      </c>
      <c r="P263" s="6" t="str">
        <f t="shared" ref="P263:P265" si="28">IMAGE("https://encrypted-tbn0.gstatic.com/=IMAGEs?q=tbn:ANd9GcTv3YU2gmM00qoI79XpKhq-dV1wM5aPXrLsmrVwQWwEda0tuTarN0ncQ0DMg_JUYk4IBe4&amp;usqp=CAU",1)</f>
        <v/>
      </c>
      <c r="Q263" s="64"/>
      <c r="R263" s="65"/>
      <c r="S263" s="66"/>
      <c r="T263" s="12"/>
      <c r="U263" s="11">
        <v>0.0</v>
      </c>
      <c r="V263" s="12"/>
      <c r="W263" s="12"/>
      <c r="X263" s="12"/>
      <c r="Y263" s="12"/>
      <c r="Z263" s="67"/>
      <c r="AA263" s="12"/>
      <c r="AB263" s="12"/>
      <c r="AC263" s="67"/>
      <c r="AD263" s="12"/>
      <c r="AE263" s="12"/>
      <c r="AF263" s="12"/>
    </row>
    <row r="264" ht="45.0" customHeight="1">
      <c r="A264" s="6">
        <v>236.0</v>
      </c>
      <c r="B264" s="6" t="s">
        <v>15</v>
      </c>
      <c r="C264" s="6" t="s">
        <v>995</v>
      </c>
      <c r="D264" s="6" t="s">
        <v>996</v>
      </c>
      <c r="E264" s="7" t="s">
        <v>997</v>
      </c>
      <c r="F264" s="8" t="s">
        <v>981</v>
      </c>
      <c r="G264" s="9">
        <v>5.0</v>
      </c>
      <c r="H264" s="9">
        <v>5.0</v>
      </c>
      <c r="I264" s="13">
        <v>130.0</v>
      </c>
      <c r="J264" s="6">
        <f t="shared" si="26"/>
        <v>650</v>
      </c>
      <c r="K264" s="6" t="s">
        <v>20</v>
      </c>
      <c r="L264" s="7" t="s">
        <v>77</v>
      </c>
      <c r="M264" s="7" t="s">
        <v>65</v>
      </c>
      <c r="N264" s="7"/>
      <c r="O264" s="10" t="s">
        <v>994</v>
      </c>
      <c r="P264" s="6" t="str">
        <f t="shared" si="28"/>
        <v/>
      </c>
      <c r="Q264" s="64"/>
      <c r="R264" s="68"/>
      <c r="S264" s="69"/>
      <c r="T264" s="12"/>
      <c r="U264" s="11">
        <v>0.0</v>
      </c>
      <c r="V264" s="12"/>
      <c r="W264" s="12"/>
      <c r="X264" s="12"/>
      <c r="Y264" s="12"/>
      <c r="Z264" s="67"/>
      <c r="AA264" s="12"/>
      <c r="AB264" s="12"/>
      <c r="AC264" s="67"/>
      <c r="AD264" s="12"/>
      <c r="AE264" s="12"/>
      <c r="AF264" s="12"/>
    </row>
    <row r="265" ht="45.0" customHeight="1">
      <c r="A265" s="6">
        <v>237.0</v>
      </c>
      <c r="B265" s="6" t="s">
        <v>15</v>
      </c>
      <c r="C265" s="6" t="s">
        <v>998</v>
      </c>
      <c r="D265" s="6" t="s">
        <v>999</v>
      </c>
      <c r="E265" s="7" t="s">
        <v>1000</v>
      </c>
      <c r="F265" s="8" t="s">
        <v>981</v>
      </c>
      <c r="G265" s="9">
        <v>5.0</v>
      </c>
      <c r="H265" s="9">
        <v>5.0</v>
      </c>
      <c r="I265" s="13">
        <v>180.0</v>
      </c>
      <c r="J265" s="6">
        <f t="shared" si="26"/>
        <v>900</v>
      </c>
      <c r="K265" s="6" t="s">
        <v>20</v>
      </c>
      <c r="L265" s="7" t="s">
        <v>77</v>
      </c>
      <c r="M265" s="7" t="s">
        <v>65</v>
      </c>
      <c r="N265" s="7"/>
      <c r="O265" s="10" t="s">
        <v>1001</v>
      </c>
      <c r="P265" s="6" t="str">
        <f t="shared" si="28"/>
        <v/>
      </c>
      <c r="Q265" s="64"/>
      <c r="R265" s="65"/>
      <c r="S265" s="66"/>
      <c r="T265" s="12"/>
      <c r="U265" s="11">
        <v>0.0</v>
      </c>
      <c r="V265" s="12"/>
      <c r="W265" s="12"/>
      <c r="X265" s="12"/>
      <c r="Y265" s="12"/>
      <c r="Z265" s="67"/>
      <c r="AA265" s="12"/>
      <c r="AB265" s="12"/>
      <c r="AC265" s="67"/>
      <c r="AD265" s="12"/>
      <c r="AE265" s="12"/>
      <c r="AF265" s="12"/>
    </row>
    <row r="266" ht="45.0" customHeight="1">
      <c r="A266" s="6">
        <v>238.0</v>
      </c>
      <c r="B266" s="6" t="s">
        <v>15</v>
      </c>
      <c r="C266" s="6" t="s">
        <v>1002</v>
      </c>
      <c r="D266" s="6" t="s">
        <v>1003</v>
      </c>
      <c r="E266" s="7" t="s">
        <v>1004</v>
      </c>
      <c r="F266" s="8" t="s">
        <v>981</v>
      </c>
      <c r="G266" s="9">
        <v>1.0</v>
      </c>
      <c r="H266" s="9">
        <v>1.0</v>
      </c>
      <c r="I266" s="9">
        <v>250.0</v>
      </c>
      <c r="J266" s="6">
        <f t="shared" si="26"/>
        <v>250</v>
      </c>
      <c r="K266" s="6" t="s">
        <v>20</v>
      </c>
      <c r="L266" s="7" t="s">
        <v>77</v>
      </c>
      <c r="M266" s="7" t="s">
        <v>65</v>
      </c>
      <c r="N266" s="7"/>
      <c r="O266" s="10" t="s">
        <v>1005</v>
      </c>
      <c r="P266" s="6" t="str">
        <f>IMAGE("https://3.imimg.com/data3/QQ/JR/MY-2/plastic-twine-500x500.jpg",1)</f>
        <v/>
      </c>
      <c r="Q266" s="64"/>
      <c r="R266" s="65"/>
      <c r="S266" s="66"/>
      <c r="T266" s="12"/>
      <c r="U266" s="11">
        <v>0.0</v>
      </c>
      <c r="V266" s="12"/>
      <c r="W266" s="12"/>
      <c r="X266" s="12"/>
      <c r="Y266" s="12"/>
      <c r="Z266" s="67"/>
      <c r="AA266" s="12"/>
      <c r="AB266" s="12"/>
      <c r="AC266" s="67"/>
      <c r="AD266" s="12"/>
      <c r="AE266" s="12"/>
      <c r="AF266" s="12"/>
    </row>
    <row r="267" ht="45.0" customHeight="1">
      <c r="A267" s="6">
        <v>239.0</v>
      </c>
      <c r="B267" s="6" t="s">
        <v>15</v>
      </c>
      <c r="C267" s="6" t="s">
        <v>1006</v>
      </c>
      <c r="D267" s="6" t="s">
        <v>1007</v>
      </c>
      <c r="E267" s="7" t="s">
        <v>1008</v>
      </c>
      <c r="F267" s="8" t="s">
        <v>981</v>
      </c>
      <c r="G267" s="9">
        <v>1.0</v>
      </c>
      <c r="H267" s="9">
        <v>1.0</v>
      </c>
      <c r="I267" s="9">
        <v>200.0</v>
      </c>
      <c r="J267" s="6">
        <f t="shared" si="26"/>
        <v>200</v>
      </c>
      <c r="K267" s="6" t="s">
        <v>20</v>
      </c>
      <c r="L267" s="7" t="s">
        <v>77</v>
      </c>
      <c r="M267" s="7" t="s">
        <v>110</v>
      </c>
      <c r="N267" s="7" t="s">
        <v>111</v>
      </c>
      <c r="O267" s="10" t="s">
        <v>1009</v>
      </c>
      <c r="P267" s="6" t="str">
        <f>IMAGE("https://5.imimg.com/data5/KE/BV/MY-37063415/elastic-rubber-band-500x500.jpg",1)</f>
        <v/>
      </c>
      <c r="Q267" s="64"/>
      <c r="R267" s="65"/>
      <c r="S267" s="66"/>
      <c r="T267" s="12"/>
      <c r="U267" s="11">
        <v>0.0</v>
      </c>
      <c r="V267" s="12"/>
      <c r="W267" s="12"/>
      <c r="X267" s="12"/>
      <c r="Y267" s="12"/>
      <c r="Z267" s="67"/>
      <c r="AA267" s="12"/>
      <c r="AB267" s="12"/>
      <c r="AC267" s="67"/>
      <c r="AD267" s="12"/>
      <c r="AE267" s="12"/>
      <c r="AF267" s="12"/>
    </row>
    <row r="268" ht="45.0" customHeight="1">
      <c r="A268" s="6">
        <v>240.0</v>
      </c>
      <c r="B268" s="6" t="s">
        <v>15</v>
      </c>
      <c r="C268" s="6" t="s">
        <v>1010</v>
      </c>
      <c r="D268" s="6" t="s">
        <v>1011</v>
      </c>
      <c r="E268" s="7" t="s">
        <v>1012</v>
      </c>
      <c r="F268" s="8" t="s">
        <v>981</v>
      </c>
      <c r="G268" s="9">
        <v>1.0</v>
      </c>
      <c r="H268" s="9">
        <v>1.0</v>
      </c>
      <c r="I268" s="9">
        <v>200.0</v>
      </c>
      <c r="J268" s="6">
        <f t="shared" si="26"/>
        <v>200</v>
      </c>
      <c r="K268" s="6" t="s">
        <v>20</v>
      </c>
      <c r="L268" s="7" t="s">
        <v>77</v>
      </c>
      <c r="M268" s="7" t="s">
        <v>110</v>
      </c>
      <c r="N268" s="7" t="s">
        <v>111</v>
      </c>
      <c r="O268" s="10" t="s">
        <v>1013</v>
      </c>
      <c r="P268" s="6" t="str">
        <f>IMAGE("https://5.imimg.com/data5/BN/VV/MY-31202642/rubber-band-500x500.jpg",1)</f>
        <v/>
      </c>
      <c r="Q268" s="64"/>
      <c r="R268" s="65"/>
      <c r="S268" s="66"/>
      <c r="T268" s="12"/>
      <c r="U268" s="11">
        <v>0.0</v>
      </c>
      <c r="V268" s="12"/>
      <c r="W268" s="12"/>
      <c r="X268" s="12"/>
      <c r="Y268" s="12"/>
      <c r="Z268" s="67"/>
      <c r="AA268" s="12"/>
      <c r="AB268" s="12"/>
      <c r="AC268" s="67"/>
      <c r="AD268" s="12"/>
      <c r="AE268" s="12"/>
      <c r="AF268" s="12"/>
    </row>
    <row r="269" ht="45.0" customHeight="1">
      <c r="A269" s="6">
        <v>241.0</v>
      </c>
      <c r="B269" s="6" t="s">
        <v>15</v>
      </c>
      <c r="C269" s="6" t="s">
        <v>1014</v>
      </c>
      <c r="D269" s="6" t="s">
        <v>1015</v>
      </c>
      <c r="E269" s="7" t="s">
        <v>1016</v>
      </c>
      <c r="F269" s="8" t="s">
        <v>981</v>
      </c>
      <c r="G269" s="9">
        <v>1.0</v>
      </c>
      <c r="H269" s="9">
        <v>1.0</v>
      </c>
      <c r="I269" s="9">
        <v>200.0</v>
      </c>
      <c r="J269" s="6">
        <f t="shared" si="26"/>
        <v>200</v>
      </c>
      <c r="K269" s="6" t="s">
        <v>20</v>
      </c>
      <c r="L269" s="7" t="s">
        <v>77</v>
      </c>
      <c r="M269" s="7" t="s">
        <v>110</v>
      </c>
      <c r="N269" s="7" t="s">
        <v>111</v>
      </c>
      <c r="O269" s="10"/>
      <c r="P269" s="6" t="str">
        <f>IMAGE("https://5.imimg.com/data5/YV/DJ/MY-7514996/rubber-band-500x500.jpg",1)</f>
        <v/>
      </c>
      <c r="Q269" s="64"/>
      <c r="R269" s="65"/>
      <c r="S269" s="66"/>
      <c r="T269" s="12"/>
      <c r="U269" s="11">
        <v>0.0</v>
      </c>
      <c r="V269" s="12"/>
      <c r="W269" s="12"/>
      <c r="X269" s="12"/>
      <c r="Y269" s="12"/>
      <c r="Z269" s="67"/>
      <c r="AA269" s="12"/>
      <c r="AB269" s="12"/>
      <c r="AC269" s="67"/>
      <c r="AD269" s="12"/>
      <c r="AE269" s="12"/>
      <c r="AF269" s="12"/>
    </row>
    <row r="270" ht="45.0" customHeight="1">
      <c r="A270" s="6">
        <v>242.0</v>
      </c>
      <c r="B270" s="6" t="s">
        <v>15</v>
      </c>
      <c r="C270" s="6" t="s">
        <v>1017</v>
      </c>
      <c r="D270" s="6" t="s">
        <v>1018</v>
      </c>
      <c r="E270" s="7" t="s">
        <v>1019</v>
      </c>
      <c r="F270" s="8" t="s">
        <v>981</v>
      </c>
      <c r="G270" s="9">
        <v>1.0</v>
      </c>
      <c r="H270" s="9">
        <v>1.0</v>
      </c>
      <c r="I270" s="9">
        <v>200.0</v>
      </c>
      <c r="J270" s="6">
        <f t="shared" si="26"/>
        <v>200</v>
      </c>
      <c r="K270" s="6" t="s">
        <v>20</v>
      </c>
      <c r="L270" s="7" t="s">
        <v>77</v>
      </c>
      <c r="M270" s="7"/>
      <c r="N270" s="7"/>
      <c r="O270" s="10" t="s">
        <v>1020</v>
      </c>
      <c r="P270" s="6" t="str">
        <f>IMAGE("https://m.media-amazon.com/images/I/51XnX9DfiFL._SL1166_.jpg",1)</f>
        <v/>
      </c>
      <c r="Q270" s="64"/>
      <c r="R270" s="65"/>
      <c r="S270" s="66"/>
      <c r="T270" s="12"/>
      <c r="U270" s="11">
        <v>0.0</v>
      </c>
      <c r="V270" s="12"/>
      <c r="W270" s="12"/>
      <c r="X270" s="12"/>
      <c r="Y270" s="12"/>
      <c r="Z270" s="67"/>
      <c r="AA270" s="12"/>
      <c r="AB270" s="12"/>
      <c r="AC270" s="67"/>
      <c r="AD270" s="12"/>
      <c r="AE270" s="12"/>
      <c r="AF270" s="12"/>
    </row>
    <row r="271" ht="45.0" customHeight="1">
      <c r="A271" s="6">
        <v>243.0</v>
      </c>
      <c r="B271" s="6" t="s">
        <v>342</v>
      </c>
      <c r="C271" s="6" t="s">
        <v>1021</v>
      </c>
      <c r="D271" s="6" t="s">
        <v>1022</v>
      </c>
      <c r="E271" s="7" t="s">
        <v>1023</v>
      </c>
      <c r="F271" s="8" t="s">
        <v>981</v>
      </c>
      <c r="G271" s="9">
        <v>10.0</v>
      </c>
      <c r="H271" s="9">
        <v>10.0</v>
      </c>
      <c r="I271" s="9">
        <v>100.0</v>
      </c>
      <c r="J271" s="6">
        <f t="shared" si="26"/>
        <v>1000</v>
      </c>
      <c r="K271" s="6" t="s">
        <v>347</v>
      </c>
      <c r="L271" s="7" t="s">
        <v>77</v>
      </c>
      <c r="M271" s="16" t="s">
        <v>65</v>
      </c>
      <c r="N271" s="7"/>
      <c r="O271" s="10" t="s">
        <v>1024</v>
      </c>
      <c r="P271" s="6" t="str">
        <f>IMAGE("https://www.shaanstationery.com/image/cache/catalog/kangaro/kangaro-stapler-no-10-corner-view-1000x1000.jpg",1)</f>
        <v/>
      </c>
      <c r="Q271" s="64"/>
      <c r="R271" s="65"/>
      <c r="S271" s="66"/>
      <c r="T271" s="12"/>
      <c r="U271" s="11">
        <v>0.0</v>
      </c>
      <c r="V271" s="12"/>
      <c r="W271" s="12"/>
      <c r="X271" s="12"/>
      <c r="Y271" s="12"/>
      <c r="Z271" s="67"/>
      <c r="AA271" s="12"/>
      <c r="AB271" s="12"/>
      <c r="AC271" s="67"/>
      <c r="AD271" s="12"/>
      <c r="AE271" s="12"/>
      <c r="AF271" s="12"/>
    </row>
    <row r="272" ht="45.0" customHeight="1">
      <c r="A272" s="6">
        <v>244.0</v>
      </c>
      <c r="B272" s="6" t="s">
        <v>342</v>
      </c>
      <c r="C272" s="6" t="s">
        <v>1025</v>
      </c>
      <c r="D272" s="6" t="s">
        <v>1026</v>
      </c>
      <c r="E272" s="7" t="s">
        <v>1027</v>
      </c>
      <c r="F272" s="8" t="s">
        <v>981</v>
      </c>
      <c r="G272" s="9">
        <v>5.0</v>
      </c>
      <c r="H272" s="9">
        <v>10.0</v>
      </c>
      <c r="I272" s="9">
        <v>50.0</v>
      </c>
      <c r="J272" s="6">
        <f t="shared" si="26"/>
        <v>500</v>
      </c>
      <c r="K272" s="6" t="s">
        <v>347</v>
      </c>
      <c r="L272" s="7" t="s">
        <v>77</v>
      </c>
      <c r="M272" s="16" t="s">
        <v>65</v>
      </c>
      <c r="N272" s="7"/>
      <c r="O272" s="10" t="s">
        <v>1028</v>
      </c>
      <c r="P272" s="6" t="str">
        <f>IMAGE("https://sc04.alicdn.com/kf/HTB1f9mqOZbpK1RjSZFyq6x_qFXaz.jpg",1)</f>
        <v/>
      </c>
      <c r="Q272" s="64"/>
      <c r="R272" s="65"/>
      <c r="S272" s="66"/>
      <c r="T272" s="12"/>
      <c r="U272" s="11">
        <v>0.0</v>
      </c>
      <c r="V272" s="12"/>
      <c r="W272" s="12"/>
      <c r="X272" s="12"/>
      <c r="Y272" s="12"/>
      <c r="Z272" s="67"/>
      <c r="AA272" s="12"/>
      <c r="AB272" s="12"/>
      <c r="AC272" s="67"/>
      <c r="AD272" s="12"/>
      <c r="AE272" s="12"/>
      <c r="AF272" s="12"/>
    </row>
    <row r="273" ht="27.75" customHeight="1">
      <c r="A273" s="50" t="s">
        <v>1702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2"/>
      <c r="P273" s="53"/>
      <c r="Q273" s="54"/>
      <c r="R273" s="55"/>
      <c r="S273" s="55"/>
      <c r="T273" s="56"/>
      <c r="U273" s="56"/>
      <c r="V273" s="56"/>
      <c r="W273" s="56"/>
      <c r="X273" s="56"/>
      <c r="Y273" s="56"/>
      <c r="Z273" s="57"/>
      <c r="AA273" s="56"/>
      <c r="AB273" s="56"/>
      <c r="AC273" s="57"/>
      <c r="AD273" s="56"/>
      <c r="AE273" s="56"/>
      <c r="AF273" s="56"/>
    </row>
    <row r="274" ht="24.0" customHeight="1">
      <c r="A274" s="59" t="s">
        <v>0</v>
      </c>
      <c r="B274" s="59"/>
      <c r="C274" s="59"/>
      <c r="D274" s="59" t="s">
        <v>1</v>
      </c>
      <c r="E274" s="60" t="s">
        <v>2</v>
      </c>
      <c r="F274" s="59" t="s">
        <v>3</v>
      </c>
      <c r="G274" s="59" t="s">
        <v>4</v>
      </c>
      <c r="H274" s="59" t="s">
        <v>5</v>
      </c>
      <c r="I274" s="59" t="s">
        <v>6</v>
      </c>
      <c r="J274" s="59" t="s">
        <v>7</v>
      </c>
      <c r="K274" s="59" t="s">
        <v>8</v>
      </c>
      <c r="L274" s="60" t="s">
        <v>9</v>
      </c>
      <c r="M274" s="60" t="s">
        <v>10</v>
      </c>
      <c r="N274" s="61" t="s">
        <v>11</v>
      </c>
      <c r="O274" s="59" t="s">
        <v>12</v>
      </c>
      <c r="P274" s="62" t="s">
        <v>13</v>
      </c>
      <c r="Q274" s="4" t="s">
        <v>13</v>
      </c>
      <c r="R274" s="4" t="s">
        <v>13</v>
      </c>
      <c r="S274" s="4" t="s">
        <v>13</v>
      </c>
      <c r="T274" s="4" t="s">
        <v>13</v>
      </c>
      <c r="U274" s="4" t="s">
        <v>14</v>
      </c>
      <c r="V274" s="5"/>
      <c r="W274" s="5"/>
      <c r="X274" s="5"/>
      <c r="Y274" s="5"/>
      <c r="Z274" s="63"/>
      <c r="AA274" s="5"/>
      <c r="AB274" s="5"/>
      <c r="AC274" s="63"/>
      <c r="AD274" s="5"/>
      <c r="AE274" s="5"/>
      <c r="AF274" s="5"/>
    </row>
    <row r="275" ht="45.0" customHeight="1">
      <c r="A275" s="6">
        <v>245.0</v>
      </c>
      <c r="B275" s="6" t="s">
        <v>342</v>
      </c>
      <c r="C275" s="6" t="s">
        <v>1029</v>
      </c>
      <c r="D275" s="6" t="s">
        <v>1030</v>
      </c>
      <c r="E275" s="7" t="s">
        <v>1031</v>
      </c>
      <c r="F275" s="8" t="s">
        <v>1032</v>
      </c>
      <c r="G275" s="6">
        <v>1.0</v>
      </c>
      <c r="H275" s="6">
        <v>1.0</v>
      </c>
      <c r="I275" s="6"/>
      <c r="J275" s="6">
        <f>I275*H275</f>
        <v>0</v>
      </c>
      <c r="K275" s="6" t="s">
        <v>347</v>
      </c>
      <c r="L275" s="7"/>
      <c r="M275" s="7"/>
      <c r="N275" s="7"/>
      <c r="O275" s="15" t="s">
        <v>1033</v>
      </c>
      <c r="P275" s="6" t="str">
        <f>IMAGE("https://m.media-amazon.com/images/I/61+L7sYwiBL._SL1500_.jpg",1)</f>
        <v/>
      </c>
      <c r="Q275" s="71" t="s">
        <v>1689</v>
      </c>
      <c r="R275" s="65"/>
      <c r="S275" s="66"/>
      <c r="T275" s="12"/>
      <c r="U275" s="11">
        <v>0.0</v>
      </c>
      <c r="V275" s="12"/>
      <c r="W275" s="12"/>
      <c r="Y275" s="12"/>
      <c r="Z275" s="67"/>
      <c r="AA275" s="12"/>
      <c r="AB275" s="12"/>
      <c r="AC275" s="67"/>
      <c r="AD275" s="12"/>
      <c r="AE275" s="12"/>
      <c r="AF275" s="12"/>
    </row>
    <row r="276" ht="45.0" customHeight="1">
      <c r="A276" s="6">
        <v>246.0</v>
      </c>
      <c r="B276" s="6" t="s">
        <v>342</v>
      </c>
      <c r="C276" s="6" t="s">
        <v>1034</v>
      </c>
      <c r="D276" s="6" t="s">
        <v>1035</v>
      </c>
      <c r="E276" s="7" t="s">
        <v>1036</v>
      </c>
      <c r="F276" s="8" t="s">
        <v>1032</v>
      </c>
      <c r="G276" s="9"/>
      <c r="H276" s="9">
        <v>2.0</v>
      </c>
      <c r="I276" s="9"/>
      <c r="J276" s="6"/>
      <c r="K276" s="6" t="s">
        <v>347</v>
      </c>
      <c r="L276" s="7"/>
      <c r="M276" s="7"/>
      <c r="N276" s="7"/>
      <c r="O276" s="10"/>
      <c r="P276" s="6" t="e">
        <v>#VALUE!</v>
      </c>
      <c r="Q276" s="64"/>
      <c r="R276" s="65"/>
      <c r="S276" s="66"/>
      <c r="T276" s="12"/>
      <c r="U276" s="11">
        <v>0.0</v>
      </c>
      <c r="V276" s="12"/>
      <c r="W276" s="12"/>
      <c r="X276" s="12"/>
      <c r="Y276" s="12"/>
      <c r="Z276" s="67"/>
      <c r="AA276" s="12"/>
      <c r="AB276" s="12"/>
      <c r="AC276" s="67"/>
      <c r="AD276" s="12"/>
      <c r="AE276" s="12"/>
      <c r="AF276" s="12"/>
    </row>
    <row r="277" ht="45.0" customHeight="1">
      <c r="A277" s="6">
        <v>247.0</v>
      </c>
      <c r="B277" s="6" t="s">
        <v>342</v>
      </c>
      <c r="C277" s="6" t="s">
        <v>1037</v>
      </c>
      <c r="D277" s="6" t="s">
        <v>1038</v>
      </c>
      <c r="E277" s="7" t="s">
        <v>1039</v>
      </c>
      <c r="F277" s="8" t="s">
        <v>1032</v>
      </c>
      <c r="G277" s="9">
        <v>1.0</v>
      </c>
      <c r="H277" s="9">
        <v>1.0</v>
      </c>
      <c r="I277" s="9">
        <v>100.0</v>
      </c>
      <c r="J277" s="6">
        <f t="shared" ref="J277:J290" si="29">I277*H277</f>
        <v>100</v>
      </c>
      <c r="K277" s="6" t="s">
        <v>347</v>
      </c>
      <c r="L277" s="7"/>
      <c r="M277" s="7"/>
      <c r="N277" s="7" t="s">
        <v>430</v>
      </c>
      <c r="O277" s="10" t="s">
        <v>1040</v>
      </c>
      <c r="P277" s="6" t="str">
        <f>IMAGE("https://m.media-amazon.com/images/I/71qyUXJ5i6L._AC_UF1000,1000_QL80_.jpg",1)</f>
        <v/>
      </c>
      <c r="Q277" s="64" t="s">
        <v>1689</v>
      </c>
      <c r="R277" s="65" t="s">
        <v>1703</v>
      </c>
      <c r="S277" s="66"/>
      <c r="T277" s="12"/>
      <c r="U277" s="11">
        <v>1.0</v>
      </c>
      <c r="V277" s="12"/>
      <c r="W277" s="12"/>
      <c r="X277" s="12"/>
      <c r="Y277" s="12"/>
      <c r="Z277" s="67"/>
      <c r="AA277" s="12"/>
      <c r="AB277" s="12"/>
      <c r="AC277" s="67"/>
      <c r="AD277" s="12"/>
      <c r="AE277" s="12"/>
      <c r="AF277" s="12"/>
    </row>
    <row r="278" ht="45.0" customHeight="1">
      <c r="A278" s="6">
        <v>248.0</v>
      </c>
      <c r="B278" s="6" t="s">
        <v>342</v>
      </c>
      <c r="C278" s="6" t="s">
        <v>1041</v>
      </c>
      <c r="D278" s="6" t="s">
        <v>1042</v>
      </c>
      <c r="E278" s="7" t="s">
        <v>1043</v>
      </c>
      <c r="F278" s="8" t="s">
        <v>1032</v>
      </c>
      <c r="G278" s="9">
        <v>1.0</v>
      </c>
      <c r="H278" s="9">
        <v>1.0</v>
      </c>
      <c r="I278" s="9">
        <v>200.0</v>
      </c>
      <c r="J278" s="6">
        <f t="shared" si="29"/>
        <v>200</v>
      </c>
      <c r="K278" s="6" t="s">
        <v>347</v>
      </c>
      <c r="L278" s="7"/>
      <c r="M278" s="7"/>
      <c r="N278" s="7"/>
      <c r="O278" s="18" t="s">
        <v>1044</v>
      </c>
      <c r="P278" s="6" t="str">
        <f>IMAGE("https://5.imimg.com/data5/TS/AU/MY-11200044/steel-shaft-claw-hammer-500x500.jpg",1)</f>
        <v/>
      </c>
      <c r="Q278" s="71" t="s">
        <v>1689</v>
      </c>
      <c r="R278" s="65" t="s">
        <v>1704</v>
      </c>
      <c r="S278" s="66"/>
      <c r="T278" s="12"/>
      <c r="U278" s="11">
        <v>1.0</v>
      </c>
      <c r="V278" s="12"/>
      <c r="W278" s="12"/>
      <c r="X278" s="12"/>
      <c r="Z278" s="67"/>
      <c r="AA278" s="12"/>
      <c r="AB278" s="12"/>
      <c r="AC278" s="67"/>
      <c r="AD278" s="12"/>
      <c r="AE278" s="12"/>
      <c r="AF278" s="12"/>
    </row>
    <row r="279" ht="45.0" customHeight="1">
      <c r="A279" s="6">
        <v>249.0</v>
      </c>
      <c r="B279" s="6" t="s">
        <v>342</v>
      </c>
      <c r="C279" s="6" t="s">
        <v>1045</v>
      </c>
      <c r="D279" s="6" t="s">
        <v>1046</v>
      </c>
      <c r="E279" s="7" t="s">
        <v>1047</v>
      </c>
      <c r="F279" s="8" t="s">
        <v>1032</v>
      </c>
      <c r="G279" s="9">
        <v>1.0</v>
      </c>
      <c r="H279" s="9">
        <v>1.0</v>
      </c>
      <c r="I279" s="9">
        <v>500.0</v>
      </c>
      <c r="J279" s="6">
        <f t="shared" si="29"/>
        <v>500</v>
      </c>
      <c r="K279" s="6" t="s">
        <v>347</v>
      </c>
      <c r="L279" s="7"/>
      <c r="M279" s="7"/>
      <c r="N279" s="7"/>
      <c r="O279" s="10" t="s">
        <v>1048</v>
      </c>
      <c r="P279" s="6" t="str">
        <f>IMAGE("https://5.imimg.com/data5/GU/RT/MY-2970994/bench-clamp.jpg",1)</f>
        <v/>
      </c>
      <c r="Q279" s="71" t="s">
        <v>1689</v>
      </c>
      <c r="R279" s="65"/>
      <c r="S279" s="66"/>
      <c r="T279" s="12"/>
      <c r="U279" s="11">
        <v>0.0</v>
      </c>
      <c r="V279" s="12"/>
      <c r="W279" s="12"/>
      <c r="X279" s="12"/>
      <c r="Y279" s="12"/>
      <c r="Z279" s="67"/>
      <c r="AA279" s="12"/>
      <c r="AB279" s="12"/>
      <c r="AC279" s="67"/>
      <c r="AD279" s="12"/>
      <c r="AE279" s="12"/>
      <c r="AF279" s="12"/>
    </row>
    <row r="280" ht="45.0" customHeight="1">
      <c r="A280" s="6">
        <v>250.0</v>
      </c>
      <c r="B280" s="6" t="s">
        <v>342</v>
      </c>
      <c r="C280" s="6" t="s">
        <v>1049</v>
      </c>
      <c r="D280" s="6" t="s">
        <v>1050</v>
      </c>
      <c r="E280" s="7" t="s">
        <v>1051</v>
      </c>
      <c r="F280" s="8" t="s">
        <v>1032</v>
      </c>
      <c r="G280" s="9">
        <v>1.0</v>
      </c>
      <c r="H280" s="9">
        <v>1.0</v>
      </c>
      <c r="I280" s="9">
        <v>100.0</v>
      </c>
      <c r="J280" s="6">
        <f t="shared" si="29"/>
        <v>100</v>
      </c>
      <c r="K280" s="6" t="s">
        <v>347</v>
      </c>
      <c r="L280" s="7"/>
      <c r="M280" s="7"/>
      <c r="N280" s="7"/>
      <c r="O280" s="10" t="s">
        <v>1052</v>
      </c>
      <c r="P280" s="6" t="str">
        <f>IMAGE("https://images.jdmagicbox.com/quickquotes/images_main/plier-381885296-5n4zf.jpg",1)</f>
        <v/>
      </c>
      <c r="Q280" s="71" t="s">
        <v>1689</v>
      </c>
      <c r="R280" s="65" t="s">
        <v>1705</v>
      </c>
      <c r="S280" s="66"/>
      <c r="T280" s="12"/>
      <c r="U280" s="11">
        <v>1.0</v>
      </c>
      <c r="V280" s="12"/>
      <c r="W280" s="12"/>
      <c r="X280" s="12"/>
      <c r="Y280" s="12"/>
      <c r="Z280" s="67"/>
      <c r="AA280" s="12"/>
      <c r="AB280" s="12"/>
      <c r="AC280" s="67"/>
      <c r="AD280" s="12"/>
      <c r="AE280" s="12"/>
      <c r="AF280" s="12"/>
    </row>
    <row r="281" ht="45.0" customHeight="1">
      <c r="A281" s="6">
        <v>251.0</v>
      </c>
      <c r="B281" s="6" t="s">
        <v>342</v>
      </c>
      <c r="C281" s="6" t="s">
        <v>1053</v>
      </c>
      <c r="D281" s="6" t="s">
        <v>1054</v>
      </c>
      <c r="E281" s="7" t="s">
        <v>1055</v>
      </c>
      <c r="F281" s="8" t="s">
        <v>1032</v>
      </c>
      <c r="G281" s="9">
        <v>1.0</v>
      </c>
      <c r="H281" s="9">
        <v>1.0</v>
      </c>
      <c r="I281" s="9">
        <v>150.0</v>
      </c>
      <c r="J281" s="6">
        <f t="shared" si="29"/>
        <v>150</v>
      </c>
      <c r="K281" s="6" t="s">
        <v>347</v>
      </c>
      <c r="L281" s="7"/>
      <c r="M281" s="7"/>
      <c r="N281" s="7"/>
      <c r="O281" s="10" t="s">
        <v>1056</v>
      </c>
      <c r="P281" s="6" t="str">
        <f>IMAGE("https://m.media-amazon.com/images/I/613WSFIoSjL._SL1500_.jpg",1)</f>
        <v/>
      </c>
      <c r="Q281" s="71" t="s">
        <v>1689</v>
      </c>
      <c r="R281" s="65" t="s">
        <v>1706</v>
      </c>
      <c r="S281" s="66"/>
      <c r="T281" s="12"/>
      <c r="U281" s="11">
        <v>1.0</v>
      </c>
      <c r="V281" s="12"/>
      <c r="W281" s="12"/>
      <c r="X281" s="12"/>
      <c r="Y281" s="12"/>
      <c r="Z281" s="67"/>
      <c r="AA281" s="12"/>
      <c r="AB281" s="12"/>
      <c r="AC281" s="67"/>
      <c r="AD281" s="12"/>
      <c r="AE281" s="12"/>
      <c r="AF281" s="12"/>
    </row>
    <row r="282" ht="45.0" customHeight="1">
      <c r="A282" s="6">
        <v>252.0</v>
      </c>
      <c r="B282" s="6" t="s">
        <v>342</v>
      </c>
      <c r="C282" s="6" t="s">
        <v>1057</v>
      </c>
      <c r="D282" s="6" t="s">
        <v>1058</v>
      </c>
      <c r="E282" s="7" t="s">
        <v>1059</v>
      </c>
      <c r="F282" s="8" t="s">
        <v>1032</v>
      </c>
      <c r="G282" s="9">
        <v>1.0</v>
      </c>
      <c r="H282" s="9">
        <v>1.0</v>
      </c>
      <c r="I282" s="9">
        <v>100.0</v>
      </c>
      <c r="J282" s="6">
        <f t="shared" si="29"/>
        <v>100</v>
      </c>
      <c r="K282" s="6" t="s">
        <v>347</v>
      </c>
      <c r="L282" s="7"/>
      <c r="M282" s="7"/>
      <c r="N282" s="7"/>
      <c r="O282" s="10" t="s">
        <v>1060</v>
      </c>
      <c r="P282" s="6" t="str">
        <f>IMAGE("https://in.misumi-ec.com/linked/material/fs/FUJ1/PHOTO/223000817171_001.jpg?$product_main$",1)</f>
        <v/>
      </c>
      <c r="Q282" s="71" t="s">
        <v>1689</v>
      </c>
      <c r="R282" s="65" t="s">
        <v>1707</v>
      </c>
      <c r="S282" s="66"/>
      <c r="T282" s="5"/>
      <c r="U282" s="14">
        <v>1.0</v>
      </c>
      <c r="V282" s="12"/>
      <c r="W282" s="12"/>
      <c r="X282" s="5"/>
      <c r="Y282" s="5"/>
      <c r="Z282" s="63"/>
      <c r="AA282" s="5"/>
      <c r="AB282" s="5"/>
      <c r="AC282" s="63"/>
      <c r="AD282" s="5"/>
      <c r="AE282" s="5"/>
      <c r="AF282" s="5"/>
    </row>
    <row r="283" ht="45.0" customHeight="1">
      <c r="A283" s="6">
        <v>253.0</v>
      </c>
      <c r="B283" s="6" t="s">
        <v>342</v>
      </c>
      <c r="C283" s="6" t="s">
        <v>1061</v>
      </c>
      <c r="D283" s="6" t="s">
        <v>1062</v>
      </c>
      <c r="E283" s="7" t="s">
        <v>1063</v>
      </c>
      <c r="F283" s="8" t="s">
        <v>1032</v>
      </c>
      <c r="G283" s="9">
        <v>2.0</v>
      </c>
      <c r="H283" s="9">
        <v>2.0</v>
      </c>
      <c r="I283" s="9">
        <v>500.0</v>
      </c>
      <c r="J283" s="6">
        <f t="shared" si="29"/>
        <v>1000</v>
      </c>
      <c r="K283" s="6" t="s">
        <v>347</v>
      </c>
      <c r="L283" s="7"/>
      <c r="M283" s="7"/>
      <c r="N283" s="7"/>
      <c r="O283" s="10" t="s">
        <v>1064</v>
      </c>
      <c r="P283" s="6" t="str">
        <f>IMAGE("https://i.ebayimg.com/images/g/QLMAAOSwETxj4~0j/s-l1600.jpg",1)</f>
        <v/>
      </c>
      <c r="Q283" s="64"/>
      <c r="R283" s="65"/>
      <c r="S283" s="66"/>
      <c r="T283" s="12"/>
      <c r="U283" s="11">
        <v>0.0</v>
      </c>
      <c r="V283" s="12"/>
      <c r="W283" s="12" t="s">
        <v>144</v>
      </c>
      <c r="X283" s="12">
        <v>250.0</v>
      </c>
      <c r="Y283" s="12">
        <f>X283*H283</f>
        <v>500</v>
      </c>
      <c r="Z283" s="67"/>
      <c r="AA283" s="12"/>
      <c r="AB283" s="12"/>
      <c r="AC283" s="67"/>
      <c r="AD283" s="12"/>
      <c r="AE283" s="12"/>
      <c r="AF283" s="12"/>
    </row>
    <row r="284" ht="45.0" customHeight="1">
      <c r="A284" s="6">
        <v>254.0</v>
      </c>
      <c r="B284" s="6" t="s">
        <v>342</v>
      </c>
      <c r="C284" s="6" t="s">
        <v>1065</v>
      </c>
      <c r="D284" s="6" t="s">
        <v>1066</v>
      </c>
      <c r="E284" s="7" t="s">
        <v>1067</v>
      </c>
      <c r="F284" s="8" t="s">
        <v>1032</v>
      </c>
      <c r="G284" s="9">
        <v>1.0</v>
      </c>
      <c r="H284" s="9">
        <v>1.0</v>
      </c>
      <c r="I284" s="9">
        <v>200.0</v>
      </c>
      <c r="J284" s="6">
        <f t="shared" si="29"/>
        <v>200</v>
      </c>
      <c r="K284" s="6" t="s">
        <v>347</v>
      </c>
      <c r="L284" s="7"/>
      <c r="M284" s="7"/>
      <c r="N284" s="7"/>
      <c r="O284" s="10" t="s">
        <v>1068</v>
      </c>
      <c r="P284" s="6" t="str">
        <f>IMAGE("https://res.cloudinary.com/rsc/image/upload/b_rgb:FFFFFF,c_pad,dpr_1.0,f_auto,q_auto,w_700/c_pad,w_700/C1985249-01",1)</f>
        <v/>
      </c>
      <c r="Q284" s="71" t="s">
        <v>1689</v>
      </c>
      <c r="R284" s="65" t="s">
        <v>1708</v>
      </c>
      <c r="S284" s="66"/>
      <c r="T284" s="12"/>
      <c r="U284" s="11">
        <v>1.0</v>
      </c>
      <c r="V284" s="5"/>
      <c r="W284" s="5"/>
      <c r="X284" s="12"/>
      <c r="Y284" s="12"/>
      <c r="Z284" s="67"/>
      <c r="AA284" s="12"/>
      <c r="AB284" s="12"/>
      <c r="AC284" s="67"/>
      <c r="AD284" s="12"/>
      <c r="AE284" s="12"/>
      <c r="AF284" s="12"/>
    </row>
    <row r="285" ht="45.0" customHeight="1">
      <c r="A285" s="6">
        <v>255.0</v>
      </c>
      <c r="B285" s="6" t="s">
        <v>342</v>
      </c>
      <c r="C285" s="6" t="s">
        <v>1069</v>
      </c>
      <c r="D285" s="6" t="s">
        <v>1070</v>
      </c>
      <c r="E285" s="7" t="s">
        <v>1071</v>
      </c>
      <c r="F285" s="8" t="s">
        <v>1032</v>
      </c>
      <c r="G285" s="9">
        <v>10.0</v>
      </c>
      <c r="H285" s="9">
        <v>10.0</v>
      </c>
      <c r="I285" s="9">
        <v>200.0</v>
      </c>
      <c r="J285" s="6">
        <f t="shared" si="29"/>
        <v>2000</v>
      </c>
      <c r="K285" s="6" t="s">
        <v>347</v>
      </c>
      <c r="L285" s="7" t="s">
        <v>47</v>
      </c>
      <c r="M285" s="16" t="s">
        <v>65</v>
      </c>
      <c r="N285" s="7"/>
      <c r="O285" s="10" t="s">
        <v>1072</v>
      </c>
      <c r="P285" s="6" t="str">
        <f>IMAGE("https://cdn.shopify.com/s/files/1/0064/3412/7939/products/71vpWrfPgFL._SL1000_9c7ae600-0e17-44f0-97b0-7a8fa32a55cc_2048x.jpg?v=1540199513",1)</f>
        <v/>
      </c>
      <c r="Q285" s="70"/>
      <c r="R285" s="65"/>
      <c r="S285" s="66"/>
      <c r="T285" s="12"/>
      <c r="U285" s="11">
        <v>0.0</v>
      </c>
      <c r="V285" s="12"/>
      <c r="W285" s="12"/>
      <c r="X285" s="12"/>
      <c r="Y285" s="12"/>
      <c r="Z285" s="67"/>
      <c r="AA285" s="12"/>
      <c r="AB285" s="12"/>
      <c r="AC285" s="67"/>
      <c r="AD285" s="12"/>
      <c r="AE285" s="12"/>
      <c r="AF285" s="12"/>
    </row>
    <row r="286" ht="45.0" customHeight="1">
      <c r="A286" s="6">
        <v>256.0</v>
      </c>
      <c r="B286" s="6" t="s">
        <v>342</v>
      </c>
      <c r="C286" s="6" t="s">
        <v>1073</v>
      </c>
      <c r="D286" s="6" t="s">
        <v>1074</v>
      </c>
      <c r="E286" s="7" t="s">
        <v>1075</v>
      </c>
      <c r="F286" s="8" t="s">
        <v>1032</v>
      </c>
      <c r="G286" s="9">
        <v>4.0</v>
      </c>
      <c r="H286" s="9">
        <v>4.0</v>
      </c>
      <c r="I286" s="9">
        <v>500.0</v>
      </c>
      <c r="J286" s="6">
        <f t="shared" si="29"/>
        <v>2000</v>
      </c>
      <c r="K286" s="6" t="s">
        <v>347</v>
      </c>
      <c r="L286" s="7"/>
      <c r="M286" s="7"/>
      <c r="N286" s="7"/>
      <c r="O286" s="10" t="s">
        <v>284</v>
      </c>
      <c r="P286" s="6" t="str">
        <f>IMAGE("https://cdn.shopify.com/s/files/1/0088/0056/7392/products/71GahpQFYhL._SL1500_1024x.jpg?v=1634034762",1)</f>
        <v/>
      </c>
      <c r="Q286" s="71" t="s">
        <v>1689</v>
      </c>
      <c r="R286" s="65" t="s">
        <v>1709</v>
      </c>
      <c r="S286" s="66"/>
      <c r="T286" s="12"/>
      <c r="U286" s="11">
        <v>1.0</v>
      </c>
      <c r="V286" s="12"/>
      <c r="W286" s="12"/>
      <c r="X286" s="12"/>
      <c r="Y286" s="12"/>
      <c r="Z286" s="67"/>
      <c r="AA286" s="12"/>
      <c r="AB286" s="12"/>
      <c r="AC286" s="67"/>
      <c r="AD286" s="12"/>
      <c r="AE286" s="12"/>
      <c r="AF286" s="12"/>
    </row>
    <row r="287" ht="45.0" customHeight="1">
      <c r="A287" s="6">
        <v>257.0</v>
      </c>
      <c r="B287" s="6" t="s">
        <v>342</v>
      </c>
      <c r="C287" s="6" t="s">
        <v>1076</v>
      </c>
      <c r="D287" s="6" t="s">
        <v>1077</v>
      </c>
      <c r="E287" s="7" t="s">
        <v>1078</v>
      </c>
      <c r="F287" s="8" t="s">
        <v>1032</v>
      </c>
      <c r="G287" s="9">
        <v>50.0</v>
      </c>
      <c r="H287" s="9">
        <v>50.0</v>
      </c>
      <c r="I287" s="9">
        <v>8.0</v>
      </c>
      <c r="J287" s="6">
        <f t="shared" si="29"/>
        <v>400</v>
      </c>
      <c r="K287" s="6" t="s">
        <v>347</v>
      </c>
      <c r="L287" s="7" t="s">
        <v>47</v>
      </c>
      <c r="M287" s="7" t="s">
        <v>22</v>
      </c>
      <c r="N287" s="7" t="s">
        <v>23</v>
      </c>
      <c r="O287" s="10" t="s">
        <v>1079</v>
      </c>
      <c r="P287" s="6" t="str">
        <f>IMAGE("https://m.media-amazon.com/images/I/51OTKanSUXL._SL1024_.jpg",1)</f>
        <v/>
      </c>
      <c r="Q287" s="64"/>
      <c r="R287" s="65"/>
      <c r="S287" s="66"/>
      <c r="T287" s="12"/>
      <c r="U287" s="11">
        <v>0.0</v>
      </c>
      <c r="V287" s="12"/>
      <c r="W287" s="12"/>
      <c r="X287" s="12"/>
      <c r="Y287" s="12"/>
      <c r="Z287" s="67"/>
      <c r="AA287" s="12"/>
      <c r="AB287" s="12"/>
      <c r="AC287" s="67"/>
      <c r="AD287" s="12"/>
      <c r="AE287" s="12"/>
      <c r="AF287" s="12"/>
    </row>
    <row r="288" ht="45.0" customHeight="1">
      <c r="A288" s="6">
        <v>258.0</v>
      </c>
      <c r="B288" s="6" t="s">
        <v>342</v>
      </c>
      <c r="C288" s="6" t="s">
        <v>1080</v>
      </c>
      <c r="D288" s="6" t="s">
        <v>1081</v>
      </c>
      <c r="E288" s="7" t="s">
        <v>1082</v>
      </c>
      <c r="F288" s="8" t="s">
        <v>1032</v>
      </c>
      <c r="G288" s="9">
        <v>1.0</v>
      </c>
      <c r="H288" s="9">
        <v>1.0</v>
      </c>
      <c r="I288" s="9">
        <v>200.0</v>
      </c>
      <c r="J288" s="6">
        <f t="shared" si="29"/>
        <v>200</v>
      </c>
      <c r="K288" s="6" t="s">
        <v>347</v>
      </c>
      <c r="L288" s="7"/>
      <c r="M288" s="7"/>
      <c r="N288" s="7"/>
      <c r="O288" s="10" t="s">
        <v>1083</v>
      </c>
      <c r="P288" s="6" t="str">
        <f>IMAGE("https://m.media-amazon.com/images/I/41XSpNsGoiL._SL1024_.jpg",1)</f>
        <v/>
      </c>
      <c r="Q288" s="71" t="s">
        <v>1689</v>
      </c>
      <c r="R288" s="65" t="s">
        <v>1710</v>
      </c>
      <c r="S288" s="66"/>
      <c r="T288" s="12"/>
      <c r="U288" s="11">
        <v>1.0</v>
      </c>
      <c r="V288" s="12"/>
      <c r="W288" s="12"/>
      <c r="X288" s="12"/>
      <c r="Y288" s="12"/>
      <c r="Z288" s="67"/>
      <c r="AA288" s="12"/>
      <c r="AB288" s="12"/>
      <c r="AC288" s="67"/>
      <c r="AD288" s="12"/>
      <c r="AE288" s="12"/>
      <c r="AF288" s="12"/>
    </row>
    <row r="289" ht="45.0" customHeight="1">
      <c r="A289" s="6">
        <v>259.0</v>
      </c>
      <c r="B289" s="6" t="s">
        <v>342</v>
      </c>
      <c r="C289" s="6" t="s">
        <v>1084</v>
      </c>
      <c r="D289" s="6" t="s">
        <v>1085</v>
      </c>
      <c r="E289" s="7" t="s">
        <v>1086</v>
      </c>
      <c r="F289" s="8" t="s">
        <v>1032</v>
      </c>
      <c r="G289" s="9">
        <v>2.0</v>
      </c>
      <c r="H289" s="9">
        <v>2.0</v>
      </c>
      <c r="I289" s="9">
        <v>100.0</v>
      </c>
      <c r="J289" s="6">
        <f t="shared" si="29"/>
        <v>200</v>
      </c>
      <c r="K289" s="6" t="s">
        <v>347</v>
      </c>
      <c r="L289" s="7"/>
      <c r="M289" s="7"/>
      <c r="N289" s="7"/>
      <c r="O289" s="10" t="s">
        <v>1087</v>
      </c>
      <c r="P289" s="6" t="str">
        <f>IMAGE("https://m.media-amazon.com/images/I/513ZkVzGbdL._AC_.jpg", 1)</f>
        <v/>
      </c>
      <c r="Q289" s="64"/>
      <c r="R289" s="65"/>
      <c r="S289" s="66"/>
      <c r="T289" s="12"/>
      <c r="U289" s="11">
        <v>0.0</v>
      </c>
      <c r="V289" s="12"/>
      <c r="W289" s="12"/>
      <c r="X289" s="12"/>
      <c r="Y289" s="12"/>
      <c r="Z289" s="67"/>
      <c r="AA289" s="12"/>
      <c r="AB289" s="12"/>
      <c r="AC289" s="67"/>
      <c r="AD289" s="12"/>
      <c r="AE289" s="12"/>
      <c r="AF289" s="12"/>
    </row>
    <row r="290" ht="45.0" customHeight="1">
      <c r="A290" s="6">
        <v>260.0</v>
      </c>
      <c r="B290" s="6" t="s">
        <v>342</v>
      </c>
      <c r="C290" s="6" t="s">
        <v>1088</v>
      </c>
      <c r="D290" s="6" t="s">
        <v>1089</v>
      </c>
      <c r="E290" s="7" t="s">
        <v>1090</v>
      </c>
      <c r="F290" s="8" t="s">
        <v>1032</v>
      </c>
      <c r="G290" s="9">
        <v>1.0</v>
      </c>
      <c r="H290" s="9">
        <v>1.0</v>
      </c>
      <c r="I290" s="9">
        <v>200.0</v>
      </c>
      <c r="J290" s="6">
        <f t="shared" si="29"/>
        <v>200</v>
      </c>
      <c r="K290" s="6" t="s">
        <v>347</v>
      </c>
      <c r="L290" s="7"/>
      <c r="M290" s="7"/>
      <c r="N290" s="7"/>
      <c r="O290" s="10" t="s">
        <v>1091</v>
      </c>
      <c r="P290" s="6" t="str">
        <f>IMAGE("https://m.media-amazon.com/images/I/41V47za3aNL.jpg",1)</f>
        <v/>
      </c>
      <c r="Q290" s="71" t="s">
        <v>1689</v>
      </c>
      <c r="R290" s="65" t="s">
        <v>1711</v>
      </c>
      <c r="S290" s="66"/>
      <c r="T290" s="12"/>
      <c r="U290" s="11">
        <v>1.0</v>
      </c>
      <c r="V290" s="12"/>
      <c r="W290" s="12"/>
      <c r="X290" s="12"/>
      <c r="Y290" s="12"/>
      <c r="Z290" s="67"/>
      <c r="AA290" s="12"/>
      <c r="AB290" s="12"/>
      <c r="AC290" s="67"/>
      <c r="AD290" s="12"/>
      <c r="AE290" s="12"/>
      <c r="AF290" s="12"/>
    </row>
    <row r="291" ht="45.0" customHeight="1">
      <c r="A291" s="6">
        <v>261.0</v>
      </c>
      <c r="B291" s="6" t="s">
        <v>342</v>
      </c>
      <c r="C291" s="6" t="s">
        <v>1092</v>
      </c>
      <c r="D291" s="6" t="s">
        <v>1093</v>
      </c>
      <c r="E291" s="7" t="s">
        <v>1094</v>
      </c>
      <c r="F291" s="8" t="s">
        <v>1032</v>
      </c>
      <c r="G291" s="9" t="s">
        <v>56</v>
      </c>
      <c r="H291" s="9" t="s">
        <v>56</v>
      </c>
      <c r="I291" s="9" t="s">
        <v>56</v>
      </c>
      <c r="J291" s="9" t="s">
        <v>56</v>
      </c>
      <c r="K291" s="6" t="s">
        <v>347</v>
      </c>
      <c r="L291" s="7"/>
      <c r="M291" s="7"/>
      <c r="N291" s="7"/>
      <c r="O291" s="10" t="s">
        <v>1095</v>
      </c>
      <c r="P291" s="6" t="str">
        <f>IMAGE("https://m.media-amazon.com/images/I/41pgJCdOd0L._AC_SX522_.jpg", 1)</f>
        <v/>
      </c>
      <c r="Q291" s="71" t="s">
        <v>1689</v>
      </c>
      <c r="R291" s="65" t="s">
        <v>1712</v>
      </c>
      <c r="S291" s="66"/>
      <c r="T291" s="12"/>
      <c r="U291" s="11">
        <v>1.0</v>
      </c>
      <c r="V291" s="12"/>
      <c r="W291" s="12"/>
      <c r="X291" s="12"/>
      <c r="Y291" s="12"/>
      <c r="Z291" s="67"/>
      <c r="AA291" s="12"/>
      <c r="AB291" s="12"/>
      <c r="AC291" s="67"/>
      <c r="AD291" s="12"/>
      <c r="AE291" s="12"/>
      <c r="AF291" s="12"/>
    </row>
    <row r="292" ht="45.0" customHeight="1">
      <c r="A292" s="6">
        <v>262.0</v>
      </c>
      <c r="B292" s="6" t="s">
        <v>342</v>
      </c>
      <c r="C292" s="6" t="s">
        <v>1096</v>
      </c>
      <c r="D292" s="6" t="s">
        <v>1097</v>
      </c>
      <c r="E292" s="7" t="s">
        <v>1098</v>
      </c>
      <c r="F292" s="8" t="s">
        <v>1032</v>
      </c>
      <c r="G292" s="9">
        <v>25.0</v>
      </c>
      <c r="H292" s="9">
        <v>25.0</v>
      </c>
      <c r="I292" s="9">
        <v>20.0</v>
      </c>
      <c r="J292" s="6">
        <f>I292*H292</f>
        <v>500</v>
      </c>
      <c r="K292" s="6" t="s">
        <v>347</v>
      </c>
      <c r="L292" s="7"/>
      <c r="M292" s="7"/>
      <c r="N292" s="7"/>
      <c r="O292" s="10" t="s">
        <v>481</v>
      </c>
      <c r="P292" s="6" t="str">
        <f>IMAGE("https://5.imimg.com/data5/UF/DF/MY-45635244/sand-paper-500x500.jpg",1)</f>
        <v/>
      </c>
      <c r="Q292" s="64"/>
      <c r="R292" s="65"/>
      <c r="S292" s="66"/>
      <c r="T292" s="12"/>
      <c r="U292" s="11">
        <v>0.0</v>
      </c>
      <c r="V292" s="12"/>
      <c r="W292" s="12"/>
      <c r="X292" s="12"/>
      <c r="Y292" s="12"/>
      <c r="Z292" s="67"/>
      <c r="AA292" s="12"/>
      <c r="AB292" s="12"/>
      <c r="AC292" s="67"/>
      <c r="AD292" s="12"/>
      <c r="AE292" s="12"/>
      <c r="AF292" s="12"/>
    </row>
    <row r="293" ht="45.0" customHeight="1">
      <c r="A293" s="6">
        <v>263.0</v>
      </c>
      <c r="B293" s="6" t="s">
        <v>342</v>
      </c>
      <c r="C293" s="6" t="s">
        <v>1099</v>
      </c>
      <c r="D293" s="6" t="s">
        <v>1100</v>
      </c>
      <c r="E293" s="7" t="s">
        <v>1101</v>
      </c>
      <c r="F293" s="8" t="s">
        <v>1032</v>
      </c>
      <c r="G293" s="9" t="s">
        <v>56</v>
      </c>
      <c r="H293" s="9" t="s">
        <v>56</v>
      </c>
      <c r="I293" s="9" t="s">
        <v>56</v>
      </c>
      <c r="J293" s="9" t="s">
        <v>56</v>
      </c>
      <c r="K293" s="6" t="s">
        <v>347</v>
      </c>
      <c r="L293" s="7"/>
      <c r="M293" s="7"/>
      <c r="N293" s="7"/>
      <c r="O293" s="9" t="s">
        <v>56</v>
      </c>
      <c r="P293" s="13" t="e">
        <v>#VALUE!</v>
      </c>
      <c r="Q293" s="71" t="s">
        <v>1689</v>
      </c>
      <c r="R293" s="65" t="s">
        <v>1713</v>
      </c>
      <c r="S293" s="66"/>
      <c r="T293" s="12"/>
      <c r="U293" s="11">
        <v>1.0</v>
      </c>
      <c r="V293" s="12"/>
      <c r="W293" s="12"/>
      <c r="X293" s="12"/>
      <c r="Y293" s="12"/>
      <c r="Z293" s="67"/>
      <c r="AA293" s="12"/>
      <c r="AB293" s="12"/>
      <c r="AC293" s="67"/>
      <c r="AD293" s="12"/>
      <c r="AE293" s="12"/>
      <c r="AF293" s="12"/>
    </row>
    <row r="294" ht="45.0" customHeight="1">
      <c r="A294" s="6">
        <v>264.0</v>
      </c>
      <c r="B294" s="6" t="s">
        <v>342</v>
      </c>
      <c r="C294" s="6" t="s">
        <v>1102</v>
      </c>
      <c r="D294" s="6" t="s">
        <v>1103</v>
      </c>
      <c r="E294" s="7" t="s">
        <v>1104</v>
      </c>
      <c r="F294" s="8" t="s">
        <v>1032</v>
      </c>
      <c r="G294" s="9" t="s">
        <v>56</v>
      </c>
      <c r="H294" s="9" t="s">
        <v>56</v>
      </c>
      <c r="I294" s="9" t="s">
        <v>56</v>
      </c>
      <c r="J294" s="9" t="s">
        <v>56</v>
      </c>
      <c r="K294" s="6" t="s">
        <v>347</v>
      </c>
      <c r="L294" s="7"/>
      <c r="M294" s="7"/>
      <c r="N294" s="7"/>
      <c r="O294" s="9" t="s">
        <v>56</v>
      </c>
      <c r="P294" s="13" t="e">
        <v>#VALUE!</v>
      </c>
      <c r="Q294" s="71" t="s">
        <v>1689</v>
      </c>
      <c r="R294" s="65" t="s">
        <v>1714</v>
      </c>
      <c r="S294" s="66"/>
      <c r="T294" s="12"/>
      <c r="U294" s="11">
        <v>1.0</v>
      </c>
      <c r="V294" s="12"/>
      <c r="W294" s="12"/>
      <c r="X294" s="12"/>
      <c r="Y294" s="12"/>
      <c r="Z294" s="67"/>
      <c r="AA294" s="12"/>
      <c r="AB294" s="12"/>
      <c r="AC294" s="67"/>
      <c r="AD294" s="12"/>
      <c r="AE294" s="12"/>
      <c r="AF294" s="12"/>
    </row>
    <row r="295" ht="45.0" customHeight="1">
      <c r="A295" s="6">
        <v>265.0</v>
      </c>
      <c r="B295" s="6" t="s">
        <v>342</v>
      </c>
      <c r="C295" s="6" t="s">
        <v>1105</v>
      </c>
      <c r="D295" s="6" t="s">
        <v>1106</v>
      </c>
      <c r="E295" s="21" t="s">
        <v>1107</v>
      </c>
      <c r="F295" s="8" t="s">
        <v>1032</v>
      </c>
      <c r="G295" s="9" t="s">
        <v>56</v>
      </c>
      <c r="H295" s="9" t="s">
        <v>56</v>
      </c>
      <c r="I295" s="9" t="s">
        <v>56</v>
      </c>
      <c r="J295" s="9" t="s">
        <v>56</v>
      </c>
      <c r="K295" s="6" t="s">
        <v>347</v>
      </c>
      <c r="L295" s="7"/>
      <c r="M295" s="7"/>
      <c r="N295" s="7"/>
      <c r="O295" s="9" t="s">
        <v>56</v>
      </c>
      <c r="P295" s="13" t="e">
        <v>#VALUE!</v>
      </c>
      <c r="Q295" s="71" t="s">
        <v>1689</v>
      </c>
      <c r="R295" s="65" t="s">
        <v>1715</v>
      </c>
      <c r="S295" s="66"/>
      <c r="T295" s="12"/>
      <c r="U295" s="11">
        <v>1.0</v>
      </c>
      <c r="V295" s="12"/>
      <c r="W295" s="12"/>
      <c r="X295" s="12"/>
      <c r="Z295" s="67"/>
      <c r="AA295" s="12"/>
      <c r="AB295" s="12"/>
      <c r="AC295" s="67"/>
      <c r="AD295" s="12"/>
      <c r="AE295" s="12"/>
      <c r="AF295" s="12"/>
    </row>
    <row r="296" ht="45.0" customHeight="1">
      <c r="A296" s="6">
        <v>266.0</v>
      </c>
      <c r="B296" s="6" t="s">
        <v>342</v>
      </c>
      <c r="C296" s="6" t="s">
        <v>1108</v>
      </c>
      <c r="D296" s="6" t="s">
        <v>1109</v>
      </c>
      <c r="E296" s="21" t="s">
        <v>1110</v>
      </c>
      <c r="F296" s="8" t="s">
        <v>1032</v>
      </c>
      <c r="G296" s="9" t="s">
        <v>56</v>
      </c>
      <c r="H296" s="9" t="s">
        <v>56</v>
      </c>
      <c r="I296" s="9" t="s">
        <v>56</v>
      </c>
      <c r="J296" s="9" t="s">
        <v>56</v>
      </c>
      <c r="K296" s="6" t="s">
        <v>347</v>
      </c>
      <c r="L296" s="7"/>
      <c r="M296" s="7"/>
      <c r="N296" s="7"/>
      <c r="O296" s="10" t="s">
        <v>1111</v>
      </c>
      <c r="P296" s="9" t="e">
        <v>#VALUE!</v>
      </c>
      <c r="Q296" s="71" t="s">
        <v>1689</v>
      </c>
      <c r="R296" s="65" t="s">
        <v>1716</v>
      </c>
      <c r="S296" s="66"/>
      <c r="T296" s="12"/>
      <c r="U296" s="11">
        <v>1.0</v>
      </c>
      <c r="V296" s="12"/>
      <c r="W296" s="12"/>
      <c r="X296" s="12"/>
      <c r="Y296" s="12"/>
      <c r="Z296" s="67"/>
      <c r="AA296" s="12"/>
      <c r="AB296" s="12"/>
      <c r="AC296" s="67"/>
      <c r="AD296" s="12"/>
      <c r="AE296" s="12"/>
      <c r="AF296" s="12"/>
    </row>
    <row r="297" ht="45.0" customHeight="1">
      <c r="A297" s="6">
        <v>267.0</v>
      </c>
      <c r="B297" s="6" t="s">
        <v>342</v>
      </c>
      <c r="C297" s="6" t="s">
        <v>1112</v>
      </c>
      <c r="D297" s="6" t="s">
        <v>1113</v>
      </c>
      <c r="E297" s="7" t="s">
        <v>1114</v>
      </c>
      <c r="F297" s="8" t="s">
        <v>1032</v>
      </c>
      <c r="G297" s="9" t="s">
        <v>56</v>
      </c>
      <c r="H297" s="9" t="s">
        <v>56</v>
      </c>
      <c r="I297" s="9" t="s">
        <v>56</v>
      </c>
      <c r="J297" s="9" t="s">
        <v>56</v>
      </c>
      <c r="K297" s="6" t="s">
        <v>347</v>
      </c>
      <c r="L297" s="7"/>
      <c r="M297" s="7"/>
      <c r="N297" s="7"/>
      <c r="O297" s="9" t="s">
        <v>56</v>
      </c>
      <c r="P297" s="9" t="e">
        <v>#VALUE!</v>
      </c>
      <c r="Q297" s="71" t="s">
        <v>1689</v>
      </c>
      <c r="R297" s="65">
        <v>60449.0</v>
      </c>
      <c r="S297" s="66"/>
      <c r="T297" s="12"/>
      <c r="U297" s="11">
        <v>1.0</v>
      </c>
      <c r="V297" s="12"/>
      <c r="W297" s="12"/>
      <c r="X297" s="12"/>
      <c r="Y297" s="12"/>
      <c r="Z297" s="67"/>
      <c r="AA297" s="12"/>
      <c r="AB297" s="12"/>
      <c r="AC297" s="67"/>
      <c r="AD297" s="12"/>
      <c r="AE297" s="12"/>
      <c r="AF297" s="12"/>
    </row>
    <row r="298" ht="45.0" customHeight="1">
      <c r="A298" s="6">
        <v>268.0</v>
      </c>
      <c r="B298" s="6" t="s">
        <v>342</v>
      </c>
      <c r="C298" s="6" t="s">
        <v>1115</v>
      </c>
      <c r="D298" s="6" t="s">
        <v>1116</v>
      </c>
      <c r="E298" s="7" t="s">
        <v>1117</v>
      </c>
      <c r="F298" s="8" t="s">
        <v>1032</v>
      </c>
      <c r="G298" s="9" t="s">
        <v>56</v>
      </c>
      <c r="H298" s="9" t="s">
        <v>56</v>
      </c>
      <c r="I298" s="9" t="s">
        <v>56</v>
      </c>
      <c r="J298" s="9" t="s">
        <v>56</v>
      </c>
      <c r="K298" s="6" t="s">
        <v>347</v>
      </c>
      <c r="L298" s="7"/>
      <c r="M298" s="7"/>
      <c r="N298" s="7"/>
      <c r="O298" s="10" t="s">
        <v>1118</v>
      </c>
      <c r="P298" s="9" t="e">
        <v>#VALUE!</v>
      </c>
      <c r="Q298" s="71" t="s">
        <v>1689</v>
      </c>
      <c r="R298" s="65" t="s">
        <v>1717</v>
      </c>
      <c r="S298" s="66"/>
      <c r="T298" s="12"/>
      <c r="U298" s="11">
        <v>1.0</v>
      </c>
      <c r="V298" s="12"/>
      <c r="W298" s="12"/>
      <c r="X298" s="12"/>
      <c r="Y298" s="12"/>
      <c r="Z298" s="67"/>
      <c r="AA298" s="12"/>
      <c r="AB298" s="12"/>
      <c r="AC298" s="67"/>
      <c r="AD298" s="12"/>
      <c r="AE298" s="12"/>
      <c r="AF298" s="12"/>
    </row>
    <row r="299" ht="45.0" customHeight="1">
      <c r="A299" s="6">
        <v>269.0</v>
      </c>
      <c r="B299" s="6" t="s">
        <v>342</v>
      </c>
      <c r="C299" s="6" t="s">
        <v>1119</v>
      </c>
      <c r="D299" s="6" t="s">
        <v>1120</v>
      </c>
      <c r="E299" s="7" t="s">
        <v>1121</v>
      </c>
      <c r="F299" s="8" t="s">
        <v>1032</v>
      </c>
      <c r="G299" s="9">
        <v>1.0</v>
      </c>
      <c r="H299" s="9">
        <v>1.0</v>
      </c>
      <c r="I299" s="9">
        <v>300.0</v>
      </c>
      <c r="J299" s="6">
        <f t="shared" ref="J299:J305" si="30">I299*H299</f>
        <v>300</v>
      </c>
      <c r="K299" s="6" t="s">
        <v>347</v>
      </c>
      <c r="L299" s="7"/>
      <c r="M299" s="7"/>
      <c r="N299" s="7"/>
      <c r="O299" s="10" t="s">
        <v>1122</v>
      </c>
      <c r="P299" s="6" t="str">
        <f>IMAGE("https://5.imimg.com/data5/DH/NE/PV/SELLER-4135781/6-pc-precision-screwdriver-set-500x500.jpg",1)</f>
        <v/>
      </c>
      <c r="Q299" s="71" t="s">
        <v>1689</v>
      </c>
      <c r="R299" s="65" t="s">
        <v>1718</v>
      </c>
      <c r="S299" s="66"/>
      <c r="T299" s="12"/>
      <c r="U299" s="11">
        <v>1.0</v>
      </c>
      <c r="V299" s="12"/>
      <c r="W299" s="12"/>
      <c r="X299" s="12"/>
      <c r="Y299" s="12"/>
      <c r="Z299" s="67"/>
      <c r="AA299" s="12"/>
      <c r="AB299" s="12"/>
      <c r="AC299" s="67"/>
      <c r="AD299" s="12"/>
      <c r="AE299" s="12"/>
      <c r="AF299" s="12"/>
    </row>
    <row r="300" ht="45.0" customHeight="1">
      <c r="A300" s="6">
        <v>270.0</v>
      </c>
      <c r="B300" s="6" t="s">
        <v>342</v>
      </c>
      <c r="C300" s="6" t="s">
        <v>1123</v>
      </c>
      <c r="D300" s="6" t="s">
        <v>1124</v>
      </c>
      <c r="E300" s="7" t="s">
        <v>1125</v>
      </c>
      <c r="F300" s="8" t="s">
        <v>1032</v>
      </c>
      <c r="G300" s="9">
        <v>1.0</v>
      </c>
      <c r="H300" s="9">
        <v>1.0</v>
      </c>
      <c r="I300" s="9">
        <v>100.0</v>
      </c>
      <c r="J300" s="6">
        <f t="shared" si="30"/>
        <v>100</v>
      </c>
      <c r="K300" s="6" t="s">
        <v>347</v>
      </c>
      <c r="L300" s="7"/>
      <c r="M300" s="7"/>
      <c r="N300" s="7"/>
      <c r="O300" s="10"/>
      <c r="P300" s="6" t="str">
        <f>IMAGE("https://cdn.shopify.com/s/files/1/0276/7382/1286/products/57_1a2e82a1-0306-49dc-8a29-0c0b2110ddb8_600x.jpg?v=1632245164",1)</f>
        <v/>
      </c>
      <c r="Q300" s="64"/>
      <c r="R300" s="68"/>
      <c r="S300" s="69"/>
      <c r="T300" s="12"/>
      <c r="U300" s="11">
        <v>0.0</v>
      </c>
      <c r="V300" s="12"/>
      <c r="W300" s="12"/>
      <c r="X300" s="12"/>
      <c r="Y300" s="12"/>
      <c r="Z300" s="67"/>
      <c r="AA300" s="12"/>
      <c r="AB300" s="12"/>
      <c r="AC300" s="67"/>
      <c r="AD300" s="12"/>
      <c r="AE300" s="12"/>
      <c r="AF300" s="12"/>
    </row>
    <row r="301" ht="45.0" customHeight="1">
      <c r="A301" s="6">
        <v>271.0</v>
      </c>
      <c r="B301" s="6" t="s">
        <v>342</v>
      </c>
      <c r="C301" s="6" t="s">
        <v>1126</v>
      </c>
      <c r="D301" s="6" t="s">
        <v>1127</v>
      </c>
      <c r="E301" s="7" t="s">
        <v>1128</v>
      </c>
      <c r="F301" s="8" t="s">
        <v>1032</v>
      </c>
      <c r="G301" s="9">
        <v>1.0</v>
      </c>
      <c r="H301" s="9">
        <v>1.0</v>
      </c>
      <c r="I301" s="9">
        <v>200.0</v>
      </c>
      <c r="J301" s="6">
        <f t="shared" si="30"/>
        <v>200</v>
      </c>
      <c r="K301" s="6" t="s">
        <v>347</v>
      </c>
      <c r="L301" s="7"/>
      <c r="M301" s="7"/>
      <c r="N301" s="7"/>
      <c r="O301" s="10" t="s">
        <v>1129</v>
      </c>
      <c r="P301" s="6" t="str">
        <f>IMAGE("https://cdn.bmstores.co.uk/images/hpcProductImage/imgFull/369783-stanley-sealant-gun-diy.jpg",1)</f>
        <v/>
      </c>
      <c r="Q301" s="71" t="s">
        <v>1689</v>
      </c>
      <c r="R301" s="65" t="s">
        <v>1719</v>
      </c>
      <c r="S301" s="66"/>
      <c r="T301" s="12"/>
      <c r="U301" s="11">
        <v>1.0</v>
      </c>
      <c r="V301" s="12"/>
      <c r="W301" s="12"/>
      <c r="X301" s="12"/>
      <c r="Y301" s="12"/>
      <c r="Z301" s="67"/>
      <c r="AA301" s="12"/>
      <c r="AB301" s="12"/>
      <c r="AC301" s="67"/>
      <c r="AD301" s="12"/>
      <c r="AE301" s="12"/>
      <c r="AF301" s="12"/>
    </row>
    <row r="302" ht="45.0" customHeight="1">
      <c r="A302" s="6">
        <v>272.0</v>
      </c>
      <c r="B302" s="6" t="s">
        <v>342</v>
      </c>
      <c r="C302" s="6" t="s">
        <v>1130</v>
      </c>
      <c r="D302" s="6" t="s">
        <v>1131</v>
      </c>
      <c r="E302" s="7" t="s">
        <v>1132</v>
      </c>
      <c r="F302" s="8" t="s">
        <v>1032</v>
      </c>
      <c r="G302" s="9">
        <v>1.0</v>
      </c>
      <c r="H302" s="9">
        <v>1.0</v>
      </c>
      <c r="I302" s="9">
        <v>300.0</v>
      </c>
      <c r="J302" s="6">
        <f t="shared" si="30"/>
        <v>300</v>
      </c>
      <c r="K302" s="6" t="s">
        <v>347</v>
      </c>
      <c r="L302" s="7"/>
      <c r="M302" s="7"/>
      <c r="N302" s="7"/>
      <c r="O302" s="10" t="s">
        <v>1133</v>
      </c>
      <c r="P302" s="6" t="str">
        <f>IMAGE("https://5.imimg.com/data5/SELLER/Default/2020/12/RU/ZP/SZ/45671901/alstone-silicone-sealant-500x500.jpeg",1)</f>
        <v/>
      </c>
      <c r="Q302" s="71" t="s">
        <v>1689</v>
      </c>
      <c r="R302" s="65"/>
      <c r="S302" s="66"/>
      <c r="T302" s="12"/>
      <c r="U302" s="11">
        <v>0.0</v>
      </c>
      <c r="V302" s="12"/>
      <c r="W302" s="12"/>
      <c r="X302" s="12"/>
      <c r="Y302" s="12"/>
      <c r="Z302" s="67"/>
      <c r="AA302" s="12"/>
      <c r="AB302" s="12"/>
      <c r="AC302" s="67"/>
      <c r="AD302" s="12"/>
      <c r="AE302" s="12"/>
      <c r="AF302" s="12"/>
    </row>
    <row r="303" ht="45.0" customHeight="1">
      <c r="A303" s="6">
        <v>273.0</v>
      </c>
      <c r="B303" s="6" t="s">
        <v>342</v>
      </c>
      <c r="C303" s="6" t="s">
        <v>1134</v>
      </c>
      <c r="D303" s="6" t="s">
        <v>1135</v>
      </c>
      <c r="E303" s="7" t="s">
        <v>1136</v>
      </c>
      <c r="F303" s="8" t="s">
        <v>1032</v>
      </c>
      <c r="G303" s="9">
        <v>1.0</v>
      </c>
      <c r="H303" s="9">
        <v>1.0</v>
      </c>
      <c r="I303" s="9">
        <v>180.0</v>
      </c>
      <c r="J303" s="6">
        <f t="shared" si="30"/>
        <v>180</v>
      </c>
      <c r="K303" s="6" t="s">
        <v>347</v>
      </c>
      <c r="L303" s="7"/>
      <c r="M303" s="7"/>
      <c r="N303" s="7"/>
      <c r="O303" s="22" t="s">
        <v>1137</v>
      </c>
      <c r="P303" s="6" t="str">
        <f>IMAGE("https://ravimachines.com/wp-content/uploads/2016/07/full_13.jpg",1)</f>
        <v/>
      </c>
      <c r="Q303" s="71" t="s">
        <v>1689</v>
      </c>
      <c r="R303" s="65" t="s">
        <v>1720</v>
      </c>
      <c r="S303" s="66"/>
      <c r="T303" s="12"/>
      <c r="U303" s="11">
        <v>1.0</v>
      </c>
      <c r="V303" s="12"/>
      <c r="W303" s="12"/>
      <c r="X303" s="12"/>
      <c r="Y303" s="12"/>
      <c r="Z303" s="67"/>
      <c r="AA303" s="12"/>
      <c r="AB303" s="12"/>
      <c r="AC303" s="67"/>
      <c r="AD303" s="12"/>
      <c r="AE303" s="12"/>
      <c r="AF303" s="12"/>
    </row>
    <row r="304" ht="45.0" customHeight="1">
      <c r="A304" s="6">
        <v>274.0</v>
      </c>
      <c r="B304" s="6" t="s">
        <v>342</v>
      </c>
      <c r="C304" s="6" t="s">
        <v>1138</v>
      </c>
      <c r="D304" s="6" t="s">
        <v>1139</v>
      </c>
      <c r="E304" s="10" t="s">
        <v>1140</v>
      </c>
      <c r="F304" s="8" t="s">
        <v>1032</v>
      </c>
      <c r="G304" s="6">
        <v>10.0</v>
      </c>
      <c r="H304" s="6">
        <v>10.0</v>
      </c>
      <c r="I304" s="6">
        <v>100.0</v>
      </c>
      <c r="J304" s="6">
        <f t="shared" si="30"/>
        <v>1000</v>
      </c>
      <c r="K304" s="6" t="s">
        <v>347</v>
      </c>
      <c r="L304" s="7"/>
      <c r="M304" s="7"/>
      <c r="N304" s="7"/>
      <c r="O304" s="10" t="s">
        <v>1141</v>
      </c>
      <c r="P304" s="6" t="str">
        <f>IMAGE("https://m.media-amazon.com/images/I/61O+7azby+L.jpg",1)</f>
        <v/>
      </c>
      <c r="Q304" s="64"/>
      <c r="R304" s="65"/>
      <c r="S304" s="66"/>
      <c r="T304" s="12"/>
      <c r="U304" s="11">
        <v>0.0</v>
      </c>
      <c r="V304" s="12"/>
      <c r="W304" s="12"/>
      <c r="X304" s="12"/>
      <c r="Y304" s="12"/>
      <c r="Z304" s="67"/>
      <c r="AA304" s="12"/>
      <c r="AB304" s="12"/>
      <c r="AC304" s="67"/>
      <c r="AD304" s="12"/>
      <c r="AE304" s="12"/>
      <c r="AF304" s="12"/>
    </row>
    <row r="305" ht="45.0" customHeight="1">
      <c r="A305" s="6">
        <v>275.0</v>
      </c>
      <c r="B305" s="6" t="s">
        <v>342</v>
      </c>
      <c r="C305" s="6" t="s">
        <v>1142</v>
      </c>
      <c r="D305" s="6" t="s">
        <v>1143</v>
      </c>
      <c r="E305" s="7" t="s">
        <v>1144</v>
      </c>
      <c r="F305" s="8" t="s">
        <v>1032</v>
      </c>
      <c r="G305" s="9">
        <v>1.0</v>
      </c>
      <c r="H305" s="9">
        <v>1.0</v>
      </c>
      <c r="I305" s="9">
        <v>1500.0</v>
      </c>
      <c r="J305" s="6">
        <f t="shared" si="30"/>
        <v>1500</v>
      </c>
      <c r="K305" s="6" t="s">
        <v>347</v>
      </c>
      <c r="L305" s="7"/>
      <c r="M305" s="7"/>
      <c r="N305" s="7"/>
      <c r="O305" s="10" t="s">
        <v>1145</v>
      </c>
      <c r="P305" s="6" t="str">
        <f>IMAGE("https://5.imimg.com/data5/SELLER/Default/2021/4/UH/ZY/EE/41301440/machine.jpeg",1)</f>
        <v/>
      </c>
      <c r="Q305" s="71" t="s">
        <v>1689</v>
      </c>
      <c r="R305" s="65" t="s">
        <v>1721</v>
      </c>
      <c r="S305" s="66"/>
      <c r="T305" s="12"/>
      <c r="U305" s="11">
        <v>1.0</v>
      </c>
      <c r="V305" s="12"/>
      <c r="W305" s="12"/>
      <c r="X305" s="12"/>
      <c r="Y305" s="12"/>
      <c r="Z305" s="76"/>
      <c r="AA305" s="12"/>
      <c r="AB305" s="12"/>
      <c r="AC305" s="67"/>
      <c r="AD305" s="12"/>
      <c r="AE305" s="12"/>
      <c r="AF305" s="12"/>
    </row>
    <row r="306" ht="45.0" customHeight="1">
      <c r="A306" s="6">
        <v>276.0</v>
      </c>
      <c r="B306" s="6" t="s">
        <v>342</v>
      </c>
      <c r="C306" s="6" t="s">
        <v>1146</v>
      </c>
      <c r="D306" s="6" t="s">
        <v>1147</v>
      </c>
      <c r="E306" s="7" t="s">
        <v>1148</v>
      </c>
      <c r="F306" s="8" t="s">
        <v>1032</v>
      </c>
      <c r="G306" s="9">
        <v>2.0</v>
      </c>
      <c r="H306" s="9">
        <v>2.0</v>
      </c>
      <c r="I306" s="9"/>
      <c r="J306" s="6"/>
      <c r="K306" s="6" t="s">
        <v>347</v>
      </c>
      <c r="L306" s="7"/>
      <c r="M306" s="7"/>
      <c r="N306" s="7"/>
      <c r="O306" s="10"/>
      <c r="P306" s="6" t="e">
        <v>#VALUE!</v>
      </c>
      <c r="Q306" s="71"/>
      <c r="R306" s="65"/>
      <c r="S306" s="66"/>
      <c r="T306" s="12"/>
      <c r="U306" s="11">
        <v>0.0</v>
      </c>
      <c r="V306" s="12"/>
      <c r="W306" s="12"/>
      <c r="X306" s="12"/>
      <c r="Y306" s="12"/>
      <c r="Z306" s="67"/>
      <c r="AA306" s="12"/>
      <c r="AB306" s="12"/>
      <c r="AC306" s="67"/>
      <c r="AD306" s="12"/>
      <c r="AE306" s="12"/>
      <c r="AF306" s="12"/>
    </row>
    <row r="307" ht="45.0" customHeight="1">
      <c r="A307" s="6">
        <v>277.0</v>
      </c>
      <c r="B307" s="6" t="s">
        <v>342</v>
      </c>
      <c r="C307" s="6" t="s">
        <v>1149</v>
      </c>
      <c r="D307" s="6" t="s">
        <v>1150</v>
      </c>
      <c r="E307" s="7" t="s">
        <v>1151</v>
      </c>
      <c r="F307" s="8" t="s">
        <v>1032</v>
      </c>
      <c r="G307" s="9">
        <v>10.0</v>
      </c>
      <c r="H307" s="9">
        <v>10.0</v>
      </c>
      <c r="I307" s="9">
        <v>100.0</v>
      </c>
      <c r="J307" s="6">
        <f>I307*H307</f>
        <v>1000</v>
      </c>
      <c r="K307" s="6" t="s">
        <v>347</v>
      </c>
      <c r="L307" s="7" t="s">
        <v>21</v>
      </c>
      <c r="M307" s="7"/>
      <c r="N307" s="7"/>
      <c r="O307" s="10"/>
      <c r="P307" s="6" t="str">
        <f>IMAGE("https://5.imimg.com/data5/SELLER/Default/2020/10/KC/AV/BY/25174136/150b-cutter-stripper-250x250.jpg",1)</f>
        <v/>
      </c>
      <c r="Q307" s="71" t="s">
        <v>1689</v>
      </c>
      <c r="R307" s="65"/>
      <c r="S307" s="66"/>
      <c r="T307" s="12"/>
      <c r="U307" s="11">
        <v>0.0</v>
      </c>
      <c r="V307" s="12"/>
      <c r="W307" s="12"/>
      <c r="X307" s="12"/>
      <c r="Y307" s="12"/>
      <c r="Z307" s="67"/>
      <c r="AA307" s="12"/>
      <c r="AB307" s="12"/>
      <c r="AC307" s="67"/>
      <c r="AD307" s="12"/>
      <c r="AE307" s="12"/>
      <c r="AF307" s="12"/>
    </row>
    <row r="308" ht="27.75" customHeight="1">
      <c r="A308" s="50" t="s">
        <v>1722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2"/>
      <c r="P308" s="53"/>
      <c r="Q308" s="54"/>
      <c r="R308" s="55"/>
      <c r="S308" s="55"/>
      <c r="T308" s="56"/>
      <c r="U308" s="56"/>
      <c r="V308" s="56"/>
      <c r="W308" s="56"/>
      <c r="X308" s="56"/>
      <c r="Y308" s="56"/>
      <c r="Z308" s="57"/>
      <c r="AA308" s="56"/>
      <c r="AB308" s="56"/>
      <c r="AC308" s="57"/>
      <c r="AD308" s="56"/>
      <c r="AE308" s="56"/>
      <c r="AF308" s="56"/>
    </row>
    <row r="309" ht="24.0" customHeight="1">
      <c r="A309" s="59" t="s">
        <v>0</v>
      </c>
      <c r="B309" s="59"/>
      <c r="C309" s="59"/>
      <c r="D309" s="59" t="s">
        <v>1</v>
      </c>
      <c r="E309" s="60" t="s">
        <v>2</v>
      </c>
      <c r="F309" s="59" t="s">
        <v>3</v>
      </c>
      <c r="G309" s="59" t="s">
        <v>4</v>
      </c>
      <c r="H309" s="59" t="s">
        <v>5</v>
      </c>
      <c r="I309" s="59" t="s">
        <v>6</v>
      </c>
      <c r="J309" s="59" t="s">
        <v>7</v>
      </c>
      <c r="K309" s="59" t="s">
        <v>8</v>
      </c>
      <c r="L309" s="60" t="s">
        <v>9</v>
      </c>
      <c r="M309" s="60" t="s">
        <v>10</v>
      </c>
      <c r="N309" s="61" t="s">
        <v>11</v>
      </c>
      <c r="O309" s="59" t="s">
        <v>12</v>
      </c>
      <c r="P309" s="62" t="s">
        <v>13</v>
      </c>
      <c r="Q309" s="4" t="s">
        <v>13</v>
      </c>
      <c r="R309" s="4" t="s">
        <v>13</v>
      </c>
      <c r="S309" s="4" t="s">
        <v>13</v>
      </c>
      <c r="T309" s="4" t="s">
        <v>13</v>
      </c>
      <c r="U309" s="4" t="s">
        <v>14</v>
      </c>
      <c r="V309" s="5"/>
      <c r="W309" s="5"/>
      <c r="X309" s="5"/>
      <c r="Y309" s="5"/>
      <c r="Z309" s="63"/>
      <c r="AA309" s="5"/>
      <c r="AB309" s="5"/>
      <c r="AC309" s="63"/>
      <c r="AD309" s="5"/>
      <c r="AE309" s="5"/>
      <c r="AF309" s="5"/>
    </row>
    <row r="310" ht="45.0" customHeight="1">
      <c r="A310" s="6">
        <v>278.0</v>
      </c>
      <c r="B310" s="6" t="s">
        <v>1152</v>
      </c>
      <c r="C310" s="6" t="s">
        <v>1153</v>
      </c>
      <c r="D310" s="6" t="s">
        <v>1154</v>
      </c>
      <c r="E310" s="7" t="s">
        <v>1155</v>
      </c>
      <c r="F310" s="8" t="s">
        <v>1156</v>
      </c>
      <c r="G310" s="9">
        <v>10.0</v>
      </c>
      <c r="H310" s="9">
        <v>10.0</v>
      </c>
      <c r="I310" s="9">
        <v>100.0</v>
      </c>
      <c r="J310" s="6">
        <f t="shared" ref="J310:J332" si="31">I310*H310</f>
        <v>1000</v>
      </c>
      <c r="K310" s="6" t="s">
        <v>1157</v>
      </c>
      <c r="L310" s="7"/>
      <c r="M310" s="7"/>
      <c r="N310" s="7"/>
      <c r="O310" s="10"/>
      <c r="P310" s="6" t="str">
        <f>IMAGE("https://5.imimg.com/data5/SB/TW/SA/SELLER-91497159/glass-beaker-500x500.jpg",1)</f>
        <v/>
      </c>
      <c r="Q310" s="64"/>
      <c r="R310" s="65"/>
      <c r="S310" s="66"/>
      <c r="T310" s="12"/>
      <c r="U310" s="11">
        <v>0.0</v>
      </c>
      <c r="V310" s="12">
        <v>1.0</v>
      </c>
      <c r="W310" s="12"/>
      <c r="X310" s="12">
        <v>100.0</v>
      </c>
      <c r="Y310" s="12">
        <f t="shared" ref="Y310:Y332" si="32">X310*H310</f>
        <v>1000</v>
      </c>
      <c r="Z310" s="67"/>
      <c r="AA310" s="12"/>
      <c r="AB310" s="12"/>
      <c r="AC310" s="67"/>
      <c r="AD310" s="12"/>
      <c r="AE310" s="12"/>
      <c r="AF310" s="12"/>
    </row>
    <row r="311" ht="45.0" customHeight="1">
      <c r="A311" s="6">
        <v>279.0</v>
      </c>
      <c r="B311" s="6" t="s">
        <v>1152</v>
      </c>
      <c r="C311" s="6" t="s">
        <v>1158</v>
      </c>
      <c r="D311" s="6" t="s">
        <v>1159</v>
      </c>
      <c r="E311" s="7" t="s">
        <v>1160</v>
      </c>
      <c r="F311" s="8" t="s">
        <v>1156</v>
      </c>
      <c r="G311" s="6">
        <v>5.0</v>
      </c>
      <c r="H311" s="6">
        <v>5.0</v>
      </c>
      <c r="I311" s="6">
        <v>300.0</v>
      </c>
      <c r="J311" s="6">
        <f t="shared" si="31"/>
        <v>1500</v>
      </c>
      <c r="K311" s="6" t="s">
        <v>1157</v>
      </c>
      <c r="L311" s="7"/>
      <c r="M311" s="7"/>
      <c r="N311" s="7"/>
      <c r="O311" s="18" t="s">
        <v>1161</v>
      </c>
      <c r="P311" s="6" t="str">
        <f>IMAGE("https://m.media-amazon.com/images/I/41vGxqzVasL.jpg",1)</f>
        <v/>
      </c>
      <c r="Q311" s="64"/>
      <c r="R311" s="65"/>
      <c r="S311" s="66"/>
      <c r="T311" s="12"/>
      <c r="U311" s="11">
        <v>0.0</v>
      </c>
      <c r="V311" s="12">
        <v>1.0</v>
      </c>
      <c r="W311" s="12"/>
      <c r="X311" s="12">
        <v>250.0</v>
      </c>
      <c r="Y311" s="12">
        <f t="shared" si="32"/>
        <v>1250</v>
      </c>
      <c r="Z311" s="67"/>
      <c r="AA311" s="12"/>
      <c r="AB311" s="12"/>
      <c r="AC311" s="67"/>
      <c r="AD311" s="12"/>
      <c r="AE311" s="12"/>
      <c r="AF311" s="12"/>
    </row>
    <row r="312" ht="45.0" customHeight="1">
      <c r="A312" s="6">
        <v>280.0</v>
      </c>
      <c r="B312" s="6" t="s">
        <v>1152</v>
      </c>
      <c r="C312" s="6" t="s">
        <v>1162</v>
      </c>
      <c r="D312" s="6" t="s">
        <v>1163</v>
      </c>
      <c r="E312" s="7" t="s">
        <v>1164</v>
      </c>
      <c r="F312" s="8" t="s">
        <v>1156</v>
      </c>
      <c r="G312" s="9">
        <v>10.0</v>
      </c>
      <c r="H312" s="9">
        <v>10.0</v>
      </c>
      <c r="I312" s="9">
        <v>100.0</v>
      </c>
      <c r="J312" s="6">
        <f t="shared" si="31"/>
        <v>1000</v>
      </c>
      <c r="K312" s="6" t="s">
        <v>1157</v>
      </c>
      <c r="L312" s="7"/>
      <c r="M312" s="7"/>
      <c r="N312" s="7"/>
      <c r="O312" s="10" t="s">
        <v>1165</v>
      </c>
      <c r="P312" s="6" t="str">
        <f>IMAGE("https://m.media-amazon.com/images/I/31b1KCUwqyL.jpg", 1)</f>
        <v/>
      </c>
      <c r="Q312" s="64" t="s">
        <v>56</v>
      </c>
      <c r="R312" s="65"/>
      <c r="S312" s="66"/>
      <c r="T312" s="12"/>
      <c r="U312" s="11">
        <v>0.0</v>
      </c>
      <c r="V312" s="12">
        <v>1.0</v>
      </c>
      <c r="W312" s="12"/>
      <c r="X312" s="12">
        <v>230.0</v>
      </c>
      <c r="Y312" s="12">
        <f t="shared" si="32"/>
        <v>2300</v>
      </c>
      <c r="Z312" s="67"/>
      <c r="AA312" s="12"/>
      <c r="AB312" s="12"/>
      <c r="AC312" s="67"/>
      <c r="AD312" s="12"/>
      <c r="AE312" s="12"/>
      <c r="AF312" s="12"/>
    </row>
    <row r="313" ht="45.0" customHeight="1">
      <c r="A313" s="6">
        <v>281.0</v>
      </c>
      <c r="B313" s="6" t="s">
        <v>1152</v>
      </c>
      <c r="C313" s="6" t="s">
        <v>1166</v>
      </c>
      <c r="D313" s="6" t="s">
        <v>1167</v>
      </c>
      <c r="E313" s="7" t="s">
        <v>1168</v>
      </c>
      <c r="F313" s="8" t="s">
        <v>1156</v>
      </c>
      <c r="G313" s="6">
        <v>2.0</v>
      </c>
      <c r="H313" s="6">
        <v>2.0</v>
      </c>
      <c r="I313" s="6">
        <v>200.0</v>
      </c>
      <c r="J313" s="6">
        <f t="shared" si="31"/>
        <v>400</v>
      </c>
      <c r="K313" s="6" t="s">
        <v>1157</v>
      </c>
      <c r="L313" s="7" t="s">
        <v>77</v>
      </c>
      <c r="M313" s="7"/>
      <c r="N313" s="7"/>
      <c r="O313" s="10" t="s">
        <v>1169</v>
      </c>
      <c r="P313" s="6" t="str">
        <f>IMAGE("https://m.media-amazon.com/images/W/MEDIAX_792452-T2/images/I/71veIL4opPL.jpg",1)</f>
        <v/>
      </c>
      <c r="Q313" s="64"/>
      <c r="R313" s="65"/>
      <c r="S313" s="66"/>
      <c r="T313" s="12"/>
      <c r="U313" s="11">
        <v>0.0</v>
      </c>
      <c r="V313" s="12">
        <v>1.0</v>
      </c>
      <c r="W313" s="12"/>
      <c r="X313" s="12">
        <v>100.0</v>
      </c>
      <c r="Y313" s="12">
        <f t="shared" si="32"/>
        <v>200</v>
      </c>
      <c r="Z313" s="67"/>
      <c r="AA313" s="12"/>
      <c r="AB313" s="12"/>
      <c r="AC313" s="67"/>
      <c r="AD313" s="12"/>
      <c r="AE313" s="12"/>
      <c r="AF313" s="12"/>
    </row>
    <row r="314" ht="45.0" customHeight="1">
      <c r="A314" s="6">
        <v>282.0</v>
      </c>
      <c r="B314" s="6" t="s">
        <v>1152</v>
      </c>
      <c r="C314" s="6" t="s">
        <v>1170</v>
      </c>
      <c r="D314" s="6" t="s">
        <v>1171</v>
      </c>
      <c r="E314" s="7" t="s">
        <v>1172</v>
      </c>
      <c r="F314" s="8" t="s">
        <v>1156</v>
      </c>
      <c r="G314" s="24">
        <v>1.0</v>
      </c>
      <c r="H314" s="24">
        <v>1.0</v>
      </c>
      <c r="I314" s="24">
        <v>200.0</v>
      </c>
      <c r="J314" s="6">
        <f t="shared" si="31"/>
        <v>200</v>
      </c>
      <c r="K314" s="6" t="s">
        <v>1157</v>
      </c>
      <c r="L314" s="7"/>
      <c r="M314" s="7" t="s">
        <v>179</v>
      </c>
      <c r="N314" s="7"/>
      <c r="O314" s="10" t="s">
        <v>1173</v>
      </c>
      <c r="P314" s="6" t="str">
        <f>IMAGE("https://www.sigmaaldrich.com/deepweb/content/dam/sigma-aldrich/product2/017/wha2200110.tif/_jcr_content/renditions/wha2200110-large.jpg", 1)</f>
        <v/>
      </c>
      <c r="Q314" s="64"/>
      <c r="R314" s="65"/>
      <c r="S314" s="66"/>
      <c r="T314" s="12"/>
      <c r="U314" s="11">
        <v>0.0</v>
      </c>
      <c r="V314" s="12">
        <v>1.0</v>
      </c>
      <c r="W314" s="12"/>
      <c r="X314" s="12">
        <v>100.0</v>
      </c>
      <c r="Y314" s="12">
        <f t="shared" si="32"/>
        <v>100</v>
      </c>
      <c r="Z314" s="67"/>
      <c r="AA314" s="12"/>
      <c r="AB314" s="12"/>
      <c r="AC314" s="67"/>
      <c r="AD314" s="12"/>
      <c r="AE314" s="12"/>
      <c r="AF314" s="12"/>
    </row>
    <row r="315" ht="45.0" customHeight="1">
      <c r="A315" s="6">
        <v>283.0</v>
      </c>
      <c r="B315" s="6" t="s">
        <v>1152</v>
      </c>
      <c r="C315" s="6" t="s">
        <v>1174</v>
      </c>
      <c r="D315" s="6" t="s">
        <v>1175</v>
      </c>
      <c r="E315" s="7" t="s">
        <v>1176</v>
      </c>
      <c r="F315" s="8" t="s">
        <v>1156</v>
      </c>
      <c r="G315" s="9">
        <v>1.0</v>
      </c>
      <c r="H315" s="9">
        <v>1.0</v>
      </c>
      <c r="I315" s="9">
        <v>150.0</v>
      </c>
      <c r="J315" s="6">
        <f t="shared" si="31"/>
        <v>150</v>
      </c>
      <c r="K315" s="6" t="s">
        <v>1157</v>
      </c>
      <c r="L315" s="7"/>
      <c r="M315" s="7" t="s">
        <v>179</v>
      </c>
      <c r="N315" s="7"/>
      <c r="O315" s="10" t="s">
        <v>1177</v>
      </c>
      <c r="P315" s="6" t="str">
        <f>IMAGE("https://m.media-amazon.com/images/I/A1PFWcAysAL.jpg", 1)</f>
        <v/>
      </c>
      <c r="Q315" s="64"/>
      <c r="R315" s="65"/>
      <c r="S315" s="66"/>
      <c r="T315" s="12"/>
      <c r="U315" s="11">
        <v>0.0</v>
      </c>
      <c r="V315" s="12">
        <v>1.0</v>
      </c>
      <c r="W315" s="12"/>
      <c r="X315" s="12">
        <v>50.0</v>
      </c>
      <c r="Y315" s="12">
        <f t="shared" si="32"/>
        <v>50</v>
      </c>
      <c r="Z315" s="67"/>
      <c r="AA315" s="12"/>
      <c r="AB315" s="12"/>
      <c r="AC315" s="67"/>
      <c r="AD315" s="12"/>
      <c r="AE315" s="12"/>
      <c r="AF315" s="12"/>
    </row>
    <row r="316" ht="45.0" customHeight="1">
      <c r="A316" s="6">
        <v>284.0</v>
      </c>
      <c r="B316" s="6" t="s">
        <v>1152</v>
      </c>
      <c r="C316" s="6" t="s">
        <v>1178</v>
      </c>
      <c r="D316" s="6" t="s">
        <v>1179</v>
      </c>
      <c r="E316" s="7" t="s">
        <v>1180</v>
      </c>
      <c r="F316" s="8" t="s">
        <v>1156</v>
      </c>
      <c r="G316" s="9">
        <v>20.0</v>
      </c>
      <c r="H316" s="9">
        <v>20.0</v>
      </c>
      <c r="I316" s="9">
        <v>100.0</v>
      </c>
      <c r="J316" s="6">
        <f t="shared" si="31"/>
        <v>2000</v>
      </c>
      <c r="K316" s="6" t="s">
        <v>1157</v>
      </c>
      <c r="L316" s="7"/>
      <c r="M316" s="7" t="s">
        <v>249</v>
      </c>
      <c r="N316" s="7"/>
      <c r="O316" s="10" t="s">
        <v>1181</v>
      </c>
      <c r="P316" s="6" t="str">
        <f>IMAGE("https://www.domo.in/image/cache/catalog/nHance/LNSS4201/Display-228x228.jpg")</f>
        <v/>
      </c>
      <c r="Q316" s="64" t="s">
        <v>56</v>
      </c>
      <c r="R316" s="65"/>
      <c r="S316" s="66"/>
      <c r="T316" s="12"/>
      <c r="U316" s="11">
        <v>0.0</v>
      </c>
      <c r="V316" s="12"/>
      <c r="W316" s="12"/>
      <c r="X316" s="12">
        <v>150.0</v>
      </c>
      <c r="Y316" s="12">
        <f t="shared" si="32"/>
        <v>3000</v>
      </c>
      <c r="Z316" s="67"/>
      <c r="AA316" s="12"/>
      <c r="AB316" s="12"/>
      <c r="AC316" s="67"/>
      <c r="AD316" s="12"/>
      <c r="AE316" s="12"/>
      <c r="AF316" s="12"/>
    </row>
    <row r="317" ht="45.0" customHeight="1">
      <c r="A317" s="6">
        <v>285.0</v>
      </c>
      <c r="B317" s="6" t="s">
        <v>1152</v>
      </c>
      <c r="C317" s="6" t="s">
        <v>1182</v>
      </c>
      <c r="D317" s="6" t="s">
        <v>1183</v>
      </c>
      <c r="E317" s="7" t="s">
        <v>1184</v>
      </c>
      <c r="F317" s="8" t="s">
        <v>1156</v>
      </c>
      <c r="G317" s="6">
        <v>1.0</v>
      </c>
      <c r="H317" s="6">
        <v>1.0</v>
      </c>
      <c r="I317" s="6">
        <v>100.0</v>
      </c>
      <c r="J317" s="6">
        <f t="shared" si="31"/>
        <v>100</v>
      </c>
      <c r="K317" s="6" t="s">
        <v>1157</v>
      </c>
      <c r="L317" s="7"/>
      <c r="M317" s="7"/>
      <c r="N317" s="7"/>
      <c r="O317" s="10" t="s">
        <v>1185</v>
      </c>
      <c r="P317" s="6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Q317" s="64" t="s">
        <v>56</v>
      </c>
      <c r="R317" s="65"/>
      <c r="S317" s="66"/>
      <c r="T317" s="12"/>
      <c r="U317" s="11">
        <v>0.0</v>
      </c>
      <c r="V317" s="12">
        <v>1.0</v>
      </c>
      <c r="W317" s="12"/>
      <c r="X317" s="12">
        <v>300.0</v>
      </c>
      <c r="Y317" s="12">
        <f t="shared" si="32"/>
        <v>300</v>
      </c>
      <c r="Z317" s="67"/>
      <c r="AA317" s="12"/>
      <c r="AB317" s="12"/>
      <c r="AC317" s="67"/>
      <c r="AD317" s="12"/>
      <c r="AE317" s="12"/>
      <c r="AF317" s="12"/>
    </row>
    <row r="318" ht="45.0" customHeight="1">
      <c r="A318" s="6">
        <v>286.0</v>
      </c>
      <c r="B318" s="6" t="s">
        <v>1152</v>
      </c>
      <c r="C318" s="6" t="s">
        <v>1186</v>
      </c>
      <c r="D318" s="6" t="s">
        <v>1187</v>
      </c>
      <c r="E318" s="7" t="s">
        <v>1188</v>
      </c>
      <c r="F318" s="8" t="s">
        <v>1156</v>
      </c>
      <c r="G318" s="9">
        <v>1.0</v>
      </c>
      <c r="H318" s="9">
        <v>1.0</v>
      </c>
      <c r="I318" s="9">
        <v>350.0</v>
      </c>
      <c r="J318" s="6">
        <f t="shared" si="31"/>
        <v>350</v>
      </c>
      <c r="K318" s="6" t="s">
        <v>1157</v>
      </c>
      <c r="L318" s="7"/>
      <c r="M318" s="7"/>
      <c r="N318" s="7"/>
      <c r="O318" s="10" t="s">
        <v>1189</v>
      </c>
      <c r="P318" s="6" t="str">
        <f>IMAGE("https://m.media-amazon.com/images/I/61ra1C535pL._SL1500_.jpg", 1)</f>
        <v/>
      </c>
      <c r="Q318" s="64"/>
      <c r="R318" s="65"/>
      <c r="S318" s="66"/>
      <c r="T318" s="12"/>
      <c r="U318" s="11"/>
      <c r="V318" s="12">
        <v>1.0</v>
      </c>
      <c r="W318" s="12"/>
      <c r="X318" s="12">
        <v>250.0</v>
      </c>
      <c r="Y318" s="12">
        <f t="shared" si="32"/>
        <v>250</v>
      </c>
      <c r="Z318" s="67"/>
      <c r="AA318" s="12"/>
      <c r="AB318" s="12"/>
      <c r="AC318" s="67"/>
      <c r="AD318" s="12"/>
      <c r="AE318" s="12"/>
      <c r="AF318" s="12"/>
    </row>
    <row r="319" ht="45.0" customHeight="1">
      <c r="A319" s="6">
        <v>287.0</v>
      </c>
      <c r="B319" s="6" t="s">
        <v>1152</v>
      </c>
      <c r="C319" s="6" t="s">
        <v>1190</v>
      </c>
      <c r="D319" s="6" t="s">
        <v>1191</v>
      </c>
      <c r="E319" s="7" t="s">
        <v>1192</v>
      </c>
      <c r="F319" s="8" t="s">
        <v>1156</v>
      </c>
      <c r="G319" s="6">
        <v>1.0</v>
      </c>
      <c r="H319" s="6">
        <v>1.0</v>
      </c>
      <c r="I319" s="6">
        <v>1000.0</v>
      </c>
      <c r="J319" s="6">
        <f t="shared" si="31"/>
        <v>1000</v>
      </c>
      <c r="K319" s="6" t="s">
        <v>1157</v>
      </c>
      <c r="L319" s="7"/>
      <c r="M319" s="7"/>
      <c r="N319" s="7"/>
      <c r="O319" s="10" t="s">
        <v>1193</v>
      </c>
      <c r="P319" s="6" t="str">
        <f>IMAGE("https://5.imimg.com/data5/SI/VL/MY-6819814/multi-volume-adjustable-micropipette.jpg",1)</f>
        <v/>
      </c>
      <c r="Q319" s="71"/>
      <c r="R319" s="65"/>
      <c r="S319" s="66"/>
      <c r="T319" s="12"/>
      <c r="U319" s="11">
        <v>0.0</v>
      </c>
      <c r="V319" s="12">
        <v>1.0</v>
      </c>
      <c r="W319" s="12" t="s">
        <v>144</v>
      </c>
      <c r="X319" s="12">
        <v>800.0</v>
      </c>
      <c r="Y319" s="12">
        <f t="shared" si="32"/>
        <v>800</v>
      </c>
      <c r="Z319" s="67"/>
      <c r="AA319" s="12"/>
      <c r="AB319" s="12"/>
      <c r="AC319" s="67"/>
      <c r="AD319" s="12"/>
      <c r="AE319" s="12"/>
      <c r="AF319" s="12"/>
    </row>
    <row r="320" ht="45.0" customHeight="1">
      <c r="A320" s="6">
        <v>288.0</v>
      </c>
      <c r="B320" s="6" t="s">
        <v>1152</v>
      </c>
      <c r="C320" s="6" t="s">
        <v>1194</v>
      </c>
      <c r="D320" s="6" t="s">
        <v>1195</v>
      </c>
      <c r="E320" s="7" t="s">
        <v>1196</v>
      </c>
      <c r="F320" s="8" t="s">
        <v>1156</v>
      </c>
      <c r="G320" s="9">
        <v>2.0</v>
      </c>
      <c r="H320" s="9">
        <v>2.0</v>
      </c>
      <c r="I320" s="9">
        <v>200.0</v>
      </c>
      <c r="J320" s="6">
        <f t="shared" si="31"/>
        <v>400</v>
      </c>
      <c r="K320" s="6" t="s">
        <v>1157</v>
      </c>
      <c r="L320" s="7"/>
      <c r="M320" s="7" t="s">
        <v>249</v>
      </c>
      <c r="N320" s="7" t="s">
        <v>1197</v>
      </c>
      <c r="O320" s="10" t="s">
        <v>1198</v>
      </c>
      <c r="P320" s="6" t="str">
        <f>IMAGE("https://5.imimg.com/data5/SELLER/Default/2021/7/IF/DT/PV/116258883/microscope-cover-glass-250x250.JPG",1)</f>
        <v/>
      </c>
      <c r="Q320" s="64"/>
      <c r="R320" s="65"/>
      <c r="S320" s="66"/>
      <c r="T320" s="12"/>
      <c r="U320" s="11"/>
      <c r="V320" s="12">
        <v>1.0</v>
      </c>
      <c r="W320" s="12"/>
      <c r="X320" s="12">
        <v>250.0</v>
      </c>
      <c r="Y320" s="12">
        <f t="shared" si="32"/>
        <v>500</v>
      </c>
      <c r="Z320" s="67"/>
      <c r="AA320" s="12"/>
      <c r="AB320" s="12"/>
      <c r="AC320" s="67"/>
      <c r="AD320" s="12"/>
      <c r="AE320" s="12"/>
      <c r="AF320" s="12"/>
    </row>
    <row r="321" ht="45.0" customHeight="1">
      <c r="A321" s="6">
        <v>289.0</v>
      </c>
      <c r="B321" s="6" t="s">
        <v>1152</v>
      </c>
      <c r="C321" s="6" t="s">
        <v>1199</v>
      </c>
      <c r="D321" s="6" t="s">
        <v>1200</v>
      </c>
      <c r="E321" s="7" t="s">
        <v>1201</v>
      </c>
      <c r="F321" s="8" t="s">
        <v>1156</v>
      </c>
      <c r="G321" s="9">
        <v>2.0</v>
      </c>
      <c r="H321" s="9">
        <v>2.0</v>
      </c>
      <c r="I321" s="13">
        <v>100.0</v>
      </c>
      <c r="J321" s="6">
        <f t="shared" si="31"/>
        <v>200</v>
      </c>
      <c r="K321" s="6" t="s">
        <v>1157</v>
      </c>
      <c r="L321" s="7"/>
      <c r="M321" s="7" t="s">
        <v>249</v>
      </c>
      <c r="N321" s="7" t="s">
        <v>1197</v>
      </c>
      <c r="O321" s="10" t="s">
        <v>1202</v>
      </c>
      <c r="P321" s="6" t="str">
        <f>IMAGE("https://5.imimg.com/data5/AZ/OD/EC/SELLER-20177713/laboratory-slides-500x500.jpg",1)</f>
        <v/>
      </c>
      <c r="Q321" s="64"/>
      <c r="R321" s="65"/>
      <c r="S321" s="66"/>
      <c r="T321" s="12"/>
      <c r="U321" s="11"/>
      <c r="V321" s="12">
        <v>1.0</v>
      </c>
      <c r="W321" s="12"/>
      <c r="X321" s="12">
        <v>250.0</v>
      </c>
      <c r="Y321" s="12">
        <f t="shared" si="32"/>
        <v>500</v>
      </c>
      <c r="Z321" s="67"/>
      <c r="AA321" s="12"/>
      <c r="AB321" s="12"/>
      <c r="AC321" s="67"/>
      <c r="AD321" s="12"/>
      <c r="AE321" s="12"/>
      <c r="AF321" s="12"/>
    </row>
    <row r="322" ht="45.0" customHeight="1">
      <c r="A322" s="6">
        <v>290.0</v>
      </c>
      <c r="B322" s="6" t="s">
        <v>1152</v>
      </c>
      <c r="C322" s="6" t="s">
        <v>1203</v>
      </c>
      <c r="D322" s="6" t="s">
        <v>1204</v>
      </c>
      <c r="E322" s="7" t="s">
        <v>1205</v>
      </c>
      <c r="F322" s="8" t="s">
        <v>1156</v>
      </c>
      <c r="G322" s="9">
        <v>30.0</v>
      </c>
      <c r="H322" s="9">
        <v>30.0</v>
      </c>
      <c r="I322" s="9">
        <v>15.0</v>
      </c>
      <c r="J322" s="6">
        <f t="shared" si="31"/>
        <v>450</v>
      </c>
      <c r="K322" s="6" t="s">
        <v>1157</v>
      </c>
      <c r="L322" s="7"/>
      <c r="M322" s="7" t="s">
        <v>22</v>
      </c>
      <c r="N322" s="7"/>
      <c r="O322" s="10" t="s">
        <v>1206</v>
      </c>
      <c r="P322" s="6" t="str">
        <f>IMAGE("https://www.abdoslifesciences.com/wp-content/uploads/Abdos_Delhi2-107_P10911-to-P10918-2.png",1)</f>
        <v/>
      </c>
      <c r="Q322" s="64" t="s">
        <v>56</v>
      </c>
      <c r="R322" s="65"/>
      <c r="S322" s="66"/>
      <c r="T322" s="12"/>
      <c r="U322" s="11"/>
      <c r="V322" s="12">
        <v>1.0</v>
      </c>
      <c r="W322" s="12"/>
      <c r="X322" s="12">
        <v>30.0</v>
      </c>
      <c r="Y322" s="12">
        <f t="shared" si="32"/>
        <v>900</v>
      </c>
      <c r="Z322" s="67"/>
      <c r="AA322" s="12"/>
      <c r="AB322" s="12"/>
      <c r="AC322" s="67"/>
      <c r="AD322" s="12"/>
      <c r="AE322" s="12"/>
      <c r="AF322" s="12"/>
    </row>
    <row r="323" ht="45.0" customHeight="1">
      <c r="A323" s="6">
        <v>291.0</v>
      </c>
      <c r="B323" s="6" t="s">
        <v>1152</v>
      </c>
      <c r="C323" s="6" t="s">
        <v>1207</v>
      </c>
      <c r="D323" s="6" t="s">
        <v>1208</v>
      </c>
      <c r="E323" s="7" t="s">
        <v>1209</v>
      </c>
      <c r="F323" s="8" t="s">
        <v>1156</v>
      </c>
      <c r="G323" s="6">
        <v>2.0</v>
      </c>
      <c r="H323" s="6">
        <v>2.0</v>
      </c>
      <c r="I323" s="6">
        <v>500.0</v>
      </c>
      <c r="J323" s="6">
        <f t="shared" si="31"/>
        <v>1000</v>
      </c>
      <c r="K323" s="6" t="s">
        <v>1157</v>
      </c>
      <c r="L323" s="7"/>
      <c r="M323" s="7"/>
      <c r="N323" s="7"/>
      <c r="O323" s="10" t="s">
        <v>1210</v>
      </c>
      <c r="P323" s="6" t="str">
        <f>IMAGE("https://pim-resources.coleparmer.com/product/l/dwk-life-sciences-kimble-dwk-kimble-babcock-pipettes-14663.jpg",1)</f>
        <v/>
      </c>
      <c r="Q323" s="64"/>
      <c r="R323" s="65"/>
      <c r="S323" s="66"/>
      <c r="T323" s="12"/>
      <c r="U323" s="11"/>
      <c r="V323" s="12">
        <v>1.0</v>
      </c>
      <c r="W323" s="12"/>
      <c r="X323" s="12">
        <v>250.0</v>
      </c>
      <c r="Y323" s="12">
        <f t="shared" si="32"/>
        <v>500</v>
      </c>
      <c r="Z323" s="67"/>
      <c r="AA323" s="12"/>
      <c r="AB323" s="12"/>
      <c r="AC323" s="67"/>
      <c r="AD323" s="12"/>
      <c r="AE323" s="12"/>
      <c r="AF323" s="12"/>
    </row>
    <row r="324" ht="45.0" customHeight="1">
      <c r="A324" s="6">
        <v>292.0</v>
      </c>
      <c r="B324" s="6" t="s">
        <v>1152</v>
      </c>
      <c r="C324" s="6" t="s">
        <v>1211</v>
      </c>
      <c r="D324" s="6" t="s">
        <v>1212</v>
      </c>
      <c r="E324" s="7" t="s">
        <v>1213</v>
      </c>
      <c r="F324" s="8" t="s">
        <v>1156</v>
      </c>
      <c r="G324" s="9">
        <v>10.0</v>
      </c>
      <c r="H324" s="9">
        <v>10.0</v>
      </c>
      <c r="I324" s="9">
        <v>20.0</v>
      </c>
      <c r="J324" s="6">
        <f t="shared" si="31"/>
        <v>200</v>
      </c>
      <c r="K324" s="6" t="s">
        <v>1157</v>
      </c>
      <c r="L324" s="7"/>
      <c r="M324" s="7" t="s">
        <v>66</v>
      </c>
      <c r="N324" s="7"/>
      <c r="O324" s="10" t="s">
        <v>1214</v>
      </c>
      <c r="P324" s="6" t="str">
        <f>IMAGE("https://5.imimg.com/data5/QC/NX/MY-932240/clear-plastic-funnel-250x250.jpg", 1)</f>
        <v/>
      </c>
      <c r="Q324" s="64"/>
      <c r="R324" s="65"/>
      <c r="S324" s="66"/>
      <c r="T324" s="12"/>
      <c r="U324" s="11"/>
      <c r="V324" s="12">
        <v>1.0</v>
      </c>
      <c r="W324" s="12"/>
      <c r="X324" s="12">
        <v>10.0</v>
      </c>
      <c r="Y324" s="12">
        <f t="shared" si="32"/>
        <v>100</v>
      </c>
      <c r="Z324" s="67"/>
      <c r="AA324" s="12"/>
      <c r="AB324" s="12"/>
      <c r="AC324" s="67"/>
      <c r="AD324" s="12"/>
      <c r="AE324" s="12"/>
      <c r="AF324" s="12"/>
    </row>
    <row r="325" ht="45.0" customHeight="1">
      <c r="A325" s="6">
        <v>293.0</v>
      </c>
      <c r="B325" s="6" t="s">
        <v>1152</v>
      </c>
      <c r="C325" s="6" t="s">
        <v>1215</v>
      </c>
      <c r="D325" s="6" t="s">
        <v>1216</v>
      </c>
      <c r="E325" s="7" t="s">
        <v>1217</v>
      </c>
      <c r="F325" s="8" t="s">
        <v>1156</v>
      </c>
      <c r="G325" s="9">
        <v>10.0</v>
      </c>
      <c r="H325" s="9">
        <v>10.0</v>
      </c>
      <c r="I325" s="9">
        <v>20.0</v>
      </c>
      <c r="J325" s="6">
        <f t="shared" si="31"/>
        <v>200</v>
      </c>
      <c r="K325" s="6" t="s">
        <v>1157</v>
      </c>
      <c r="L325" s="7"/>
      <c r="M325" s="7" t="s">
        <v>179</v>
      </c>
      <c r="N325" s="7"/>
      <c r="O325" s="10" t="s">
        <v>1218</v>
      </c>
      <c r="P325" s="6" t="str">
        <f>IMAGE("https://www.reagecon.com/product/image/medium/6267270_1.jpg",1)</f>
        <v/>
      </c>
      <c r="Q325" s="64"/>
      <c r="R325" s="65"/>
      <c r="S325" s="66"/>
      <c r="T325" s="12"/>
      <c r="U325" s="11"/>
      <c r="V325" s="12">
        <v>1.0</v>
      </c>
      <c r="W325" s="12"/>
      <c r="X325" s="12">
        <v>20.0</v>
      </c>
      <c r="Y325" s="12">
        <f t="shared" si="32"/>
        <v>200</v>
      </c>
      <c r="Z325" s="67"/>
      <c r="AA325" s="12"/>
      <c r="AB325" s="12"/>
      <c r="AC325" s="67"/>
      <c r="AD325" s="12"/>
      <c r="AE325" s="12"/>
      <c r="AF325" s="12"/>
    </row>
    <row r="326" ht="45.0" customHeight="1">
      <c r="A326" s="6">
        <v>294.0</v>
      </c>
      <c r="B326" s="6" t="s">
        <v>1152</v>
      </c>
      <c r="C326" s="6" t="s">
        <v>1219</v>
      </c>
      <c r="D326" s="6" t="s">
        <v>1220</v>
      </c>
      <c r="E326" s="7" t="s">
        <v>1221</v>
      </c>
      <c r="F326" s="8" t="s">
        <v>1156</v>
      </c>
      <c r="G326" s="6">
        <v>1.0</v>
      </c>
      <c r="H326" s="6">
        <v>1.0</v>
      </c>
      <c r="I326" s="6">
        <v>4000.0</v>
      </c>
      <c r="J326" s="6">
        <f t="shared" si="31"/>
        <v>4000</v>
      </c>
      <c r="K326" s="6" t="s">
        <v>1157</v>
      </c>
      <c r="L326" s="7"/>
      <c r="M326" s="7"/>
      <c r="N326" s="7"/>
      <c r="O326" s="10" t="s">
        <v>1222</v>
      </c>
      <c r="P326" s="6" t="str">
        <f>IMAGE("https://5.imimg.com/data5/SELLER/Default/2021/3/XX/WV/MR/4080247/lab-sinks-500x500.jpeg",1)</f>
        <v/>
      </c>
      <c r="Q326" s="64"/>
      <c r="R326" s="65"/>
      <c r="S326" s="66"/>
      <c r="T326" s="12"/>
      <c r="U326" s="11"/>
      <c r="V326" s="12"/>
      <c r="W326" s="12"/>
      <c r="X326" s="12">
        <v>1500.0</v>
      </c>
      <c r="Y326" s="12">
        <f t="shared" si="32"/>
        <v>1500</v>
      </c>
      <c r="Z326" s="67"/>
      <c r="AA326" s="12"/>
      <c r="AB326" s="12"/>
      <c r="AC326" s="67"/>
      <c r="AD326" s="12"/>
      <c r="AE326" s="12"/>
      <c r="AF326" s="12"/>
    </row>
    <row r="327" ht="45.0" customHeight="1">
      <c r="A327" s="6">
        <v>295.0</v>
      </c>
      <c r="B327" s="6" t="s">
        <v>1152</v>
      </c>
      <c r="C327" s="6" t="s">
        <v>1223</v>
      </c>
      <c r="D327" s="6" t="s">
        <v>1224</v>
      </c>
      <c r="E327" s="7" t="s">
        <v>1225</v>
      </c>
      <c r="F327" s="8" t="s">
        <v>1156</v>
      </c>
      <c r="G327" s="9">
        <v>100.0</v>
      </c>
      <c r="H327" s="9">
        <v>100.0</v>
      </c>
      <c r="I327" s="9">
        <v>20.0</v>
      </c>
      <c r="J327" s="6">
        <f t="shared" si="31"/>
        <v>2000</v>
      </c>
      <c r="K327" s="6" t="s">
        <v>1157</v>
      </c>
      <c r="L327" s="7"/>
      <c r="M327" s="7" t="s">
        <v>22</v>
      </c>
      <c r="N327" s="7"/>
      <c r="O327" s="10" t="s">
        <v>1226</v>
      </c>
      <c r="P327" s="6" t="str">
        <f>IMAGE("https://5.imimg.com/data5/GX/OE/MY-972879/30ml-specimen-container-500x500.jpg", 1)</f>
        <v/>
      </c>
      <c r="Q327" s="64"/>
      <c r="R327" s="65"/>
      <c r="S327" s="66"/>
      <c r="T327" s="12"/>
      <c r="U327" s="11"/>
      <c r="V327" s="12">
        <v>1.0</v>
      </c>
      <c r="W327" s="12"/>
      <c r="X327" s="12">
        <v>5.0</v>
      </c>
      <c r="Y327" s="12">
        <f t="shared" si="32"/>
        <v>500</v>
      </c>
      <c r="Z327" s="67"/>
      <c r="AA327" s="12"/>
      <c r="AB327" s="12"/>
      <c r="AC327" s="67"/>
      <c r="AD327" s="12"/>
      <c r="AE327" s="12"/>
      <c r="AF327" s="12"/>
    </row>
    <row r="328" ht="45.0" customHeight="1">
      <c r="A328" s="6">
        <v>296.0</v>
      </c>
      <c r="B328" s="6" t="s">
        <v>1152</v>
      </c>
      <c r="C328" s="6" t="s">
        <v>1227</v>
      </c>
      <c r="D328" s="6" t="s">
        <v>1228</v>
      </c>
      <c r="E328" s="7" t="s">
        <v>1229</v>
      </c>
      <c r="F328" s="8" t="s">
        <v>1156</v>
      </c>
      <c r="G328" s="6">
        <v>1.0</v>
      </c>
      <c r="H328" s="6">
        <v>1.0</v>
      </c>
      <c r="I328" s="6">
        <v>150.0</v>
      </c>
      <c r="J328" s="6">
        <f t="shared" si="31"/>
        <v>150</v>
      </c>
      <c r="K328" s="6" t="s">
        <v>1157</v>
      </c>
      <c r="L328" s="7"/>
      <c r="M328" s="7"/>
      <c r="N328" s="7"/>
      <c r="O328" s="10" t="s">
        <v>1230</v>
      </c>
      <c r="P328" s="6" t="str">
        <f>IMAGE("https://m.media-amazon.com/images/I/51+vdFGMMML._SL1001_.jpg",1)</f>
        <v/>
      </c>
      <c r="Q328" s="64"/>
      <c r="R328" s="65"/>
      <c r="S328" s="66"/>
      <c r="T328" s="12"/>
      <c r="U328" s="11"/>
      <c r="V328" s="12">
        <v>1.0</v>
      </c>
      <c r="W328" s="12"/>
      <c r="X328" s="12">
        <v>300.0</v>
      </c>
      <c r="Y328" s="12">
        <f t="shared" si="32"/>
        <v>300</v>
      </c>
      <c r="Z328" s="67"/>
      <c r="AA328" s="12"/>
      <c r="AB328" s="12"/>
      <c r="AC328" s="67"/>
      <c r="AD328" s="12"/>
      <c r="AE328" s="12"/>
      <c r="AF328" s="12"/>
    </row>
    <row r="329" ht="45.0" customHeight="1">
      <c r="A329" s="6">
        <v>297.0</v>
      </c>
      <c r="B329" s="6" t="s">
        <v>1152</v>
      </c>
      <c r="C329" s="6" t="s">
        <v>1231</v>
      </c>
      <c r="D329" s="6" t="s">
        <v>1232</v>
      </c>
      <c r="E329" s="7" t="s">
        <v>1233</v>
      </c>
      <c r="F329" s="8" t="s">
        <v>1156</v>
      </c>
      <c r="G329" s="9">
        <v>10.0</v>
      </c>
      <c r="H329" s="9">
        <v>10.0</v>
      </c>
      <c r="I329" s="9">
        <v>15.0</v>
      </c>
      <c r="J329" s="6">
        <f t="shared" si="31"/>
        <v>150</v>
      </c>
      <c r="K329" s="6" t="s">
        <v>1157</v>
      </c>
      <c r="L329" s="7"/>
      <c r="M329" s="7"/>
      <c r="N329" s="7"/>
      <c r="O329" s="10" t="s">
        <v>1234</v>
      </c>
      <c r="P329" s="6" t="str">
        <f>IMAGE("https://5.imimg.com/data5/SELLER/Default/2022/10/RF/ME/PW/7444604/12x100mm-glass-test-tube-500x500.jpg", 1)</f>
        <v/>
      </c>
      <c r="Q329" s="64"/>
      <c r="R329" s="65"/>
      <c r="S329" s="66"/>
      <c r="T329" s="12"/>
      <c r="U329" s="11"/>
      <c r="V329" s="12">
        <v>1.0</v>
      </c>
      <c r="W329" s="12"/>
      <c r="X329" s="12">
        <v>10.0</v>
      </c>
      <c r="Y329" s="12">
        <f t="shared" si="32"/>
        <v>100</v>
      </c>
      <c r="Z329" s="67"/>
      <c r="AA329" s="12"/>
      <c r="AB329" s="12"/>
      <c r="AC329" s="67"/>
      <c r="AD329" s="12"/>
      <c r="AE329" s="12"/>
      <c r="AF329" s="12"/>
    </row>
    <row r="330" ht="45.0" customHeight="1">
      <c r="A330" s="6">
        <v>298.0</v>
      </c>
      <c r="B330" s="6" t="s">
        <v>1152</v>
      </c>
      <c r="C330" s="6" t="s">
        <v>1235</v>
      </c>
      <c r="D330" s="6" t="s">
        <v>1236</v>
      </c>
      <c r="E330" s="7" t="s">
        <v>1237</v>
      </c>
      <c r="F330" s="8" t="s">
        <v>1156</v>
      </c>
      <c r="G330" s="9">
        <v>1.0</v>
      </c>
      <c r="H330" s="9">
        <v>1.0</v>
      </c>
      <c r="I330" s="9">
        <v>150.0</v>
      </c>
      <c r="J330" s="6">
        <f t="shared" si="31"/>
        <v>150</v>
      </c>
      <c r="K330" s="6" t="s">
        <v>1157</v>
      </c>
      <c r="L330" s="7"/>
      <c r="M330" s="7"/>
      <c r="N330" s="7"/>
      <c r="O330" s="10" t="s">
        <v>1238</v>
      </c>
      <c r="P330" s="6" t="str">
        <f>IMAGE("https://www.abdoslifesciences.com/wp-content/uploads/p10.jpg", 1)</f>
        <v/>
      </c>
      <c r="Q330" s="64"/>
      <c r="R330" s="65"/>
      <c r="S330" s="66"/>
      <c r="T330" s="12"/>
      <c r="U330" s="11"/>
      <c r="V330" s="12">
        <v>1.0</v>
      </c>
      <c r="W330" s="12"/>
      <c r="X330" s="12">
        <v>100.0</v>
      </c>
      <c r="Y330" s="12">
        <f t="shared" si="32"/>
        <v>100</v>
      </c>
      <c r="Z330" s="67"/>
      <c r="AA330" s="12"/>
      <c r="AB330" s="12"/>
      <c r="AC330" s="67"/>
      <c r="AD330" s="12"/>
      <c r="AE330" s="12"/>
      <c r="AF330" s="12"/>
    </row>
    <row r="331" ht="45.0" customHeight="1">
      <c r="A331" s="6">
        <v>299.0</v>
      </c>
      <c r="B331" s="6" t="s">
        <v>1152</v>
      </c>
      <c r="C331" s="6" t="s">
        <v>1239</v>
      </c>
      <c r="D331" s="6" t="s">
        <v>1240</v>
      </c>
      <c r="E331" s="7" t="s">
        <v>1241</v>
      </c>
      <c r="F331" s="8" t="s">
        <v>1156</v>
      </c>
      <c r="G331" s="9">
        <v>2.0</v>
      </c>
      <c r="H331" s="9">
        <v>2.0</v>
      </c>
      <c r="I331" s="9">
        <v>100.0</v>
      </c>
      <c r="J331" s="6">
        <f t="shared" si="31"/>
        <v>200</v>
      </c>
      <c r="K331" s="6" t="s">
        <v>1157</v>
      </c>
      <c r="L331" s="7"/>
      <c r="M331" s="7"/>
      <c r="N331" s="7"/>
      <c r="O331" s="22" t="s">
        <v>1242</v>
      </c>
      <c r="P331" s="6" t="str">
        <f>IMAGE("https://www.abdoslifesciences.com/wp-content/uploads/Wash-Bottle-LDPE-day-20376.jpg", 1)</f>
        <v/>
      </c>
      <c r="Q331" s="64"/>
      <c r="R331" s="65"/>
      <c r="S331" s="66"/>
      <c r="T331" s="12"/>
      <c r="U331" s="11"/>
      <c r="V331" s="12">
        <v>1.0</v>
      </c>
      <c r="W331" s="12"/>
      <c r="X331" s="12">
        <v>600.0</v>
      </c>
      <c r="Y331" s="12">
        <f t="shared" si="32"/>
        <v>1200</v>
      </c>
      <c r="Z331" s="67"/>
      <c r="AA331" s="12"/>
      <c r="AB331" s="12"/>
      <c r="AC331" s="67"/>
      <c r="AD331" s="12"/>
      <c r="AE331" s="12"/>
      <c r="AF331" s="12"/>
    </row>
    <row r="332" ht="45.0" customHeight="1">
      <c r="A332" s="6">
        <v>300.0</v>
      </c>
      <c r="B332" s="6" t="s">
        <v>1152</v>
      </c>
      <c r="C332" s="6" t="s">
        <v>1243</v>
      </c>
      <c r="D332" s="6" t="s">
        <v>1244</v>
      </c>
      <c r="E332" s="7" t="s">
        <v>1245</v>
      </c>
      <c r="F332" s="8" t="s">
        <v>1156</v>
      </c>
      <c r="G332" s="6">
        <v>10.0</v>
      </c>
      <c r="H332" s="6">
        <v>10.0</v>
      </c>
      <c r="I332" s="6">
        <v>10.0</v>
      </c>
      <c r="J332" s="6">
        <f t="shared" si="31"/>
        <v>100</v>
      </c>
      <c r="K332" s="6" t="s">
        <v>1157</v>
      </c>
      <c r="L332" s="7"/>
      <c r="M332" s="7" t="s">
        <v>179</v>
      </c>
      <c r="N332" s="7"/>
      <c r="O332" s="10" t="s">
        <v>1246</v>
      </c>
      <c r="P332" s="6" t="str">
        <f>IMAGE("https://m.media-amazon.com/images/I/31U00ndDv2L._SX679_.jpg",1)</f>
        <v/>
      </c>
      <c r="Q332" s="64"/>
      <c r="R332" s="65"/>
      <c r="S332" s="66"/>
      <c r="T332" s="12"/>
      <c r="U332" s="11"/>
      <c r="V332" s="12">
        <v>1.0</v>
      </c>
      <c r="W332" s="12"/>
      <c r="X332" s="12">
        <v>1200.0</v>
      </c>
      <c r="Y332" s="12">
        <f t="shared" si="32"/>
        <v>12000</v>
      </c>
      <c r="Z332" s="67"/>
      <c r="AA332" s="12"/>
      <c r="AB332" s="12"/>
      <c r="AC332" s="67"/>
      <c r="AD332" s="12"/>
      <c r="AE332" s="12"/>
      <c r="AF332" s="12"/>
    </row>
    <row r="333" ht="27.75" customHeight="1">
      <c r="A333" s="50" t="s">
        <v>1723</v>
      </c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2"/>
      <c r="P333" s="53"/>
      <c r="Q333" s="54"/>
      <c r="R333" s="55"/>
      <c r="S333" s="55"/>
      <c r="T333" s="56"/>
      <c r="U333" s="56"/>
      <c r="V333" s="56"/>
      <c r="W333" s="56"/>
      <c r="X333" s="56"/>
      <c r="Y333" s="56"/>
      <c r="Z333" s="57"/>
      <c r="AA333" s="56"/>
      <c r="AB333" s="56"/>
      <c r="AC333" s="57"/>
      <c r="AD333" s="56"/>
      <c r="AE333" s="56"/>
      <c r="AF333" s="56"/>
    </row>
    <row r="334" ht="24.0" customHeight="1">
      <c r="A334" s="59" t="s">
        <v>0</v>
      </c>
      <c r="B334" s="59"/>
      <c r="C334" s="59"/>
      <c r="D334" s="59" t="s">
        <v>1</v>
      </c>
      <c r="E334" s="60" t="s">
        <v>2</v>
      </c>
      <c r="F334" s="59" t="s">
        <v>3</v>
      </c>
      <c r="G334" s="59" t="s">
        <v>4</v>
      </c>
      <c r="H334" s="59" t="s">
        <v>5</v>
      </c>
      <c r="I334" s="59" t="s">
        <v>6</v>
      </c>
      <c r="J334" s="59" t="s">
        <v>7</v>
      </c>
      <c r="K334" s="59" t="s">
        <v>8</v>
      </c>
      <c r="L334" s="60" t="s">
        <v>9</v>
      </c>
      <c r="M334" s="60" t="s">
        <v>10</v>
      </c>
      <c r="N334" s="61" t="s">
        <v>11</v>
      </c>
      <c r="O334" s="59" t="s">
        <v>12</v>
      </c>
      <c r="P334" s="62" t="s">
        <v>13</v>
      </c>
      <c r="Q334" s="4" t="s">
        <v>13</v>
      </c>
      <c r="R334" s="4" t="s">
        <v>13</v>
      </c>
      <c r="S334" s="4" t="s">
        <v>13</v>
      </c>
      <c r="T334" s="4" t="s">
        <v>13</v>
      </c>
      <c r="U334" s="4" t="s">
        <v>14</v>
      </c>
      <c r="V334" s="5"/>
      <c r="W334" s="5"/>
      <c r="X334" s="5"/>
      <c r="Y334" s="5"/>
      <c r="Z334" s="63"/>
      <c r="AA334" s="5"/>
      <c r="AB334" s="5"/>
      <c r="AC334" s="63"/>
      <c r="AD334" s="5"/>
      <c r="AE334" s="5"/>
      <c r="AF334" s="5"/>
    </row>
    <row r="335" ht="45.0" customHeight="1">
      <c r="A335" s="6">
        <v>301.0</v>
      </c>
      <c r="B335" s="6" t="s">
        <v>173</v>
      </c>
      <c r="C335" s="6" t="s">
        <v>1247</v>
      </c>
      <c r="D335" s="6" t="s">
        <v>1248</v>
      </c>
      <c r="E335" s="7" t="s">
        <v>1249</v>
      </c>
      <c r="F335" s="8" t="s">
        <v>1250</v>
      </c>
      <c r="G335" s="9">
        <v>7.0</v>
      </c>
      <c r="H335" s="9">
        <v>7.0</v>
      </c>
      <c r="I335" s="9">
        <v>500.0</v>
      </c>
      <c r="J335" s="6">
        <f t="shared" ref="J335:J355" si="33">I335*H335</f>
        <v>3500</v>
      </c>
      <c r="K335" s="6" t="s">
        <v>178</v>
      </c>
      <c r="L335" s="7" t="s">
        <v>47</v>
      </c>
      <c r="M335" s="7" t="s">
        <v>110</v>
      </c>
      <c r="N335" s="7" t="s">
        <v>184</v>
      </c>
      <c r="O335" s="10" t="s">
        <v>1251</v>
      </c>
      <c r="P335" s="6" t="str">
        <f>IMAGE("https://www.atel-electronics.eu/pic_cache/10/06158.jpg",1)</f>
        <v/>
      </c>
      <c r="Q335" s="71" t="s">
        <v>1724</v>
      </c>
      <c r="R335" s="65"/>
      <c r="S335" s="66"/>
      <c r="T335" s="12"/>
      <c r="U335" s="11">
        <v>1.0</v>
      </c>
      <c r="V335" s="12"/>
      <c r="W335" s="12" t="s">
        <v>144</v>
      </c>
      <c r="X335" s="12">
        <v>600.0</v>
      </c>
      <c r="Y335" s="12">
        <f t="shared" ref="Y335:Y355" si="34">X335*H335</f>
        <v>4200</v>
      </c>
      <c r="Z335" s="67"/>
      <c r="AA335" s="12"/>
      <c r="AB335" s="12"/>
      <c r="AC335" s="67"/>
      <c r="AD335" s="12"/>
      <c r="AE335" s="12"/>
      <c r="AF335" s="12"/>
    </row>
    <row r="336" ht="45.0" customHeight="1">
      <c r="A336" s="6">
        <v>302.0</v>
      </c>
      <c r="B336" s="6" t="s">
        <v>173</v>
      </c>
      <c r="C336" s="6" t="s">
        <v>1252</v>
      </c>
      <c r="D336" s="6" t="s">
        <v>1253</v>
      </c>
      <c r="E336" s="7" t="s">
        <v>1254</v>
      </c>
      <c r="F336" s="8" t="s">
        <v>1250</v>
      </c>
      <c r="G336" s="9">
        <v>1.0</v>
      </c>
      <c r="H336" s="9">
        <v>1.0</v>
      </c>
      <c r="I336" s="9">
        <v>1000.0</v>
      </c>
      <c r="J336" s="6">
        <f t="shared" si="33"/>
        <v>1000</v>
      </c>
      <c r="K336" s="6" t="s">
        <v>178</v>
      </c>
      <c r="L336" s="7" t="s">
        <v>47</v>
      </c>
      <c r="M336" s="7"/>
      <c r="N336" s="7"/>
      <c r="O336" s="10" t="s">
        <v>1255</v>
      </c>
      <c r="P336" s="6" t="str">
        <f>IMAGE("https://in.element14.com/productimages/large/en_GB/IN07444-40.jpg",1)</f>
        <v/>
      </c>
      <c r="Q336" s="71" t="s">
        <v>1724</v>
      </c>
      <c r="R336" s="65"/>
      <c r="S336" s="66"/>
      <c r="T336" s="12"/>
      <c r="U336" s="11">
        <v>1.0</v>
      </c>
      <c r="V336" s="12"/>
      <c r="W336" s="12" t="s">
        <v>144</v>
      </c>
      <c r="X336" s="12">
        <v>1100.0</v>
      </c>
      <c r="Y336" s="12">
        <f t="shared" si="34"/>
        <v>1100</v>
      </c>
      <c r="Z336" s="67"/>
      <c r="AA336" s="12"/>
      <c r="AB336" s="12"/>
      <c r="AC336" s="67"/>
      <c r="AD336" s="12"/>
      <c r="AE336" s="12"/>
      <c r="AF336" s="12"/>
    </row>
    <row r="337" ht="45.0" customHeight="1">
      <c r="A337" s="6">
        <v>303.0</v>
      </c>
      <c r="B337" s="6" t="s">
        <v>173</v>
      </c>
      <c r="C337" s="6" t="s">
        <v>1256</v>
      </c>
      <c r="D337" s="6" t="s">
        <v>1257</v>
      </c>
      <c r="E337" s="7" t="s">
        <v>1258</v>
      </c>
      <c r="F337" s="8" t="s">
        <v>1250</v>
      </c>
      <c r="G337" s="9">
        <v>1.0</v>
      </c>
      <c r="H337" s="9">
        <v>1.0</v>
      </c>
      <c r="I337" s="9">
        <v>25000.0</v>
      </c>
      <c r="J337" s="6">
        <f t="shared" si="33"/>
        <v>25000</v>
      </c>
      <c r="K337" s="6" t="s">
        <v>178</v>
      </c>
      <c r="L337" s="7" t="s">
        <v>47</v>
      </c>
      <c r="M337" s="7"/>
      <c r="N337" s="7"/>
      <c r="O337" s="10" t="s">
        <v>1259</v>
      </c>
      <c r="P337" s="6" t="str">
        <f>IMAGE("https://m.media-amazon.com/images/I/51LxodXCiyS._SL1000_.jpg",1)</f>
        <v/>
      </c>
      <c r="Q337" s="71" t="s">
        <v>1724</v>
      </c>
      <c r="R337" s="65"/>
      <c r="S337" s="66"/>
      <c r="T337" s="12"/>
      <c r="U337" s="11">
        <v>1.0</v>
      </c>
      <c r="V337" s="12"/>
      <c r="W337" s="12" t="s">
        <v>144</v>
      </c>
      <c r="X337" s="12">
        <v>25000.0</v>
      </c>
      <c r="Y337" s="12">
        <f t="shared" si="34"/>
        <v>25000</v>
      </c>
      <c r="Z337" s="67"/>
      <c r="AA337" s="12"/>
      <c r="AB337" s="12"/>
      <c r="AC337" s="67"/>
      <c r="AD337" s="12"/>
      <c r="AE337" s="12"/>
      <c r="AF337" s="12"/>
    </row>
    <row r="338" ht="45.0" customHeight="1">
      <c r="A338" s="6">
        <v>304.0</v>
      </c>
      <c r="B338" s="6" t="s">
        <v>173</v>
      </c>
      <c r="C338" s="6" t="s">
        <v>1260</v>
      </c>
      <c r="D338" s="6" t="s">
        <v>1261</v>
      </c>
      <c r="E338" s="7" t="s">
        <v>1262</v>
      </c>
      <c r="F338" s="8" t="s">
        <v>1250</v>
      </c>
      <c r="G338" s="9">
        <v>1.0</v>
      </c>
      <c r="H338" s="9">
        <v>1.0</v>
      </c>
      <c r="I338" s="9">
        <v>1500.0</v>
      </c>
      <c r="J338" s="6">
        <f t="shared" si="33"/>
        <v>1500</v>
      </c>
      <c r="K338" s="6" t="s">
        <v>178</v>
      </c>
      <c r="L338" s="7" t="s">
        <v>47</v>
      </c>
      <c r="M338" s="7"/>
      <c r="N338" s="7"/>
      <c r="O338" s="10" t="s">
        <v>1263</v>
      </c>
      <c r="P338" s="6" t="str">
        <f>IMAGE("https://m.media-amazon.com/images/I/61WLNOGJ4JS.jpg")</f>
        <v/>
      </c>
      <c r="Q338" s="71" t="s">
        <v>1724</v>
      </c>
      <c r="R338" s="65"/>
      <c r="S338" s="66"/>
      <c r="T338" s="12"/>
      <c r="U338" s="11">
        <v>1.0</v>
      </c>
      <c r="V338" s="12"/>
      <c r="W338" s="12" t="s">
        <v>144</v>
      </c>
      <c r="X338" s="12">
        <v>4000.0</v>
      </c>
      <c r="Y338" s="12">
        <f t="shared" si="34"/>
        <v>4000</v>
      </c>
      <c r="Z338" s="67"/>
      <c r="AA338" s="12"/>
      <c r="AB338" s="12"/>
      <c r="AC338" s="67"/>
      <c r="AD338" s="12"/>
      <c r="AE338" s="12"/>
      <c r="AF338" s="12"/>
    </row>
    <row r="339" ht="45.0" customHeight="1">
      <c r="A339" s="6">
        <v>305.0</v>
      </c>
      <c r="B339" s="6" t="s">
        <v>173</v>
      </c>
      <c r="C339" s="6" t="s">
        <v>1264</v>
      </c>
      <c r="D339" s="6" t="s">
        <v>1265</v>
      </c>
      <c r="E339" s="7" t="s">
        <v>1266</v>
      </c>
      <c r="F339" s="8" t="s">
        <v>1250</v>
      </c>
      <c r="G339" s="9">
        <v>1.0</v>
      </c>
      <c r="H339" s="9">
        <v>1.0</v>
      </c>
      <c r="I339" s="9">
        <v>2500.0</v>
      </c>
      <c r="J339" s="6">
        <f t="shared" si="33"/>
        <v>2500</v>
      </c>
      <c r="K339" s="6" t="s">
        <v>178</v>
      </c>
      <c r="L339" s="7"/>
      <c r="M339" s="7"/>
      <c r="N339" s="7"/>
      <c r="O339" s="10" t="s">
        <v>1267</v>
      </c>
      <c r="P339" s="6" t="str">
        <f>IMAGE("https://cdn.shopify.com/s/files/1/0559/1970/6265/products/4_61325b1b-840f-41dd-a6d9-0ddb00c5c7bc_1024x1024@2x.png?v=1670588177",1)</f>
        <v/>
      </c>
      <c r="Q339" s="64" t="s">
        <v>1725</v>
      </c>
      <c r="R339" s="65"/>
      <c r="S339" s="66"/>
      <c r="T339" s="12"/>
      <c r="U339" s="11">
        <v>0.0</v>
      </c>
      <c r="V339" s="12"/>
      <c r="W339" s="12" t="s">
        <v>144</v>
      </c>
      <c r="X339" s="12">
        <v>2500.0</v>
      </c>
      <c r="Y339" s="12">
        <f t="shared" si="34"/>
        <v>2500</v>
      </c>
      <c r="Z339" s="67"/>
      <c r="AA339" s="12"/>
      <c r="AB339" s="12"/>
      <c r="AC339" s="67"/>
      <c r="AD339" s="12"/>
      <c r="AE339" s="12"/>
      <c r="AF339" s="12"/>
    </row>
    <row r="340" ht="45.0" customHeight="1">
      <c r="A340" s="6">
        <v>306.0</v>
      </c>
      <c r="B340" s="6" t="s">
        <v>1152</v>
      </c>
      <c r="C340" s="6" t="s">
        <v>1268</v>
      </c>
      <c r="D340" s="6" t="s">
        <v>1269</v>
      </c>
      <c r="E340" s="7" t="s">
        <v>1270</v>
      </c>
      <c r="F340" s="8" t="s">
        <v>1250</v>
      </c>
      <c r="G340" s="6">
        <v>1.0</v>
      </c>
      <c r="H340" s="6">
        <v>1.0</v>
      </c>
      <c r="I340" s="6">
        <v>2000.0</v>
      </c>
      <c r="J340" s="6">
        <f t="shared" si="33"/>
        <v>2000</v>
      </c>
      <c r="K340" s="6" t="s">
        <v>1157</v>
      </c>
      <c r="L340" s="7"/>
      <c r="M340" s="7"/>
      <c r="N340" s="7"/>
      <c r="O340" s="10" t="s">
        <v>1271</v>
      </c>
      <c r="P340" s="6" t="str">
        <f>IMAGE("https://m.media-amazon.com/images/I/61USTYJ+OPL._SL1500_.jpg",1)</f>
        <v/>
      </c>
      <c r="Q340" s="64"/>
      <c r="R340" s="65"/>
      <c r="S340" s="66"/>
      <c r="T340" s="12"/>
      <c r="U340" s="11">
        <v>0.0</v>
      </c>
      <c r="V340" s="12">
        <v>1.0</v>
      </c>
      <c r="W340" s="12" t="s">
        <v>144</v>
      </c>
      <c r="X340" s="12">
        <v>3000.0</v>
      </c>
      <c r="Y340" s="12">
        <f t="shared" si="34"/>
        <v>3000</v>
      </c>
      <c r="Z340" s="67"/>
      <c r="AA340" s="12"/>
      <c r="AB340" s="12"/>
      <c r="AC340" s="67"/>
      <c r="AD340" s="12"/>
      <c r="AE340" s="12"/>
      <c r="AF340" s="12"/>
    </row>
    <row r="341" ht="45.0" customHeight="1">
      <c r="A341" s="6">
        <v>307.0</v>
      </c>
      <c r="B341" s="6" t="s">
        <v>1152</v>
      </c>
      <c r="C341" s="6" t="s">
        <v>1272</v>
      </c>
      <c r="D341" s="6" t="s">
        <v>1273</v>
      </c>
      <c r="E341" s="7" t="s">
        <v>1274</v>
      </c>
      <c r="F341" s="8" t="s">
        <v>1250</v>
      </c>
      <c r="G341" s="6">
        <v>1.0</v>
      </c>
      <c r="H341" s="6">
        <v>1.0</v>
      </c>
      <c r="I341" s="6">
        <v>1700.0</v>
      </c>
      <c r="J341" s="6">
        <f t="shared" si="33"/>
        <v>1700</v>
      </c>
      <c r="K341" s="6" t="s">
        <v>1157</v>
      </c>
      <c r="L341" s="7" t="s">
        <v>47</v>
      </c>
      <c r="M341" s="7"/>
      <c r="N341" s="7"/>
      <c r="O341" s="10" t="s">
        <v>1275</v>
      </c>
      <c r="P341" s="6" t="str">
        <f>IMAGE("https://htcinstrument.com/wp-content/uploads/2021/05/AVM-06L.jpg",1)</f>
        <v/>
      </c>
      <c r="Q341" s="64" t="s">
        <v>1724</v>
      </c>
      <c r="R341" s="65"/>
      <c r="S341" s="66"/>
      <c r="T341" s="12"/>
      <c r="U341" s="11">
        <v>0.0</v>
      </c>
      <c r="V341" s="12"/>
      <c r="W341" s="12" t="s">
        <v>144</v>
      </c>
      <c r="X341" s="12">
        <v>2000.0</v>
      </c>
      <c r="Y341" s="12">
        <f t="shared" si="34"/>
        <v>2000</v>
      </c>
      <c r="Z341" s="67"/>
      <c r="AA341" s="12"/>
      <c r="AB341" s="12"/>
      <c r="AC341" s="67"/>
      <c r="AD341" s="12"/>
      <c r="AE341" s="12"/>
      <c r="AF341" s="12"/>
    </row>
    <row r="342" ht="45.0" customHeight="1">
      <c r="A342" s="6">
        <v>308.0</v>
      </c>
      <c r="B342" s="6" t="s">
        <v>1152</v>
      </c>
      <c r="C342" s="6" t="s">
        <v>1276</v>
      </c>
      <c r="D342" s="6" t="s">
        <v>1277</v>
      </c>
      <c r="E342" s="7" t="s">
        <v>1278</v>
      </c>
      <c r="F342" s="8" t="s">
        <v>1250</v>
      </c>
      <c r="G342" s="6">
        <v>1.0</v>
      </c>
      <c r="H342" s="6">
        <v>1.0</v>
      </c>
      <c r="I342" s="6">
        <v>3000.0</v>
      </c>
      <c r="J342" s="6">
        <f t="shared" si="33"/>
        <v>3000</v>
      </c>
      <c r="K342" s="6" t="s">
        <v>1157</v>
      </c>
      <c r="L342" s="7"/>
      <c r="M342" s="7"/>
      <c r="N342" s="7"/>
      <c r="O342" s="10"/>
      <c r="P342" s="6" t="str">
        <f>IMAGE("https://www.toolworld.in/storage/media/product/1696831532.jpg",1)</f>
        <v/>
      </c>
      <c r="Q342" s="64" t="s">
        <v>1724</v>
      </c>
      <c r="R342" s="65"/>
      <c r="S342" s="66"/>
      <c r="T342" s="12"/>
      <c r="U342" s="11">
        <v>0.0</v>
      </c>
      <c r="V342" s="12"/>
      <c r="W342" s="12" t="s">
        <v>144</v>
      </c>
      <c r="X342" s="12">
        <v>2000.0</v>
      </c>
      <c r="Y342" s="12">
        <f t="shared" si="34"/>
        <v>2000</v>
      </c>
      <c r="Z342" s="67"/>
      <c r="AA342" s="12"/>
      <c r="AC342" s="67"/>
      <c r="AD342" s="12"/>
      <c r="AE342" s="12"/>
      <c r="AF342" s="12"/>
    </row>
    <row r="343" ht="45.0" customHeight="1">
      <c r="A343" s="6">
        <v>309.0</v>
      </c>
      <c r="B343" s="6" t="s">
        <v>1152</v>
      </c>
      <c r="C343" s="6" t="s">
        <v>1279</v>
      </c>
      <c r="D343" s="6" t="s">
        <v>1280</v>
      </c>
      <c r="E343" s="7" t="s">
        <v>1281</v>
      </c>
      <c r="F343" s="8" t="s">
        <v>1250</v>
      </c>
      <c r="G343" s="6">
        <v>1.0</v>
      </c>
      <c r="H343" s="6">
        <v>1.0</v>
      </c>
      <c r="I343" s="6">
        <v>1700.0</v>
      </c>
      <c r="J343" s="6">
        <f t="shared" si="33"/>
        <v>1700</v>
      </c>
      <c r="K343" s="6" t="s">
        <v>1157</v>
      </c>
      <c r="L343" s="7" t="s">
        <v>47</v>
      </c>
      <c r="M343" s="7"/>
      <c r="N343" s="7"/>
      <c r="O343" s="10" t="s">
        <v>1282</v>
      </c>
      <c r="P343" s="6" t="str">
        <f>IMAGE("https://www.toolworld.in/storage/media/product/UT382-1.jpg",1)</f>
        <v/>
      </c>
      <c r="Q343" s="64" t="s">
        <v>1724</v>
      </c>
      <c r="R343" s="65"/>
      <c r="S343" s="66"/>
      <c r="T343" s="12"/>
      <c r="U343" s="11">
        <v>0.0</v>
      </c>
      <c r="V343" s="12"/>
      <c r="W343" s="12" t="s">
        <v>144</v>
      </c>
      <c r="X343" s="12">
        <v>2000.0</v>
      </c>
      <c r="Y343" s="12">
        <f t="shared" si="34"/>
        <v>2000</v>
      </c>
      <c r="Z343" s="67"/>
      <c r="AA343" s="12"/>
      <c r="AB343" s="12"/>
      <c r="AC343" s="67"/>
      <c r="AD343" s="12"/>
      <c r="AE343" s="12"/>
      <c r="AF343" s="12"/>
    </row>
    <row r="344" ht="45.0" customHeight="1">
      <c r="A344" s="6">
        <v>310.0</v>
      </c>
      <c r="B344" s="6" t="s">
        <v>1152</v>
      </c>
      <c r="C344" s="6" t="s">
        <v>1283</v>
      </c>
      <c r="D344" s="6" t="s">
        <v>1284</v>
      </c>
      <c r="E344" s="7" t="s">
        <v>1285</v>
      </c>
      <c r="F344" s="8" t="s">
        <v>1250</v>
      </c>
      <c r="G344" s="6">
        <v>1.0</v>
      </c>
      <c r="H344" s="6">
        <v>1.0</v>
      </c>
      <c r="I344" s="6">
        <v>3000.0</v>
      </c>
      <c r="J344" s="6">
        <f t="shared" si="33"/>
        <v>3000</v>
      </c>
      <c r="K344" s="6" t="s">
        <v>1157</v>
      </c>
      <c r="L344" s="7"/>
      <c r="M344" s="7"/>
      <c r="N344" s="7"/>
      <c r="O344" s="10"/>
      <c r="P344" s="6" t="e">
        <v>#VALUE!</v>
      </c>
      <c r="Q344" s="64" t="s">
        <v>1726</v>
      </c>
      <c r="R344" s="65"/>
      <c r="S344" s="66"/>
      <c r="T344" s="12"/>
      <c r="U344" s="11">
        <v>0.0</v>
      </c>
      <c r="V344" s="12">
        <v>1.0</v>
      </c>
      <c r="W344" s="12" t="s">
        <v>144</v>
      </c>
      <c r="X344" s="12">
        <v>2000.0</v>
      </c>
      <c r="Y344" s="12">
        <f t="shared" si="34"/>
        <v>2000</v>
      </c>
      <c r="Z344" s="67"/>
      <c r="AA344" s="12"/>
      <c r="AB344" s="12"/>
      <c r="AC344" s="67"/>
      <c r="AD344" s="12"/>
      <c r="AE344" s="12"/>
      <c r="AF344" s="12"/>
    </row>
    <row r="345" ht="45.0" customHeight="1">
      <c r="A345" s="6">
        <v>311.0</v>
      </c>
      <c r="B345" s="6" t="s">
        <v>1152</v>
      </c>
      <c r="C345" s="6" t="s">
        <v>1286</v>
      </c>
      <c r="D345" s="6" t="s">
        <v>1287</v>
      </c>
      <c r="E345" s="7" t="s">
        <v>1288</v>
      </c>
      <c r="F345" s="8" t="s">
        <v>1250</v>
      </c>
      <c r="G345" s="6">
        <v>1.0</v>
      </c>
      <c r="H345" s="6">
        <v>1.0</v>
      </c>
      <c r="I345" s="6">
        <v>1000.0</v>
      </c>
      <c r="J345" s="6">
        <f t="shared" si="33"/>
        <v>1000</v>
      </c>
      <c r="K345" s="6" t="s">
        <v>1157</v>
      </c>
      <c r="L345" s="7"/>
      <c r="M345" s="7"/>
      <c r="N345" s="7"/>
      <c r="O345" s="10"/>
      <c r="P345" s="6" t="str">
        <f>IMAGE("https://m.media-amazon.com/images/I/41d6N8TdSTL._SL1001_.jpg",1)</f>
        <v/>
      </c>
      <c r="Q345" s="64"/>
      <c r="R345" s="65"/>
      <c r="S345" s="66"/>
      <c r="T345" s="12"/>
      <c r="U345" s="11">
        <v>0.0</v>
      </c>
      <c r="V345" s="12"/>
      <c r="W345" s="12" t="s">
        <v>144</v>
      </c>
      <c r="X345" s="12">
        <v>2000.0</v>
      </c>
      <c r="Y345" s="12">
        <f t="shared" si="34"/>
        <v>2000</v>
      </c>
      <c r="Z345" s="67"/>
      <c r="AA345" s="12"/>
      <c r="AB345" s="12"/>
      <c r="AC345" s="67"/>
      <c r="AD345" s="12"/>
      <c r="AE345" s="12"/>
      <c r="AF345" s="12"/>
    </row>
    <row r="346" ht="45.0" customHeight="1">
      <c r="A346" s="6">
        <v>312.0</v>
      </c>
      <c r="B346" s="6" t="s">
        <v>1152</v>
      </c>
      <c r="C346" s="6" t="s">
        <v>1289</v>
      </c>
      <c r="D346" s="6" t="s">
        <v>1290</v>
      </c>
      <c r="E346" s="7" t="s">
        <v>1291</v>
      </c>
      <c r="F346" s="8" t="s">
        <v>1250</v>
      </c>
      <c r="G346" s="6">
        <v>1.0</v>
      </c>
      <c r="H346" s="6">
        <v>1.0</v>
      </c>
      <c r="I346" s="6">
        <v>1500.0</v>
      </c>
      <c r="J346" s="6">
        <f t="shared" si="33"/>
        <v>1500</v>
      </c>
      <c r="K346" s="6" t="s">
        <v>1157</v>
      </c>
      <c r="L346" s="7" t="s">
        <v>47</v>
      </c>
      <c r="M346" s="7"/>
      <c r="N346" s="7"/>
      <c r="O346" s="10"/>
      <c r="P346" s="6" t="str">
        <f>IMAGE("https://htcinstrument.com/wp-content/uploads/2021/06/SL-1350L.jpg",1)</f>
        <v/>
      </c>
      <c r="Q346" s="64" t="s">
        <v>1724</v>
      </c>
      <c r="R346" s="65"/>
      <c r="S346" s="66"/>
      <c r="T346" s="12"/>
      <c r="U346" s="11">
        <v>0.0</v>
      </c>
      <c r="V346" s="12"/>
      <c r="W346" s="12" t="s">
        <v>144</v>
      </c>
      <c r="X346" s="12">
        <v>3000.0</v>
      </c>
      <c r="Y346" s="12">
        <f t="shared" si="34"/>
        <v>3000</v>
      </c>
      <c r="Z346" s="67"/>
      <c r="AA346" s="12"/>
      <c r="AC346" s="67"/>
      <c r="AD346" s="12"/>
      <c r="AE346" s="12"/>
      <c r="AF346" s="12"/>
    </row>
    <row r="347" ht="45.0" customHeight="1">
      <c r="A347" s="6">
        <v>313.0</v>
      </c>
      <c r="B347" s="6" t="s">
        <v>1152</v>
      </c>
      <c r="C347" s="6" t="s">
        <v>1292</v>
      </c>
      <c r="D347" s="6" t="s">
        <v>1293</v>
      </c>
      <c r="E347" s="7" t="s">
        <v>1294</v>
      </c>
      <c r="F347" s="8" t="s">
        <v>1250</v>
      </c>
      <c r="G347" s="6">
        <v>1.0</v>
      </c>
      <c r="H347" s="6">
        <v>1.0</v>
      </c>
      <c r="I347" s="6">
        <v>2000.0</v>
      </c>
      <c r="J347" s="6">
        <f t="shared" si="33"/>
        <v>2000</v>
      </c>
      <c r="K347" s="6" t="s">
        <v>1157</v>
      </c>
      <c r="L347" s="7" t="s">
        <v>47</v>
      </c>
      <c r="M347" s="7"/>
      <c r="N347" s="7"/>
      <c r="O347" s="10" t="s">
        <v>1295</v>
      </c>
      <c r="P347" s="6" t="str">
        <f>IMAGE("https://htcinstrument.com/wp-content/uploads/2021/04/HT-306L.jpg",1)</f>
        <v/>
      </c>
      <c r="Q347" s="64" t="s">
        <v>1724</v>
      </c>
      <c r="R347" s="65"/>
      <c r="S347" s="66"/>
      <c r="T347" s="12"/>
      <c r="U347" s="11">
        <v>0.0</v>
      </c>
      <c r="V347" s="12"/>
      <c r="W347" s="12" t="s">
        <v>144</v>
      </c>
      <c r="X347" s="12">
        <v>2500.0</v>
      </c>
      <c r="Y347" s="12">
        <f t="shared" si="34"/>
        <v>2500</v>
      </c>
      <c r="Z347" s="67"/>
      <c r="AA347" s="12"/>
      <c r="AB347" s="12"/>
      <c r="AC347" s="67"/>
      <c r="AD347" s="12"/>
      <c r="AE347" s="12"/>
      <c r="AF347" s="12"/>
    </row>
    <row r="348" ht="45.0" customHeight="1">
      <c r="A348" s="6">
        <v>314.0</v>
      </c>
      <c r="B348" s="6" t="s">
        <v>1152</v>
      </c>
      <c r="C348" s="6" t="s">
        <v>1296</v>
      </c>
      <c r="D348" s="6" t="s">
        <v>1297</v>
      </c>
      <c r="E348" s="7" t="s">
        <v>1298</v>
      </c>
      <c r="F348" s="8" t="s">
        <v>1250</v>
      </c>
      <c r="G348" s="9">
        <v>20.0</v>
      </c>
      <c r="H348" s="9">
        <v>10.0</v>
      </c>
      <c r="I348" s="9">
        <v>300.0</v>
      </c>
      <c r="J348" s="6">
        <f t="shared" si="33"/>
        <v>3000</v>
      </c>
      <c r="K348" s="6" t="s">
        <v>1157</v>
      </c>
      <c r="L348" s="7"/>
      <c r="M348" s="7"/>
      <c r="N348" s="7"/>
      <c r="O348" s="10" t="s">
        <v>1299</v>
      </c>
      <c r="P348" s="6" t="e">
        <v>#VALUE!</v>
      </c>
      <c r="Q348" s="71" t="s">
        <v>1684</v>
      </c>
      <c r="R348" s="65">
        <v>1200.0</v>
      </c>
      <c r="S348" s="66"/>
      <c r="T348" s="12"/>
      <c r="U348" s="11">
        <v>0.0</v>
      </c>
      <c r="V348" s="12"/>
      <c r="W348" s="12" t="s">
        <v>144</v>
      </c>
      <c r="X348" s="12">
        <v>2000.0</v>
      </c>
      <c r="Y348" s="12">
        <f t="shared" si="34"/>
        <v>20000</v>
      </c>
      <c r="Z348" s="67"/>
      <c r="AA348" s="12"/>
      <c r="AB348" s="12"/>
      <c r="AC348" s="67"/>
      <c r="AD348" s="12"/>
      <c r="AE348" s="12"/>
      <c r="AF348" s="12"/>
    </row>
    <row r="349" ht="45.0" customHeight="1">
      <c r="A349" s="6">
        <v>315.0</v>
      </c>
      <c r="B349" s="6" t="s">
        <v>1152</v>
      </c>
      <c r="C349" s="6" t="s">
        <v>1300</v>
      </c>
      <c r="D349" s="6" t="s">
        <v>1301</v>
      </c>
      <c r="E349" s="7" t="s">
        <v>1302</v>
      </c>
      <c r="F349" s="8" t="s">
        <v>1250</v>
      </c>
      <c r="G349" s="9">
        <v>1.0</v>
      </c>
      <c r="H349" s="9">
        <v>1.0</v>
      </c>
      <c r="I349" s="9">
        <v>1500.0</v>
      </c>
      <c r="J349" s="6">
        <f t="shared" si="33"/>
        <v>1500</v>
      </c>
      <c r="K349" s="6" t="s">
        <v>1157</v>
      </c>
      <c r="L349" s="7" t="s">
        <v>47</v>
      </c>
      <c r="M349" s="7"/>
      <c r="N349" s="7"/>
      <c r="O349" s="10" t="s">
        <v>1303</v>
      </c>
      <c r="P349" s="6" t="str">
        <f>IMAGE("https://5.imimg.com/data5/XG/YW/VV/SELLER-219478/hot-plate-round-250x250.jpg",1)</f>
        <v/>
      </c>
      <c r="Q349" s="71" t="s">
        <v>1684</v>
      </c>
      <c r="R349" s="65">
        <v>60.0</v>
      </c>
      <c r="S349" s="66"/>
      <c r="T349" s="12"/>
      <c r="U349" s="11">
        <v>0.0</v>
      </c>
      <c r="V349" s="12">
        <v>1.0</v>
      </c>
      <c r="W349" s="12" t="s">
        <v>144</v>
      </c>
      <c r="X349" s="12">
        <v>3000.0</v>
      </c>
      <c r="Y349" s="12">
        <f t="shared" si="34"/>
        <v>3000</v>
      </c>
      <c r="Z349" s="67"/>
      <c r="AA349" s="12"/>
      <c r="AB349" s="12"/>
      <c r="AC349" s="67"/>
      <c r="AD349" s="12"/>
      <c r="AE349" s="12"/>
      <c r="AF349" s="12"/>
    </row>
    <row r="350" ht="45.0" customHeight="1">
      <c r="A350" s="6">
        <v>316.0</v>
      </c>
      <c r="B350" s="6" t="s">
        <v>1152</v>
      </c>
      <c r="C350" s="6" t="s">
        <v>1304</v>
      </c>
      <c r="D350" s="6" t="s">
        <v>1305</v>
      </c>
      <c r="E350" s="7" t="s">
        <v>1306</v>
      </c>
      <c r="F350" s="8" t="s">
        <v>1250</v>
      </c>
      <c r="G350" s="9">
        <v>1.0</v>
      </c>
      <c r="H350" s="9">
        <v>1.0</v>
      </c>
      <c r="I350" s="9">
        <v>500.0</v>
      </c>
      <c r="J350" s="6">
        <f t="shared" si="33"/>
        <v>500</v>
      </c>
      <c r="K350" s="6" t="s">
        <v>1157</v>
      </c>
      <c r="L350" s="7"/>
      <c r="M350" s="7"/>
      <c r="N350" s="7"/>
      <c r="O350" s="10" t="s">
        <v>1307</v>
      </c>
      <c r="P350" s="6" t="str">
        <f>IMAGE("https://image.made-in-china.com/202f0j00DeSTmvGBnZpR/Electronic-Weighing-Scale-Digital-Scale-of-High-Precision-HWA-.jpg",1)</f>
        <v/>
      </c>
      <c r="Q350" s="71" t="s">
        <v>1684</v>
      </c>
      <c r="R350" s="65"/>
      <c r="S350" s="66"/>
      <c r="T350" s="12"/>
      <c r="U350" s="11">
        <v>0.0</v>
      </c>
      <c r="V350" s="12">
        <v>1.0</v>
      </c>
      <c r="W350" s="12" t="s">
        <v>144</v>
      </c>
      <c r="X350" s="12">
        <v>2500.0</v>
      </c>
      <c r="Y350" s="12">
        <f t="shared" si="34"/>
        <v>2500</v>
      </c>
      <c r="Z350" s="67"/>
      <c r="AA350" s="12"/>
      <c r="AB350" s="12"/>
      <c r="AC350" s="67"/>
      <c r="AD350" s="12"/>
      <c r="AE350" s="12"/>
      <c r="AF350" s="12"/>
    </row>
    <row r="351" ht="45.0" customHeight="1">
      <c r="A351" s="6">
        <v>317.0</v>
      </c>
      <c r="B351" s="6" t="s">
        <v>1152</v>
      </c>
      <c r="C351" s="6" t="s">
        <v>1308</v>
      </c>
      <c r="D351" s="6" t="s">
        <v>1309</v>
      </c>
      <c r="E351" s="7" t="s">
        <v>1310</v>
      </c>
      <c r="F351" s="8" t="s">
        <v>1250</v>
      </c>
      <c r="G351" s="9">
        <v>1.0</v>
      </c>
      <c r="H351" s="9">
        <v>1.0</v>
      </c>
      <c r="I351" s="9">
        <v>500.0</v>
      </c>
      <c r="J351" s="6">
        <f t="shared" si="33"/>
        <v>500</v>
      </c>
      <c r="K351" s="6" t="s">
        <v>1157</v>
      </c>
      <c r="L351" s="7" t="s">
        <v>47</v>
      </c>
      <c r="M351" s="7"/>
      <c r="N351" s="7"/>
      <c r="O351" s="10" t="s">
        <v>1311</v>
      </c>
      <c r="P351" s="6" t="str">
        <f>IMAGE("https://m.media-amazon.com/images/I/71-uBViGV+L._SX522_.jpg",1)</f>
        <v/>
      </c>
      <c r="Q351" s="71" t="s">
        <v>1724</v>
      </c>
      <c r="R351" s="65"/>
      <c r="S351" s="66"/>
      <c r="T351" s="12"/>
      <c r="U351" s="11">
        <v>0.0</v>
      </c>
      <c r="V351" s="12"/>
      <c r="W351" s="12" t="s">
        <v>144</v>
      </c>
      <c r="X351" s="12">
        <v>500.0</v>
      </c>
      <c r="Y351" s="12">
        <f t="shared" si="34"/>
        <v>500</v>
      </c>
      <c r="Z351" s="67"/>
      <c r="AA351" s="12"/>
      <c r="AB351" s="12"/>
      <c r="AC351" s="67"/>
      <c r="AD351" s="12"/>
      <c r="AE351" s="12"/>
      <c r="AF351" s="12"/>
    </row>
    <row r="352" ht="45.0" customHeight="1">
      <c r="A352" s="6">
        <v>318.0</v>
      </c>
      <c r="B352" s="6" t="s">
        <v>1152</v>
      </c>
      <c r="C352" s="6" t="s">
        <v>1312</v>
      </c>
      <c r="D352" s="6" t="s">
        <v>1313</v>
      </c>
      <c r="E352" s="7" t="s">
        <v>1314</v>
      </c>
      <c r="F352" s="8" t="s">
        <v>1250</v>
      </c>
      <c r="G352" s="6">
        <v>1.0</v>
      </c>
      <c r="H352" s="6">
        <v>1.0</v>
      </c>
      <c r="I352" s="6"/>
      <c r="J352" s="6">
        <f t="shared" si="33"/>
        <v>0</v>
      </c>
      <c r="K352" s="6" t="s">
        <v>1157</v>
      </c>
      <c r="L352" s="7"/>
      <c r="M352" s="7"/>
      <c r="N352" s="7"/>
      <c r="O352" s="10" t="s">
        <v>1315</v>
      </c>
      <c r="P352" s="6" t="str">
        <f>IMAGE("https://m.media-amazon.com/images/I/61MstERkLZL._SL1500_.jpg",1)</f>
        <v/>
      </c>
      <c r="Q352" s="64"/>
      <c r="R352" s="65"/>
      <c r="S352" s="66"/>
      <c r="T352" s="12"/>
      <c r="U352" s="11"/>
      <c r="V352" s="12">
        <v>1.0</v>
      </c>
      <c r="W352" s="12" t="s">
        <v>144</v>
      </c>
      <c r="X352" s="12">
        <v>10000.0</v>
      </c>
      <c r="Y352" s="12">
        <f t="shared" si="34"/>
        <v>10000</v>
      </c>
      <c r="Z352" s="67"/>
      <c r="AA352" s="12"/>
      <c r="AB352" s="12"/>
      <c r="AC352" s="67"/>
      <c r="AD352" s="12"/>
      <c r="AE352" s="12"/>
      <c r="AF352" s="12"/>
    </row>
    <row r="353" ht="45.0" customHeight="1">
      <c r="A353" s="6">
        <v>319.0</v>
      </c>
      <c r="B353" s="6" t="s">
        <v>1152</v>
      </c>
      <c r="C353" s="6" t="s">
        <v>1316</v>
      </c>
      <c r="D353" s="6" t="s">
        <v>1317</v>
      </c>
      <c r="E353" s="7" t="s">
        <v>1318</v>
      </c>
      <c r="F353" s="8" t="s">
        <v>1250</v>
      </c>
      <c r="G353" s="9">
        <v>2.0</v>
      </c>
      <c r="H353" s="9">
        <v>2.0</v>
      </c>
      <c r="I353" s="9">
        <v>160.0</v>
      </c>
      <c r="J353" s="6">
        <f t="shared" si="33"/>
        <v>320</v>
      </c>
      <c r="K353" s="6" t="s">
        <v>1157</v>
      </c>
      <c r="L353" s="7"/>
      <c r="M353" s="7"/>
      <c r="N353" s="7"/>
      <c r="O353" s="10" t="s">
        <v>1319</v>
      </c>
      <c r="P353" s="6" t="str">
        <f>IMAGE("https://5.imimg.com/data5/UM/JA/MY-39609002/screw-gauge-500x500.jpg",1)</f>
        <v/>
      </c>
      <c r="Q353" s="64"/>
      <c r="R353" s="65"/>
      <c r="S353" s="66"/>
      <c r="T353" s="12"/>
      <c r="U353" s="11"/>
      <c r="V353" s="12">
        <v>1.0</v>
      </c>
      <c r="W353" s="12" t="s">
        <v>144</v>
      </c>
      <c r="X353" s="12">
        <v>300.0</v>
      </c>
      <c r="Y353" s="12">
        <f t="shared" si="34"/>
        <v>600</v>
      </c>
      <c r="Z353" s="67"/>
      <c r="AA353" s="12"/>
      <c r="AB353" s="12"/>
      <c r="AC353" s="67"/>
      <c r="AD353" s="12"/>
      <c r="AE353" s="12"/>
      <c r="AF353" s="12"/>
    </row>
    <row r="354" ht="45.0" customHeight="1">
      <c r="A354" s="6">
        <v>320.0</v>
      </c>
      <c r="B354" s="6" t="s">
        <v>1152</v>
      </c>
      <c r="C354" s="6" t="s">
        <v>1320</v>
      </c>
      <c r="D354" s="6" t="s">
        <v>1321</v>
      </c>
      <c r="E354" s="7" t="s">
        <v>1322</v>
      </c>
      <c r="F354" s="8" t="s">
        <v>1250</v>
      </c>
      <c r="G354" s="9">
        <v>1.0</v>
      </c>
      <c r="H354" s="9">
        <v>1.0</v>
      </c>
      <c r="I354" s="9">
        <v>1000.0</v>
      </c>
      <c r="J354" s="6">
        <f t="shared" si="33"/>
        <v>1000</v>
      </c>
      <c r="K354" s="6" t="s">
        <v>1157</v>
      </c>
      <c r="L354" s="7"/>
      <c r="M354" s="7"/>
      <c r="N354" s="7"/>
      <c r="O354" s="10"/>
      <c r="P354" s="6" t="str">
        <f>IMAGE("https://m.media-amazon.com/images/I/61yYBr4qxBL._SL1276_.jpg",1)</f>
        <v/>
      </c>
      <c r="Q354" s="71" t="s">
        <v>1684</v>
      </c>
      <c r="R354" s="65">
        <v>120.0</v>
      </c>
      <c r="S354" s="66"/>
      <c r="T354" s="12"/>
      <c r="U354" s="11">
        <v>0.0</v>
      </c>
      <c r="V354" s="12"/>
      <c r="W354" s="12" t="s">
        <v>144</v>
      </c>
      <c r="X354" s="12">
        <v>1100.0</v>
      </c>
      <c r="Y354" s="12">
        <f t="shared" si="34"/>
        <v>1100</v>
      </c>
      <c r="Z354" s="67"/>
      <c r="AA354" s="12"/>
      <c r="AB354" s="12"/>
      <c r="AC354" s="67"/>
      <c r="AD354" s="12"/>
      <c r="AE354" s="12"/>
      <c r="AF354" s="12"/>
    </row>
    <row r="355" ht="45.0" customHeight="1">
      <c r="A355" s="6">
        <v>321.0</v>
      </c>
      <c r="B355" s="6" t="s">
        <v>342</v>
      </c>
      <c r="C355" s="6" t="s">
        <v>1323</v>
      </c>
      <c r="D355" s="6" t="s">
        <v>1324</v>
      </c>
      <c r="E355" s="7" t="s">
        <v>1325</v>
      </c>
      <c r="F355" s="8" t="s">
        <v>1250</v>
      </c>
      <c r="G355" s="9">
        <v>1.0</v>
      </c>
      <c r="H355" s="9">
        <v>1.0</v>
      </c>
      <c r="I355" s="9">
        <v>2000.0</v>
      </c>
      <c r="J355" s="6">
        <f t="shared" si="33"/>
        <v>2000</v>
      </c>
      <c r="K355" s="6" t="s">
        <v>347</v>
      </c>
      <c r="L355" s="7"/>
      <c r="M355" s="7"/>
      <c r="N355" s="7"/>
      <c r="O355" s="10" t="s">
        <v>1326</v>
      </c>
      <c r="P355" s="6" t="e">
        <v>#VALUE!</v>
      </c>
      <c r="Q355" s="71" t="s">
        <v>1684</v>
      </c>
      <c r="R355" s="65">
        <v>60.0</v>
      </c>
      <c r="S355" s="66"/>
      <c r="T355" s="12"/>
      <c r="U355" s="11">
        <v>0.0</v>
      </c>
      <c r="V355" s="12">
        <v>1.0</v>
      </c>
      <c r="W355" s="12" t="s">
        <v>144</v>
      </c>
      <c r="X355" s="12">
        <v>1200.0</v>
      </c>
      <c r="Y355" s="12">
        <f t="shared" si="34"/>
        <v>1200</v>
      </c>
      <c r="Z355" s="67"/>
      <c r="AA355" s="12"/>
      <c r="AB355" s="12"/>
      <c r="AC355" s="67"/>
      <c r="AD355" s="12"/>
      <c r="AE355" s="12"/>
      <c r="AF355" s="12"/>
    </row>
    <row r="356" ht="27.75" customHeight="1">
      <c r="A356" s="50" t="s">
        <v>1727</v>
      </c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2"/>
      <c r="P356" s="53"/>
      <c r="Q356" s="54"/>
      <c r="R356" s="55"/>
      <c r="S356" s="55"/>
      <c r="T356" s="56"/>
      <c r="U356" s="56"/>
      <c r="V356" s="56"/>
      <c r="W356" s="56"/>
      <c r="X356" s="56"/>
      <c r="Y356" s="56"/>
      <c r="Z356" s="57"/>
      <c r="AA356" s="56"/>
      <c r="AB356" s="56"/>
      <c r="AC356" s="57"/>
      <c r="AD356" s="56"/>
      <c r="AE356" s="56"/>
      <c r="AF356" s="56"/>
    </row>
    <row r="357" ht="24.0" customHeight="1">
      <c r="A357" s="59" t="s">
        <v>0</v>
      </c>
      <c r="B357" s="59"/>
      <c r="C357" s="59"/>
      <c r="D357" s="59" t="s">
        <v>1</v>
      </c>
      <c r="E357" s="60" t="s">
        <v>2</v>
      </c>
      <c r="F357" s="59" t="s">
        <v>3</v>
      </c>
      <c r="G357" s="59" t="s">
        <v>4</v>
      </c>
      <c r="H357" s="59" t="s">
        <v>5</v>
      </c>
      <c r="I357" s="59" t="s">
        <v>6</v>
      </c>
      <c r="J357" s="59" t="s">
        <v>7</v>
      </c>
      <c r="K357" s="59" t="s">
        <v>8</v>
      </c>
      <c r="L357" s="60" t="s">
        <v>9</v>
      </c>
      <c r="M357" s="60" t="s">
        <v>10</v>
      </c>
      <c r="N357" s="61" t="s">
        <v>11</v>
      </c>
      <c r="O357" s="59" t="s">
        <v>12</v>
      </c>
      <c r="P357" s="62" t="s">
        <v>13</v>
      </c>
      <c r="Q357" s="4" t="s">
        <v>13</v>
      </c>
      <c r="R357" s="4" t="s">
        <v>13</v>
      </c>
      <c r="S357" s="4" t="s">
        <v>13</v>
      </c>
      <c r="T357" s="4" t="s">
        <v>13</v>
      </c>
      <c r="U357" s="4" t="s">
        <v>14</v>
      </c>
      <c r="V357" s="5"/>
      <c r="W357" s="5"/>
      <c r="X357" s="5"/>
      <c r="Y357" s="5"/>
      <c r="Z357" s="63"/>
      <c r="AA357" s="5"/>
      <c r="AB357" s="5"/>
      <c r="AC357" s="63"/>
      <c r="AD357" s="5"/>
      <c r="AE357" s="5"/>
      <c r="AF357" s="5"/>
    </row>
    <row r="358" ht="45.0" customHeight="1">
      <c r="A358" s="6">
        <v>322.0</v>
      </c>
      <c r="B358" s="6" t="s">
        <v>173</v>
      </c>
      <c r="C358" s="6" t="s">
        <v>1327</v>
      </c>
      <c r="D358" s="6" t="s">
        <v>1328</v>
      </c>
      <c r="E358" s="7" t="s">
        <v>1329</v>
      </c>
      <c r="F358" s="8" t="s">
        <v>1330</v>
      </c>
      <c r="G358" s="6">
        <v>100.0</v>
      </c>
      <c r="H358" s="6">
        <v>100.0</v>
      </c>
      <c r="I358" s="6"/>
      <c r="J358" s="6">
        <f t="shared" ref="J358:J363" si="35">I358*H358</f>
        <v>0</v>
      </c>
      <c r="K358" s="6" t="s">
        <v>178</v>
      </c>
      <c r="L358" s="7" t="s">
        <v>65</v>
      </c>
      <c r="M358" s="7" t="s">
        <v>179</v>
      </c>
      <c r="N358" s="7" t="s">
        <v>1331</v>
      </c>
      <c r="O358" s="10" t="s">
        <v>1332</v>
      </c>
      <c r="P358" s="6" t="str">
        <f>IMAGE("https://m.media-amazon.com/images/I/61vUDUTouNL._SL1500_.jpg",1)</f>
        <v/>
      </c>
      <c r="Q358" s="64" t="s">
        <v>56</v>
      </c>
      <c r="R358" s="65"/>
      <c r="S358" s="66"/>
      <c r="T358" s="12"/>
      <c r="U358" s="11">
        <v>0.0</v>
      </c>
      <c r="V358" s="12"/>
      <c r="W358" s="12"/>
      <c r="X358" s="12">
        <v>65.0</v>
      </c>
      <c r="Y358" s="12">
        <f t="shared" ref="Y358:Y363" si="36">X358*H358</f>
        <v>6500</v>
      </c>
      <c r="Z358" s="67"/>
      <c r="AA358" s="12"/>
      <c r="AB358" s="12"/>
      <c r="AC358" s="67"/>
      <c r="AD358" s="12"/>
      <c r="AE358" s="12"/>
      <c r="AF358" s="12"/>
    </row>
    <row r="359" ht="45.0" customHeight="1">
      <c r="A359" s="6">
        <v>323.0</v>
      </c>
      <c r="B359" s="6" t="s">
        <v>173</v>
      </c>
      <c r="C359" s="6" t="s">
        <v>1333</v>
      </c>
      <c r="D359" s="6" t="s">
        <v>1334</v>
      </c>
      <c r="E359" s="7" t="s">
        <v>1335</v>
      </c>
      <c r="F359" s="8" t="s">
        <v>1330</v>
      </c>
      <c r="G359" s="6">
        <v>100.0</v>
      </c>
      <c r="H359" s="6">
        <v>100.0</v>
      </c>
      <c r="I359" s="6"/>
      <c r="J359" s="6">
        <f t="shared" si="35"/>
        <v>0</v>
      </c>
      <c r="K359" s="6" t="s">
        <v>178</v>
      </c>
      <c r="L359" s="7"/>
      <c r="M359" s="7" t="s">
        <v>66</v>
      </c>
      <c r="N359" s="7"/>
      <c r="O359" s="10" t="s">
        <v>1336</v>
      </c>
      <c r="P359" s="6" t="str">
        <f>IMAGE("https://m.media-amazon.com/images/I/31ye7Xw2PpL.jpg",1)</f>
        <v/>
      </c>
      <c r="Q359" s="64"/>
      <c r="R359" s="65"/>
      <c r="S359" s="66"/>
      <c r="T359" s="12"/>
      <c r="U359" s="11"/>
      <c r="V359" s="12"/>
      <c r="W359" s="12"/>
      <c r="X359" s="12"/>
      <c r="Y359" s="12">
        <f t="shared" si="36"/>
        <v>0</v>
      </c>
      <c r="Z359" s="67"/>
      <c r="AA359" s="12"/>
      <c r="AB359" s="12"/>
      <c r="AC359" s="67"/>
      <c r="AD359" s="12"/>
      <c r="AE359" s="12"/>
      <c r="AF359" s="12"/>
    </row>
    <row r="360" ht="45.0" customHeight="1">
      <c r="A360" s="6">
        <v>324.0</v>
      </c>
      <c r="B360" s="6" t="s">
        <v>173</v>
      </c>
      <c r="C360" s="6" t="s">
        <v>1337</v>
      </c>
      <c r="D360" s="6" t="s">
        <v>1338</v>
      </c>
      <c r="E360" s="7" t="s">
        <v>1339</v>
      </c>
      <c r="F360" s="8" t="s">
        <v>1330</v>
      </c>
      <c r="G360" s="6">
        <v>10.0</v>
      </c>
      <c r="H360" s="6">
        <v>10.0</v>
      </c>
      <c r="I360" s="6"/>
      <c r="J360" s="6">
        <f t="shared" si="35"/>
        <v>0</v>
      </c>
      <c r="K360" s="6" t="s">
        <v>178</v>
      </c>
      <c r="L360" s="7" t="s">
        <v>65</v>
      </c>
      <c r="M360" s="7" t="s">
        <v>249</v>
      </c>
      <c r="N360" s="7" t="s">
        <v>1340</v>
      </c>
      <c r="O360" s="10" t="s">
        <v>1341</v>
      </c>
      <c r="P360" s="6" t="str">
        <f>IMAGE("https://m.media-amazon.com/images/I/414cC-M+nlL._SL1000_.jpg",1)</f>
        <v/>
      </c>
      <c r="Q360" s="64"/>
      <c r="R360" s="65"/>
      <c r="S360" s="66"/>
      <c r="T360" s="12"/>
      <c r="U360" s="11"/>
      <c r="V360" s="12"/>
      <c r="W360" s="12"/>
      <c r="X360" s="12">
        <v>200.0</v>
      </c>
      <c r="Y360" s="12">
        <f t="shared" si="36"/>
        <v>2000</v>
      </c>
      <c r="Z360" s="67"/>
      <c r="AA360" s="12"/>
      <c r="AB360" s="12"/>
      <c r="AC360" s="67"/>
      <c r="AD360" s="12"/>
      <c r="AE360" s="12"/>
      <c r="AF360" s="12"/>
    </row>
    <row r="361" ht="45.0" customHeight="1">
      <c r="A361" s="6">
        <v>325.0</v>
      </c>
      <c r="B361" s="6" t="s">
        <v>173</v>
      </c>
      <c r="C361" s="6" t="s">
        <v>1342</v>
      </c>
      <c r="D361" s="6" t="s">
        <v>1343</v>
      </c>
      <c r="E361" s="7" t="s">
        <v>1344</v>
      </c>
      <c r="F361" s="8" t="s">
        <v>1330</v>
      </c>
      <c r="G361" s="6">
        <v>100.0</v>
      </c>
      <c r="H361" s="6">
        <v>100.0</v>
      </c>
      <c r="I361" s="6"/>
      <c r="J361" s="6">
        <f t="shared" si="35"/>
        <v>0</v>
      </c>
      <c r="K361" s="6" t="s">
        <v>178</v>
      </c>
      <c r="L361" s="7" t="s">
        <v>65</v>
      </c>
      <c r="M361" s="7" t="s">
        <v>1345</v>
      </c>
      <c r="N361" s="7" t="s">
        <v>1346</v>
      </c>
      <c r="O361" s="10" t="s">
        <v>1347</v>
      </c>
      <c r="P361" s="6" t="str">
        <f>IMAGE("https://m.media-amazon.com/images/I/31nb9BadkoL.jpg",1)</f>
        <v/>
      </c>
      <c r="Q361" s="64"/>
      <c r="R361" s="65"/>
      <c r="S361" s="66"/>
      <c r="T361" s="12"/>
      <c r="U361" s="11"/>
      <c r="V361" s="12"/>
      <c r="W361" s="12"/>
      <c r="X361" s="12"/>
      <c r="Y361" s="12">
        <f t="shared" si="36"/>
        <v>0</v>
      </c>
      <c r="Z361" s="67"/>
      <c r="AA361" s="12"/>
      <c r="AB361" s="12"/>
      <c r="AC361" s="67"/>
      <c r="AD361" s="12"/>
      <c r="AE361" s="12"/>
      <c r="AF361" s="12"/>
    </row>
    <row r="362" ht="45.0" customHeight="1">
      <c r="A362" s="6">
        <v>326.0</v>
      </c>
      <c r="B362" s="6" t="s">
        <v>342</v>
      </c>
      <c r="C362" s="6" t="s">
        <v>1348</v>
      </c>
      <c r="D362" s="6" t="s">
        <v>1349</v>
      </c>
      <c r="E362" s="7" t="s">
        <v>1350</v>
      </c>
      <c r="F362" s="8" t="s">
        <v>1330</v>
      </c>
      <c r="G362" s="6">
        <v>1.0</v>
      </c>
      <c r="H362" s="6">
        <v>1.0</v>
      </c>
      <c r="I362" s="6"/>
      <c r="J362" s="6">
        <f t="shared" si="35"/>
        <v>0</v>
      </c>
      <c r="K362" s="6" t="s">
        <v>347</v>
      </c>
      <c r="L362" s="7" t="s">
        <v>47</v>
      </c>
      <c r="M362" s="16" t="s">
        <v>65</v>
      </c>
      <c r="N362" s="7"/>
      <c r="O362" s="10" t="s">
        <v>1351</v>
      </c>
      <c r="P362" s="6" t="str">
        <f>IMAGE("https://5.imimg.com/data5/SELLER/Default/2023/1/CR/QN/CU/119456209/b22-cap-punching-tool-1000x1000.jpg",1)</f>
        <v/>
      </c>
      <c r="Q362" s="64"/>
      <c r="R362" s="65"/>
      <c r="S362" s="66"/>
      <c r="T362" s="12"/>
      <c r="U362" s="11"/>
      <c r="V362" s="12"/>
      <c r="W362" s="12" t="s">
        <v>144</v>
      </c>
      <c r="X362" s="12">
        <v>1000.0</v>
      </c>
      <c r="Y362" s="12">
        <f t="shared" si="36"/>
        <v>1000</v>
      </c>
      <c r="Z362" s="67"/>
      <c r="AA362" s="12"/>
      <c r="AB362" s="12"/>
      <c r="AC362" s="67"/>
      <c r="AD362" s="12"/>
      <c r="AE362" s="12"/>
      <c r="AF362" s="12"/>
    </row>
    <row r="363" ht="45.0" customHeight="1">
      <c r="A363" s="6">
        <v>327.0</v>
      </c>
      <c r="B363" s="6" t="s">
        <v>342</v>
      </c>
      <c r="C363" s="6" t="s">
        <v>1352</v>
      </c>
      <c r="D363" s="6" t="s">
        <v>1353</v>
      </c>
      <c r="E363" s="7" t="s">
        <v>1354</v>
      </c>
      <c r="F363" s="8" t="s">
        <v>1330</v>
      </c>
      <c r="G363" s="6">
        <v>1.0</v>
      </c>
      <c r="H363" s="6">
        <v>1.0</v>
      </c>
      <c r="I363" s="6"/>
      <c r="J363" s="6">
        <f t="shared" si="35"/>
        <v>0</v>
      </c>
      <c r="K363" s="6" t="s">
        <v>347</v>
      </c>
      <c r="L363" s="7" t="s">
        <v>47</v>
      </c>
      <c r="M363" s="7"/>
      <c r="N363" s="7"/>
      <c r="O363" s="10" t="s">
        <v>1355</v>
      </c>
      <c r="P363" s="6" t="str">
        <f>IMAGE("https://m.media-amazon.com/images/I/31xTdt3sfiL.jpg",1)</f>
        <v/>
      </c>
      <c r="Q363" s="64"/>
      <c r="R363" s="65"/>
      <c r="S363" s="66"/>
      <c r="T363" s="12"/>
      <c r="U363" s="11"/>
      <c r="V363" s="12"/>
      <c r="W363" s="12" t="s">
        <v>144</v>
      </c>
      <c r="X363" s="12">
        <v>2000.0</v>
      </c>
      <c r="Y363" s="12">
        <f t="shared" si="36"/>
        <v>2000</v>
      </c>
      <c r="Z363" s="67"/>
      <c r="AA363" s="12"/>
      <c r="AB363" s="12"/>
      <c r="AC363" s="67"/>
      <c r="AD363" s="12"/>
      <c r="AE363" s="12"/>
      <c r="AF363" s="12"/>
    </row>
    <row r="364" ht="27.75" customHeight="1">
      <c r="A364" s="50" t="s">
        <v>1728</v>
      </c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2"/>
      <c r="P364" s="53"/>
      <c r="Q364" s="54"/>
      <c r="R364" s="55"/>
      <c r="S364" s="55"/>
      <c r="T364" s="56"/>
      <c r="U364" s="56"/>
      <c r="V364" s="56"/>
      <c r="W364" s="56"/>
      <c r="X364" s="56"/>
      <c r="Y364" s="56"/>
      <c r="Z364" s="57"/>
      <c r="AA364" s="56"/>
      <c r="AB364" s="56"/>
      <c r="AC364" s="57"/>
      <c r="AD364" s="56"/>
      <c r="AE364" s="56"/>
      <c r="AF364" s="56"/>
    </row>
    <row r="365" ht="24.0" customHeight="1">
      <c r="A365" s="59" t="s">
        <v>0</v>
      </c>
      <c r="B365" s="59"/>
      <c r="C365" s="59"/>
      <c r="D365" s="59" t="s">
        <v>1</v>
      </c>
      <c r="E365" s="60" t="s">
        <v>2</v>
      </c>
      <c r="F365" s="59" t="s">
        <v>3</v>
      </c>
      <c r="G365" s="59" t="s">
        <v>4</v>
      </c>
      <c r="H365" s="59" t="s">
        <v>5</v>
      </c>
      <c r="I365" s="59" t="s">
        <v>6</v>
      </c>
      <c r="J365" s="59" t="s">
        <v>7</v>
      </c>
      <c r="K365" s="59" t="s">
        <v>8</v>
      </c>
      <c r="L365" s="60" t="s">
        <v>9</v>
      </c>
      <c r="M365" s="60" t="s">
        <v>10</v>
      </c>
      <c r="N365" s="61" t="s">
        <v>11</v>
      </c>
      <c r="O365" s="59" t="s">
        <v>12</v>
      </c>
      <c r="P365" s="62" t="s">
        <v>13</v>
      </c>
      <c r="Q365" s="4" t="s">
        <v>13</v>
      </c>
      <c r="R365" s="4" t="s">
        <v>13</v>
      </c>
      <c r="S365" s="4" t="s">
        <v>13</v>
      </c>
      <c r="T365" s="4" t="s">
        <v>13</v>
      </c>
      <c r="U365" s="4" t="s">
        <v>14</v>
      </c>
      <c r="V365" s="5"/>
      <c r="W365" s="5"/>
      <c r="X365" s="5"/>
      <c r="Y365" s="5"/>
      <c r="Z365" s="63"/>
      <c r="AA365" s="5"/>
      <c r="AB365" s="5"/>
      <c r="AC365" s="63"/>
      <c r="AD365" s="5"/>
      <c r="AE365" s="5"/>
      <c r="AF365" s="5"/>
    </row>
    <row r="366" ht="45.0" customHeight="1">
      <c r="A366" s="6">
        <v>328.0</v>
      </c>
      <c r="B366" s="6" t="s">
        <v>173</v>
      </c>
      <c r="C366" s="6" t="s">
        <v>1356</v>
      </c>
      <c r="D366" s="6" t="s">
        <v>1357</v>
      </c>
      <c r="E366" s="7" t="s">
        <v>1358</v>
      </c>
      <c r="F366" s="8" t="s">
        <v>1359</v>
      </c>
      <c r="G366" s="9">
        <v>15.0</v>
      </c>
      <c r="H366" s="9">
        <v>15.0</v>
      </c>
      <c r="I366" s="9">
        <v>250.0</v>
      </c>
      <c r="J366" s="6">
        <f t="shared" ref="J366:J373" si="37">I366*H366</f>
        <v>3750</v>
      </c>
      <c r="K366" s="6" t="s">
        <v>178</v>
      </c>
      <c r="L366" s="7"/>
      <c r="M366" s="7" t="s">
        <v>22</v>
      </c>
      <c r="N366" s="7"/>
      <c r="O366" s="10" t="s">
        <v>1360</v>
      </c>
      <c r="P366" s="6" t="str">
        <f>IMAGE("https://robu.in/wp-content/uploads/2017/11/mg995-high-speed-digital-metal-gear-2bb-torque-rc-for-servo-hpi-savage-xl-2.jpg",1)</f>
        <v/>
      </c>
      <c r="Q366" s="64" t="s">
        <v>1688</v>
      </c>
      <c r="R366" s="65"/>
      <c r="S366" s="66"/>
      <c r="T366" s="12"/>
      <c r="U366" s="11">
        <v>1.0</v>
      </c>
      <c r="V366" s="12"/>
      <c r="W366" s="12"/>
      <c r="X366" s="12"/>
      <c r="Y366" s="12"/>
      <c r="Z366" s="67"/>
      <c r="AA366" s="12"/>
      <c r="AB366" s="12"/>
      <c r="AC366" s="67"/>
      <c r="AD366" s="12"/>
      <c r="AE366" s="12"/>
      <c r="AF366" s="12"/>
    </row>
    <row r="367" ht="45.0" customHeight="1">
      <c r="A367" s="6">
        <v>329.0</v>
      </c>
      <c r="B367" s="6" t="s">
        <v>173</v>
      </c>
      <c r="C367" s="6" t="s">
        <v>1361</v>
      </c>
      <c r="D367" s="6" t="s">
        <v>1362</v>
      </c>
      <c r="E367" s="7" t="s">
        <v>1363</v>
      </c>
      <c r="F367" s="8" t="s">
        <v>1359</v>
      </c>
      <c r="G367" s="9">
        <v>30.0</v>
      </c>
      <c r="H367" s="9">
        <v>30.0</v>
      </c>
      <c r="I367" s="9">
        <v>55.0</v>
      </c>
      <c r="J367" s="6">
        <f t="shared" si="37"/>
        <v>1650</v>
      </c>
      <c r="K367" s="6" t="s">
        <v>178</v>
      </c>
      <c r="L367" s="7"/>
      <c r="M367" s="7" t="s">
        <v>249</v>
      </c>
      <c r="N367" s="7"/>
      <c r="O367" s="10" t="s">
        <v>1364</v>
      </c>
      <c r="P367" s="6" t="str">
        <f t="shared" ref="P367:P368" si="38">IMAGE("https://m.media-amazon.com/images/W/MEDIAX_792452-T2/images/I/21bgQSzvxLL.jpg",1)</f>
        <v/>
      </c>
      <c r="Q367" s="64" t="s">
        <v>1688</v>
      </c>
      <c r="R367" s="65"/>
      <c r="S367" s="66"/>
      <c r="T367" s="12"/>
      <c r="U367" s="11">
        <v>1.0</v>
      </c>
      <c r="V367" s="12"/>
      <c r="W367" s="12"/>
      <c r="X367" s="12"/>
      <c r="Y367" s="12"/>
      <c r="Z367" s="67"/>
      <c r="AA367" s="12"/>
      <c r="AB367" s="12"/>
      <c r="AC367" s="67"/>
      <c r="AD367" s="12"/>
      <c r="AE367" s="12"/>
      <c r="AF367" s="12"/>
    </row>
    <row r="368" ht="45.0" customHeight="1">
      <c r="A368" s="6">
        <v>330.0</v>
      </c>
      <c r="B368" s="6" t="s">
        <v>173</v>
      </c>
      <c r="C368" s="6" t="s">
        <v>1365</v>
      </c>
      <c r="D368" s="6" t="s">
        <v>1366</v>
      </c>
      <c r="E368" s="7" t="s">
        <v>1367</v>
      </c>
      <c r="F368" s="8" t="s">
        <v>1359</v>
      </c>
      <c r="G368" s="9">
        <v>30.0</v>
      </c>
      <c r="H368" s="9">
        <v>30.0</v>
      </c>
      <c r="I368" s="9">
        <v>55.0</v>
      </c>
      <c r="J368" s="6">
        <f t="shared" si="37"/>
        <v>1650</v>
      </c>
      <c r="K368" s="6" t="s">
        <v>178</v>
      </c>
      <c r="L368" s="7"/>
      <c r="M368" s="7" t="s">
        <v>249</v>
      </c>
      <c r="N368" s="7" t="s">
        <v>1368</v>
      </c>
      <c r="O368" s="10" t="s">
        <v>1369</v>
      </c>
      <c r="P368" s="6" t="str">
        <f t="shared" si="38"/>
        <v/>
      </c>
      <c r="Q368" s="64" t="s">
        <v>1688</v>
      </c>
      <c r="R368" s="65"/>
      <c r="S368" s="66"/>
      <c r="T368" s="12"/>
      <c r="U368" s="11">
        <v>1.0</v>
      </c>
      <c r="V368" s="12"/>
      <c r="W368" s="12"/>
      <c r="X368" s="12"/>
      <c r="Y368" s="12"/>
      <c r="Z368" s="67"/>
      <c r="AA368" s="12"/>
      <c r="AB368" s="12"/>
      <c r="AC368" s="67"/>
      <c r="AD368" s="12"/>
      <c r="AE368" s="12"/>
      <c r="AF368" s="12"/>
    </row>
    <row r="369" ht="45.0" customHeight="1">
      <c r="A369" s="6">
        <v>331.0</v>
      </c>
      <c r="B369" s="6" t="s">
        <v>173</v>
      </c>
      <c r="C369" s="6" t="s">
        <v>1370</v>
      </c>
      <c r="D369" s="6" t="s">
        <v>1371</v>
      </c>
      <c r="E369" s="7" t="s">
        <v>1372</v>
      </c>
      <c r="F369" s="8" t="s">
        <v>1359</v>
      </c>
      <c r="G369" s="9">
        <v>30.0</v>
      </c>
      <c r="H369" s="9">
        <v>30.0</v>
      </c>
      <c r="I369" s="9">
        <v>30.0</v>
      </c>
      <c r="J369" s="6">
        <f t="shared" si="37"/>
        <v>900</v>
      </c>
      <c r="K369" s="6" t="s">
        <v>178</v>
      </c>
      <c r="L369" s="7"/>
      <c r="M369" s="7" t="s">
        <v>22</v>
      </c>
      <c r="N369" s="7" t="s">
        <v>1368</v>
      </c>
      <c r="O369" s="10" t="s">
        <v>1373</v>
      </c>
      <c r="P369" s="6" t="str">
        <f>IMAGE("https://5.imimg.com/data5/DJ/PF/TV/SELLER-95692783/bo-wheel-500x500.jpg",1)</f>
        <v/>
      </c>
      <c r="Q369" s="64" t="s">
        <v>1688</v>
      </c>
      <c r="R369" s="65"/>
      <c r="S369" s="66"/>
      <c r="T369" s="12"/>
      <c r="U369" s="11">
        <v>1.0</v>
      </c>
      <c r="V369" s="12"/>
      <c r="W369" s="12"/>
      <c r="X369" s="12"/>
      <c r="Y369" s="12"/>
      <c r="Z369" s="67"/>
      <c r="AA369" s="12"/>
      <c r="AB369" s="12"/>
      <c r="AC369" s="67"/>
      <c r="AD369" s="12"/>
      <c r="AE369" s="12"/>
      <c r="AF369" s="12"/>
    </row>
    <row r="370" ht="45.0" customHeight="1">
      <c r="A370" s="6">
        <v>332.0</v>
      </c>
      <c r="B370" s="6" t="s">
        <v>173</v>
      </c>
      <c r="C370" s="6" t="s">
        <v>1374</v>
      </c>
      <c r="D370" s="6" t="s">
        <v>1375</v>
      </c>
      <c r="E370" s="7" t="s">
        <v>1376</v>
      </c>
      <c r="F370" s="8" t="s">
        <v>1359</v>
      </c>
      <c r="G370" s="9">
        <v>20.0</v>
      </c>
      <c r="H370" s="9">
        <v>20.0</v>
      </c>
      <c r="I370" s="9">
        <v>50.0</v>
      </c>
      <c r="J370" s="6">
        <f t="shared" si="37"/>
        <v>1000</v>
      </c>
      <c r="K370" s="6" t="s">
        <v>178</v>
      </c>
      <c r="L370" s="7"/>
      <c r="M370" s="7" t="s">
        <v>179</v>
      </c>
      <c r="N370" s="7"/>
      <c r="O370" s="10" t="s">
        <v>1377</v>
      </c>
      <c r="P370" s="6" t="str">
        <f>IMAGE("https://aryabot.in/wp-content/uploads/2023/10/castor-wheel-big-550x550w.webp",1)</f>
        <v/>
      </c>
      <c r="Q370" s="64" t="s">
        <v>1688</v>
      </c>
      <c r="R370" s="65"/>
      <c r="S370" s="66"/>
      <c r="T370" s="12"/>
      <c r="U370" s="11">
        <v>1.0</v>
      </c>
      <c r="V370" s="12"/>
      <c r="W370" s="12"/>
      <c r="X370" s="12"/>
      <c r="Y370" s="12"/>
      <c r="Z370" s="67"/>
      <c r="AA370" s="12"/>
      <c r="AB370" s="12"/>
      <c r="AC370" s="67"/>
      <c r="AD370" s="12"/>
      <c r="AE370" s="12"/>
      <c r="AF370" s="12"/>
    </row>
    <row r="371" ht="45.0" customHeight="1">
      <c r="A371" s="6">
        <v>333.0</v>
      </c>
      <c r="B371" s="6" t="s">
        <v>173</v>
      </c>
      <c r="C371" s="6" t="s">
        <v>1378</v>
      </c>
      <c r="D371" s="6" t="s">
        <v>1379</v>
      </c>
      <c r="E371" s="7" t="s">
        <v>1380</v>
      </c>
      <c r="F371" s="8" t="s">
        <v>1359</v>
      </c>
      <c r="G371" s="9">
        <v>10.0</v>
      </c>
      <c r="H371" s="9">
        <v>10.0</v>
      </c>
      <c r="I371" s="9">
        <v>20.0</v>
      </c>
      <c r="J371" s="6">
        <f t="shared" si="37"/>
        <v>200</v>
      </c>
      <c r="K371" s="6" t="s">
        <v>178</v>
      </c>
      <c r="L371" s="7"/>
      <c r="M371" s="7" t="s">
        <v>193</v>
      </c>
      <c r="N371" s="7"/>
      <c r="O371" s="10" t="s">
        <v>1381</v>
      </c>
      <c r="P371" s="6" t="str">
        <f>IMAGE("https://robu.in/wp-content/uploads/2020/09/DC3-6V-130-DIY-Toy-Motor-2-Pcs.-1.png",1)</f>
        <v/>
      </c>
      <c r="Q371" s="64" t="s">
        <v>1688</v>
      </c>
      <c r="R371" s="68"/>
      <c r="S371" s="69"/>
      <c r="T371" s="12"/>
      <c r="U371" s="11">
        <v>1.0</v>
      </c>
      <c r="V371" s="12"/>
      <c r="W371" s="12"/>
      <c r="Y371" s="12"/>
      <c r="Z371" s="67"/>
      <c r="AA371" s="12"/>
      <c r="AB371" s="12"/>
      <c r="AC371" s="67"/>
      <c r="AD371" s="12"/>
      <c r="AE371" s="12"/>
      <c r="AF371" s="12"/>
    </row>
    <row r="372" ht="45.0" customHeight="1">
      <c r="A372" s="6">
        <v>334.0</v>
      </c>
      <c r="B372" s="6" t="s">
        <v>173</v>
      </c>
      <c r="C372" s="6" t="s">
        <v>1382</v>
      </c>
      <c r="D372" s="6" t="s">
        <v>1383</v>
      </c>
      <c r="E372" s="7" t="s">
        <v>1384</v>
      </c>
      <c r="F372" s="8" t="s">
        <v>1359</v>
      </c>
      <c r="G372" s="9">
        <v>30.0</v>
      </c>
      <c r="H372" s="9">
        <v>30.0</v>
      </c>
      <c r="I372" s="9">
        <v>250.0</v>
      </c>
      <c r="J372" s="6">
        <f t="shared" si="37"/>
        <v>7500</v>
      </c>
      <c r="K372" s="6" t="s">
        <v>178</v>
      </c>
      <c r="L372" s="7"/>
      <c r="M372" s="7" t="s">
        <v>22</v>
      </c>
      <c r="N372" s="7"/>
      <c r="O372" s="10" t="s">
        <v>1385</v>
      </c>
      <c r="P372" s="6" t="str">
        <f>IMAGE("https://i0.wp.com/www.circuituncle.com/wp-content/uploads/2019/10/mg90s.png?fit=1001%2C1001&amp;ssl=1",1)</f>
        <v/>
      </c>
      <c r="Q372" s="64" t="s">
        <v>1688</v>
      </c>
      <c r="R372" s="65"/>
      <c r="S372" s="66"/>
      <c r="T372" s="12"/>
      <c r="U372" s="11"/>
      <c r="V372" s="12"/>
      <c r="W372" s="12"/>
      <c r="X372" s="12"/>
      <c r="Y372" s="12"/>
      <c r="Z372" s="67"/>
      <c r="AA372" s="12"/>
      <c r="AB372" s="12"/>
      <c r="AC372" s="67"/>
      <c r="AD372" s="12"/>
      <c r="AE372" s="12"/>
      <c r="AF372" s="12"/>
    </row>
    <row r="373" ht="45.0" customHeight="1">
      <c r="A373" s="6">
        <v>335.0</v>
      </c>
      <c r="B373" s="6" t="s">
        <v>173</v>
      </c>
      <c r="C373" s="6" t="s">
        <v>1386</v>
      </c>
      <c r="D373" s="6" t="s">
        <v>1387</v>
      </c>
      <c r="E373" s="7" t="s">
        <v>1388</v>
      </c>
      <c r="F373" s="8" t="s">
        <v>1359</v>
      </c>
      <c r="G373" s="9">
        <v>5.0</v>
      </c>
      <c r="H373" s="9">
        <v>5.0</v>
      </c>
      <c r="I373" s="9">
        <v>90.0</v>
      </c>
      <c r="J373" s="6">
        <f t="shared" si="37"/>
        <v>450</v>
      </c>
      <c r="K373" s="6" t="s">
        <v>178</v>
      </c>
      <c r="L373" s="7"/>
      <c r="M373" s="7" t="s">
        <v>599</v>
      </c>
      <c r="N373" s="7"/>
      <c r="O373" s="10"/>
      <c r="P373" s="6" t="str">
        <f>IMAGE("https://robu.in/wp-content/uploads/2016/04/61nEdk-NxSL._SY355_.jpg",1)</f>
        <v/>
      </c>
      <c r="Q373" s="64" t="s">
        <v>1688</v>
      </c>
      <c r="R373" s="65"/>
      <c r="S373" s="66"/>
      <c r="T373" s="12"/>
      <c r="U373" s="11">
        <v>1.0</v>
      </c>
      <c r="V373" s="12"/>
      <c r="W373" s="12"/>
      <c r="X373" s="12"/>
      <c r="Y373" s="12"/>
      <c r="Z373" s="67"/>
      <c r="AA373" s="12"/>
      <c r="AB373" s="12"/>
      <c r="AC373" s="67"/>
      <c r="AD373" s="12"/>
      <c r="AE373" s="12"/>
      <c r="AF373" s="12"/>
    </row>
    <row r="374" ht="45.0" customHeight="1">
      <c r="A374" s="6">
        <v>336.0</v>
      </c>
      <c r="B374" s="6" t="s">
        <v>173</v>
      </c>
      <c r="C374" s="6" t="s">
        <v>1389</v>
      </c>
      <c r="D374" s="6" t="s">
        <v>1390</v>
      </c>
      <c r="E374" s="7" t="s">
        <v>1391</v>
      </c>
      <c r="F374" s="8" t="s">
        <v>1359</v>
      </c>
      <c r="G374" s="20">
        <v>26.0</v>
      </c>
      <c r="H374" s="20">
        <v>26.0</v>
      </c>
      <c r="I374" s="6"/>
      <c r="J374" s="6"/>
      <c r="K374" s="6" t="s">
        <v>178</v>
      </c>
      <c r="L374" s="7"/>
      <c r="M374" s="7" t="s">
        <v>249</v>
      </c>
      <c r="N374" s="7"/>
      <c r="O374" s="10" t="s">
        <v>1392</v>
      </c>
      <c r="P374" s="6" t="str">
        <f>IMAGE("https://robu.in/wp-content/uploads/2023/09/34.jpg",1)</f>
        <v/>
      </c>
      <c r="Q374" s="64"/>
      <c r="R374" s="65"/>
      <c r="S374" s="66"/>
      <c r="T374" s="12"/>
      <c r="U374" s="11"/>
      <c r="V374" s="12"/>
      <c r="W374" s="12"/>
      <c r="X374" s="12"/>
      <c r="Y374" s="12"/>
      <c r="Z374" s="67"/>
      <c r="AA374" s="12"/>
      <c r="AB374" s="12"/>
      <c r="AC374" s="67"/>
      <c r="AD374" s="12"/>
      <c r="AE374" s="12"/>
      <c r="AF374" s="12"/>
    </row>
    <row r="375" ht="45.0" customHeight="1">
      <c r="A375" s="6">
        <v>337.0</v>
      </c>
      <c r="B375" s="6" t="s">
        <v>173</v>
      </c>
      <c r="C375" s="6" t="s">
        <v>1393</v>
      </c>
      <c r="D375" s="6" t="s">
        <v>1394</v>
      </c>
      <c r="E375" s="7" t="s">
        <v>1395</v>
      </c>
      <c r="F375" s="8" t="s">
        <v>1359</v>
      </c>
      <c r="G375" s="9">
        <v>15.0</v>
      </c>
      <c r="H375" s="9">
        <v>15.0</v>
      </c>
      <c r="I375" s="9">
        <v>400.0</v>
      </c>
      <c r="J375" s="6">
        <f>I375*H375</f>
        <v>6000</v>
      </c>
      <c r="K375" s="6" t="s">
        <v>178</v>
      </c>
      <c r="L375" s="7"/>
      <c r="M375" s="7" t="s">
        <v>249</v>
      </c>
      <c r="N375" s="7"/>
      <c r="O375" s="10" t="s">
        <v>1396</v>
      </c>
      <c r="P375" s="6" t="str">
        <f>IMAGE("https://cdn.shopify.com/s/files/1/0088/0056/7392/products/Stepper_motor_with_Driver_board.jpg?v=1552579276",1)</f>
        <v/>
      </c>
      <c r="Q375" s="64" t="s">
        <v>1688</v>
      </c>
      <c r="R375" s="65"/>
      <c r="S375" s="66"/>
      <c r="T375" s="12"/>
      <c r="U375" s="11">
        <v>1.0</v>
      </c>
      <c r="V375" s="12"/>
      <c r="W375" s="12"/>
      <c r="X375" s="12"/>
      <c r="Y375" s="12"/>
      <c r="Z375" s="67"/>
      <c r="AA375" s="12"/>
      <c r="AB375" s="12"/>
      <c r="AC375" s="67"/>
      <c r="AD375" s="12"/>
      <c r="AE375" s="12"/>
      <c r="AF375" s="12"/>
    </row>
    <row r="376" ht="27.75" customHeight="1">
      <c r="A376" s="50" t="s">
        <v>1400</v>
      </c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2"/>
      <c r="P376" s="53"/>
      <c r="Q376" s="54"/>
      <c r="R376" s="55"/>
      <c r="S376" s="55"/>
      <c r="T376" s="56"/>
      <c r="U376" s="56"/>
      <c r="V376" s="56"/>
      <c r="W376" s="56"/>
      <c r="X376" s="56"/>
      <c r="Y376" s="56"/>
      <c r="Z376" s="57"/>
      <c r="AA376" s="56"/>
      <c r="AB376" s="56"/>
      <c r="AC376" s="57"/>
      <c r="AD376" s="56"/>
      <c r="AE376" s="56"/>
      <c r="AF376" s="56"/>
    </row>
    <row r="377" ht="24.0" customHeight="1">
      <c r="A377" s="59" t="s">
        <v>0</v>
      </c>
      <c r="B377" s="59"/>
      <c r="C377" s="59"/>
      <c r="D377" s="59" t="s">
        <v>1</v>
      </c>
      <c r="E377" s="60" t="s">
        <v>2</v>
      </c>
      <c r="F377" s="59" t="s">
        <v>3</v>
      </c>
      <c r="G377" s="59" t="s">
        <v>4</v>
      </c>
      <c r="H377" s="59" t="s">
        <v>5</v>
      </c>
      <c r="I377" s="59" t="s">
        <v>6</v>
      </c>
      <c r="J377" s="59" t="s">
        <v>7</v>
      </c>
      <c r="K377" s="59" t="s">
        <v>8</v>
      </c>
      <c r="L377" s="60" t="s">
        <v>9</v>
      </c>
      <c r="M377" s="60" t="s">
        <v>10</v>
      </c>
      <c r="N377" s="61" t="s">
        <v>11</v>
      </c>
      <c r="O377" s="59" t="s">
        <v>12</v>
      </c>
      <c r="P377" s="62" t="s">
        <v>13</v>
      </c>
      <c r="Q377" s="4" t="s">
        <v>13</v>
      </c>
      <c r="R377" s="4" t="s">
        <v>13</v>
      </c>
      <c r="S377" s="4" t="s">
        <v>13</v>
      </c>
      <c r="T377" s="4" t="s">
        <v>13</v>
      </c>
      <c r="U377" s="4" t="s">
        <v>14</v>
      </c>
      <c r="V377" s="5"/>
      <c r="W377" s="5"/>
      <c r="X377" s="5"/>
      <c r="Y377" s="5"/>
      <c r="Z377" s="63"/>
      <c r="AA377" s="5"/>
      <c r="AB377" s="5"/>
      <c r="AC377" s="63"/>
      <c r="AD377" s="5"/>
      <c r="AE377" s="5"/>
      <c r="AF377" s="5"/>
    </row>
    <row r="378" ht="45.0" customHeight="1">
      <c r="A378" s="6">
        <v>338.0</v>
      </c>
      <c r="B378" s="6" t="s">
        <v>342</v>
      </c>
      <c r="C378" s="6" t="s">
        <v>1397</v>
      </c>
      <c r="D378" s="6" t="s">
        <v>1398</v>
      </c>
      <c r="E378" s="7" t="s">
        <v>1399</v>
      </c>
      <c r="F378" s="8" t="s">
        <v>1400</v>
      </c>
      <c r="G378" s="6">
        <v>1.0</v>
      </c>
      <c r="H378" s="6">
        <v>1.0</v>
      </c>
      <c r="I378" s="6"/>
      <c r="J378" s="6">
        <f t="shared" ref="J378:J382" si="39">I378*H378</f>
        <v>0</v>
      </c>
      <c r="K378" s="6" t="s">
        <v>347</v>
      </c>
      <c r="L378" s="7"/>
      <c r="M378" s="7"/>
      <c r="N378" s="7"/>
      <c r="O378" s="10" t="s">
        <v>1401</v>
      </c>
      <c r="P378" s="6" t="str">
        <f>IMAGE("https://m.media-amazon.com/images/I/41giw5t2ycL.jpg",1)</f>
        <v/>
      </c>
      <c r="Q378" s="71" t="s">
        <v>1689</v>
      </c>
      <c r="R378" s="65"/>
      <c r="S378" s="66"/>
      <c r="T378" s="12"/>
      <c r="U378" s="11">
        <v>0.0</v>
      </c>
      <c r="V378" s="12"/>
      <c r="W378" s="12"/>
      <c r="X378" s="12"/>
      <c r="Y378" s="12"/>
      <c r="Z378" s="67"/>
      <c r="AA378" s="12"/>
      <c r="AB378" s="12"/>
      <c r="AC378" s="67"/>
      <c r="AD378" s="12"/>
      <c r="AE378" s="12"/>
      <c r="AF378" s="12"/>
    </row>
    <row r="379" ht="45.0" customHeight="1">
      <c r="A379" s="6">
        <v>339.0</v>
      </c>
      <c r="B379" s="6" t="s">
        <v>342</v>
      </c>
      <c r="C379" s="6" t="s">
        <v>1402</v>
      </c>
      <c r="D379" s="6" t="s">
        <v>1403</v>
      </c>
      <c r="E379" s="7" t="s">
        <v>1404</v>
      </c>
      <c r="F379" s="8" t="s">
        <v>1400</v>
      </c>
      <c r="G379" s="6">
        <v>1.0</v>
      </c>
      <c r="H379" s="6">
        <v>1.0</v>
      </c>
      <c r="I379" s="6">
        <v>700.0</v>
      </c>
      <c r="J379" s="6">
        <f t="shared" si="39"/>
        <v>700</v>
      </c>
      <c r="K379" s="6" t="s">
        <v>347</v>
      </c>
      <c r="L379" s="7"/>
      <c r="M379" s="7"/>
      <c r="N379" s="7"/>
      <c r="O379" s="10"/>
      <c r="P379" s="6" t="str">
        <f>IMAGE("https://m.media-amazon.com/images/I/71vAZkeQh9L._SL1500_.jpg",1)</f>
        <v/>
      </c>
      <c r="Q379" s="71" t="s">
        <v>1689</v>
      </c>
      <c r="R379" s="65"/>
      <c r="S379" s="66"/>
      <c r="T379" s="12"/>
      <c r="U379" s="11">
        <v>0.0</v>
      </c>
      <c r="V379" s="12"/>
      <c r="W379" s="12"/>
      <c r="X379" s="12"/>
      <c r="Y379" s="12"/>
      <c r="Z379" s="67"/>
      <c r="AA379" s="12"/>
      <c r="AB379" s="12"/>
      <c r="AC379" s="67"/>
      <c r="AD379" s="12"/>
      <c r="AE379" s="12"/>
      <c r="AF379" s="12"/>
    </row>
    <row r="380" ht="45.0" customHeight="1">
      <c r="A380" s="6">
        <v>340.0</v>
      </c>
      <c r="B380" s="6" t="s">
        <v>342</v>
      </c>
      <c r="C380" s="6" t="s">
        <v>1405</v>
      </c>
      <c r="D380" s="6" t="s">
        <v>1406</v>
      </c>
      <c r="E380" s="7" t="s">
        <v>1407</v>
      </c>
      <c r="F380" s="8" t="s">
        <v>1400</v>
      </c>
      <c r="G380" s="6"/>
      <c r="H380" s="6">
        <v>1.0</v>
      </c>
      <c r="I380" s="6"/>
      <c r="J380" s="6">
        <f t="shared" si="39"/>
        <v>0</v>
      </c>
      <c r="K380" s="6" t="s">
        <v>347</v>
      </c>
      <c r="L380" s="7" t="s">
        <v>65</v>
      </c>
      <c r="M380" s="7" t="s">
        <v>249</v>
      </c>
      <c r="N380" s="7" t="s">
        <v>1408</v>
      </c>
      <c r="O380" s="10" t="s">
        <v>1409</v>
      </c>
      <c r="P380" s="6" t="str">
        <f>IMAGE("https://www.racknsell.com/public/thumbs/products/1138/pvc-solvent7_500_500.jpg",1)</f>
        <v/>
      </c>
      <c r="Q380" s="64"/>
      <c r="R380" s="65"/>
      <c r="S380" s="66"/>
      <c r="T380" s="12"/>
      <c r="U380" s="11"/>
      <c r="V380" s="12"/>
      <c r="W380" s="12"/>
      <c r="X380" s="12"/>
      <c r="Y380" s="12"/>
      <c r="Z380" s="67"/>
      <c r="AA380" s="12"/>
      <c r="AB380" s="12"/>
      <c r="AC380" s="67"/>
      <c r="AD380" s="12"/>
      <c r="AE380" s="12"/>
      <c r="AF380" s="12"/>
    </row>
    <row r="381" ht="45.0" customHeight="1">
      <c r="A381" s="6">
        <v>341.0</v>
      </c>
      <c r="B381" s="6" t="s">
        <v>342</v>
      </c>
      <c r="C381" s="6" t="s">
        <v>1410</v>
      </c>
      <c r="D381" s="6" t="s">
        <v>1411</v>
      </c>
      <c r="E381" s="7" t="s">
        <v>1412</v>
      </c>
      <c r="F381" s="8" t="s">
        <v>1400</v>
      </c>
      <c r="G381" s="6">
        <v>5.0</v>
      </c>
      <c r="H381" s="6">
        <v>5.0</v>
      </c>
      <c r="I381" s="6">
        <v>20.0</v>
      </c>
      <c r="J381" s="6">
        <f t="shared" si="39"/>
        <v>100</v>
      </c>
      <c r="K381" s="6" t="s">
        <v>347</v>
      </c>
      <c r="L381" s="7"/>
      <c r="M381" s="7" t="s">
        <v>249</v>
      </c>
      <c r="N381" s="7" t="s">
        <v>1408</v>
      </c>
      <c r="O381" s="18" t="s">
        <v>1413</v>
      </c>
      <c r="P381" s="6" t="str">
        <f>IMAGE("https://m.media-amazon.com/images/I/61saUYFEn9L._SL1500_.jpg",1)</f>
        <v/>
      </c>
      <c r="Q381" s="64"/>
      <c r="R381" s="65"/>
      <c r="S381" s="66"/>
      <c r="T381" s="12"/>
      <c r="U381" s="11"/>
      <c r="V381" s="12"/>
      <c r="W381" s="12"/>
      <c r="X381" s="12"/>
      <c r="Y381" s="12"/>
      <c r="Z381" s="67"/>
      <c r="AA381" s="12"/>
      <c r="AB381" s="12"/>
      <c r="AC381" s="67"/>
      <c r="AD381" s="12"/>
      <c r="AE381" s="12"/>
      <c r="AF381" s="12"/>
    </row>
    <row r="382" ht="45.0" customHeight="1">
      <c r="A382" s="6">
        <v>342.0</v>
      </c>
      <c r="B382" s="6" t="s">
        <v>342</v>
      </c>
      <c r="C382" s="6" t="s">
        <v>1414</v>
      </c>
      <c r="D382" s="6" t="s">
        <v>1415</v>
      </c>
      <c r="E382" s="7" t="s">
        <v>1416</v>
      </c>
      <c r="F382" s="8" t="s">
        <v>1400</v>
      </c>
      <c r="G382" s="6">
        <v>1.0</v>
      </c>
      <c r="H382" s="6">
        <v>1.0</v>
      </c>
      <c r="I382" s="6"/>
      <c r="J382" s="6">
        <f t="shared" si="39"/>
        <v>0</v>
      </c>
      <c r="K382" s="6" t="s">
        <v>347</v>
      </c>
      <c r="L382" s="7"/>
      <c r="M382" s="7"/>
      <c r="N382" s="7"/>
      <c r="O382" s="10" t="s">
        <v>1417</v>
      </c>
      <c r="P382" s="6" t="str">
        <f>IMAGE("https://m.media-amazon.com/images/I/61zRix8Lt0L._SL1500_.jpg",1)</f>
        <v/>
      </c>
      <c r="Q382" s="71" t="s">
        <v>1689</v>
      </c>
      <c r="R382" s="65"/>
      <c r="S382" s="66" t="s">
        <v>1729</v>
      </c>
      <c r="T382" s="12"/>
      <c r="U382" s="11">
        <v>0.0</v>
      </c>
      <c r="V382" s="12"/>
      <c r="W382" s="12"/>
      <c r="X382" s="12"/>
      <c r="Y382" s="12"/>
      <c r="Z382" s="67"/>
      <c r="AA382" s="12"/>
      <c r="AB382" s="12"/>
      <c r="AC382" s="67"/>
      <c r="AD382" s="12"/>
      <c r="AE382" s="12"/>
      <c r="AF382" s="12"/>
    </row>
    <row r="383" ht="27.75" customHeight="1">
      <c r="A383" s="50" t="s">
        <v>1730</v>
      </c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2"/>
      <c r="P383" s="53"/>
      <c r="Q383" s="54"/>
      <c r="R383" s="55"/>
      <c r="S383" s="55"/>
      <c r="T383" s="56"/>
      <c r="U383" s="56"/>
      <c r="V383" s="56"/>
      <c r="W383" s="56"/>
      <c r="X383" s="56"/>
      <c r="Y383" s="56"/>
      <c r="Z383" s="57"/>
      <c r="AA383" s="56"/>
      <c r="AB383" s="56"/>
      <c r="AC383" s="57"/>
      <c r="AD383" s="56"/>
      <c r="AE383" s="56"/>
      <c r="AF383" s="56"/>
    </row>
    <row r="384" ht="24.0" customHeight="1">
      <c r="A384" s="59" t="s">
        <v>0</v>
      </c>
      <c r="B384" s="59"/>
      <c r="C384" s="59"/>
      <c r="D384" s="59" t="s">
        <v>1</v>
      </c>
      <c r="E384" s="60" t="s">
        <v>2</v>
      </c>
      <c r="F384" s="59" t="s">
        <v>3</v>
      </c>
      <c r="G384" s="59" t="s">
        <v>4</v>
      </c>
      <c r="H384" s="59" t="s">
        <v>5</v>
      </c>
      <c r="I384" s="59" t="s">
        <v>6</v>
      </c>
      <c r="J384" s="59" t="s">
        <v>7</v>
      </c>
      <c r="K384" s="59" t="s">
        <v>8</v>
      </c>
      <c r="L384" s="60" t="s">
        <v>9</v>
      </c>
      <c r="M384" s="60" t="s">
        <v>10</v>
      </c>
      <c r="N384" s="61" t="s">
        <v>11</v>
      </c>
      <c r="O384" s="59" t="s">
        <v>12</v>
      </c>
      <c r="P384" s="62" t="s">
        <v>13</v>
      </c>
      <c r="Q384" s="4" t="s">
        <v>13</v>
      </c>
      <c r="R384" s="4" t="s">
        <v>13</v>
      </c>
      <c r="S384" s="4" t="s">
        <v>13</v>
      </c>
      <c r="T384" s="4" t="s">
        <v>13</v>
      </c>
      <c r="U384" s="4" t="s">
        <v>14</v>
      </c>
      <c r="V384" s="5"/>
      <c r="W384" s="5"/>
      <c r="X384" s="5"/>
      <c r="Y384" s="5"/>
      <c r="Z384" s="63"/>
      <c r="AA384" s="5"/>
      <c r="AB384" s="5"/>
      <c r="AC384" s="63"/>
      <c r="AD384" s="5"/>
      <c r="AE384" s="5"/>
      <c r="AF384" s="5"/>
    </row>
    <row r="385" ht="45.0" customHeight="1">
      <c r="A385" s="6">
        <v>343.0</v>
      </c>
      <c r="B385" s="6" t="s">
        <v>15</v>
      </c>
      <c r="C385" s="6" t="s">
        <v>1418</v>
      </c>
      <c r="D385" s="6" t="s">
        <v>1419</v>
      </c>
      <c r="E385" s="7" t="s">
        <v>1420</v>
      </c>
      <c r="F385" s="8" t="s">
        <v>1421</v>
      </c>
      <c r="G385" s="6">
        <v>10.0</v>
      </c>
      <c r="H385" s="6">
        <v>10.0</v>
      </c>
      <c r="I385" s="6">
        <v>150.0</v>
      </c>
      <c r="J385" s="6">
        <f t="shared" ref="J385:J397" si="40">I385*H385</f>
        <v>1500</v>
      </c>
      <c r="K385" s="6" t="s">
        <v>20</v>
      </c>
      <c r="L385" s="7" t="s">
        <v>65</v>
      </c>
      <c r="M385" s="7"/>
      <c r="N385" s="7"/>
      <c r="O385" s="10" t="s">
        <v>1422</v>
      </c>
      <c r="P385" s="6" t="str">
        <f>IMAGE("https://5.imimg.com/data5/AC/TD/VT/SELLER-14930302/milky-white-acrylic-sheet.jpg",1)</f>
        <v/>
      </c>
      <c r="Q385" s="70"/>
      <c r="R385" s="65"/>
      <c r="S385" s="66"/>
      <c r="T385" s="12"/>
      <c r="U385" s="11">
        <v>0.0</v>
      </c>
      <c r="V385" s="12"/>
      <c r="W385" s="12"/>
      <c r="X385" s="12"/>
      <c r="Y385" s="12"/>
      <c r="Z385" s="67"/>
      <c r="AA385" s="12"/>
      <c r="AB385" s="12"/>
      <c r="AC385" s="67"/>
      <c r="AD385" s="12"/>
      <c r="AE385" s="12"/>
      <c r="AF385" s="12"/>
    </row>
    <row r="386" ht="45.0" customHeight="1">
      <c r="A386" s="6">
        <v>344.0</v>
      </c>
      <c r="B386" s="6" t="s">
        <v>15</v>
      </c>
      <c r="C386" s="6" t="s">
        <v>1423</v>
      </c>
      <c r="D386" s="6" t="s">
        <v>1424</v>
      </c>
      <c r="E386" s="7" t="s">
        <v>1425</v>
      </c>
      <c r="F386" s="8" t="s">
        <v>1421</v>
      </c>
      <c r="G386" s="6">
        <v>5.0</v>
      </c>
      <c r="H386" s="6">
        <v>5.0</v>
      </c>
      <c r="I386" s="6">
        <v>300.0</v>
      </c>
      <c r="J386" s="6">
        <f t="shared" si="40"/>
        <v>1500</v>
      </c>
      <c r="K386" s="6" t="s">
        <v>20</v>
      </c>
      <c r="L386" s="7" t="s">
        <v>65</v>
      </c>
      <c r="M386" s="7" t="s">
        <v>66</v>
      </c>
      <c r="N386" s="7" t="s">
        <v>1426</v>
      </c>
      <c r="O386" s="10" t="s">
        <v>1427</v>
      </c>
      <c r="P386" s="6" t="str">
        <f>IMAGE("https://imgs.michaels.com/MAM/assets/1/5E3C12034D34434F8A9BAAFDDF0F8E1B/img/5CDBB82051B44720A8F8901B4AABD77C/10446567_2.jpg",1)</f>
        <v/>
      </c>
      <c r="Q386" s="70"/>
      <c r="R386" s="65"/>
      <c r="S386" s="66"/>
      <c r="T386" s="12"/>
      <c r="U386" s="11">
        <v>0.0</v>
      </c>
      <c r="V386" s="12"/>
      <c r="W386" s="12"/>
      <c r="X386" s="12"/>
      <c r="Y386" s="12"/>
      <c r="Z386" s="67"/>
      <c r="AA386" s="12"/>
      <c r="AB386" s="12"/>
      <c r="AC386" s="67"/>
      <c r="AD386" s="12"/>
      <c r="AE386" s="12"/>
      <c r="AF386" s="12"/>
    </row>
    <row r="387" ht="45.0" customHeight="1">
      <c r="A387" s="6">
        <v>345.0</v>
      </c>
      <c r="B387" s="6" t="s">
        <v>15</v>
      </c>
      <c r="C387" s="6" t="s">
        <v>1428</v>
      </c>
      <c r="D387" s="6" t="s">
        <v>1429</v>
      </c>
      <c r="E387" s="7" t="s">
        <v>1430</v>
      </c>
      <c r="F387" s="8" t="s">
        <v>1421</v>
      </c>
      <c r="G387" s="6">
        <v>5.0</v>
      </c>
      <c r="H387" s="6">
        <v>5.0</v>
      </c>
      <c r="I387" s="6">
        <v>200.0</v>
      </c>
      <c r="J387" s="6">
        <f t="shared" si="40"/>
        <v>1000</v>
      </c>
      <c r="K387" s="6" t="s">
        <v>20</v>
      </c>
      <c r="L387" s="7" t="s">
        <v>65</v>
      </c>
      <c r="M387" s="7" t="s">
        <v>66</v>
      </c>
      <c r="N387" s="7" t="s">
        <v>1431</v>
      </c>
      <c r="O387" s="10"/>
      <c r="P387" s="6" t="str">
        <f>IMAGE("https://upload.wikimedia.org/wikipedia/commons/7/79/Polymer_clay_examples.jpg",1)</f>
        <v/>
      </c>
      <c r="Q387" s="64"/>
      <c r="R387" s="65"/>
      <c r="S387" s="66"/>
      <c r="T387" s="12"/>
      <c r="U387" s="11">
        <v>0.0</v>
      </c>
      <c r="V387" s="12"/>
      <c r="W387" s="12"/>
      <c r="X387" s="12"/>
      <c r="Y387" s="12"/>
      <c r="Z387" s="67"/>
      <c r="AA387" s="12"/>
      <c r="AB387" s="12"/>
      <c r="AC387" s="67"/>
      <c r="AD387" s="12"/>
      <c r="AE387" s="12"/>
      <c r="AF387" s="12"/>
    </row>
    <row r="388" ht="45.0" customHeight="1">
      <c r="A388" s="6">
        <v>346.0</v>
      </c>
      <c r="B388" s="6" t="s">
        <v>15</v>
      </c>
      <c r="C388" s="6" t="s">
        <v>1432</v>
      </c>
      <c r="D388" s="6" t="s">
        <v>1433</v>
      </c>
      <c r="E388" s="7" t="s">
        <v>1434</v>
      </c>
      <c r="F388" s="8" t="s">
        <v>1421</v>
      </c>
      <c r="G388" s="9">
        <v>1.0</v>
      </c>
      <c r="H388" s="9">
        <v>1.0</v>
      </c>
      <c r="I388" s="9">
        <v>200.0</v>
      </c>
      <c r="J388" s="6">
        <f t="shared" si="40"/>
        <v>200</v>
      </c>
      <c r="K388" s="6" t="s">
        <v>20</v>
      </c>
      <c r="L388" s="7" t="s">
        <v>21</v>
      </c>
      <c r="M388" s="7" t="s">
        <v>65</v>
      </c>
      <c r="N388" s="7" t="s">
        <v>1435</v>
      </c>
      <c r="O388" s="10" t="s">
        <v>1436</v>
      </c>
      <c r="P388" s="6" t="str">
        <f>IMAGE("https://m.media-amazon.com/images/I/81PowerIGsL._SL1500_.jpg")</f>
        <v/>
      </c>
      <c r="Q388" s="64"/>
      <c r="R388" s="65"/>
      <c r="S388" s="66"/>
      <c r="T388" s="12"/>
      <c r="U388" s="11">
        <v>0.0</v>
      </c>
      <c r="V388" s="12"/>
      <c r="W388" s="12"/>
      <c r="X388" s="12"/>
      <c r="Y388" s="12"/>
      <c r="Z388" s="67"/>
      <c r="AA388" s="12"/>
      <c r="AB388" s="12"/>
      <c r="AC388" s="67"/>
      <c r="AD388" s="12"/>
      <c r="AE388" s="12"/>
      <c r="AF388" s="12"/>
    </row>
    <row r="389" ht="45.0" customHeight="1">
      <c r="A389" s="6">
        <v>347.0</v>
      </c>
      <c r="B389" s="6" t="s">
        <v>15</v>
      </c>
      <c r="C389" s="6" t="s">
        <v>1437</v>
      </c>
      <c r="D389" s="6" t="s">
        <v>1438</v>
      </c>
      <c r="E389" s="7" t="s">
        <v>1439</v>
      </c>
      <c r="F389" s="8" t="s">
        <v>1421</v>
      </c>
      <c r="G389" s="9">
        <v>5.0</v>
      </c>
      <c r="H389" s="9">
        <v>5.0</v>
      </c>
      <c r="I389" s="9">
        <v>50.0</v>
      </c>
      <c r="J389" s="6">
        <f t="shared" si="40"/>
        <v>250</v>
      </c>
      <c r="K389" s="6" t="s">
        <v>20</v>
      </c>
      <c r="L389" s="7" t="s">
        <v>65</v>
      </c>
      <c r="M389" s="7" t="s">
        <v>65</v>
      </c>
      <c r="N389" s="7"/>
      <c r="O389" s="10" t="s">
        <v>1440</v>
      </c>
      <c r="P389" s="6" t="str">
        <f>IMAGE("https://cdn.shopify.com/s/files/1/0032/5448/5037/products/suvidha-aluminium-foil-72-meters-pack-of-12_800x.jpg?v=1562920856",1)</f>
        <v/>
      </c>
      <c r="Q389" s="64"/>
      <c r="R389" s="65"/>
      <c r="S389" s="66"/>
      <c r="T389" s="12"/>
      <c r="U389" s="11">
        <v>0.0</v>
      </c>
      <c r="V389" s="12"/>
      <c r="W389" s="12"/>
      <c r="X389" s="5"/>
      <c r="Y389" s="5"/>
      <c r="Z389" s="63"/>
      <c r="AA389" s="5"/>
      <c r="AB389" s="5"/>
      <c r="AC389" s="63"/>
      <c r="AD389" s="5"/>
      <c r="AE389" s="5"/>
      <c r="AF389" s="5"/>
    </row>
    <row r="390" ht="45.0" customHeight="1">
      <c r="A390" s="6">
        <v>348.0</v>
      </c>
      <c r="B390" s="6" t="s">
        <v>15</v>
      </c>
      <c r="C390" s="6" t="s">
        <v>1441</v>
      </c>
      <c r="D390" s="6" t="s">
        <v>1442</v>
      </c>
      <c r="E390" s="7" t="s">
        <v>936</v>
      </c>
      <c r="F390" s="8" t="s">
        <v>1421</v>
      </c>
      <c r="G390" s="9">
        <v>4.0</v>
      </c>
      <c r="H390" s="9">
        <v>4.0</v>
      </c>
      <c r="I390" s="9">
        <v>20.0</v>
      </c>
      <c r="J390" s="6">
        <f t="shared" si="40"/>
        <v>80</v>
      </c>
      <c r="K390" s="6" t="s">
        <v>20</v>
      </c>
      <c r="L390" s="7" t="s">
        <v>77</v>
      </c>
      <c r="M390" s="7" t="s">
        <v>66</v>
      </c>
      <c r="N390" s="7"/>
      <c r="O390" s="10" t="s">
        <v>1443</v>
      </c>
      <c r="P390" s="6" t="str">
        <f>IMAGE("https://m.media-amazon.com/images/I/61ywjiydpbS._SL1500_.jpg",1)</f>
        <v/>
      </c>
      <c r="Q390" s="64"/>
      <c r="R390" s="65"/>
      <c r="S390" s="66"/>
      <c r="T390" s="12"/>
      <c r="U390" s="11">
        <v>0.0</v>
      </c>
      <c r="V390" s="12"/>
      <c r="W390" s="12"/>
      <c r="X390" s="12"/>
      <c r="Y390" s="12"/>
      <c r="Z390" s="67"/>
      <c r="AA390" s="12"/>
      <c r="AB390" s="12"/>
      <c r="AC390" s="67"/>
      <c r="AD390" s="12"/>
      <c r="AE390" s="12"/>
      <c r="AF390" s="12"/>
    </row>
    <row r="391" ht="45.0" hidden="1" customHeight="1">
      <c r="A391" s="6">
        <v>349.0</v>
      </c>
      <c r="B391" s="6" t="s">
        <v>15</v>
      </c>
      <c r="C391" s="6" t="s">
        <v>1444</v>
      </c>
      <c r="D391" s="6" t="s">
        <v>1445</v>
      </c>
      <c r="E391" s="7" t="s">
        <v>1446</v>
      </c>
      <c r="F391" s="8" t="s">
        <v>1421</v>
      </c>
      <c r="G391" s="9">
        <v>5.0</v>
      </c>
      <c r="H391" s="9">
        <v>5.0</v>
      </c>
      <c r="I391" s="9">
        <v>100.0</v>
      </c>
      <c r="J391" s="6">
        <f t="shared" si="40"/>
        <v>500</v>
      </c>
      <c r="K391" s="6" t="s">
        <v>20</v>
      </c>
      <c r="L391" s="7" t="s">
        <v>65</v>
      </c>
      <c r="M391" s="16" t="s">
        <v>65</v>
      </c>
      <c r="N391" s="7"/>
      <c r="O391" s="10" t="s">
        <v>1447</v>
      </c>
      <c r="P391" s="6" t="str">
        <f t="shared" ref="P391:P392" si="41">IMAGE("https://m.media-amazon.com/images/I/51FB8cHTJyL._SL1500_.jpg",1)</f>
        <v/>
      </c>
      <c r="Q391" s="64"/>
      <c r="R391" s="65"/>
      <c r="S391" s="66"/>
      <c r="T391" s="12"/>
      <c r="U391" s="11">
        <v>0.0</v>
      </c>
      <c r="V391" s="12"/>
      <c r="W391" s="12"/>
      <c r="X391" s="12"/>
      <c r="Y391" s="12"/>
      <c r="Z391" s="67"/>
      <c r="AA391" s="12"/>
      <c r="AB391" s="12"/>
      <c r="AC391" s="67"/>
      <c r="AD391" s="12"/>
      <c r="AE391" s="12"/>
      <c r="AF391" s="12"/>
    </row>
    <row r="392" ht="45.0" hidden="1" customHeight="1">
      <c r="A392" s="6">
        <v>350.0</v>
      </c>
      <c r="B392" s="6" t="s">
        <v>15</v>
      </c>
      <c r="C392" s="6" t="s">
        <v>1448</v>
      </c>
      <c r="D392" s="6" t="s">
        <v>1449</v>
      </c>
      <c r="E392" s="7" t="s">
        <v>1450</v>
      </c>
      <c r="F392" s="8" t="s">
        <v>1421</v>
      </c>
      <c r="G392" s="9">
        <v>5.0</v>
      </c>
      <c r="H392" s="9">
        <v>5.0</v>
      </c>
      <c r="I392" s="9">
        <v>200.0</v>
      </c>
      <c r="J392" s="6">
        <f t="shared" si="40"/>
        <v>1000</v>
      </c>
      <c r="K392" s="6" t="s">
        <v>20</v>
      </c>
      <c r="L392" s="7" t="s">
        <v>65</v>
      </c>
      <c r="M392" s="16" t="s">
        <v>65</v>
      </c>
      <c r="N392" s="7"/>
      <c r="O392" s="10" t="s">
        <v>1451</v>
      </c>
      <c r="P392" s="6" t="str">
        <f t="shared" si="41"/>
        <v/>
      </c>
      <c r="Q392" s="64"/>
      <c r="R392" s="65"/>
      <c r="S392" s="66"/>
      <c r="T392" s="12"/>
      <c r="U392" s="11">
        <v>0.0</v>
      </c>
      <c r="V392" s="12"/>
      <c r="W392" s="12"/>
      <c r="X392" s="12"/>
      <c r="Y392" s="12"/>
      <c r="Z392" s="67"/>
      <c r="AA392" s="12"/>
      <c r="AB392" s="12"/>
      <c r="AC392" s="67"/>
      <c r="AD392" s="12"/>
      <c r="AE392" s="12"/>
      <c r="AF392" s="12"/>
    </row>
    <row r="393" ht="45.0" customHeight="1">
      <c r="A393" s="6">
        <v>351.0</v>
      </c>
      <c r="B393" s="6" t="s">
        <v>15</v>
      </c>
      <c r="C393" s="6" t="s">
        <v>1452</v>
      </c>
      <c r="D393" s="6" t="s">
        <v>1453</v>
      </c>
      <c r="E393" s="7" t="s">
        <v>1454</v>
      </c>
      <c r="F393" s="8" t="s">
        <v>1421</v>
      </c>
      <c r="G393" s="9">
        <v>50.0</v>
      </c>
      <c r="H393" s="9">
        <v>50.0</v>
      </c>
      <c r="I393" s="9">
        <v>50.0</v>
      </c>
      <c r="J393" s="6">
        <f t="shared" si="40"/>
        <v>2500</v>
      </c>
      <c r="K393" s="6" t="s">
        <v>20</v>
      </c>
      <c r="L393" s="7" t="s">
        <v>65</v>
      </c>
      <c r="M393" s="7" t="s">
        <v>82</v>
      </c>
      <c r="N393" s="7"/>
      <c r="O393" s="10" t="s">
        <v>1455</v>
      </c>
      <c r="P393" s="6" t="str">
        <f>IMAGE("https://cdn11.bigcommerce.com/s-33iv1gdknl/images/stencil/1280x1280/products/115465/70691/prd_32014_5797121027228__12010.1559545680.jpg?c=2",1)</f>
        <v/>
      </c>
      <c r="Q393" s="64"/>
      <c r="R393" s="65"/>
      <c r="S393" s="66"/>
      <c r="T393" s="5"/>
      <c r="U393" s="14">
        <v>0.0</v>
      </c>
      <c r="V393" s="5"/>
      <c r="W393" s="5"/>
      <c r="X393" s="12"/>
      <c r="Y393" s="12"/>
      <c r="Z393" s="67"/>
      <c r="AA393" s="12"/>
      <c r="AB393" s="12"/>
      <c r="AC393" s="67"/>
      <c r="AD393" s="12"/>
      <c r="AE393" s="12"/>
      <c r="AF393" s="12"/>
    </row>
    <row r="394" ht="45.0" customHeight="1">
      <c r="A394" s="6">
        <v>352.0</v>
      </c>
      <c r="B394" s="6" t="s">
        <v>15</v>
      </c>
      <c r="C394" s="6" t="s">
        <v>1456</v>
      </c>
      <c r="D394" s="6" t="s">
        <v>1457</v>
      </c>
      <c r="E394" s="7" t="s">
        <v>1458</v>
      </c>
      <c r="F394" s="8" t="s">
        <v>1421</v>
      </c>
      <c r="G394" s="9">
        <v>10.0</v>
      </c>
      <c r="H394" s="9">
        <v>10.0</v>
      </c>
      <c r="I394" s="9">
        <v>280.0</v>
      </c>
      <c r="J394" s="6">
        <f t="shared" si="40"/>
        <v>2800</v>
      </c>
      <c r="K394" s="6" t="s">
        <v>20</v>
      </c>
      <c r="L394" s="7" t="s">
        <v>65</v>
      </c>
      <c r="M394" s="7" t="s">
        <v>82</v>
      </c>
      <c r="N394" s="7"/>
      <c r="O394" s="10"/>
      <c r="P394" s="6" t="str">
        <f>IMAGE("https://assetscdn1.paytm.com/images/catalog/product/S/ST/STAEVA-FOAM-SHEKAPI63599336D8CB51/1563562065545_0..jpg?imwidth=320&amp;impolicy=hq",1)</f>
        <v/>
      </c>
      <c r="Q394" s="64"/>
      <c r="R394" s="65"/>
      <c r="S394" s="66"/>
      <c r="T394" s="12"/>
      <c r="U394" s="11">
        <v>0.0</v>
      </c>
      <c r="V394" s="12"/>
      <c r="W394" s="12"/>
      <c r="X394" s="12"/>
      <c r="Y394" s="12"/>
      <c r="Z394" s="67"/>
      <c r="AA394" s="12"/>
      <c r="AB394" s="12"/>
      <c r="AC394" s="67"/>
      <c r="AD394" s="12"/>
      <c r="AE394" s="12"/>
      <c r="AF394" s="12"/>
    </row>
    <row r="395" ht="45.0" customHeight="1">
      <c r="A395" s="6">
        <v>353.0</v>
      </c>
      <c r="B395" s="6" t="s">
        <v>15</v>
      </c>
      <c r="C395" s="6" t="s">
        <v>1459</v>
      </c>
      <c r="D395" s="6" t="s">
        <v>1460</v>
      </c>
      <c r="E395" s="7" t="s">
        <v>1461</v>
      </c>
      <c r="F395" s="8" t="s">
        <v>1421</v>
      </c>
      <c r="G395" s="9">
        <v>1.0</v>
      </c>
      <c r="H395" s="9">
        <v>1.0</v>
      </c>
      <c r="I395" s="9">
        <v>400.0</v>
      </c>
      <c r="J395" s="6">
        <f t="shared" si="40"/>
        <v>400</v>
      </c>
      <c r="K395" s="6" t="s">
        <v>20</v>
      </c>
      <c r="L395" s="7" t="s">
        <v>65</v>
      </c>
      <c r="M395" s="7" t="s">
        <v>82</v>
      </c>
      <c r="N395" s="7" t="s">
        <v>1462</v>
      </c>
      <c r="O395" s="10" t="s">
        <v>1463</v>
      </c>
      <c r="P395" s="6" t="str">
        <f>IMAGE("https://5.imimg.com/data5/NA/SV/MA/SELLER-5806248/transparent-ohp-sheet-1000x1000.jpg",1)</f>
        <v/>
      </c>
      <c r="Q395" s="64"/>
      <c r="R395" s="65"/>
      <c r="S395" s="66"/>
      <c r="T395" s="12"/>
      <c r="U395" s="11">
        <v>0.0</v>
      </c>
      <c r="V395" s="12"/>
      <c r="W395" s="12"/>
      <c r="X395" s="12"/>
      <c r="Y395" s="12"/>
      <c r="Z395" s="67"/>
      <c r="AA395" s="12"/>
      <c r="AB395" s="12"/>
      <c r="AC395" s="67"/>
      <c r="AD395" s="12"/>
      <c r="AE395" s="12"/>
      <c r="AF395" s="12"/>
    </row>
    <row r="396" ht="45.0" customHeight="1">
      <c r="A396" s="6">
        <v>354.0</v>
      </c>
      <c r="B396" s="6" t="s">
        <v>15</v>
      </c>
      <c r="C396" s="6" t="s">
        <v>1464</v>
      </c>
      <c r="D396" s="6" t="s">
        <v>1465</v>
      </c>
      <c r="E396" s="7" t="s">
        <v>1466</v>
      </c>
      <c r="F396" s="8" t="s">
        <v>1421</v>
      </c>
      <c r="G396" s="9">
        <v>10.0</v>
      </c>
      <c r="H396" s="9">
        <v>10.0</v>
      </c>
      <c r="I396" s="9">
        <v>72.0</v>
      </c>
      <c r="J396" s="6">
        <f t="shared" si="40"/>
        <v>720</v>
      </c>
      <c r="K396" s="6" t="s">
        <v>20</v>
      </c>
      <c r="L396" s="7" t="s">
        <v>65</v>
      </c>
      <c r="M396" s="7" t="s">
        <v>82</v>
      </c>
      <c r="N396" s="7"/>
      <c r="O396" s="18" t="s">
        <v>1467</v>
      </c>
      <c r="P396" s="6" t="str">
        <f>IMAGE("https://www.ramsayrubber.com/wp-content/uploads/2020/01/Rolls-Sheeting-Polyurethane-Foam-Rolls2-1.jpg",1)</f>
        <v/>
      </c>
      <c r="Q396" s="64"/>
      <c r="R396" s="65"/>
      <c r="S396" s="66"/>
      <c r="T396" s="12"/>
      <c r="U396" s="11">
        <v>0.0</v>
      </c>
      <c r="V396" s="12"/>
      <c r="W396" s="12"/>
      <c r="X396" s="12"/>
      <c r="Y396" s="12"/>
      <c r="Z396" s="67"/>
      <c r="AA396" s="12"/>
      <c r="AB396" s="12"/>
      <c r="AC396" s="67"/>
      <c r="AD396" s="12"/>
      <c r="AE396" s="12"/>
      <c r="AF396" s="12"/>
    </row>
    <row r="397" ht="45.0" customHeight="1">
      <c r="A397" s="6">
        <v>355.0</v>
      </c>
      <c r="B397" s="6" t="s">
        <v>15</v>
      </c>
      <c r="C397" s="6" t="s">
        <v>1468</v>
      </c>
      <c r="D397" s="6" t="s">
        <v>1469</v>
      </c>
      <c r="E397" s="7" t="s">
        <v>1470</v>
      </c>
      <c r="F397" s="8" t="s">
        <v>1421</v>
      </c>
      <c r="G397" s="9">
        <v>1.0</v>
      </c>
      <c r="H397" s="9">
        <v>1.0</v>
      </c>
      <c r="I397" s="9">
        <v>400.0</v>
      </c>
      <c r="J397" s="6">
        <f t="shared" si="40"/>
        <v>400</v>
      </c>
      <c r="K397" s="6" t="s">
        <v>20</v>
      </c>
      <c r="L397" s="7" t="s">
        <v>21</v>
      </c>
      <c r="M397" s="7" t="s">
        <v>110</v>
      </c>
      <c r="N397" s="7" t="s">
        <v>111</v>
      </c>
      <c r="O397" s="10" t="s">
        <v>1471</v>
      </c>
      <c r="P397" s="6" t="str">
        <f>IMAGE("https://www.wpiinc.com/media/catalog/product/cache/57a65487c9a4c9d3ba2482ad45cfc757/5/0/503023.jpg",1)</f>
        <v/>
      </c>
      <c r="Q397" s="64"/>
      <c r="R397" s="65"/>
      <c r="S397" s="66"/>
      <c r="T397" s="12"/>
      <c r="U397" s="11">
        <v>0.0</v>
      </c>
      <c r="V397" s="12"/>
      <c r="W397" s="12"/>
      <c r="X397" s="12"/>
      <c r="Y397" s="12"/>
      <c r="Z397" s="67"/>
      <c r="AA397" s="12"/>
      <c r="AB397" s="12"/>
      <c r="AC397" s="67"/>
      <c r="AD397" s="12"/>
      <c r="AE397" s="12"/>
      <c r="AF397" s="12"/>
    </row>
    <row r="398" ht="27.75" customHeight="1">
      <c r="A398" s="50" t="s">
        <v>1731</v>
      </c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2"/>
      <c r="P398" s="53"/>
      <c r="Q398" s="54"/>
      <c r="R398" s="55"/>
      <c r="S398" s="55"/>
      <c r="T398" s="56"/>
      <c r="U398" s="56"/>
      <c r="V398" s="56"/>
      <c r="W398" s="56"/>
      <c r="X398" s="56"/>
      <c r="Y398" s="56"/>
      <c r="Z398" s="57"/>
      <c r="AA398" s="56"/>
      <c r="AB398" s="56"/>
      <c r="AC398" s="57"/>
      <c r="AD398" s="56"/>
      <c r="AE398" s="56"/>
      <c r="AF398" s="56"/>
    </row>
    <row r="399" ht="24.0" customHeight="1">
      <c r="A399" s="59" t="s">
        <v>0</v>
      </c>
      <c r="B399" s="59"/>
      <c r="C399" s="59"/>
      <c r="D399" s="59" t="s">
        <v>1</v>
      </c>
      <c r="E399" s="60" t="s">
        <v>2</v>
      </c>
      <c r="F399" s="59" t="s">
        <v>3</v>
      </c>
      <c r="G399" s="59" t="s">
        <v>4</v>
      </c>
      <c r="H399" s="59" t="s">
        <v>5</v>
      </c>
      <c r="I399" s="59" t="s">
        <v>6</v>
      </c>
      <c r="J399" s="59" t="s">
        <v>7</v>
      </c>
      <c r="K399" s="59" t="s">
        <v>8</v>
      </c>
      <c r="L399" s="60" t="s">
        <v>9</v>
      </c>
      <c r="M399" s="60" t="s">
        <v>10</v>
      </c>
      <c r="N399" s="61" t="s">
        <v>11</v>
      </c>
      <c r="O399" s="59" t="s">
        <v>12</v>
      </c>
      <c r="P399" s="62" t="s">
        <v>13</v>
      </c>
      <c r="Q399" s="4" t="s">
        <v>13</v>
      </c>
      <c r="R399" s="4" t="s">
        <v>13</v>
      </c>
      <c r="S399" s="4" t="s">
        <v>13</v>
      </c>
      <c r="T399" s="4" t="s">
        <v>13</v>
      </c>
      <c r="U399" s="4" t="s">
        <v>14</v>
      </c>
      <c r="V399" s="5"/>
      <c r="W399" s="5"/>
      <c r="X399" s="5"/>
      <c r="Y399" s="5"/>
      <c r="Z399" s="63"/>
      <c r="AA399" s="5"/>
      <c r="AB399" s="5"/>
      <c r="AC399" s="63"/>
      <c r="AD399" s="5"/>
      <c r="AE399" s="5"/>
      <c r="AF399" s="5"/>
    </row>
    <row r="400" ht="45.0" customHeight="1">
      <c r="A400" s="6">
        <v>356.0</v>
      </c>
      <c r="B400" s="6" t="s">
        <v>1472</v>
      </c>
      <c r="C400" s="6" t="s">
        <v>1473</v>
      </c>
      <c r="D400" s="6" t="s">
        <v>1474</v>
      </c>
      <c r="E400" s="7" t="s">
        <v>1475</v>
      </c>
      <c r="F400" s="8" t="s">
        <v>1476</v>
      </c>
      <c r="G400" s="9">
        <v>1.0</v>
      </c>
      <c r="H400" s="9">
        <v>1.0</v>
      </c>
      <c r="I400" s="9">
        <v>500.0</v>
      </c>
      <c r="J400" s="6">
        <f t="shared" ref="J400:J404" si="42">I400*H400</f>
        <v>500</v>
      </c>
      <c r="K400" s="6" t="s">
        <v>1477</v>
      </c>
      <c r="L400" s="7"/>
      <c r="M400" s="7"/>
      <c r="N400" s="7"/>
      <c r="O400" s="10" t="s">
        <v>1478</v>
      </c>
      <c r="P400" s="6" t="str">
        <f>IMAGE("https://rukminim1.flixcart.com/image/416/416/jj367bk0/fire-extinguisher-mount/w/s/y/2-kg-abc-type-fire-extinguisher-safepro-original-imaf6h7fkdngmbqd.jpeg?q=70",1)</f>
        <v/>
      </c>
      <c r="Q400" s="64"/>
      <c r="R400" s="65"/>
      <c r="S400" s="66"/>
      <c r="T400" s="12"/>
      <c r="U400" s="11">
        <v>0.0</v>
      </c>
      <c r="V400" s="12"/>
      <c r="W400" s="12" t="s">
        <v>144</v>
      </c>
      <c r="X400" s="12">
        <v>1000.0</v>
      </c>
      <c r="Y400" s="12">
        <f t="shared" ref="Y400:Y408" si="43">X400*H400</f>
        <v>1000</v>
      </c>
      <c r="Z400" s="67"/>
      <c r="AA400" s="12"/>
      <c r="AB400" s="12"/>
      <c r="AC400" s="67"/>
      <c r="AD400" s="12"/>
      <c r="AE400" s="12"/>
      <c r="AF400" s="12"/>
    </row>
    <row r="401" ht="45.0" customHeight="1">
      <c r="A401" s="6">
        <v>357.0</v>
      </c>
      <c r="B401" s="6" t="s">
        <v>1472</v>
      </c>
      <c r="C401" s="6" t="s">
        <v>1479</v>
      </c>
      <c r="D401" s="6" t="s">
        <v>1480</v>
      </c>
      <c r="E401" s="7" t="s">
        <v>1481</v>
      </c>
      <c r="F401" s="8" t="s">
        <v>1476</v>
      </c>
      <c r="G401" s="9">
        <v>1.0</v>
      </c>
      <c r="H401" s="9">
        <v>1.0</v>
      </c>
      <c r="I401" s="9">
        <v>850.0</v>
      </c>
      <c r="J401" s="6">
        <f t="shared" si="42"/>
        <v>850</v>
      </c>
      <c r="K401" s="6" t="s">
        <v>1477</v>
      </c>
      <c r="L401" s="7"/>
      <c r="M401" s="7"/>
      <c r="N401" s="7"/>
      <c r="O401" s="10" t="s">
        <v>1482</v>
      </c>
      <c r="P401" s="6" t="str">
        <f>IMAGE("https://m.media-amazon.com/images/I/61UHX6mp+wL._AC_UF894,1000_QL80_.jpg",1)</f>
        <v/>
      </c>
      <c r="Q401" s="64" t="s">
        <v>56</v>
      </c>
      <c r="R401" s="65"/>
      <c r="S401" s="66"/>
      <c r="T401" s="33"/>
      <c r="U401" s="11">
        <v>0.0</v>
      </c>
      <c r="V401" s="12"/>
      <c r="W401" s="12" t="s">
        <v>144</v>
      </c>
      <c r="X401" s="12">
        <v>750.0</v>
      </c>
      <c r="Y401" s="12">
        <f t="shared" si="43"/>
        <v>750</v>
      </c>
      <c r="Z401" s="67"/>
      <c r="AA401" s="12"/>
      <c r="AB401" s="12"/>
      <c r="AC401" s="67"/>
      <c r="AD401" s="12"/>
      <c r="AE401" s="12"/>
      <c r="AF401" s="12"/>
    </row>
    <row r="402" ht="45.0" customHeight="1">
      <c r="A402" s="6">
        <v>358.0</v>
      </c>
      <c r="B402" s="6" t="s">
        <v>1472</v>
      </c>
      <c r="C402" s="6" t="s">
        <v>1483</v>
      </c>
      <c r="D402" s="6" t="s">
        <v>1484</v>
      </c>
      <c r="E402" s="7" t="s">
        <v>1485</v>
      </c>
      <c r="F402" s="8" t="s">
        <v>1476</v>
      </c>
      <c r="G402" s="9">
        <v>1.0</v>
      </c>
      <c r="H402" s="9">
        <v>1.0</v>
      </c>
      <c r="I402" s="9">
        <v>500.0</v>
      </c>
      <c r="J402" s="6">
        <f t="shared" si="42"/>
        <v>500</v>
      </c>
      <c r="K402" s="6" t="s">
        <v>1477</v>
      </c>
      <c r="L402" s="7"/>
      <c r="M402" s="7"/>
      <c r="N402" s="7"/>
      <c r="O402" s="10" t="s">
        <v>1486</v>
      </c>
      <c r="P402" s="6" t="str">
        <f>IMAGE("https://m.media-amazon.com/images/I/41yRsXk89rS._SX355_.jpg",1)</f>
        <v/>
      </c>
      <c r="Q402" s="64"/>
      <c r="R402" s="65"/>
      <c r="S402" s="66"/>
      <c r="T402" s="33"/>
      <c r="U402" s="11">
        <v>0.0</v>
      </c>
      <c r="V402" s="12"/>
      <c r="W402" s="12"/>
      <c r="X402" s="12">
        <v>500.0</v>
      </c>
      <c r="Y402" s="12">
        <f t="shared" si="43"/>
        <v>500</v>
      </c>
      <c r="Z402" s="67"/>
      <c r="AA402" s="12"/>
      <c r="AB402" s="12"/>
      <c r="AC402" s="67"/>
      <c r="AD402" s="12"/>
      <c r="AE402" s="12"/>
      <c r="AF402" s="12"/>
    </row>
    <row r="403" ht="45.0" customHeight="1">
      <c r="A403" s="6">
        <v>359.0</v>
      </c>
      <c r="B403" s="6" t="s">
        <v>1472</v>
      </c>
      <c r="C403" s="6" t="s">
        <v>1487</v>
      </c>
      <c r="D403" s="6" t="s">
        <v>1488</v>
      </c>
      <c r="E403" s="7" t="s">
        <v>1489</v>
      </c>
      <c r="F403" s="8" t="s">
        <v>1476</v>
      </c>
      <c r="G403" s="6">
        <v>5.0</v>
      </c>
      <c r="H403" s="6">
        <v>5.0</v>
      </c>
      <c r="I403" s="6">
        <v>500.0</v>
      </c>
      <c r="J403" s="6">
        <f t="shared" si="42"/>
        <v>2500</v>
      </c>
      <c r="K403" s="6" t="s">
        <v>1477</v>
      </c>
      <c r="L403" s="7"/>
      <c r="M403" s="7"/>
      <c r="N403" s="7"/>
      <c r="O403" s="10" t="s">
        <v>1490</v>
      </c>
      <c r="P403" s="6" t="str">
        <f>IMAGE("https://5.imimg.com/data5/AR/LM/NG/SELLER-21409398/lab-uniform-500x500.jpg",1)</f>
        <v/>
      </c>
      <c r="Q403" s="64"/>
      <c r="R403" s="65"/>
      <c r="S403" s="66"/>
      <c r="T403" s="33"/>
      <c r="U403" s="11">
        <v>0.0</v>
      </c>
      <c r="V403" s="32">
        <v>1.0</v>
      </c>
      <c r="W403" s="12"/>
      <c r="X403" s="12">
        <v>350.0</v>
      </c>
      <c r="Y403" s="12">
        <f t="shared" si="43"/>
        <v>1750</v>
      </c>
      <c r="Z403" s="67"/>
      <c r="AA403" s="12"/>
      <c r="AB403" s="12"/>
      <c r="AC403" s="67"/>
      <c r="AD403" s="12"/>
      <c r="AE403" s="12"/>
      <c r="AF403" s="12"/>
    </row>
    <row r="404" ht="45.0" customHeight="1">
      <c r="A404" s="6">
        <v>360.0</v>
      </c>
      <c r="B404" s="6" t="s">
        <v>1472</v>
      </c>
      <c r="C404" s="6" t="s">
        <v>1491</v>
      </c>
      <c r="D404" s="6" t="s">
        <v>1492</v>
      </c>
      <c r="E404" s="7" t="s">
        <v>1493</v>
      </c>
      <c r="F404" s="8" t="s">
        <v>1476</v>
      </c>
      <c r="G404" s="9">
        <v>2.0</v>
      </c>
      <c r="H404" s="9">
        <v>2.0</v>
      </c>
      <c r="I404" s="9">
        <v>100.0</v>
      </c>
      <c r="J404" s="6">
        <f t="shared" si="42"/>
        <v>200</v>
      </c>
      <c r="K404" s="6" t="s">
        <v>1477</v>
      </c>
      <c r="L404" s="7"/>
      <c r="M404" s="7" t="s">
        <v>66</v>
      </c>
      <c r="N404" s="7"/>
      <c r="O404" s="10" t="s">
        <v>1494</v>
      </c>
      <c r="P404" s="6" t="str">
        <f>IMAGE("https://cdn.moglix.com/p/oBWcDtePyNEFP.jpg",1)</f>
        <v/>
      </c>
      <c r="Q404" s="64"/>
      <c r="R404" s="65"/>
      <c r="S404" s="66"/>
      <c r="T404" s="33"/>
      <c r="U404" s="11">
        <v>0.0</v>
      </c>
      <c r="V404" s="12"/>
      <c r="W404" s="12"/>
      <c r="X404" s="12">
        <v>400.0</v>
      </c>
      <c r="Y404" s="12">
        <f t="shared" si="43"/>
        <v>800</v>
      </c>
      <c r="Z404" s="67"/>
      <c r="AA404" s="12"/>
      <c r="AB404" s="12"/>
      <c r="AC404" s="67"/>
      <c r="AD404" s="12"/>
      <c r="AE404" s="12"/>
      <c r="AF404" s="12"/>
    </row>
    <row r="405" ht="45.0" customHeight="1">
      <c r="A405" s="6">
        <v>361.0</v>
      </c>
      <c r="B405" s="6" t="s">
        <v>1472</v>
      </c>
      <c r="C405" s="6" t="s">
        <v>1495</v>
      </c>
      <c r="D405" s="6" t="s">
        <v>1496</v>
      </c>
      <c r="E405" s="7" t="s">
        <v>1497</v>
      </c>
      <c r="F405" s="8" t="s">
        <v>1476</v>
      </c>
      <c r="G405" s="6">
        <v>5.0</v>
      </c>
      <c r="H405" s="6">
        <v>5.0</v>
      </c>
      <c r="I405" s="6"/>
      <c r="J405" s="6">
        <v>100.0</v>
      </c>
      <c r="K405" s="6" t="s">
        <v>1477</v>
      </c>
      <c r="L405" s="7"/>
      <c r="M405" s="7" t="s">
        <v>249</v>
      </c>
      <c r="N405" s="7"/>
      <c r="O405" s="10" t="s">
        <v>1498</v>
      </c>
      <c r="P405" s="6" t="str">
        <f>IMAGE("https://5.imimg.com/data5/SELLER/Default/2023/5/311302937/IM/IY/MO/34533827/safety-rubber-apron-1000x1000.jpg", 1)</f>
        <v/>
      </c>
      <c r="Q405" s="64"/>
      <c r="R405" s="65"/>
      <c r="S405" s="66"/>
      <c r="T405" s="33"/>
      <c r="U405" s="11">
        <v>0.0</v>
      </c>
      <c r="V405" s="12"/>
      <c r="W405" s="12"/>
      <c r="X405" s="12">
        <v>500.0</v>
      </c>
      <c r="Y405" s="12">
        <f t="shared" si="43"/>
        <v>2500</v>
      </c>
      <c r="Z405" s="67"/>
      <c r="AA405" s="12"/>
      <c r="AB405" s="12"/>
      <c r="AC405" s="67"/>
      <c r="AD405" s="12"/>
      <c r="AE405" s="12"/>
      <c r="AF405" s="12"/>
    </row>
    <row r="406" ht="45.0" customHeight="1">
      <c r="A406" s="6">
        <v>362.0</v>
      </c>
      <c r="B406" s="6" t="s">
        <v>1472</v>
      </c>
      <c r="C406" s="6" t="s">
        <v>1499</v>
      </c>
      <c r="D406" s="6" t="s">
        <v>1500</v>
      </c>
      <c r="E406" s="7" t="s">
        <v>1501</v>
      </c>
      <c r="F406" s="8" t="s">
        <v>1476</v>
      </c>
      <c r="G406" s="9">
        <v>15.0</v>
      </c>
      <c r="H406" s="9">
        <v>15.0</v>
      </c>
      <c r="I406" s="9">
        <v>70.0</v>
      </c>
      <c r="J406" s="6">
        <f t="shared" ref="J406:J408" si="44">I406*H406</f>
        <v>1050</v>
      </c>
      <c r="K406" s="6" t="s">
        <v>1477</v>
      </c>
      <c r="L406" s="7"/>
      <c r="M406" s="7" t="s">
        <v>66</v>
      </c>
      <c r="N406" s="7"/>
      <c r="O406" s="10" t="s">
        <v>1502</v>
      </c>
      <c r="P406" s="6" t="str">
        <f>IMAGE("https://5.imimg.com/data5/DM/UP/MY-3422722/latex-coated-gloves-500x500.jpg",1)</f>
        <v/>
      </c>
      <c r="Q406" s="64"/>
      <c r="R406" s="65"/>
      <c r="S406" s="66"/>
      <c r="T406" s="33"/>
      <c r="U406" s="11">
        <v>0.0</v>
      </c>
      <c r="V406" s="12"/>
      <c r="W406" s="12"/>
      <c r="X406" s="12">
        <v>30.0</v>
      </c>
      <c r="Y406" s="12">
        <f t="shared" si="43"/>
        <v>450</v>
      </c>
      <c r="Z406" s="67"/>
      <c r="AA406" s="12"/>
      <c r="AB406" s="12"/>
      <c r="AC406" s="67"/>
      <c r="AD406" s="12"/>
      <c r="AE406" s="12"/>
      <c r="AF406" s="12"/>
    </row>
    <row r="407" ht="45.0" customHeight="1">
      <c r="A407" s="6">
        <v>363.0</v>
      </c>
      <c r="B407" s="6" t="s">
        <v>1472</v>
      </c>
      <c r="C407" s="6" t="s">
        <v>1503</v>
      </c>
      <c r="D407" s="6" t="s">
        <v>1504</v>
      </c>
      <c r="E407" s="7" t="s">
        <v>1505</v>
      </c>
      <c r="F407" s="8" t="s">
        <v>1476</v>
      </c>
      <c r="G407" s="9">
        <v>30.0</v>
      </c>
      <c r="H407" s="9">
        <v>30.0</v>
      </c>
      <c r="I407" s="9">
        <v>20.0</v>
      </c>
      <c r="J407" s="6">
        <f t="shared" si="44"/>
        <v>600</v>
      </c>
      <c r="K407" s="6" t="s">
        <v>1477</v>
      </c>
      <c r="L407" s="7"/>
      <c r="M407" s="7" t="s">
        <v>22</v>
      </c>
      <c r="N407" s="7"/>
      <c r="O407" s="10" t="s">
        <v>1506</v>
      </c>
      <c r="P407" s="6" t="str">
        <f>IMAGE("https://5.imimg.com/data5/RD/NQ/ZF/SELLER-67911650/safety-goggles.jpg")</f>
        <v/>
      </c>
      <c r="Q407" s="70"/>
      <c r="R407" s="65"/>
      <c r="S407" s="66"/>
      <c r="T407" s="33"/>
      <c r="U407" s="11">
        <v>0.0</v>
      </c>
      <c r="V407" s="12"/>
      <c r="W407" s="12"/>
      <c r="X407" s="12">
        <v>40.0</v>
      </c>
      <c r="Y407" s="12">
        <f t="shared" si="43"/>
        <v>1200</v>
      </c>
      <c r="Z407" s="67"/>
      <c r="AA407" s="12"/>
      <c r="AB407" s="12"/>
      <c r="AC407" s="67"/>
      <c r="AD407" s="12"/>
      <c r="AE407" s="12"/>
      <c r="AF407" s="12"/>
    </row>
    <row r="408" ht="45.0" customHeight="1">
      <c r="A408" s="6">
        <v>364.0</v>
      </c>
      <c r="B408" s="6" t="s">
        <v>1472</v>
      </c>
      <c r="C408" s="6" t="s">
        <v>1507</v>
      </c>
      <c r="D408" s="6" t="s">
        <v>1508</v>
      </c>
      <c r="E408" s="7" t="s">
        <v>1509</v>
      </c>
      <c r="F408" s="8" t="s">
        <v>1476</v>
      </c>
      <c r="G408" s="9">
        <v>60.0</v>
      </c>
      <c r="H408" s="9">
        <v>60.0</v>
      </c>
      <c r="I408" s="9">
        <v>150.0</v>
      </c>
      <c r="J408" s="6">
        <f t="shared" si="44"/>
        <v>9000</v>
      </c>
      <c r="K408" s="6" t="s">
        <v>1477</v>
      </c>
      <c r="L408" s="7"/>
      <c r="M408" s="7"/>
      <c r="N408" s="7"/>
      <c r="O408" s="10" t="s">
        <v>1510</v>
      </c>
      <c r="P408" s="6" t="str">
        <f>IMAGE("https://img2.exportersindia.com/product_images/bc-full/dir_151/4514764/dust-masks-1499837104-3125900.jpg",1)</f>
        <v/>
      </c>
      <c r="Q408" s="64"/>
      <c r="R408" s="65"/>
      <c r="S408" s="66"/>
      <c r="T408" s="33"/>
      <c r="U408" s="11">
        <v>0.0</v>
      </c>
      <c r="V408" s="12"/>
      <c r="W408" s="12"/>
      <c r="X408" s="12">
        <v>30.0</v>
      </c>
      <c r="Y408" s="12">
        <f t="shared" si="43"/>
        <v>1800</v>
      </c>
      <c r="Z408" s="67"/>
      <c r="AA408" s="12"/>
      <c r="AB408" s="12"/>
      <c r="AC408" s="67"/>
      <c r="AD408" s="12"/>
      <c r="AE408" s="12"/>
      <c r="AF408" s="12"/>
    </row>
    <row r="409" ht="27.75" customHeight="1">
      <c r="A409" s="50" t="s">
        <v>1732</v>
      </c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2"/>
      <c r="P409" s="53"/>
      <c r="Q409" s="54"/>
      <c r="R409" s="55"/>
      <c r="S409" s="55"/>
      <c r="T409" s="56"/>
      <c r="U409" s="56"/>
      <c r="V409" s="56"/>
      <c r="W409" s="56"/>
      <c r="X409" s="56"/>
      <c r="Y409" s="56"/>
      <c r="Z409" s="57"/>
      <c r="AA409" s="56"/>
      <c r="AB409" s="56"/>
      <c r="AC409" s="57"/>
      <c r="AD409" s="56"/>
      <c r="AE409" s="56"/>
      <c r="AF409" s="56"/>
    </row>
    <row r="410" ht="24.0" customHeight="1">
      <c r="A410" s="59" t="s">
        <v>0</v>
      </c>
      <c r="B410" s="59"/>
      <c r="C410" s="59"/>
      <c r="D410" s="59" t="s">
        <v>1</v>
      </c>
      <c r="E410" s="60" t="s">
        <v>2</v>
      </c>
      <c r="F410" s="59" t="s">
        <v>3</v>
      </c>
      <c r="G410" s="59" t="s">
        <v>4</v>
      </c>
      <c r="H410" s="59" t="s">
        <v>5</v>
      </c>
      <c r="I410" s="59" t="s">
        <v>6</v>
      </c>
      <c r="J410" s="59" t="s">
        <v>7</v>
      </c>
      <c r="K410" s="59" t="s">
        <v>8</v>
      </c>
      <c r="L410" s="60" t="s">
        <v>9</v>
      </c>
      <c r="M410" s="60" t="s">
        <v>10</v>
      </c>
      <c r="N410" s="61" t="s">
        <v>11</v>
      </c>
      <c r="O410" s="59" t="s">
        <v>12</v>
      </c>
      <c r="P410" s="62" t="s">
        <v>13</v>
      </c>
      <c r="Q410" s="4" t="s">
        <v>13</v>
      </c>
      <c r="R410" s="4" t="s">
        <v>13</v>
      </c>
      <c r="S410" s="4" t="s">
        <v>13</v>
      </c>
      <c r="T410" s="4" t="s">
        <v>13</v>
      </c>
      <c r="U410" s="4" t="s">
        <v>14</v>
      </c>
      <c r="V410" s="5"/>
      <c r="W410" s="5"/>
      <c r="X410" s="5"/>
      <c r="Y410" s="5"/>
      <c r="Z410" s="63"/>
      <c r="AA410" s="5"/>
      <c r="AB410" s="5"/>
      <c r="AC410" s="63"/>
      <c r="AD410" s="5"/>
      <c r="AE410" s="5"/>
      <c r="AF410" s="5"/>
    </row>
    <row r="411" ht="45.0" customHeight="1">
      <c r="A411" s="6">
        <v>365.0</v>
      </c>
      <c r="B411" s="6" t="s">
        <v>173</v>
      </c>
      <c r="C411" s="6" t="s">
        <v>1511</v>
      </c>
      <c r="D411" s="6" t="s">
        <v>1512</v>
      </c>
      <c r="E411" s="7" t="s">
        <v>1513</v>
      </c>
      <c r="F411" s="8" t="s">
        <v>1514</v>
      </c>
      <c r="G411" s="9">
        <v>10.0</v>
      </c>
      <c r="H411" s="9">
        <v>10.0</v>
      </c>
      <c r="I411" s="9">
        <v>300.0</v>
      </c>
      <c r="J411" s="6">
        <f t="shared" ref="J411:J439" si="45">I411*H411</f>
        <v>3000</v>
      </c>
      <c r="K411" s="6" t="s">
        <v>178</v>
      </c>
      <c r="L411" s="7"/>
      <c r="M411" s="7" t="s">
        <v>599</v>
      </c>
      <c r="N411" s="7"/>
      <c r="O411" s="10" t="s">
        <v>1515</v>
      </c>
      <c r="P411" s="6" t="str">
        <f>IMAGE("https://m.media-amazon.com/images/I/61PFvg8BbeL._SL1500_.jpg",1)</f>
        <v/>
      </c>
      <c r="Q411" s="64" t="s">
        <v>1688</v>
      </c>
      <c r="R411" s="65"/>
      <c r="S411" s="66"/>
      <c r="T411" s="12"/>
      <c r="U411" s="11">
        <v>1.0</v>
      </c>
      <c r="V411" s="12"/>
      <c r="W411" s="12"/>
      <c r="X411" s="12"/>
      <c r="Y411" s="12"/>
      <c r="Z411" s="67"/>
      <c r="AA411" s="12"/>
      <c r="AB411" s="12"/>
      <c r="AC411" s="67"/>
      <c r="AD411" s="12"/>
      <c r="AE411" s="12"/>
      <c r="AF411" s="12"/>
    </row>
    <row r="412" ht="45.0" customHeight="1">
      <c r="A412" s="6">
        <v>366.0</v>
      </c>
      <c r="B412" s="6" t="s">
        <v>173</v>
      </c>
      <c r="C412" s="6" t="s">
        <v>1516</v>
      </c>
      <c r="D412" s="6" t="s">
        <v>1517</v>
      </c>
      <c r="E412" s="7" t="s">
        <v>1518</v>
      </c>
      <c r="F412" s="8" t="s">
        <v>1514</v>
      </c>
      <c r="G412" s="9">
        <v>5.0</v>
      </c>
      <c r="H412" s="9">
        <v>5.0</v>
      </c>
      <c r="I412" s="9">
        <v>30.0</v>
      </c>
      <c r="J412" s="6">
        <f t="shared" si="45"/>
        <v>150</v>
      </c>
      <c r="K412" s="6" t="s">
        <v>178</v>
      </c>
      <c r="L412" s="7"/>
      <c r="M412" s="7" t="s">
        <v>599</v>
      </c>
      <c r="N412" s="7"/>
      <c r="O412" s="10" t="s">
        <v>1519</v>
      </c>
      <c r="P412" s="6" t="str">
        <f>IMAGE("https://robu.in/wp-content/uploads/2017/06/31100-2.jpg",1)</f>
        <v/>
      </c>
      <c r="Q412" s="64" t="s">
        <v>1688</v>
      </c>
      <c r="R412" s="65"/>
      <c r="S412" s="66"/>
      <c r="T412" s="12"/>
      <c r="U412" s="11">
        <v>1.0</v>
      </c>
      <c r="V412" s="12"/>
      <c r="W412" s="12"/>
      <c r="X412" s="12"/>
      <c r="Y412" s="12"/>
      <c r="Z412" s="67"/>
      <c r="AA412" s="12"/>
      <c r="AB412" s="12"/>
      <c r="AC412" s="67"/>
      <c r="AD412" s="12"/>
      <c r="AE412" s="12"/>
      <c r="AF412" s="12"/>
    </row>
    <row r="413" ht="45.0" customHeight="1">
      <c r="A413" s="6">
        <v>367.0</v>
      </c>
      <c r="B413" s="6" t="s">
        <v>173</v>
      </c>
      <c r="C413" s="6" t="s">
        <v>1520</v>
      </c>
      <c r="D413" s="6" t="s">
        <v>1521</v>
      </c>
      <c r="E413" s="7" t="s">
        <v>1522</v>
      </c>
      <c r="F413" s="8" t="s">
        <v>1514</v>
      </c>
      <c r="G413" s="9">
        <v>5.0</v>
      </c>
      <c r="H413" s="9">
        <v>5.0</v>
      </c>
      <c r="I413" s="9">
        <v>200.0</v>
      </c>
      <c r="J413" s="6">
        <f t="shared" si="45"/>
        <v>1000</v>
      </c>
      <c r="K413" s="6" t="s">
        <v>178</v>
      </c>
      <c r="L413" s="7"/>
      <c r="M413" s="7" t="s">
        <v>599</v>
      </c>
      <c r="N413" s="7"/>
      <c r="O413" s="10" t="s">
        <v>1523</v>
      </c>
      <c r="P413" s="6" t="str">
        <f>IMAGE("https://m.media-amazon.com/images/W/MEDIAX_792452-T2/images/I/71PSVpNRPuL._SL1500_.jpg",1)</f>
        <v/>
      </c>
      <c r="Q413" s="64" t="s">
        <v>1688</v>
      </c>
      <c r="R413" s="65"/>
      <c r="S413" s="66"/>
      <c r="T413" s="12"/>
      <c r="U413" s="11">
        <v>1.0</v>
      </c>
      <c r="V413" s="12"/>
      <c r="W413" s="12"/>
      <c r="X413" s="12"/>
      <c r="Y413" s="12"/>
      <c r="Z413" s="67"/>
      <c r="AA413" s="12"/>
      <c r="AB413" s="12"/>
      <c r="AC413" s="67"/>
      <c r="AD413" s="12"/>
      <c r="AE413" s="12"/>
      <c r="AF413" s="12"/>
    </row>
    <row r="414" ht="45.0" customHeight="1">
      <c r="A414" s="6">
        <v>368.0</v>
      </c>
      <c r="B414" s="6" t="s">
        <v>173</v>
      </c>
      <c r="C414" s="6" t="s">
        <v>1524</v>
      </c>
      <c r="D414" s="6" t="s">
        <v>1525</v>
      </c>
      <c r="E414" s="7" t="s">
        <v>1526</v>
      </c>
      <c r="F414" s="8" t="s">
        <v>1514</v>
      </c>
      <c r="G414" s="9">
        <v>5.0</v>
      </c>
      <c r="H414" s="9">
        <v>5.0</v>
      </c>
      <c r="I414" s="9">
        <v>250.0</v>
      </c>
      <c r="J414" s="6">
        <f t="shared" si="45"/>
        <v>1250</v>
      </c>
      <c r="K414" s="6" t="s">
        <v>178</v>
      </c>
      <c r="L414" s="7"/>
      <c r="M414" s="7" t="s">
        <v>179</v>
      </c>
      <c r="N414" s="7"/>
      <c r="O414" s="10" t="s">
        <v>1527</v>
      </c>
      <c r="P414" s="6" t="str">
        <f>IMAGE("https://robu.in/wp-content/uploads/2016/08/2-1.jpg",1)</f>
        <v/>
      </c>
      <c r="Q414" s="64" t="s">
        <v>1688</v>
      </c>
      <c r="R414" s="65"/>
      <c r="S414" s="66"/>
      <c r="T414" s="12"/>
      <c r="U414" s="11">
        <v>1.0</v>
      </c>
      <c r="V414" s="12"/>
      <c r="W414" s="12"/>
      <c r="X414" s="12"/>
      <c r="Y414" s="12"/>
      <c r="Z414" s="67"/>
      <c r="AA414" s="12"/>
      <c r="AB414" s="12"/>
      <c r="AC414" s="67"/>
      <c r="AD414" s="12"/>
      <c r="AE414" s="12"/>
      <c r="AF414" s="12"/>
    </row>
    <row r="415" ht="45.0" customHeight="1">
      <c r="A415" s="6">
        <v>369.0</v>
      </c>
      <c r="B415" s="6" t="s">
        <v>173</v>
      </c>
      <c r="C415" s="6" t="s">
        <v>1528</v>
      </c>
      <c r="D415" s="6" t="s">
        <v>1529</v>
      </c>
      <c r="E415" s="7" t="s">
        <v>1530</v>
      </c>
      <c r="F415" s="8" t="s">
        <v>1514</v>
      </c>
      <c r="G415" s="9">
        <v>5.0</v>
      </c>
      <c r="H415" s="9">
        <v>5.0</v>
      </c>
      <c r="I415" s="9">
        <v>250.0</v>
      </c>
      <c r="J415" s="6">
        <f t="shared" si="45"/>
        <v>1250</v>
      </c>
      <c r="K415" s="6" t="s">
        <v>178</v>
      </c>
      <c r="L415" s="7"/>
      <c r="M415" s="7" t="s">
        <v>599</v>
      </c>
      <c r="N415" s="7"/>
      <c r="O415" s="10" t="s">
        <v>1531</v>
      </c>
      <c r="P415" s="6" t="str">
        <f>IMAGE("https://5.imimg.com/data5/SELLER/Default/2023/1/KQ/RE/WN/37611021/unique-india-force-pressure-sensor-square-500x500.jpg",1)</f>
        <v/>
      </c>
      <c r="Q415" s="64" t="s">
        <v>1688</v>
      </c>
      <c r="R415" s="65"/>
      <c r="S415" s="66"/>
      <c r="T415" s="12"/>
      <c r="U415" s="11">
        <v>1.0</v>
      </c>
      <c r="V415" s="12"/>
      <c r="W415" s="12"/>
      <c r="X415" s="12"/>
      <c r="Y415" s="12"/>
      <c r="Z415" s="67"/>
      <c r="AA415" s="12"/>
      <c r="AB415" s="12"/>
      <c r="AC415" s="67"/>
      <c r="AD415" s="12"/>
      <c r="AE415" s="12"/>
      <c r="AF415" s="12"/>
    </row>
    <row r="416" ht="45.0" customHeight="1">
      <c r="A416" s="6">
        <v>370.0</v>
      </c>
      <c r="B416" s="6" t="s">
        <v>173</v>
      </c>
      <c r="C416" s="6" t="s">
        <v>1532</v>
      </c>
      <c r="D416" s="6" t="s">
        <v>1533</v>
      </c>
      <c r="E416" s="7" t="s">
        <v>1534</v>
      </c>
      <c r="F416" s="8" t="s">
        <v>1514</v>
      </c>
      <c r="G416" s="9">
        <v>10.0</v>
      </c>
      <c r="H416" s="9">
        <v>10.0</v>
      </c>
      <c r="I416" s="9">
        <v>300.0</v>
      </c>
      <c r="J416" s="6">
        <f t="shared" si="45"/>
        <v>3000</v>
      </c>
      <c r="K416" s="6" t="s">
        <v>178</v>
      </c>
      <c r="L416" s="7"/>
      <c r="M416" s="7" t="s">
        <v>599</v>
      </c>
      <c r="N416" s="7"/>
      <c r="O416" s="10" t="s">
        <v>1535</v>
      </c>
      <c r="P416" s="6" t="str">
        <f>IMAGE("https://m.media-amazon.com/images/W/MEDIAX_792452-T2/images/I/61e+2rew8OL._SL1011_.jpg",1)</f>
        <v/>
      </c>
      <c r="Q416" s="64" t="s">
        <v>1688</v>
      </c>
      <c r="R416" s="65"/>
      <c r="S416" s="66"/>
      <c r="T416" s="12"/>
      <c r="U416" s="11">
        <v>1.0</v>
      </c>
      <c r="V416" s="12"/>
      <c r="W416" s="12"/>
      <c r="X416" s="12"/>
      <c r="Y416" s="12"/>
      <c r="Z416" s="67"/>
      <c r="AA416" s="12"/>
      <c r="AB416" s="12"/>
      <c r="AC416" s="67"/>
      <c r="AD416" s="12"/>
      <c r="AE416" s="12"/>
      <c r="AF416" s="12"/>
    </row>
    <row r="417" ht="45.0" customHeight="1">
      <c r="A417" s="6">
        <v>371.0</v>
      </c>
      <c r="B417" s="6" t="s">
        <v>173</v>
      </c>
      <c r="C417" s="6" t="s">
        <v>1536</v>
      </c>
      <c r="D417" s="6" t="s">
        <v>1537</v>
      </c>
      <c r="E417" s="7" t="s">
        <v>1538</v>
      </c>
      <c r="F417" s="8" t="s">
        <v>1514</v>
      </c>
      <c r="G417" s="9">
        <v>5.0</v>
      </c>
      <c r="H417" s="9">
        <v>5.0</v>
      </c>
      <c r="I417" s="9">
        <v>30.0</v>
      </c>
      <c r="J417" s="6">
        <f t="shared" si="45"/>
        <v>150</v>
      </c>
      <c r="K417" s="6" t="s">
        <v>178</v>
      </c>
      <c r="L417" s="7"/>
      <c r="M417" s="7" t="s">
        <v>599</v>
      </c>
      <c r="N417" s="7"/>
      <c r="O417" s="10" t="s">
        <v>1539</v>
      </c>
      <c r="P417" s="6" t="str">
        <f>IMAGE("https://makerbazar.in/cdn/shop/products/IR_transmitter-receiver_-_TSOP_1738_600x.jpg?v=1582114496",1)</f>
        <v/>
      </c>
      <c r="Q417" s="64" t="s">
        <v>1688</v>
      </c>
      <c r="R417" s="65"/>
      <c r="S417" s="66"/>
      <c r="T417" s="12"/>
      <c r="U417" s="11">
        <v>1.0</v>
      </c>
      <c r="V417" s="12"/>
      <c r="W417" s="12"/>
      <c r="X417" s="12"/>
      <c r="Y417" s="12"/>
      <c r="Z417" s="67"/>
      <c r="AA417" s="12"/>
      <c r="AB417" s="12"/>
      <c r="AC417" s="67"/>
      <c r="AD417" s="12"/>
      <c r="AE417" s="12"/>
      <c r="AF417" s="12"/>
    </row>
    <row r="418" ht="45.0" customHeight="1">
      <c r="A418" s="6">
        <v>372.0</v>
      </c>
      <c r="B418" s="6" t="s">
        <v>173</v>
      </c>
      <c r="C418" s="6" t="s">
        <v>1540</v>
      </c>
      <c r="D418" s="6" t="s">
        <v>1541</v>
      </c>
      <c r="E418" s="7" t="s">
        <v>1542</v>
      </c>
      <c r="F418" s="8" t="s">
        <v>1514</v>
      </c>
      <c r="G418" s="9">
        <v>5.0</v>
      </c>
      <c r="H418" s="9">
        <v>5.0</v>
      </c>
      <c r="I418" s="9">
        <v>250.0</v>
      </c>
      <c r="J418" s="6">
        <f t="shared" si="45"/>
        <v>1250</v>
      </c>
      <c r="K418" s="6" t="s">
        <v>178</v>
      </c>
      <c r="L418" s="7"/>
      <c r="M418" s="7" t="s">
        <v>599</v>
      </c>
      <c r="N418" s="7"/>
      <c r="O418" s="10" t="s">
        <v>1543</v>
      </c>
      <c r="P418" s="6" t="str">
        <f>IMAGE("https://makerbazar.in/cdn/shop/products/IR-Array_2048x2048_29f53719-c65f-4f67-a7f9-06b99966bf49_400x.jpg?v=1628014848",1)</f>
        <v/>
      </c>
      <c r="Q418" s="64" t="s">
        <v>1688</v>
      </c>
      <c r="R418" s="65"/>
      <c r="S418" s="66"/>
      <c r="T418" s="12"/>
      <c r="U418" s="11">
        <v>1.0</v>
      </c>
      <c r="V418" s="12"/>
      <c r="W418" s="12"/>
      <c r="X418" s="12"/>
      <c r="Y418" s="12"/>
      <c r="Z418" s="67"/>
      <c r="AA418" s="12"/>
      <c r="AB418" s="12"/>
      <c r="AC418" s="67"/>
      <c r="AD418" s="12"/>
      <c r="AE418" s="12"/>
      <c r="AF418" s="12"/>
    </row>
    <row r="419" ht="45.0" customHeight="1">
      <c r="A419" s="6">
        <v>373.0</v>
      </c>
      <c r="B419" s="6" t="s">
        <v>173</v>
      </c>
      <c r="C419" s="6" t="s">
        <v>1544</v>
      </c>
      <c r="D419" s="6" t="s">
        <v>1545</v>
      </c>
      <c r="E419" s="7" t="s">
        <v>1546</v>
      </c>
      <c r="F419" s="8" t="s">
        <v>1514</v>
      </c>
      <c r="G419" s="9">
        <v>10.0</v>
      </c>
      <c r="H419" s="9">
        <v>10.0</v>
      </c>
      <c r="I419" s="9">
        <v>30.0</v>
      </c>
      <c r="J419" s="6">
        <f t="shared" si="45"/>
        <v>300</v>
      </c>
      <c r="K419" s="6" t="s">
        <v>178</v>
      </c>
      <c r="L419" s="7"/>
      <c r="M419" s="7" t="s">
        <v>599</v>
      </c>
      <c r="N419" s="7"/>
      <c r="O419" s="10" t="s">
        <v>1547</v>
      </c>
      <c r="P419" s="6" t="str">
        <f>IMAGE("https://robu.in/wp-content/uploads/2017/05/LDR-module-1.png",1)</f>
        <v/>
      </c>
      <c r="Q419" s="64" t="s">
        <v>1688</v>
      </c>
      <c r="R419" s="65"/>
      <c r="S419" s="66"/>
      <c r="T419" s="12"/>
      <c r="U419" s="11">
        <v>1.0</v>
      </c>
      <c r="V419" s="12"/>
      <c r="W419" s="12"/>
      <c r="X419" s="12"/>
      <c r="Y419" s="12"/>
      <c r="Z419" s="67"/>
      <c r="AA419" s="12"/>
      <c r="AB419" s="12"/>
      <c r="AC419" s="67"/>
      <c r="AD419" s="12"/>
      <c r="AE419" s="12"/>
      <c r="AF419" s="12"/>
    </row>
    <row r="420" ht="45.0" customHeight="1">
      <c r="A420" s="6">
        <v>374.0</v>
      </c>
      <c r="B420" s="6" t="s">
        <v>173</v>
      </c>
      <c r="C420" s="6" t="s">
        <v>1548</v>
      </c>
      <c r="D420" s="6" t="s">
        <v>1549</v>
      </c>
      <c r="E420" s="7" t="s">
        <v>1550</v>
      </c>
      <c r="F420" s="8" t="s">
        <v>1514</v>
      </c>
      <c r="G420" s="9">
        <v>5.0</v>
      </c>
      <c r="H420" s="9">
        <v>5.0</v>
      </c>
      <c r="I420" s="9">
        <v>90.0</v>
      </c>
      <c r="J420" s="6">
        <f t="shared" si="45"/>
        <v>450</v>
      </c>
      <c r="K420" s="6" t="s">
        <v>178</v>
      </c>
      <c r="L420" s="7"/>
      <c r="M420" s="7" t="s">
        <v>599</v>
      </c>
      <c r="N420" s="7"/>
      <c r="O420" s="10" t="s">
        <v>1551</v>
      </c>
      <c r="P420" s="6" t="str">
        <f>IMAGE("https://m.media-amazon.com/images/W/MEDIAX_792452-T2/images/I/7158I82c4bL._SL1500_.jpg",1)</f>
        <v/>
      </c>
      <c r="Q420" s="64" t="s">
        <v>1688</v>
      </c>
      <c r="R420" s="65"/>
      <c r="S420" s="66"/>
      <c r="T420" s="12"/>
      <c r="U420" s="11">
        <v>1.0</v>
      </c>
      <c r="V420" s="12"/>
      <c r="W420" s="12"/>
      <c r="X420" s="12"/>
      <c r="Y420" s="12"/>
      <c r="Z420" s="67"/>
      <c r="AA420" s="12"/>
      <c r="AB420" s="12"/>
      <c r="AC420" s="67"/>
      <c r="AD420" s="12"/>
      <c r="AE420" s="12"/>
      <c r="AF420" s="12"/>
    </row>
    <row r="421" ht="45.0" customHeight="1">
      <c r="A421" s="6">
        <v>375.0</v>
      </c>
      <c r="B421" s="6" t="s">
        <v>173</v>
      </c>
      <c r="C421" s="6" t="s">
        <v>1552</v>
      </c>
      <c r="D421" s="6" t="s">
        <v>1553</v>
      </c>
      <c r="E421" s="7" t="s">
        <v>1554</v>
      </c>
      <c r="F421" s="8" t="s">
        <v>1514</v>
      </c>
      <c r="G421" s="9">
        <v>5.0</v>
      </c>
      <c r="H421" s="9">
        <v>5.0</v>
      </c>
      <c r="I421" s="9">
        <v>150.0</v>
      </c>
      <c r="J421" s="6">
        <f t="shared" si="45"/>
        <v>750</v>
      </c>
      <c r="K421" s="6" t="s">
        <v>178</v>
      </c>
      <c r="L421" s="7"/>
      <c r="M421" s="7" t="s">
        <v>599</v>
      </c>
      <c r="N421" s="7"/>
      <c r="O421" s="10" t="s">
        <v>1555</v>
      </c>
      <c r="P421" s="6" t="str">
        <f>IMAGE("https://robu.in/wp-content/uploads/2017/09/download-1-2.jpg",1)</f>
        <v/>
      </c>
      <c r="Q421" s="64" t="s">
        <v>1688</v>
      </c>
      <c r="R421" s="65"/>
      <c r="S421" s="66"/>
      <c r="T421" s="12"/>
      <c r="U421" s="11">
        <v>1.0</v>
      </c>
      <c r="V421" s="12"/>
      <c r="W421" s="12"/>
      <c r="X421" s="12"/>
      <c r="Y421" s="12"/>
      <c r="Z421" s="67"/>
      <c r="AA421" s="12"/>
      <c r="AB421" s="12"/>
      <c r="AC421" s="67"/>
      <c r="AD421" s="12"/>
      <c r="AE421" s="12"/>
      <c r="AF421" s="12"/>
    </row>
    <row r="422" ht="45.0" customHeight="1">
      <c r="A422" s="6">
        <v>376.0</v>
      </c>
      <c r="B422" s="6" t="s">
        <v>173</v>
      </c>
      <c r="C422" s="6" t="s">
        <v>1556</v>
      </c>
      <c r="D422" s="6" t="s">
        <v>1557</v>
      </c>
      <c r="E422" s="7" t="s">
        <v>1558</v>
      </c>
      <c r="F422" s="8" t="s">
        <v>1514</v>
      </c>
      <c r="G422" s="9">
        <v>10.0</v>
      </c>
      <c r="H422" s="9">
        <v>10.0</v>
      </c>
      <c r="I422" s="9">
        <v>40.0</v>
      </c>
      <c r="J422" s="6">
        <f t="shared" si="45"/>
        <v>400</v>
      </c>
      <c r="K422" s="6" t="s">
        <v>178</v>
      </c>
      <c r="L422" s="7"/>
      <c r="M422" s="7" t="s">
        <v>599</v>
      </c>
      <c r="N422" s="7"/>
      <c r="O422" s="10"/>
      <c r="P422" s="6" t="str">
        <f>IMAGE("https://cdn.shopify.com/s/files/1/0088/0056/7392/products/Sound_Detector_Module.jpg?v=1566646449",1)</f>
        <v/>
      </c>
      <c r="Q422" s="64" t="s">
        <v>1688</v>
      </c>
      <c r="R422" s="65"/>
      <c r="S422" s="66"/>
      <c r="T422" s="12"/>
      <c r="U422" s="11">
        <v>1.0</v>
      </c>
      <c r="V422" s="12"/>
      <c r="W422" s="12"/>
      <c r="X422" s="12"/>
      <c r="Y422" s="12"/>
      <c r="Z422" s="67"/>
      <c r="AA422" s="12"/>
      <c r="AB422" s="12"/>
      <c r="AC422" s="67"/>
      <c r="AD422" s="12"/>
      <c r="AE422" s="12"/>
      <c r="AF422" s="12"/>
    </row>
    <row r="423" ht="45.0" customHeight="1">
      <c r="A423" s="6">
        <v>377.0</v>
      </c>
      <c r="B423" s="6" t="s">
        <v>173</v>
      </c>
      <c r="C423" s="6" t="s">
        <v>1559</v>
      </c>
      <c r="D423" s="6" t="s">
        <v>1560</v>
      </c>
      <c r="E423" s="7" t="s">
        <v>1561</v>
      </c>
      <c r="F423" s="8" t="s">
        <v>1514</v>
      </c>
      <c r="G423" s="9">
        <v>10.0</v>
      </c>
      <c r="H423" s="9">
        <v>10.0</v>
      </c>
      <c r="I423" s="9">
        <v>200.0</v>
      </c>
      <c r="J423" s="6">
        <f t="shared" si="45"/>
        <v>2000</v>
      </c>
      <c r="K423" s="6" t="s">
        <v>178</v>
      </c>
      <c r="L423" s="7"/>
      <c r="M423" s="7" t="s">
        <v>599</v>
      </c>
      <c r="N423" s="7"/>
      <c r="O423" s="10" t="s">
        <v>1562</v>
      </c>
      <c r="P423" s="6" t="str">
        <f>IMAGE("https://encrypted-tbn0.gstatic.com/images?q=tbn:ANd9GcRrIyUWjQ1rnIJDwYms78skSv9zbdkdml4sTR1WfoKl6GFD5OWnZULG8H98AB-i394c3VQ&amp;usqp=CAU",1)</f>
        <v/>
      </c>
      <c r="Q423" s="64" t="s">
        <v>1688</v>
      </c>
      <c r="R423" s="65"/>
      <c r="S423" s="66"/>
      <c r="T423" s="12"/>
      <c r="U423" s="11">
        <v>1.0</v>
      </c>
      <c r="V423" s="12"/>
      <c r="W423" s="12"/>
      <c r="X423" s="12"/>
      <c r="Y423" s="12"/>
      <c r="Z423" s="67"/>
      <c r="AA423" s="12"/>
      <c r="AB423" s="12"/>
      <c r="AC423" s="67"/>
      <c r="AD423" s="12"/>
      <c r="AE423" s="12"/>
      <c r="AF423" s="12"/>
    </row>
    <row r="424" ht="45.0" customHeight="1">
      <c r="A424" s="6">
        <v>378.0</v>
      </c>
      <c r="B424" s="6" t="s">
        <v>173</v>
      </c>
      <c r="C424" s="6" t="s">
        <v>1563</v>
      </c>
      <c r="D424" s="6" t="s">
        <v>1564</v>
      </c>
      <c r="E424" s="7" t="s">
        <v>1565</v>
      </c>
      <c r="F424" s="8" t="s">
        <v>1514</v>
      </c>
      <c r="G424" s="9">
        <v>5.0</v>
      </c>
      <c r="H424" s="9">
        <v>5.0</v>
      </c>
      <c r="I424" s="9">
        <v>95.0</v>
      </c>
      <c r="J424" s="6">
        <f t="shared" si="45"/>
        <v>475</v>
      </c>
      <c r="K424" s="6" t="s">
        <v>178</v>
      </c>
      <c r="L424" s="7"/>
      <c r="M424" s="7" t="s">
        <v>599</v>
      </c>
      <c r="N424" s="7"/>
      <c r="O424" s="10" t="s">
        <v>1566</v>
      </c>
      <c r="P424" s="6" t="str">
        <f>IMAGE("https://robu.in/wp-content/uploads/2019/05/MAX30100-Pulse-Oximeter-Heart-Rate-Sensor-Module-2.jpg",1)</f>
        <v/>
      </c>
      <c r="Q424" s="64" t="s">
        <v>1688</v>
      </c>
      <c r="R424" s="65"/>
      <c r="S424" s="66"/>
      <c r="T424" s="12"/>
      <c r="U424" s="11">
        <v>1.0</v>
      </c>
      <c r="V424" s="12"/>
      <c r="W424" s="12"/>
      <c r="X424" s="12"/>
      <c r="Y424" s="12"/>
      <c r="Z424" s="67"/>
      <c r="AA424" s="12"/>
      <c r="AB424" s="12"/>
      <c r="AC424" s="67"/>
      <c r="AD424" s="12"/>
      <c r="AE424" s="12"/>
      <c r="AF424" s="12"/>
    </row>
    <row r="425" ht="45.0" customHeight="1">
      <c r="A425" s="6">
        <v>379.0</v>
      </c>
      <c r="B425" s="6" t="s">
        <v>173</v>
      </c>
      <c r="C425" s="6" t="s">
        <v>1567</v>
      </c>
      <c r="D425" s="6" t="s">
        <v>1568</v>
      </c>
      <c r="E425" s="7" t="s">
        <v>1569</v>
      </c>
      <c r="F425" s="8" t="s">
        <v>1514</v>
      </c>
      <c r="G425" s="9">
        <v>5.0</v>
      </c>
      <c r="H425" s="9">
        <v>5.0</v>
      </c>
      <c r="I425" s="9">
        <v>125.0</v>
      </c>
      <c r="J425" s="6">
        <f t="shared" si="45"/>
        <v>625</v>
      </c>
      <c r="K425" s="6" t="s">
        <v>178</v>
      </c>
      <c r="L425" s="7"/>
      <c r="M425" s="7" t="s">
        <v>599</v>
      </c>
      <c r="N425" s="7"/>
      <c r="O425" s="10"/>
      <c r="P425" s="6" t="str">
        <f>IMAGE("https://makerbazar.in/cdn/shop/products/Untitled-1_39_1_60x.jpg?v=1637233670",1)</f>
        <v/>
      </c>
      <c r="Q425" s="64" t="s">
        <v>1688</v>
      </c>
      <c r="R425" s="65"/>
      <c r="S425" s="66"/>
      <c r="T425" s="12"/>
      <c r="U425" s="11">
        <v>1.0</v>
      </c>
      <c r="V425" s="12"/>
      <c r="W425" s="12"/>
      <c r="X425" s="12"/>
      <c r="Y425" s="12"/>
      <c r="Z425" s="67"/>
      <c r="AA425" s="12"/>
      <c r="AB425" s="12"/>
      <c r="AC425" s="67"/>
      <c r="AD425" s="12"/>
      <c r="AE425" s="12"/>
      <c r="AF425" s="12"/>
    </row>
    <row r="426" ht="45.0" customHeight="1">
      <c r="A426" s="6">
        <v>380.0</v>
      </c>
      <c r="B426" s="6" t="s">
        <v>173</v>
      </c>
      <c r="C426" s="6" t="s">
        <v>1570</v>
      </c>
      <c r="D426" s="6" t="s">
        <v>1571</v>
      </c>
      <c r="E426" s="7" t="s">
        <v>1572</v>
      </c>
      <c r="F426" s="8" t="s">
        <v>1514</v>
      </c>
      <c r="G426" s="9">
        <v>5.0</v>
      </c>
      <c r="H426" s="9">
        <v>5.0</v>
      </c>
      <c r="I426" s="9">
        <v>75.0</v>
      </c>
      <c r="J426" s="6">
        <f t="shared" si="45"/>
        <v>375</v>
      </c>
      <c r="K426" s="6" t="s">
        <v>178</v>
      </c>
      <c r="L426" s="7"/>
      <c r="M426" s="7" t="s">
        <v>599</v>
      </c>
      <c r="N426" s="7"/>
      <c r="O426" s="10" t="s">
        <v>1573</v>
      </c>
      <c r="P426" s="6" t="str">
        <f>IMAGE("https://5.imimg.com/data5/SELLER/Default/2021/6/XN/UI/NS/84973740/mq2-flammable-gas-and-smoke-sensor-module-500x500.jpg",1)</f>
        <v/>
      </c>
      <c r="Q426" s="64" t="s">
        <v>1688</v>
      </c>
      <c r="R426" s="65"/>
      <c r="S426" s="66"/>
      <c r="T426" s="12"/>
      <c r="U426" s="11">
        <v>1.0</v>
      </c>
      <c r="V426" s="12"/>
      <c r="W426" s="12"/>
      <c r="X426" s="12"/>
      <c r="Y426" s="12"/>
      <c r="Z426" s="67"/>
      <c r="AA426" s="12"/>
      <c r="AB426" s="12"/>
      <c r="AC426" s="67"/>
      <c r="AD426" s="12"/>
      <c r="AE426" s="12"/>
      <c r="AF426" s="12"/>
    </row>
    <row r="427" ht="45.0" customHeight="1">
      <c r="A427" s="6">
        <v>381.0</v>
      </c>
      <c r="B427" s="6" t="s">
        <v>173</v>
      </c>
      <c r="C427" s="6" t="s">
        <v>1574</v>
      </c>
      <c r="D427" s="6" t="s">
        <v>1575</v>
      </c>
      <c r="E427" s="7" t="s">
        <v>1576</v>
      </c>
      <c r="F427" s="8" t="s">
        <v>1514</v>
      </c>
      <c r="G427" s="9">
        <v>10.0</v>
      </c>
      <c r="H427" s="9">
        <v>10.0</v>
      </c>
      <c r="I427" s="9">
        <v>40.0</v>
      </c>
      <c r="J427" s="6">
        <f t="shared" si="45"/>
        <v>400</v>
      </c>
      <c r="K427" s="6" t="s">
        <v>178</v>
      </c>
      <c r="L427" s="7"/>
      <c r="M427" s="7" t="s">
        <v>599</v>
      </c>
      <c r="N427" s="7"/>
      <c r="O427" s="10" t="s">
        <v>1577</v>
      </c>
      <c r="P427" s="6" t="str">
        <f>IMAGE("https://robu.in/wp-content/uploads/2016/03/12251.jpg",1)</f>
        <v/>
      </c>
      <c r="Q427" s="64" t="s">
        <v>1688</v>
      </c>
      <c r="R427" s="65"/>
      <c r="S427" s="66"/>
      <c r="T427" s="12"/>
      <c r="U427" s="11">
        <v>1.0</v>
      </c>
      <c r="V427" s="12"/>
      <c r="W427" s="12"/>
      <c r="X427" s="12"/>
      <c r="Y427" s="12"/>
      <c r="Z427" s="67"/>
      <c r="AA427" s="12"/>
      <c r="AB427" s="12"/>
      <c r="AC427" s="67"/>
      <c r="AD427" s="12"/>
      <c r="AE427" s="12"/>
      <c r="AF427" s="12"/>
    </row>
    <row r="428" ht="45.0" customHeight="1">
      <c r="A428" s="6">
        <v>382.0</v>
      </c>
      <c r="B428" s="6" t="s">
        <v>173</v>
      </c>
      <c r="C428" s="6" t="s">
        <v>1578</v>
      </c>
      <c r="D428" s="6" t="s">
        <v>1579</v>
      </c>
      <c r="E428" s="7" t="s">
        <v>1580</v>
      </c>
      <c r="F428" s="8" t="s">
        <v>1514</v>
      </c>
      <c r="G428" s="9">
        <v>5.0</v>
      </c>
      <c r="H428" s="9">
        <v>5.0</v>
      </c>
      <c r="I428" s="9">
        <v>130.0</v>
      </c>
      <c r="J428" s="6">
        <f t="shared" si="45"/>
        <v>650</v>
      </c>
      <c r="K428" s="6" t="s">
        <v>178</v>
      </c>
      <c r="L428" s="7"/>
      <c r="M428" s="7" t="s">
        <v>599</v>
      </c>
      <c r="N428" s="7"/>
      <c r="O428" s="10" t="s">
        <v>1581</v>
      </c>
      <c r="P428" s="6" t="str">
        <f>IMAGE("https://m.media-amazon.com/images/W/MEDIAX_792452-T2/images/I/61QNSpIV-GL._SL1000_.jpg",1)</f>
        <v/>
      </c>
      <c r="Q428" s="64" t="s">
        <v>1688</v>
      </c>
      <c r="R428" s="65"/>
      <c r="S428" s="66"/>
      <c r="T428" s="12"/>
      <c r="U428" s="11">
        <v>1.0</v>
      </c>
      <c r="V428" s="12"/>
      <c r="W428" s="12"/>
      <c r="X428" s="12"/>
      <c r="Y428" s="12"/>
      <c r="Z428" s="67"/>
      <c r="AA428" s="12"/>
      <c r="AB428" s="12"/>
      <c r="AC428" s="67"/>
      <c r="AD428" s="12"/>
      <c r="AE428" s="12"/>
      <c r="AF428" s="12"/>
    </row>
    <row r="429" ht="45.0" customHeight="1">
      <c r="A429" s="6">
        <v>383.0</v>
      </c>
      <c r="B429" s="6" t="s">
        <v>173</v>
      </c>
      <c r="C429" s="6" t="s">
        <v>1582</v>
      </c>
      <c r="D429" s="6" t="s">
        <v>1583</v>
      </c>
      <c r="E429" s="7" t="s">
        <v>1584</v>
      </c>
      <c r="F429" s="8" t="s">
        <v>1514</v>
      </c>
      <c r="G429" s="9">
        <v>10.0</v>
      </c>
      <c r="H429" s="9">
        <v>10.0</v>
      </c>
      <c r="I429" s="9">
        <v>60.0</v>
      </c>
      <c r="J429" s="6">
        <f t="shared" si="45"/>
        <v>600</v>
      </c>
      <c r="K429" s="6" t="s">
        <v>178</v>
      </c>
      <c r="L429" s="7"/>
      <c r="M429" s="7" t="s">
        <v>599</v>
      </c>
      <c r="N429" s="7"/>
      <c r="O429" s="10" t="s">
        <v>1585</v>
      </c>
      <c r="P429" s="6" t="str">
        <f>IMAGE("https://projecthubbharat.com/wp-content/uploads/2022/02/dht-11-sensor-module-india-800x800-1.jpg",1)</f>
        <v/>
      </c>
      <c r="Q429" s="64" t="s">
        <v>1688</v>
      </c>
      <c r="R429" s="65"/>
      <c r="S429" s="66"/>
      <c r="T429" s="12"/>
      <c r="U429" s="11">
        <v>1.0</v>
      </c>
      <c r="V429" s="12"/>
      <c r="W429" s="12"/>
      <c r="X429" s="12"/>
      <c r="Y429" s="12"/>
      <c r="Z429" s="67"/>
      <c r="AA429" s="12"/>
      <c r="AB429" s="12"/>
      <c r="AC429" s="67"/>
      <c r="AD429" s="12"/>
      <c r="AE429" s="12"/>
      <c r="AF429" s="12"/>
    </row>
    <row r="430" ht="45.0" customHeight="1">
      <c r="A430" s="6">
        <v>384.0</v>
      </c>
      <c r="B430" s="6" t="s">
        <v>173</v>
      </c>
      <c r="C430" s="6" t="s">
        <v>1586</v>
      </c>
      <c r="D430" s="6" t="s">
        <v>1587</v>
      </c>
      <c r="E430" s="7" t="s">
        <v>1588</v>
      </c>
      <c r="F430" s="8" t="s">
        <v>1514</v>
      </c>
      <c r="G430" s="9">
        <v>10.0</v>
      </c>
      <c r="H430" s="9">
        <v>10.0</v>
      </c>
      <c r="I430" s="9">
        <v>50.0</v>
      </c>
      <c r="J430" s="6">
        <f t="shared" si="45"/>
        <v>500</v>
      </c>
      <c r="K430" s="6" t="s">
        <v>178</v>
      </c>
      <c r="L430" s="7"/>
      <c r="M430" s="7" t="s">
        <v>518</v>
      </c>
      <c r="N430" s="7"/>
      <c r="O430" s="10" t="s">
        <v>1589</v>
      </c>
      <c r="P430" s="6" t="str">
        <f>IMAGE("https://potentiallabs.com/cart/image/cache/catalog/nov-dec/DS18B20-500x500-500x500.jpg",1)</f>
        <v/>
      </c>
      <c r="Q430" s="64" t="s">
        <v>1688</v>
      </c>
      <c r="R430" s="65"/>
      <c r="S430" s="66"/>
      <c r="T430" s="12"/>
      <c r="U430" s="11">
        <v>1.0</v>
      </c>
      <c r="V430" s="12"/>
      <c r="W430" s="12"/>
      <c r="X430" s="12"/>
      <c r="Y430" s="12"/>
      <c r="Z430" s="67"/>
      <c r="AA430" s="12"/>
      <c r="AB430" s="12"/>
      <c r="AC430" s="67"/>
      <c r="AD430" s="12"/>
      <c r="AE430" s="12"/>
      <c r="AF430" s="12"/>
    </row>
    <row r="431" ht="45.0" customHeight="1">
      <c r="A431" s="6">
        <v>385.0</v>
      </c>
      <c r="B431" s="6" t="s">
        <v>173</v>
      </c>
      <c r="C431" s="6" t="s">
        <v>1590</v>
      </c>
      <c r="D431" s="6" t="s">
        <v>1591</v>
      </c>
      <c r="E431" s="7" t="s">
        <v>1592</v>
      </c>
      <c r="F431" s="8" t="s">
        <v>1514</v>
      </c>
      <c r="G431" s="9">
        <v>20.0</v>
      </c>
      <c r="H431" s="9">
        <v>20.0</v>
      </c>
      <c r="I431" s="9">
        <v>5.0</v>
      </c>
      <c r="J431" s="6">
        <f t="shared" si="45"/>
        <v>100</v>
      </c>
      <c r="K431" s="6" t="s">
        <v>178</v>
      </c>
      <c r="L431" s="7"/>
      <c r="M431" s="7" t="s">
        <v>518</v>
      </c>
      <c r="N431" s="7"/>
      <c r="O431" s="10" t="s">
        <v>1593</v>
      </c>
      <c r="P431" s="9" t="str">
        <f>IMAGE("https://5.imimg.com/data5/SELLER/Default/2021/9/HF/RK/UF/37611021/10k-ohm-ntc-thermistor-500x500.jpg",1)</f>
        <v/>
      </c>
      <c r="Q431" s="64" t="s">
        <v>1688</v>
      </c>
      <c r="R431" s="65"/>
      <c r="S431" s="66"/>
      <c r="T431" s="12"/>
      <c r="U431" s="11">
        <v>1.0</v>
      </c>
      <c r="V431" s="12"/>
      <c r="W431" s="12"/>
      <c r="X431" s="12"/>
      <c r="Y431" s="12"/>
      <c r="Z431" s="67"/>
      <c r="AA431" s="12"/>
      <c r="AB431" s="12"/>
      <c r="AC431" s="67"/>
      <c r="AD431" s="12"/>
      <c r="AE431" s="12"/>
      <c r="AF431" s="12"/>
    </row>
    <row r="432" ht="45.0" customHeight="1">
      <c r="A432" s="6">
        <v>386.0</v>
      </c>
      <c r="B432" s="6" t="s">
        <v>173</v>
      </c>
      <c r="C432" s="6" t="s">
        <v>1594</v>
      </c>
      <c r="D432" s="6" t="s">
        <v>1595</v>
      </c>
      <c r="E432" s="7" t="s">
        <v>1596</v>
      </c>
      <c r="F432" s="8" t="s">
        <v>1514</v>
      </c>
      <c r="G432" s="9">
        <v>5.0</v>
      </c>
      <c r="H432" s="9">
        <v>5.0</v>
      </c>
      <c r="I432" s="9">
        <v>150.0</v>
      </c>
      <c r="J432" s="6">
        <f t="shared" si="45"/>
        <v>750</v>
      </c>
      <c r="K432" s="6" t="s">
        <v>178</v>
      </c>
      <c r="L432" s="7"/>
      <c r="M432" s="7" t="s">
        <v>599</v>
      </c>
      <c r="N432" s="7"/>
      <c r="O432" s="10" t="s">
        <v>1597</v>
      </c>
      <c r="P432" s="6" t="str">
        <f>IMAGE("https://media.distrelec.com/Web/WebShopImages/landscape_large/7-/01/Adafruit_163_30129187-01.jpg",1)</f>
        <v/>
      </c>
      <c r="Q432" s="64" t="s">
        <v>1688</v>
      </c>
      <c r="R432" s="65"/>
      <c r="S432" s="66"/>
      <c r="T432" s="12"/>
      <c r="U432" s="11">
        <v>1.0</v>
      </c>
      <c r="V432" s="12"/>
      <c r="W432" s="12"/>
      <c r="X432" s="12"/>
      <c r="Y432" s="12"/>
      <c r="Z432" s="67"/>
      <c r="AA432" s="12"/>
      <c r="AB432" s="12"/>
      <c r="AC432" s="67"/>
      <c r="AD432" s="12"/>
      <c r="AE432" s="12"/>
      <c r="AF432" s="12"/>
    </row>
    <row r="433" ht="45.0" hidden="1" customHeight="1">
      <c r="A433" s="6">
        <v>387.0</v>
      </c>
      <c r="B433" s="6" t="s">
        <v>15</v>
      </c>
      <c r="C433" s="6" t="s">
        <v>1598</v>
      </c>
      <c r="D433" s="6" t="s">
        <v>1599</v>
      </c>
      <c r="E433" s="7" t="s">
        <v>1600</v>
      </c>
      <c r="F433" s="8" t="s">
        <v>1601</v>
      </c>
      <c r="G433" s="6">
        <v>1.0</v>
      </c>
      <c r="H433" s="6">
        <v>1.0</v>
      </c>
      <c r="I433" s="6">
        <v>10000.0</v>
      </c>
      <c r="J433" s="6">
        <f t="shared" si="45"/>
        <v>10000</v>
      </c>
      <c r="K433" s="6" t="s">
        <v>20</v>
      </c>
      <c r="L433" s="7" t="s">
        <v>65</v>
      </c>
      <c r="M433" s="16" t="s">
        <v>65</v>
      </c>
      <c r="N433" s="7"/>
      <c r="O433" s="10"/>
      <c r="P433" s="6" t="str">
        <f>IMAGE("https://5.imimg.com/data5/SELLER/Default/2022/10/QQ/KR/IQ/23162102/singer-s0303-sewing-machine.png",1)</f>
        <v/>
      </c>
      <c r="Q433" s="64"/>
      <c r="R433" s="65"/>
      <c r="S433" s="66"/>
      <c r="T433" s="12"/>
      <c r="U433" s="11">
        <v>0.0</v>
      </c>
      <c r="V433" s="12"/>
      <c r="W433" s="12" t="s">
        <v>144</v>
      </c>
      <c r="X433" s="12">
        <v>10000.0</v>
      </c>
      <c r="Y433" s="12">
        <f>X433*H433</f>
        <v>10000</v>
      </c>
      <c r="Z433" s="67"/>
      <c r="AA433" s="12"/>
      <c r="AB433" s="12"/>
      <c r="AC433" s="67"/>
      <c r="AD433" s="12"/>
      <c r="AE433" s="12"/>
      <c r="AF433" s="12"/>
    </row>
    <row r="434" ht="45.0" hidden="1" customHeight="1">
      <c r="A434" s="6">
        <v>388.0</v>
      </c>
      <c r="B434" s="6" t="s">
        <v>15</v>
      </c>
      <c r="C434" s="6" t="s">
        <v>1602</v>
      </c>
      <c r="D434" s="6" t="s">
        <v>1603</v>
      </c>
      <c r="E434" s="7" t="s">
        <v>1604</v>
      </c>
      <c r="F434" s="8" t="s">
        <v>1601</v>
      </c>
      <c r="G434" s="6">
        <v>1.0</v>
      </c>
      <c r="H434" s="6">
        <v>1.0</v>
      </c>
      <c r="I434" s="6">
        <v>90.0</v>
      </c>
      <c r="J434" s="6">
        <f t="shared" si="45"/>
        <v>90</v>
      </c>
      <c r="K434" s="6" t="s">
        <v>20</v>
      </c>
      <c r="L434" s="7" t="s">
        <v>65</v>
      </c>
      <c r="M434" s="7" t="s">
        <v>1605</v>
      </c>
      <c r="N434" s="7"/>
      <c r="O434" s="10"/>
      <c r="P434" s="6" t="str">
        <f>IMAGE("https://3.imimg.com/data3/HA/PB/MY-3231014/sewing-needle.jpg",1)</f>
        <v/>
      </c>
      <c r="Q434" s="64"/>
      <c r="R434" s="68"/>
      <c r="S434" s="69"/>
      <c r="T434" s="12"/>
      <c r="U434" s="11">
        <v>0.0</v>
      </c>
      <c r="V434" s="12"/>
      <c r="W434" s="12"/>
      <c r="X434" s="12"/>
      <c r="Y434" s="12"/>
      <c r="Z434" s="67"/>
      <c r="AA434" s="12"/>
      <c r="AB434" s="12"/>
      <c r="AC434" s="67"/>
      <c r="AD434" s="12"/>
      <c r="AE434" s="12"/>
      <c r="AF434" s="12"/>
    </row>
    <row r="435" ht="45.0" hidden="1" customHeight="1">
      <c r="A435" s="6">
        <v>389.0</v>
      </c>
      <c r="B435" s="6" t="s">
        <v>15</v>
      </c>
      <c r="C435" s="6" t="s">
        <v>1606</v>
      </c>
      <c r="D435" s="6" t="s">
        <v>1607</v>
      </c>
      <c r="E435" s="7" t="s">
        <v>1608</v>
      </c>
      <c r="F435" s="8" t="s">
        <v>1601</v>
      </c>
      <c r="G435" s="6">
        <v>2.0</v>
      </c>
      <c r="H435" s="6">
        <v>2.0</v>
      </c>
      <c r="I435" s="6">
        <v>300.0</v>
      </c>
      <c r="J435" s="6">
        <f t="shared" si="45"/>
        <v>600</v>
      </c>
      <c r="K435" s="6" t="s">
        <v>20</v>
      </c>
      <c r="L435" s="7" t="s">
        <v>65</v>
      </c>
      <c r="M435" s="7" t="s">
        <v>1605</v>
      </c>
      <c r="N435" s="7"/>
      <c r="O435" s="10"/>
      <c r="P435" s="6" t="str">
        <f>IMAGE("https://m.media-amazon.com/images/W/MEDIAX_792452-T2/images/I/71vxqqo9r7L.jpg",1)</f>
        <v/>
      </c>
      <c r="Q435" s="64"/>
      <c r="R435" s="65"/>
      <c r="S435" s="66"/>
      <c r="T435" s="12"/>
      <c r="U435" s="11">
        <v>0.0</v>
      </c>
      <c r="V435" s="12"/>
      <c r="W435" s="12"/>
      <c r="X435" s="12"/>
      <c r="Y435" s="12"/>
      <c r="Z435" s="67"/>
      <c r="AA435" s="12"/>
      <c r="AB435" s="12"/>
      <c r="AC435" s="67"/>
      <c r="AD435" s="12"/>
      <c r="AE435" s="12"/>
      <c r="AF435" s="12"/>
    </row>
    <row r="436" ht="45.0" hidden="1" customHeight="1">
      <c r="A436" s="6">
        <v>390.0</v>
      </c>
      <c r="B436" s="6" t="s">
        <v>342</v>
      </c>
      <c r="C436" s="6" t="s">
        <v>1609</v>
      </c>
      <c r="D436" s="6" t="s">
        <v>1610</v>
      </c>
      <c r="E436" s="7" t="s">
        <v>1611</v>
      </c>
      <c r="F436" s="8" t="s">
        <v>1601</v>
      </c>
      <c r="G436" s="6">
        <v>5.0</v>
      </c>
      <c r="H436" s="6">
        <v>5.0</v>
      </c>
      <c r="I436" s="6"/>
      <c r="J436" s="6">
        <f t="shared" si="45"/>
        <v>0</v>
      </c>
      <c r="K436" s="6" t="s">
        <v>347</v>
      </c>
      <c r="L436" s="7" t="s">
        <v>65</v>
      </c>
      <c r="M436" s="7" t="s">
        <v>1605</v>
      </c>
      <c r="N436" s="7"/>
      <c r="O436" s="10" t="s">
        <v>1612</v>
      </c>
      <c r="P436" s="6" t="str">
        <f>IMAGE("https://delhi6online.in/cdn/shop/products/S1_800x.jpg?v=1545883083.jpg",1)</f>
        <v/>
      </c>
      <c r="Q436" s="64"/>
      <c r="R436" s="65" t="s">
        <v>1719</v>
      </c>
      <c r="S436" s="66"/>
      <c r="T436" s="12"/>
      <c r="U436" s="11">
        <v>0.0</v>
      </c>
      <c r="V436" s="12"/>
      <c r="W436" s="12"/>
      <c r="X436" s="12"/>
      <c r="Y436" s="12"/>
      <c r="Z436" s="67"/>
      <c r="AA436" s="12"/>
      <c r="AB436" s="12"/>
      <c r="AC436" s="67"/>
      <c r="AD436" s="12"/>
      <c r="AE436" s="12"/>
      <c r="AF436" s="12"/>
    </row>
    <row r="437" ht="45.0" hidden="1" customHeight="1">
      <c r="A437" s="6">
        <v>391.0</v>
      </c>
      <c r="B437" s="6" t="s">
        <v>342</v>
      </c>
      <c r="C437" s="6" t="s">
        <v>1613</v>
      </c>
      <c r="D437" s="6" t="s">
        <v>1614</v>
      </c>
      <c r="E437" s="7" t="s">
        <v>1615</v>
      </c>
      <c r="F437" s="8" t="s">
        <v>1601</v>
      </c>
      <c r="G437" s="6">
        <v>5.0</v>
      </c>
      <c r="H437" s="6">
        <v>5.0</v>
      </c>
      <c r="I437" s="6"/>
      <c r="J437" s="6">
        <f t="shared" si="45"/>
        <v>0</v>
      </c>
      <c r="K437" s="6" t="s">
        <v>347</v>
      </c>
      <c r="L437" s="7" t="s">
        <v>65</v>
      </c>
      <c r="M437" s="7" t="s">
        <v>1605</v>
      </c>
      <c r="N437" s="7"/>
      <c r="O437" s="10" t="s">
        <v>1616</v>
      </c>
      <c r="P437" s="6" t="str">
        <f>IMAGE("https://4.imimg.com/data4/JF/WX/MY-2704359/thread-cutter-1000x1000.jpg",1)</f>
        <v/>
      </c>
      <c r="Q437" s="64"/>
      <c r="R437" s="65"/>
      <c r="S437" s="66"/>
      <c r="T437" s="12"/>
      <c r="U437" s="11">
        <v>0.0</v>
      </c>
      <c r="V437" s="12"/>
      <c r="W437" s="12"/>
      <c r="X437" s="12"/>
      <c r="Y437" s="12"/>
      <c r="Z437" s="67"/>
      <c r="AA437" s="12"/>
      <c r="AB437" s="12"/>
      <c r="AC437" s="67"/>
      <c r="AD437" s="12"/>
      <c r="AE437" s="12"/>
      <c r="AF437" s="12"/>
    </row>
    <row r="438" ht="45.0" customHeight="1">
      <c r="A438" s="6">
        <v>392.0</v>
      </c>
      <c r="B438" s="6" t="s">
        <v>173</v>
      </c>
      <c r="C438" s="6" t="s">
        <v>1617</v>
      </c>
      <c r="D438" s="6" t="s">
        <v>1618</v>
      </c>
      <c r="E438" s="7" t="s">
        <v>1619</v>
      </c>
      <c r="F438" s="8" t="s">
        <v>1514</v>
      </c>
      <c r="G438" s="9">
        <v>10.0</v>
      </c>
      <c r="H438" s="9">
        <v>10.0</v>
      </c>
      <c r="I438" s="9">
        <v>50.0</v>
      </c>
      <c r="J438" s="6">
        <f t="shared" si="45"/>
        <v>500</v>
      </c>
      <c r="K438" s="6" t="s">
        <v>178</v>
      </c>
      <c r="L438" s="7"/>
      <c r="M438" s="7" t="s">
        <v>599</v>
      </c>
      <c r="N438" s="7"/>
      <c r="O438" s="10" t="s">
        <v>1620</v>
      </c>
      <c r="P438" s="6" t="str">
        <f>IMAGE("https://i0.wp.com/superbtech.in/wp-content/uploads/2020/07/2-60.jpg?fit=500%2C500&amp;ssl=1",1)</f>
        <v/>
      </c>
      <c r="Q438" s="64" t="s">
        <v>1688</v>
      </c>
      <c r="R438" s="65"/>
      <c r="S438" s="66"/>
      <c r="T438" s="12"/>
      <c r="U438" s="11">
        <v>1.0</v>
      </c>
      <c r="V438" s="12"/>
      <c r="W438" s="12"/>
      <c r="X438" s="12"/>
      <c r="Y438" s="12"/>
      <c r="Z438" s="67"/>
      <c r="AA438" s="12"/>
      <c r="AB438" s="12"/>
      <c r="AC438" s="67"/>
      <c r="AD438" s="12"/>
      <c r="AE438" s="12"/>
      <c r="AF438" s="12"/>
    </row>
    <row r="439" ht="45.0" customHeight="1">
      <c r="A439" s="6">
        <v>393.0</v>
      </c>
      <c r="B439" s="6" t="s">
        <v>173</v>
      </c>
      <c r="C439" s="6" t="s">
        <v>1621</v>
      </c>
      <c r="D439" s="6" t="s">
        <v>1622</v>
      </c>
      <c r="E439" s="7" t="s">
        <v>1623</v>
      </c>
      <c r="F439" s="8" t="s">
        <v>1514</v>
      </c>
      <c r="G439" s="9">
        <v>5.0</v>
      </c>
      <c r="H439" s="9">
        <v>5.0</v>
      </c>
      <c r="I439" s="9">
        <v>150.0</v>
      </c>
      <c r="J439" s="6">
        <f t="shared" si="45"/>
        <v>750</v>
      </c>
      <c r="K439" s="6" t="s">
        <v>178</v>
      </c>
      <c r="L439" s="7"/>
      <c r="M439" s="7" t="s">
        <v>249</v>
      </c>
      <c r="N439" s="7"/>
      <c r="O439" s="10" t="s">
        <v>1624</v>
      </c>
      <c r="P439" s="6" t="str">
        <f>IMAGE("https://cdn.shopify.com/s/files/1/0559/1970/6265/products/1_9713a8db-db1e-42d0-a3e7-eebb7f66c4e9.jpg?v=1670581925",1)</f>
        <v/>
      </c>
      <c r="Q439" s="64" t="s">
        <v>1688</v>
      </c>
      <c r="R439" s="65"/>
      <c r="S439" s="66"/>
      <c r="T439" s="12"/>
      <c r="U439" s="11">
        <v>1.0</v>
      </c>
      <c r="V439" s="12"/>
      <c r="W439" s="12"/>
      <c r="X439" s="12"/>
      <c r="Y439" s="12"/>
      <c r="Z439" s="67"/>
      <c r="AA439" s="12"/>
      <c r="AB439" s="12"/>
      <c r="AC439" s="67"/>
      <c r="AD439" s="12"/>
      <c r="AE439" s="12"/>
      <c r="AF439" s="12"/>
    </row>
    <row r="440" ht="27.75" customHeight="1">
      <c r="A440" s="50" t="s">
        <v>1733</v>
      </c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2"/>
      <c r="P440" s="53"/>
      <c r="Q440" s="54"/>
      <c r="R440" s="55"/>
      <c r="S440" s="55"/>
      <c r="T440" s="56"/>
      <c r="U440" s="56"/>
      <c r="V440" s="56"/>
      <c r="W440" s="56"/>
      <c r="X440" s="56"/>
      <c r="Y440" s="56"/>
      <c r="Z440" s="57"/>
      <c r="AA440" s="56"/>
      <c r="AB440" s="56"/>
      <c r="AC440" s="57"/>
      <c r="AD440" s="56"/>
      <c r="AE440" s="56"/>
      <c r="AF440" s="56"/>
    </row>
    <row r="441" ht="24.0" customHeight="1">
      <c r="A441" s="59" t="s">
        <v>0</v>
      </c>
      <c r="B441" s="59"/>
      <c r="C441" s="59"/>
      <c r="D441" s="59" t="s">
        <v>1</v>
      </c>
      <c r="E441" s="60" t="s">
        <v>2</v>
      </c>
      <c r="F441" s="59" t="s">
        <v>3</v>
      </c>
      <c r="G441" s="59" t="s">
        <v>4</v>
      </c>
      <c r="H441" s="59" t="s">
        <v>5</v>
      </c>
      <c r="I441" s="59" t="s">
        <v>6</v>
      </c>
      <c r="J441" s="59" t="s">
        <v>7</v>
      </c>
      <c r="K441" s="59" t="s">
        <v>8</v>
      </c>
      <c r="L441" s="60" t="s">
        <v>9</v>
      </c>
      <c r="M441" s="60" t="s">
        <v>10</v>
      </c>
      <c r="N441" s="61" t="s">
        <v>11</v>
      </c>
      <c r="O441" s="59" t="s">
        <v>12</v>
      </c>
      <c r="P441" s="62" t="s">
        <v>13</v>
      </c>
      <c r="Q441" s="4" t="s">
        <v>13</v>
      </c>
      <c r="R441" s="4" t="s">
        <v>13</v>
      </c>
      <c r="S441" s="4" t="s">
        <v>13</v>
      </c>
      <c r="T441" s="4" t="s">
        <v>13</v>
      </c>
      <c r="U441" s="4" t="s">
        <v>14</v>
      </c>
      <c r="V441" s="5"/>
      <c r="W441" s="5"/>
      <c r="X441" s="5"/>
      <c r="Y441" s="5"/>
      <c r="Z441" s="63"/>
      <c r="AA441" s="5"/>
      <c r="AB441" s="5"/>
      <c r="AC441" s="63"/>
      <c r="AD441" s="5"/>
      <c r="AE441" s="5"/>
      <c r="AF441" s="5"/>
    </row>
    <row r="442" ht="45.0" customHeight="1">
      <c r="A442" s="6">
        <v>394.0</v>
      </c>
      <c r="B442" s="6" t="s">
        <v>173</v>
      </c>
      <c r="C442" s="6" t="s">
        <v>1625</v>
      </c>
      <c r="D442" s="6" t="s">
        <v>1626</v>
      </c>
      <c r="E442" s="7" t="s">
        <v>1627</v>
      </c>
      <c r="F442" s="8" t="s">
        <v>1628</v>
      </c>
      <c r="G442" s="9">
        <v>10.0</v>
      </c>
      <c r="H442" s="9">
        <v>10.0</v>
      </c>
      <c r="I442" s="9">
        <v>20.0</v>
      </c>
      <c r="J442" s="6">
        <f t="shared" ref="J442:J454" si="46">I442*H442</f>
        <v>200</v>
      </c>
      <c r="K442" s="6" t="s">
        <v>178</v>
      </c>
      <c r="L442" s="7"/>
      <c r="M442" s="7" t="s">
        <v>110</v>
      </c>
      <c r="N442" s="7" t="s">
        <v>1629</v>
      </c>
      <c r="O442" s="10" t="s">
        <v>1630</v>
      </c>
      <c r="P442" s="6" t="str">
        <f>IMAGE("https://m.media-amazon.com/images/W/MEDIAX_792452-T2/images/I/419leG1YjXL.jpg",1)</f>
        <v/>
      </c>
      <c r="Q442" s="64" t="s">
        <v>1688</v>
      </c>
      <c r="R442" s="65"/>
      <c r="S442" s="66"/>
      <c r="T442" s="12"/>
      <c r="U442" s="11">
        <v>1.0</v>
      </c>
      <c r="V442" s="12"/>
      <c r="W442" s="12"/>
      <c r="X442" s="12"/>
      <c r="Y442" s="12"/>
      <c r="Z442" s="67"/>
      <c r="AA442" s="12"/>
      <c r="AB442" s="12"/>
      <c r="AC442" s="67"/>
      <c r="AD442" s="12"/>
      <c r="AE442" s="12"/>
      <c r="AF442" s="12"/>
    </row>
    <row r="443" ht="45.0" customHeight="1">
      <c r="A443" s="6">
        <v>395.0</v>
      </c>
      <c r="B443" s="6" t="s">
        <v>173</v>
      </c>
      <c r="C443" s="6" t="s">
        <v>1631</v>
      </c>
      <c r="D443" s="6" t="s">
        <v>1632</v>
      </c>
      <c r="E443" s="7" t="s">
        <v>1633</v>
      </c>
      <c r="F443" s="8" t="s">
        <v>1628</v>
      </c>
      <c r="G443" s="9">
        <v>10.0</v>
      </c>
      <c r="H443" s="9">
        <v>10.0</v>
      </c>
      <c r="I443" s="9">
        <v>100.0</v>
      </c>
      <c r="J443" s="6">
        <f t="shared" si="46"/>
        <v>1000</v>
      </c>
      <c r="K443" s="6" t="s">
        <v>178</v>
      </c>
      <c r="L443" s="7"/>
      <c r="M443" s="7" t="s">
        <v>110</v>
      </c>
      <c r="N443" s="7" t="s">
        <v>1629</v>
      </c>
      <c r="O443" s="10" t="s">
        <v>1634</v>
      </c>
      <c r="P443" s="6" t="str">
        <f>IMAGE("https://i0.wp.com/armsol.in/wp-content/uploads/2021/08/1-5-rotated.jpg?fit=600%2C600&amp;ssl=1",1)</f>
        <v/>
      </c>
      <c r="Q443" s="64" t="s">
        <v>1688</v>
      </c>
      <c r="R443" s="65"/>
      <c r="S443" s="66"/>
      <c r="T443" s="12"/>
      <c r="U443" s="11">
        <v>1.0</v>
      </c>
      <c r="V443" s="12"/>
      <c r="W443" s="12"/>
      <c r="X443" s="12"/>
      <c r="Y443" s="12"/>
      <c r="Z443" s="67"/>
      <c r="AA443" s="12"/>
      <c r="AB443" s="12"/>
      <c r="AC443" s="67"/>
      <c r="AD443" s="12"/>
      <c r="AE443" s="12"/>
      <c r="AF443" s="12"/>
    </row>
    <row r="444" ht="45.0" customHeight="1">
      <c r="A444" s="6">
        <v>396.0</v>
      </c>
      <c r="B444" s="6" t="s">
        <v>173</v>
      </c>
      <c r="C444" s="6" t="s">
        <v>1635</v>
      </c>
      <c r="D444" s="6" t="s">
        <v>1636</v>
      </c>
      <c r="E444" s="7" t="s">
        <v>1637</v>
      </c>
      <c r="F444" s="8" t="s">
        <v>1628</v>
      </c>
      <c r="G444" s="9">
        <v>30.0</v>
      </c>
      <c r="H444" s="9">
        <v>30.0</v>
      </c>
      <c r="I444" s="9">
        <v>20.0</v>
      </c>
      <c r="J444" s="6">
        <f t="shared" si="46"/>
        <v>600</v>
      </c>
      <c r="K444" s="6" t="s">
        <v>178</v>
      </c>
      <c r="L444" s="7"/>
      <c r="M444" s="7" t="s">
        <v>179</v>
      </c>
      <c r="N444" s="7" t="s">
        <v>1638</v>
      </c>
      <c r="O444" s="10" t="s">
        <v>1639</v>
      </c>
      <c r="P444" s="6" t="str">
        <f>IMAGE("https://www.voltaat.com/cdn/shop/products/voltaat-soldering-board-5cm-x-7cm-10728457568358_1024x1024.jpg?v=1628445244")</f>
        <v/>
      </c>
      <c r="Q444" s="64" t="s">
        <v>1688</v>
      </c>
      <c r="R444" s="65"/>
      <c r="S444" s="66"/>
      <c r="T444" s="12"/>
      <c r="U444" s="11">
        <v>1.0</v>
      </c>
      <c r="V444" s="12"/>
      <c r="W444" s="12"/>
      <c r="X444" s="12"/>
      <c r="Y444" s="12"/>
      <c r="Z444" s="67"/>
      <c r="AA444" s="12"/>
      <c r="AB444" s="12"/>
      <c r="AC444" s="67"/>
      <c r="AD444" s="12"/>
      <c r="AE444" s="12"/>
      <c r="AF444" s="12"/>
    </row>
    <row r="445" ht="45.0" customHeight="1">
      <c r="A445" s="6">
        <v>397.0</v>
      </c>
      <c r="B445" s="6" t="s">
        <v>173</v>
      </c>
      <c r="C445" s="6" t="s">
        <v>1640</v>
      </c>
      <c r="D445" s="6" t="s">
        <v>1641</v>
      </c>
      <c r="E445" s="7" t="s">
        <v>1642</v>
      </c>
      <c r="F445" s="8" t="s">
        <v>1628</v>
      </c>
      <c r="G445" s="9">
        <v>10.0</v>
      </c>
      <c r="H445" s="9">
        <v>10.0</v>
      </c>
      <c r="I445" s="9">
        <v>30.0</v>
      </c>
      <c r="J445" s="6">
        <f t="shared" si="46"/>
        <v>300</v>
      </c>
      <c r="K445" s="6" t="s">
        <v>178</v>
      </c>
      <c r="L445" s="7"/>
      <c r="M445" s="7" t="s">
        <v>179</v>
      </c>
      <c r="N445" s="7" t="s">
        <v>1638</v>
      </c>
      <c r="O445" s="10" t="s">
        <v>1643</v>
      </c>
      <c r="P445" s="6" t="str">
        <f>IMAGE("https://m.media-amazon.com/images/W/MEDIAX_792452-T2/images/I/91hMIBtDtPS._SL1500_.jpg")</f>
        <v/>
      </c>
      <c r="Q445" s="64" t="s">
        <v>1688</v>
      </c>
      <c r="R445" s="65"/>
      <c r="S445" s="66"/>
      <c r="T445" s="12"/>
      <c r="U445" s="11">
        <v>1.0</v>
      </c>
      <c r="V445" s="12"/>
      <c r="W445" s="12"/>
      <c r="X445" s="33"/>
      <c r="Y445" s="33"/>
      <c r="Z445" s="77"/>
      <c r="AA445" s="33"/>
      <c r="AB445" s="33"/>
      <c r="AC445" s="77"/>
      <c r="AD445" s="33"/>
      <c r="AE445" s="33"/>
      <c r="AF445" s="33"/>
    </row>
    <row r="446" ht="45.0" customHeight="1">
      <c r="A446" s="6">
        <v>398.0</v>
      </c>
      <c r="B446" s="6" t="s">
        <v>173</v>
      </c>
      <c r="C446" s="6" t="s">
        <v>1644</v>
      </c>
      <c r="D446" s="6" t="s">
        <v>1645</v>
      </c>
      <c r="E446" s="7" t="s">
        <v>1646</v>
      </c>
      <c r="F446" s="8" t="s">
        <v>1628</v>
      </c>
      <c r="G446" s="9">
        <v>5.0</v>
      </c>
      <c r="H446" s="9">
        <v>5.0</v>
      </c>
      <c r="I446" s="9">
        <v>20.0</v>
      </c>
      <c r="J446" s="6">
        <f t="shared" si="46"/>
        <v>100</v>
      </c>
      <c r="K446" s="6" t="s">
        <v>178</v>
      </c>
      <c r="L446" s="7"/>
      <c r="M446" s="7" t="s">
        <v>110</v>
      </c>
      <c r="N446" s="7" t="s">
        <v>1629</v>
      </c>
      <c r="O446" s="10" t="s">
        <v>1647</v>
      </c>
      <c r="P446" s="6" t="str">
        <f>IMAGE("https://5.imimg.com/data5/SELLER/Default/2022/1/IK/KY/AC/131638211/31tvrpe7ijl-500x500.jpg")</f>
        <v/>
      </c>
      <c r="Q446" s="64" t="s">
        <v>1725</v>
      </c>
      <c r="R446" s="65"/>
      <c r="S446" s="66"/>
      <c r="T446" s="12"/>
      <c r="U446" s="11">
        <v>0.0</v>
      </c>
      <c r="V446" s="12"/>
      <c r="W446" s="12"/>
      <c r="X446" s="33"/>
      <c r="Y446" s="33"/>
      <c r="Z446" s="77"/>
      <c r="AA446" s="33"/>
      <c r="AB446" s="33"/>
      <c r="AC446" s="77"/>
      <c r="AD446" s="33"/>
      <c r="AE446" s="33"/>
      <c r="AF446" s="33"/>
    </row>
    <row r="447" ht="45.0" customHeight="1">
      <c r="A447" s="6">
        <v>399.0</v>
      </c>
      <c r="B447" s="6" t="s">
        <v>173</v>
      </c>
      <c r="C447" s="6" t="s">
        <v>1648</v>
      </c>
      <c r="D447" s="6" t="s">
        <v>1649</v>
      </c>
      <c r="E447" s="7" t="s">
        <v>1650</v>
      </c>
      <c r="F447" s="8" t="s">
        <v>1628</v>
      </c>
      <c r="G447" s="9">
        <v>10.0</v>
      </c>
      <c r="H447" s="9">
        <v>10.0</v>
      </c>
      <c r="I447" s="9">
        <v>20.0</v>
      </c>
      <c r="J447" s="6">
        <f t="shared" si="46"/>
        <v>200</v>
      </c>
      <c r="K447" s="6" t="s">
        <v>178</v>
      </c>
      <c r="L447" s="7"/>
      <c r="M447" s="7" t="s">
        <v>110</v>
      </c>
      <c r="N447" s="7" t="s">
        <v>1629</v>
      </c>
      <c r="O447" s="10" t="s">
        <v>1651</v>
      </c>
      <c r="P447" s="6" t="str">
        <f>IMAGE("https://i0.wp.com/roboticsdna.in/wp-content/uploads/2020/11/IRON-TIP-1.png?fit=1000%2C1000&amp;ssl=1",1)</f>
        <v/>
      </c>
      <c r="Q447" s="64" t="s">
        <v>1725</v>
      </c>
      <c r="R447" s="65"/>
      <c r="S447" s="66"/>
      <c r="T447" s="12"/>
      <c r="U447" s="11">
        <v>0.0</v>
      </c>
      <c r="V447" s="33"/>
      <c r="W447" s="33"/>
      <c r="X447" s="33"/>
      <c r="Y447" s="33"/>
      <c r="Z447" s="77"/>
      <c r="AA447" s="33"/>
      <c r="AB447" s="33"/>
      <c r="AC447" s="77"/>
      <c r="AD447" s="33"/>
      <c r="AE447" s="33"/>
      <c r="AF447" s="33"/>
    </row>
    <row r="448" ht="45.0" customHeight="1">
      <c r="A448" s="6">
        <v>400.0</v>
      </c>
      <c r="B448" s="6" t="s">
        <v>173</v>
      </c>
      <c r="C448" s="6" t="s">
        <v>1652</v>
      </c>
      <c r="D448" s="6" t="s">
        <v>1653</v>
      </c>
      <c r="E448" s="7" t="s">
        <v>1654</v>
      </c>
      <c r="F448" s="8" t="s">
        <v>1628</v>
      </c>
      <c r="G448" s="9">
        <v>10.0</v>
      </c>
      <c r="H448" s="9">
        <v>10.0</v>
      </c>
      <c r="I448" s="9">
        <v>20.0</v>
      </c>
      <c r="J448" s="6">
        <f t="shared" si="46"/>
        <v>200</v>
      </c>
      <c r="K448" s="6" t="s">
        <v>178</v>
      </c>
      <c r="L448" s="7"/>
      <c r="M448" s="7" t="s">
        <v>110</v>
      </c>
      <c r="N448" s="7" t="s">
        <v>1629</v>
      </c>
      <c r="O448" s="10" t="s">
        <v>1655</v>
      </c>
      <c r="P448" s="6" t="str">
        <f>IMAGE("https://www.toolworld.in/storage/media/product/1656317774.jpg",1)</f>
        <v/>
      </c>
      <c r="Q448" s="64" t="s">
        <v>1725</v>
      </c>
      <c r="R448" s="65"/>
      <c r="S448" s="66"/>
      <c r="T448" s="12"/>
      <c r="U448" s="11">
        <v>0.0</v>
      </c>
      <c r="V448" s="33"/>
      <c r="W448" s="33"/>
      <c r="X448" s="33"/>
      <c r="Y448" s="12">
        <f t="shared" ref="Y448:Y454" si="47">X448*H448</f>
        <v>0</v>
      </c>
      <c r="Z448" s="77"/>
      <c r="AA448" s="33"/>
      <c r="AB448" s="33"/>
      <c r="AC448" s="77"/>
      <c r="AD448" s="33"/>
      <c r="AE448" s="33"/>
      <c r="AF448" s="33"/>
    </row>
    <row r="449" ht="45.0" customHeight="1">
      <c r="A449" s="6">
        <v>401.0</v>
      </c>
      <c r="B449" s="6" t="s">
        <v>173</v>
      </c>
      <c r="C449" s="6" t="s">
        <v>1656</v>
      </c>
      <c r="D449" s="6" t="s">
        <v>1657</v>
      </c>
      <c r="E449" s="7" t="s">
        <v>1658</v>
      </c>
      <c r="F449" s="8" t="s">
        <v>1628</v>
      </c>
      <c r="G449" s="9">
        <v>10.0</v>
      </c>
      <c r="H449" s="9">
        <v>10.0</v>
      </c>
      <c r="I449" s="9">
        <v>50.0</v>
      </c>
      <c r="J449" s="6">
        <f t="shared" si="46"/>
        <v>500</v>
      </c>
      <c r="K449" s="6" t="s">
        <v>178</v>
      </c>
      <c r="L449" s="7"/>
      <c r="M449" s="7" t="s">
        <v>110</v>
      </c>
      <c r="N449" s="7" t="s">
        <v>1629</v>
      </c>
      <c r="O449" s="10" t="s">
        <v>1659</v>
      </c>
      <c r="P449" s="6" t="str">
        <f>IMAGE("https://m.media-amazon.com/images/W/MEDIAX_792452-T2/images/I/41OjS3jnL4L.jpg",1)</f>
        <v/>
      </c>
      <c r="Q449" s="64" t="s">
        <v>1688</v>
      </c>
      <c r="R449" s="65"/>
      <c r="S449" s="66"/>
      <c r="T449" s="12"/>
      <c r="U449" s="11">
        <v>1.0</v>
      </c>
      <c r="V449" s="33"/>
      <c r="W449" s="33"/>
      <c r="X449" s="33"/>
      <c r="Y449" s="12">
        <f t="shared" si="47"/>
        <v>0</v>
      </c>
      <c r="Z449" s="77"/>
      <c r="AA449" s="33"/>
      <c r="AB449" s="33"/>
      <c r="AC449" s="77"/>
      <c r="AD449" s="33"/>
      <c r="AE449" s="33"/>
      <c r="AF449" s="33"/>
    </row>
    <row r="450" ht="45.0" customHeight="1">
      <c r="A450" s="6">
        <v>402.0</v>
      </c>
      <c r="B450" s="6" t="s">
        <v>173</v>
      </c>
      <c r="C450" s="6" t="s">
        <v>1660</v>
      </c>
      <c r="D450" s="6" t="s">
        <v>1661</v>
      </c>
      <c r="E450" s="7" t="s">
        <v>1662</v>
      </c>
      <c r="F450" s="8" t="s">
        <v>1628</v>
      </c>
      <c r="G450" s="9">
        <v>2.0</v>
      </c>
      <c r="H450" s="9">
        <v>2.0</v>
      </c>
      <c r="I450" s="9">
        <v>500.0</v>
      </c>
      <c r="J450" s="6">
        <f t="shared" si="46"/>
        <v>1000</v>
      </c>
      <c r="K450" s="6" t="s">
        <v>178</v>
      </c>
      <c r="L450" s="7" t="s">
        <v>47</v>
      </c>
      <c r="M450" s="7"/>
      <c r="N450" s="7"/>
      <c r="O450" s="10" t="s">
        <v>1663</v>
      </c>
      <c r="P450" s="6" t="str">
        <f>IMAGE("https://m.media-amazon.com/images/W/MEDIAX_792452-T2/images/I/61gvV3Wc-NL._SL1024_.jpg")</f>
        <v/>
      </c>
      <c r="Q450" s="71" t="s">
        <v>1684</v>
      </c>
      <c r="R450" s="65">
        <v>120.0</v>
      </c>
      <c r="S450" s="66"/>
      <c r="T450" s="12"/>
      <c r="U450" s="11"/>
      <c r="V450" s="33"/>
      <c r="W450" s="33" t="s">
        <v>144</v>
      </c>
      <c r="X450" s="33">
        <v>750.0</v>
      </c>
      <c r="Y450" s="12">
        <f t="shared" si="47"/>
        <v>1500</v>
      </c>
      <c r="Z450" s="77"/>
      <c r="AA450" s="33"/>
      <c r="AB450" s="33"/>
      <c r="AC450" s="77"/>
      <c r="AD450" s="33"/>
      <c r="AE450" s="33"/>
      <c r="AF450" s="33"/>
    </row>
    <row r="451" ht="45.0" customHeight="1">
      <c r="A451" s="6">
        <v>403.0</v>
      </c>
      <c r="B451" s="6" t="s">
        <v>173</v>
      </c>
      <c r="C451" s="6" t="s">
        <v>1664</v>
      </c>
      <c r="D451" s="6" t="s">
        <v>1665</v>
      </c>
      <c r="E451" s="7" t="s">
        <v>1666</v>
      </c>
      <c r="F451" s="8" t="s">
        <v>1628</v>
      </c>
      <c r="G451" s="9">
        <v>10.0</v>
      </c>
      <c r="H451" s="9">
        <v>10.0</v>
      </c>
      <c r="I451" s="9">
        <v>300.0</v>
      </c>
      <c r="J451" s="6">
        <f t="shared" si="46"/>
        <v>3000</v>
      </c>
      <c r="K451" s="6" t="s">
        <v>178</v>
      </c>
      <c r="L451" s="7"/>
      <c r="M451" s="7" t="s">
        <v>110</v>
      </c>
      <c r="N451" s="7" t="s">
        <v>1629</v>
      </c>
      <c r="O451" s="10" t="s">
        <v>1667</v>
      </c>
      <c r="P451" s="6" t="str">
        <f>IMAGE("https://robu.in/wp-content/uploads/2015/10/Soldron-25-Watt-Iron-Soldering-Gun-5.jpg")</f>
        <v/>
      </c>
      <c r="Q451" s="64" t="s">
        <v>1725</v>
      </c>
      <c r="R451" s="65"/>
      <c r="S451" s="66"/>
      <c r="T451" s="12"/>
      <c r="U451" s="11">
        <v>0.0</v>
      </c>
      <c r="V451" s="33"/>
      <c r="W451" s="33" t="s">
        <v>144</v>
      </c>
      <c r="X451" s="33">
        <v>400.0</v>
      </c>
      <c r="Y451" s="12">
        <f t="shared" si="47"/>
        <v>4000</v>
      </c>
      <c r="Z451" s="77"/>
      <c r="AA451" s="33"/>
      <c r="AB451" s="33"/>
      <c r="AC451" s="77"/>
      <c r="AD451" s="33"/>
      <c r="AE451" s="33"/>
      <c r="AF451" s="33"/>
    </row>
    <row r="452" ht="45.0" customHeight="1">
      <c r="A452" s="6">
        <v>404.0</v>
      </c>
      <c r="B452" s="6" t="s">
        <v>173</v>
      </c>
      <c r="C452" s="6" t="s">
        <v>1668</v>
      </c>
      <c r="D452" s="6" t="s">
        <v>1669</v>
      </c>
      <c r="E452" s="7" t="s">
        <v>1670</v>
      </c>
      <c r="F452" s="8" t="s">
        <v>1628</v>
      </c>
      <c r="G452" s="9">
        <v>1.0</v>
      </c>
      <c r="H452" s="9">
        <v>1.0</v>
      </c>
      <c r="I452" s="9">
        <v>200.0</v>
      </c>
      <c r="J452" s="6">
        <f t="shared" si="46"/>
        <v>200</v>
      </c>
      <c r="K452" s="6" t="s">
        <v>178</v>
      </c>
      <c r="L452" s="7" t="s">
        <v>47</v>
      </c>
      <c r="M452" s="7"/>
      <c r="N452" s="7"/>
      <c r="O452" s="10" t="s">
        <v>1671</v>
      </c>
      <c r="P452" s="6" t="str">
        <f>IMAGE("https://m.media-amazon.com/images/I/71Nb2wKaZgS._SL1500_.jpg", 1)</f>
        <v/>
      </c>
      <c r="Q452" s="73" t="s">
        <v>1684</v>
      </c>
      <c r="R452" s="74">
        <v>60.0</v>
      </c>
      <c r="S452" s="75"/>
      <c r="T452" s="12"/>
      <c r="U452" s="11">
        <v>0.0</v>
      </c>
      <c r="V452" s="33"/>
      <c r="W452" s="33" t="s">
        <v>144</v>
      </c>
      <c r="X452" s="33">
        <v>1000.0</v>
      </c>
      <c r="Y452" s="12">
        <f t="shared" si="47"/>
        <v>1000</v>
      </c>
      <c r="Z452" s="77"/>
      <c r="AA452" s="33"/>
      <c r="AB452" s="33"/>
      <c r="AC452" s="77"/>
      <c r="AD452" s="33"/>
      <c r="AE452" s="33"/>
      <c r="AF452" s="33"/>
    </row>
    <row r="453" ht="45.0" customHeight="1">
      <c r="A453" s="6">
        <v>405.0</v>
      </c>
      <c r="B453" s="6" t="s">
        <v>173</v>
      </c>
      <c r="C453" s="6" t="s">
        <v>1672</v>
      </c>
      <c r="D453" s="6" t="s">
        <v>1673</v>
      </c>
      <c r="E453" s="7" t="s">
        <v>1674</v>
      </c>
      <c r="F453" s="8" t="s">
        <v>1628</v>
      </c>
      <c r="G453" s="9">
        <v>10.0</v>
      </c>
      <c r="H453" s="9">
        <v>10.0</v>
      </c>
      <c r="I453" s="9">
        <v>65.0</v>
      </c>
      <c r="J453" s="6">
        <f t="shared" si="46"/>
        <v>650</v>
      </c>
      <c r="K453" s="6" t="s">
        <v>178</v>
      </c>
      <c r="L453" s="7"/>
      <c r="M453" s="7" t="s">
        <v>110</v>
      </c>
      <c r="N453" s="7" t="s">
        <v>1629</v>
      </c>
      <c r="O453" s="10" t="s">
        <v>1675</v>
      </c>
      <c r="P453" s="6" t="str">
        <f>IMAGE("https://m.media-amazon.com/images/W/MEDIAX_792452-T2/images/I/511g3IePVzL.jpg",1)</f>
        <v/>
      </c>
      <c r="Q453" s="78" t="s">
        <v>1725</v>
      </c>
      <c r="R453" s="74"/>
      <c r="S453" s="75"/>
      <c r="T453" s="12"/>
      <c r="U453" s="11">
        <v>0.0</v>
      </c>
      <c r="V453" s="33"/>
      <c r="W453" s="33"/>
      <c r="X453" s="12">
        <v>350.0</v>
      </c>
      <c r="Y453" s="12">
        <f t="shared" si="47"/>
        <v>3500</v>
      </c>
      <c r="Z453" s="67"/>
      <c r="AA453" s="12"/>
      <c r="AB453" s="12"/>
      <c r="AC453" s="67"/>
      <c r="AD453" s="12"/>
      <c r="AE453" s="12"/>
      <c r="AF453" s="12"/>
    </row>
    <row r="454" ht="45.0" customHeight="1">
      <c r="A454" s="6">
        <v>406.0</v>
      </c>
      <c r="B454" s="6" t="s">
        <v>173</v>
      </c>
      <c r="C454" s="6" t="s">
        <v>1676</v>
      </c>
      <c r="D454" s="6" t="s">
        <v>1677</v>
      </c>
      <c r="E454" s="7" t="s">
        <v>1678</v>
      </c>
      <c r="F454" s="8" t="s">
        <v>1628</v>
      </c>
      <c r="G454" s="9">
        <v>10.0</v>
      </c>
      <c r="H454" s="9">
        <v>10.0</v>
      </c>
      <c r="I454" s="9">
        <v>100.0</v>
      </c>
      <c r="J454" s="6">
        <f t="shared" si="46"/>
        <v>1000</v>
      </c>
      <c r="K454" s="6" t="s">
        <v>178</v>
      </c>
      <c r="L454" s="7"/>
      <c r="M454" s="7" t="s">
        <v>110</v>
      </c>
      <c r="N454" s="7" t="s">
        <v>1629</v>
      </c>
      <c r="O454" s="10" t="s">
        <v>1679</v>
      </c>
      <c r="P454" s="6" t="str">
        <f>IMAGE("https://5.imimg.com/data5/FT/MG/MY-9316309/soldering-wire-500x500.jpg",1)</f>
        <v/>
      </c>
      <c r="Q454" s="78" t="s">
        <v>1688</v>
      </c>
      <c r="R454" s="79"/>
      <c r="S454" s="80"/>
      <c r="T454" s="12"/>
      <c r="U454" s="11">
        <v>1.0</v>
      </c>
      <c r="V454" s="33"/>
      <c r="W454" s="33"/>
      <c r="X454" s="12">
        <v>500.0</v>
      </c>
      <c r="Y454" s="12">
        <f t="shared" si="47"/>
        <v>5000</v>
      </c>
      <c r="Z454" s="67"/>
      <c r="AA454" s="12"/>
      <c r="AC454" s="67"/>
      <c r="AD454" s="12"/>
      <c r="AE454" s="12"/>
      <c r="AF454" s="12"/>
    </row>
    <row r="455" ht="27.75" customHeight="1">
      <c r="A455" s="50" t="s">
        <v>1734</v>
      </c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2"/>
      <c r="P455" s="53"/>
      <c r="Q455" s="54"/>
      <c r="R455" s="55"/>
      <c r="S455" s="55"/>
      <c r="T455" s="56"/>
      <c r="U455" s="56"/>
      <c r="V455" s="56"/>
      <c r="W455" s="56"/>
      <c r="X455" s="56"/>
      <c r="Y455" s="56"/>
      <c r="Z455" s="57"/>
      <c r="AA455" s="56"/>
      <c r="AB455" s="56"/>
      <c r="AC455" s="57"/>
      <c r="AD455" s="56"/>
      <c r="AE455" s="56"/>
      <c r="AF455" s="56"/>
    </row>
    <row r="456" ht="24.0" customHeight="1">
      <c r="A456" s="59" t="s">
        <v>0</v>
      </c>
      <c r="B456" s="59"/>
      <c r="C456" s="59"/>
      <c r="D456" s="59" t="s">
        <v>1</v>
      </c>
      <c r="E456" s="60" t="s">
        <v>2</v>
      </c>
      <c r="F456" s="59" t="s">
        <v>3</v>
      </c>
      <c r="G456" s="59" t="s">
        <v>4</v>
      </c>
      <c r="H456" s="59" t="s">
        <v>5</v>
      </c>
      <c r="I456" s="59" t="s">
        <v>6</v>
      </c>
      <c r="J456" s="59" t="s">
        <v>7</v>
      </c>
      <c r="K456" s="59" t="s">
        <v>8</v>
      </c>
      <c r="L456" s="60" t="s">
        <v>9</v>
      </c>
      <c r="M456" s="60" t="s">
        <v>10</v>
      </c>
      <c r="N456" s="61" t="s">
        <v>11</v>
      </c>
      <c r="O456" s="59" t="s">
        <v>12</v>
      </c>
      <c r="P456" s="62" t="s">
        <v>13</v>
      </c>
      <c r="Q456" s="4" t="s">
        <v>13</v>
      </c>
      <c r="R456" s="4" t="s">
        <v>13</v>
      </c>
      <c r="S456" s="4" t="s">
        <v>13</v>
      </c>
      <c r="T456" s="4" t="s">
        <v>13</v>
      </c>
      <c r="U456" s="4" t="s">
        <v>14</v>
      </c>
      <c r="V456" s="5"/>
      <c r="W456" s="5"/>
      <c r="X456" s="5"/>
      <c r="Y456" s="5"/>
      <c r="Z456" s="63"/>
      <c r="AA456" s="5"/>
      <c r="AB456" s="5"/>
      <c r="AC456" s="63"/>
      <c r="AD456" s="5"/>
      <c r="AE456" s="5"/>
      <c r="AF456" s="5"/>
    </row>
    <row r="457" ht="45.0" customHeight="1">
      <c r="A457" s="6"/>
      <c r="B457" s="6"/>
      <c r="C457" s="6"/>
      <c r="D457" s="6"/>
      <c r="E457" s="7"/>
      <c r="F457" s="8"/>
      <c r="G457" s="9"/>
      <c r="H457" s="9"/>
      <c r="I457" s="9"/>
      <c r="J457" s="6"/>
      <c r="K457" s="6"/>
      <c r="L457" s="7"/>
      <c r="M457" s="7"/>
      <c r="N457" s="7"/>
      <c r="O457" s="10"/>
      <c r="P457" s="6"/>
      <c r="Q457" s="71"/>
      <c r="R457" s="65"/>
      <c r="S457" s="66"/>
      <c r="T457" s="34"/>
      <c r="U457" s="6"/>
      <c r="V457" s="81"/>
      <c r="W457" s="81"/>
      <c r="X457" s="81"/>
      <c r="Y457" s="81"/>
      <c r="Z457" s="82"/>
      <c r="AA457" s="81"/>
      <c r="AB457" s="81"/>
      <c r="AC457" s="82"/>
      <c r="AD457" s="81"/>
      <c r="AE457" s="81"/>
      <c r="AF457" s="81"/>
    </row>
    <row r="458" ht="45.0" customHeight="1">
      <c r="A458" s="6"/>
      <c r="B458" s="6"/>
      <c r="C458" s="6"/>
      <c r="D458" s="6"/>
      <c r="E458" s="7"/>
      <c r="F458" s="8"/>
      <c r="G458" s="9"/>
      <c r="H458" s="9"/>
      <c r="I458" s="9"/>
      <c r="J458" s="6"/>
      <c r="K458" s="6"/>
      <c r="L458" s="7"/>
      <c r="M458" s="7"/>
      <c r="N458" s="7"/>
      <c r="O458" s="10"/>
      <c r="P458" s="6"/>
      <c r="Q458" s="64"/>
      <c r="R458" s="65"/>
      <c r="S458" s="66"/>
      <c r="T458" s="34"/>
      <c r="U458" s="6"/>
      <c r="V458" s="81"/>
      <c r="W458" s="81"/>
      <c r="X458" s="34"/>
      <c r="Y458" s="34"/>
      <c r="Z458" s="83"/>
      <c r="AA458" s="34"/>
      <c r="AB458" s="34"/>
      <c r="AC458" s="83"/>
      <c r="AD458" s="34"/>
      <c r="AE458" s="34"/>
      <c r="AF458" s="34"/>
    </row>
    <row r="459" ht="45.0" customHeight="1">
      <c r="A459" s="6"/>
      <c r="B459" s="6"/>
      <c r="C459" s="6"/>
      <c r="D459" s="6"/>
      <c r="E459" s="7"/>
      <c r="F459" s="8"/>
      <c r="G459" s="9"/>
      <c r="H459" s="9"/>
      <c r="I459" s="9"/>
      <c r="J459" s="6"/>
      <c r="K459" s="6"/>
      <c r="L459" s="7"/>
      <c r="M459" s="7"/>
      <c r="N459" s="7"/>
      <c r="O459" s="10"/>
      <c r="P459" s="6"/>
      <c r="Q459" s="64"/>
      <c r="R459" s="68"/>
      <c r="S459" s="69"/>
      <c r="T459" s="34"/>
      <c r="U459" s="6"/>
      <c r="V459" s="81"/>
      <c r="W459" s="81"/>
      <c r="X459" s="34"/>
      <c r="Y459" s="34"/>
      <c r="Z459" s="83"/>
      <c r="AA459" s="34"/>
      <c r="AB459" s="84"/>
      <c r="AC459" s="83"/>
      <c r="AD459" s="34"/>
      <c r="AE459" s="34"/>
      <c r="AF459" s="34"/>
    </row>
    <row r="460" ht="45.0" customHeight="1">
      <c r="A460" s="6"/>
      <c r="B460" s="6"/>
      <c r="C460" s="6"/>
      <c r="D460" s="6"/>
      <c r="E460" s="7"/>
      <c r="F460" s="8"/>
      <c r="G460" s="9"/>
      <c r="H460" s="9"/>
      <c r="I460" s="9"/>
      <c r="J460" s="6"/>
      <c r="K460" s="6"/>
      <c r="L460" s="7"/>
      <c r="M460" s="7"/>
      <c r="N460" s="7"/>
      <c r="O460" s="10"/>
      <c r="P460" s="6"/>
      <c r="Q460" s="71"/>
      <c r="R460" s="65"/>
      <c r="S460" s="66"/>
      <c r="T460" s="34"/>
      <c r="U460" s="6"/>
      <c r="V460" s="81"/>
      <c r="W460" s="81"/>
      <c r="X460" s="81"/>
      <c r="Y460" s="81"/>
      <c r="Z460" s="82"/>
      <c r="AA460" s="81"/>
      <c r="AB460" s="81"/>
      <c r="AC460" s="82"/>
      <c r="AD460" s="81"/>
      <c r="AE460" s="81"/>
      <c r="AF460" s="81"/>
    </row>
    <row r="461" ht="45.0" customHeight="1">
      <c r="A461" s="6"/>
      <c r="B461" s="6"/>
      <c r="C461" s="6"/>
      <c r="D461" s="6"/>
      <c r="E461" s="7"/>
      <c r="F461" s="8"/>
      <c r="G461" s="9"/>
      <c r="H461" s="9"/>
      <c r="I461" s="9"/>
      <c r="J461" s="6"/>
      <c r="K461" s="6"/>
      <c r="L461" s="7"/>
      <c r="M461" s="7"/>
      <c r="N461" s="7"/>
      <c r="O461" s="10"/>
      <c r="P461" s="6"/>
      <c r="Q461" s="64"/>
      <c r="R461" s="65"/>
      <c r="S461" s="66"/>
      <c r="T461" s="34"/>
      <c r="U461" s="6"/>
      <c r="V461" s="81"/>
      <c r="W461" s="81"/>
      <c r="X461" s="34"/>
      <c r="Y461" s="34"/>
      <c r="Z461" s="83"/>
      <c r="AA461" s="34"/>
      <c r="AB461" s="34"/>
      <c r="AC461" s="83"/>
      <c r="AD461" s="34"/>
      <c r="AE461" s="34"/>
      <c r="AF461" s="34"/>
    </row>
    <row r="462" ht="45.0" customHeight="1">
      <c r="A462" s="6"/>
      <c r="B462" s="6"/>
      <c r="C462" s="6"/>
      <c r="D462" s="6"/>
      <c r="E462" s="7"/>
      <c r="F462" s="8"/>
      <c r="G462" s="9"/>
      <c r="H462" s="9"/>
      <c r="I462" s="9"/>
      <c r="J462" s="6"/>
      <c r="K462" s="6"/>
      <c r="L462" s="7"/>
      <c r="M462" s="7"/>
      <c r="N462" s="7"/>
      <c r="O462" s="10"/>
      <c r="P462" s="6"/>
      <c r="Q462" s="64"/>
      <c r="R462" s="68"/>
      <c r="S462" s="69"/>
      <c r="T462" s="34"/>
      <c r="U462" s="6"/>
      <c r="V462" s="81"/>
      <c r="W462" s="81"/>
      <c r="X462" s="34"/>
      <c r="Y462" s="34"/>
      <c r="Z462" s="83"/>
      <c r="AA462" s="34"/>
      <c r="AB462" s="84"/>
      <c r="AC462" s="85">
        <v>1000000.0</v>
      </c>
      <c r="AD462" s="86">
        <v>2.74875E7</v>
      </c>
      <c r="AE462" s="34"/>
      <c r="AF462" s="34"/>
    </row>
    <row r="463" ht="45.0" customHeight="1">
      <c r="A463" s="6"/>
      <c r="B463" s="6"/>
      <c r="C463" s="6"/>
      <c r="D463" s="6"/>
      <c r="E463" s="7"/>
      <c r="F463" s="8"/>
      <c r="G463" s="9"/>
      <c r="H463" s="9"/>
      <c r="I463" s="9"/>
      <c r="J463" s="6"/>
      <c r="K463" s="6"/>
      <c r="L463" s="7"/>
      <c r="M463" s="7"/>
      <c r="N463" s="7"/>
      <c r="O463" s="10"/>
      <c r="P463" s="6"/>
      <c r="Q463" s="71"/>
      <c r="R463" s="65"/>
      <c r="S463" s="66"/>
      <c r="T463" s="34"/>
      <c r="U463" s="6"/>
      <c r="V463" s="81"/>
      <c r="W463" s="81"/>
      <c r="X463" s="81"/>
      <c r="Y463" s="81"/>
      <c r="Z463" s="82"/>
      <c r="AA463" s="81"/>
      <c r="AB463" s="81"/>
      <c r="AC463" s="85">
        <v>3.44E7</v>
      </c>
      <c r="AD463" s="81"/>
      <c r="AE463" s="81"/>
      <c r="AF463" s="81"/>
    </row>
    <row r="464" ht="45.0" customHeight="1">
      <c r="A464" s="6"/>
      <c r="B464" s="6"/>
      <c r="C464" s="6"/>
      <c r="D464" s="6"/>
      <c r="E464" s="7"/>
      <c r="F464" s="8"/>
      <c r="G464" s="9"/>
      <c r="H464" s="9"/>
      <c r="I464" s="9"/>
      <c r="J464" s="6"/>
      <c r="K464" s="6"/>
      <c r="L464" s="7"/>
      <c r="M464" s="7"/>
      <c r="N464" s="7"/>
      <c r="O464" s="10"/>
      <c r="P464" s="6"/>
      <c r="Q464" s="64"/>
      <c r="R464" s="65"/>
      <c r="S464" s="66"/>
      <c r="T464" s="34"/>
      <c r="U464" s="6"/>
      <c r="V464" s="81"/>
      <c r="W464" s="81"/>
      <c r="X464" s="34"/>
      <c r="Y464" s="34"/>
      <c r="Z464" s="83"/>
      <c r="AA464" s="34"/>
      <c r="AB464" s="34"/>
      <c r="AC464" s="85">
        <v>1250000.0</v>
      </c>
      <c r="AD464" s="34"/>
      <c r="AE464" s="34"/>
      <c r="AF464" s="34"/>
    </row>
    <row r="465" ht="45.0" customHeight="1">
      <c r="A465" s="6"/>
      <c r="B465" s="6"/>
      <c r="C465" s="6"/>
      <c r="D465" s="6"/>
      <c r="E465" s="7"/>
      <c r="F465" s="8"/>
      <c r="G465" s="9"/>
      <c r="H465" s="9"/>
      <c r="I465" s="9"/>
      <c r="J465" s="6"/>
      <c r="K465" s="6"/>
      <c r="L465" s="7"/>
      <c r="M465" s="7"/>
      <c r="N465" s="7"/>
      <c r="O465" s="10"/>
      <c r="P465" s="6"/>
      <c r="Q465" s="64"/>
      <c r="R465" s="68"/>
      <c r="S465" s="69"/>
      <c r="T465" s="34"/>
      <c r="U465" s="6"/>
      <c r="V465" s="81"/>
      <c r="W465" s="81"/>
      <c r="X465" s="34"/>
      <c r="Y465" s="34"/>
      <c r="Z465" s="83"/>
      <c r="AA465" s="34"/>
      <c r="AB465" s="84"/>
      <c r="AC465" s="83"/>
      <c r="AD465" s="34"/>
      <c r="AE465" s="34"/>
      <c r="AF465" s="34"/>
    </row>
    <row r="466" ht="15.75" customHeight="1">
      <c r="A466" s="34"/>
      <c r="B466" s="34"/>
      <c r="C466" s="34"/>
      <c r="D466" s="34"/>
      <c r="E466" s="34"/>
      <c r="F466" s="35"/>
      <c r="G466" s="34"/>
      <c r="H466" s="34"/>
      <c r="I466" s="34"/>
      <c r="J466" s="34"/>
      <c r="K466" s="34"/>
      <c r="L466" s="34"/>
      <c r="M466" s="34"/>
      <c r="N466" s="34"/>
      <c r="O466" s="36"/>
      <c r="P466" s="34"/>
      <c r="Q466" s="87"/>
      <c r="R466" s="34"/>
      <c r="S466" s="66"/>
      <c r="T466" s="12"/>
      <c r="U466" s="12"/>
      <c r="V466" s="12"/>
      <c r="W466" s="12"/>
      <c r="X466" s="12"/>
      <c r="Y466" s="12">
        <f>SUM(Y1:Y465)</f>
        <v>413600</v>
      </c>
      <c r="Z466" s="67">
        <f>43*Y466</f>
        <v>17784800</v>
      </c>
      <c r="AA466" s="12"/>
      <c r="AB466" s="12"/>
      <c r="AC466" s="67">
        <f>SUM(AC462:AC464)</f>
        <v>36650000</v>
      </c>
      <c r="AD466" s="67">
        <f>AC466-AD462</f>
        <v>9162500</v>
      </c>
      <c r="AE466" s="12"/>
      <c r="AF466" s="12"/>
    </row>
    <row r="467" ht="15.75" customHeight="1">
      <c r="A467" s="34"/>
      <c r="B467" s="34"/>
      <c r="C467" s="34"/>
      <c r="D467" s="34"/>
      <c r="E467" s="34"/>
      <c r="F467" s="35"/>
      <c r="G467" s="34"/>
      <c r="H467" s="34"/>
      <c r="I467" s="34"/>
      <c r="J467" s="34"/>
      <c r="K467" s="34"/>
      <c r="L467" s="34"/>
      <c r="M467" s="34"/>
      <c r="N467" s="34"/>
      <c r="O467" s="36"/>
      <c r="P467" s="34"/>
      <c r="Q467" s="87"/>
      <c r="R467" s="34"/>
      <c r="S467" s="66"/>
      <c r="T467" s="12"/>
      <c r="U467" s="12"/>
      <c r="V467" s="12"/>
      <c r="W467" s="12"/>
      <c r="X467" s="12"/>
      <c r="Y467" s="12"/>
      <c r="Z467" s="67"/>
      <c r="AA467" s="12"/>
      <c r="AB467" s="12"/>
      <c r="AC467" s="67"/>
      <c r="AD467" s="12"/>
      <c r="AE467" s="12"/>
      <c r="AF467" s="12"/>
    </row>
    <row r="468" ht="15.75" customHeight="1">
      <c r="A468" s="34"/>
      <c r="B468" s="34"/>
      <c r="C468" s="34"/>
      <c r="D468" s="34"/>
      <c r="E468" s="34"/>
      <c r="F468" s="35"/>
      <c r="G468" s="34"/>
      <c r="H468" s="34"/>
      <c r="I468" s="34"/>
      <c r="J468" s="34"/>
      <c r="K468" s="34"/>
      <c r="L468" s="34"/>
      <c r="M468" s="34"/>
      <c r="N468" s="34"/>
      <c r="O468" s="36"/>
      <c r="P468" s="34"/>
      <c r="Q468" s="87"/>
      <c r="R468" s="34"/>
      <c r="S468" s="66"/>
      <c r="T468" s="12"/>
      <c r="U468" s="12"/>
      <c r="V468" s="12"/>
      <c r="W468" s="12"/>
      <c r="X468" s="12"/>
      <c r="Y468" s="12"/>
      <c r="Z468" s="67"/>
      <c r="AA468" s="12"/>
      <c r="AB468" s="12"/>
      <c r="AC468" s="67"/>
      <c r="AD468" s="12"/>
      <c r="AE468" s="12"/>
      <c r="AF468" s="12"/>
    </row>
    <row r="469" ht="15.75" customHeight="1">
      <c r="A469" s="34"/>
      <c r="B469" s="34"/>
      <c r="C469" s="34"/>
      <c r="D469" s="34"/>
      <c r="E469" s="34"/>
      <c r="F469" s="35"/>
      <c r="G469" s="34"/>
      <c r="H469" s="34"/>
      <c r="I469" s="34"/>
      <c r="J469" s="34"/>
      <c r="K469" s="34"/>
      <c r="L469" s="34"/>
      <c r="M469" s="34"/>
      <c r="N469" s="34"/>
      <c r="O469" s="36"/>
      <c r="P469" s="34"/>
      <c r="Q469" s="87"/>
      <c r="R469" s="34"/>
      <c r="S469" s="66"/>
      <c r="T469" s="12"/>
      <c r="U469" s="12"/>
      <c r="V469" s="12"/>
      <c r="W469" s="12"/>
      <c r="X469" s="12"/>
      <c r="Y469" s="12"/>
      <c r="Z469" s="88">
        <f>Z466-AD466-AC469</f>
        <v>1182781</v>
      </c>
      <c r="AA469" s="12"/>
      <c r="AB469" s="12"/>
      <c r="AC469" s="67">
        <v>7439519.0</v>
      </c>
      <c r="AD469" s="12"/>
      <c r="AE469" s="12"/>
      <c r="AF469" s="12"/>
    </row>
    <row r="470" ht="15.75" customHeight="1">
      <c r="A470" s="34"/>
      <c r="B470" s="34"/>
      <c r="C470" s="34"/>
      <c r="D470" s="34"/>
      <c r="E470" s="34"/>
      <c r="F470" s="35"/>
      <c r="G470" s="34"/>
      <c r="H470" s="34"/>
      <c r="I470" s="34"/>
      <c r="J470" s="34"/>
      <c r="K470" s="34"/>
      <c r="L470" s="34"/>
      <c r="M470" s="34"/>
      <c r="N470" s="34"/>
      <c r="O470" s="36"/>
      <c r="P470" s="34"/>
      <c r="Q470" s="87"/>
      <c r="R470" s="34"/>
      <c r="S470" s="66"/>
      <c r="T470" s="12"/>
      <c r="U470" s="12"/>
      <c r="V470" s="12"/>
      <c r="W470" s="12"/>
      <c r="X470" s="12"/>
      <c r="Y470" s="12"/>
      <c r="Z470" s="67"/>
      <c r="AA470" s="12"/>
      <c r="AB470" s="12"/>
      <c r="AC470" s="67"/>
      <c r="AD470" s="12"/>
      <c r="AE470" s="12"/>
      <c r="AF470" s="12"/>
    </row>
    <row r="471" ht="15.75" customHeight="1">
      <c r="A471" s="34"/>
      <c r="B471" s="34"/>
      <c r="C471" s="34"/>
      <c r="D471" s="34"/>
      <c r="E471" s="34"/>
      <c r="F471" s="35"/>
      <c r="G471" s="34"/>
      <c r="H471" s="34"/>
      <c r="I471" s="34"/>
      <c r="J471" s="34"/>
      <c r="K471" s="34"/>
      <c r="L471" s="34"/>
      <c r="M471" s="34"/>
      <c r="N471" s="34"/>
      <c r="O471" s="36"/>
      <c r="P471" s="34"/>
      <c r="Q471" s="87"/>
      <c r="R471" s="34"/>
      <c r="S471" s="66"/>
      <c r="T471" s="12"/>
      <c r="U471" s="12"/>
      <c r="V471" s="12"/>
      <c r="W471" s="12"/>
      <c r="X471" s="12"/>
      <c r="Y471" s="12"/>
      <c r="Z471" s="67"/>
      <c r="AA471" s="12"/>
      <c r="AB471" s="12"/>
      <c r="AC471" s="67"/>
      <c r="AD471" s="12"/>
      <c r="AE471" s="12"/>
      <c r="AF471" s="12"/>
    </row>
    <row r="472" ht="15.75" customHeight="1">
      <c r="A472" s="34"/>
      <c r="B472" s="34"/>
      <c r="C472" s="34"/>
      <c r="D472" s="34"/>
      <c r="E472" s="34"/>
      <c r="F472" s="35"/>
      <c r="G472" s="34"/>
      <c r="H472" s="34"/>
      <c r="I472" s="34"/>
      <c r="J472" s="34"/>
      <c r="K472" s="34"/>
      <c r="L472" s="34"/>
      <c r="M472" s="34"/>
      <c r="N472" s="34"/>
      <c r="O472" s="36"/>
      <c r="P472" s="34"/>
      <c r="Q472" s="87"/>
      <c r="R472" s="34"/>
      <c r="S472" s="66"/>
      <c r="T472" s="12"/>
      <c r="U472" s="12"/>
      <c r="V472" s="12"/>
      <c r="W472" s="12"/>
      <c r="X472" s="12"/>
      <c r="Y472" s="12"/>
      <c r="Z472" s="67"/>
      <c r="AA472" s="12"/>
      <c r="AB472" s="12"/>
      <c r="AC472" s="67"/>
      <c r="AD472" s="12"/>
      <c r="AE472" s="12"/>
      <c r="AF472" s="12"/>
    </row>
    <row r="473" ht="15.75" customHeight="1">
      <c r="A473" s="34"/>
      <c r="B473" s="34"/>
      <c r="C473" s="34"/>
      <c r="D473" s="34"/>
      <c r="E473" s="34"/>
      <c r="F473" s="35"/>
      <c r="G473" s="34"/>
      <c r="H473" s="34"/>
      <c r="I473" s="34"/>
      <c r="J473" s="34"/>
      <c r="K473" s="34"/>
      <c r="L473" s="34"/>
      <c r="M473" s="34"/>
      <c r="N473" s="34"/>
      <c r="O473" s="36"/>
      <c r="P473" s="34"/>
      <c r="Q473" s="87"/>
      <c r="R473" s="34"/>
      <c r="S473" s="66"/>
      <c r="T473" s="12"/>
      <c r="U473" s="12"/>
      <c r="V473" s="12"/>
      <c r="W473" s="12"/>
      <c r="X473" s="12"/>
      <c r="Y473" s="12"/>
      <c r="Z473" s="67"/>
      <c r="AA473" s="12"/>
      <c r="AB473" s="12"/>
      <c r="AC473" s="67"/>
      <c r="AD473" s="12"/>
      <c r="AE473" s="12"/>
      <c r="AF473" s="12"/>
    </row>
    <row r="474" ht="15.75" customHeight="1">
      <c r="A474" s="34"/>
      <c r="B474" s="34"/>
      <c r="C474" s="34"/>
      <c r="D474" s="34"/>
      <c r="E474" s="34"/>
      <c r="F474" s="35"/>
      <c r="G474" s="34"/>
      <c r="H474" s="34"/>
      <c r="I474" s="34"/>
      <c r="J474" s="34"/>
      <c r="K474" s="34"/>
      <c r="L474" s="34"/>
      <c r="M474" s="34"/>
      <c r="N474" s="34"/>
      <c r="O474" s="36"/>
      <c r="P474" s="34"/>
      <c r="Q474" s="87"/>
      <c r="R474" s="34"/>
      <c r="S474" s="66"/>
      <c r="T474" s="12"/>
      <c r="U474" s="12"/>
      <c r="V474" s="12"/>
      <c r="W474" s="12"/>
      <c r="X474" s="12"/>
      <c r="Y474" s="12"/>
      <c r="Z474" s="67"/>
      <c r="AA474" s="12"/>
      <c r="AB474" s="12"/>
      <c r="AC474" s="67"/>
      <c r="AD474" s="12"/>
      <c r="AE474" s="12"/>
      <c r="AF474" s="12"/>
    </row>
    <row r="475" ht="15.75" customHeight="1">
      <c r="A475" s="34"/>
      <c r="B475" s="34"/>
      <c r="C475" s="34"/>
      <c r="D475" s="34"/>
      <c r="E475" s="34"/>
      <c r="F475" s="35"/>
      <c r="G475" s="34"/>
      <c r="H475" s="34"/>
      <c r="I475" s="34"/>
      <c r="J475" s="34"/>
      <c r="K475" s="34"/>
      <c r="L475" s="34"/>
      <c r="M475" s="34"/>
      <c r="N475" s="34"/>
      <c r="O475" s="36"/>
      <c r="P475" s="34"/>
      <c r="Q475" s="87"/>
      <c r="R475" s="34"/>
      <c r="S475" s="66"/>
      <c r="T475" s="12"/>
      <c r="U475" s="12"/>
      <c r="V475" s="12"/>
      <c r="W475" s="12"/>
      <c r="X475" s="12"/>
      <c r="Y475" s="12"/>
      <c r="Z475" s="67"/>
      <c r="AA475" s="12"/>
      <c r="AB475" s="12"/>
      <c r="AC475" s="67"/>
      <c r="AD475" s="12"/>
      <c r="AE475" s="12"/>
      <c r="AF475" s="12"/>
    </row>
    <row r="476" ht="15.75" customHeight="1">
      <c r="A476" s="34"/>
      <c r="B476" s="34"/>
      <c r="C476" s="34"/>
      <c r="D476" s="34"/>
      <c r="E476" s="34"/>
      <c r="F476" s="35"/>
      <c r="G476" s="34"/>
      <c r="H476" s="34"/>
      <c r="I476" s="34"/>
      <c r="J476" s="34"/>
      <c r="K476" s="34"/>
      <c r="L476" s="34"/>
      <c r="M476" s="34"/>
      <c r="N476" s="34"/>
      <c r="O476" s="36"/>
      <c r="P476" s="34"/>
      <c r="Q476" s="87"/>
      <c r="R476" s="34"/>
      <c r="S476" s="66"/>
      <c r="T476" s="12"/>
      <c r="U476" s="12"/>
      <c r="V476" s="12"/>
      <c r="W476" s="12"/>
      <c r="X476" s="12"/>
      <c r="Y476" s="12"/>
      <c r="Z476" s="67"/>
      <c r="AA476" s="12"/>
      <c r="AB476" s="12"/>
      <c r="AC476" s="67"/>
      <c r="AD476" s="12"/>
      <c r="AE476" s="12"/>
      <c r="AF476" s="12"/>
    </row>
    <row r="477" ht="15.75" customHeight="1">
      <c r="A477" s="34"/>
      <c r="B477" s="34"/>
      <c r="C477" s="34"/>
      <c r="D477" s="34"/>
      <c r="E477" s="34"/>
      <c r="F477" s="35"/>
      <c r="G477" s="34"/>
      <c r="H477" s="34"/>
      <c r="I477" s="34"/>
      <c r="J477" s="34"/>
      <c r="K477" s="34"/>
      <c r="L477" s="34"/>
      <c r="M477" s="34"/>
      <c r="N477" s="34"/>
      <c r="O477" s="36"/>
      <c r="P477" s="34"/>
      <c r="Q477" s="87"/>
      <c r="R477" s="34"/>
      <c r="S477" s="66"/>
      <c r="T477" s="12"/>
      <c r="U477" s="12"/>
      <c r="V477" s="12"/>
      <c r="W477" s="12"/>
      <c r="X477" s="12"/>
      <c r="Y477" s="12"/>
      <c r="Z477" s="67"/>
      <c r="AA477" s="12"/>
      <c r="AB477" s="12"/>
      <c r="AC477" s="67"/>
      <c r="AD477" s="12"/>
      <c r="AE477" s="12"/>
      <c r="AF477" s="12"/>
    </row>
    <row r="478" ht="15.75" customHeight="1">
      <c r="A478" s="34"/>
      <c r="B478" s="34"/>
      <c r="C478" s="34"/>
      <c r="D478" s="34"/>
      <c r="E478" s="34"/>
      <c r="F478" s="35"/>
      <c r="G478" s="34"/>
      <c r="H478" s="34"/>
      <c r="I478" s="34"/>
      <c r="J478" s="34"/>
      <c r="K478" s="34"/>
      <c r="L478" s="34"/>
      <c r="M478" s="34"/>
      <c r="N478" s="34"/>
      <c r="O478" s="36"/>
      <c r="P478" s="34"/>
      <c r="Q478" s="87"/>
      <c r="R478" s="34"/>
      <c r="S478" s="66"/>
      <c r="T478" s="12"/>
      <c r="U478" s="12"/>
      <c r="V478" s="12"/>
      <c r="W478" s="12"/>
      <c r="X478" s="12"/>
      <c r="Y478" s="12"/>
      <c r="Z478" s="67"/>
      <c r="AA478" s="12"/>
      <c r="AB478" s="12"/>
      <c r="AC478" s="67"/>
      <c r="AD478" s="12"/>
      <c r="AE478" s="12"/>
      <c r="AF478" s="12"/>
    </row>
    <row r="479" ht="15.75" customHeight="1">
      <c r="A479" s="34"/>
      <c r="B479" s="34"/>
      <c r="C479" s="34"/>
      <c r="D479" s="34"/>
      <c r="E479" s="34"/>
      <c r="F479" s="35"/>
      <c r="G479" s="34"/>
      <c r="H479" s="34"/>
      <c r="I479" s="34"/>
      <c r="J479" s="34"/>
      <c r="K479" s="34"/>
      <c r="L479" s="34"/>
      <c r="M479" s="34"/>
      <c r="N479" s="34"/>
      <c r="O479" s="36"/>
      <c r="P479" s="34"/>
      <c r="Q479" s="87"/>
      <c r="R479" s="34"/>
      <c r="S479" s="66"/>
      <c r="T479" s="12"/>
      <c r="U479" s="12"/>
      <c r="V479" s="12"/>
      <c r="W479" s="12"/>
      <c r="X479" s="12"/>
      <c r="Y479" s="12"/>
      <c r="Z479" s="67"/>
      <c r="AA479" s="12"/>
      <c r="AB479" s="12"/>
      <c r="AC479" s="67"/>
      <c r="AD479" s="12"/>
      <c r="AE479" s="12"/>
      <c r="AF479" s="12"/>
    </row>
    <row r="480" ht="15.75" customHeight="1">
      <c r="A480" s="34"/>
      <c r="B480" s="34"/>
      <c r="C480" s="34"/>
      <c r="D480" s="34"/>
      <c r="E480" s="34"/>
      <c r="F480" s="35"/>
      <c r="G480" s="34"/>
      <c r="H480" s="34"/>
      <c r="I480" s="34"/>
      <c r="J480" s="34"/>
      <c r="K480" s="34"/>
      <c r="L480" s="34"/>
      <c r="M480" s="34"/>
      <c r="N480" s="34"/>
      <c r="O480" s="36"/>
      <c r="P480" s="34"/>
      <c r="Q480" s="87"/>
      <c r="R480" s="34"/>
      <c r="S480" s="66"/>
      <c r="T480" s="12"/>
      <c r="U480" s="12"/>
      <c r="V480" s="12"/>
      <c r="W480" s="12"/>
      <c r="X480" s="12"/>
      <c r="Y480" s="12"/>
      <c r="Z480" s="67"/>
      <c r="AA480" s="12"/>
      <c r="AB480" s="12"/>
      <c r="AC480" s="67"/>
      <c r="AD480" s="12"/>
      <c r="AE480" s="12"/>
      <c r="AF480" s="12"/>
    </row>
    <row r="481" ht="15.75" customHeight="1">
      <c r="A481" s="34"/>
      <c r="B481" s="34"/>
      <c r="C481" s="34"/>
      <c r="D481" s="34"/>
      <c r="E481" s="34"/>
      <c r="F481" s="35"/>
      <c r="G481" s="34"/>
      <c r="H481" s="34"/>
      <c r="I481" s="34"/>
      <c r="J481" s="34"/>
      <c r="K481" s="34"/>
      <c r="L481" s="34"/>
      <c r="M481" s="34"/>
      <c r="N481" s="34"/>
      <c r="O481" s="36"/>
      <c r="P481" s="34"/>
      <c r="Q481" s="87"/>
      <c r="R481" s="34"/>
      <c r="S481" s="66"/>
      <c r="T481" s="12"/>
      <c r="U481" s="12"/>
      <c r="V481" s="12"/>
      <c r="W481" s="12"/>
      <c r="X481" s="12"/>
      <c r="Y481" s="12"/>
      <c r="Z481" s="67"/>
      <c r="AA481" s="12"/>
      <c r="AB481" s="12"/>
      <c r="AC481" s="67"/>
      <c r="AD481" s="12"/>
      <c r="AE481" s="12"/>
      <c r="AF481" s="12"/>
    </row>
    <row r="482" ht="15.75" customHeight="1">
      <c r="A482" s="34"/>
      <c r="B482" s="34"/>
      <c r="C482" s="34"/>
      <c r="D482" s="34"/>
      <c r="E482" s="34"/>
      <c r="F482" s="35"/>
      <c r="G482" s="34"/>
      <c r="H482" s="34"/>
      <c r="I482" s="34"/>
      <c r="J482" s="34"/>
      <c r="K482" s="34"/>
      <c r="L482" s="34"/>
      <c r="M482" s="34"/>
      <c r="N482" s="34"/>
      <c r="O482" s="36"/>
      <c r="P482" s="34"/>
      <c r="Q482" s="87"/>
      <c r="R482" s="34"/>
      <c r="S482" s="66"/>
      <c r="T482" s="12"/>
      <c r="U482" s="12"/>
      <c r="V482" s="12"/>
      <c r="W482" s="12"/>
      <c r="X482" s="12"/>
      <c r="Y482" s="12"/>
      <c r="Z482" s="67"/>
      <c r="AA482" s="12"/>
      <c r="AB482" s="12"/>
      <c r="AC482" s="67"/>
      <c r="AD482" s="12"/>
      <c r="AE482" s="12"/>
      <c r="AF482" s="12"/>
    </row>
    <row r="483" ht="15.75" customHeight="1">
      <c r="A483" s="34"/>
      <c r="B483" s="34"/>
      <c r="C483" s="34"/>
      <c r="D483" s="34"/>
      <c r="E483" s="34"/>
      <c r="F483" s="35"/>
      <c r="G483" s="34"/>
      <c r="H483" s="34"/>
      <c r="I483" s="34"/>
      <c r="J483" s="34"/>
      <c r="K483" s="34"/>
      <c r="L483" s="34"/>
      <c r="M483" s="34"/>
      <c r="N483" s="34"/>
      <c r="O483" s="36"/>
      <c r="P483" s="34"/>
      <c r="Q483" s="87"/>
      <c r="R483" s="34"/>
      <c r="S483" s="66"/>
      <c r="T483" s="12"/>
      <c r="U483" s="12"/>
      <c r="V483" s="12"/>
      <c r="W483" s="12"/>
      <c r="X483" s="12"/>
      <c r="Y483" s="12"/>
      <c r="Z483" s="67"/>
      <c r="AA483" s="12"/>
      <c r="AB483" s="12"/>
      <c r="AC483" s="67"/>
      <c r="AD483" s="12"/>
      <c r="AE483" s="12"/>
      <c r="AF483" s="12"/>
    </row>
    <row r="484" ht="15.75" customHeight="1">
      <c r="A484" s="34"/>
      <c r="B484" s="34"/>
      <c r="C484" s="34"/>
      <c r="D484" s="34"/>
      <c r="E484" s="34"/>
      <c r="F484" s="35"/>
      <c r="G484" s="34"/>
      <c r="H484" s="34"/>
      <c r="I484" s="34"/>
      <c r="J484" s="34"/>
      <c r="K484" s="34"/>
      <c r="L484" s="34"/>
      <c r="M484" s="34"/>
      <c r="N484" s="34"/>
      <c r="O484" s="36"/>
      <c r="P484" s="34"/>
      <c r="Q484" s="87"/>
      <c r="R484" s="34"/>
      <c r="S484" s="66"/>
      <c r="T484" s="12"/>
      <c r="U484" s="12"/>
      <c r="V484" s="12"/>
      <c r="W484" s="12"/>
      <c r="X484" s="12"/>
      <c r="Y484" s="12"/>
      <c r="Z484" s="67"/>
      <c r="AA484" s="12"/>
      <c r="AB484" s="12"/>
      <c r="AC484" s="67"/>
      <c r="AD484" s="12"/>
      <c r="AE484" s="12"/>
      <c r="AF484" s="12"/>
    </row>
    <row r="485" ht="15.75" customHeight="1">
      <c r="A485" s="34"/>
      <c r="B485" s="34"/>
      <c r="C485" s="34"/>
      <c r="D485" s="34"/>
      <c r="E485" s="34"/>
      <c r="F485" s="35"/>
      <c r="G485" s="34"/>
      <c r="H485" s="34"/>
      <c r="I485" s="34"/>
      <c r="J485" s="34"/>
      <c r="K485" s="34"/>
      <c r="L485" s="34"/>
      <c r="M485" s="34"/>
      <c r="N485" s="34"/>
      <c r="O485" s="36"/>
      <c r="P485" s="34"/>
      <c r="Q485" s="87"/>
      <c r="R485" s="34"/>
      <c r="S485" s="66"/>
      <c r="T485" s="12"/>
      <c r="U485" s="12"/>
      <c r="V485" s="12"/>
      <c r="W485" s="12"/>
      <c r="X485" s="12"/>
      <c r="Y485" s="12"/>
      <c r="Z485" s="67"/>
      <c r="AA485" s="12"/>
      <c r="AB485" s="12"/>
      <c r="AC485" s="67"/>
      <c r="AD485" s="12"/>
      <c r="AE485" s="12"/>
      <c r="AF485" s="12"/>
    </row>
    <row r="486" ht="15.75" customHeight="1">
      <c r="A486" s="34"/>
      <c r="B486" s="34"/>
      <c r="C486" s="34"/>
      <c r="D486" s="34"/>
      <c r="E486" s="34"/>
      <c r="F486" s="35"/>
      <c r="G486" s="34"/>
      <c r="H486" s="34"/>
      <c r="I486" s="34"/>
      <c r="J486" s="34"/>
      <c r="K486" s="34"/>
      <c r="L486" s="34"/>
      <c r="M486" s="34"/>
      <c r="N486" s="34"/>
      <c r="O486" s="36"/>
      <c r="P486" s="34"/>
      <c r="Q486" s="87"/>
      <c r="R486" s="34"/>
      <c r="S486" s="66"/>
      <c r="T486" s="12"/>
      <c r="U486" s="12"/>
      <c r="V486" s="12"/>
      <c r="W486" s="12"/>
      <c r="X486" s="12"/>
      <c r="Y486" s="12"/>
      <c r="Z486" s="67"/>
      <c r="AA486" s="12"/>
      <c r="AB486" s="12"/>
      <c r="AC486" s="67"/>
      <c r="AD486" s="12"/>
      <c r="AE486" s="12"/>
      <c r="AF486" s="12"/>
    </row>
    <row r="487" ht="15.75" customHeight="1">
      <c r="A487" s="34"/>
      <c r="B487" s="34"/>
      <c r="C487" s="34"/>
      <c r="D487" s="34"/>
      <c r="E487" s="34"/>
      <c r="F487" s="35"/>
      <c r="G487" s="34"/>
      <c r="H487" s="34"/>
      <c r="I487" s="34"/>
      <c r="J487" s="34"/>
      <c r="K487" s="34"/>
      <c r="L487" s="34"/>
      <c r="M487" s="34"/>
      <c r="N487" s="34"/>
      <c r="O487" s="36"/>
      <c r="P487" s="34"/>
      <c r="Q487" s="87"/>
      <c r="R487" s="34"/>
      <c r="S487" s="66"/>
      <c r="T487" s="12"/>
      <c r="U487" s="12"/>
      <c r="V487" s="12"/>
      <c r="W487" s="12"/>
      <c r="X487" s="12"/>
      <c r="Y487" s="12"/>
      <c r="Z487" s="67"/>
      <c r="AA487" s="12"/>
      <c r="AB487" s="12"/>
      <c r="AC487" s="67"/>
      <c r="AD487" s="12"/>
      <c r="AE487" s="12"/>
      <c r="AF487" s="12"/>
    </row>
    <row r="488" ht="15.75" customHeight="1">
      <c r="A488" s="34"/>
      <c r="B488" s="34"/>
      <c r="C488" s="34"/>
      <c r="D488" s="34"/>
      <c r="E488" s="34"/>
      <c r="F488" s="35"/>
      <c r="G488" s="34"/>
      <c r="H488" s="34"/>
      <c r="I488" s="34"/>
      <c r="J488" s="34"/>
      <c r="K488" s="34"/>
      <c r="L488" s="34"/>
      <c r="M488" s="34"/>
      <c r="N488" s="34"/>
      <c r="O488" s="36"/>
      <c r="P488" s="34"/>
      <c r="Q488" s="87"/>
      <c r="R488" s="34"/>
      <c r="S488" s="66"/>
      <c r="T488" s="12"/>
      <c r="U488" s="12"/>
      <c r="V488" s="12"/>
      <c r="W488" s="12"/>
      <c r="X488" s="12"/>
      <c r="Y488" s="12"/>
      <c r="Z488" s="67"/>
      <c r="AA488" s="12"/>
      <c r="AB488" s="12"/>
      <c r="AC488" s="67"/>
      <c r="AD488" s="12"/>
      <c r="AE488" s="12"/>
      <c r="AF488" s="12"/>
    </row>
    <row r="489" ht="15.75" customHeight="1">
      <c r="A489" s="34"/>
      <c r="B489" s="34"/>
      <c r="C489" s="34"/>
      <c r="D489" s="34"/>
      <c r="E489" s="34"/>
      <c r="F489" s="35"/>
      <c r="G489" s="34"/>
      <c r="H489" s="34"/>
      <c r="I489" s="34"/>
      <c r="J489" s="34"/>
      <c r="K489" s="34"/>
      <c r="L489" s="34"/>
      <c r="M489" s="34"/>
      <c r="N489" s="34"/>
      <c r="O489" s="36"/>
      <c r="P489" s="34"/>
      <c r="Q489" s="87"/>
      <c r="R489" s="34"/>
      <c r="S489" s="66"/>
      <c r="T489" s="12"/>
      <c r="U489" s="12"/>
      <c r="V489" s="12"/>
      <c r="W489" s="12"/>
      <c r="X489" s="12"/>
      <c r="Y489" s="12"/>
      <c r="Z489" s="67"/>
      <c r="AA489" s="12"/>
      <c r="AB489" s="12"/>
      <c r="AC489" s="67"/>
      <c r="AD489" s="12"/>
      <c r="AE489" s="12"/>
      <c r="AF489" s="12"/>
    </row>
    <row r="490" ht="15.75" customHeight="1">
      <c r="A490" s="34"/>
      <c r="B490" s="34"/>
      <c r="C490" s="34"/>
      <c r="D490" s="34"/>
      <c r="E490" s="34"/>
      <c r="F490" s="35"/>
      <c r="G490" s="34"/>
      <c r="H490" s="34"/>
      <c r="I490" s="34"/>
      <c r="J490" s="34"/>
      <c r="K490" s="34"/>
      <c r="L490" s="34"/>
      <c r="M490" s="34"/>
      <c r="N490" s="34"/>
      <c r="O490" s="36"/>
      <c r="P490" s="34"/>
      <c r="Q490" s="87"/>
      <c r="R490" s="34"/>
      <c r="S490" s="66"/>
      <c r="T490" s="12"/>
      <c r="U490" s="12"/>
      <c r="V490" s="12"/>
      <c r="W490" s="12"/>
      <c r="X490" s="12"/>
      <c r="Y490" s="12"/>
      <c r="Z490" s="67"/>
      <c r="AA490" s="12"/>
      <c r="AB490" s="12"/>
      <c r="AC490" s="67"/>
      <c r="AD490" s="12"/>
      <c r="AE490" s="12"/>
      <c r="AF490" s="12"/>
    </row>
    <row r="491" ht="15.75" customHeight="1">
      <c r="A491" s="34"/>
      <c r="B491" s="34"/>
      <c r="C491" s="34"/>
      <c r="D491" s="34"/>
      <c r="E491" s="34"/>
      <c r="F491" s="35"/>
      <c r="G491" s="34"/>
      <c r="H491" s="34"/>
      <c r="I491" s="34"/>
      <c r="J491" s="34"/>
      <c r="K491" s="34"/>
      <c r="L491" s="34"/>
      <c r="M491" s="34"/>
      <c r="N491" s="34"/>
      <c r="O491" s="36"/>
      <c r="P491" s="34"/>
      <c r="Q491" s="87"/>
      <c r="R491" s="34"/>
      <c r="S491" s="66"/>
      <c r="T491" s="12"/>
      <c r="U491" s="12"/>
      <c r="V491" s="12"/>
      <c r="W491" s="12"/>
      <c r="X491" s="12"/>
      <c r="Y491" s="12"/>
      <c r="Z491" s="67"/>
      <c r="AA491" s="12"/>
      <c r="AB491" s="12"/>
      <c r="AC491" s="67"/>
      <c r="AD491" s="12"/>
      <c r="AE491" s="12"/>
      <c r="AF491" s="12"/>
    </row>
    <row r="492" ht="15.75" customHeight="1">
      <c r="A492" s="34"/>
      <c r="B492" s="34"/>
      <c r="C492" s="34"/>
      <c r="D492" s="34"/>
      <c r="E492" s="34"/>
      <c r="F492" s="35"/>
      <c r="G492" s="34"/>
      <c r="H492" s="34"/>
      <c r="I492" s="34"/>
      <c r="J492" s="34"/>
      <c r="K492" s="34"/>
      <c r="L492" s="34"/>
      <c r="M492" s="34"/>
      <c r="N492" s="34"/>
      <c r="O492" s="36"/>
      <c r="P492" s="34"/>
      <c r="Q492" s="87"/>
      <c r="R492" s="34"/>
      <c r="S492" s="66"/>
      <c r="T492" s="12"/>
      <c r="U492" s="12"/>
      <c r="V492" s="12"/>
      <c r="W492" s="12"/>
      <c r="X492" s="12"/>
      <c r="Y492" s="12"/>
      <c r="Z492" s="67"/>
      <c r="AA492" s="12"/>
      <c r="AB492" s="12"/>
      <c r="AC492" s="67"/>
      <c r="AD492" s="12"/>
      <c r="AE492" s="12"/>
      <c r="AF492" s="12"/>
    </row>
    <row r="493" ht="15.75" customHeight="1">
      <c r="A493" s="34"/>
      <c r="B493" s="34"/>
      <c r="C493" s="34"/>
      <c r="D493" s="34"/>
      <c r="E493" s="34"/>
      <c r="F493" s="35"/>
      <c r="G493" s="34"/>
      <c r="H493" s="34"/>
      <c r="I493" s="34"/>
      <c r="J493" s="34"/>
      <c r="K493" s="34"/>
      <c r="L493" s="34"/>
      <c r="M493" s="34"/>
      <c r="N493" s="34"/>
      <c r="O493" s="36"/>
      <c r="P493" s="34"/>
      <c r="Q493" s="87"/>
      <c r="R493" s="34"/>
      <c r="S493" s="66"/>
      <c r="T493" s="12"/>
      <c r="U493" s="12"/>
      <c r="V493" s="12"/>
      <c r="W493" s="12"/>
      <c r="X493" s="12"/>
      <c r="Y493" s="12"/>
      <c r="Z493" s="67"/>
      <c r="AA493" s="12"/>
      <c r="AB493" s="12"/>
      <c r="AC493" s="67"/>
      <c r="AD493" s="12"/>
      <c r="AE493" s="12"/>
      <c r="AF493" s="12"/>
    </row>
    <row r="494" ht="15.75" customHeight="1">
      <c r="A494" s="34"/>
      <c r="B494" s="34"/>
      <c r="C494" s="34"/>
      <c r="D494" s="34"/>
      <c r="E494" s="34"/>
      <c r="F494" s="35"/>
      <c r="G494" s="34"/>
      <c r="H494" s="34"/>
      <c r="I494" s="34"/>
      <c r="J494" s="34"/>
      <c r="K494" s="34"/>
      <c r="L494" s="34"/>
      <c r="M494" s="34"/>
      <c r="N494" s="34"/>
      <c r="O494" s="36"/>
      <c r="P494" s="34"/>
      <c r="Q494" s="87"/>
      <c r="R494" s="34"/>
      <c r="S494" s="66"/>
      <c r="T494" s="12"/>
      <c r="U494" s="12"/>
      <c r="V494" s="12"/>
      <c r="W494" s="12"/>
      <c r="X494" s="12"/>
      <c r="Y494" s="12"/>
      <c r="Z494" s="67"/>
      <c r="AA494" s="12"/>
      <c r="AB494" s="12"/>
      <c r="AC494" s="67"/>
      <c r="AD494" s="12"/>
      <c r="AE494" s="12"/>
      <c r="AF494" s="12"/>
    </row>
    <row r="495" ht="15.75" customHeight="1">
      <c r="A495" s="34"/>
      <c r="B495" s="34"/>
      <c r="C495" s="34"/>
      <c r="D495" s="34"/>
      <c r="E495" s="34"/>
      <c r="F495" s="35"/>
      <c r="G495" s="34"/>
      <c r="H495" s="34"/>
      <c r="I495" s="34"/>
      <c r="J495" s="34"/>
      <c r="K495" s="34"/>
      <c r="L495" s="34"/>
      <c r="M495" s="34"/>
      <c r="N495" s="34"/>
      <c r="O495" s="36"/>
      <c r="P495" s="34"/>
      <c r="Q495" s="87"/>
      <c r="R495" s="34"/>
      <c r="S495" s="66"/>
      <c r="T495" s="12"/>
      <c r="U495" s="12"/>
      <c r="V495" s="12"/>
      <c r="W495" s="12"/>
      <c r="X495" s="12"/>
      <c r="Y495" s="12"/>
      <c r="Z495" s="67"/>
      <c r="AA495" s="12"/>
      <c r="AB495" s="12"/>
      <c r="AC495" s="67"/>
      <c r="AD495" s="12"/>
      <c r="AE495" s="12"/>
      <c r="AF495" s="12"/>
    </row>
    <row r="496" ht="15.75" customHeight="1">
      <c r="A496" s="34"/>
      <c r="B496" s="34"/>
      <c r="C496" s="34"/>
      <c r="D496" s="34"/>
      <c r="E496" s="34"/>
      <c r="F496" s="35"/>
      <c r="G496" s="34"/>
      <c r="H496" s="34"/>
      <c r="I496" s="34"/>
      <c r="J496" s="34"/>
      <c r="K496" s="34"/>
      <c r="L496" s="34"/>
      <c r="M496" s="34"/>
      <c r="N496" s="34"/>
      <c r="O496" s="36"/>
      <c r="P496" s="34"/>
      <c r="Q496" s="87"/>
      <c r="R496" s="34"/>
      <c r="S496" s="66"/>
      <c r="T496" s="12"/>
      <c r="U496" s="12"/>
      <c r="V496" s="12"/>
      <c r="W496" s="12"/>
      <c r="X496" s="12"/>
      <c r="Y496" s="12"/>
      <c r="Z496" s="67"/>
      <c r="AA496" s="12"/>
      <c r="AB496" s="12"/>
      <c r="AC496" s="67"/>
      <c r="AD496" s="12"/>
      <c r="AE496" s="12"/>
      <c r="AF496" s="12"/>
    </row>
    <row r="497" ht="15.75" customHeight="1">
      <c r="A497" s="34"/>
      <c r="B497" s="34"/>
      <c r="C497" s="34"/>
      <c r="D497" s="34"/>
      <c r="E497" s="34"/>
      <c r="F497" s="35"/>
      <c r="G497" s="34"/>
      <c r="H497" s="34"/>
      <c r="I497" s="34"/>
      <c r="J497" s="34"/>
      <c r="K497" s="34"/>
      <c r="L497" s="34"/>
      <c r="M497" s="34"/>
      <c r="N497" s="34"/>
      <c r="O497" s="36"/>
      <c r="P497" s="34"/>
      <c r="Q497" s="87"/>
      <c r="R497" s="34"/>
      <c r="S497" s="66"/>
      <c r="T497" s="12"/>
      <c r="U497" s="12"/>
      <c r="V497" s="12"/>
      <c r="W497" s="12"/>
      <c r="X497" s="12"/>
      <c r="Y497" s="12"/>
      <c r="Z497" s="67"/>
      <c r="AA497" s="12"/>
      <c r="AB497" s="12"/>
      <c r="AC497" s="67"/>
      <c r="AD497" s="12"/>
      <c r="AE497" s="12"/>
      <c r="AF497" s="12"/>
    </row>
    <row r="498" ht="15.75" customHeight="1">
      <c r="A498" s="34"/>
      <c r="B498" s="34"/>
      <c r="C498" s="34"/>
      <c r="D498" s="34"/>
      <c r="E498" s="34"/>
      <c r="F498" s="35"/>
      <c r="G498" s="34"/>
      <c r="H498" s="34"/>
      <c r="I498" s="34"/>
      <c r="J498" s="34"/>
      <c r="K498" s="34"/>
      <c r="L498" s="34"/>
      <c r="M498" s="34"/>
      <c r="N498" s="34"/>
      <c r="O498" s="36"/>
      <c r="P498" s="34"/>
      <c r="Q498" s="87"/>
      <c r="R498" s="34"/>
      <c r="S498" s="66"/>
      <c r="T498" s="12"/>
      <c r="U498" s="12"/>
      <c r="V498" s="12"/>
      <c r="W498" s="12"/>
      <c r="X498" s="12"/>
      <c r="Y498" s="12"/>
      <c r="Z498" s="67"/>
      <c r="AA498" s="12"/>
      <c r="AB498" s="12"/>
      <c r="AC498" s="67"/>
      <c r="AD498" s="12"/>
      <c r="AE498" s="12"/>
      <c r="AF498" s="12"/>
    </row>
    <row r="499" ht="15.75" customHeight="1">
      <c r="A499" s="34"/>
      <c r="B499" s="34"/>
      <c r="C499" s="34"/>
      <c r="D499" s="34"/>
      <c r="E499" s="34"/>
      <c r="F499" s="35"/>
      <c r="G499" s="34"/>
      <c r="H499" s="34"/>
      <c r="I499" s="34"/>
      <c r="J499" s="34"/>
      <c r="K499" s="34"/>
      <c r="L499" s="34"/>
      <c r="M499" s="34"/>
      <c r="N499" s="34"/>
      <c r="O499" s="36"/>
      <c r="P499" s="34"/>
      <c r="Q499" s="87"/>
      <c r="R499" s="34"/>
      <c r="S499" s="66"/>
      <c r="T499" s="12"/>
      <c r="U499" s="12"/>
      <c r="V499" s="12"/>
      <c r="W499" s="12"/>
      <c r="X499" s="12"/>
      <c r="Y499" s="12"/>
      <c r="Z499" s="67"/>
      <c r="AA499" s="12"/>
      <c r="AB499" s="12"/>
      <c r="AC499" s="67"/>
      <c r="AD499" s="12"/>
      <c r="AE499" s="12"/>
      <c r="AF499" s="12"/>
    </row>
    <row r="500" ht="15.75" customHeight="1">
      <c r="A500" s="34"/>
      <c r="B500" s="34"/>
      <c r="C500" s="34"/>
      <c r="D500" s="34"/>
      <c r="E500" s="34"/>
      <c r="F500" s="35"/>
      <c r="G500" s="34"/>
      <c r="H500" s="34"/>
      <c r="I500" s="34"/>
      <c r="J500" s="34"/>
      <c r="K500" s="34"/>
      <c r="L500" s="34"/>
      <c r="M500" s="34"/>
      <c r="N500" s="34"/>
      <c r="O500" s="36"/>
      <c r="P500" s="34"/>
      <c r="Q500" s="87"/>
      <c r="R500" s="34"/>
      <c r="S500" s="66"/>
      <c r="T500" s="12"/>
      <c r="U500" s="12"/>
      <c r="V500" s="12"/>
      <c r="W500" s="12"/>
      <c r="X500" s="12"/>
      <c r="Y500" s="12"/>
      <c r="Z500" s="67"/>
      <c r="AA500" s="12"/>
      <c r="AB500" s="12"/>
      <c r="AC500" s="67"/>
      <c r="AD500" s="12"/>
      <c r="AE500" s="12"/>
      <c r="AF500" s="12"/>
    </row>
    <row r="501" ht="15.75" customHeight="1">
      <c r="A501" s="34"/>
      <c r="B501" s="34"/>
      <c r="C501" s="34"/>
      <c r="D501" s="34"/>
      <c r="E501" s="34"/>
      <c r="F501" s="35"/>
      <c r="G501" s="34"/>
      <c r="H501" s="34"/>
      <c r="I501" s="34"/>
      <c r="J501" s="34"/>
      <c r="K501" s="34"/>
      <c r="L501" s="34"/>
      <c r="M501" s="34"/>
      <c r="N501" s="34"/>
      <c r="O501" s="36"/>
      <c r="P501" s="34"/>
      <c r="Q501" s="87"/>
      <c r="R501" s="34"/>
      <c r="S501" s="66"/>
      <c r="T501" s="12"/>
      <c r="U501" s="12"/>
      <c r="V501" s="12"/>
      <c r="W501" s="12"/>
      <c r="X501" s="12"/>
      <c r="Y501" s="12"/>
      <c r="Z501" s="67"/>
      <c r="AA501" s="12"/>
      <c r="AB501" s="12"/>
      <c r="AC501" s="67"/>
      <c r="AD501" s="12"/>
      <c r="AE501" s="12"/>
      <c r="AF501" s="12"/>
    </row>
    <row r="502" ht="15.75" customHeight="1">
      <c r="A502" s="34"/>
      <c r="B502" s="34"/>
      <c r="C502" s="34"/>
      <c r="D502" s="34"/>
      <c r="E502" s="34"/>
      <c r="F502" s="35"/>
      <c r="G502" s="34"/>
      <c r="H502" s="34"/>
      <c r="I502" s="34"/>
      <c r="J502" s="34"/>
      <c r="K502" s="34"/>
      <c r="L502" s="34"/>
      <c r="M502" s="34"/>
      <c r="N502" s="34"/>
      <c r="O502" s="36"/>
      <c r="P502" s="34"/>
      <c r="Q502" s="87"/>
      <c r="R502" s="34"/>
      <c r="S502" s="66"/>
      <c r="T502" s="12"/>
      <c r="U502" s="12"/>
      <c r="V502" s="12"/>
      <c r="W502" s="12"/>
      <c r="X502" s="12"/>
      <c r="Y502" s="12"/>
      <c r="Z502" s="67"/>
      <c r="AA502" s="12"/>
      <c r="AB502" s="12"/>
      <c r="AC502" s="67"/>
      <c r="AD502" s="12"/>
      <c r="AE502" s="12"/>
      <c r="AF502" s="12"/>
    </row>
    <row r="503" ht="15.75" customHeight="1">
      <c r="A503" s="34"/>
      <c r="B503" s="34"/>
      <c r="C503" s="34"/>
      <c r="D503" s="34"/>
      <c r="E503" s="34"/>
      <c r="F503" s="35"/>
      <c r="G503" s="34"/>
      <c r="H503" s="34"/>
      <c r="I503" s="34"/>
      <c r="J503" s="34"/>
      <c r="K503" s="34"/>
      <c r="L503" s="34"/>
      <c r="M503" s="34"/>
      <c r="N503" s="34"/>
      <c r="O503" s="36"/>
      <c r="P503" s="34"/>
      <c r="Q503" s="87"/>
      <c r="R503" s="34"/>
      <c r="S503" s="66"/>
      <c r="T503" s="12"/>
      <c r="U503" s="12"/>
      <c r="V503" s="12"/>
      <c r="W503" s="12"/>
      <c r="X503" s="12"/>
      <c r="Y503" s="12"/>
      <c r="Z503" s="67"/>
      <c r="AA503" s="12"/>
      <c r="AB503" s="12"/>
      <c r="AC503" s="67"/>
      <c r="AD503" s="12"/>
      <c r="AE503" s="12"/>
      <c r="AF503" s="12"/>
    </row>
    <row r="504" ht="15.75" customHeight="1">
      <c r="A504" s="34"/>
      <c r="B504" s="34"/>
      <c r="C504" s="34"/>
      <c r="D504" s="34"/>
      <c r="E504" s="34"/>
      <c r="F504" s="35"/>
      <c r="G504" s="34"/>
      <c r="H504" s="34"/>
      <c r="I504" s="34"/>
      <c r="J504" s="34"/>
      <c r="K504" s="34"/>
      <c r="L504" s="34"/>
      <c r="M504" s="34"/>
      <c r="N504" s="34"/>
      <c r="O504" s="36"/>
      <c r="P504" s="34"/>
      <c r="Q504" s="87"/>
      <c r="R504" s="34"/>
      <c r="S504" s="66"/>
      <c r="T504" s="12"/>
      <c r="U504" s="12"/>
      <c r="V504" s="12"/>
      <c r="W504" s="12"/>
      <c r="X504" s="12"/>
      <c r="Y504" s="12"/>
      <c r="Z504" s="67"/>
      <c r="AA504" s="12"/>
      <c r="AB504" s="12"/>
      <c r="AC504" s="67"/>
      <c r="AD504" s="12"/>
      <c r="AE504" s="12"/>
      <c r="AF504" s="12"/>
    </row>
    <row r="505" ht="15.75" customHeight="1">
      <c r="A505" s="34"/>
      <c r="B505" s="34"/>
      <c r="C505" s="34"/>
      <c r="D505" s="34"/>
      <c r="E505" s="34"/>
      <c r="F505" s="35"/>
      <c r="G505" s="34"/>
      <c r="H505" s="34"/>
      <c r="I505" s="34"/>
      <c r="J505" s="34"/>
      <c r="K505" s="34"/>
      <c r="L505" s="34"/>
      <c r="M505" s="34"/>
      <c r="N505" s="34"/>
      <c r="O505" s="36"/>
      <c r="P505" s="34"/>
      <c r="Q505" s="87"/>
      <c r="R505" s="34"/>
      <c r="S505" s="66"/>
      <c r="T505" s="12"/>
      <c r="U505" s="12"/>
      <c r="V505" s="12"/>
      <c r="W505" s="12"/>
      <c r="X505" s="12"/>
      <c r="Y505" s="12"/>
      <c r="Z505" s="67"/>
      <c r="AA505" s="12"/>
      <c r="AB505" s="12"/>
      <c r="AC505" s="67"/>
      <c r="AD505" s="12"/>
      <c r="AE505" s="12"/>
      <c r="AF505" s="12"/>
    </row>
    <row r="506" ht="15.75" customHeight="1">
      <c r="A506" s="34"/>
      <c r="B506" s="34"/>
      <c r="C506" s="34"/>
      <c r="D506" s="34"/>
      <c r="E506" s="34"/>
      <c r="F506" s="35"/>
      <c r="G506" s="34"/>
      <c r="H506" s="34"/>
      <c r="I506" s="34"/>
      <c r="J506" s="34"/>
      <c r="K506" s="34"/>
      <c r="L506" s="34"/>
      <c r="M506" s="34"/>
      <c r="N506" s="34"/>
      <c r="O506" s="36"/>
      <c r="P506" s="34"/>
      <c r="Q506" s="87"/>
      <c r="R506" s="34"/>
      <c r="S506" s="66"/>
      <c r="T506" s="12"/>
      <c r="U506" s="12"/>
      <c r="V506" s="12"/>
      <c r="W506" s="12"/>
      <c r="X506" s="12"/>
      <c r="Y506" s="12"/>
      <c r="Z506" s="67"/>
      <c r="AA506" s="12"/>
      <c r="AB506" s="12"/>
      <c r="AC506" s="67"/>
      <c r="AD506" s="12"/>
      <c r="AE506" s="12"/>
      <c r="AF506" s="12"/>
    </row>
    <row r="507" ht="15.75" customHeight="1">
      <c r="A507" s="34"/>
      <c r="B507" s="34"/>
      <c r="C507" s="34"/>
      <c r="D507" s="34"/>
      <c r="E507" s="34"/>
      <c r="F507" s="35"/>
      <c r="G507" s="34"/>
      <c r="H507" s="34"/>
      <c r="I507" s="34"/>
      <c r="J507" s="34"/>
      <c r="K507" s="34"/>
      <c r="L507" s="34"/>
      <c r="M507" s="34"/>
      <c r="N507" s="34"/>
      <c r="O507" s="36"/>
      <c r="P507" s="34"/>
      <c r="Q507" s="87"/>
      <c r="R507" s="34"/>
      <c r="S507" s="66"/>
      <c r="T507" s="12"/>
      <c r="U507" s="12"/>
      <c r="V507" s="12"/>
      <c r="W507" s="12"/>
      <c r="X507" s="12"/>
      <c r="Y507" s="12"/>
      <c r="Z507" s="67"/>
      <c r="AA507" s="12"/>
      <c r="AB507" s="12"/>
      <c r="AC507" s="67"/>
      <c r="AD507" s="12"/>
      <c r="AE507" s="12"/>
      <c r="AF507" s="12"/>
    </row>
    <row r="508" ht="15.75" customHeight="1">
      <c r="A508" s="34"/>
      <c r="B508" s="34"/>
      <c r="C508" s="34"/>
      <c r="D508" s="34"/>
      <c r="E508" s="34"/>
      <c r="F508" s="35"/>
      <c r="G508" s="34"/>
      <c r="H508" s="34"/>
      <c r="I508" s="34"/>
      <c r="J508" s="34"/>
      <c r="K508" s="34"/>
      <c r="L508" s="34"/>
      <c r="M508" s="34"/>
      <c r="N508" s="34"/>
      <c r="O508" s="36"/>
      <c r="P508" s="34"/>
      <c r="Q508" s="87"/>
      <c r="R508" s="34"/>
      <c r="S508" s="66"/>
      <c r="T508" s="12"/>
      <c r="U508" s="12"/>
      <c r="V508" s="12"/>
      <c r="W508" s="12"/>
      <c r="X508" s="12"/>
      <c r="Y508" s="12"/>
      <c r="Z508" s="67"/>
      <c r="AA508" s="12"/>
      <c r="AB508" s="12"/>
      <c r="AC508" s="67"/>
      <c r="AD508" s="12"/>
      <c r="AE508" s="12"/>
      <c r="AF508" s="12"/>
    </row>
    <row r="509" ht="15.75" customHeight="1">
      <c r="A509" s="34"/>
      <c r="B509" s="34"/>
      <c r="C509" s="34"/>
      <c r="D509" s="34"/>
      <c r="E509" s="34"/>
      <c r="F509" s="35"/>
      <c r="G509" s="34"/>
      <c r="H509" s="34"/>
      <c r="I509" s="34"/>
      <c r="J509" s="34"/>
      <c r="K509" s="34"/>
      <c r="L509" s="34"/>
      <c r="M509" s="34"/>
      <c r="N509" s="34"/>
      <c r="O509" s="36"/>
      <c r="P509" s="34"/>
      <c r="Q509" s="87"/>
      <c r="R509" s="34"/>
      <c r="S509" s="66"/>
      <c r="T509" s="12"/>
      <c r="U509" s="12"/>
      <c r="V509" s="12"/>
      <c r="W509" s="12"/>
      <c r="X509" s="12"/>
      <c r="Y509" s="12"/>
      <c r="Z509" s="67"/>
      <c r="AA509" s="12"/>
      <c r="AB509" s="12"/>
      <c r="AC509" s="67"/>
      <c r="AD509" s="12"/>
      <c r="AE509" s="12"/>
      <c r="AF509" s="12"/>
    </row>
    <row r="510" ht="15.75" customHeight="1">
      <c r="A510" s="34"/>
      <c r="B510" s="34"/>
      <c r="C510" s="34"/>
      <c r="D510" s="34"/>
      <c r="E510" s="34"/>
      <c r="F510" s="35"/>
      <c r="G510" s="34"/>
      <c r="H510" s="34"/>
      <c r="I510" s="34"/>
      <c r="J510" s="34"/>
      <c r="K510" s="34"/>
      <c r="L510" s="34"/>
      <c r="M510" s="34"/>
      <c r="N510" s="34"/>
      <c r="O510" s="36"/>
      <c r="P510" s="34"/>
      <c r="Q510" s="87"/>
      <c r="R510" s="34"/>
      <c r="S510" s="66"/>
      <c r="T510" s="12"/>
      <c r="U510" s="12"/>
      <c r="V510" s="12"/>
      <c r="W510" s="12"/>
      <c r="X510" s="12"/>
      <c r="Y510" s="12"/>
      <c r="Z510" s="67"/>
      <c r="AA510" s="12"/>
      <c r="AB510" s="12"/>
      <c r="AC510" s="67"/>
      <c r="AD510" s="12"/>
      <c r="AE510" s="12"/>
      <c r="AF510" s="12"/>
    </row>
    <row r="511" ht="15.75" customHeight="1">
      <c r="A511" s="34"/>
      <c r="B511" s="34"/>
      <c r="C511" s="34"/>
      <c r="D511" s="34"/>
      <c r="E511" s="34"/>
      <c r="F511" s="35"/>
      <c r="G511" s="34"/>
      <c r="H511" s="34"/>
      <c r="I511" s="34"/>
      <c r="J511" s="34"/>
      <c r="K511" s="34"/>
      <c r="L511" s="34"/>
      <c r="M511" s="34"/>
      <c r="N511" s="34"/>
      <c r="O511" s="36"/>
      <c r="P511" s="34"/>
      <c r="Q511" s="87"/>
      <c r="R511" s="34"/>
      <c r="S511" s="66"/>
      <c r="T511" s="12"/>
      <c r="U511" s="12"/>
      <c r="V511" s="12"/>
      <c r="W511" s="12"/>
      <c r="X511" s="12"/>
      <c r="Y511" s="12"/>
      <c r="Z511" s="67"/>
      <c r="AA511" s="12"/>
      <c r="AB511" s="12"/>
      <c r="AC511" s="67"/>
      <c r="AD511" s="12"/>
      <c r="AE511" s="12"/>
      <c r="AF511" s="12"/>
    </row>
    <row r="512" ht="15.75" customHeight="1">
      <c r="A512" s="34"/>
      <c r="B512" s="34"/>
      <c r="C512" s="34"/>
      <c r="D512" s="34"/>
      <c r="E512" s="34"/>
      <c r="F512" s="35"/>
      <c r="G512" s="34"/>
      <c r="H512" s="34"/>
      <c r="I512" s="34"/>
      <c r="J512" s="34"/>
      <c r="K512" s="34"/>
      <c r="L512" s="34"/>
      <c r="M512" s="34"/>
      <c r="N512" s="34"/>
      <c r="O512" s="36"/>
      <c r="P512" s="34"/>
      <c r="Q512" s="87"/>
      <c r="R512" s="34"/>
      <c r="S512" s="66"/>
      <c r="T512" s="12"/>
      <c r="U512" s="12"/>
      <c r="V512" s="12"/>
      <c r="W512" s="12"/>
      <c r="X512" s="12"/>
      <c r="Y512" s="12"/>
      <c r="Z512" s="67"/>
      <c r="AA512" s="12"/>
      <c r="AB512" s="12"/>
      <c r="AC512" s="67"/>
      <c r="AD512" s="12"/>
      <c r="AE512" s="12"/>
      <c r="AF512" s="12"/>
    </row>
    <row r="513" ht="15.75" customHeight="1">
      <c r="A513" s="34"/>
      <c r="B513" s="34"/>
      <c r="C513" s="34"/>
      <c r="D513" s="34"/>
      <c r="E513" s="34"/>
      <c r="F513" s="35"/>
      <c r="G513" s="34"/>
      <c r="H513" s="34"/>
      <c r="I513" s="34"/>
      <c r="J513" s="34"/>
      <c r="K513" s="34"/>
      <c r="L513" s="34"/>
      <c r="M513" s="34"/>
      <c r="N513" s="34"/>
      <c r="O513" s="36"/>
      <c r="P513" s="34"/>
      <c r="Q513" s="87"/>
      <c r="R513" s="34"/>
      <c r="S513" s="66"/>
      <c r="T513" s="12"/>
      <c r="U513" s="12"/>
      <c r="V513" s="12"/>
      <c r="W513" s="12"/>
      <c r="X513" s="12"/>
      <c r="Y513" s="12"/>
      <c r="Z513" s="67"/>
      <c r="AA513" s="12"/>
      <c r="AB513" s="12"/>
      <c r="AC513" s="67"/>
      <c r="AD513" s="12"/>
      <c r="AE513" s="12"/>
      <c r="AF513" s="12"/>
    </row>
    <row r="514" ht="15.75" customHeight="1">
      <c r="A514" s="34"/>
      <c r="B514" s="34"/>
      <c r="C514" s="34"/>
      <c r="D514" s="34"/>
      <c r="E514" s="34"/>
      <c r="F514" s="35"/>
      <c r="G514" s="34"/>
      <c r="H514" s="34"/>
      <c r="I514" s="34"/>
      <c r="J514" s="34"/>
      <c r="K514" s="34"/>
      <c r="L514" s="34"/>
      <c r="M514" s="34"/>
      <c r="N514" s="34"/>
      <c r="O514" s="36"/>
      <c r="P514" s="34"/>
      <c r="Q514" s="87"/>
      <c r="R514" s="34"/>
      <c r="S514" s="66"/>
      <c r="T514" s="12"/>
      <c r="U514" s="12"/>
      <c r="V514" s="12"/>
      <c r="W514" s="12"/>
      <c r="X514" s="12"/>
      <c r="Y514" s="12"/>
      <c r="Z514" s="67"/>
      <c r="AA514" s="12"/>
      <c r="AB514" s="12"/>
      <c r="AC514" s="67"/>
      <c r="AD514" s="12"/>
      <c r="AE514" s="12"/>
      <c r="AF514" s="12"/>
    </row>
    <row r="515" ht="15.75" customHeight="1">
      <c r="A515" s="34"/>
      <c r="B515" s="34"/>
      <c r="C515" s="34"/>
      <c r="D515" s="34"/>
      <c r="E515" s="34"/>
      <c r="F515" s="35"/>
      <c r="G515" s="34"/>
      <c r="H515" s="34"/>
      <c r="I515" s="34"/>
      <c r="J515" s="34"/>
      <c r="K515" s="34"/>
      <c r="L515" s="34"/>
      <c r="M515" s="34"/>
      <c r="N515" s="34"/>
      <c r="O515" s="36"/>
      <c r="P515" s="34"/>
      <c r="Q515" s="87"/>
      <c r="R515" s="34"/>
      <c r="S515" s="66"/>
      <c r="T515" s="12"/>
      <c r="U515" s="12"/>
      <c r="V515" s="12"/>
      <c r="W515" s="12"/>
      <c r="X515" s="12"/>
      <c r="Y515" s="12"/>
      <c r="Z515" s="67"/>
      <c r="AA515" s="12"/>
      <c r="AB515" s="12"/>
      <c r="AC515" s="67"/>
      <c r="AD515" s="12"/>
      <c r="AE515" s="12"/>
      <c r="AF515" s="12"/>
    </row>
    <row r="516" ht="15.75" customHeight="1">
      <c r="A516" s="34"/>
      <c r="B516" s="34"/>
      <c r="C516" s="34"/>
      <c r="D516" s="34"/>
      <c r="E516" s="34"/>
      <c r="F516" s="35"/>
      <c r="G516" s="34"/>
      <c r="H516" s="34"/>
      <c r="I516" s="34"/>
      <c r="J516" s="34"/>
      <c r="K516" s="34"/>
      <c r="L516" s="34"/>
      <c r="M516" s="34"/>
      <c r="N516" s="34"/>
      <c r="O516" s="36"/>
      <c r="P516" s="34"/>
      <c r="Q516" s="87"/>
      <c r="R516" s="34"/>
      <c r="S516" s="66"/>
      <c r="T516" s="12"/>
      <c r="U516" s="12"/>
      <c r="V516" s="12"/>
      <c r="W516" s="12"/>
      <c r="X516" s="12"/>
      <c r="Y516" s="12"/>
      <c r="Z516" s="67"/>
      <c r="AA516" s="12"/>
      <c r="AB516" s="12"/>
      <c r="AC516" s="67"/>
      <c r="AD516" s="12"/>
      <c r="AE516" s="12"/>
      <c r="AF516" s="12"/>
    </row>
    <row r="517" ht="15.75" customHeight="1">
      <c r="A517" s="34"/>
      <c r="B517" s="34"/>
      <c r="C517" s="34"/>
      <c r="D517" s="34"/>
      <c r="E517" s="34"/>
      <c r="F517" s="35"/>
      <c r="G517" s="34"/>
      <c r="H517" s="34"/>
      <c r="I517" s="34"/>
      <c r="J517" s="34"/>
      <c r="K517" s="34"/>
      <c r="L517" s="34"/>
      <c r="M517" s="34"/>
      <c r="N517" s="34"/>
      <c r="O517" s="36"/>
      <c r="P517" s="34"/>
      <c r="Q517" s="87"/>
      <c r="R517" s="34"/>
      <c r="S517" s="66"/>
      <c r="T517" s="12"/>
      <c r="U517" s="12"/>
      <c r="V517" s="12"/>
      <c r="W517" s="12"/>
      <c r="X517" s="12"/>
      <c r="Y517" s="12"/>
      <c r="Z517" s="67"/>
      <c r="AA517" s="12"/>
      <c r="AB517" s="12"/>
      <c r="AC517" s="67"/>
      <c r="AD517" s="12"/>
      <c r="AE517" s="12"/>
      <c r="AF517" s="12"/>
    </row>
    <row r="518" ht="15.75" customHeight="1">
      <c r="A518" s="34"/>
      <c r="B518" s="34"/>
      <c r="C518" s="34"/>
      <c r="D518" s="34"/>
      <c r="E518" s="34"/>
      <c r="F518" s="35"/>
      <c r="G518" s="34"/>
      <c r="H518" s="34"/>
      <c r="I518" s="34"/>
      <c r="J518" s="34"/>
      <c r="K518" s="34"/>
      <c r="L518" s="34"/>
      <c r="M518" s="34"/>
      <c r="N518" s="34"/>
      <c r="O518" s="36"/>
      <c r="P518" s="34"/>
      <c r="Q518" s="87"/>
      <c r="R518" s="34"/>
      <c r="S518" s="66"/>
      <c r="T518" s="12"/>
      <c r="U518" s="12"/>
      <c r="V518" s="12"/>
      <c r="W518" s="12"/>
      <c r="X518" s="12"/>
      <c r="Y518" s="12"/>
      <c r="Z518" s="67"/>
      <c r="AA518" s="12"/>
      <c r="AB518" s="12"/>
      <c r="AC518" s="67"/>
      <c r="AD518" s="12"/>
      <c r="AE518" s="12"/>
      <c r="AF518" s="12"/>
    </row>
    <row r="519" ht="15.75" customHeight="1">
      <c r="A519" s="34"/>
      <c r="B519" s="34"/>
      <c r="C519" s="34"/>
      <c r="D519" s="34"/>
      <c r="E519" s="34"/>
      <c r="F519" s="35"/>
      <c r="G519" s="34"/>
      <c r="H519" s="34"/>
      <c r="I519" s="34"/>
      <c r="J519" s="34"/>
      <c r="K519" s="34"/>
      <c r="L519" s="34"/>
      <c r="M519" s="34"/>
      <c r="N519" s="34"/>
      <c r="O519" s="36"/>
      <c r="P519" s="34"/>
      <c r="Q519" s="87"/>
      <c r="R519" s="34"/>
      <c r="S519" s="66"/>
      <c r="T519" s="12"/>
      <c r="U519" s="12"/>
      <c r="V519" s="12"/>
      <c r="W519" s="12"/>
      <c r="X519" s="12"/>
      <c r="Y519" s="12"/>
      <c r="Z519" s="67"/>
      <c r="AA519" s="12"/>
      <c r="AB519" s="12"/>
      <c r="AC519" s="67"/>
      <c r="AD519" s="12"/>
      <c r="AE519" s="12"/>
      <c r="AF519" s="12"/>
    </row>
    <row r="520" ht="15.75" customHeight="1">
      <c r="A520" s="34"/>
      <c r="B520" s="34"/>
      <c r="C520" s="34"/>
      <c r="D520" s="34"/>
      <c r="E520" s="34"/>
      <c r="F520" s="35"/>
      <c r="G520" s="34"/>
      <c r="H520" s="34"/>
      <c r="I520" s="34"/>
      <c r="J520" s="34"/>
      <c r="K520" s="34"/>
      <c r="L520" s="34"/>
      <c r="M520" s="34"/>
      <c r="N520" s="34"/>
      <c r="O520" s="36"/>
      <c r="P520" s="34"/>
      <c r="Q520" s="87"/>
      <c r="R520" s="34"/>
      <c r="S520" s="66"/>
      <c r="T520" s="12"/>
      <c r="U520" s="12"/>
      <c r="V520" s="12"/>
      <c r="W520" s="12"/>
      <c r="X520" s="12"/>
      <c r="Y520" s="12"/>
      <c r="Z520" s="67"/>
      <c r="AA520" s="12"/>
      <c r="AB520" s="12"/>
      <c r="AC520" s="67"/>
      <c r="AD520" s="12"/>
      <c r="AE520" s="12"/>
      <c r="AF520" s="12"/>
    </row>
    <row r="521" ht="15.75" customHeight="1">
      <c r="A521" s="34"/>
      <c r="B521" s="34"/>
      <c r="C521" s="34"/>
      <c r="D521" s="34"/>
      <c r="E521" s="34"/>
      <c r="F521" s="35"/>
      <c r="G521" s="34"/>
      <c r="H521" s="34"/>
      <c r="I521" s="34"/>
      <c r="J521" s="34"/>
      <c r="K521" s="34"/>
      <c r="L521" s="34"/>
      <c r="M521" s="34"/>
      <c r="N521" s="34"/>
      <c r="O521" s="36"/>
      <c r="P521" s="34"/>
      <c r="Q521" s="87"/>
      <c r="R521" s="34"/>
      <c r="S521" s="66"/>
      <c r="T521" s="12"/>
      <c r="U521" s="12"/>
      <c r="V521" s="12"/>
      <c r="W521" s="12"/>
      <c r="X521" s="12"/>
      <c r="Y521" s="12"/>
      <c r="Z521" s="67"/>
      <c r="AA521" s="12"/>
      <c r="AB521" s="12"/>
      <c r="AC521" s="67"/>
      <c r="AD521" s="12"/>
      <c r="AE521" s="12"/>
      <c r="AF521" s="12"/>
    </row>
    <row r="522" ht="15.75" customHeight="1">
      <c r="A522" s="34"/>
      <c r="B522" s="34"/>
      <c r="C522" s="34"/>
      <c r="D522" s="34"/>
      <c r="E522" s="34"/>
      <c r="F522" s="35"/>
      <c r="G522" s="34"/>
      <c r="H522" s="34"/>
      <c r="I522" s="34"/>
      <c r="J522" s="34"/>
      <c r="K522" s="34"/>
      <c r="L522" s="34"/>
      <c r="M522" s="34"/>
      <c r="N522" s="34"/>
      <c r="O522" s="36"/>
      <c r="P522" s="34"/>
      <c r="Q522" s="87"/>
      <c r="R522" s="34"/>
      <c r="S522" s="66"/>
      <c r="T522" s="12"/>
      <c r="U522" s="12"/>
      <c r="V522" s="12"/>
      <c r="W522" s="12"/>
      <c r="X522" s="12"/>
      <c r="Y522" s="12"/>
      <c r="Z522" s="67"/>
      <c r="AA522" s="12"/>
      <c r="AB522" s="12"/>
      <c r="AC522" s="67"/>
      <c r="AD522" s="12"/>
      <c r="AE522" s="12"/>
      <c r="AF522" s="12"/>
    </row>
    <row r="523" ht="15.75" customHeight="1">
      <c r="A523" s="34"/>
      <c r="B523" s="34"/>
      <c r="C523" s="34"/>
      <c r="D523" s="34"/>
      <c r="E523" s="34"/>
      <c r="F523" s="35"/>
      <c r="G523" s="34"/>
      <c r="H523" s="34"/>
      <c r="I523" s="34"/>
      <c r="J523" s="34"/>
      <c r="K523" s="34"/>
      <c r="L523" s="34"/>
      <c r="M523" s="34"/>
      <c r="N523" s="34"/>
      <c r="O523" s="36"/>
      <c r="P523" s="34"/>
      <c r="Q523" s="87"/>
      <c r="R523" s="34"/>
      <c r="S523" s="66"/>
      <c r="T523" s="12"/>
      <c r="U523" s="12"/>
      <c r="V523" s="12"/>
      <c r="W523" s="12"/>
      <c r="X523" s="12"/>
      <c r="Y523" s="12"/>
      <c r="Z523" s="67"/>
      <c r="AA523" s="12"/>
      <c r="AB523" s="12"/>
      <c r="AC523" s="67"/>
      <c r="AD523" s="12"/>
      <c r="AE523" s="12"/>
      <c r="AF523" s="12"/>
    </row>
    <row r="524" ht="15.75" customHeight="1">
      <c r="A524" s="34"/>
      <c r="B524" s="34"/>
      <c r="C524" s="34"/>
      <c r="D524" s="34"/>
      <c r="E524" s="34"/>
      <c r="F524" s="35"/>
      <c r="G524" s="34"/>
      <c r="H524" s="34"/>
      <c r="I524" s="34"/>
      <c r="J524" s="34"/>
      <c r="K524" s="34"/>
      <c r="L524" s="34"/>
      <c r="M524" s="34"/>
      <c r="N524" s="34"/>
      <c r="O524" s="36"/>
      <c r="P524" s="34"/>
      <c r="Q524" s="87"/>
      <c r="R524" s="34"/>
      <c r="S524" s="66"/>
      <c r="T524" s="12"/>
      <c r="U524" s="12"/>
      <c r="V524" s="12"/>
      <c r="W524" s="12"/>
      <c r="X524" s="12"/>
      <c r="Y524" s="12"/>
      <c r="Z524" s="67"/>
      <c r="AA524" s="12"/>
      <c r="AB524" s="12"/>
      <c r="AC524" s="67"/>
      <c r="AD524" s="12"/>
      <c r="AE524" s="12"/>
      <c r="AF524" s="12"/>
    </row>
    <row r="525" ht="15.75" customHeight="1">
      <c r="A525" s="34"/>
      <c r="B525" s="34"/>
      <c r="C525" s="34"/>
      <c r="D525" s="34"/>
      <c r="E525" s="34"/>
      <c r="F525" s="35"/>
      <c r="G525" s="34"/>
      <c r="H525" s="34"/>
      <c r="I525" s="34"/>
      <c r="J525" s="34"/>
      <c r="K525" s="34"/>
      <c r="L525" s="34"/>
      <c r="M525" s="34"/>
      <c r="N525" s="34"/>
      <c r="O525" s="36"/>
      <c r="P525" s="34"/>
      <c r="Q525" s="87"/>
      <c r="R525" s="34"/>
      <c r="S525" s="66"/>
      <c r="T525" s="12"/>
      <c r="U525" s="12"/>
      <c r="V525" s="12"/>
      <c r="W525" s="12"/>
      <c r="X525" s="12"/>
      <c r="Y525" s="12"/>
      <c r="Z525" s="67"/>
      <c r="AA525" s="12"/>
      <c r="AB525" s="12"/>
      <c r="AC525" s="67"/>
      <c r="AD525" s="12"/>
      <c r="AE525" s="12"/>
      <c r="AF525" s="12"/>
    </row>
    <row r="526" ht="15.75" customHeight="1">
      <c r="A526" s="34"/>
      <c r="B526" s="34"/>
      <c r="C526" s="34"/>
      <c r="D526" s="34"/>
      <c r="E526" s="34"/>
      <c r="F526" s="35"/>
      <c r="G526" s="34"/>
      <c r="H526" s="34"/>
      <c r="I526" s="34"/>
      <c r="J526" s="34"/>
      <c r="K526" s="34"/>
      <c r="L526" s="34"/>
      <c r="M526" s="34"/>
      <c r="N526" s="34"/>
      <c r="O526" s="36"/>
      <c r="P526" s="34"/>
      <c r="Q526" s="87"/>
      <c r="R526" s="34"/>
      <c r="S526" s="66"/>
      <c r="T526" s="12"/>
      <c r="U526" s="12"/>
      <c r="V526" s="12"/>
      <c r="W526" s="12"/>
      <c r="X526" s="12"/>
      <c r="Y526" s="12"/>
      <c r="Z526" s="67"/>
      <c r="AA526" s="12"/>
      <c r="AB526" s="12"/>
      <c r="AC526" s="67"/>
      <c r="AD526" s="12"/>
      <c r="AE526" s="12"/>
      <c r="AF526" s="12"/>
    </row>
    <row r="527" ht="15.75" customHeight="1">
      <c r="A527" s="34"/>
      <c r="B527" s="34"/>
      <c r="C527" s="34"/>
      <c r="D527" s="34"/>
      <c r="E527" s="34"/>
      <c r="F527" s="35"/>
      <c r="G527" s="34"/>
      <c r="H527" s="34"/>
      <c r="I527" s="34"/>
      <c r="J527" s="34"/>
      <c r="K527" s="34"/>
      <c r="L527" s="34"/>
      <c r="M527" s="34"/>
      <c r="N527" s="34"/>
      <c r="O527" s="36"/>
      <c r="P527" s="34"/>
      <c r="Q527" s="87"/>
      <c r="R527" s="34"/>
      <c r="S527" s="66"/>
      <c r="T527" s="12"/>
      <c r="U527" s="12"/>
      <c r="V527" s="12"/>
      <c r="W527" s="12"/>
      <c r="X527" s="12"/>
      <c r="Y527" s="12"/>
      <c r="Z527" s="67"/>
      <c r="AA527" s="12"/>
      <c r="AB527" s="12"/>
      <c r="AC527" s="67"/>
      <c r="AD527" s="12"/>
      <c r="AE527" s="12"/>
      <c r="AF527" s="12"/>
    </row>
    <row r="528" ht="15.75" customHeight="1">
      <c r="A528" s="34"/>
      <c r="B528" s="34"/>
      <c r="C528" s="34"/>
      <c r="D528" s="34"/>
      <c r="E528" s="34"/>
      <c r="F528" s="35"/>
      <c r="G528" s="34"/>
      <c r="H528" s="34"/>
      <c r="I528" s="34"/>
      <c r="J528" s="34"/>
      <c r="K528" s="34"/>
      <c r="L528" s="34"/>
      <c r="M528" s="34"/>
      <c r="N528" s="34"/>
      <c r="O528" s="36"/>
      <c r="P528" s="34"/>
      <c r="Q528" s="87"/>
      <c r="R528" s="34"/>
      <c r="S528" s="66"/>
      <c r="T528" s="12"/>
      <c r="U528" s="12"/>
      <c r="V528" s="12"/>
      <c r="W528" s="12"/>
      <c r="X528" s="12"/>
      <c r="Y528" s="12"/>
      <c r="Z528" s="67"/>
      <c r="AA528" s="12"/>
      <c r="AB528" s="12"/>
      <c r="AC528" s="67"/>
      <c r="AD528" s="12"/>
      <c r="AE528" s="12"/>
      <c r="AF528" s="12"/>
    </row>
    <row r="529" ht="15.75" customHeight="1">
      <c r="A529" s="34"/>
      <c r="B529" s="34"/>
      <c r="C529" s="34"/>
      <c r="D529" s="34"/>
      <c r="E529" s="34"/>
      <c r="F529" s="35"/>
      <c r="G529" s="34"/>
      <c r="H529" s="34"/>
      <c r="I529" s="34"/>
      <c r="J529" s="34"/>
      <c r="K529" s="34"/>
      <c r="L529" s="34"/>
      <c r="M529" s="34"/>
      <c r="N529" s="34"/>
      <c r="O529" s="36"/>
      <c r="P529" s="34"/>
      <c r="Q529" s="87"/>
      <c r="R529" s="34"/>
      <c r="S529" s="66"/>
      <c r="T529" s="12"/>
      <c r="U529" s="12"/>
      <c r="V529" s="12"/>
      <c r="W529" s="12"/>
      <c r="X529" s="12"/>
      <c r="Y529" s="12"/>
      <c r="Z529" s="67"/>
      <c r="AA529" s="12"/>
      <c r="AB529" s="12"/>
      <c r="AC529" s="67"/>
      <c r="AD529" s="12"/>
      <c r="AE529" s="12"/>
      <c r="AF529" s="12"/>
    </row>
    <row r="530" ht="15.75" customHeight="1">
      <c r="A530" s="34"/>
      <c r="B530" s="34"/>
      <c r="C530" s="34"/>
      <c r="D530" s="34"/>
      <c r="E530" s="34"/>
      <c r="F530" s="35"/>
      <c r="G530" s="34"/>
      <c r="H530" s="34"/>
      <c r="I530" s="34"/>
      <c r="J530" s="34"/>
      <c r="K530" s="34"/>
      <c r="L530" s="34"/>
      <c r="M530" s="34"/>
      <c r="N530" s="34"/>
      <c r="O530" s="36"/>
      <c r="P530" s="34"/>
      <c r="Q530" s="87"/>
      <c r="R530" s="34"/>
      <c r="S530" s="66"/>
      <c r="T530" s="12"/>
      <c r="U530" s="12"/>
      <c r="V530" s="12"/>
      <c r="W530" s="12"/>
      <c r="X530" s="12"/>
      <c r="Y530" s="12"/>
      <c r="Z530" s="67"/>
      <c r="AA530" s="12"/>
      <c r="AB530" s="12"/>
      <c r="AC530" s="67"/>
      <c r="AD530" s="12"/>
      <c r="AE530" s="12"/>
      <c r="AF530" s="12"/>
    </row>
    <row r="531" ht="15.75" customHeight="1">
      <c r="A531" s="34"/>
      <c r="B531" s="34"/>
      <c r="C531" s="34"/>
      <c r="D531" s="34"/>
      <c r="E531" s="34"/>
      <c r="F531" s="35"/>
      <c r="G531" s="34"/>
      <c r="H531" s="34"/>
      <c r="I531" s="34"/>
      <c r="J531" s="34"/>
      <c r="K531" s="34"/>
      <c r="L531" s="34"/>
      <c r="M531" s="34"/>
      <c r="N531" s="34"/>
      <c r="O531" s="36"/>
      <c r="P531" s="34"/>
      <c r="Q531" s="87"/>
      <c r="R531" s="34"/>
      <c r="S531" s="66"/>
      <c r="T531" s="12"/>
      <c r="U531" s="12"/>
      <c r="V531" s="12"/>
      <c r="W531" s="12"/>
      <c r="X531" s="12"/>
      <c r="Y531" s="12"/>
      <c r="Z531" s="67"/>
      <c r="AA531" s="12"/>
      <c r="AB531" s="12"/>
      <c r="AC531" s="67"/>
      <c r="AD531" s="12"/>
      <c r="AE531" s="12"/>
      <c r="AF531" s="12"/>
    </row>
    <row r="532" ht="15.75" customHeight="1">
      <c r="A532" s="34"/>
      <c r="B532" s="34"/>
      <c r="C532" s="34"/>
      <c r="D532" s="34"/>
      <c r="E532" s="34"/>
      <c r="F532" s="35"/>
      <c r="G532" s="34"/>
      <c r="H532" s="34"/>
      <c r="I532" s="34"/>
      <c r="J532" s="34"/>
      <c r="K532" s="34"/>
      <c r="L532" s="34"/>
      <c r="M532" s="34"/>
      <c r="N532" s="34"/>
      <c r="O532" s="36"/>
      <c r="P532" s="34"/>
      <c r="Q532" s="87"/>
      <c r="R532" s="34"/>
      <c r="S532" s="66"/>
      <c r="T532" s="12"/>
      <c r="U532" s="12"/>
      <c r="V532" s="12"/>
      <c r="W532" s="12"/>
      <c r="X532" s="12"/>
      <c r="Y532" s="12"/>
      <c r="Z532" s="67"/>
      <c r="AA532" s="12"/>
      <c r="AB532" s="12"/>
      <c r="AC532" s="67"/>
      <c r="AD532" s="12"/>
      <c r="AE532" s="12"/>
      <c r="AF532" s="12"/>
    </row>
    <row r="533" ht="15.75" customHeight="1">
      <c r="A533" s="34"/>
      <c r="B533" s="34"/>
      <c r="C533" s="34"/>
      <c r="D533" s="34"/>
      <c r="E533" s="34"/>
      <c r="F533" s="35"/>
      <c r="G533" s="34"/>
      <c r="H533" s="34"/>
      <c r="I533" s="34"/>
      <c r="J533" s="34"/>
      <c r="K533" s="34"/>
      <c r="L533" s="34"/>
      <c r="M533" s="34"/>
      <c r="N533" s="34"/>
      <c r="O533" s="36"/>
      <c r="P533" s="34"/>
      <c r="Q533" s="87"/>
      <c r="R533" s="34"/>
      <c r="S533" s="66"/>
      <c r="T533" s="12"/>
      <c r="U533" s="12"/>
      <c r="V533" s="12"/>
      <c r="W533" s="12"/>
      <c r="X533" s="12"/>
      <c r="Y533" s="12"/>
      <c r="Z533" s="67"/>
      <c r="AA533" s="12"/>
      <c r="AB533" s="12"/>
      <c r="AC533" s="67"/>
      <c r="AD533" s="12"/>
      <c r="AE533" s="12"/>
      <c r="AF533" s="12"/>
    </row>
    <row r="534" ht="15.75" customHeight="1">
      <c r="A534" s="34"/>
      <c r="B534" s="34"/>
      <c r="C534" s="34"/>
      <c r="D534" s="34"/>
      <c r="E534" s="34"/>
      <c r="F534" s="35"/>
      <c r="G534" s="34"/>
      <c r="H534" s="34"/>
      <c r="I534" s="34"/>
      <c r="J534" s="34"/>
      <c r="K534" s="34"/>
      <c r="L534" s="34"/>
      <c r="M534" s="34"/>
      <c r="N534" s="34"/>
      <c r="O534" s="36"/>
      <c r="P534" s="34"/>
      <c r="Q534" s="87"/>
      <c r="R534" s="34"/>
      <c r="S534" s="66"/>
      <c r="T534" s="12"/>
      <c r="U534" s="12"/>
      <c r="V534" s="12"/>
      <c r="W534" s="12"/>
      <c r="X534" s="12"/>
      <c r="Y534" s="12"/>
      <c r="Z534" s="67"/>
      <c r="AA534" s="12"/>
      <c r="AB534" s="12"/>
      <c r="AC534" s="67"/>
      <c r="AD534" s="12"/>
      <c r="AE534" s="12"/>
      <c r="AF534" s="12"/>
    </row>
    <row r="535" ht="15.75" customHeight="1">
      <c r="A535" s="34"/>
      <c r="B535" s="34"/>
      <c r="C535" s="34"/>
      <c r="D535" s="34"/>
      <c r="E535" s="34"/>
      <c r="F535" s="35"/>
      <c r="G535" s="34"/>
      <c r="H535" s="34"/>
      <c r="I535" s="34"/>
      <c r="J535" s="34"/>
      <c r="K535" s="34"/>
      <c r="L535" s="34"/>
      <c r="M535" s="34"/>
      <c r="N535" s="34"/>
      <c r="O535" s="36"/>
      <c r="P535" s="34"/>
      <c r="Q535" s="87"/>
      <c r="R535" s="34"/>
      <c r="S535" s="66"/>
      <c r="T535" s="12"/>
      <c r="U535" s="12"/>
      <c r="V535" s="12"/>
      <c r="W535" s="12"/>
      <c r="X535" s="12"/>
      <c r="Y535" s="12"/>
      <c r="Z535" s="67"/>
      <c r="AA535" s="12"/>
      <c r="AB535" s="12"/>
      <c r="AC535" s="67"/>
      <c r="AD535" s="12"/>
      <c r="AE535" s="12"/>
      <c r="AF535" s="12"/>
    </row>
    <row r="536" ht="15.75" customHeight="1">
      <c r="A536" s="34"/>
      <c r="B536" s="34"/>
      <c r="C536" s="34"/>
      <c r="D536" s="34"/>
      <c r="E536" s="34"/>
      <c r="F536" s="35"/>
      <c r="G536" s="34"/>
      <c r="H536" s="34"/>
      <c r="I536" s="34"/>
      <c r="J536" s="34"/>
      <c r="K536" s="34"/>
      <c r="L536" s="34"/>
      <c r="M536" s="34"/>
      <c r="N536" s="34"/>
      <c r="O536" s="36"/>
      <c r="P536" s="34"/>
      <c r="Q536" s="87"/>
      <c r="R536" s="34"/>
      <c r="S536" s="66"/>
      <c r="T536" s="12"/>
      <c r="U536" s="12"/>
      <c r="V536" s="12"/>
      <c r="W536" s="12"/>
      <c r="X536" s="12"/>
      <c r="Y536" s="12"/>
      <c r="Z536" s="67"/>
      <c r="AA536" s="12"/>
      <c r="AB536" s="12"/>
      <c r="AC536" s="67"/>
      <c r="AD536" s="12"/>
      <c r="AE536" s="12"/>
      <c r="AF536" s="12"/>
    </row>
    <row r="537" ht="15.75" customHeight="1">
      <c r="A537" s="34"/>
      <c r="B537" s="34"/>
      <c r="C537" s="34"/>
      <c r="D537" s="34"/>
      <c r="E537" s="34"/>
      <c r="F537" s="35"/>
      <c r="G537" s="34"/>
      <c r="H537" s="34"/>
      <c r="I537" s="34"/>
      <c r="J537" s="34"/>
      <c r="K537" s="34"/>
      <c r="L537" s="34"/>
      <c r="M537" s="34"/>
      <c r="N537" s="34"/>
      <c r="O537" s="36"/>
      <c r="P537" s="34"/>
      <c r="Q537" s="87"/>
      <c r="R537" s="34"/>
      <c r="S537" s="66"/>
      <c r="T537" s="12"/>
      <c r="U537" s="12"/>
      <c r="V537" s="12"/>
      <c r="W537" s="12"/>
      <c r="X537" s="12"/>
      <c r="Y537" s="12"/>
      <c r="Z537" s="67"/>
      <c r="AA537" s="12"/>
      <c r="AB537" s="12"/>
      <c r="AC537" s="67"/>
      <c r="AD537" s="12"/>
      <c r="AE537" s="12"/>
      <c r="AF537" s="12"/>
    </row>
    <row r="538" ht="15.75" customHeight="1">
      <c r="A538" s="34"/>
      <c r="B538" s="34"/>
      <c r="C538" s="34"/>
      <c r="D538" s="34"/>
      <c r="E538" s="34"/>
      <c r="F538" s="35"/>
      <c r="G538" s="34"/>
      <c r="H538" s="34"/>
      <c r="I538" s="34"/>
      <c r="J538" s="34"/>
      <c r="K538" s="34"/>
      <c r="L538" s="34"/>
      <c r="M538" s="34"/>
      <c r="N538" s="34"/>
      <c r="O538" s="36"/>
      <c r="P538" s="34"/>
      <c r="Q538" s="87"/>
      <c r="R538" s="34"/>
      <c r="S538" s="66"/>
      <c r="T538" s="12"/>
      <c r="U538" s="12"/>
      <c r="V538" s="12"/>
      <c r="W538" s="12"/>
      <c r="X538" s="12"/>
      <c r="Y538" s="12"/>
      <c r="Z538" s="67"/>
      <c r="AA538" s="12"/>
      <c r="AB538" s="12"/>
      <c r="AC538" s="67"/>
      <c r="AD538" s="12"/>
      <c r="AE538" s="12"/>
      <c r="AF538" s="12"/>
    </row>
    <row r="539" ht="15.75" customHeight="1">
      <c r="A539" s="34"/>
      <c r="B539" s="34"/>
      <c r="C539" s="34"/>
      <c r="D539" s="34"/>
      <c r="E539" s="34"/>
      <c r="F539" s="35"/>
      <c r="G539" s="34"/>
      <c r="H539" s="34"/>
      <c r="I539" s="34"/>
      <c r="J539" s="34"/>
      <c r="K539" s="34"/>
      <c r="L539" s="34"/>
      <c r="M539" s="34"/>
      <c r="N539" s="34"/>
      <c r="O539" s="36"/>
      <c r="P539" s="34"/>
      <c r="Q539" s="87"/>
      <c r="R539" s="34"/>
      <c r="S539" s="66"/>
      <c r="T539" s="12"/>
      <c r="U539" s="12"/>
      <c r="V539" s="12"/>
      <c r="W539" s="12"/>
      <c r="X539" s="12"/>
      <c r="Y539" s="12"/>
      <c r="Z539" s="67"/>
      <c r="AA539" s="12"/>
      <c r="AB539" s="12"/>
      <c r="AC539" s="67"/>
      <c r="AD539" s="12"/>
      <c r="AE539" s="12"/>
      <c r="AF539" s="12"/>
    </row>
    <row r="540" ht="15.75" customHeight="1">
      <c r="A540" s="34"/>
      <c r="B540" s="34"/>
      <c r="C540" s="34"/>
      <c r="D540" s="34"/>
      <c r="E540" s="34"/>
      <c r="F540" s="35"/>
      <c r="G540" s="34"/>
      <c r="H540" s="34"/>
      <c r="I540" s="34"/>
      <c r="J540" s="34"/>
      <c r="K540" s="34"/>
      <c r="L540" s="34"/>
      <c r="M540" s="34"/>
      <c r="N540" s="34"/>
      <c r="O540" s="36"/>
      <c r="P540" s="34"/>
      <c r="Q540" s="87"/>
      <c r="R540" s="34"/>
      <c r="S540" s="66"/>
      <c r="T540" s="12"/>
      <c r="U540" s="12"/>
      <c r="V540" s="12"/>
      <c r="W540" s="12"/>
      <c r="X540" s="12"/>
      <c r="Y540" s="12"/>
      <c r="Z540" s="67"/>
      <c r="AA540" s="12"/>
      <c r="AB540" s="12"/>
      <c r="AC540" s="67"/>
      <c r="AD540" s="12"/>
      <c r="AE540" s="12"/>
      <c r="AF540" s="12"/>
    </row>
    <row r="541" ht="15.75" customHeight="1">
      <c r="A541" s="34"/>
      <c r="B541" s="34"/>
      <c r="C541" s="34"/>
      <c r="D541" s="34"/>
      <c r="E541" s="34"/>
      <c r="F541" s="35"/>
      <c r="G541" s="34"/>
      <c r="H541" s="34"/>
      <c r="I541" s="34"/>
      <c r="J541" s="34"/>
      <c r="K541" s="34"/>
      <c r="L541" s="34"/>
      <c r="M541" s="34"/>
      <c r="N541" s="34"/>
      <c r="O541" s="36"/>
      <c r="P541" s="34"/>
      <c r="Q541" s="87"/>
      <c r="R541" s="34"/>
      <c r="S541" s="66"/>
      <c r="T541" s="12"/>
      <c r="U541" s="12"/>
      <c r="V541" s="12"/>
      <c r="W541" s="12"/>
      <c r="X541" s="12"/>
      <c r="Y541" s="12"/>
      <c r="Z541" s="67"/>
      <c r="AA541" s="12"/>
      <c r="AB541" s="12"/>
      <c r="AC541" s="67"/>
      <c r="AD541" s="12"/>
      <c r="AE541" s="12"/>
      <c r="AF541" s="12"/>
    </row>
    <row r="542" ht="15.75" customHeight="1">
      <c r="A542" s="34"/>
      <c r="B542" s="34"/>
      <c r="C542" s="34"/>
      <c r="D542" s="34"/>
      <c r="E542" s="34"/>
      <c r="F542" s="35"/>
      <c r="G542" s="34"/>
      <c r="H542" s="34"/>
      <c r="I542" s="34"/>
      <c r="J542" s="34"/>
      <c r="K542" s="34"/>
      <c r="L542" s="34"/>
      <c r="M542" s="34"/>
      <c r="N542" s="34"/>
      <c r="O542" s="36"/>
      <c r="P542" s="34"/>
      <c r="Q542" s="87"/>
      <c r="R542" s="34"/>
      <c r="S542" s="66"/>
      <c r="T542" s="12"/>
      <c r="U542" s="12"/>
      <c r="V542" s="12"/>
      <c r="W542" s="12"/>
      <c r="X542" s="12"/>
      <c r="Y542" s="12"/>
      <c r="Z542" s="67"/>
      <c r="AA542" s="12"/>
      <c r="AB542" s="12"/>
      <c r="AC542" s="67"/>
      <c r="AD542" s="12"/>
      <c r="AE542" s="12"/>
      <c r="AF542" s="12"/>
    </row>
    <row r="543" ht="15.75" customHeight="1">
      <c r="A543" s="34"/>
      <c r="B543" s="34"/>
      <c r="C543" s="34"/>
      <c r="D543" s="34"/>
      <c r="E543" s="34"/>
      <c r="F543" s="35"/>
      <c r="G543" s="34"/>
      <c r="H543" s="34"/>
      <c r="I543" s="34"/>
      <c r="J543" s="34"/>
      <c r="K543" s="34"/>
      <c r="L543" s="34"/>
      <c r="M543" s="34"/>
      <c r="N543" s="34"/>
      <c r="O543" s="36"/>
      <c r="P543" s="34"/>
      <c r="Q543" s="87"/>
      <c r="R543" s="34"/>
      <c r="S543" s="66"/>
      <c r="T543" s="12"/>
      <c r="U543" s="12"/>
      <c r="V543" s="12"/>
      <c r="W543" s="12"/>
      <c r="X543" s="12"/>
      <c r="Y543" s="12"/>
      <c r="Z543" s="67"/>
      <c r="AA543" s="12"/>
      <c r="AB543" s="12"/>
      <c r="AC543" s="67"/>
      <c r="AD543" s="12"/>
      <c r="AE543" s="12"/>
      <c r="AF543" s="12"/>
    </row>
    <row r="544" ht="15.75" customHeight="1">
      <c r="A544" s="34"/>
      <c r="B544" s="34"/>
      <c r="C544" s="34"/>
      <c r="D544" s="34"/>
      <c r="E544" s="34"/>
      <c r="F544" s="35"/>
      <c r="G544" s="34"/>
      <c r="H544" s="34"/>
      <c r="I544" s="34"/>
      <c r="J544" s="34"/>
      <c r="K544" s="34"/>
      <c r="L544" s="34"/>
      <c r="M544" s="34"/>
      <c r="N544" s="34"/>
      <c r="O544" s="36"/>
      <c r="P544" s="34"/>
      <c r="Q544" s="87"/>
      <c r="R544" s="34"/>
      <c r="S544" s="66"/>
      <c r="T544" s="12"/>
      <c r="U544" s="12"/>
      <c r="V544" s="12"/>
      <c r="W544" s="12"/>
      <c r="X544" s="12"/>
      <c r="Y544" s="12"/>
      <c r="Z544" s="67"/>
      <c r="AA544" s="12"/>
      <c r="AB544" s="12"/>
      <c r="AC544" s="67"/>
      <c r="AD544" s="12"/>
      <c r="AE544" s="12"/>
      <c r="AF544" s="12"/>
    </row>
    <row r="545" ht="15.75" customHeight="1">
      <c r="A545" s="34"/>
      <c r="B545" s="34"/>
      <c r="C545" s="34"/>
      <c r="D545" s="34"/>
      <c r="E545" s="34"/>
      <c r="F545" s="35"/>
      <c r="G545" s="34"/>
      <c r="H545" s="34"/>
      <c r="I545" s="34"/>
      <c r="J545" s="34"/>
      <c r="K545" s="34"/>
      <c r="L545" s="34"/>
      <c r="M545" s="34"/>
      <c r="N545" s="34"/>
      <c r="O545" s="36"/>
      <c r="P545" s="34"/>
      <c r="Q545" s="87"/>
      <c r="R545" s="34"/>
      <c r="S545" s="66"/>
      <c r="T545" s="12"/>
      <c r="U545" s="12"/>
      <c r="V545" s="12"/>
      <c r="W545" s="12"/>
      <c r="X545" s="12"/>
      <c r="Y545" s="12"/>
      <c r="Z545" s="67"/>
      <c r="AA545" s="12"/>
      <c r="AB545" s="12"/>
      <c r="AC545" s="67"/>
      <c r="AD545" s="12"/>
      <c r="AE545" s="12"/>
      <c r="AF545" s="12"/>
    </row>
    <row r="546" ht="15.75" customHeight="1">
      <c r="A546" s="34"/>
      <c r="B546" s="34"/>
      <c r="C546" s="34"/>
      <c r="D546" s="34"/>
      <c r="E546" s="34"/>
      <c r="F546" s="35"/>
      <c r="G546" s="34"/>
      <c r="H546" s="34"/>
      <c r="I546" s="34"/>
      <c r="J546" s="34"/>
      <c r="K546" s="34"/>
      <c r="L546" s="34"/>
      <c r="M546" s="34"/>
      <c r="N546" s="34"/>
      <c r="O546" s="36"/>
      <c r="P546" s="34"/>
      <c r="Q546" s="87"/>
      <c r="R546" s="34"/>
      <c r="S546" s="66"/>
      <c r="T546" s="12"/>
      <c r="U546" s="12"/>
      <c r="V546" s="12"/>
      <c r="W546" s="12"/>
      <c r="X546" s="12"/>
      <c r="Y546" s="12"/>
      <c r="Z546" s="67"/>
      <c r="AA546" s="12"/>
      <c r="AB546" s="12"/>
      <c r="AC546" s="67"/>
      <c r="AD546" s="12"/>
      <c r="AE546" s="12"/>
      <c r="AF546" s="12"/>
    </row>
    <row r="547" ht="15.75" customHeight="1">
      <c r="A547" s="34"/>
      <c r="B547" s="34"/>
      <c r="C547" s="34"/>
      <c r="D547" s="34"/>
      <c r="E547" s="34"/>
      <c r="F547" s="35"/>
      <c r="G547" s="34"/>
      <c r="H547" s="34"/>
      <c r="I547" s="34"/>
      <c r="J547" s="34"/>
      <c r="K547" s="34"/>
      <c r="L547" s="34"/>
      <c r="M547" s="34"/>
      <c r="N547" s="34"/>
      <c r="O547" s="36"/>
      <c r="P547" s="34"/>
      <c r="Q547" s="87"/>
      <c r="R547" s="34"/>
      <c r="S547" s="66"/>
      <c r="T547" s="12"/>
      <c r="U547" s="12"/>
      <c r="V547" s="12"/>
      <c r="W547" s="12"/>
      <c r="X547" s="12"/>
      <c r="Y547" s="12"/>
      <c r="Z547" s="67"/>
      <c r="AA547" s="12"/>
      <c r="AB547" s="12"/>
      <c r="AC547" s="67"/>
      <c r="AD547" s="12"/>
      <c r="AE547" s="12"/>
      <c r="AF547" s="12"/>
    </row>
    <row r="548" ht="15.75" customHeight="1">
      <c r="A548" s="34"/>
      <c r="B548" s="34"/>
      <c r="C548" s="34"/>
      <c r="D548" s="34"/>
      <c r="E548" s="34"/>
      <c r="F548" s="35"/>
      <c r="G548" s="34"/>
      <c r="H548" s="34"/>
      <c r="I548" s="34"/>
      <c r="J548" s="34"/>
      <c r="K548" s="34"/>
      <c r="L548" s="34"/>
      <c r="M548" s="34"/>
      <c r="N548" s="34"/>
      <c r="O548" s="36"/>
      <c r="P548" s="34"/>
      <c r="Q548" s="87"/>
      <c r="R548" s="34"/>
      <c r="S548" s="66"/>
      <c r="T548" s="12"/>
      <c r="U548" s="12"/>
      <c r="V548" s="12"/>
      <c r="W548" s="12"/>
      <c r="X548" s="12"/>
      <c r="Y548" s="12"/>
      <c r="Z548" s="67"/>
      <c r="AA548" s="12"/>
      <c r="AB548" s="12"/>
      <c r="AC548" s="67"/>
      <c r="AD548" s="12"/>
      <c r="AE548" s="12"/>
      <c r="AF548" s="12"/>
    </row>
    <row r="549" ht="15.75" customHeight="1">
      <c r="A549" s="34"/>
      <c r="B549" s="34"/>
      <c r="C549" s="34"/>
      <c r="D549" s="34"/>
      <c r="E549" s="34"/>
      <c r="F549" s="35"/>
      <c r="G549" s="34"/>
      <c r="H549" s="34"/>
      <c r="I549" s="34"/>
      <c r="J549" s="34"/>
      <c r="K549" s="34"/>
      <c r="L549" s="34"/>
      <c r="M549" s="34"/>
      <c r="N549" s="34"/>
      <c r="O549" s="36"/>
      <c r="P549" s="34"/>
      <c r="Q549" s="87"/>
      <c r="R549" s="34"/>
      <c r="S549" s="66"/>
      <c r="T549" s="12"/>
      <c r="U549" s="12"/>
      <c r="V549" s="12"/>
      <c r="W549" s="12"/>
      <c r="X549" s="12"/>
      <c r="Y549" s="12"/>
      <c r="Z549" s="67"/>
      <c r="AA549" s="12"/>
      <c r="AB549" s="12"/>
      <c r="AC549" s="67"/>
      <c r="AD549" s="12"/>
      <c r="AE549" s="12"/>
      <c r="AF549" s="12"/>
    </row>
    <row r="550" ht="15.75" customHeight="1">
      <c r="A550" s="34"/>
      <c r="B550" s="34"/>
      <c r="C550" s="34"/>
      <c r="D550" s="34"/>
      <c r="E550" s="34"/>
      <c r="F550" s="35"/>
      <c r="G550" s="34"/>
      <c r="H550" s="34"/>
      <c r="I550" s="34"/>
      <c r="J550" s="34"/>
      <c r="K550" s="34"/>
      <c r="L550" s="34"/>
      <c r="M550" s="34"/>
      <c r="N550" s="34"/>
      <c r="O550" s="36"/>
      <c r="P550" s="34"/>
      <c r="Q550" s="87"/>
      <c r="R550" s="34"/>
      <c r="S550" s="66"/>
      <c r="T550" s="12"/>
      <c r="U550" s="12"/>
      <c r="V550" s="12"/>
      <c r="W550" s="12"/>
      <c r="X550" s="12"/>
      <c r="Y550" s="12"/>
      <c r="Z550" s="67"/>
      <c r="AA550" s="12"/>
      <c r="AB550" s="12"/>
      <c r="AC550" s="67"/>
      <c r="AD550" s="12"/>
      <c r="AE550" s="12"/>
      <c r="AF550" s="12"/>
    </row>
    <row r="551" ht="15.75" customHeight="1">
      <c r="A551" s="34"/>
      <c r="B551" s="34"/>
      <c r="C551" s="34"/>
      <c r="D551" s="34"/>
      <c r="E551" s="34"/>
      <c r="F551" s="35"/>
      <c r="G551" s="34"/>
      <c r="H551" s="34"/>
      <c r="I551" s="34"/>
      <c r="J551" s="34"/>
      <c r="K551" s="34"/>
      <c r="L551" s="34"/>
      <c r="M551" s="34"/>
      <c r="N551" s="34"/>
      <c r="O551" s="36"/>
      <c r="P551" s="34"/>
      <c r="Q551" s="87"/>
      <c r="R551" s="34"/>
      <c r="S551" s="66"/>
      <c r="T551" s="12"/>
      <c r="U551" s="12"/>
      <c r="V551" s="12"/>
      <c r="W551" s="12"/>
      <c r="X551" s="12"/>
      <c r="Y551" s="12"/>
      <c r="Z551" s="67"/>
      <c r="AA551" s="12"/>
      <c r="AB551" s="12"/>
      <c r="AC551" s="67"/>
      <c r="AD551" s="12"/>
      <c r="AE551" s="12"/>
      <c r="AF551" s="12"/>
    </row>
    <row r="552" ht="15.75" customHeight="1">
      <c r="A552" s="34"/>
      <c r="B552" s="34"/>
      <c r="C552" s="34"/>
      <c r="D552" s="34"/>
      <c r="E552" s="34"/>
      <c r="F552" s="35"/>
      <c r="G552" s="34"/>
      <c r="H552" s="34"/>
      <c r="I552" s="34"/>
      <c r="J552" s="34"/>
      <c r="K552" s="34"/>
      <c r="L552" s="34"/>
      <c r="M552" s="34"/>
      <c r="N552" s="34"/>
      <c r="O552" s="36"/>
      <c r="P552" s="34"/>
      <c r="Q552" s="87"/>
      <c r="R552" s="34"/>
      <c r="S552" s="66"/>
      <c r="T552" s="12"/>
      <c r="U552" s="12"/>
      <c r="V552" s="12"/>
      <c r="W552" s="12"/>
      <c r="X552" s="12"/>
      <c r="Y552" s="12"/>
      <c r="Z552" s="67"/>
      <c r="AA552" s="12"/>
      <c r="AB552" s="12"/>
      <c r="AC552" s="67"/>
      <c r="AD552" s="12"/>
      <c r="AE552" s="12"/>
      <c r="AF552" s="12"/>
    </row>
    <row r="553" ht="15.75" customHeight="1">
      <c r="A553" s="34"/>
      <c r="B553" s="34"/>
      <c r="C553" s="34"/>
      <c r="D553" s="34"/>
      <c r="E553" s="34"/>
      <c r="F553" s="35"/>
      <c r="G553" s="34"/>
      <c r="H553" s="34"/>
      <c r="I553" s="34"/>
      <c r="J553" s="34"/>
      <c r="K553" s="34"/>
      <c r="L553" s="34"/>
      <c r="M553" s="34"/>
      <c r="N553" s="34"/>
      <c r="O553" s="36"/>
      <c r="P553" s="34"/>
      <c r="Q553" s="87"/>
      <c r="R553" s="34"/>
      <c r="S553" s="66"/>
      <c r="T553" s="12"/>
      <c r="U553" s="12"/>
      <c r="V553" s="12"/>
      <c r="W553" s="12"/>
      <c r="X553" s="12"/>
      <c r="Y553" s="12"/>
      <c r="Z553" s="67"/>
      <c r="AA553" s="12"/>
      <c r="AB553" s="12"/>
      <c r="AC553" s="67"/>
      <c r="AD553" s="12"/>
      <c r="AE553" s="12"/>
      <c r="AF553" s="12"/>
    </row>
    <row r="554" ht="15.75" customHeight="1">
      <c r="A554" s="34"/>
      <c r="B554" s="34"/>
      <c r="C554" s="34"/>
      <c r="D554" s="34"/>
      <c r="E554" s="34"/>
      <c r="F554" s="35"/>
      <c r="G554" s="34"/>
      <c r="H554" s="34"/>
      <c r="I554" s="34"/>
      <c r="J554" s="34"/>
      <c r="K554" s="34"/>
      <c r="L554" s="34"/>
      <c r="M554" s="34"/>
      <c r="N554" s="34"/>
      <c r="O554" s="36"/>
      <c r="P554" s="34"/>
      <c r="Q554" s="87"/>
      <c r="R554" s="34"/>
      <c r="S554" s="66"/>
      <c r="T554" s="12"/>
      <c r="U554" s="12"/>
      <c r="V554" s="12"/>
      <c r="W554" s="12"/>
      <c r="X554" s="12"/>
      <c r="Y554" s="12"/>
      <c r="Z554" s="67"/>
      <c r="AA554" s="12"/>
      <c r="AB554" s="12"/>
      <c r="AC554" s="67"/>
      <c r="AD554" s="12"/>
      <c r="AE554" s="12"/>
      <c r="AF554" s="12"/>
    </row>
    <row r="555" ht="15.75" customHeight="1">
      <c r="A555" s="34"/>
      <c r="B555" s="34"/>
      <c r="C555" s="34"/>
      <c r="D555" s="34"/>
      <c r="E555" s="34"/>
      <c r="F555" s="35"/>
      <c r="G555" s="34"/>
      <c r="H555" s="34"/>
      <c r="I555" s="34"/>
      <c r="J555" s="34"/>
      <c r="K555" s="34"/>
      <c r="L555" s="34"/>
      <c r="M555" s="34"/>
      <c r="N555" s="34"/>
      <c r="O555" s="36"/>
      <c r="P555" s="34"/>
      <c r="Q555" s="87"/>
      <c r="R555" s="34"/>
      <c r="S555" s="66"/>
      <c r="T555" s="12"/>
      <c r="U555" s="12"/>
      <c r="V555" s="12"/>
      <c r="W555" s="12"/>
      <c r="X555" s="12"/>
      <c r="Y555" s="12"/>
      <c r="Z555" s="67"/>
      <c r="AA555" s="12"/>
      <c r="AB555" s="12"/>
      <c r="AC555" s="67"/>
      <c r="AD555" s="12"/>
      <c r="AE555" s="12"/>
      <c r="AF555" s="12"/>
    </row>
    <row r="556" ht="15.75" customHeight="1">
      <c r="A556" s="34"/>
      <c r="B556" s="34"/>
      <c r="C556" s="34"/>
      <c r="D556" s="34"/>
      <c r="E556" s="34"/>
      <c r="F556" s="35"/>
      <c r="G556" s="34"/>
      <c r="H556" s="34"/>
      <c r="I556" s="34"/>
      <c r="J556" s="34"/>
      <c r="K556" s="34"/>
      <c r="L556" s="34"/>
      <c r="M556" s="34"/>
      <c r="N556" s="34"/>
      <c r="O556" s="36"/>
      <c r="P556" s="34"/>
      <c r="Q556" s="87"/>
      <c r="R556" s="34"/>
      <c r="S556" s="66"/>
      <c r="T556" s="12"/>
      <c r="U556" s="12"/>
      <c r="V556" s="12"/>
      <c r="W556" s="12"/>
      <c r="X556" s="12"/>
      <c r="Y556" s="12"/>
      <c r="Z556" s="67"/>
      <c r="AA556" s="12"/>
      <c r="AB556" s="12"/>
      <c r="AC556" s="67"/>
      <c r="AD556" s="12"/>
      <c r="AE556" s="12"/>
      <c r="AF556" s="12"/>
    </row>
    <row r="557" ht="15.75" customHeight="1">
      <c r="A557" s="34"/>
      <c r="B557" s="34"/>
      <c r="C557" s="34"/>
      <c r="D557" s="34"/>
      <c r="E557" s="34"/>
      <c r="F557" s="35"/>
      <c r="G557" s="34"/>
      <c r="H557" s="34"/>
      <c r="I557" s="34"/>
      <c r="J557" s="34"/>
      <c r="K557" s="34"/>
      <c r="L557" s="34"/>
      <c r="M557" s="34"/>
      <c r="N557" s="34"/>
      <c r="O557" s="36"/>
      <c r="P557" s="34"/>
      <c r="Q557" s="87"/>
      <c r="R557" s="34"/>
      <c r="S557" s="66"/>
      <c r="T557" s="12"/>
      <c r="U557" s="12"/>
      <c r="V557" s="12"/>
      <c r="W557" s="12"/>
      <c r="X557" s="12"/>
      <c r="Y557" s="12"/>
      <c r="Z557" s="67"/>
      <c r="AA557" s="12"/>
      <c r="AB557" s="12"/>
      <c r="AC557" s="67"/>
      <c r="AD557" s="12"/>
      <c r="AE557" s="12"/>
      <c r="AF557" s="12"/>
    </row>
    <row r="558" ht="15.75" customHeight="1">
      <c r="A558" s="34"/>
      <c r="B558" s="34"/>
      <c r="C558" s="34"/>
      <c r="D558" s="34"/>
      <c r="E558" s="34"/>
      <c r="F558" s="35"/>
      <c r="G558" s="34"/>
      <c r="H558" s="34"/>
      <c r="I558" s="34"/>
      <c r="J558" s="34"/>
      <c r="K558" s="34"/>
      <c r="L558" s="34"/>
      <c r="M558" s="34"/>
      <c r="N558" s="34"/>
      <c r="O558" s="36"/>
      <c r="P558" s="34"/>
      <c r="Q558" s="87"/>
      <c r="R558" s="34"/>
      <c r="S558" s="66"/>
      <c r="T558" s="12"/>
      <c r="U558" s="12"/>
      <c r="V558" s="12"/>
      <c r="W558" s="12"/>
      <c r="X558" s="12"/>
      <c r="Y558" s="12"/>
      <c r="Z558" s="67"/>
      <c r="AA558" s="12"/>
      <c r="AB558" s="12"/>
      <c r="AC558" s="67"/>
      <c r="AD558" s="12"/>
      <c r="AE558" s="12"/>
      <c r="AF558" s="12"/>
    </row>
    <row r="559" ht="15.75" customHeight="1">
      <c r="A559" s="34"/>
      <c r="B559" s="34"/>
      <c r="C559" s="34"/>
      <c r="D559" s="34"/>
      <c r="E559" s="34"/>
      <c r="F559" s="35"/>
      <c r="G559" s="34"/>
      <c r="H559" s="34"/>
      <c r="I559" s="34"/>
      <c r="J559" s="34"/>
      <c r="K559" s="34"/>
      <c r="L559" s="34"/>
      <c r="M559" s="34"/>
      <c r="N559" s="34"/>
      <c r="O559" s="36"/>
      <c r="P559" s="34"/>
      <c r="Q559" s="87"/>
      <c r="R559" s="34"/>
      <c r="S559" s="66"/>
      <c r="T559" s="12"/>
      <c r="U559" s="12"/>
      <c r="V559" s="12"/>
      <c r="W559" s="12"/>
      <c r="X559" s="12"/>
      <c r="Y559" s="12"/>
      <c r="Z559" s="67"/>
      <c r="AA559" s="12"/>
      <c r="AB559" s="12"/>
      <c r="AC559" s="67"/>
      <c r="AD559" s="12"/>
      <c r="AE559" s="12"/>
      <c r="AF559" s="12"/>
    </row>
    <row r="560" ht="15.75" customHeight="1">
      <c r="A560" s="34"/>
      <c r="B560" s="34"/>
      <c r="C560" s="34"/>
      <c r="D560" s="34"/>
      <c r="E560" s="34"/>
      <c r="F560" s="35"/>
      <c r="G560" s="34"/>
      <c r="H560" s="34"/>
      <c r="I560" s="34"/>
      <c r="J560" s="34"/>
      <c r="K560" s="34"/>
      <c r="L560" s="34"/>
      <c r="M560" s="34"/>
      <c r="N560" s="34"/>
      <c r="O560" s="36"/>
      <c r="P560" s="34"/>
      <c r="Q560" s="87"/>
      <c r="R560" s="34"/>
      <c r="S560" s="66"/>
      <c r="T560" s="12"/>
      <c r="U560" s="12"/>
      <c r="V560" s="12"/>
      <c r="W560" s="12"/>
      <c r="X560" s="12"/>
      <c r="Y560" s="12"/>
      <c r="Z560" s="67"/>
      <c r="AA560" s="12"/>
      <c r="AB560" s="12"/>
      <c r="AC560" s="67"/>
      <c r="AD560" s="12"/>
      <c r="AE560" s="12"/>
      <c r="AF560" s="12"/>
    </row>
    <row r="561" ht="15.75" customHeight="1">
      <c r="A561" s="34"/>
      <c r="B561" s="34"/>
      <c r="C561" s="34"/>
      <c r="D561" s="34"/>
      <c r="E561" s="34"/>
      <c r="F561" s="35"/>
      <c r="G561" s="34"/>
      <c r="H561" s="34"/>
      <c r="I561" s="34"/>
      <c r="J561" s="34"/>
      <c r="K561" s="34"/>
      <c r="L561" s="34"/>
      <c r="M561" s="34"/>
      <c r="N561" s="34"/>
      <c r="O561" s="36"/>
      <c r="P561" s="34"/>
      <c r="Q561" s="87"/>
      <c r="R561" s="34"/>
      <c r="S561" s="66"/>
      <c r="T561" s="12"/>
      <c r="U561" s="12"/>
      <c r="V561" s="12"/>
      <c r="W561" s="12"/>
      <c r="X561" s="12"/>
      <c r="Y561" s="12"/>
      <c r="Z561" s="67"/>
      <c r="AA561" s="12"/>
      <c r="AB561" s="12"/>
      <c r="AC561" s="67"/>
      <c r="AD561" s="12"/>
      <c r="AE561" s="12"/>
      <c r="AF561" s="12"/>
    </row>
    <row r="562" ht="15.75" customHeight="1">
      <c r="A562" s="34"/>
      <c r="B562" s="34"/>
      <c r="C562" s="34"/>
      <c r="D562" s="34"/>
      <c r="E562" s="34"/>
      <c r="F562" s="35"/>
      <c r="G562" s="34"/>
      <c r="H562" s="34"/>
      <c r="I562" s="34"/>
      <c r="J562" s="34"/>
      <c r="K562" s="34"/>
      <c r="L562" s="34"/>
      <c r="M562" s="34"/>
      <c r="N562" s="34"/>
      <c r="O562" s="36"/>
      <c r="P562" s="34"/>
      <c r="Q562" s="87"/>
      <c r="R562" s="34"/>
      <c r="S562" s="66"/>
      <c r="T562" s="12"/>
      <c r="U562" s="12"/>
      <c r="V562" s="12"/>
      <c r="W562" s="12"/>
      <c r="X562" s="12"/>
      <c r="Y562" s="12"/>
      <c r="Z562" s="67"/>
      <c r="AA562" s="12"/>
      <c r="AB562" s="12"/>
      <c r="AC562" s="67"/>
      <c r="AD562" s="12"/>
      <c r="AE562" s="12"/>
      <c r="AF562" s="12"/>
    </row>
    <row r="563" ht="15.75" customHeight="1">
      <c r="A563" s="34"/>
      <c r="B563" s="34"/>
      <c r="C563" s="34"/>
      <c r="D563" s="34"/>
      <c r="E563" s="34"/>
      <c r="F563" s="35"/>
      <c r="G563" s="34"/>
      <c r="H563" s="34"/>
      <c r="I563" s="34"/>
      <c r="J563" s="34"/>
      <c r="K563" s="34"/>
      <c r="L563" s="34"/>
      <c r="M563" s="34"/>
      <c r="N563" s="34"/>
      <c r="O563" s="36"/>
      <c r="P563" s="34"/>
      <c r="Q563" s="87"/>
      <c r="R563" s="34"/>
      <c r="S563" s="66"/>
      <c r="T563" s="12"/>
      <c r="U563" s="12"/>
      <c r="V563" s="12"/>
      <c r="W563" s="12"/>
      <c r="X563" s="12"/>
      <c r="Y563" s="12"/>
      <c r="Z563" s="67"/>
      <c r="AA563" s="12"/>
      <c r="AB563" s="12"/>
      <c r="AC563" s="67"/>
      <c r="AD563" s="12"/>
      <c r="AE563" s="12"/>
      <c r="AF563" s="12"/>
    </row>
    <row r="564" ht="15.75" customHeight="1">
      <c r="A564" s="34"/>
      <c r="B564" s="34"/>
      <c r="C564" s="34"/>
      <c r="D564" s="34"/>
      <c r="E564" s="34"/>
      <c r="F564" s="35"/>
      <c r="G564" s="34"/>
      <c r="H564" s="34"/>
      <c r="I564" s="34"/>
      <c r="J564" s="34"/>
      <c r="K564" s="34"/>
      <c r="L564" s="34"/>
      <c r="M564" s="34"/>
      <c r="N564" s="34"/>
      <c r="O564" s="36"/>
      <c r="P564" s="34"/>
      <c r="Q564" s="87"/>
      <c r="R564" s="34"/>
      <c r="S564" s="66"/>
      <c r="T564" s="12"/>
      <c r="U564" s="12"/>
      <c r="V564" s="12"/>
      <c r="W564" s="12"/>
      <c r="X564" s="12"/>
      <c r="Y564" s="12"/>
      <c r="Z564" s="67"/>
      <c r="AA564" s="12"/>
      <c r="AB564" s="12"/>
      <c r="AC564" s="67"/>
      <c r="AD564" s="12"/>
      <c r="AE564" s="12"/>
      <c r="AF564" s="12"/>
    </row>
    <row r="565" ht="15.75" customHeight="1">
      <c r="A565" s="34"/>
      <c r="B565" s="34"/>
      <c r="C565" s="34"/>
      <c r="D565" s="34"/>
      <c r="E565" s="34"/>
      <c r="F565" s="35"/>
      <c r="G565" s="34"/>
      <c r="H565" s="34"/>
      <c r="I565" s="34"/>
      <c r="J565" s="34"/>
      <c r="K565" s="34"/>
      <c r="L565" s="34"/>
      <c r="M565" s="34"/>
      <c r="N565" s="34"/>
      <c r="O565" s="36"/>
      <c r="P565" s="34"/>
      <c r="Q565" s="87"/>
      <c r="R565" s="34"/>
      <c r="S565" s="66"/>
      <c r="T565" s="12"/>
      <c r="U565" s="12"/>
      <c r="V565" s="12"/>
      <c r="W565" s="12"/>
      <c r="X565" s="12"/>
      <c r="Y565" s="12"/>
      <c r="Z565" s="67"/>
      <c r="AA565" s="12"/>
      <c r="AB565" s="12"/>
      <c r="AC565" s="67"/>
      <c r="AD565" s="12"/>
      <c r="AE565" s="12"/>
      <c r="AF565" s="12"/>
    </row>
    <row r="566" ht="15.75" customHeight="1">
      <c r="A566" s="34"/>
      <c r="B566" s="34"/>
      <c r="C566" s="34"/>
      <c r="D566" s="34"/>
      <c r="E566" s="34"/>
      <c r="F566" s="35"/>
      <c r="G566" s="34"/>
      <c r="H566" s="34"/>
      <c r="I566" s="34"/>
      <c r="J566" s="34"/>
      <c r="K566" s="34"/>
      <c r="L566" s="34"/>
      <c r="M566" s="34"/>
      <c r="N566" s="34"/>
      <c r="O566" s="36"/>
      <c r="P566" s="34"/>
      <c r="Q566" s="87"/>
      <c r="R566" s="34"/>
      <c r="S566" s="66"/>
      <c r="T566" s="12"/>
      <c r="U566" s="12"/>
      <c r="V566" s="12"/>
      <c r="W566" s="12"/>
      <c r="X566" s="12"/>
      <c r="Y566" s="12"/>
      <c r="Z566" s="67"/>
      <c r="AA566" s="12"/>
      <c r="AB566" s="12"/>
      <c r="AC566" s="67"/>
      <c r="AD566" s="12"/>
      <c r="AE566" s="12"/>
      <c r="AF566" s="12"/>
    </row>
    <row r="567" ht="15.75" customHeight="1">
      <c r="A567" s="34"/>
      <c r="B567" s="34"/>
      <c r="C567" s="34"/>
      <c r="D567" s="34"/>
      <c r="E567" s="34"/>
      <c r="F567" s="35"/>
      <c r="G567" s="34"/>
      <c r="H567" s="34"/>
      <c r="I567" s="34"/>
      <c r="J567" s="34"/>
      <c r="K567" s="34"/>
      <c r="L567" s="34"/>
      <c r="M567" s="34"/>
      <c r="N567" s="34"/>
      <c r="O567" s="36"/>
      <c r="P567" s="34"/>
      <c r="Q567" s="87"/>
      <c r="R567" s="34"/>
      <c r="S567" s="66"/>
      <c r="T567" s="12"/>
      <c r="U567" s="12"/>
      <c r="V567" s="12"/>
      <c r="W567" s="12"/>
      <c r="X567" s="12"/>
      <c r="Y567" s="12"/>
      <c r="Z567" s="67"/>
      <c r="AA567" s="12"/>
      <c r="AB567" s="12"/>
      <c r="AC567" s="67"/>
      <c r="AD567" s="12"/>
      <c r="AE567" s="12"/>
      <c r="AF567" s="12"/>
    </row>
    <row r="568" ht="15.75" customHeight="1">
      <c r="A568" s="34"/>
      <c r="B568" s="34"/>
      <c r="C568" s="34"/>
      <c r="D568" s="34"/>
      <c r="E568" s="34"/>
      <c r="F568" s="35"/>
      <c r="G568" s="34"/>
      <c r="H568" s="34"/>
      <c r="I568" s="34"/>
      <c r="J568" s="34"/>
      <c r="K568" s="34"/>
      <c r="L568" s="34"/>
      <c r="M568" s="34"/>
      <c r="N568" s="34"/>
      <c r="O568" s="36"/>
      <c r="P568" s="34"/>
      <c r="Q568" s="87"/>
      <c r="R568" s="34"/>
      <c r="S568" s="66"/>
      <c r="T568" s="12"/>
      <c r="U568" s="12"/>
      <c r="V568" s="12"/>
      <c r="W568" s="12"/>
      <c r="X568" s="12"/>
      <c r="Y568" s="12"/>
      <c r="Z568" s="67"/>
      <c r="AA568" s="12"/>
      <c r="AB568" s="12"/>
      <c r="AC568" s="67"/>
      <c r="AD568" s="12"/>
      <c r="AE568" s="12"/>
      <c r="AF568" s="12"/>
    </row>
    <row r="569" ht="15.75" customHeight="1">
      <c r="A569" s="34"/>
      <c r="B569" s="34"/>
      <c r="C569" s="34"/>
      <c r="D569" s="34"/>
      <c r="E569" s="34"/>
      <c r="F569" s="35"/>
      <c r="G569" s="34"/>
      <c r="H569" s="34"/>
      <c r="I569" s="34"/>
      <c r="J569" s="34"/>
      <c r="K569" s="34"/>
      <c r="L569" s="34"/>
      <c r="M569" s="34"/>
      <c r="N569" s="34"/>
      <c r="O569" s="36"/>
      <c r="P569" s="34"/>
      <c r="Q569" s="87"/>
      <c r="R569" s="34"/>
      <c r="S569" s="66"/>
      <c r="T569" s="12"/>
      <c r="U569" s="12"/>
      <c r="V569" s="12"/>
      <c r="W569" s="12"/>
      <c r="X569" s="12"/>
      <c r="Y569" s="12"/>
      <c r="Z569" s="67"/>
      <c r="AA569" s="12"/>
      <c r="AB569" s="12"/>
      <c r="AC569" s="67"/>
      <c r="AD569" s="12"/>
      <c r="AE569" s="12"/>
      <c r="AF569" s="12"/>
    </row>
    <row r="570" ht="15.75" customHeight="1">
      <c r="A570" s="34"/>
      <c r="B570" s="34"/>
      <c r="C570" s="34"/>
      <c r="D570" s="34"/>
      <c r="E570" s="34"/>
      <c r="F570" s="35"/>
      <c r="G570" s="34"/>
      <c r="H570" s="34"/>
      <c r="I570" s="34"/>
      <c r="J570" s="34"/>
      <c r="K570" s="34"/>
      <c r="L570" s="34"/>
      <c r="M570" s="34"/>
      <c r="N570" s="34"/>
      <c r="O570" s="36"/>
      <c r="P570" s="34"/>
      <c r="Q570" s="87"/>
      <c r="R570" s="34"/>
      <c r="S570" s="66"/>
      <c r="T570" s="12"/>
      <c r="U570" s="12"/>
      <c r="V570" s="12"/>
      <c r="W570" s="12"/>
      <c r="X570" s="12"/>
      <c r="Y570" s="12"/>
      <c r="Z570" s="67"/>
      <c r="AA570" s="12"/>
      <c r="AB570" s="12"/>
      <c r="AC570" s="67"/>
      <c r="AD570" s="12"/>
      <c r="AE570" s="12"/>
      <c r="AF570" s="12"/>
    </row>
    <row r="571" ht="15.75" customHeight="1">
      <c r="A571" s="34"/>
      <c r="B571" s="34"/>
      <c r="C571" s="34"/>
      <c r="D571" s="34"/>
      <c r="E571" s="34"/>
      <c r="F571" s="35"/>
      <c r="G571" s="34"/>
      <c r="H571" s="34"/>
      <c r="I571" s="34"/>
      <c r="J571" s="34"/>
      <c r="K571" s="34"/>
      <c r="L571" s="34"/>
      <c r="M571" s="34"/>
      <c r="N571" s="34"/>
      <c r="O571" s="36"/>
      <c r="P571" s="34"/>
      <c r="Q571" s="87"/>
      <c r="R571" s="34"/>
      <c r="S571" s="66"/>
      <c r="T571" s="12"/>
      <c r="U571" s="12"/>
      <c r="V571" s="12"/>
      <c r="W571" s="12"/>
      <c r="X571" s="12"/>
      <c r="Y571" s="12"/>
      <c r="Z571" s="67"/>
      <c r="AA571" s="12"/>
      <c r="AB571" s="12"/>
      <c r="AC571" s="67"/>
      <c r="AD571" s="12"/>
      <c r="AE571" s="12"/>
      <c r="AF571" s="12"/>
    </row>
    <row r="572" ht="15.75" customHeight="1">
      <c r="A572" s="34"/>
      <c r="B572" s="34"/>
      <c r="C572" s="34"/>
      <c r="D572" s="34"/>
      <c r="E572" s="34"/>
      <c r="F572" s="35"/>
      <c r="G572" s="34"/>
      <c r="H572" s="34"/>
      <c r="I572" s="34"/>
      <c r="J572" s="34"/>
      <c r="K572" s="34"/>
      <c r="L572" s="34"/>
      <c r="M572" s="34"/>
      <c r="N572" s="34"/>
      <c r="O572" s="36"/>
      <c r="P572" s="34"/>
      <c r="Q572" s="87"/>
      <c r="R572" s="34"/>
      <c r="S572" s="66"/>
      <c r="T572" s="12"/>
      <c r="U572" s="12"/>
      <c r="V572" s="12"/>
      <c r="W572" s="12"/>
      <c r="X572" s="12"/>
      <c r="Y572" s="12"/>
      <c r="Z572" s="67"/>
      <c r="AA572" s="12"/>
      <c r="AB572" s="12"/>
      <c r="AC572" s="67"/>
      <c r="AD572" s="12"/>
      <c r="AE572" s="12"/>
      <c r="AF572" s="12"/>
    </row>
    <row r="573" ht="15.75" customHeight="1">
      <c r="A573" s="34"/>
      <c r="B573" s="34"/>
      <c r="C573" s="34"/>
      <c r="D573" s="34"/>
      <c r="E573" s="34"/>
      <c r="F573" s="35"/>
      <c r="G573" s="34"/>
      <c r="H573" s="34"/>
      <c r="I573" s="34"/>
      <c r="J573" s="34"/>
      <c r="K573" s="34"/>
      <c r="L573" s="34"/>
      <c r="M573" s="34"/>
      <c r="N573" s="34"/>
      <c r="O573" s="36"/>
      <c r="P573" s="34"/>
      <c r="Q573" s="87"/>
      <c r="R573" s="34"/>
      <c r="S573" s="66"/>
      <c r="T573" s="12"/>
      <c r="U573" s="12"/>
      <c r="V573" s="12"/>
      <c r="W573" s="12"/>
      <c r="X573" s="12"/>
      <c r="Y573" s="12"/>
      <c r="Z573" s="67"/>
      <c r="AA573" s="12"/>
      <c r="AB573" s="12"/>
      <c r="AC573" s="67"/>
      <c r="AD573" s="12"/>
      <c r="AE573" s="12"/>
      <c r="AF573" s="12"/>
    </row>
    <row r="574" ht="15.75" customHeight="1">
      <c r="A574" s="34"/>
      <c r="B574" s="34"/>
      <c r="C574" s="34"/>
      <c r="D574" s="34"/>
      <c r="E574" s="34"/>
      <c r="F574" s="35"/>
      <c r="G574" s="34"/>
      <c r="H574" s="34"/>
      <c r="I574" s="34"/>
      <c r="J574" s="34"/>
      <c r="K574" s="34"/>
      <c r="L574" s="34"/>
      <c r="M574" s="34"/>
      <c r="N574" s="34"/>
      <c r="O574" s="36"/>
      <c r="P574" s="34"/>
      <c r="Q574" s="87"/>
      <c r="R574" s="34"/>
      <c r="S574" s="66"/>
      <c r="T574" s="12"/>
      <c r="U574" s="12"/>
      <c r="V574" s="12"/>
      <c r="W574" s="12"/>
      <c r="X574" s="12"/>
      <c r="Y574" s="12"/>
      <c r="Z574" s="67"/>
      <c r="AA574" s="12"/>
      <c r="AB574" s="12"/>
      <c r="AC574" s="67"/>
      <c r="AD574" s="12"/>
      <c r="AE574" s="12"/>
      <c r="AF574" s="12"/>
    </row>
    <row r="575" ht="15.75" customHeight="1">
      <c r="A575" s="34"/>
      <c r="B575" s="34"/>
      <c r="C575" s="34"/>
      <c r="D575" s="34"/>
      <c r="E575" s="34"/>
      <c r="F575" s="35"/>
      <c r="G575" s="34"/>
      <c r="H575" s="34"/>
      <c r="I575" s="34"/>
      <c r="J575" s="34"/>
      <c r="K575" s="34"/>
      <c r="L575" s="34"/>
      <c r="M575" s="34"/>
      <c r="N575" s="34"/>
      <c r="O575" s="36"/>
      <c r="P575" s="34"/>
      <c r="Q575" s="87"/>
      <c r="R575" s="34"/>
      <c r="S575" s="66"/>
      <c r="T575" s="12"/>
      <c r="U575" s="12"/>
      <c r="V575" s="12"/>
      <c r="W575" s="12"/>
      <c r="X575" s="12"/>
      <c r="Y575" s="12"/>
      <c r="Z575" s="67"/>
      <c r="AA575" s="12"/>
      <c r="AB575" s="12"/>
      <c r="AC575" s="67"/>
      <c r="AD575" s="12"/>
      <c r="AE575" s="12"/>
      <c r="AF575" s="12"/>
    </row>
    <row r="576" ht="15.75" customHeight="1">
      <c r="A576" s="34"/>
      <c r="B576" s="34"/>
      <c r="C576" s="34"/>
      <c r="D576" s="34"/>
      <c r="E576" s="34"/>
      <c r="F576" s="35"/>
      <c r="G576" s="34"/>
      <c r="H576" s="34"/>
      <c r="I576" s="34"/>
      <c r="J576" s="34"/>
      <c r="K576" s="34"/>
      <c r="L576" s="34"/>
      <c r="M576" s="34"/>
      <c r="N576" s="34"/>
      <c r="O576" s="36"/>
      <c r="P576" s="34"/>
      <c r="Q576" s="87"/>
      <c r="R576" s="34"/>
      <c r="S576" s="66"/>
      <c r="T576" s="12"/>
      <c r="U576" s="12"/>
      <c r="V576" s="12"/>
      <c r="W576" s="12"/>
      <c r="X576" s="12"/>
      <c r="Y576" s="12"/>
      <c r="Z576" s="67"/>
      <c r="AA576" s="12"/>
      <c r="AB576" s="12"/>
      <c r="AC576" s="67"/>
      <c r="AD576" s="12"/>
      <c r="AE576" s="12"/>
      <c r="AF576" s="12"/>
    </row>
    <row r="577" ht="15.75" customHeight="1">
      <c r="A577" s="34"/>
      <c r="B577" s="34"/>
      <c r="C577" s="34"/>
      <c r="D577" s="34"/>
      <c r="E577" s="34"/>
      <c r="F577" s="35"/>
      <c r="G577" s="34"/>
      <c r="H577" s="34"/>
      <c r="I577" s="34"/>
      <c r="J577" s="34"/>
      <c r="K577" s="34"/>
      <c r="L577" s="34"/>
      <c r="M577" s="34"/>
      <c r="N577" s="34"/>
      <c r="O577" s="36"/>
      <c r="P577" s="34"/>
      <c r="Q577" s="87"/>
      <c r="R577" s="34"/>
      <c r="S577" s="66"/>
      <c r="T577" s="12"/>
      <c r="U577" s="12"/>
      <c r="V577" s="12"/>
      <c r="W577" s="12"/>
      <c r="X577" s="12"/>
      <c r="Y577" s="12"/>
      <c r="Z577" s="67"/>
      <c r="AA577" s="12"/>
      <c r="AB577" s="12"/>
      <c r="AC577" s="67"/>
      <c r="AD577" s="12"/>
      <c r="AE577" s="12"/>
      <c r="AF577" s="12"/>
    </row>
    <row r="578" ht="15.75" customHeight="1">
      <c r="A578" s="34"/>
      <c r="B578" s="34"/>
      <c r="C578" s="34"/>
      <c r="D578" s="34"/>
      <c r="E578" s="34"/>
      <c r="F578" s="35"/>
      <c r="G578" s="34"/>
      <c r="H578" s="34"/>
      <c r="I578" s="34"/>
      <c r="J578" s="34"/>
      <c r="K578" s="34"/>
      <c r="L578" s="34"/>
      <c r="M578" s="34"/>
      <c r="N578" s="34"/>
      <c r="O578" s="36"/>
      <c r="P578" s="34"/>
      <c r="Q578" s="87"/>
      <c r="R578" s="34"/>
      <c r="S578" s="66"/>
      <c r="T578" s="12"/>
      <c r="U578" s="12"/>
      <c r="V578" s="12"/>
      <c r="W578" s="12"/>
      <c r="X578" s="12"/>
      <c r="Y578" s="12"/>
      <c r="Z578" s="67"/>
      <c r="AA578" s="12"/>
      <c r="AB578" s="12"/>
      <c r="AC578" s="67"/>
      <c r="AD578" s="12"/>
      <c r="AE578" s="12"/>
      <c r="AF578" s="12"/>
    </row>
    <row r="579" ht="15.75" customHeight="1">
      <c r="A579" s="34"/>
      <c r="B579" s="34"/>
      <c r="C579" s="34"/>
      <c r="D579" s="34"/>
      <c r="E579" s="34"/>
      <c r="F579" s="35"/>
      <c r="G579" s="34"/>
      <c r="H579" s="34"/>
      <c r="I579" s="34"/>
      <c r="J579" s="34"/>
      <c r="K579" s="34"/>
      <c r="L579" s="34"/>
      <c r="M579" s="34"/>
      <c r="N579" s="34"/>
      <c r="O579" s="36"/>
      <c r="P579" s="34"/>
      <c r="Q579" s="87"/>
      <c r="R579" s="34"/>
      <c r="S579" s="66"/>
      <c r="T579" s="12"/>
      <c r="U579" s="12"/>
      <c r="V579" s="12"/>
      <c r="W579" s="12"/>
      <c r="X579" s="12"/>
      <c r="Y579" s="12"/>
      <c r="Z579" s="67"/>
      <c r="AA579" s="12"/>
      <c r="AB579" s="12"/>
      <c r="AC579" s="67"/>
      <c r="AD579" s="12"/>
      <c r="AE579" s="12"/>
      <c r="AF579" s="12"/>
    </row>
    <row r="580" ht="15.75" customHeight="1">
      <c r="A580" s="34"/>
      <c r="B580" s="34"/>
      <c r="C580" s="34"/>
      <c r="D580" s="34"/>
      <c r="E580" s="34"/>
      <c r="F580" s="35"/>
      <c r="G580" s="34"/>
      <c r="H580" s="34"/>
      <c r="I580" s="34"/>
      <c r="J580" s="34"/>
      <c r="K580" s="34"/>
      <c r="L580" s="34"/>
      <c r="M580" s="34"/>
      <c r="N580" s="34"/>
      <c r="O580" s="36"/>
      <c r="P580" s="34"/>
      <c r="Q580" s="87"/>
      <c r="R580" s="34"/>
      <c r="S580" s="66"/>
      <c r="T580" s="12"/>
      <c r="U580" s="12"/>
      <c r="V580" s="12"/>
      <c r="W580" s="12"/>
      <c r="X580" s="12"/>
      <c r="Y580" s="12"/>
      <c r="Z580" s="67"/>
      <c r="AA580" s="12"/>
      <c r="AB580" s="12"/>
      <c r="AC580" s="67"/>
      <c r="AD580" s="12"/>
      <c r="AE580" s="12"/>
      <c r="AF580" s="12"/>
    </row>
    <row r="581" ht="15.75" customHeight="1">
      <c r="A581" s="34"/>
      <c r="B581" s="34"/>
      <c r="C581" s="34"/>
      <c r="D581" s="34"/>
      <c r="E581" s="34"/>
      <c r="F581" s="35"/>
      <c r="G581" s="34"/>
      <c r="H581" s="34"/>
      <c r="I581" s="34"/>
      <c r="J581" s="34"/>
      <c r="K581" s="34"/>
      <c r="L581" s="34"/>
      <c r="M581" s="34"/>
      <c r="N581" s="34"/>
      <c r="O581" s="36"/>
      <c r="P581" s="34"/>
      <c r="Q581" s="87"/>
      <c r="R581" s="34"/>
      <c r="S581" s="66"/>
      <c r="T581" s="12"/>
      <c r="U581" s="12"/>
      <c r="V581" s="12"/>
      <c r="W581" s="12"/>
      <c r="X581" s="12"/>
      <c r="Y581" s="12"/>
      <c r="Z581" s="67"/>
      <c r="AA581" s="12"/>
      <c r="AB581" s="12"/>
      <c r="AC581" s="67"/>
      <c r="AD581" s="12"/>
      <c r="AE581" s="12"/>
      <c r="AF581" s="12"/>
    </row>
    <row r="582" ht="15.75" customHeight="1">
      <c r="A582" s="34"/>
      <c r="B582" s="34"/>
      <c r="C582" s="34"/>
      <c r="D582" s="34"/>
      <c r="E582" s="34"/>
      <c r="F582" s="35"/>
      <c r="G582" s="34"/>
      <c r="H582" s="34"/>
      <c r="I582" s="34"/>
      <c r="J582" s="34"/>
      <c r="K582" s="34"/>
      <c r="L582" s="34"/>
      <c r="M582" s="34"/>
      <c r="N582" s="34"/>
      <c r="O582" s="36"/>
      <c r="P582" s="34"/>
      <c r="Q582" s="87"/>
      <c r="R582" s="34"/>
      <c r="S582" s="66"/>
      <c r="T582" s="12"/>
      <c r="U582" s="12"/>
      <c r="V582" s="12"/>
      <c r="W582" s="12"/>
      <c r="X582" s="12"/>
      <c r="Y582" s="12"/>
      <c r="Z582" s="67"/>
      <c r="AA582" s="12"/>
      <c r="AB582" s="12"/>
      <c r="AC582" s="67"/>
      <c r="AD582" s="12"/>
      <c r="AE582" s="12"/>
      <c r="AF582" s="12"/>
    </row>
    <row r="583" ht="15.75" customHeight="1">
      <c r="A583" s="34"/>
      <c r="B583" s="34"/>
      <c r="C583" s="34"/>
      <c r="D583" s="34"/>
      <c r="E583" s="34"/>
      <c r="F583" s="35"/>
      <c r="G583" s="34"/>
      <c r="H583" s="34"/>
      <c r="I583" s="34"/>
      <c r="J583" s="34"/>
      <c r="K583" s="34"/>
      <c r="L583" s="34"/>
      <c r="M583" s="34"/>
      <c r="N583" s="34"/>
      <c r="O583" s="36"/>
      <c r="P583" s="34"/>
      <c r="Q583" s="87"/>
      <c r="R583" s="34"/>
      <c r="S583" s="66"/>
      <c r="T583" s="12"/>
      <c r="U583" s="12"/>
      <c r="V583" s="12"/>
      <c r="W583" s="12"/>
      <c r="X583" s="12"/>
      <c r="Y583" s="12"/>
      <c r="Z583" s="67"/>
      <c r="AA583" s="12"/>
      <c r="AB583" s="12"/>
      <c r="AC583" s="67"/>
      <c r="AD583" s="12"/>
      <c r="AE583" s="12"/>
      <c r="AF583" s="12"/>
    </row>
    <row r="584" ht="15.75" customHeight="1">
      <c r="A584" s="34"/>
      <c r="B584" s="34"/>
      <c r="C584" s="34"/>
      <c r="D584" s="34"/>
      <c r="E584" s="34"/>
      <c r="F584" s="35"/>
      <c r="G584" s="34"/>
      <c r="H584" s="34"/>
      <c r="I584" s="34"/>
      <c r="J584" s="34"/>
      <c r="K584" s="34"/>
      <c r="L584" s="34"/>
      <c r="M584" s="34"/>
      <c r="N584" s="34"/>
      <c r="O584" s="36"/>
      <c r="P584" s="34"/>
      <c r="Q584" s="87"/>
      <c r="R584" s="34"/>
      <c r="S584" s="66"/>
      <c r="T584" s="12"/>
      <c r="U584" s="12"/>
      <c r="V584" s="12"/>
      <c r="W584" s="12"/>
      <c r="X584" s="12"/>
      <c r="Y584" s="12"/>
      <c r="Z584" s="67"/>
      <c r="AA584" s="12"/>
      <c r="AB584" s="12"/>
      <c r="AC584" s="67"/>
      <c r="AD584" s="12"/>
      <c r="AE584" s="12"/>
      <c r="AF584" s="12"/>
    </row>
    <row r="585" ht="15.75" customHeight="1">
      <c r="A585" s="34"/>
      <c r="B585" s="34"/>
      <c r="C585" s="34"/>
      <c r="D585" s="34"/>
      <c r="E585" s="34"/>
      <c r="F585" s="35"/>
      <c r="G585" s="34"/>
      <c r="H585" s="34"/>
      <c r="I585" s="34"/>
      <c r="J585" s="34"/>
      <c r="K585" s="34"/>
      <c r="L585" s="34"/>
      <c r="M585" s="34"/>
      <c r="N585" s="34"/>
      <c r="O585" s="36"/>
      <c r="P585" s="34"/>
      <c r="Q585" s="87"/>
      <c r="R585" s="34"/>
      <c r="S585" s="66"/>
      <c r="T585" s="12"/>
      <c r="U585" s="12"/>
      <c r="V585" s="12"/>
      <c r="W585" s="12"/>
      <c r="X585" s="12"/>
      <c r="Y585" s="12"/>
      <c r="Z585" s="67"/>
      <c r="AA585" s="12"/>
      <c r="AB585" s="12"/>
      <c r="AC585" s="67"/>
      <c r="AD585" s="12"/>
      <c r="AE585" s="12"/>
      <c r="AF585" s="12"/>
    </row>
    <row r="586" ht="15.75" customHeight="1">
      <c r="A586" s="34"/>
      <c r="B586" s="34"/>
      <c r="C586" s="34"/>
      <c r="D586" s="34"/>
      <c r="E586" s="34"/>
      <c r="F586" s="35"/>
      <c r="G586" s="34"/>
      <c r="H586" s="34"/>
      <c r="I586" s="34"/>
      <c r="J586" s="34"/>
      <c r="K586" s="34"/>
      <c r="L586" s="34"/>
      <c r="M586" s="34"/>
      <c r="N586" s="34"/>
      <c r="O586" s="36"/>
      <c r="P586" s="34"/>
      <c r="Q586" s="87"/>
      <c r="R586" s="34"/>
      <c r="S586" s="66"/>
      <c r="T586" s="12"/>
      <c r="U586" s="12"/>
      <c r="V586" s="12"/>
      <c r="W586" s="12"/>
      <c r="X586" s="12"/>
      <c r="Y586" s="12"/>
      <c r="Z586" s="67"/>
      <c r="AA586" s="12"/>
      <c r="AB586" s="12"/>
      <c r="AC586" s="67"/>
      <c r="AD586" s="12"/>
      <c r="AE586" s="12"/>
      <c r="AF586" s="12"/>
    </row>
    <row r="587" ht="15.75" customHeight="1">
      <c r="A587" s="34"/>
      <c r="B587" s="34"/>
      <c r="C587" s="34"/>
      <c r="D587" s="34"/>
      <c r="E587" s="34"/>
      <c r="F587" s="35"/>
      <c r="G587" s="34"/>
      <c r="H587" s="34"/>
      <c r="I587" s="34"/>
      <c r="J587" s="34"/>
      <c r="K587" s="34"/>
      <c r="L587" s="34"/>
      <c r="M587" s="34"/>
      <c r="N587" s="34"/>
      <c r="O587" s="36"/>
      <c r="P587" s="34"/>
      <c r="Q587" s="87"/>
      <c r="R587" s="34"/>
      <c r="S587" s="66"/>
      <c r="T587" s="12"/>
      <c r="U587" s="12"/>
      <c r="V587" s="12"/>
      <c r="W587" s="12"/>
      <c r="X587" s="12"/>
      <c r="Y587" s="12"/>
      <c r="Z587" s="67"/>
      <c r="AA587" s="12"/>
      <c r="AB587" s="12"/>
      <c r="AC587" s="67"/>
      <c r="AD587" s="12"/>
      <c r="AE587" s="12"/>
      <c r="AF587" s="12"/>
    </row>
    <row r="588" ht="15.75" customHeight="1">
      <c r="A588" s="34"/>
      <c r="B588" s="34"/>
      <c r="C588" s="34"/>
      <c r="D588" s="34"/>
      <c r="E588" s="34"/>
      <c r="F588" s="35"/>
      <c r="G588" s="34"/>
      <c r="H588" s="34"/>
      <c r="I588" s="34"/>
      <c r="J588" s="34"/>
      <c r="K588" s="34"/>
      <c r="L588" s="34"/>
      <c r="M588" s="34"/>
      <c r="N588" s="34"/>
      <c r="O588" s="36"/>
      <c r="P588" s="34"/>
      <c r="Q588" s="87"/>
      <c r="R588" s="34"/>
      <c r="S588" s="66"/>
      <c r="T588" s="12"/>
      <c r="U588" s="12"/>
      <c r="V588" s="12"/>
      <c r="W588" s="12"/>
      <c r="X588" s="12"/>
      <c r="Y588" s="12"/>
      <c r="Z588" s="67"/>
      <c r="AA588" s="12"/>
      <c r="AB588" s="12"/>
      <c r="AC588" s="67"/>
      <c r="AD588" s="12"/>
      <c r="AE588" s="12"/>
      <c r="AF588" s="12"/>
    </row>
    <row r="589" ht="15.75" customHeight="1">
      <c r="A589" s="34"/>
      <c r="B589" s="34"/>
      <c r="C589" s="34"/>
      <c r="D589" s="34"/>
      <c r="E589" s="34"/>
      <c r="F589" s="35"/>
      <c r="G589" s="34"/>
      <c r="H589" s="34"/>
      <c r="I589" s="34"/>
      <c r="J589" s="34"/>
      <c r="K589" s="34"/>
      <c r="L589" s="34"/>
      <c r="M589" s="34"/>
      <c r="N589" s="34"/>
      <c r="O589" s="36"/>
      <c r="P589" s="34"/>
      <c r="Q589" s="87"/>
      <c r="R589" s="34"/>
      <c r="S589" s="66"/>
      <c r="T589" s="12"/>
      <c r="U589" s="12"/>
      <c r="V589" s="12"/>
      <c r="W589" s="12"/>
      <c r="X589" s="12"/>
      <c r="Y589" s="12"/>
      <c r="Z589" s="67"/>
      <c r="AA589" s="12"/>
      <c r="AB589" s="12"/>
      <c r="AC589" s="67"/>
      <c r="AD589" s="12"/>
      <c r="AE589" s="12"/>
      <c r="AF589" s="12"/>
    </row>
    <row r="590" ht="15.75" customHeight="1">
      <c r="A590" s="34"/>
      <c r="B590" s="34"/>
      <c r="C590" s="34"/>
      <c r="D590" s="34"/>
      <c r="E590" s="34"/>
      <c r="F590" s="35"/>
      <c r="G590" s="34"/>
      <c r="H590" s="34"/>
      <c r="I590" s="34"/>
      <c r="J590" s="34"/>
      <c r="K590" s="34"/>
      <c r="L590" s="34"/>
      <c r="M590" s="34"/>
      <c r="N590" s="34"/>
      <c r="O590" s="36"/>
      <c r="P590" s="34"/>
      <c r="Q590" s="87"/>
      <c r="R590" s="34"/>
      <c r="S590" s="66"/>
      <c r="T590" s="12"/>
      <c r="U590" s="12"/>
      <c r="V590" s="12"/>
      <c r="W590" s="12"/>
      <c r="X590" s="12"/>
      <c r="Y590" s="12"/>
      <c r="Z590" s="67"/>
      <c r="AA590" s="12"/>
      <c r="AB590" s="12"/>
      <c r="AC590" s="67"/>
      <c r="AD590" s="12"/>
      <c r="AE590" s="12"/>
      <c r="AF590" s="12"/>
    </row>
    <row r="591" ht="15.75" customHeight="1">
      <c r="A591" s="34"/>
      <c r="B591" s="34"/>
      <c r="C591" s="34"/>
      <c r="D591" s="34"/>
      <c r="E591" s="34"/>
      <c r="F591" s="35"/>
      <c r="G591" s="34"/>
      <c r="H591" s="34"/>
      <c r="I591" s="34"/>
      <c r="J591" s="34"/>
      <c r="K591" s="34"/>
      <c r="L591" s="34"/>
      <c r="M591" s="34"/>
      <c r="N591" s="34"/>
      <c r="O591" s="36"/>
      <c r="P591" s="34"/>
      <c r="Q591" s="87"/>
      <c r="R591" s="34"/>
      <c r="S591" s="66"/>
      <c r="T591" s="12"/>
      <c r="U591" s="12"/>
      <c r="V591" s="12"/>
      <c r="W591" s="12"/>
      <c r="X591" s="12"/>
      <c r="Y591" s="12"/>
      <c r="Z591" s="67"/>
      <c r="AA591" s="12"/>
      <c r="AB591" s="12"/>
      <c r="AC591" s="67"/>
      <c r="AD591" s="12"/>
      <c r="AE591" s="12"/>
      <c r="AF591" s="12"/>
    </row>
    <row r="592" ht="15.75" customHeight="1">
      <c r="A592" s="34"/>
      <c r="B592" s="34"/>
      <c r="C592" s="34"/>
      <c r="D592" s="34"/>
      <c r="E592" s="34"/>
      <c r="F592" s="35"/>
      <c r="G592" s="34"/>
      <c r="H592" s="34"/>
      <c r="I592" s="34"/>
      <c r="J592" s="34"/>
      <c r="K592" s="34"/>
      <c r="L592" s="34"/>
      <c r="M592" s="34"/>
      <c r="N592" s="34"/>
      <c r="O592" s="36"/>
      <c r="P592" s="34"/>
      <c r="Q592" s="87"/>
      <c r="R592" s="34"/>
      <c r="S592" s="66"/>
      <c r="T592" s="12"/>
      <c r="U592" s="12"/>
      <c r="V592" s="12"/>
      <c r="W592" s="12"/>
      <c r="X592" s="12"/>
      <c r="Y592" s="12"/>
      <c r="Z592" s="67"/>
      <c r="AA592" s="12"/>
      <c r="AB592" s="12"/>
      <c r="AC592" s="67"/>
      <c r="AD592" s="12"/>
      <c r="AE592" s="12"/>
      <c r="AF592" s="12"/>
    </row>
    <row r="593" ht="15.75" customHeight="1">
      <c r="A593" s="34"/>
      <c r="B593" s="34"/>
      <c r="C593" s="34"/>
      <c r="D593" s="34"/>
      <c r="E593" s="34"/>
      <c r="F593" s="35"/>
      <c r="G593" s="34"/>
      <c r="H593" s="34"/>
      <c r="I593" s="34"/>
      <c r="J593" s="34"/>
      <c r="K593" s="34"/>
      <c r="L593" s="34"/>
      <c r="M593" s="34"/>
      <c r="N593" s="34"/>
      <c r="O593" s="36"/>
      <c r="P593" s="34"/>
      <c r="Q593" s="87"/>
      <c r="R593" s="34"/>
      <c r="S593" s="66"/>
      <c r="T593" s="12"/>
      <c r="U593" s="12"/>
      <c r="V593" s="12"/>
      <c r="W593" s="12"/>
      <c r="X593" s="12"/>
      <c r="Y593" s="12"/>
      <c r="Z593" s="67"/>
      <c r="AA593" s="12"/>
      <c r="AB593" s="12"/>
      <c r="AC593" s="67"/>
      <c r="AD593" s="12"/>
      <c r="AE593" s="12"/>
      <c r="AF593" s="12"/>
    </row>
    <row r="594" ht="15.75" customHeight="1">
      <c r="A594" s="34"/>
      <c r="B594" s="34"/>
      <c r="C594" s="34"/>
      <c r="D594" s="34"/>
      <c r="E594" s="34"/>
      <c r="F594" s="35"/>
      <c r="G594" s="34"/>
      <c r="H594" s="34"/>
      <c r="I594" s="34"/>
      <c r="J594" s="34"/>
      <c r="K594" s="34"/>
      <c r="L594" s="34"/>
      <c r="M594" s="34"/>
      <c r="N594" s="34"/>
      <c r="O594" s="36"/>
      <c r="P594" s="34"/>
      <c r="Q594" s="87"/>
      <c r="R594" s="34"/>
      <c r="S594" s="66"/>
      <c r="T594" s="12"/>
      <c r="U594" s="12"/>
      <c r="V594" s="12"/>
      <c r="W594" s="12"/>
      <c r="X594" s="12"/>
      <c r="Y594" s="12"/>
      <c r="Z594" s="67"/>
      <c r="AA594" s="12"/>
      <c r="AB594" s="12"/>
      <c r="AC594" s="67"/>
      <c r="AD594" s="12"/>
      <c r="AE594" s="12"/>
      <c r="AF594" s="12"/>
    </row>
    <row r="595" ht="15.75" customHeight="1">
      <c r="A595" s="34"/>
      <c r="B595" s="34"/>
      <c r="C595" s="34"/>
      <c r="D595" s="34"/>
      <c r="E595" s="34"/>
      <c r="F595" s="35"/>
      <c r="G595" s="34"/>
      <c r="H595" s="34"/>
      <c r="I595" s="34"/>
      <c r="J595" s="34"/>
      <c r="K595" s="34"/>
      <c r="L595" s="34"/>
      <c r="M595" s="34"/>
      <c r="N595" s="34"/>
      <c r="O595" s="36"/>
      <c r="P595" s="34"/>
      <c r="Q595" s="87"/>
      <c r="R595" s="34"/>
      <c r="S595" s="66"/>
      <c r="T595" s="12"/>
      <c r="U595" s="12"/>
      <c r="V595" s="12"/>
      <c r="W595" s="12"/>
      <c r="X595" s="12"/>
      <c r="Y595" s="12"/>
      <c r="Z595" s="67"/>
      <c r="AA595" s="12"/>
      <c r="AB595" s="12"/>
      <c r="AC595" s="67"/>
      <c r="AD595" s="12"/>
      <c r="AE595" s="12"/>
      <c r="AF595" s="12"/>
    </row>
    <row r="596" ht="15.75" customHeight="1">
      <c r="A596" s="34"/>
      <c r="B596" s="34"/>
      <c r="C596" s="34"/>
      <c r="D596" s="34"/>
      <c r="E596" s="34"/>
      <c r="F596" s="35"/>
      <c r="G596" s="34"/>
      <c r="H596" s="34"/>
      <c r="I596" s="34"/>
      <c r="J596" s="34"/>
      <c r="K596" s="34"/>
      <c r="L596" s="34"/>
      <c r="M596" s="34"/>
      <c r="N596" s="34"/>
      <c r="O596" s="36"/>
      <c r="P596" s="34"/>
      <c r="Q596" s="87"/>
      <c r="R596" s="34"/>
      <c r="S596" s="66"/>
      <c r="T596" s="12"/>
      <c r="U596" s="12"/>
      <c r="V596" s="12"/>
      <c r="W596" s="12"/>
      <c r="X596" s="12"/>
      <c r="Y596" s="12"/>
      <c r="Z596" s="67"/>
      <c r="AA596" s="12"/>
      <c r="AB596" s="12"/>
      <c r="AC596" s="67"/>
      <c r="AD596" s="12"/>
      <c r="AE596" s="12"/>
      <c r="AF596" s="12"/>
    </row>
    <row r="597" ht="15.75" customHeight="1">
      <c r="A597" s="34"/>
      <c r="B597" s="34"/>
      <c r="C597" s="34"/>
      <c r="D597" s="34"/>
      <c r="E597" s="34"/>
      <c r="F597" s="35"/>
      <c r="G597" s="34"/>
      <c r="H597" s="34"/>
      <c r="I597" s="34"/>
      <c r="J597" s="34"/>
      <c r="K597" s="34"/>
      <c r="L597" s="34"/>
      <c r="M597" s="34"/>
      <c r="N597" s="34"/>
      <c r="O597" s="36"/>
      <c r="P597" s="34"/>
      <c r="Q597" s="87"/>
      <c r="R597" s="34"/>
      <c r="S597" s="66"/>
      <c r="T597" s="12"/>
      <c r="U597" s="12"/>
      <c r="V597" s="12"/>
      <c r="W597" s="12"/>
      <c r="X597" s="12"/>
      <c r="Y597" s="12"/>
      <c r="Z597" s="67"/>
      <c r="AA597" s="12"/>
      <c r="AB597" s="12"/>
      <c r="AC597" s="67"/>
      <c r="AD597" s="12"/>
      <c r="AE597" s="12"/>
      <c r="AF597" s="12"/>
    </row>
    <row r="598" ht="15.75" customHeight="1">
      <c r="A598" s="34"/>
      <c r="B598" s="34"/>
      <c r="C598" s="34"/>
      <c r="D598" s="34"/>
      <c r="E598" s="34"/>
      <c r="F598" s="35"/>
      <c r="G598" s="34"/>
      <c r="H598" s="34"/>
      <c r="I598" s="34"/>
      <c r="J598" s="34"/>
      <c r="K598" s="34"/>
      <c r="L598" s="34"/>
      <c r="M598" s="34"/>
      <c r="N598" s="34"/>
      <c r="O598" s="36"/>
      <c r="P598" s="34"/>
      <c r="Q598" s="87"/>
      <c r="R598" s="34"/>
      <c r="S598" s="66"/>
      <c r="T598" s="12"/>
      <c r="U598" s="12"/>
      <c r="V598" s="12"/>
      <c r="W598" s="12"/>
      <c r="X598" s="12"/>
      <c r="Y598" s="12"/>
      <c r="Z598" s="67"/>
      <c r="AA598" s="12"/>
      <c r="AB598" s="12"/>
      <c r="AC598" s="67"/>
      <c r="AD598" s="12"/>
      <c r="AE598" s="12"/>
      <c r="AF598" s="12"/>
    </row>
    <row r="599" ht="15.75" customHeight="1">
      <c r="A599" s="34"/>
      <c r="B599" s="34"/>
      <c r="C599" s="34"/>
      <c r="D599" s="34"/>
      <c r="E599" s="34"/>
      <c r="F599" s="35"/>
      <c r="G599" s="34"/>
      <c r="H599" s="34"/>
      <c r="I599" s="34"/>
      <c r="J599" s="34"/>
      <c r="K599" s="34"/>
      <c r="L599" s="34"/>
      <c r="M599" s="34"/>
      <c r="N599" s="34"/>
      <c r="O599" s="36"/>
      <c r="P599" s="34"/>
      <c r="Q599" s="87"/>
      <c r="R599" s="34"/>
      <c r="S599" s="66"/>
      <c r="T599" s="12"/>
      <c r="U599" s="12"/>
      <c r="V599" s="12"/>
      <c r="W599" s="12"/>
      <c r="X599" s="12"/>
      <c r="Y599" s="12"/>
      <c r="Z599" s="67"/>
      <c r="AA599" s="12"/>
      <c r="AB599" s="12"/>
      <c r="AC599" s="67"/>
      <c r="AD599" s="12"/>
      <c r="AE599" s="12"/>
      <c r="AF599" s="12"/>
    </row>
    <row r="600" ht="15.75" customHeight="1">
      <c r="A600" s="34"/>
      <c r="B600" s="34"/>
      <c r="C600" s="34"/>
      <c r="D600" s="34"/>
      <c r="E600" s="34"/>
      <c r="F600" s="35"/>
      <c r="G600" s="34"/>
      <c r="H600" s="34"/>
      <c r="I600" s="34"/>
      <c r="J600" s="34"/>
      <c r="K600" s="34"/>
      <c r="L600" s="34"/>
      <c r="M600" s="34"/>
      <c r="N600" s="34"/>
      <c r="O600" s="36"/>
      <c r="P600" s="34"/>
      <c r="Q600" s="87"/>
      <c r="R600" s="34"/>
      <c r="S600" s="66"/>
      <c r="T600" s="12"/>
      <c r="U600" s="12"/>
      <c r="V600" s="12"/>
      <c r="W600" s="12"/>
      <c r="X600" s="12"/>
      <c r="Y600" s="12"/>
      <c r="Z600" s="67"/>
      <c r="AA600" s="12"/>
      <c r="AB600" s="12"/>
      <c r="AC600" s="67"/>
      <c r="AD600" s="12"/>
      <c r="AE600" s="12"/>
      <c r="AF600" s="12"/>
    </row>
    <row r="601" ht="15.75" customHeight="1">
      <c r="A601" s="34"/>
      <c r="B601" s="34"/>
      <c r="C601" s="34"/>
      <c r="D601" s="34"/>
      <c r="E601" s="34"/>
      <c r="F601" s="35"/>
      <c r="G601" s="34"/>
      <c r="H601" s="34"/>
      <c r="I601" s="34"/>
      <c r="J601" s="34"/>
      <c r="K601" s="34"/>
      <c r="L601" s="34"/>
      <c r="M601" s="34"/>
      <c r="N601" s="34"/>
      <c r="O601" s="36"/>
      <c r="P601" s="34"/>
      <c r="Q601" s="87"/>
      <c r="R601" s="34"/>
      <c r="S601" s="66"/>
      <c r="T601" s="12"/>
      <c r="U601" s="12"/>
      <c r="V601" s="12"/>
      <c r="W601" s="12"/>
      <c r="X601" s="12"/>
      <c r="Y601" s="12"/>
      <c r="Z601" s="67"/>
      <c r="AA601" s="12"/>
      <c r="AB601" s="12"/>
      <c r="AC601" s="67"/>
      <c r="AD601" s="12"/>
      <c r="AE601" s="12"/>
      <c r="AF601" s="12"/>
    </row>
    <row r="602" ht="15.75" customHeight="1">
      <c r="A602" s="34"/>
      <c r="B602" s="34"/>
      <c r="C602" s="34"/>
      <c r="D602" s="34"/>
      <c r="E602" s="34"/>
      <c r="F602" s="35"/>
      <c r="G602" s="34"/>
      <c r="H602" s="34"/>
      <c r="I602" s="34"/>
      <c r="J602" s="34"/>
      <c r="K602" s="34"/>
      <c r="L602" s="34"/>
      <c r="M602" s="34"/>
      <c r="N602" s="34"/>
      <c r="O602" s="36"/>
      <c r="P602" s="34"/>
      <c r="Q602" s="87"/>
      <c r="R602" s="34"/>
      <c r="S602" s="66"/>
      <c r="T602" s="12"/>
      <c r="U602" s="12"/>
      <c r="V602" s="12"/>
      <c r="W602" s="12"/>
      <c r="X602" s="12"/>
      <c r="Y602" s="12"/>
      <c r="Z602" s="67"/>
      <c r="AA602" s="12"/>
      <c r="AB602" s="12"/>
      <c r="AC602" s="67"/>
      <c r="AD602" s="12"/>
      <c r="AE602" s="12"/>
      <c r="AF602" s="12"/>
    </row>
    <row r="603" ht="15.75" customHeight="1">
      <c r="A603" s="34"/>
      <c r="B603" s="34"/>
      <c r="C603" s="34"/>
      <c r="D603" s="34"/>
      <c r="E603" s="34"/>
      <c r="F603" s="35"/>
      <c r="G603" s="34"/>
      <c r="H603" s="34"/>
      <c r="I603" s="34"/>
      <c r="J603" s="34"/>
      <c r="K603" s="34"/>
      <c r="L603" s="34"/>
      <c r="M603" s="34"/>
      <c r="N603" s="34"/>
      <c r="O603" s="36"/>
      <c r="P603" s="34"/>
      <c r="Q603" s="87"/>
      <c r="R603" s="34"/>
      <c r="S603" s="66"/>
      <c r="T603" s="12"/>
      <c r="U603" s="12"/>
      <c r="V603" s="12"/>
      <c r="W603" s="12"/>
      <c r="X603" s="12"/>
      <c r="Y603" s="12"/>
      <c r="Z603" s="67"/>
      <c r="AA603" s="12"/>
      <c r="AB603" s="12"/>
      <c r="AC603" s="67"/>
      <c r="AD603" s="12"/>
      <c r="AE603" s="12"/>
      <c r="AF603" s="12"/>
    </row>
    <row r="604" ht="15.75" customHeight="1">
      <c r="A604" s="34"/>
      <c r="B604" s="34"/>
      <c r="C604" s="34"/>
      <c r="D604" s="34"/>
      <c r="E604" s="34"/>
      <c r="F604" s="35"/>
      <c r="G604" s="34"/>
      <c r="H604" s="34"/>
      <c r="I604" s="34"/>
      <c r="J604" s="34"/>
      <c r="K604" s="34"/>
      <c r="L604" s="34"/>
      <c r="M604" s="34"/>
      <c r="N604" s="34"/>
      <c r="O604" s="36"/>
      <c r="P604" s="34"/>
      <c r="Q604" s="87"/>
      <c r="R604" s="34"/>
      <c r="S604" s="66"/>
      <c r="T604" s="12"/>
      <c r="U604" s="12"/>
      <c r="V604" s="12"/>
      <c r="W604" s="12"/>
      <c r="X604" s="12"/>
      <c r="Y604" s="12"/>
      <c r="Z604" s="67"/>
      <c r="AA604" s="12"/>
      <c r="AB604" s="12"/>
      <c r="AC604" s="67"/>
      <c r="AD604" s="12"/>
      <c r="AE604" s="12"/>
      <c r="AF604" s="12"/>
    </row>
    <row r="605" ht="15.75" customHeight="1">
      <c r="A605" s="34"/>
      <c r="B605" s="34"/>
      <c r="C605" s="34"/>
      <c r="D605" s="34"/>
      <c r="E605" s="34"/>
      <c r="F605" s="35"/>
      <c r="G605" s="34"/>
      <c r="H605" s="34"/>
      <c r="I605" s="34"/>
      <c r="J605" s="34"/>
      <c r="K605" s="34"/>
      <c r="L605" s="34"/>
      <c r="M605" s="34"/>
      <c r="N605" s="34"/>
      <c r="O605" s="36"/>
      <c r="P605" s="34"/>
      <c r="Q605" s="87"/>
      <c r="R605" s="34"/>
      <c r="S605" s="66"/>
      <c r="T605" s="12"/>
      <c r="U605" s="12"/>
      <c r="V605" s="12"/>
      <c r="W605" s="12"/>
      <c r="X605" s="12"/>
      <c r="Y605" s="12"/>
      <c r="Z605" s="67"/>
      <c r="AA605" s="12"/>
      <c r="AB605" s="12"/>
      <c r="AC605" s="67"/>
      <c r="AD605" s="12"/>
      <c r="AE605" s="12"/>
      <c r="AF605" s="12"/>
    </row>
    <row r="606" ht="15.75" customHeight="1">
      <c r="A606" s="34"/>
      <c r="B606" s="34"/>
      <c r="C606" s="34"/>
      <c r="D606" s="34"/>
      <c r="E606" s="34"/>
      <c r="F606" s="35"/>
      <c r="G606" s="34"/>
      <c r="H606" s="34"/>
      <c r="I606" s="34"/>
      <c r="J606" s="34"/>
      <c r="K606" s="34"/>
      <c r="L606" s="34"/>
      <c r="M606" s="34"/>
      <c r="N606" s="34"/>
      <c r="O606" s="36"/>
      <c r="P606" s="34"/>
      <c r="Q606" s="87"/>
      <c r="R606" s="34"/>
      <c r="S606" s="66"/>
      <c r="T606" s="12"/>
      <c r="U606" s="12"/>
      <c r="V606" s="12"/>
      <c r="W606" s="12"/>
      <c r="X606" s="12"/>
      <c r="Y606" s="12"/>
      <c r="Z606" s="67"/>
      <c r="AA606" s="12"/>
      <c r="AB606" s="12"/>
      <c r="AC606" s="67"/>
      <c r="AD606" s="12"/>
      <c r="AE606" s="12"/>
      <c r="AF606" s="12"/>
    </row>
    <row r="607" ht="15.75" customHeight="1">
      <c r="A607" s="34"/>
      <c r="B607" s="34"/>
      <c r="C607" s="34"/>
      <c r="D607" s="34"/>
      <c r="E607" s="34"/>
      <c r="F607" s="35"/>
      <c r="G607" s="34"/>
      <c r="H607" s="34"/>
      <c r="I607" s="34"/>
      <c r="J607" s="34"/>
      <c r="K607" s="34"/>
      <c r="L607" s="34"/>
      <c r="M607" s="34"/>
      <c r="N607" s="34"/>
      <c r="O607" s="36"/>
      <c r="P607" s="34"/>
      <c r="Q607" s="87"/>
      <c r="R607" s="34"/>
      <c r="S607" s="66"/>
      <c r="T607" s="12"/>
      <c r="U607" s="12"/>
      <c r="V607" s="12"/>
      <c r="W607" s="12"/>
      <c r="X607" s="12"/>
      <c r="Y607" s="12"/>
      <c r="Z607" s="67"/>
      <c r="AA607" s="12"/>
      <c r="AB607" s="12"/>
      <c r="AC607" s="67"/>
      <c r="AD607" s="12"/>
      <c r="AE607" s="12"/>
      <c r="AF607" s="12"/>
    </row>
    <row r="608" ht="15.75" customHeight="1">
      <c r="A608" s="34"/>
      <c r="B608" s="34"/>
      <c r="C608" s="34"/>
      <c r="D608" s="34"/>
      <c r="E608" s="34"/>
      <c r="F608" s="35"/>
      <c r="G608" s="34"/>
      <c r="H608" s="34"/>
      <c r="I608" s="34"/>
      <c r="J608" s="34"/>
      <c r="K608" s="34"/>
      <c r="L608" s="34"/>
      <c r="M608" s="34"/>
      <c r="N608" s="34"/>
      <c r="O608" s="36"/>
      <c r="P608" s="34"/>
      <c r="Q608" s="87"/>
      <c r="R608" s="34"/>
      <c r="S608" s="66"/>
      <c r="T608" s="12"/>
      <c r="U608" s="12"/>
      <c r="V608" s="12"/>
      <c r="W608" s="12"/>
      <c r="X608" s="12"/>
      <c r="Y608" s="12"/>
      <c r="Z608" s="67"/>
      <c r="AA608" s="12"/>
      <c r="AB608" s="12"/>
      <c r="AC608" s="67"/>
      <c r="AD608" s="12"/>
      <c r="AE608" s="12"/>
      <c r="AF608" s="12"/>
    </row>
    <row r="609" ht="15.75" customHeight="1">
      <c r="A609" s="34"/>
      <c r="B609" s="34"/>
      <c r="C609" s="34"/>
      <c r="D609" s="34"/>
      <c r="E609" s="34"/>
      <c r="F609" s="35"/>
      <c r="G609" s="34"/>
      <c r="H609" s="34"/>
      <c r="I609" s="34"/>
      <c r="J609" s="34"/>
      <c r="K609" s="34"/>
      <c r="L609" s="34"/>
      <c r="M609" s="34"/>
      <c r="N609" s="34"/>
      <c r="O609" s="36"/>
      <c r="P609" s="34"/>
      <c r="Q609" s="87"/>
      <c r="R609" s="34"/>
      <c r="S609" s="66"/>
      <c r="T609" s="12"/>
      <c r="U609" s="12"/>
      <c r="V609" s="12"/>
      <c r="W609" s="12"/>
      <c r="X609" s="12"/>
      <c r="Y609" s="12"/>
      <c r="Z609" s="67"/>
      <c r="AA609" s="12"/>
      <c r="AB609" s="12"/>
      <c r="AC609" s="67"/>
      <c r="AD609" s="12"/>
      <c r="AE609" s="12"/>
      <c r="AF609" s="12"/>
    </row>
    <row r="610" ht="15.75" customHeight="1">
      <c r="A610" s="34"/>
      <c r="B610" s="34"/>
      <c r="C610" s="34"/>
      <c r="D610" s="34"/>
      <c r="E610" s="34"/>
      <c r="F610" s="35"/>
      <c r="G610" s="34"/>
      <c r="H610" s="34"/>
      <c r="I610" s="34"/>
      <c r="J610" s="34"/>
      <c r="K610" s="34"/>
      <c r="L610" s="34"/>
      <c r="M610" s="34"/>
      <c r="N610" s="34"/>
      <c r="O610" s="36"/>
      <c r="P610" s="34"/>
      <c r="Q610" s="87"/>
      <c r="R610" s="34"/>
      <c r="S610" s="66"/>
      <c r="T610" s="12"/>
      <c r="U610" s="12"/>
      <c r="V610" s="12"/>
      <c r="W610" s="12"/>
      <c r="X610" s="12"/>
      <c r="Y610" s="12"/>
      <c r="Z610" s="67"/>
      <c r="AA610" s="12"/>
      <c r="AB610" s="12"/>
      <c r="AC610" s="67"/>
      <c r="AD610" s="12"/>
      <c r="AE610" s="12"/>
      <c r="AF610" s="12"/>
    </row>
    <row r="611" ht="15.75" customHeight="1">
      <c r="A611" s="34"/>
      <c r="B611" s="34"/>
      <c r="C611" s="34"/>
      <c r="D611" s="34"/>
      <c r="E611" s="34"/>
      <c r="F611" s="35"/>
      <c r="G611" s="34"/>
      <c r="H611" s="34"/>
      <c r="I611" s="34"/>
      <c r="J611" s="34"/>
      <c r="K611" s="34"/>
      <c r="L611" s="34"/>
      <c r="M611" s="34"/>
      <c r="N611" s="34"/>
      <c r="O611" s="36"/>
      <c r="P611" s="34"/>
      <c r="Q611" s="87"/>
      <c r="R611" s="34"/>
      <c r="S611" s="66"/>
      <c r="T611" s="12"/>
      <c r="U611" s="12"/>
      <c r="V611" s="12"/>
      <c r="W611" s="12"/>
      <c r="X611" s="12"/>
      <c r="Y611" s="12"/>
      <c r="Z611" s="67"/>
      <c r="AA611" s="12"/>
      <c r="AB611" s="12"/>
      <c r="AC611" s="67"/>
      <c r="AD611" s="12"/>
      <c r="AE611" s="12"/>
      <c r="AF611" s="12"/>
    </row>
    <row r="612" ht="15.75" customHeight="1">
      <c r="A612" s="34"/>
      <c r="B612" s="34"/>
      <c r="C612" s="34"/>
      <c r="D612" s="34"/>
      <c r="E612" s="34"/>
      <c r="F612" s="35"/>
      <c r="G612" s="34"/>
      <c r="H612" s="34"/>
      <c r="I612" s="34"/>
      <c r="J612" s="34"/>
      <c r="K612" s="34"/>
      <c r="L612" s="34"/>
      <c r="M612" s="34"/>
      <c r="N612" s="34"/>
      <c r="O612" s="36"/>
      <c r="P612" s="34"/>
      <c r="Q612" s="87"/>
      <c r="R612" s="34"/>
      <c r="S612" s="66"/>
      <c r="T612" s="12"/>
      <c r="U612" s="12"/>
      <c r="V612" s="12"/>
      <c r="W612" s="12"/>
      <c r="X612" s="12"/>
      <c r="Y612" s="12"/>
      <c r="Z612" s="67"/>
      <c r="AA612" s="12"/>
      <c r="AB612" s="12"/>
      <c r="AC612" s="67"/>
      <c r="AD612" s="12"/>
      <c r="AE612" s="12"/>
      <c r="AF612" s="12"/>
    </row>
    <row r="613" ht="15.75" customHeight="1">
      <c r="A613" s="34"/>
      <c r="B613" s="34"/>
      <c r="C613" s="34"/>
      <c r="D613" s="34"/>
      <c r="E613" s="34"/>
      <c r="F613" s="35"/>
      <c r="G613" s="34"/>
      <c r="H613" s="34"/>
      <c r="I613" s="34"/>
      <c r="J613" s="34"/>
      <c r="K613" s="34"/>
      <c r="L613" s="34"/>
      <c r="M613" s="34"/>
      <c r="N613" s="34"/>
      <c r="O613" s="36"/>
      <c r="P613" s="34"/>
      <c r="Q613" s="87"/>
      <c r="R613" s="34"/>
      <c r="S613" s="66"/>
      <c r="T613" s="12"/>
      <c r="U613" s="12"/>
      <c r="V613" s="12"/>
      <c r="W613" s="12"/>
      <c r="X613" s="12"/>
      <c r="Y613" s="12"/>
      <c r="Z613" s="67"/>
      <c r="AA613" s="12"/>
      <c r="AB613" s="12"/>
      <c r="AC613" s="67"/>
      <c r="AD613" s="12"/>
      <c r="AE613" s="12"/>
      <c r="AF613" s="12"/>
    </row>
    <row r="614" ht="15.75" customHeight="1">
      <c r="A614" s="34"/>
      <c r="B614" s="34"/>
      <c r="C614" s="34"/>
      <c r="D614" s="34"/>
      <c r="E614" s="34"/>
      <c r="F614" s="35"/>
      <c r="G614" s="34"/>
      <c r="H614" s="34"/>
      <c r="I614" s="34"/>
      <c r="J614" s="34"/>
      <c r="K614" s="34"/>
      <c r="L614" s="34"/>
      <c r="M614" s="34"/>
      <c r="N614" s="34"/>
      <c r="O614" s="36"/>
      <c r="P614" s="34"/>
      <c r="Q614" s="87"/>
      <c r="R614" s="34"/>
      <c r="S614" s="66"/>
      <c r="T614" s="12"/>
      <c r="U614" s="12"/>
      <c r="V614" s="12"/>
      <c r="W614" s="12"/>
      <c r="X614" s="12"/>
      <c r="Y614" s="12"/>
      <c r="Z614" s="67"/>
      <c r="AA614" s="12"/>
      <c r="AB614" s="12"/>
      <c r="AC614" s="67"/>
      <c r="AD614" s="12"/>
      <c r="AE614" s="12"/>
      <c r="AF614" s="12"/>
    </row>
    <row r="615" ht="15.75" customHeight="1">
      <c r="A615" s="34"/>
      <c r="B615" s="34"/>
      <c r="C615" s="34"/>
      <c r="D615" s="34"/>
      <c r="E615" s="34"/>
      <c r="F615" s="35"/>
      <c r="G615" s="34"/>
      <c r="H615" s="34"/>
      <c r="I615" s="34"/>
      <c r="J615" s="34"/>
      <c r="K615" s="34"/>
      <c r="L615" s="34"/>
      <c r="M615" s="34"/>
      <c r="N615" s="34"/>
      <c r="O615" s="36"/>
      <c r="P615" s="34"/>
      <c r="Q615" s="87"/>
      <c r="R615" s="34"/>
      <c r="S615" s="66"/>
      <c r="T615" s="12"/>
      <c r="U615" s="12"/>
      <c r="V615" s="12"/>
      <c r="W615" s="12"/>
      <c r="X615" s="12"/>
      <c r="Y615" s="12"/>
      <c r="Z615" s="67"/>
      <c r="AA615" s="12"/>
      <c r="AB615" s="12"/>
      <c r="AC615" s="67"/>
      <c r="AD615" s="12"/>
      <c r="AE615" s="12"/>
      <c r="AF615" s="12"/>
    </row>
    <row r="616" ht="15.75" customHeight="1">
      <c r="A616" s="34"/>
      <c r="B616" s="34"/>
      <c r="C616" s="34"/>
      <c r="D616" s="34"/>
      <c r="E616" s="34"/>
      <c r="F616" s="35"/>
      <c r="G616" s="34"/>
      <c r="H616" s="34"/>
      <c r="I616" s="34"/>
      <c r="J616" s="34"/>
      <c r="K616" s="34"/>
      <c r="L616" s="34"/>
      <c r="M616" s="34"/>
      <c r="N616" s="34"/>
      <c r="O616" s="36"/>
      <c r="P616" s="34"/>
      <c r="Q616" s="87"/>
      <c r="R616" s="34"/>
      <c r="S616" s="66"/>
      <c r="T616" s="12"/>
      <c r="U616" s="12"/>
      <c r="V616" s="12"/>
      <c r="W616" s="12"/>
      <c r="X616" s="12"/>
      <c r="Y616" s="12"/>
      <c r="Z616" s="67"/>
      <c r="AA616" s="12"/>
      <c r="AB616" s="12"/>
      <c r="AC616" s="67"/>
      <c r="AD616" s="12"/>
      <c r="AE616" s="12"/>
      <c r="AF616" s="12"/>
    </row>
    <row r="617" ht="15.75" customHeight="1">
      <c r="A617" s="34"/>
      <c r="B617" s="34"/>
      <c r="C617" s="34"/>
      <c r="D617" s="34"/>
      <c r="E617" s="34"/>
      <c r="F617" s="35"/>
      <c r="G617" s="34"/>
      <c r="H617" s="34"/>
      <c r="I617" s="34"/>
      <c r="J617" s="34"/>
      <c r="K617" s="34"/>
      <c r="L617" s="34"/>
      <c r="M617" s="34"/>
      <c r="N617" s="34"/>
      <c r="O617" s="36"/>
      <c r="P617" s="34"/>
      <c r="Q617" s="87"/>
      <c r="R617" s="34"/>
      <c r="S617" s="66"/>
      <c r="T617" s="12"/>
      <c r="U617" s="12"/>
      <c r="V617" s="12"/>
      <c r="W617" s="12"/>
      <c r="X617" s="12"/>
      <c r="Y617" s="12"/>
      <c r="Z617" s="67"/>
      <c r="AA617" s="12"/>
      <c r="AB617" s="12"/>
      <c r="AC617" s="67"/>
      <c r="AD617" s="12"/>
      <c r="AE617" s="12"/>
      <c r="AF617" s="12"/>
    </row>
    <row r="618" ht="15.75" customHeight="1">
      <c r="A618" s="34"/>
      <c r="B618" s="34"/>
      <c r="C618" s="34"/>
      <c r="D618" s="34"/>
      <c r="E618" s="34"/>
      <c r="F618" s="35"/>
      <c r="G618" s="34"/>
      <c r="H618" s="34"/>
      <c r="I618" s="34"/>
      <c r="J618" s="34"/>
      <c r="K618" s="34"/>
      <c r="L618" s="34"/>
      <c r="M618" s="34"/>
      <c r="N618" s="34"/>
      <c r="O618" s="36"/>
      <c r="P618" s="34"/>
      <c r="Q618" s="87"/>
      <c r="R618" s="34"/>
      <c r="S618" s="66"/>
      <c r="T618" s="12"/>
      <c r="U618" s="12"/>
      <c r="V618" s="12"/>
      <c r="W618" s="12"/>
      <c r="X618" s="12"/>
      <c r="Y618" s="12"/>
      <c r="Z618" s="67"/>
      <c r="AA618" s="12"/>
      <c r="AB618" s="12"/>
      <c r="AC618" s="67"/>
      <c r="AD618" s="12"/>
      <c r="AE618" s="12"/>
      <c r="AF618" s="12"/>
    </row>
    <row r="619" ht="15.75" customHeight="1">
      <c r="A619" s="34"/>
      <c r="B619" s="34"/>
      <c r="C619" s="34"/>
      <c r="D619" s="34"/>
      <c r="E619" s="34"/>
      <c r="F619" s="35"/>
      <c r="G619" s="34"/>
      <c r="H619" s="34"/>
      <c r="I619" s="34"/>
      <c r="J619" s="34"/>
      <c r="K619" s="34"/>
      <c r="L619" s="34"/>
      <c r="M619" s="34"/>
      <c r="N619" s="34"/>
      <c r="O619" s="36"/>
      <c r="P619" s="34"/>
      <c r="Q619" s="87"/>
      <c r="R619" s="34"/>
      <c r="S619" s="66"/>
      <c r="T619" s="12"/>
      <c r="U619" s="12"/>
      <c r="V619" s="12"/>
      <c r="W619" s="12"/>
      <c r="X619" s="12"/>
      <c r="Y619" s="12"/>
      <c r="Z619" s="67"/>
      <c r="AA619" s="12"/>
      <c r="AB619" s="12"/>
      <c r="AC619" s="67"/>
      <c r="AD619" s="12"/>
      <c r="AE619" s="12"/>
      <c r="AF619" s="12"/>
    </row>
    <row r="620" ht="15.75" customHeight="1">
      <c r="A620" s="34"/>
      <c r="B620" s="34"/>
      <c r="C620" s="34"/>
      <c r="D620" s="34"/>
      <c r="E620" s="34"/>
      <c r="F620" s="35"/>
      <c r="G620" s="34"/>
      <c r="H620" s="34"/>
      <c r="I620" s="34"/>
      <c r="J620" s="34"/>
      <c r="K620" s="34"/>
      <c r="L620" s="34"/>
      <c r="M620" s="34"/>
      <c r="N620" s="34"/>
      <c r="O620" s="36"/>
      <c r="P620" s="34"/>
      <c r="Q620" s="87"/>
      <c r="R620" s="34"/>
      <c r="S620" s="66"/>
      <c r="T620" s="12"/>
      <c r="U620" s="12"/>
      <c r="V620" s="12"/>
      <c r="W620" s="12"/>
      <c r="X620" s="12"/>
      <c r="Y620" s="12"/>
      <c r="Z620" s="67"/>
      <c r="AA620" s="12"/>
      <c r="AB620" s="12"/>
      <c r="AC620" s="67"/>
      <c r="AD620" s="12"/>
      <c r="AE620" s="12"/>
      <c r="AF620" s="12"/>
    </row>
    <row r="621" ht="15.75" customHeight="1">
      <c r="A621" s="34"/>
      <c r="B621" s="34"/>
      <c r="C621" s="34"/>
      <c r="D621" s="34"/>
      <c r="E621" s="34"/>
      <c r="F621" s="35"/>
      <c r="G621" s="34"/>
      <c r="H621" s="34"/>
      <c r="I621" s="34"/>
      <c r="J621" s="34"/>
      <c r="K621" s="34"/>
      <c r="L621" s="34"/>
      <c r="M621" s="34"/>
      <c r="N621" s="34"/>
      <c r="O621" s="36"/>
      <c r="P621" s="34"/>
      <c r="Q621" s="87"/>
      <c r="R621" s="34"/>
      <c r="S621" s="66"/>
      <c r="T621" s="12"/>
      <c r="U621" s="12"/>
      <c r="V621" s="12"/>
      <c r="W621" s="12"/>
      <c r="X621" s="12"/>
      <c r="Y621" s="12"/>
      <c r="Z621" s="67"/>
      <c r="AA621" s="12"/>
      <c r="AB621" s="12"/>
      <c r="AC621" s="67"/>
      <c r="AD621" s="12"/>
      <c r="AE621" s="12"/>
      <c r="AF621" s="12"/>
    </row>
    <row r="622" ht="15.75" customHeight="1">
      <c r="A622" s="34"/>
      <c r="B622" s="34"/>
      <c r="C622" s="34"/>
      <c r="D622" s="34"/>
      <c r="E622" s="34"/>
      <c r="F622" s="35"/>
      <c r="G622" s="34"/>
      <c r="H622" s="34"/>
      <c r="I622" s="34"/>
      <c r="J622" s="34"/>
      <c r="K622" s="34"/>
      <c r="L622" s="34"/>
      <c r="M622" s="34"/>
      <c r="N622" s="34"/>
      <c r="O622" s="36"/>
      <c r="P622" s="34"/>
      <c r="Q622" s="87"/>
      <c r="R622" s="34"/>
      <c r="S622" s="66"/>
      <c r="T622" s="12"/>
      <c r="U622" s="12"/>
      <c r="V622" s="12"/>
      <c r="W622" s="12"/>
      <c r="X622" s="12"/>
      <c r="Y622" s="12"/>
      <c r="Z622" s="67"/>
      <c r="AA622" s="12"/>
      <c r="AB622" s="12"/>
      <c r="AC622" s="67"/>
      <c r="AD622" s="12"/>
      <c r="AE622" s="12"/>
      <c r="AF622" s="12"/>
    </row>
    <row r="623" ht="15.75" customHeight="1">
      <c r="A623" s="34"/>
      <c r="B623" s="34"/>
      <c r="C623" s="34"/>
      <c r="D623" s="34"/>
      <c r="E623" s="34"/>
      <c r="F623" s="35"/>
      <c r="G623" s="34"/>
      <c r="H623" s="34"/>
      <c r="I623" s="34"/>
      <c r="J623" s="34"/>
      <c r="K623" s="34"/>
      <c r="L623" s="34"/>
      <c r="M623" s="34"/>
      <c r="N623" s="34"/>
      <c r="O623" s="36"/>
      <c r="P623" s="34"/>
      <c r="Q623" s="87"/>
      <c r="R623" s="34"/>
      <c r="S623" s="66"/>
      <c r="T623" s="12"/>
      <c r="U623" s="12"/>
      <c r="V623" s="12"/>
      <c r="W623" s="12"/>
      <c r="X623" s="12"/>
      <c r="Y623" s="12"/>
      <c r="Z623" s="67"/>
      <c r="AA623" s="12"/>
      <c r="AB623" s="12"/>
      <c r="AC623" s="67"/>
      <c r="AD623" s="12"/>
      <c r="AE623" s="12"/>
      <c r="AF623" s="12"/>
    </row>
    <row r="624" ht="15.75" customHeight="1">
      <c r="A624" s="34"/>
      <c r="B624" s="34"/>
      <c r="C624" s="34"/>
      <c r="D624" s="34"/>
      <c r="E624" s="34"/>
      <c r="F624" s="35"/>
      <c r="G624" s="34"/>
      <c r="H624" s="34"/>
      <c r="I624" s="34"/>
      <c r="J624" s="34"/>
      <c r="K624" s="34"/>
      <c r="L624" s="34"/>
      <c r="M624" s="34"/>
      <c r="N624" s="34"/>
      <c r="O624" s="36"/>
      <c r="P624" s="34"/>
      <c r="Q624" s="87"/>
      <c r="R624" s="34"/>
      <c r="S624" s="66"/>
      <c r="T624" s="12"/>
      <c r="U624" s="12"/>
      <c r="V624" s="12"/>
      <c r="W624" s="12"/>
      <c r="X624" s="12"/>
      <c r="Y624" s="12"/>
      <c r="Z624" s="67"/>
      <c r="AA624" s="12"/>
      <c r="AB624" s="12"/>
      <c r="AC624" s="67"/>
      <c r="AD624" s="12"/>
      <c r="AE624" s="12"/>
      <c r="AF624" s="12"/>
    </row>
    <row r="625" ht="15.75" customHeight="1">
      <c r="A625" s="34"/>
      <c r="B625" s="34"/>
      <c r="C625" s="34"/>
      <c r="D625" s="34"/>
      <c r="E625" s="34"/>
      <c r="F625" s="35"/>
      <c r="G625" s="34"/>
      <c r="H625" s="34"/>
      <c r="I625" s="34"/>
      <c r="J625" s="34"/>
      <c r="K625" s="34"/>
      <c r="L625" s="34"/>
      <c r="M625" s="34"/>
      <c r="N625" s="34"/>
      <c r="O625" s="36"/>
      <c r="P625" s="34"/>
      <c r="Q625" s="87"/>
      <c r="R625" s="34"/>
      <c r="S625" s="66"/>
      <c r="T625" s="12"/>
      <c r="U625" s="12"/>
      <c r="V625" s="12"/>
      <c r="W625" s="12"/>
      <c r="X625" s="12"/>
      <c r="Y625" s="12"/>
      <c r="Z625" s="67"/>
      <c r="AA625" s="12"/>
      <c r="AB625" s="12"/>
      <c r="AC625" s="67"/>
      <c r="AD625" s="12"/>
      <c r="AE625" s="12"/>
      <c r="AF625" s="12"/>
    </row>
    <row r="626" ht="15.75" customHeight="1">
      <c r="A626" s="34"/>
      <c r="B626" s="34"/>
      <c r="C626" s="34"/>
      <c r="D626" s="34"/>
      <c r="E626" s="34"/>
      <c r="F626" s="35"/>
      <c r="G626" s="34"/>
      <c r="H626" s="34"/>
      <c r="I626" s="34"/>
      <c r="J626" s="34"/>
      <c r="K626" s="34"/>
      <c r="L626" s="34"/>
      <c r="M626" s="34"/>
      <c r="N626" s="34"/>
      <c r="O626" s="36"/>
      <c r="P626" s="34"/>
      <c r="Q626" s="87"/>
      <c r="R626" s="34"/>
      <c r="S626" s="66"/>
      <c r="T626" s="12"/>
      <c r="U626" s="12"/>
      <c r="V626" s="12"/>
      <c r="W626" s="12"/>
      <c r="X626" s="12"/>
      <c r="Y626" s="12"/>
      <c r="Z626" s="67"/>
      <c r="AA626" s="12"/>
      <c r="AB626" s="12"/>
      <c r="AC626" s="67"/>
      <c r="AD626" s="12"/>
      <c r="AE626" s="12"/>
      <c r="AF626" s="12"/>
    </row>
    <row r="627" ht="15.75" customHeight="1">
      <c r="A627" s="34"/>
      <c r="B627" s="34"/>
      <c r="C627" s="34"/>
      <c r="D627" s="34"/>
      <c r="E627" s="34"/>
      <c r="F627" s="35"/>
      <c r="G627" s="34"/>
      <c r="H627" s="34"/>
      <c r="I627" s="34"/>
      <c r="J627" s="34"/>
      <c r="K627" s="34"/>
      <c r="L627" s="34"/>
      <c r="M627" s="34"/>
      <c r="N627" s="34"/>
      <c r="O627" s="36"/>
      <c r="P627" s="34"/>
      <c r="Q627" s="87"/>
      <c r="R627" s="34"/>
      <c r="S627" s="66"/>
      <c r="T627" s="12"/>
      <c r="U627" s="12"/>
      <c r="V627" s="12"/>
      <c r="W627" s="12"/>
      <c r="X627" s="12"/>
      <c r="Y627" s="12"/>
      <c r="Z627" s="67"/>
      <c r="AA627" s="12"/>
      <c r="AB627" s="12"/>
      <c r="AC627" s="67"/>
      <c r="AD627" s="12"/>
      <c r="AE627" s="12"/>
      <c r="AF627" s="12"/>
    </row>
    <row r="628" ht="15.75" customHeight="1">
      <c r="A628" s="34"/>
      <c r="B628" s="34"/>
      <c r="C628" s="34"/>
      <c r="D628" s="34"/>
      <c r="E628" s="34"/>
      <c r="F628" s="35"/>
      <c r="G628" s="34"/>
      <c r="H628" s="34"/>
      <c r="I628" s="34"/>
      <c r="J628" s="34"/>
      <c r="K628" s="34"/>
      <c r="L628" s="34"/>
      <c r="M628" s="34"/>
      <c r="N628" s="34"/>
      <c r="O628" s="36"/>
      <c r="P628" s="34"/>
      <c r="Q628" s="87"/>
      <c r="R628" s="34"/>
      <c r="S628" s="66"/>
      <c r="T628" s="12"/>
      <c r="U628" s="12"/>
      <c r="V628" s="12"/>
      <c r="W628" s="12"/>
      <c r="X628" s="12"/>
      <c r="Y628" s="12"/>
      <c r="Z628" s="67"/>
      <c r="AA628" s="12"/>
      <c r="AB628" s="12"/>
      <c r="AC628" s="67"/>
      <c r="AD628" s="12"/>
      <c r="AE628" s="12"/>
      <c r="AF628" s="12"/>
    </row>
    <row r="629" ht="15.75" customHeight="1">
      <c r="A629" s="34"/>
      <c r="B629" s="34"/>
      <c r="C629" s="34"/>
      <c r="D629" s="34"/>
      <c r="E629" s="34"/>
      <c r="F629" s="35"/>
      <c r="G629" s="34"/>
      <c r="H629" s="34"/>
      <c r="I629" s="34"/>
      <c r="J629" s="34"/>
      <c r="K629" s="34"/>
      <c r="L629" s="34"/>
      <c r="M629" s="34"/>
      <c r="N629" s="34"/>
      <c r="O629" s="36"/>
      <c r="P629" s="34"/>
      <c r="Q629" s="87"/>
      <c r="R629" s="34"/>
      <c r="S629" s="66"/>
      <c r="T629" s="12"/>
      <c r="U629" s="12"/>
      <c r="V629" s="12"/>
      <c r="W629" s="12"/>
      <c r="X629" s="12"/>
      <c r="Y629" s="12"/>
      <c r="Z629" s="67"/>
      <c r="AA629" s="12"/>
      <c r="AB629" s="12"/>
      <c r="AC629" s="67"/>
      <c r="AD629" s="12"/>
      <c r="AE629" s="12"/>
      <c r="AF629" s="12"/>
    </row>
    <row r="630" ht="15.75" customHeight="1">
      <c r="A630" s="34"/>
      <c r="B630" s="34"/>
      <c r="C630" s="34"/>
      <c r="D630" s="34"/>
      <c r="E630" s="34"/>
      <c r="F630" s="35"/>
      <c r="G630" s="34"/>
      <c r="H630" s="34"/>
      <c r="I630" s="34"/>
      <c r="J630" s="34"/>
      <c r="K630" s="34"/>
      <c r="L630" s="34"/>
      <c r="M630" s="34"/>
      <c r="N630" s="34"/>
      <c r="O630" s="36"/>
      <c r="P630" s="34"/>
      <c r="Q630" s="87"/>
      <c r="R630" s="34"/>
      <c r="S630" s="66"/>
      <c r="T630" s="12"/>
      <c r="U630" s="12"/>
      <c r="V630" s="12"/>
      <c r="W630" s="12"/>
      <c r="X630" s="12"/>
      <c r="Y630" s="12"/>
      <c r="Z630" s="67"/>
      <c r="AA630" s="12"/>
      <c r="AB630" s="12"/>
      <c r="AC630" s="67"/>
      <c r="AD630" s="12"/>
      <c r="AE630" s="12"/>
      <c r="AF630" s="12"/>
    </row>
    <row r="631" ht="15.75" customHeight="1">
      <c r="A631" s="34"/>
      <c r="B631" s="34"/>
      <c r="C631" s="34"/>
      <c r="D631" s="34"/>
      <c r="E631" s="34"/>
      <c r="F631" s="35"/>
      <c r="G631" s="34"/>
      <c r="H631" s="34"/>
      <c r="I631" s="34"/>
      <c r="J631" s="34"/>
      <c r="K631" s="34"/>
      <c r="L631" s="34"/>
      <c r="M631" s="34"/>
      <c r="N631" s="34"/>
      <c r="O631" s="36"/>
      <c r="P631" s="34"/>
      <c r="Q631" s="87"/>
      <c r="R631" s="34"/>
      <c r="S631" s="66"/>
      <c r="T631" s="12"/>
      <c r="U631" s="12"/>
      <c r="V631" s="12"/>
      <c r="W631" s="12"/>
      <c r="X631" s="12"/>
      <c r="Y631" s="12"/>
      <c r="Z631" s="67"/>
      <c r="AA631" s="12"/>
      <c r="AB631" s="12"/>
      <c r="AC631" s="67"/>
      <c r="AD631" s="12"/>
      <c r="AE631" s="12"/>
      <c r="AF631" s="12"/>
    </row>
    <row r="632" ht="15.75" customHeight="1">
      <c r="A632" s="34"/>
      <c r="B632" s="34"/>
      <c r="C632" s="34"/>
      <c r="D632" s="34"/>
      <c r="E632" s="34"/>
      <c r="F632" s="35"/>
      <c r="G632" s="34"/>
      <c r="H632" s="34"/>
      <c r="I632" s="34"/>
      <c r="J632" s="34"/>
      <c r="K632" s="34"/>
      <c r="L632" s="34"/>
      <c r="M632" s="34"/>
      <c r="N632" s="34"/>
      <c r="O632" s="36"/>
      <c r="P632" s="34"/>
      <c r="Q632" s="87"/>
      <c r="R632" s="34"/>
      <c r="S632" s="66"/>
      <c r="T632" s="12"/>
      <c r="U632" s="12"/>
      <c r="V632" s="12"/>
      <c r="W632" s="12"/>
      <c r="X632" s="12"/>
      <c r="Y632" s="12"/>
      <c r="Z632" s="67"/>
      <c r="AA632" s="12"/>
      <c r="AB632" s="12"/>
      <c r="AC632" s="67"/>
      <c r="AD632" s="12"/>
      <c r="AE632" s="12"/>
      <c r="AF632" s="12"/>
    </row>
    <row r="633" ht="15.75" customHeight="1">
      <c r="A633" s="34"/>
      <c r="B633" s="34"/>
      <c r="C633" s="34"/>
      <c r="D633" s="34"/>
      <c r="E633" s="34"/>
      <c r="F633" s="35"/>
      <c r="G633" s="34"/>
      <c r="H633" s="34"/>
      <c r="I633" s="34"/>
      <c r="J633" s="34"/>
      <c r="K633" s="34"/>
      <c r="L633" s="34"/>
      <c r="M633" s="34"/>
      <c r="N633" s="34"/>
      <c r="O633" s="36"/>
      <c r="P633" s="34"/>
      <c r="Q633" s="87"/>
      <c r="R633" s="34"/>
      <c r="S633" s="66"/>
      <c r="T633" s="12"/>
      <c r="U633" s="12"/>
      <c r="V633" s="12"/>
      <c r="W633" s="12"/>
      <c r="X633" s="12"/>
      <c r="Y633" s="12"/>
      <c r="Z633" s="67"/>
      <c r="AA633" s="12"/>
      <c r="AB633" s="12"/>
      <c r="AC633" s="67"/>
      <c r="AD633" s="12"/>
      <c r="AE633" s="12"/>
      <c r="AF633" s="12"/>
    </row>
    <row r="634" ht="15.75" customHeight="1">
      <c r="A634" s="34"/>
      <c r="B634" s="34"/>
      <c r="C634" s="34"/>
      <c r="D634" s="34"/>
      <c r="E634" s="34"/>
      <c r="F634" s="35"/>
      <c r="G634" s="34"/>
      <c r="H634" s="34"/>
      <c r="I634" s="34"/>
      <c r="J634" s="34"/>
      <c r="K634" s="34"/>
      <c r="L634" s="34"/>
      <c r="M634" s="34"/>
      <c r="N634" s="34"/>
      <c r="O634" s="36"/>
      <c r="P634" s="34"/>
      <c r="Q634" s="87"/>
      <c r="R634" s="34"/>
      <c r="S634" s="66"/>
      <c r="T634" s="12"/>
      <c r="U634" s="12"/>
      <c r="V634" s="12"/>
      <c r="W634" s="12"/>
      <c r="X634" s="12"/>
      <c r="Y634" s="12"/>
      <c r="Z634" s="67"/>
      <c r="AA634" s="12"/>
      <c r="AB634" s="12"/>
      <c r="AC634" s="67"/>
      <c r="AD634" s="12"/>
      <c r="AE634" s="12"/>
      <c r="AF634" s="12"/>
    </row>
    <row r="635" ht="15.75" customHeight="1">
      <c r="A635" s="34"/>
      <c r="B635" s="34"/>
      <c r="C635" s="34"/>
      <c r="D635" s="34"/>
      <c r="E635" s="34"/>
      <c r="F635" s="35"/>
      <c r="G635" s="34"/>
      <c r="H635" s="34"/>
      <c r="I635" s="34"/>
      <c r="J635" s="34"/>
      <c r="K635" s="34"/>
      <c r="L635" s="34"/>
      <c r="M635" s="34"/>
      <c r="N635" s="34"/>
      <c r="O635" s="36"/>
      <c r="P635" s="34"/>
      <c r="Q635" s="87"/>
      <c r="R635" s="34"/>
      <c r="S635" s="66"/>
      <c r="T635" s="12"/>
      <c r="U635" s="12"/>
      <c r="V635" s="12"/>
      <c r="W635" s="12"/>
      <c r="X635" s="12"/>
      <c r="Y635" s="12"/>
      <c r="Z635" s="67"/>
      <c r="AA635" s="12"/>
      <c r="AB635" s="12"/>
      <c r="AC635" s="67"/>
      <c r="AD635" s="12"/>
      <c r="AE635" s="12"/>
      <c r="AF635" s="12"/>
    </row>
    <row r="636" ht="15.75" customHeight="1">
      <c r="A636" s="34"/>
      <c r="B636" s="34"/>
      <c r="C636" s="34"/>
      <c r="D636" s="34"/>
      <c r="E636" s="34"/>
      <c r="F636" s="35"/>
      <c r="G636" s="34"/>
      <c r="H636" s="34"/>
      <c r="I636" s="34"/>
      <c r="J636" s="34"/>
      <c r="K636" s="34"/>
      <c r="L636" s="34"/>
      <c r="M636" s="34"/>
      <c r="N636" s="34"/>
      <c r="O636" s="36"/>
      <c r="P636" s="34"/>
      <c r="Q636" s="87"/>
      <c r="R636" s="34"/>
      <c r="S636" s="66"/>
      <c r="T636" s="12"/>
      <c r="U636" s="12"/>
      <c r="V636" s="12"/>
      <c r="W636" s="12"/>
      <c r="X636" s="12"/>
      <c r="Y636" s="12"/>
      <c r="Z636" s="67"/>
      <c r="AA636" s="12"/>
      <c r="AB636" s="12"/>
      <c r="AC636" s="67"/>
      <c r="AD636" s="12"/>
      <c r="AE636" s="12"/>
      <c r="AF636" s="12"/>
    </row>
    <row r="637" ht="15.75" customHeight="1">
      <c r="A637" s="34"/>
      <c r="B637" s="34"/>
      <c r="C637" s="34"/>
      <c r="D637" s="34"/>
      <c r="E637" s="34"/>
      <c r="F637" s="35"/>
      <c r="G637" s="34"/>
      <c r="H637" s="34"/>
      <c r="I637" s="34"/>
      <c r="J637" s="34"/>
      <c r="K637" s="34"/>
      <c r="L637" s="34"/>
      <c r="M637" s="34"/>
      <c r="N637" s="34"/>
      <c r="O637" s="36"/>
      <c r="P637" s="34"/>
      <c r="Q637" s="87"/>
      <c r="R637" s="34"/>
      <c r="S637" s="66"/>
      <c r="T637" s="12"/>
      <c r="U637" s="12"/>
      <c r="V637" s="12"/>
      <c r="W637" s="12"/>
      <c r="X637" s="12"/>
      <c r="Y637" s="12"/>
      <c r="Z637" s="67"/>
      <c r="AA637" s="12"/>
      <c r="AB637" s="12"/>
      <c r="AC637" s="67"/>
      <c r="AD637" s="12"/>
      <c r="AE637" s="12"/>
      <c r="AF637" s="12"/>
    </row>
    <row r="638" ht="15.75" customHeight="1">
      <c r="A638" s="34"/>
      <c r="B638" s="34"/>
      <c r="C638" s="34"/>
      <c r="D638" s="34"/>
      <c r="E638" s="34"/>
      <c r="F638" s="35"/>
      <c r="G638" s="34"/>
      <c r="H638" s="34"/>
      <c r="I638" s="34"/>
      <c r="J638" s="34"/>
      <c r="K638" s="34"/>
      <c r="L638" s="34"/>
      <c r="M638" s="34"/>
      <c r="N638" s="34"/>
      <c r="O638" s="36"/>
      <c r="P638" s="34"/>
      <c r="Q638" s="87"/>
      <c r="R638" s="34"/>
      <c r="S638" s="66"/>
      <c r="T638" s="12"/>
      <c r="U638" s="12"/>
      <c r="V638" s="12"/>
      <c r="W638" s="12"/>
      <c r="X638" s="12"/>
      <c r="Y638" s="12"/>
      <c r="Z638" s="67"/>
      <c r="AA638" s="12"/>
      <c r="AB638" s="12"/>
      <c r="AC638" s="67"/>
      <c r="AD638" s="12"/>
      <c r="AE638" s="12"/>
      <c r="AF638" s="12"/>
    </row>
    <row r="639" ht="15.75" customHeight="1">
      <c r="A639" s="34"/>
      <c r="B639" s="34"/>
      <c r="C639" s="34"/>
      <c r="D639" s="34"/>
      <c r="E639" s="34"/>
      <c r="F639" s="35"/>
      <c r="G639" s="34"/>
      <c r="H639" s="34"/>
      <c r="I639" s="34"/>
      <c r="J639" s="34"/>
      <c r="K639" s="34"/>
      <c r="L639" s="34"/>
      <c r="M639" s="34"/>
      <c r="N639" s="34"/>
      <c r="O639" s="36"/>
      <c r="P639" s="34"/>
      <c r="Q639" s="87"/>
      <c r="R639" s="34"/>
      <c r="S639" s="66"/>
      <c r="T639" s="12"/>
      <c r="U639" s="12"/>
      <c r="V639" s="12"/>
      <c r="W639" s="12"/>
      <c r="X639" s="12"/>
      <c r="Y639" s="12"/>
      <c r="Z639" s="67"/>
      <c r="AA639" s="12"/>
      <c r="AB639" s="12"/>
      <c r="AC639" s="67"/>
      <c r="AD639" s="12"/>
      <c r="AE639" s="12"/>
      <c r="AF639" s="12"/>
    </row>
    <row r="640" ht="15.75" customHeight="1">
      <c r="A640" s="34"/>
      <c r="B640" s="34"/>
      <c r="C640" s="34"/>
      <c r="D640" s="34"/>
      <c r="E640" s="34"/>
      <c r="F640" s="35"/>
      <c r="G640" s="34"/>
      <c r="H640" s="34"/>
      <c r="I640" s="34"/>
      <c r="J640" s="34"/>
      <c r="K640" s="34"/>
      <c r="L640" s="34"/>
      <c r="M640" s="34"/>
      <c r="N640" s="34"/>
      <c r="O640" s="36"/>
      <c r="P640" s="34"/>
      <c r="Q640" s="87"/>
      <c r="R640" s="34"/>
      <c r="S640" s="66"/>
      <c r="T640" s="12"/>
      <c r="U640" s="12"/>
      <c r="V640" s="12"/>
      <c r="W640" s="12"/>
      <c r="X640" s="12"/>
      <c r="Y640" s="12"/>
      <c r="Z640" s="67"/>
      <c r="AA640" s="12"/>
      <c r="AB640" s="12"/>
      <c r="AC640" s="67"/>
      <c r="AD640" s="12"/>
      <c r="AE640" s="12"/>
      <c r="AF640" s="12"/>
    </row>
    <row r="641" ht="15.75" customHeight="1">
      <c r="A641" s="34"/>
      <c r="B641" s="34"/>
      <c r="C641" s="34"/>
      <c r="D641" s="34"/>
      <c r="E641" s="34"/>
      <c r="F641" s="35"/>
      <c r="G641" s="34"/>
      <c r="H641" s="34"/>
      <c r="I641" s="34"/>
      <c r="J641" s="34"/>
      <c r="K641" s="34"/>
      <c r="L641" s="34"/>
      <c r="M641" s="34"/>
      <c r="N641" s="34"/>
      <c r="O641" s="36"/>
      <c r="P641" s="34"/>
      <c r="Q641" s="87"/>
      <c r="R641" s="34"/>
      <c r="S641" s="66"/>
      <c r="T641" s="12"/>
      <c r="U641" s="12"/>
      <c r="V641" s="12"/>
      <c r="W641" s="12"/>
      <c r="X641" s="12"/>
      <c r="Y641" s="12"/>
      <c r="Z641" s="67"/>
      <c r="AA641" s="12"/>
      <c r="AB641" s="12"/>
      <c r="AC641" s="67"/>
      <c r="AD641" s="12"/>
      <c r="AE641" s="12"/>
      <c r="AF641" s="12"/>
    </row>
    <row r="642" ht="15.75" customHeight="1">
      <c r="A642" s="34"/>
      <c r="B642" s="34"/>
      <c r="C642" s="34"/>
      <c r="D642" s="34"/>
      <c r="E642" s="34"/>
      <c r="F642" s="35"/>
      <c r="G642" s="34"/>
      <c r="H642" s="34"/>
      <c r="I642" s="34"/>
      <c r="J642" s="34"/>
      <c r="K642" s="34"/>
      <c r="L642" s="34"/>
      <c r="M642" s="34"/>
      <c r="N642" s="34"/>
      <c r="O642" s="36"/>
      <c r="P642" s="34"/>
      <c r="Q642" s="87"/>
      <c r="R642" s="34"/>
      <c r="S642" s="66"/>
      <c r="T642" s="12"/>
      <c r="U642" s="12"/>
      <c r="V642" s="12"/>
      <c r="W642" s="12"/>
      <c r="X642" s="12"/>
      <c r="Y642" s="12"/>
      <c r="Z642" s="67"/>
      <c r="AA642" s="12"/>
      <c r="AB642" s="12"/>
      <c r="AC642" s="67"/>
      <c r="AD642" s="12"/>
      <c r="AE642" s="12"/>
      <c r="AF642" s="12"/>
    </row>
    <row r="643" ht="15.75" customHeight="1">
      <c r="A643" s="34"/>
      <c r="B643" s="34"/>
      <c r="C643" s="34"/>
      <c r="D643" s="34"/>
      <c r="E643" s="34"/>
      <c r="F643" s="35"/>
      <c r="G643" s="34"/>
      <c r="H643" s="34"/>
      <c r="I643" s="34"/>
      <c r="J643" s="34"/>
      <c r="K643" s="34"/>
      <c r="L643" s="34"/>
      <c r="M643" s="34"/>
      <c r="N643" s="34"/>
      <c r="O643" s="36"/>
      <c r="P643" s="34"/>
      <c r="Q643" s="87"/>
      <c r="R643" s="34"/>
      <c r="S643" s="66"/>
      <c r="T643" s="12"/>
      <c r="U643" s="12"/>
      <c r="V643" s="12"/>
      <c r="W643" s="12"/>
      <c r="X643" s="12"/>
      <c r="Y643" s="12"/>
      <c r="Z643" s="67"/>
      <c r="AA643" s="12"/>
      <c r="AB643" s="12"/>
      <c r="AC643" s="67"/>
      <c r="AD643" s="12"/>
      <c r="AE643" s="12"/>
      <c r="AF643" s="12"/>
    </row>
    <row r="644" ht="15.75" customHeight="1">
      <c r="A644" s="34"/>
      <c r="B644" s="34"/>
      <c r="C644" s="34"/>
      <c r="D644" s="34"/>
      <c r="E644" s="34"/>
      <c r="F644" s="35"/>
      <c r="G644" s="34"/>
      <c r="H644" s="34"/>
      <c r="I644" s="34"/>
      <c r="J644" s="34"/>
      <c r="K644" s="34"/>
      <c r="L644" s="34"/>
      <c r="M644" s="34"/>
      <c r="N644" s="34"/>
      <c r="O644" s="36"/>
      <c r="P644" s="34"/>
      <c r="Q644" s="87"/>
      <c r="R644" s="34"/>
      <c r="S644" s="66"/>
      <c r="T644" s="12"/>
      <c r="U644" s="12"/>
      <c r="V644" s="12"/>
      <c r="W644" s="12"/>
      <c r="X644" s="12"/>
      <c r="Y644" s="12"/>
      <c r="Z644" s="67"/>
      <c r="AA644" s="12"/>
      <c r="AB644" s="12"/>
      <c r="AC644" s="67"/>
      <c r="AD644" s="12"/>
      <c r="AE644" s="12"/>
      <c r="AF644" s="12"/>
    </row>
    <row r="645" ht="15.75" customHeight="1">
      <c r="A645" s="34"/>
      <c r="B645" s="34"/>
      <c r="C645" s="34"/>
      <c r="D645" s="34"/>
      <c r="E645" s="34"/>
      <c r="F645" s="35"/>
      <c r="G645" s="34"/>
      <c r="H645" s="34"/>
      <c r="I645" s="34"/>
      <c r="J645" s="34"/>
      <c r="K645" s="34"/>
      <c r="L645" s="34"/>
      <c r="M645" s="34"/>
      <c r="N645" s="34"/>
      <c r="O645" s="36"/>
      <c r="P645" s="34"/>
      <c r="Q645" s="87"/>
      <c r="R645" s="34"/>
      <c r="S645" s="66"/>
      <c r="T645" s="12"/>
      <c r="U645" s="12"/>
      <c r="V645" s="12"/>
      <c r="W645" s="12"/>
      <c r="X645" s="12"/>
      <c r="Y645" s="12"/>
      <c r="Z645" s="67"/>
      <c r="AA645" s="12"/>
      <c r="AB645" s="12"/>
      <c r="AC645" s="67"/>
      <c r="AD645" s="12"/>
      <c r="AE645" s="12"/>
      <c r="AF645" s="12"/>
    </row>
    <row r="646" ht="15.75" customHeight="1">
      <c r="A646" s="34"/>
      <c r="B646" s="34"/>
      <c r="C646" s="34"/>
      <c r="D646" s="34"/>
      <c r="E646" s="34"/>
      <c r="F646" s="35"/>
      <c r="G646" s="34"/>
      <c r="H646" s="34"/>
      <c r="I646" s="34"/>
      <c r="J646" s="34"/>
      <c r="K646" s="34"/>
      <c r="L646" s="34"/>
      <c r="M646" s="34"/>
      <c r="N646" s="34"/>
      <c r="O646" s="36"/>
      <c r="P646" s="34"/>
      <c r="Q646" s="87"/>
      <c r="R646" s="34"/>
      <c r="S646" s="66"/>
      <c r="T646" s="12"/>
      <c r="U646" s="12"/>
      <c r="V646" s="12"/>
      <c r="W646" s="12"/>
      <c r="X646" s="12"/>
      <c r="Y646" s="12"/>
      <c r="Z646" s="67"/>
      <c r="AA646" s="12"/>
      <c r="AB646" s="12"/>
      <c r="AC646" s="67"/>
      <c r="AD646" s="12"/>
      <c r="AE646" s="12"/>
      <c r="AF646" s="12"/>
    </row>
    <row r="647" ht="15.75" customHeight="1">
      <c r="A647" s="34"/>
      <c r="B647" s="34"/>
      <c r="C647" s="34"/>
      <c r="D647" s="34"/>
      <c r="E647" s="34"/>
      <c r="F647" s="35"/>
      <c r="G647" s="34"/>
      <c r="H647" s="34"/>
      <c r="I647" s="34"/>
      <c r="J647" s="34"/>
      <c r="K647" s="34"/>
      <c r="L647" s="34"/>
      <c r="M647" s="34"/>
      <c r="N647" s="34"/>
      <c r="O647" s="36"/>
      <c r="P647" s="34"/>
      <c r="Q647" s="87"/>
      <c r="R647" s="34"/>
      <c r="S647" s="66"/>
      <c r="T647" s="12"/>
      <c r="U647" s="12"/>
      <c r="V647" s="12"/>
      <c r="W647" s="12"/>
      <c r="X647" s="12"/>
      <c r="Y647" s="12"/>
      <c r="Z647" s="67"/>
      <c r="AA647" s="12"/>
      <c r="AB647" s="12"/>
      <c r="AC647" s="67"/>
      <c r="AD647" s="12"/>
      <c r="AE647" s="12"/>
      <c r="AF647" s="12"/>
    </row>
    <row r="648" ht="15.75" customHeight="1">
      <c r="A648" s="34"/>
      <c r="B648" s="34"/>
      <c r="C648" s="34"/>
      <c r="D648" s="34"/>
      <c r="E648" s="34"/>
      <c r="F648" s="35"/>
      <c r="G648" s="34"/>
      <c r="H648" s="34"/>
      <c r="I648" s="34"/>
      <c r="J648" s="34"/>
      <c r="K648" s="34"/>
      <c r="L648" s="34"/>
      <c r="M648" s="34"/>
      <c r="N648" s="34"/>
      <c r="O648" s="36"/>
      <c r="P648" s="34"/>
      <c r="Q648" s="87"/>
      <c r="R648" s="34"/>
      <c r="S648" s="66"/>
      <c r="T648" s="12"/>
      <c r="U648" s="12"/>
      <c r="V648" s="12"/>
      <c r="W648" s="12"/>
      <c r="X648" s="12"/>
      <c r="Y648" s="12"/>
      <c r="Z648" s="67"/>
      <c r="AA648" s="12"/>
      <c r="AB648" s="12"/>
      <c r="AC648" s="67"/>
      <c r="AD648" s="12"/>
      <c r="AE648" s="12"/>
      <c r="AF648" s="12"/>
    </row>
    <row r="649" ht="15.75" customHeight="1">
      <c r="A649" s="34"/>
      <c r="B649" s="34"/>
      <c r="C649" s="34"/>
      <c r="D649" s="34"/>
      <c r="E649" s="34"/>
      <c r="F649" s="35"/>
      <c r="G649" s="34"/>
      <c r="H649" s="34"/>
      <c r="I649" s="34"/>
      <c r="J649" s="34"/>
      <c r="K649" s="34"/>
      <c r="L649" s="34"/>
      <c r="M649" s="34"/>
      <c r="N649" s="34"/>
      <c r="O649" s="36"/>
      <c r="P649" s="34"/>
      <c r="Q649" s="87"/>
      <c r="R649" s="34"/>
      <c r="S649" s="66"/>
      <c r="T649" s="12"/>
      <c r="U649" s="12"/>
      <c r="V649" s="12"/>
      <c r="W649" s="12"/>
      <c r="X649" s="12"/>
      <c r="Y649" s="12"/>
      <c r="Z649" s="67"/>
      <c r="AA649" s="12"/>
      <c r="AB649" s="12"/>
      <c r="AC649" s="67"/>
      <c r="AD649" s="12"/>
      <c r="AE649" s="12"/>
      <c r="AF649" s="12"/>
    </row>
    <row r="650" ht="15.75" customHeight="1">
      <c r="A650" s="34"/>
      <c r="B650" s="34"/>
      <c r="C650" s="34"/>
      <c r="D650" s="34"/>
      <c r="E650" s="34"/>
      <c r="F650" s="35"/>
      <c r="G650" s="34"/>
      <c r="H650" s="34"/>
      <c r="I650" s="34"/>
      <c r="J650" s="34"/>
      <c r="K650" s="34"/>
      <c r="L650" s="34"/>
      <c r="M650" s="34"/>
      <c r="N650" s="34"/>
      <c r="O650" s="36"/>
      <c r="P650" s="34"/>
      <c r="Q650" s="87"/>
      <c r="R650" s="34"/>
      <c r="S650" s="66"/>
      <c r="T650" s="12"/>
      <c r="U650" s="12"/>
      <c r="V650" s="12"/>
      <c r="W650" s="12"/>
      <c r="X650" s="12"/>
      <c r="Y650" s="12"/>
      <c r="Z650" s="67"/>
      <c r="AA650" s="12"/>
      <c r="AB650" s="12"/>
      <c r="AC650" s="67"/>
      <c r="AD650" s="12"/>
      <c r="AE650" s="12"/>
      <c r="AF650" s="12"/>
    </row>
    <row r="651" ht="15.75" customHeight="1">
      <c r="A651" s="34"/>
      <c r="B651" s="34"/>
      <c r="C651" s="34"/>
      <c r="D651" s="34"/>
      <c r="E651" s="34"/>
      <c r="F651" s="35"/>
      <c r="G651" s="34"/>
      <c r="H651" s="34"/>
      <c r="I651" s="34"/>
      <c r="J651" s="34"/>
      <c r="K651" s="34"/>
      <c r="L651" s="34"/>
      <c r="M651" s="34"/>
      <c r="N651" s="34"/>
      <c r="O651" s="36"/>
      <c r="P651" s="34"/>
      <c r="Q651" s="87"/>
      <c r="R651" s="34"/>
      <c r="S651" s="66"/>
      <c r="T651" s="12"/>
      <c r="U651" s="12"/>
      <c r="V651" s="12"/>
      <c r="W651" s="12"/>
      <c r="X651" s="12"/>
      <c r="Y651" s="12"/>
      <c r="Z651" s="67"/>
      <c r="AA651" s="12"/>
      <c r="AB651" s="12"/>
      <c r="AC651" s="67"/>
      <c r="AD651" s="12"/>
      <c r="AE651" s="12"/>
      <c r="AF651" s="12"/>
    </row>
    <row r="652" ht="15.75" customHeight="1">
      <c r="A652" s="34"/>
      <c r="B652" s="34"/>
      <c r="C652" s="34"/>
      <c r="D652" s="34"/>
      <c r="E652" s="34"/>
      <c r="F652" s="35"/>
      <c r="G652" s="34"/>
      <c r="H652" s="34"/>
      <c r="I652" s="34"/>
      <c r="J652" s="34"/>
      <c r="K652" s="34"/>
      <c r="L652" s="34"/>
      <c r="M652" s="34"/>
      <c r="N652" s="34"/>
      <c r="O652" s="36"/>
      <c r="P652" s="34"/>
      <c r="Q652" s="87"/>
      <c r="R652" s="34"/>
      <c r="S652" s="66"/>
      <c r="T652" s="12"/>
      <c r="U652" s="12"/>
      <c r="V652" s="12"/>
      <c r="W652" s="12"/>
      <c r="X652" s="12"/>
      <c r="Y652" s="12"/>
      <c r="Z652" s="67"/>
      <c r="AA652" s="12"/>
      <c r="AB652" s="12"/>
      <c r="AC652" s="67"/>
      <c r="AD652" s="12"/>
      <c r="AE652" s="12"/>
      <c r="AF652" s="12"/>
    </row>
    <row r="653" ht="15.75" customHeight="1">
      <c r="A653" s="34"/>
      <c r="B653" s="34"/>
      <c r="C653" s="34"/>
      <c r="D653" s="34"/>
      <c r="E653" s="34"/>
      <c r="F653" s="35"/>
      <c r="G653" s="34"/>
      <c r="H653" s="34"/>
      <c r="I653" s="34"/>
      <c r="J653" s="34"/>
      <c r="K653" s="34"/>
      <c r="L653" s="34"/>
      <c r="M653" s="34"/>
      <c r="N653" s="34"/>
      <c r="O653" s="36"/>
      <c r="P653" s="34"/>
      <c r="Q653" s="87"/>
      <c r="R653" s="34"/>
      <c r="S653" s="66"/>
      <c r="T653" s="12"/>
      <c r="U653" s="12"/>
      <c r="V653" s="12"/>
      <c r="W653" s="12"/>
      <c r="X653" s="12"/>
      <c r="Y653" s="12"/>
      <c r="Z653" s="67"/>
      <c r="AA653" s="12"/>
      <c r="AB653" s="12"/>
      <c r="AC653" s="67"/>
      <c r="AD653" s="12"/>
      <c r="AE653" s="12"/>
      <c r="AF653" s="12"/>
    </row>
    <row r="654" ht="15.75" customHeight="1">
      <c r="A654" s="34"/>
      <c r="B654" s="34"/>
      <c r="C654" s="34"/>
      <c r="D654" s="34"/>
      <c r="E654" s="34"/>
      <c r="F654" s="35"/>
      <c r="G654" s="34"/>
      <c r="H654" s="34"/>
      <c r="I654" s="34"/>
      <c r="J654" s="34"/>
      <c r="K654" s="34"/>
      <c r="L654" s="34"/>
      <c r="M654" s="34"/>
      <c r="N654" s="34"/>
      <c r="O654" s="36"/>
      <c r="P654" s="34"/>
      <c r="Q654" s="87"/>
      <c r="R654" s="34"/>
      <c r="S654" s="66"/>
      <c r="T654" s="12"/>
      <c r="U654" s="12"/>
      <c r="V654" s="12"/>
      <c r="W654" s="12"/>
      <c r="X654" s="12"/>
      <c r="Y654" s="12"/>
      <c r="Z654" s="67"/>
      <c r="AA654" s="12"/>
      <c r="AB654" s="12"/>
      <c r="AC654" s="67"/>
      <c r="AD654" s="12"/>
      <c r="AE654" s="12"/>
      <c r="AF654" s="12"/>
    </row>
    <row r="655" ht="15.75" customHeight="1">
      <c r="A655" s="34"/>
      <c r="B655" s="34"/>
      <c r="C655" s="34"/>
      <c r="D655" s="34"/>
      <c r="E655" s="34"/>
      <c r="F655" s="35"/>
      <c r="G655" s="34"/>
      <c r="H655" s="34"/>
      <c r="I655" s="34"/>
      <c r="J655" s="34"/>
      <c r="K655" s="34"/>
      <c r="L655" s="34"/>
      <c r="M655" s="34"/>
      <c r="N655" s="34"/>
      <c r="O655" s="36"/>
      <c r="P655" s="34"/>
      <c r="Q655" s="87"/>
      <c r="R655" s="34"/>
      <c r="S655" s="66"/>
      <c r="T655" s="12"/>
      <c r="U655" s="12"/>
      <c r="V655" s="12"/>
      <c r="W655" s="12"/>
      <c r="X655" s="12"/>
      <c r="Y655" s="12"/>
      <c r="Z655" s="67"/>
      <c r="AA655" s="12"/>
      <c r="AB655" s="12"/>
      <c r="AC655" s="67"/>
      <c r="AD655" s="12"/>
      <c r="AE655" s="12"/>
      <c r="AF655" s="12"/>
    </row>
    <row r="656" ht="15.75" customHeight="1">
      <c r="A656" s="34"/>
      <c r="B656" s="34"/>
      <c r="C656" s="34"/>
      <c r="D656" s="34"/>
      <c r="E656" s="34"/>
      <c r="F656" s="35"/>
      <c r="G656" s="34"/>
      <c r="H656" s="34"/>
      <c r="I656" s="34"/>
      <c r="J656" s="34"/>
      <c r="K656" s="34"/>
      <c r="L656" s="34"/>
      <c r="M656" s="34"/>
      <c r="N656" s="34"/>
      <c r="O656" s="36"/>
      <c r="P656" s="34"/>
      <c r="Q656" s="87"/>
      <c r="R656" s="34"/>
      <c r="S656" s="66"/>
      <c r="T656" s="12"/>
      <c r="U656" s="12"/>
      <c r="V656" s="12"/>
      <c r="W656" s="12"/>
      <c r="X656" s="12"/>
      <c r="Y656" s="12"/>
      <c r="Z656" s="67"/>
      <c r="AA656" s="12"/>
      <c r="AB656" s="12"/>
      <c r="AC656" s="67"/>
      <c r="AD656" s="12"/>
      <c r="AE656" s="12"/>
      <c r="AF656" s="12"/>
    </row>
    <row r="657" ht="15.75" customHeight="1">
      <c r="A657" s="34"/>
      <c r="B657" s="34"/>
      <c r="C657" s="34"/>
      <c r="D657" s="34"/>
      <c r="E657" s="34"/>
      <c r="F657" s="35"/>
      <c r="G657" s="34"/>
      <c r="H657" s="34"/>
      <c r="I657" s="34"/>
      <c r="J657" s="34"/>
      <c r="K657" s="34"/>
      <c r="L657" s="34"/>
      <c r="M657" s="34"/>
      <c r="N657" s="34"/>
      <c r="O657" s="36"/>
      <c r="P657" s="34"/>
      <c r="Q657" s="87"/>
      <c r="R657" s="34"/>
      <c r="S657" s="66"/>
      <c r="T657" s="12"/>
      <c r="U657" s="12"/>
      <c r="V657" s="12"/>
      <c r="W657" s="12"/>
      <c r="X657" s="12"/>
      <c r="Y657" s="12"/>
      <c r="Z657" s="67"/>
      <c r="AA657" s="12"/>
      <c r="AB657" s="12"/>
      <c r="AC657" s="67"/>
      <c r="AD657" s="12"/>
      <c r="AE657" s="12"/>
      <c r="AF657" s="12"/>
    </row>
    <row r="658" ht="15.75" customHeight="1">
      <c r="A658" s="34"/>
      <c r="B658" s="34"/>
      <c r="C658" s="34"/>
      <c r="D658" s="34"/>
      <c r="E658" s="34"/>
      <c r="F658" s="35"/>
      <c r="G658" s="34"/>
      <c r="H658" s="34"/>
      <c r="I658" s="34"/>
      <c r="J658" s="34"/>
      <c r="K658" s="34"/>
      <c r="L658" s="34"/>
      <c r="M658" s="34"/>
      <c r="N658" s="34"/>
      <c r="O658" s="36"/>
      <c r="P658" s="34"/>
      <c r="Q658" s="87"/>
      <c r="R658" s="34"/>
      <c r="S658" s="66"/>
      <c r="T658" s="12"/>
      <c r="U658" s="12"/>
      <c r="V658" s="12"/>
      <c r="W658" s="12"/>
      <c r="X658" s="12"/>
      <c r="Y658" s="12"/>
      <c r="Z658" s="67"/>
      <c r="AA658" s="12"/>
      <c r="AB658" s="12"/>
      <c r="AC658" s="67"/>
      <c r="AD658" s="12"/>
      <c r="AE658" s="12"/>
      <c r="AF658" s="12"/>
    </row>
    <row r="659" ht="15.75" customHeight="1">
      <c r="A659" s="34"/>
      <c r="B659" s="34"/>
      <c r="C659" s="34"/>
      <c r="D659" s="34"/>
      <c r="E659" s="34"/>
      <c r="F659" s="35"/>
      <c r="G659" s="34"/>
      <c r="H659" s="34"/>
      <c r="I659" s="34"/>
      <c r="J659" s="34"/>
      <c r="K659" s="34"/>
      <c r="L659" s="34"/>
      <c r="M659" s="34"/>
      <c r="N659" s="34"/>
      <c r="O659" s="36"/>
      <c r="P659" s="34"/>
      <c r="Q659" s="87"/>
      <c r="R659" s="34"/>
      <c r="S659" s="66"/>
      <c r="T659" s="12"/>
      <c r="U659" s="12"/>
      <c r="V659" s="12"/>
      <c r="W659" s="12"/>
      <c r="X659" s="12"/>
      <c r="Y659" s="12"/>
      <c r="Z659" s="67"/>
      <c r="AA659" s="12"/>
      <c r="AB659" s="12"/>
      <c r="AC659" s="67"/>
      <c r="AD659" s="12"/>
      <c r="AE659" s="12"/>
      <c r="AF659" s="12"/>
    </row>
    <row r="660" ht="15.75" customHeight="1">
      <c r="A660" s="34"/>
      <c r="B660" s="34"/>
      <c r="C660" s="34"/>
      <c r="D660" s="34"/>
      <c r="E660" s="34"/>
      <c r="F660" s="35"/>
      <c r="G660" s="34"/>
      <c r="H660" s="34"/>
      <c r="I660" s="34"/>
      <c r="J660" s="34"/>
      <c r="K660" s="34"/>
      <c r="L660" s="34"/>
      <c r="M660" s="34"/>
      <c r="N660" s="34"/>
      <c r="O660" s="36"/>
      <c r="P660" s="34"/>
      <c r="Q660" s="87"/>
      <c r="R660" s="34"/>
      <c r="S660" s="66"/>
      <c r="T660" s="12"/>
      <c r="U660" s="12"/>
      <c r="V660" s="12"/>
      <c r="W660" s="12"/>
      <c r="X660" s="12"/>
      <c r="Y660" s="12"/>
      <c r="Z660" s="67"/>
      <c r="AA660" s="12"/>
      <c r="AB660" s="12"/>
      <c r="AC660" s="67"/>
      <c r="AD660" s="12"/>
      <c r="AE660" s="12"/>
      <c r="AF660" s="12"/>
    </row>
    <row r="661" ht="15.75" customHeight="1">
      <c r="A661" s="34"/>
      <c r="B661" s="34"/>
      <c r="C661" s="34"/>
      <c r="D661" s="34"/>
      <c r="E661" s="34"/>
      <c r="F661" s="35"/>
      <c r="G661" s="34"/>
      <c r="H661" s="34"/>
      <c r="I661" s="34"/>
      <c r="J661" s="34"/>
      <c r="K661" s="34"/>
      <c r="L661" s="34"/>
      <c r="M661" s="34"/>
      <c r="N661" s="34"/>
      <c r="O661" s="36"/>
      <c r="P661" s="34"/>
      <c r="Q661" s="87"/>
      <c r="R661" s="34"/>
      <c r="S661" s="66"/>
      <c r="T661" s="12"/>
      <c r="U661" s="12"/>
      <c r="V661" s="12"/>
      <c r="W661" s="12"/>
      <c r="X661" s="12"/>
      <c r="Y661" s="12"/>
      <c r="Z661" s="67"/>
      <c r="AA661" s="12"/>
      <c r="AB661" s="12"/>
      <c r="AC661" s="67"/>
      <c r="AD661" s="12"/>
      <c r="AE661" s="12"/>
      <c r="AF661" s="12"/>
    </row>
    <row r="662" ht="15.75" customHeight="1">
      <c r="A662" s="34"/>
      <c r="B662" s="34"/>
      <c r="C662" s="34"/>
      <c r="D662" s="34"/>
      <c r="E662" s="34"/>
      <c r="F662" s="35"/>
      <c r="G662" s="34"/>
      <c r="H662" s="34"/>
      <c r="I662" s="34"/>
      <c r="J662" s="34"/>
      <c r="K662" s="34"/>
      <c r="L662" s="34"/>
      <c r="M662" s="34"/>
      <c r="N662" s="34"/>
      <c r="O662" s="36"/>
      <c r="P662" s="34"/>
      <c r="Q662" s="87"/>
      <c r="R662" s="34"/>
      <c r="S662" s="66"/>
      <c r="T662" s="12"/>
      <c r="U662" s="12"/>
      <c r="V662" s="12"/>
      <c r="W662" s="12"/>
      <c r="X662" s="12"/>
      <c r="Y662" s="12"/>
      <c r="Z662" s="67"/>
      <c r="AA662" s="12"/>
      <c r="AB662" s="12"/>
      <c r="AC662" s="67"/>
      <c r="AD662" s="12"/>
      <c r="AE662" s="12"/>
      <c r="AF662" s="12"/>
    </row>
    <row r="663" ht="15.75" customHeight="1">
      <c r="A663" s="34"/>
      <c r="B663" s="34"/>
      <c r="C663" s="34"/>
      <c r="D663" s="34"/>
      <c r="E663" s="34"/>
      <c r="F663" s="35"/>
      <c r="G663" s="34"/>
      <c r="H663" s="34"/>
      <c r="I663" s="34"/>
      <c r="J663" s="34"/>
      <c r="K663" s="34"/>
      <c r="L663" s="34"/>
      <c r="M663" s="34"/>
      <c r="N663" s="34"/>
      <c r="O663" s="36"/>
      <c r="P663" s="34"/>
      <c r="Q663" s="87"/>
      <c r="R663" s="34"/>
      <c r="S663" s="66"/>
      <c r="T663" s="12"/>
      <c r="U663" s="12"/>
      <c r="V663" s="12"/>
      <c r="W663" s="12"/>
      <c r="X663" s="12"/>
      <c r="Y663" s="12"/>
      <c r="Z663" s="67"/>
      <c r="AA663" s="12"/>
      <c r="AB663" s="12"/>
      <c r="AC663" s="67"/>
      <c r="AD663" s="12"/>
      <c r="AE663" s="12"/>
      <c r="AF663" s="12"/>
    </row>
    <row r="664" ht="15.75" customHeight="1">
      <c r="A664" s="34"/>
      <c r="B664" s="34"/>
      <c r="C664" s="34"/>
      <c r="D664" s="34"/>
      <c r="E664" s="34"/>
      <c r="F664" s="35"/>
      <c r="G664" s="34"/>
      <c r="H664" s="34"/>
      <c r="I664" s="34"/>
      <c r="J664" s="34"/>
      <c r="K664" s="34"/>
      <c r="L664" s="34"/>
      <c r="M664" s="34"/>
      <c r="N664" s="34"/>
      <c r="O664" s="36"/>
      <c r="P664" s="34"/>
      <c r="Q664" s="87"/>
      <c r="R664" s="34"/>
      <c r="S664" s="66"/>
      <c r="T664" s="12"/>
      <c r="U664" s="12"/>
      <c r="V664" s="12"/>
      <c r="W664" s="12"/>
      <c r="X664" s="12"/>
      <c r="Y664" s="12"/>
      <c r="Z664" s="67"/>
      <c r="AA664" s="12"/>
      <c r="AB664" s="12"/>
      <c r="AC664" s="67"/>
      <c r="AD664" s="12"/>
      <c r="AE664" s="12"/>
      <c r="AF664" s="12"/>
    </row>
    <row r="665" ht="15.75" customHeight="1">
      <c r="A665" s="34"/>
      <c r="B665" s="34"/>
      <c r="C665" s="34"/>
      <c r="D665" s="34"/>
      <c r="E665" s="34"/>
      <c r="F665" s="35"/>
      <c r="G665" s="34"/>
      <c r="H665" s="34"/>
      <c r="I665" s="34"/>
      <c r="J665" s="34"/>
      <c r="K665" s="34"/>
      <c r="L665" s="34"/>
      <c r="M665" s="34"/>
      <c r="N665" s="34"/>
      <c r="O665" s="36"/>
      <c r="P665" s="34"/>
      <c r="Q665" s="87"/>
      <c r="R665" s="34"/>
      <c r="S665" s="66"/>
      <c r="T665" s="12"/>
      <c r="U665" s="12"/>
      <c r="V665" s="12"/>
      <c r="W665" s="12"/>
      <c r="X665" s="12"/>
      <c r="Y665" s="12"/>
      <c r="Z665" s="67"/>
      <c r="AA665" s="12"/>
      <c r="AB665" s="12"/>
      <c r="AC665" s="67"/>
      <c r="AD665" s="12"/>
      <c r="AE665" s="12"/>
      <c r="AF665" s="12"/>
    </row>
    <row r="666" ht="15.75" customHeight="1">
      <c r="A666" s="34"/>
      <c r="B666" s="34"/>
      <c r="C666" s="34"/>
      <c r="D666" s="34"/>
      <c r="E666" s="34"/>
      <c r="F666" s="35"/>
      <c r="G666" s="34"/>
      <c r="H666" s="34"/>
      <c r="I666" s="34"/>
      <c r="J666" s="34"/>
      <c r="K666" s="34"/>
      <c r="L666" s="34"/>
      <c r="M666" s="34"/>
      <c r="N666" s="34"/>
      <c r="O666" s="36"/>
      <c r="P666" s="34"/>
      <c r="Q666" s="87"/>
      <c r="R666" s="34"/>
      <c r="S666" s="66"/>
      <c r="T666" s="12"/>
      <c r="U666" s="12"/>
      <c r="V666" s="12"/>
      <c r="W666" s="12"/>
      <c r="X666" s="12"/>
      <c r="Y666" s="12"/>
      <c r="Z666" s="67"/>
      <c r="AA666" s="12"/>
      <c r="AB666" s="12"/>
      <c r="AC666" s="67"/>
      <c r="AD666" s="12"/>
      <c r="AE666" s="12"/>
      <c r="AF666" s="12"/>
    </row>
    <row r="667" ht="15.75" customHeight="1">
      <c r="A667" s="34"/>
      <c r="B667" s="34"/>
      <c r="C667" s="34"/>
      <c r="D667" s="34"/>
      <c r="E667" s="34"/>
      <c r="F667" s="35"/>
      <c r="G667" s="34"/>
      <c r="H667" s="34"/>
      <c r="I667" s="34"/>
      <c r="J667" s="34"/>
      <c r="K667" s="34"/>
      <c r="L667" s="34"/>
      <c r="M667" s="34"/>
      <c r="N667" s="34"/>
      <c r="O667" s="36"/>
      <c r="P667" s="34"/>
      <c r="Q667" s="87"/>
      <c r="R667" s="34"/>
      <c r="S667" s="66"/>
      <c r="T667" s="12"/>
      <c r="U667" s="12"/>
      <c r="V667" s="12"/>
      <c r="W667" s="12"/>
      <c r="X667" s="12"/>
      <c r="Y667" s="12"/>
      <c r="Z667" s="67"/>
      <c r="AA667" s="12"/>
      <c r="AB667" s="12"/>
      <c r="AC667" s="67"/>
      <c r="AD667" s="12"/>
      <c r="AE667" s="12"/>
      <c r="AF667" s="12"/>
    </row>
    <row r="668" ht="15.75" customHeight="1">
      <c r="A668" s="34"/>
      <c r="B668" s="34"/>
      <c r="C668" s="34"/>
      <c r="D668" s="34"/>
      <c r="E668" s="34"/>
      <c r="F668" s="35"/>
      <c r="G668" s="34"/>
      <c r="H668" s="34"/>
      <c r="I668" s="34"/>
      <c r="J668" s="34"/>
      <c r="K668" s="34"/>
      <c r="L668" s="34"/>
      <c r="M668" s="34"/>
      <c r="N668" s="34"/>
      <c r="O668" s="36"/>
      <c r="P668" s="34"/>
      <c r="Q668" s="87"/>
      <c r="R668" s="34"/>
      <c r="S668" s="66"/>
      <c r="T668" s="12"/>
      <c r="U668" s="12"/>
      <c r="V668" s="12"/>
      <c r="W668" s="12"/>
      <c r="X668" s="12"/>
      <c r="Y668" s="12"/>
      <c r="Z668" s="67"/>
      <c r="AA668" s="12"/>
      <c r="AB668" s="12"/>
      <c r="AC668" s="67"/>
      <c r="AD668" s="12"/>
      <c r="AE668" s="12"/>
      <c r="AF668" s="12"/>
    </row>
    <row r="669" ht="15.75" customHeight="1">
      <c r="A669" s="34"/>
      <c r="B669" s="34"/>
      <c r="C669" s="34"/>
      <c r="D669" s="34"/>
      <c r="E669" s="34"/>
      <c r="F669" s="35"/>
      <c r="G669" s="34"/>
      <c r="H669" s="34"/>
      <c r="I669" s="34"/>
      <c r="J669" s="34"/>
      <c r="K669" s="34"/>
      <c r="L669" s="34"/>
      <c r="M669" s="34"/>
      <c r="N669" s="34"/>
      <c r="O669" s="36"/>
      <c r="P669" s="34"/>
      <c r="Q669" s="87"/>
      <c r="R669" s="34"/>
      <c r="S669" s="66"/>
      <c r="T669" s="12"/>
      <c r="U669" s="12"/>
      <c r="V669" s="12"/>
      <c r="W669" s="12"/>
      <c r="X669" s="12"/>
      <c r="Y669" s="12"/>
      <c r="Z669" s="67"/>
      <c r="AA669" s="12"/>
      <c r="AB669" s="12"/>
      <c r="AC669" s="67"/>
      <c r="AD669" s="12"/>
      <c r="AE669" s="12"/>
      <c r="AF669" s="12"/>
    </row>
    <row r="670" ht="15.75" customHeight="1">
      <c r="A670" s="34"/>
      <c r="B670" s="34"/>
      <c r="C670" s="34"/>
      <c r="D670" s="34"/>
      <c r="E670" s="34"/>
      <c r="F670" s="35"/>
      <c r="G670" s="34"/>
      <c r="H670" s="34"/>
      <c r="I670" s="34"/>
      <c r="J670" s="34"/>
      <c r="K670" s="34"/>
      <c r="L670" s="34"/>
      <c r="M670" s="34"/>
      <c r="N670" s="34"/>
      <c r="O670" s="36"/>
      <c r="P670" s="34"/>
      <c r="Q670" s="87"/>
      <c r="R670" s="34"/>
      <c r="S670" s="66"/>
      <c r="T670" s="12"/>
      <c r="U670" s="12"/>
      <c r="V670" s="12"/>
      <c r="W670" s="12"/>
      <c r="X670" s="12"/>
      <c r="Y670" s="12"/>
      <c r="Z670" s="67"/>
      <c r="AA670" s="12"/>
      <c r="AB670" s="12"/>
      <c r="AC670" s="67"/>
      <c r="AD670" s="12"/>
      <c r="AE670" s="12"/>
      <c r="AF670" s="12"/>
    </row>
    <row r="671" ht="15.75" customHeight="1">
      <c r="A671" s="34"/>
      <c r="B671" s="34"/>
      <c r="C671" s="34"/>
      <c r="D671" s="34"/>
      <c r="E671" s="34"/>
      <c r="F671" s="35"/>
      <c r="G671" s="34"/>
      <c r="H671" s="34"/>
      <c r="I671" s="34"/>
      <c r="J671" s="34"/>
      <c r="K671" s="34"/>
      <c r="L671" s="34"/>
      <c r="M671" s="34"/>
      <c r="N671" s="34"/>
      <c r="O671" s="36"/>
      <c r="P671" s="34"/>
      <c r="Q671" s="87"/>
      <c r="R671" s="34"/>
      <c r="S671" s="66"/>
      <c r="T671" s="12"/>
      <c r="U671" s="12"/>
      <c r="V671" s="12"/>
      <c r="W671" s="12"/>
      <c r="X671" s="12"/>
      <c r="Y671" s="12"/>
      <c r="Z671" s="67"/>
      <c r="AA671" s="12"/>
      <c r="AB671" s="12"/>
      <c r="AC671" s="67"/>
      <c r="AD671" s="12"/>
      <c r="AE671" s="12"/>
      <c r="AF671" s="12"/>
    </row>
    <row r="672" ht="15.75" customHeight="1">
      <c r="A672" s="34"/>
      <c r="B672" s="34"/>
      <c r="C672" s="34"/>
      <c r="D672" s="34"/>
      <c r="E672" s="34"/>
      <c r="F672" s="35"/>
      <c r="G672" s="34"/>
      <c r="H672" s="34"/>
      <c r="I672" s="34"/>
      <c r="J672" s="34"/>
      <c r="K672" s="34"/>
      <c r="L672" s="34"/>
      <c r="M672" s="34"/>
      <c r="N672" s="34"/>
      <c r="O672" s="36"/>
      <c r="P672" s="34"/>
      <c r="Q672" s="87"/>
      <c r="R672" s="34"/>
      <c r="S672" s="66"/>
      <c r="T672" s="12"/>
      <c r="U672" s="12"/>
      <c r="V672" s="12"/>
      <c r="W672" s="12"/>
      <c r="X672" s="12"/>
      <c r="Y672" s="12"/>
      <c r="Z672" s="67"/>
      <c r="AA672" s="12"/>
      <c r="AB672" s="12"/>
      <c r="AC672" s="67"/>
      <c r="AD672" s="12"/>
      <c r="AE672" s="12"/>
      <c r="AF672" s="12"/>
    </row>
    <row r="673" ht="15.75" customHeight="1">
      <c r="A673" s="34"/>
      <c r="B673" s="34"/>
      <c r="C673" s="34"/>
      <c r="D673" s="34"/>
      <c r="E673" s="34"/>
      <c r="F673" s="35"/>
      <c r="G673" s="34"/>
      <c r="H673" s="34"/>
      <c r="I673" s="34"/>
      <c r="J673" s="34"/>
      <c r="K673" s="34"/>
      <c r="L673" s="34"/>
      <c r="M673" s="34"/>
      <c r="N673" s="34"/>
      <c r="O673" s="36"/>
      <c r="P673" s="34"/>
      <c r="Q673" s="87"/>
      <c r="R673" s="34"/>
      <c r="S673" s="66"/>
      <c r="T673" s="12"/>
      <c r="U673" s="12"/>
      <c r="V673" s="12"/>
      <c r="W673" s="12"/>
      <c r="X673" s="12"/>
      <c r="Y673" s="12"/>
      <c r="Z673" s="67"/>
      <c r="AA673" s="12"/>
      <c r="AB673" s="12"/>
      <c r="AC673" s="67"/>
      <c r="AD673" s="12"/>
      <c r="AE673" s="12"/>
      <c r="AF673" s="12"/>
    </row>
    <row r="674" ht="15.75" customHeight="1">
      <c r="A674" s="34"/>
      <c r="B674" s="34"/>
      <c r="C674" s="34"/>
      <c r="D674" s="34"/>
      <c r="E674" s="34"/>
      <c r="F674" s="35"/>
      <c r="G674" s="34"/>
      <c r="H674" s="34"/>
      <c r="I674" s="34"/>
      <c r="J674" s="34"/>
      <c r="K674" s="34"/>
      <c r="L674" s="34"/>
      <c r="M674" s="34"/>
      <c r="N674" s="34"/>
      <c r="O674" s="36"/>
      <c r="P674" s="34"/>
      <c r="Q674" s="87"/>
      <c r="R674" s="34"/>
      <c r="S674" s="66"/>
      <c r="T674" s="12"/>
      <c r="U674" s="12"/>
      <c r="V674" s="12"/>
      <c r="W674" s="12"/>
      <c r="X674" s="12"/>
      <c r="Y674" s="12"/>
      <c r="Z674" s="67"/>
      <c r="AA674" s="12"/>
      <c r="AB674" s="12"/>
      <c r="AC674" s="67"/>
      <c r="AD674" s="12"/>
      <c r="AE674" s="12"/>
      <c r="AF674" s="12"/>
    </row>
    <row r="675" ht="15.75" customHeight="1">
      <c r="A675" s="34"/>
      <c r="B675" s="34"/>
      <c r="C675" s="34"/>
      <c r="D675" s="34"/>
      <c r="E675" s="34"/>
      <c r="F675" s="35"/>
      <c r="G675" s="34"/>
      <c r="H675" s="34"/>
      <c r="I675" s="34"/>
      <c r="J675" s="34"/>
      <c r="K675" s="34"/>
      <c r="L675" s="34"/>
      <c r="M675" s="34"/>
      <c r="N675" s="34"/>
      <c r="O675" s="36"/>
      <c r="P675" s="34"/>
      <c r="Q675" s="87"/>
      <c r="R675" s="34"/>
      <c r="S675" s="66"/>
      <c r="T675" s="12"/>
      <c r="U675" s="12"/>
      <c r="V675" s="12"/>
      <c r="W675" s="12"/>
      <c r="X675" s="12"/>
      <c r="Y675" s="12"/>
      <c r="Z675" s="67"/>
      <c r="AA675" s="12"/>
      <c r="AB675" s="12"/>
      <c r="AC675" s="67"/>
      <c r="AD675" s="12"/>
      <c r="AE675" s="12"/>
      <c r="AF675" s="12"/>
    </row>
    <row r="676" ht="15.75" customHeight="1">
      <c r="A676" s="34"/>
      <c r="B676" s="34"/>
      <c r="C676" s="34"/>
      <c r="D676" s="34"/>
      <c r="E676" s="34"/>
      <c r="F676" s="35"/>
      <c r="G676" s="34"/>
      <c r="H676" s="34"/>
      <c r="I676" s="34"/>
      <c r="J676" s="34"/>
      <c r="K676" s="34"/>
      <c r="L676" s="34"/>
      <c r="M676" s="34"/>
      <c r="N676" s="34"/>
      <c r="O676" s="36"/>
      <c r="P676" s="34"/>
      <c r="Q676" s="87"/>
      <c r="R676" s="34"/>
      <c r="S676" s="66"/>
      <c r="T676" s="12"/>
      <c r="U676" s="12"/>
      <c r="V676" s="12"/>
      <c r="W676" s="12"/>
      <c r="X676" s="12"/>
      <c r="Y676" s="12"/>
      <c r="Z676" s="67"/>
      <c r="AA676" s="12"/>
      <c r="AB676" s="12"/>
      <c r="AC676" s="67"/>
      <c r="AD676" s="12"/>
      <c r="AE676" s="12"/>
      <c r="AF676" s="12"/>
    </row>
    <row r="677" ht="15.75" customHeight="1">
      <c r="A677" s="34"/>
      <c r="B677" s="34"/>
      <c r="C677" s="34"/>
      <c r="D677" s="34"/>
      <c r="E677" s="34"/>
      <c r="F677" s="35"/>
      <c r="G677" s="34"/>
      <c r="H677" s="34"/>
      <c r="I677" s="34"/>
      <c r="J677" s="34"/>
      <c r="K677" s="34"/>
      <c r="L677" s="34"/>
      <c r="M677" s="34"/>
      <c r="N677" s="34"/>
      <c r="O677" s="36"/>
      <c r="P677" s="34"/>
      <c r="Q677" s="87"/>
      <c r="R677" s="34"/>
      <c r="S677" s="66"/>
      <c r="T677" s="12"/>
      <c r="U677" s="12"/>
      <c r="V677" s="12"/>
      <c r="W677" s="12"/>
      <c r="X677" s="12"/>
      <c r="Y677" s="12"/>
      <c r="Z677" s="67"/>
      <c r="AA677" s="12"/>
      <c r="AB677" s="12"/>
      <c r="AC677" s="67"/>
      <c r="AD677" s="12"/>
      <c r="AE677" s="12"/>
      <c r="AF677" s="12"/>
    </row>
    <row r="678" ht="15.75" customHeight="1">
      <c r="A678" s="34"/>
      <c r="B678" s="34"/>
      <c r="C678" s="34"/>
      <c r="D678" s="34"/>
      <c r="E678" s="34"/>
      <c r="F678" s="35"/>
      <c r="G678" s="34"/>
      <c r="H678" s="34"/>
      <c r="I678" s="34"/>
      <c r="J678" s="34"/>
      <c r="K678" s="34"/>
      <c r="L678" s="34"/>
      <c r="M678" s="34"/>
      <c r="N678" s="34"/>
      <c r="O678" s="36"/>
      <c r="P678" s="34"/>
      <c r="Q678" s="87"/>
      <c r="R678" s="34"/>
      <c r="S678" s="66"/>
      <c r="T678" s="12"/>
      <c r="U678" s="12"/>
      <c r="V678" s="12"/>
      <c r="W678" s="12"/>
      <c r="X678" s="12"/>
      <c r="Y678" s="12"/>
      <c r="Z678" s="67"/>
      <c r="AA678" s="12"/>
      <c r="AB678" s="12"/>
      <c r="AC678" s="67"/>
      <c r="AD678" s="12"/>
      <c r="AE678" s="12"/>
      <c r="AF678" s="12"/>
    </row>
    <row r="679" ht="15.75" customHeight="1">
      <c r="A679" s="34"/>
      <c r="B679" s="34"/>
      <c r="C679" s="34"/>
      <c r="D679" s="34"/>
      <c r="E679" s="34"/>
      <c r="F679" s="35"/>
      <c r="G679" s="34"/>
      <c r="H679" s="34"/>
      <c r="I679" s="34"/>
      <c r="J679" s="34"/>
      <c r="K679" s="34"/>
      <c r="L679" s="34"/>
      <c r="M679" s="34"/>
      <c r="N679" s="34"/>
      <c r="O679" s="36"/>
      <c r="P679" s="34"/>
      <c r="Q679" s="87"/>
      <c r="R679" s="34"/>
      <c r="S679" s="66"/>
      <c r="T679" s="12"/>
      <c r="U679" s="12"/>
      <c r="V679" s="12"/>
      <c r="W679" s="12"/>
      <c r="X679" s="12"/>
      <c r="Y679" s="12"/>
      <c r="Z679" s="67"/>
      <c r="AA679" s="12"/>
      <c r="AB679" s="12"/>
      <c r="AC679" s="67"/>
      <c r="AD679" s="12"/>
      <c r="AE679" s="12"/>
      <c r="AF679" s="12"/>
    </row>
    <row r="680" ht="15.75" customHeight="1">
      <c r="A680" s="34"/>
      <c r="B680" s="34"/>
      <c r="C680" s="34"/>
      <c r="D680" s="34"/>
      <c r="E680" s="34"/>
      <c r="F680" s="35"/>
      <c r="G680" s="34"/>
      <c r="H680" s="34"/>
      <c r="I680" s="34"/>
      <c r="J680" s="34"/>
      <c r="K680" s="34"/>
      <c r="L680" s="34"/>
      <c r="M680" s="34"/>
      <c r="N680" s="34"/>
      <c r="O680" s="36"/>
      <c r="P680" s="34"/>
      <c r="Q680" s="87"/>
      <c r="R680" s="34"/>
      <c r="S680" s="66"/>
      <c r="T680" s="12"/>
      <c r="U680" s="12"/>
      <c r="V680" s="12"/>
      <c r="W680" s="12"/>
      <c r="X680" s="12"/>
      <c r="Y680" s="12"/>
      <c r="Z680" s="67"/>
      <c r="AA680" s="12"/>
      <c r="AB680" s="12"/>
      <c r="AC680" s="67"/>
      <c r="AD680" s="12"/>
      <c r="AE680" s="12"/>
      <c r="AF680" s="12"/>
    </row>
    <row r="681" ht="15.75" customHeight="1">
      <c r="A681" s="34"/>
      <c r="B681" s="34"/>
      <c r="C681" s="34"/>
      <c r="D681" s="34"/>
      <c r="E681" s="34"/>
      <c r="F681" s="35"/>
      <c r="G681" s="34"/>
      <c r="H681" s="34"/>
      <c r="I681" s="34"/>
      <c r="J681" s="34"/>
      <c r="K681" s="34"/>
      <c r="L681" s="34"/>
      <c r="M681" s="34"/>
      <c r="N681" s="34"/>
      <c r="O681" s="36"/>
      <c r="P681" s="34"/>
      <c r="Q681" s="87"/>
      <c r="R681" s="34"/>
      <c r="S681" s="66"/>
      <c r="T681" s="12"/>
      <c r="U681" s="12"/>
      <c r="V681" s="12"/>
      <c r="W681" s="12"/>
      <c r="X681" s="12"/>
      <c r="Y681" s="12"/>
      <c r="Z681" s="67"/>
      <c r="AA681" s="12"/>
      <c r="AB681" s="12"/>
      <c r="AC681" s="67"/>
      <c r="AD681" s="12"/>
      <c r="AE681" s="12"/>
      <c r="AF681" s="12"/>
    </row>
    <row r="682" ht="15.75" customHeight="1">
      <c r="A682" s="34"/>
      <c r="B682" s="34"/>
      <c r="C682" s="34"/>
      <c r="D682" s="34"/>
      <c r="E682" s="34"/>
      <c r="F682" s="35"/>
      <c r="G682" s="34"/>
      <c r="H682" s="34"/>
      <c r="I682" s="34"/>
      <c r="J682" s="34"/>
      <c r="K682" s="34"/>
      <c r="L682" s="34"/>
      <c r="M682" s="34"/>
      <c r="N682" s="34"/>
      <c r="O682" s="36"/>
      <c r="P682" s="34"/>
      <c r="Q682" s="87"/>
      <c r="R682" s="34"/>
      <c r="S682" s="66"/>
      <c r="T682" s="12"/>
      <c r="U682" s="12"/>
      <c r="V682" s="12"/>
      <c r="W682" s="12"/>
      <c r="X682" s="12"/>
      <c r="Y682" s="12"/>
      <c r="Z682" s="67"/>
      <c r="AA682" s="12"/>
      <c r="AB682" s="12"/>
      <c r="AC682" s="67"/>
      <c r="AD682" s="12"/>
      <c r="AE682" s="12"/>
      <c r="AF682" s="12"/>
    </row>
    <row r="683" ht="15.75" customHeight="1">
      <c r="A683" s="34"/>
      <c r="B683" s="34"/>
      <c r="C683" s="34"/>
      <c r="D683" s="34"/>
      <c r="E683" s="34"/>
      <c r="F683" s="35"/>
      <c r="G683" s="34"/>
      <c r="H683" s="34"/>
      <c r="I683" s="34"/>
      <c r="J683" s="34"/>
      <c r="K683" s="34"/>
      <c r="L683" s="34"/>
      <c r="M683" s="34"/>
      <c r="N683" s="34"/>
      <c r="O683" s="36"/>
      <c r="P683" s="34"/>
      <c r="Q683" s="87"/>
      <c r="R683" s="34"/>
      <c r="S683" s="66"/>
      <c r="T683" s="12"/>
      <c r="U683" s="12"/>
      <c r="V683" s="12"/>
      <c r="W683" s="12"/>
      <c r="X683" s="12"/>
      <c r="Y683" s="12"/>
      <c r="Z683" s="67"/>
      <c r="AA683" s="12"/>
      <c r="AB683" s="12"/>
      <c r="AC683" s="67"/>
      <c r="AD683" s="12"/>
      <c r="AE683" s="12"/>
      <c r="AF683" s="12"/>
    </row>
    <row r="684" ht="15.75" customHeight="1">
      <c r="A684" s="34"/>
      <c r="B684" s="34"/>
      <c r="C684" s="34"/>
      <c r="D684" s="34"/>
      <c r="E684" s="34"/>
      <c r="F684" s="35"/>
      <c r="G684" s="34"/>
      <c r="H684" s="34"/>
      <c r="I684" s="34"/>
      <c r="J684" s="34"/>
      <c r="K684" s="34"/>
      <c r="L684" s="34"/>
      <c r="M684" s="34"/>
      <c r="N684" s="34"/>
      <c r="O684" s="36"/>
      <c r="P684" s="34"/>
      <c r="Q684" s="87"/>
      <c r="R684" s="34"/>
      <c r="S684" s="66"/>
      <c r="T684" s="12"/>
      <c r="U684" s="12"/>
      <c r="V684" s="12"/>
      <c r="W684" s="12"/>
      <c r="X684" s="12"/>
      <c r="Y684" s="12"/>
      <c r="Z684" s="67"/>
      <c r="AA684" s="12"/>
      <c r="AB684" s="12"/>
      <c r="AC684" s="67"/>
      <c r="AD684" s="12"/>
      <c r="AE684" s="12"/>
      <c r="AF684" s="12"/>
    </row>
    <row r="685" ht="15.75" customHeight="1">
      <c r="A685" s="34"/>
      <c r="B685" s="34"/>
      <c r="C685" s="34"/>
      <c r="D685" s="34"/>
      <c r="E685" s="34"/>
      <c r="F685" s="35"/>
      <c r="G685" s="34"/>
      <c r="H685" s="34"/>
      <c r="I685" s="34"/>
      <c r="J685" s="34"/>
      <c r="K685" s="34"/>
      <c r="L685" s="34"/>
      <c r="M685" s="34"/>
      <c r="N685" s="34"/>
      <c r="O685" s="36"/>
      <c r="P685" s="34"/>
      <c r="Q685" s="87"/>
      <c r="R685" s="34"/>
      <c r="S685" s="66"/>
      <c r="T685" s="12"/>
      <c r="U685" s="12"/>
      <c r="V685" s="12"/>
      <c r="W685" s="12"/>
      <c r="X685" s="12"/>
      <c r="Y685" s="12"/>
      <c r="Z685" s="67"/>
      <c r="AA685" s="12"/>
      <c r="AB685" s="12"/>
      <c r="AC685" s="67"/>
      <c r="AD685" s="12"/>
      <c r="AE685" s="12"/>
      <c r="AF685" s="12"/>
    </row>
    <row r="686" ht="15.75" customHeight="1">
      <c r="A686" s="34"/>
      <c r="B686" s="34"/>
      <c r="C686" s="34"/>
      <c r="D686" s="34"/>
      <c r="E686" s="34"/>
      <c r="F686" s="35"/>
      <c r="G686" s="34"/>
      <c r="H686" s="34"/>
      <c r="I686" s="34"/>
      <c r="J686" s="34"/>
      <c r="K686" s="34"/>
      <c r="L686" s="34"/>
      <c r="M686" s="34"/>
      <c r="N686" s="34"/>
      <c r="O686" s="36"/>
      <c r="P686" s="34"/>
      <c r="Q686" s="87"/>
      <c r="R686" s="34"/>
      <c r="S686" s="66"/>
      <c r="T686" s="12"/>
      <c r="U686" s="12"/>
      <c r="V686" s="12"/>
      <c r="W686" s="12"/>
      <c r="X686" s="12"/>
      <c r="Y686" s="12"/>
      <c r="Z686" s="67"/>
      <c r="AA686" s="12"/>
      <c r="AB686" s="12"/>
      <c r="AC686" s="67"/>
      <c r="AD686" s="12"/>
      <c r="AE686" s="12"/>
      <c r="AF686" s="12"/>
    </row>
    <row r="687" ht="15.75" customHeight="1">
      <c r="A687" s="34"/>
      <c r="B687" s="34"/>
      <c r="C687" s="34"/>
      <c r="D687" s="34"/>
      <c r="E687" s="34"/>
      <c r="F687" s="35"/>
      <c r="G687" s="34"/>
      <c r="H687" s="34"/>
      <c r="I687" s="34"/>
      <c r="J687" s="34"/>
      <c r="K687" s="34"/>
      <c r="L687" s="34"/>
      <c r="M687" s="34"/>
      <c r="N687" s="34"/>
      <c r="O687" s="36"/>
      <c r="P687" s="34"/>
      <c r="Q687" s="87"/>
      <c r="R687" s="34"/>
      <c r="S687" s="66"/>
      <c r="T687" s="12"/>
      <c r="U687" s="12"/>
      <c r="V687" s="12"/>
      <c r="W687" s="12"/>
      <c r="X687" s="12"/>
      <c r="Y687" s="12"/>
      <c r="Z687" s="67"/>
      <c r="AA687" s="12"/>
      <c r="AB687" s="12"/>
      <c r="AC687" s="67"/>
      <c r="AD687" s="12"/>
      <c r="AE687" s="12"/>
      <c r="AF687" s="12"/>
    </row>
    <row r="688" ht="15.75" customHeight="1">
      <c r="A688" s="34"/>
      <c r="B688" s="34"/>
      <c r="C688" s="34"/>
      <c r="D688" s="34"/>
      <c r="E688" s="34"/>
      <c r="F688" s="35"/>
      <c r="G688" s="34"/>
      <c r="H688" s="34"/>
      <c r="I688" s="34"/>
      <c r="J688" s="34"/>
      <c r="K688" s="34"/>
      <c r="L688" s="34"/>
      <c r="M688" s="34"/>
      <c r="N688" s="34"/>
      <c r="O688" s="36"/>
      <c r="P688" s="34"/>
      <c r="Q688" s="87"/>
      <c r="R688" s="34"/>
      <c r="S688" s="66"/>
      <c r="T688" s="12"/>
      <c r="U688" s="12"/>
      <c r="V688" s="12"/>
      <c r="W688" s="12"/>
      <c r="X688" s="12"/>
      <c r="Y688" s="12"/>
      <c r="Z688" s="67"/>
      <c r="AA688" s="12"/>
      <c r="AB688" s="12"/>
      <c r="AC688" s="67"/>
      <c r="AD688" s="12"/>
      <c r="AE688" s="12"/>
      <c r="AF688" s="12"/>
    </row>
    <row r="689" ht="15.75" customHeight="1">
      <c r="A689" s="34"/>
      <c r="B689" s="34"/>
      <c r="C689" s="34"/>
      <c r="D689" s="34"/>
      <c r="E689" s="34"/>
      <c r="F689" s="35"/>
      <c r="G689" s="34"/>
      <c r="H689" s="34"/>
      <c r="I689" s="34"/>
      <c r="J689" s="34"/>
      <c r="K689" s="34"/>
      <c r="L689" s="34"/>
      <c r="M689" s="34"/>
      <c r="N689" s="34"/>
      <c r="O689" s="36"/>
      <c r="P689" s="34"/>
      <c r="Q689" s="87"/>
      <c r="R689" s="34"/>
      <c r="S689" s="66"/>
      <c r="T689" s="12"/>
      <c r="U689" s="12"/>
      <c r="V689" s="12"/>
      <c r="W689" s="12"/>
      <c r="X689" s="12"/>
      <c r="Y689" s="12"/>
      <c r="Z689" s="67"/>
      <c r="AA689" s="12"/>
      <c r="AB689" s="12"/>
      <c r="AC689" s="67"/>
      <c r="AD689" s="12"/>
      <c r="AE689" s="12"/>
      <c r="AF689" s="12"/>
    </row>
    <row r="690" ht="15.75" customHeight="1">
      <c r="A690" s="34"/>
      <c r="B690" s="34"/>
      <c r="C690" s="34"/>
      <c r="D690" s="34"/>
      <c r="E690" s="34"/>
      <c r="F690" s="35"/>
      <c r="G690" s="34"/>
      <c r="H690" s="34"/>
      <c r="I690" s="34"/>
      <c r="J690" s="34"/>
      <c r="K690" s="34"/>
      <c r="L690" s="34"/>
      <c r="M690" s="34"/>
      <c r="N690" s="34"/>
      <c r="O690" s="36"/>
      <c r="P690" s="34"/>
      <c r="Q690" s="87"/>
      <c r="R690" s="34"/>
      <c r="S690" s="66"/>
      <c r="T690" s="12"/>
      <c r="U690" s="12"/>
      <c r="V690" s="12"/>
      <c r="W690" s="12"/>
      <c r="X690" s="12"/>
      <c r="Y690" s="12"/>
      <c r="Z690" s="67"/>
      <c r="AA690" s="12"/>
      <c r="AB690" s="12"/>
      <c r="AC690" s="67"/>
      <c r="AD690" s="12"/>
      <c r="AE690" s="12"/>
      <c r="AF690" s="12"/>
    </row>
    <row r="691" ht="15.75" customHeight="1">
      <c r="A691" s="34"/>
      <c r="B691" s="34"/>
      <c r="C691" s="34"/>
      <c r="D691" s="34"/>
      <c r="E691" s="34"/>
      <c r="F691" s="35"/>
      <c r="G691" s="34"/>
      <c r="H691" s="34"/>
      <c r="I691" s="34"/>
      <c r="J691" s="34"/>
      <c r="K691" s="34"/>
      <c r="L691" s="34"/>
      <c r="M691" s="34"/>
      <c r="N691" s="34"/>
      <c r="O691" s="36"/>
      <c r="P691" s="34"/>
      <c r="Q691" s="87"/>
      <c r="R691" s="34"/>
      <c r="S691" s="66"/>
      <c r="T691" s="12"/>
      <c r="U691" s="12"/>
      <c r="V691" s="12"/>
      <c r="W691" s="12"/>
      <c r="X691" s="12"/>
      <c r="Y691" s="12"/>
      <c r="Z691" s="67"/>
      <c r="AA691" s="12"/>
      <c r="AB691" s="12"/>
      <c r="AC691" s="67"/>
      <c r="AD691" s="12"/>
      <c r="AE691" s="12"/>
      <c r="AF691" s="12"/>
    </row>
    <row r="692" ht="15.75" customHeight="1">
      <c r="A692" s="34"/>
      <c r="B692" s="34"/>
      <c r="C692" s="34"/>
      <c r="D692" s="34"/>
      <c r="E692" s="34"/>
      <c r="F692" s="35"/>
      <c r="G692" s="34"/>
      <c r="H692" s="34"/>
      <c r="I692" s="34"/>
      <c r="J692" s="34"/>
      <c r="K692" s="34"/>
      <c r="L692" s="34"/>
      <c r="M692" s="34"/>
      <c r="N692" s="34"/>
      <c r="O692" s="36"/>
      <c r="P692" s="34"/>
      <c r="Q692" s="87"/>
      <c r="R692" s="34"/>
      <c r="S692" s="66"/>
      <c r="T692" s="12"/>
      <c r="U692" s="12"/>
      <c r="V692" s="12"/>
      <c r="W692" s="12"/>
      <c r="X692" s="12"/>
      <c r="Y692" s="12"/>
      <c r="Z692" s="67"/>
      <c r="AA692" s="12"/>
      <c r="AB692" s="12"/>
      <c r="AC692" s="67"/>
      <c r="AD692" s="12"/>
      <c r="AE692" s="12"/>
      <c r="AF692" s="12"/>
    </row>
    <row r="693" ht="15.75" customHeight="1">
      <c r="A693" s="34"/>
      <c r="B693" s="34"/>
      <c r="C693" s="34"/>
      <c r="D693" s="34"/>
      <c r="E693" s="34"/>
      <c r="F693" s="35"/>
      <c r="G693" s="34"/>
      <c r="H693" s="34"/>
      <c r="I693" s="34"/>
      <c r="J693" s="34"/>
      <c r="K693" s="34"/>
      <c r="L693" s="34"/>
      <c r="M693" s="34"/>
      <c r="N693" s="34"/>
      <c r="O693" s="36"/>
      <c r="P693" s="34"/>
      <c r="Q693" s="87"/>
      <c r="R693" s="34"/>
      <c r="S693" s="66"/>
      <c r="T693" s="12"/>
      <c r="U693" s="12"/>
      <c r="V693" s="12"/>
      <c r="W693" s="12"/>
      <c r="X693" s="12"/>
      <c r="Y693" s="12"/>
      <c r="Z693" s="67"/>
      <c r="AA693" s="12"/>
      <c r="AB693" s="12"/>
      <c r="AC693" s="67"/>
      <c r="AD693" s="12"/>
      <c r="AE693" s="12"/>
      <c r="AF693" s="12"/>
    </row>
    <row r="694" ht="15.75" customHeight="1">
      <c r="A694" s="34"/>
      <c r="B694" s="34"/>
      <c r="C694" s="34"/>
      <c r="D694" s="34"/>
      <c r="E694" s="34"/>
      <c r="F694" s="35"/>
      <c r="G694" s="34"/>
      <c r="H694" s="34"/>
      <c r="I694" s="34"/>
      <c r="J694" s="34"/>
      <c r="K694" s="34"/>
      <c r="L694" s="34"/>
      <c r="M694" s="34"/>
      <c r="N694" s="34"/>
      <c r="O694" s="36"/>
      <c r="P694" s="34"/>
      <c r="Q694" s="87"/>
      <c r="R694" s="34"/>
      <c r="S694" s="66"/>
      <c r="T694" s="12"/>
      <c r="U694" s="12"/>
      <c r="V694" s="12"/>
      <c r="W694" s="12"/>
      <c r="X694" s="12"/>
      <c r="Y694" s="12"/>
      <c r="Z694" s="67"/>
      <c r="AA694" s="12"/>
      <c r="AB694" s="12"/>
      <c r="AC694" s="67"/>
      <c r="AD694" s="12"/>
      <c r="AE694" s="12"/>
      <c r="AF694" s="12"/>
    </row>
    <row r="695" ht="15.75" customHeight="1">
      <c r="A695" s="34"/>
      <c r="B695" s="34"/>
      <c r="C695" s="34"/>
      <c r="D695" s="34"/>
      <c r="E695" s="34"/>
      <c r="F695" s="35"/>
      <c r="G695" s="34"/>
      <c r="H695" s="34"/>
      <c r="I695" s="34"/>
      <c r="J695" s="34"/>
      <c r="K695" s="34"/>
      <c r="L695" s="34"/>
      <c r="M695" s="34"/>
      <c r="N695" s="34"/>
      <c r="O695" s="36"/>
      <c r="P695" s="34"/>
      <c r="Q695" s="87"/>
      <c r="R695" s="34"/>
      <c r="S695" s="66"/>
      <c r="T695" s="12"/>
      <c r="U695" s="12"/>
      <c r="V695" s="12"/>
      <c r="W695" s="12"/>
      <c r="X695" s="12"/>
      <c r="Y695" s="12"/>
      <c r="Z695" s="67"/>
      <c r="AA695" s="12"/>
      <c r="AB695" s="12"/>
      <c r="AC695" s="67"/>
      <c r="AD695" s="12"/>
      <c r="AE695" s="12"/>
      <c r="AF695" s="12"/>
    </row>
    <row r="696" ht="15.75" customHeight="1">
      <c r="A696" s="34"/>
      <c r="B696" s="34"/>
      <c r="C696" s="34"/>
      <c r="D696" s="34"/>
      <c r="E696" s="34"/>
      <c r="F696" s="35"/>
      <c r="G696" s="34"/>
      <c r="H696" s="34"/>
      <c r="I696" s="34"/>
      <c r="J696" s="34"/>
      <c r="K696" s="34"/>
      <c r="L696" s="34"/>
      <c r="M696" s="34"/>
      <c r="N696" s="34"/>
      <c r="O696" s="36"/>
      <c r="P696" s="34"/>
      <c r="Q696" s="87"/>
      <c r="R696" s="34"/>
      <c r="S696" s="66"/>
      <c r="T696" s="12"/>
      <c r="U696" s="12"/>
      <c r="V696" s="12"/>
      <c r="W696" s="12"/>
      <c r="X696" s="12"/>
      <c r="Y696" s="12"/>
      <c r="Z696" s="67"/>
      <c r="AA696" s="12"/>
      <c r="AB696" s="12"/>
      <c r="AC696" s="67"/>
      <c r="AD696" s="12"/>
      <c r="AE696" s="12"/>
      <c r="AF696" s="12"/>
    </row>
    <row r="697" ht="15.75" customHeight="1">
      <c r="A697" s="34"/>
      <c r="B697" s="34"/>
      <c r="C697" s="34"/>
      <c r="D697" s="34"/>
      <c r="E697" s="34"/>
      <c r="F697" s="35"/>
      <c r="G697" s="34"/>
      <c r="H697" s="34"/>
      <c r="I697" s="34"/>
      <c r="J697" s="34"/>
      <c r="K697" s="34"/>
      <c r="L697" s="34"/>
      <c r="M697" s="34"/>
      <c r="N697" s="34"/>
      <c r="O697" s="36"/>
      <c r="P697" s="34"/>
      <c r="Q697" s="87"/>
      <c r="R697" s="34"/>
      <c r="S697" s="66"/>
      <c r="T697" s="12"/>
      <c r="U697" s="12"/>
      <c r="V697" s="12"/>
      <c r="W697" s="12"/>
      <c r="X697" s="12"/>
      <c r="Y697" s="12"/>
      <c r="Z697" s="67"/>
      <c r="AA697" s="12"/>
      <c r="AB697" s="12"/>
      <c r="AC697" s="67"/>
      <c r="AD697" s="12"/>
      <c r="AE697" s="12"/>
      <c r="AF697" s="12"/>
    </row>
    <row r="698" ht="15.75" customHeight="1">
      <c r="A698" s="34"/>
      <c r="B698" s="34"/>
      <c r="C698" s="34"/>
      <c r="D698" s="34"/>
      <c r="E698" s="34"/>
      <c r="F698" s="35"/>
      <c r="G698" s="34"/>
      <c r="H698" s="34"/>
      <c r="I698" s="34"/>
      <c r="J698" s="34"/>
      <c r="K698" s="34"/>
      <c r="L698" s="34"/>
      <c r="M698" s="34"/>
      <c r="N698" s="34"/>
      <c r="O698" s="36"/>
      <c r="P698" s="34"/>
      <c r="Q698" s="87"/>
      <c r="R698" s="34"/>
      <c r="S698" s="66"/>
      <c r="T698" s="12"/>
      <c r="U698" s="12"/>
      <c r="V698" s="12"/>
      <c r="W698" s="12"/>
      <c r="X698" s="12"/>
      <c r="Y698" s="12"/>
      <c r="Z698" s="67"/>
      <c r="AA698" s="12"/>
      <c r="AB698" s="12"/>
      <c r="AC698" s="67"/>
      <c r="AD698" s="12"/>
      <c r="AE698" s="12"/>
      <c r="AF698" s="12"/>
    </row>
    <row r="699" ht="15.75" customHeight="1">
      <c r="A699" s="34"/>
      <c r="B699" s="34"/>
      <c r="C699" s="34"/>
      <c r="D699" s="34"/>
      <c r="E699" s="34"/>
      <c r="F699" s="35"/>
      <c r="G699" s="34"/>
      <c r="H699" s="34"/>
      <c r="I699" s="34"/>
      <c r="J699" s="34"/>
      <c r="K699" s="34"/>
      <c r="L699" s="34"/>
      <c r="M699" s="34"/>
      <c r="N699" s="34"/>
      <c r="O699" s="36"/>
      <c r="P699" s="34"/>
      <c r="Q699" s="87"/>
      <c r="R699" s="34"/>
      <c r="S699" s="66"/>
      <c r="T699" s="12"/>
      <c r="U699" s="12"/>
      <c r="V699" s="12"/>
      <c r="W699" s="12"/>
      <c r="X699" s="12"/>
      <c r="Y699" s="12"/>
      <c r="Z699" s="67"/>
      <c r="AA699" s="12"/>
      <c r="AB699" s="12"/>
      <c r="AC699" s="67"/>
      <c r="AD699" s="12"/>
      <c r="AE699" s="12"/>
      <c r="AF699" s="12"/>
    </row>
    <row r="700" ht="15.75" customHeight="1">
      <c r="A700" s="34"/>
      <c r="B700" s="34"/>
      <c r="C700" s="34"/>
      <c r="D700" s="34"/>
      <c r="E700" s="34"/>
      <c r="F700" s="35"/>
      <c r="G700" s="34"/>
      <c r="H700" s="34"/>
      <c r="I700" s="34"/>
      <c r="J700" s="34"/>
      <c r="K700" s="34"/>
      <c r="L700" s="34"/>
      <c r="M700" s="34"/>
      <c r="N700" s="34"/>
      <c r="O700" s="36"/>
      <c r="P700" s="34"/>
      <c r="Q700" s="87"/>
      <c r="R700" s="34"/>
      <c r="S700" s="66"/>
      <c r="T700" s="12"/>
      <c r="U700" s="12"/>
      <c r="V700" s="12"/>
      <c r="W700" s="12"/>
      <c r="X700" s="12"/>
      <c r="Y700" s="12"/>
      <c r="Z700" s="67"/>
      <c r="AA700" s="12"/>
      <c r="AB700" s="12"/>
      <c r="AC700" s="67"/>
      <c r="AD700" s="12"/>
      <c r="AE700" s="12"/>
      <c r="AF700" s="12"/>
    </row>
    <row r="701" ht="15.75" customHeight="1">
      <c r="A701" s="34"/>
      <c r="B701" s="34"/>
      <c r="C701" s="34"/>
      <c r="D701" s="34"/>
      <c r="E701" s="34"/>
      <c r="F701" s="35"/>
      <c r="G701" s="34"/>
      <c r="H701" s="34"/>
      <c r="I701" s="34"/>
      <c r="J701" s="34"/>
      <c r="K701" s="34"/>
      <c r="L701" s="34"/>
      <c r="M701" s="34"/>
      <c r="N701" s="34"/>
      <c r="O701" s="36"/>
      <c r="P701" s="34"/>
      <c r="Q701" s="87"/>
      <c r="R701" s="34"/>
      <c r="S701" s="66"/>
      <c r="T701" s="12"/>
      <c r="U701" s="12"/>
      <c r="V701" s="12"/>
      <c r="W701" s="12"/>
      <c r="X701" s="12"/>
      <c r="Y701" s="12"/>
      <c r="Z701" s="67"/>
      <c r="AA701" s="12"/>
      <c r="AB701" s="12"/>
      <c r="AC701" s="67"/>
      <c r="AD701" s="12"/>
      <c r="AE701" s="12"/>
      <c r="AF701" s="12"/>
    </row>
    <row r="702" ht="15.75" customHeight="1">
      <c r="A702" s="34"/>
      <c r="B702" s="34"/>
      <c r="C702" s="34"/>
      <c r="D702" s="34"/>
      <c r="E702" s="34"/>
      <c r="F702" s="35"/>
      <c r="G702" s="34"/>
      <c r="H702" s="34"/>
      <c r="I702" s="34"/>
      <c r="J702" s="34"/>
      <c r="K702" s="34"/>
      <c r="L702" s="34"/>
      <c r="M702" s="34"/>
      <c r="N702" s="34"/>
      <c r="O702" s="36"/>
      <c r="P702" s="34"/>
      <c r="Q702" s="87"/>
      <c r="R702" s="34"/>
      <c r="S702" s="66"/>
      <c r="T702" s="12"/>
      <c r="U702" s="12"/>
      <c r="V702" s="12"/>
      <c r="W702" s="12"/>
      <c r="X702" s="12"/>
      <c r="Y702" s="12"/>
      <c r="Z702" s="67"/>
      <c r="AA702" s="12"/>
      <c r="AB702" s="12"/>
      <c r="AC702" s="67"/>
      <c r="AD702" s="12"/>
      <c r="AE702" s="12"/>
      <c r="AF702" s="12"/>
    </row>
    <row r="703" ht="15.75" customHeight="1">
      <c r="A703" s="34"/>
      <c r="B703" s="34"/>
      <c r="C703" s="34"/>
      <c r="D703" s="34"/>
      <c r="E703" s="34"/>
      <c r="F703" s="35"/>
      <c r="G703" s="34"/>
      <c r="H703" s="34"/>
      <c r="I703" s="34"/>
      <c r="J703" s="34"/>
      <c r="K703" s="34"/>
      <c r="L703" s="34"/>
      <c r="M703" s="34"/>
      <c r="N703" s="34"/>
      <c r="O703" s="36"/>
      <c r="P703" s="34"/>
      <c r="Q703" s="87"/>
      <c r="R703" s="34"/>
      <c r="S703" s="66"/>
      <c r="T703" s="12"/>
      <c r="U703" s="12"/>
      <c r="V703" s="12"/>
      <c r="W703" s="12"/>
      <c r="X703" s="12"/>
      <c r="Y703" s="12"/>
      <c r="Z703" s="67"/>
      <c r="AA703" s="12"/>
      <c r="AB703" s="12"/>
      <c r="AC703" s="67"/>
      <c r="AD703" s="12"/>
      <c r="AE703" s="12"/>
      <c r="AF703" s="12"/>
    </row>
    <row r="704" ht="15.75" customHeight="1">
      <c r="A704" s="34"/>
      <c r="B704" s="34"/>
      <c r="C704" s="34"/>
      <c r="D704" s="34"/>
      <c r="E704" s="34"/>
      <c r="F704" s="35"/>
      <c r="G704" s="34"/>
      <c r="H704" s="34"/>
      <c r="I704" s="34"/>
      <c r="J704" s="34"/>
      <c r="K704" s="34"/>
      <c r="L704" s="34"/>
      <c r="M704" s="34"/>
      <c r="N704" s="34"/>
      <c r="O704" s="36"/>
      <c r="P704" s="34"/>
      <c r="Q704" s="87"/>
      <c r="R704" s="34"/>
      <c r="S704" s="66"/>
      <c r="T704" s="12"/>
      <c r="U704" s="12"/>
      <c r="V704" s="12"/>
      <c r="W704" s="12"/>
      <c r="X704" s="12"/>
      <c r="Y704" s="12"/>
      <c r="Z704" s="67"/>
      <c r="AA704" s="12"/>
      <c r="AB704" s="12"/>
      <c r="AC704" s="67"/>
      <c r="AD704" s="12"/>
      <c r="AE704" s="12"/>
      <c r="AF704" s="12"/>
    </row>
    <row r="705" ht="15.75" customHeight="1">
      <c r="A705" s="34"/>
      <c r="B705" s="34"/>
      <c r="C705" s="34"/>
      <c r="D705" s="34"/>
      <c r="E705" s="34"/>
      <c r="F705" s="35"/>
      <c r="G705" s="34"/>
      <c r="H705" s="34"/>
      <c r="I705" s="34"/>
      <c r="J705" s="34"/>
      <c r="K705" s="34"/>
      <c r="L705" s="34"/>
      <c r="M705" s="34"/>
      <c r="N705" s="34"/>
      <c r="O705" s="36"/>
      <c r="P705" s="34"/>
      <c r="Q705" s="87"/>
      <c r="R705" s="34"/>
      <c r="S705" s="66"/>
      <c r="T705" s="12"/>
      <c r="U705" s="12"/>
      <c r="V705" s="12"/>
      <c r="W705" s="12"/>
      <c r="X705" s="12"/>
      <c r="Y705" s="12"/>
      <c r="Z705" s="67"/>
      <c r="AA705" s="12"/>
      <c r="AB705" s="12"/>
      <c r="AC705" s="67"/>
      <c r="AD705" s="12"/>
      <c r="AE705" s="12"/>
      <c r="AF705" s="12"/>
    </row>
    <row r="706" ht="15.75" customHeight="1">
      <c r="A706" s="34"/>
      <c r="B706" s="34"/>
      <c r="C706" s="34"/>
      <c r="D706" s="34"/>
      <c r="E706" s="34"/>
      <c r="F706" s="35"/>
      <c r="G706" s="34"/>
      <c r="H706" s="34"/>
      <c r="I706" s="34"/>
      <c r="J706" s="34"/>
      <c r="K706" s="34"/>
      <c r="L706" s="34"/>
      <c r="M706" s="34"/>
      <c r="N706" s="34"/>
      <c r="O706" s="36"/>
      <c r="P706" s="34"/>
      <c r="Q706" s="87"/>
      <c r="R706" s="34"/>
      <c r="S706" s="66"/>
      <c r="T706" s="12"/>
      <c r="U706" s="12"/>
      <c r="V706" s="12"/>
      <c r="W706" s="12"/>
      <c r="X706" s="12"/>
      <c r="Y706" s="12"/>
      <c r="Z706" s="67"/>
      <c r="AA706" s="12"/>
      <c r="AB706" s="12"/>
      <c r="AC706" s="67"/>
      <c r="AD706" s="12"/>
      <c r="AE706" s="12"/>
      <c r="AF706" s="12"/>
    </row>
    <row r="707" ht="15.75" customHeight="1">
      <c r="A707" s="34"/>
      <c r="B707" s="34"/>
      <c r="C707" s="34"/>
      <c r="D707" s="34"/>
      <c r="E707" s="34"/>
      <c r="F707" s="35"/>
      <c r="G707" s="34"/>
      <c r="H707" s="34"/>
      <c r="I707" s="34"/>
      <c r="J707" s="34"/>
      <c r="K707" s="34"/>
      <c r="L707" s="34"/>
      <c r="M707" s="34"/>
      <c r="N707" s="34"/>
      <c r="O707" s="36"/>
      <c r="P707" s="34"/>
      <c r="Q707" s="87"/>
      <c r="R707" s="34"/>
      <c r="S707" s="66"/>
      <c r="T707" s="12"/>
      <c r="U707" s="12"/>
      <c r="V707" s="12"/>
      <c r="W707" s="12"/>
      <c r="X707" s="12"/>
      <c r="Y707" s="12"/>
      <c r="Z707" s="67"/>
      <c r="AA707" s="12"/>
      <c r="AB707" s="12"/>
      <c r="AC707" s="67"/>
      <c r="AD707" s="12"/>
      <c r="AE707" s="12"/>
      <c r="AF707" s="12"/>
    </row>
    <row r="708" ht="15.75" customHeight="1">
      <c r="A708" s="34"/>
      <c r="B708" s="34"/>
      <c r="C708" s="34"/>
      <c r="D708" s="34"/>
      <c r="E708" s="34"/>
      <c r="F708" s="35"/>
      <c r="G708" s="34"/>
      <c r="H708" s="34"/>
      <c r="I708" s="34"/>
      <c r="J708" s="34"/>
      <c r="K708" s="34"/>
      <c r="L708" s="34"/>
      <c r="M708" s="34"/>
      <c r="N708" s="34"/>
      <c r="O708" s="36"/>
      <c r="P708" s="34"/>
      <c r="Q708" s="87"/>
      <c r="R708" s="34"/>
      <c r="S708" s="66"/>
      <c r="T708" s="12"/>
      <c r="U708" s="12"/>
      <c r="V708" s="12"/>
      <c r="W708" s="12"/>
      <c r="X708" s="12"/>
      <c r="Y708" s="12"/>
      <c r="Z708" s="67"/>
      <c r="AA708" s="12"/>
      <c r="AB708" s="12"/>
      <c r="AC708" s="67"/>
      <c r="AD708" s="12"/>
      <c r="AE708" s="12"/>
      <c r="AF708" s="12"/>
    </row>
    <row r="709" ht="15.75" customHeight="1">
      <c r="A709" s="34"/>
      <c r="B709" s="34"/>
      <c r="C709" s="34"/>
      <c r="D709" s="34"/>
      <c r="E709" s="34"/>
      <c r="F709" s="35"/>
      <c r="G709" s="34"/>
      <c r="H709" s="34"/>
      <c r="I709" s="34"/>
      <c r="J709" s="34"/>
      <c r="K709" s="34"/>
      <c r="L709" s="34"/>
      <c r="M709" s="34"/>
      <c r="N709" s="34"/>
      <c r="O709" s="36"/>
      <c r="P709" s="34"/>
      <c r="Q709" s="87"/>
      <c r="R709" s="34"/>
      <c r="S709" s="66"/>
      <c r="T709" s="12"/>
      <c r="U709" s="12"/>
      <c r="V709" s="12"/>
      <c r="W709" s="12"/>
      <c r="X709" s="12"/>
      <c r="Y709" s="12"/>
      <c r="Z709" s="67"/>
      <c r="AA709" s="12"/>
      <c r="AB709" s="12"/>
      <c r="AC709" s="67"/>
      <c r="AD709" s="12"/>
      <c r="AE709" s="12"/>
      <c r="AF709" s="12"/>
    </row>
    <row r="710" ht="15.75" customHeight="1">
      <c r="A710" s="34"/>
      <c r="B710" s="34"/>
      <c r="C710" s="34"/>
      <c r="D710" s="34"/>
      <c r="E710" s="34"/>
      <c r="F710" s="35"/>
      <c r="G710" s="34"/>
      <c r="H710" s="34"/>
      <c r="I710" s="34"/>
      <c r="J710" s="34"/>
      <c r="K710" s="34"/>
      <c r="L710" s="34"/>
      <c r="M710" s="34"/>
      <c r="N710" s="34"/>
      <c r="O710" s="36"/>
      <c r="P710" s="34"/>
      <c r="Q710" s="87"/>
      <c r="R710" s="34"/>
      <c r="S710" s="66"/>
      <c r="T710" s="12"/>
      <c r="U710" s="12"/>
      <c r="V710" s="12"/>
      <c r="W710" s="12"/>
      <c r="X710" s="12"/>
      <c r="Y710" s="12"/>
      <c r="Z710" s="67"/>
      <c r="AA710" s="12"/>
      <c r="AB710" s="12"/>
      <c r="AC710" s="67"/>
      <c r="AD710" s="12"/>
      <c r="AE710" s="12"/>
      <c r="AF710" s="12"/>
    </row>
    <row r="711" ht="15.75" customHeight="1">
      <c r="A711" s="34"/>
      <c r="B711" s="34"/>
      <c r="C711" s="34"/>
      <c r="D711" s="34"/>
      <c r="E711" s="34"/>
      <c r="F711" s="35"/>
      <c r="G711" s="34"/>
      <c r="H711" s="34"/>
      <c r="I711" s="34"/>
      <c r="J711" s="34"/>
      <c r="K711" s="34"/>
      <c r="L711" s="34"/>
      <c r="M711" s="34"/>
      <c r="N711" s="34"/>
      <c r="O711" s="36"/>
      <c r="P711" s="34"/>
      <c r="Q711" s="87"/>
      <c r="R711" s="34"/>
      <c r="S711" s="66"/>
      <c r="T711" s="12"/>
      <c r="U711" s="12"/>
      <c r="V711" s="12"/>
      <c r="W711" s="12"/>
      <c r="X711" s="12"/>
      <c r="Y711" s="12"/>
      <c r="Z711" s="67"/>
      <c r="AA711" s="12"/>
      <c r="AB711" s="12"/>
      <c r="AC711" s="67"/>
      <c r="AD711" s="12"/>
      <c r="AE711" s="12"/>
      <c r="AF711" s="12"/>
    </row>
    <row r="712" ht="15.75" customHeight="1">
      <c r="A712" s="34"/>
      <c r="B712" s="34"/>
      <c r="C712" s="34"/>
      <c r="D712" s="34"/>
      <c r="E712" s="34"/>
      <c r="F712" s="35"/>
      <c r="G712" s="34"/>
      <c r="H712" s="34"/>
      <c r="I712" s="34"/>
      <c r="J712" s="34"/>
      <c r="K712" s="34"/>
      <c r="L712" s="34"/>
      <c r="M712" s="34"/>
      <c r="N712" s="34"/>
      <c r="O712" s="36"/>
      <c r="P712" s="34"/>
      <c r="Q712" s="87"/>
      <c r="R712" s="34"/>
      <c r="S712" s="66"/>
      <c r="T712" s="12"/>
      <c r="U712" s="12"/>
      <c r="V712" s="12"/>
      <c r="W712" s="12"/>
      <c r="X712" s="12"/>
      <c r="Y712" s="12"/>
      <c r="Z712" s="67"/>
      <c r="AA712" s="12"/>
      <c r="AB712" s="12"/>
      <c r="AC712" s="67"/>
      <c r="AD712" s="12"/>
      <c r="AE712" s="12"/>
      <c r="AF712" s="12"/>
    </row>
    <row r="713" ht="15.75" customHeight="1">
      <c r="A713" s="34"/>
      <c r="B713" s="34"/>
      <c r="C713" s="34"/>
      <c r="D713" s="34"/>
      <c r="E713" s="34"/>
      <c r="F713" s="35"/>
      <c r="G713" s="34"/>
      <c r="H713" s="34"/>
      <c r="I713" s="34"/>
      <c r="J713" s="34"/>
      <c r="K713" s="34"/>
      <c r="L713" s="34"/>
      <c r="M713" s="34"/>
      <c r="N713" s="34"/>
      <c r="O713" s="36"/>
      <c r="P713" s="34"/>
      <c r="Q713" s="87"/>
      <c r="R713" s="34"/>
      <c r="S713" s="66"/>
      <c r="T713" s="12"/>
      <c r="U713" s="12"/>
      <c r="V713" s="12"/>
      <c r="W713" s="12"/>
      <c r="X713" s="12"/>
      <c r="Y713" s="12"/>
      <c r="Z713" s="67"/>
      <c r="AA713" s="12"/>
      <c r="AB713" s="12"/>
      <c r="AC713" s="67"/>
      <c r="AD713" s="12"/>
      <c r="AE713" s="12"/>
      <c r="AF713" s="12"/>
    </row>
    <row r="714" ht="15.75" customHeight="1">
      <c r="A714" s="34"/>
      <c r="B714" s="34"/>
      <c r="C714" s="34"/>
      <c r="D714" s="34"/>
      <c r="E714" s="34"/>
      <c r="F714" s="35"/>
      <c r="G714" s="34"/>
      <c r="H714" s="34"/>
      <c r="I714" s="34"/>
      <c r="J714" s="34"/>
      <c r="K714" s="34"/>
      <c r="L714" s="34"/>
      <c r="M714" s="34"/>
      <c r="N714" s="34"/>
      <c r="O714" s="36"/>
      <c r="P714" s="34"/>
      <c r="Q714" s="87"/>
      <c r="R714" s="34"/>
      <c r="S714" s="66"/>
      <c r="T714" s="12"/>
      <c r="U714" s="12"/>
      <c r="V714" s="12"/>
      <c r="W714" s="12"/>
      <c r="X714" s="12"/>
      <c r="Y714" s="12"/>
      <c r="Z714" s="67"/>
      <c r="AA714" s="12"/>
      <c r="AB714" s="12"/>
      <c r="AC714" s="67"/>
      <c r="AD714" s="12"/>
      <c r="AE714" s="12"/>
      <c r="AF714" s="12"/>
    </row>
    <row r="715" ht="15.75" customHeight="1">
      <c r="A715" s="34"/>
      <c r="B715" s="34"/>
      <c r="C715" s="34"/>
      <c r="D715" s="34"/>
      <c r="E715" s="34"/>
      <c r="F715" s="35"/>
      <c r="G715" s="34"/>
      <c r="H715" s="34"/>
      <c r="I715" s="34"/>
      <c r="J715" s="34"/>
      <c r="K715" s="34"/>
      <c r="L715" s="34"/>
      <c r="M715" s="34"/>
      <c r="N715" s="34"/>
      <c r="O715" s="36"/>
      <c r="P715" s="34"/>
      <c r="Q715" s="87"/>
      <c r="R715" s="34"/>
      <c r="S715" s="66"/>
      <c r="T715" s="12"/>
      <c r="U715" s="12"/>
      <c r="V715" s="12"/>
      <c r="W715" s="12"/>
      <c r="X715" s="12"/>
      <c r="Y715" s="12"/>
      <c r="Z715" s="67"/>
      <c r="AA715" s="12"/>
      <c r="AB715" s="12"/>
      <c r="AC715" s="67"/>
      <c r="AD715" s="12"/>
      <c r="AE715" s="12"/>
      <c r="AF715" s="12"/>
    </row>
    <row r="716" ht="15.75" customHeight="1">
      <c r="A716" s="34"/>
      <c r="B716" s="34"/>
      <c r="C716" s="34"/>
      <c r="D716" s="34"/>
      <c r="E716" s="34"/>
      <c r="F716" s="35"/>
      <c r="G716" s="34"/>
      <c r="H716" s="34"/>
      <c r="I716" s="34"/>
      <c r="J716" s="34"/>
      <c r="K716" s="34"/>
      <c r="L716" s="34"/>
      <c r="M716" s="34"/>
      <c r="N716" s="34"/>
      <c r="O716" s="36"/>
      <c r="P716" s="34"/>
      <c r="Q716" s="87"/>
      <c r="R716" s="34"/>
      <c r="S716" s="66"/>
      <c r="T716" s="12"/>
      <c r="U716" s="12"/>
      <c r="V716" s="12"/>
      <c r="W716" s="12"/>
      <c r="X716" s="12"/>
      <c r="Y716" s="12"/>
      <c r="Z716" s="67"/>
      <c r="AA716" s="12"/>
      <c r="AB716" s="12"/>
      <c r="AC716" s="67"/>
      <c r="AD716" s="12"/>
      <c r="AE716" s="12"/>
      <c r="AF716" s="12"/>
    </row>
    <row r="717" ht="15.75" customHeight="1">
      <c r="A717" s="34"/>
      <c r="B717" s="34"/>
      <c r="C717" s="34"/>
      <c r="D717" s="34"/>
      <c r="E717" s="34"/>
      <c r="F717" s="35"/>
      <c r="G717" s="34"/>
      <c r="H717" s="34"/>
      <c r="I717" s="34"/>
      <c r="J717" s="34"/>
      <c r="K717" s="34"/>
      <c r="L717" s="34"/>
      <c r="M717" s="34"/>
      <c r="N717" s="34"/>
      <c r="O717" s="36"/>
      <c r="P717" s="34"/>
      <c r="Q717" s="87"/>
      <c r="R717" s="34"/>
      <c r="S717" s="66"/>
      <c r="T717" s="12"/>
      <c r="U717" s="12"/>
      <c r="V717" s="12"/>
      <c r="W717" s="12"/>
      <c r="X717" s="12"/>
      <c r="Y717" s="12"/>
      <c r="Z717" s="67"/>
      <c r="AA717" s="12"/>
      <c r="AB717" s="12"/>
      <c r="AC717" s="67"/>
      <c r="AD717" s="12"/>
      <c r="AE717" s="12"/>
      <c r="AF717" s="12"/>
    </row>
    <row r="718" ht="15.75" customHeight="1">
      <c r="A718" s="34"/>
      <c r="B718" s="34"/>
      <c r="C718" s="34"/>
      <c r="D718" s="34"/>
      <c r="E718" s="34"/>
      <c r="F718" s="35"/>
      <c r="G718" s="34"/>
      <c r="H718" s="34"/>
      <c r="I718" s="34"/>
      <c r="J718" s="34"/>
      <c r="K718" s="34"/>
      <c r="L718" s="34"/>
      <c r="M718" s="34"/>
      <c r="N718" s="34"/>
      <c r="O718" s="36"/>
      <c r="P718" s="34"/>
      <c r="Q718" s="87"/>
      <c r="R718" s="34"/>
      <c r="S718" s="66"/>
      <c r="T718" s="12"/>
      <c r="U718" s="12"/>
      <c r="V718" s="12"/>
      <c r="W718" s="12"/>
      <c r="X718" s="12"/>
      <c r="Y718" s="12"/>
      <c r="Z718" s="67"/>
      <c r="AA718" s="12"/>
      <c r="AB718" s="12"/>
      <c r="AC718" s="67"/>
      <c r="AD718" s="12"/>
      <c r="AE718" s="12"/>
      <c r="AF718" s="12"/>
    </row>
    <row r="719" ht="15.75" customHeight="1">
      <c r="A719" s="34"/>
      <c r="B719" s="34"/>
      <c r="C719" s="34"/>
      <c r="D719" s="34"/>
      <c r="E719" s="34"/>
      <c r="F719" s="35"/>
      <c r="G719" s="34"/>
      <c r="H719" s="34"/>
      <c r="I719" s="34"/>
      <c r="J719" s="34"/>
      <c r="K719" s="34"/>
      <c r="L719" s="34"/>
      <c r="M719" s="34"/>
      <c r="N719" s="34"/>
      <c r="O719" s="36"/>
      <c r="P719" s="34"/>
      <c r="Q719" s="87"/>
      <c r="R719" s="34"/>
      <c r="S719" s="66"/>
      <c r="T719" s="12"/>
      <c r="U719" s="12"/>
      <c r="V719" s="12"/>
      <c r="W719" s="12"/>
      <c r="X719" s="12"/>
      <c r="Y719" s="12"/>
      <c r="Z719" s="67"/>
      <c r="AA719" s="12"/>
      <c r="AB719" s="12"/>
      <c r="AC719" s="67"/>
      <c r="AD719" s="12"/>
      <c r="AE719" s="12"/>
      <c r="AF719" s="12"/>
    </row>
    <row r="720" ht="15.75" customHeight="1">
      <c r="A720" s="34"/>
      <c r="B720" s="34"/>
      <c r="C720" s="34"/>
      <c r="D720" s="34"/>
      <c r="E720" s="34"/>
      <c r="F720" s="35"/>
      <c r="G720" s="34"/>
      <c r="H720" s="34"/>
      <c r="I720" s="34"/>
      <c r="J720" s="34"/>
      <c r="K720" s="34"/>
      <c r="L720" s="34"/>
      <c r="M720" s="34"/>
      <c r="N720" s="34"/>
      <c r="O720" s="36"/>
      <c r="P720" s="34"/>
      <c r="Q720" s="87"/>
      <c r="R720" s="34"/>
      <c r="S720" s="66"/>
      <c r="T720" s="12"/>
      <c r="U720" s="12"/>
      <c r="V720" s="12"/>
      <c r="W720" s="12"/>
      <c r="X720" s="12"/>
      <c r="Y720" s="12"/>
      <c r="Z720" s="67"/>
      <c r="AA720" s="12"/>
      <c r="AB720" s="12"/>
      <c r="AC720" s="67"/>
      <c r="AD720" s="12"/>
      <c r="AE720" s="12"/>
      <c r="AF720" s="12"/>
    </row>
    <row r="721" ht="15.75" customHeight="1">
      <c r="A721" s="34"/>
      <c r="B721" s="34"/>
      <c r="C721" s="34"/>
      <c r="D721" s="34"/>
      <c r="E721" s="34"/>
      <c r="F721" s="35"/>
      <c r="G721" s="34"/>
      <c r="H721" s="34"/>
      <c r="I721" s="34"/>
      <c r="J721" s="34"/>
      <c r="K721" s="34"/>
      <c r="L721" s="34"/>
      <c r="M721" s="34"/>
      <c r="N721" s="34"/>
      <c r="O721" s="36"/>
      <c r="P721" s="34"/>
      <c r="Q721" s="87"/>
      <c r="R721" s="34"/>
      <c r="S721" s="66"/>
      <c r="T721" s="12"/>
      <c r="U721" s="12"/>
      <c r="V721" s="12"/>
      <c r="W721" s="12"/>
      <c r="X721" s="12"/>
      <c r="Y721" s="12"/>
      <c r="Z721" s="67"/>
      <c r="AA721" s="12"/>
      <c r="AB721" s="12"/>
      <c r="AC721" s="67"/>
      <c r="AD721" s="12"/>
      <c r="AE721" s="12"/>
      <c r="AF721" s="12"/>
    </row>
    <row r="722" ht="15.75" customHeight="1">
      <c r="A722" s="34"/>
      <c r="B722" s="34"/>
      <c r="C722" s="34"/>
      <c r="D722" s="34"/>
      <c r="E722" s="34"/>
      <c r="F722" s="35"/>
      <c r="G722" s="34"/>
      <c r="H722" s="34"/>
      <c r="I722" s="34"/>
      <c r="J722" s="34"/>
      <c r="K722" s="34"/>
      <c r="L722" s="34"/>
      <c r="M722" s="34"/>
      <c r="N722" s="34"/>
      <c r="O722" s="36"/>
      <c r="P722" s="34"/>
      <c r="Q722" s="87"/>
      <c r="R722" s="34"/>
      <c r="S722" s="66"/>
      <c r="T722" s="12"/>
      <c r="U722" s="12"/>
      <c r="V722" s="12"/>
      <c r="W722" s="12"/>
      <c r="X722" s="12"/>
      <c r="Y722" s="12"/>
      <c r="Z722" s="67"/>
      <c r="AA722" s="12"/>
      <c r="AB722" s="12"/>
      <c r="AC722" s="67"/>
      <c r="AD722" s="12"/>
      <c r="AE722" s="12"/>
      <c r="AF722" s="12"/>
    </row>
    <row r="723" ht="15.75" customHeight="1">
      <c r="A723" s="34"/>
      <c r="B723" s="34"/>
      <c r="C723" s="34"/>
      <c r="D723" s="34"/>
      <c r="E723" s="34"/>
      <c r="F723" s="35"/>
      <c r="G723" s="34"/>
      <c r="H723" s="34"/>
      <c r="I723" s="34"/>
      <c r="J723" s="34"/>
      <c r="K723" s="34"/>
      <c r="L723" s="34"/>
      <c r="M723" s="34"/>
      <c r="N723" s="34"/>
      <c r="O723" s="36"/>
      <c r="P723" s="34"/>
      <c r="Q723" s="87"/>
      <c r="R723" s="34"/>
      <c r="S723" s="66"/>
      <c r="T723" s="12"/>
      <c r="U723" s="12"/>
      <c r="V723" s="12"/>
      <c r="W723" s="12"/>
      <c r="X723" s="12"/>
      <c r="Y723" s="12"/>
      <c r="Z723" s="67"/>
      <c r="AA723" s="12"/>
      <c r="AB723" s="12"/>
      <c r="AC723" s="67"/>
      <c r="AD723" s="12"/>
      <c r="AE723" s="12"/>
      <c r="AF723" s="12"/>
    </row>
    <row r="724" ht="15.75" customHeight="1">
      <c r="A724" s="34"/>
      <c r="B724" s="34"/>
      <c r="C724" s="34"/>
      <c r="D724" s="34"/>
      <c r="E724" s="34"/>
      <c r="F724" s="35"/>
      <c r="G724" s="34"/>
      <c r="H724" s="34"/>
      <c r="I724" s="34"/>
      <c r="J724" s="34"/>
      <c r="K724" s="34"/>
      <c r="L724" s="34"/>
      <c r="M724" s="34"/>
      <c r="N724" s="34"/>
      <c r="O724" s="36"/>
      <c r="P724" s="34"/>
      <c r="Q724" s="87"/>
      <c r="R724" s="34"/>
      <c r="S724" s="66"/>
      <c r="T724" s="12"/>
      <c r="U724" s="12"/>
      <c r="V724" s="12"/>
      <c r="W724" s="12"/>
      <c r="X724" s="12"/>
      <c r="Y724" s="12"/>
      <c r="Z724" s="67"/>
      <c r="AA724" s="12"/>
      <c r="AB724" s="12"/>
      <c r="AC724" s="67"/>
      <c r="AD724" s="12"/>
      <c r="AE724" s="12"/>
      <c r="AF724" s="12"/>
    </row>
    <row r="725" ht="15.75" customHeight="1">
      <c r="A725" s="34"/>
      <c r="B725" s="34"/>
      <c r="C725" s="34"/>
      <c r="D725" s="34"/>
      <c r="E725" s="34"/>
      <c r="F725" s="35"/>
      <c r="G725" s="34"/>
      <c r="H725" s="34"/>
      <c r="I725" s="34"/>
      <c r="J725" s="34"/>
      <c r="K725" s="34"/>
      <c r="L725" s="34"/>
      <c r="M725" s="34"/>
      <c r="N725" s="34"/>
      <c r="O725" s="36"/>
      <c r="P725" s="34"/>
      <c r="Q725" s="87"/>
      <c r="R725" s="34"/>
      <c r="S725" s="66"/>
      <c r="T725" s="12"/>
      <c r="U725" s="12"/>
      <c r="V725" s="12"/>
      <c r="W725" s="12"/>
      <c r="X725" s="12"/>
      <c r="Y725" s="12"/>
      <c r="Z725" s="67"/>
      <c r="AA725" s="12"/>
      <c r="AB725" s="12"/>
      <c r="AC725" s="67"/>
      <c r="AD725" s="12"/>
      <c r="AE725" s="12"/>
      <c r="AF725" s="12"/>
    </row>
    <row r="726" ht="15.75" customHeight="1">
      <c r="A726" s="34"/>
      <c r="B726" s="34"/>
      <c r="C726" s="34"/>
      <c r="D726" s="34"/>
      <c r="E726" s="34"/>
      <c r="F726" s="35"/>
      <c r="G726" s="34"/>
      <c r="H726" s="34"/>
      <c r="I726" s="34"/>
      <c r="J726" s="34"/>
      <c r="K726" s="34"/>
      <c r="L726" s="34"/>
      <c r="M726" s="34"/>
      <c r="N726" s="34"/>
      <c r="O726" s="36"/>
      <c r="P726" s="34"/>
      <c r="Q726" s="87"/>
      <c r="R726" s="34"/>
      <c r="S726" s="66"/>
      <c r="T726" s="12"/>
      <c r="U726" s="12"/>
      <c r="V726" s="12"/>
      <c r="W726" s="12"/>
      <c r="X726" s="12"/>
      <c r="Y726" s="12"/>
      <c r="Z726" s="67"/>
      <c r="AA726" s="12"/>
      <c r="AB726" s="12"/>
      <c r="AC726" s="67"/>
      <c r="AD726" s="12"/>
      <c r="AE726" s="12"/>
      <c r="AF726" s="12"/>
    </row>
    <row r="727" ht="15.75" customHeight="1">
      <c r="A727" s="34"/>
      <c r="B727" s="34"/>
      <c r="C727" s="34"/>
      <c r="D727" s="34"/>
      <c r="E727" s="34"/>
      <c r="F727" s="35"/>
      <c r="G727" s="34"/>
      <c r="H727" s="34"/>
      <c r="I727" s="34"/>
      <c r="J727" s="34"/>
      <c r="K727" s="34"/>
      <c r="L727" s="34"/>
      <c r="M727" s="34"/>
      <c r="N727" s="34"/>
      <c r="O727" s="36"/>
      <c r="P727" s="34"/>
      <c r="Q727" s="87"/>
      <c r="R727" s="34"/>
      <c r="S727" s="66"/>
      <c r="T727" s="12"/>
      <c r="U727" s="12"/>
      <c r="V727" s="12"/>
      <c r="W727" s="12"/>
      <c r="X727" s="12"/>
      <c r="Y727" s="12"/>
      <c r="Z727" s="67"/>
      <c r="AA727" s="12"/>
      <c r="AB727" s="12"/>
      <c r="AC727" s="67"/>
      <c r="AD727" s="12"/>
      <c r="AE727" s="12"/>
      <c r="AF727" s="12"/>
    </row>
    <row r="728" ht="15.75" customHeight="1">
      <c r="A728" s="34"/>
      <c r="B728" s="34"/>
      <c r="C728" s="34"/>
      <c r="D728" s="34"/>
      <c r="E728" s="34"/>
      <c r="F728" s="35"/>
      <c r="G728" s="34"/>
      <c r="H728" s="34"/>
      <c r="I728" s="34"/>
      <c r="J728" s="34"/>
      <c r="K728" s="34"/>
      <c r="L728" s="34"/>
      <c r="M728" s="34"/>
      <c r="N728" s="34"/>
      <c r="O728" s="36"/>
      <c r="P728" s="34"/>
      <c r="Q728" s="87"/>
      <c r="R728" s="34"/>
      <c r="S728" s="66"/>
      <c r="T728" s="12"/>
      <c r="U728" s="12"/>
      <c r="V728" s="12"/>
      <c r="W728" s="12"/>
      <c r="X728" s="12"/>
      <c r="Y728" s="12"/>
      <c r="Z728" s="67"/>
      <c r="AA728" s="12"/>
      <c r="AB728" s="12"/>
      <c r="AC728" s="67"/>
      <c r="AD728" s="12"/>
      <c r="AE728" s="12"/>
      <c r="AF728" s="12"/>
    </row>
    <row r="729" ht="15.75" customHeight="1">
      <c r="A729" s="34"/>
      <c r="B729" s="34"/>
      <c r="C729" s="34"/>
      <c r="D729" s="34"/>
      <c r="E729" s="34"/>
      <c r="F729" s="35"/>
      <c r="G729" s="34"/>
      <c r="H729" s="34"/>
      <c r="I729" s="34"/>
      <c r="J729" s="34"/>
      <c r="K729" s="34"/>
      <c r="L729" s="34"/>
      <c r="M729" s="34"/>
      <c r="N729" s="34"/>
      <c r="O729" s="36"/>
      <c r="P729" s="34"/>
      <c r="Q729" s="87"/>
      <c r="R729" s="34"/>
      <c r="S729" s="66"/>
      <c r="T729" s="12"/>
      <c r="U729" s="12"/>
      <c r="V729" s="12"/>
      <c r="W729" s="12"/>
      <c r="X729" s="12"/>
      <c r="Y729" s="12"/>
      <c r="Z729" s="67"/>
      <c r="AA729" s="12"/>
      <c r="AB729" s="12"/>
      <c r="AC729" s="67"/>
      <c r="AD729" s="12"/>
      <c r="AE729" s="12"/>
      <c r="AF729" s="12"/>
    </row>
    <row r="730" ht="15.75" customHeight="1">
      <c r="A730" s="34"/>
      <c r="B730" s="34"/>
      <c r="C730" s="34"/>
      <c r="D730" s="34"/>
      <c r="E730" s="34"/>
      <c r="F730" s="35"/>
      <c r="G730" s="34"/>
      <c r="H730" s="34"/>
      <c r="I730" s="34"/>
      <c r="J730" s="34"/>
      <c r="K730" s="34"/>
      <c r="L730" s="34"/>
      <c r="M730" s="34"/>
      <c r="N730" s="34"/>
      <c r="O730" s="36"/>
      <c r="P730" s="34"/>
      <c r="Q730" s="87"/>
      <c r="R730" s="34"/>
      <c r="S730" s="66"/>
      <c r="T730" s="12"/>
      <c r="U730" s="12"/>
      <c r="V730" s="12"/>
      <c r="W730" s="12"/>
      <c r="X730" s="12"/>
      <c r="Y730" s="12"/>
      <c r="Z730" s="67"/>
      <c r="AA730" s="12"/>
      <c r="AB730" s="12"/>
      <c r="AC730" s="67"/>
      <c r="AD730" s="12"/>
      <c r="AE730" s="12"/>
      <c r="AF730" s="12"/>
    </row>
    <row r="731" ht="15.75" customHeight="1">
      <c r="A731" s="34"/>
      <c r="B731" s="34"/>
      <c r="C731" s="34"/>
      <c r="D731" s="34"/>
      <c r="E731" s="34"/>
      <c r="F731" s="35"/>
      <c r="G731" s="34"/>
      <c r="H731" s="34"/>
      <c r="I731" s="34"/>
      <c r="J731" s="34"/>
      <c r="K731" s="34"/>
      <c r="L731" s="34"/>
      <c r="M731" s="34"/>
      <c r="N731" s="34"/>
      <c r="O731" s="36"/>
      <c r="P731" s="34"/>
      <c r="Q731" s="87"/>
      <c r="R731" s="34"/>
      <c r="S731" s="66"/>
      <c r="T731" s="12"/>
      <c r="U731" s="12"/>
      <c r="V731" s="12"/>
      <c r="W731" s="12"/>
      <c r="X731" s="12"/>
      <c r="Y731" s="12"/>
      <c r="Z731" s="67"/>
      <c r="AA731" s="12"/>
      <c r="AB731" s="12"/>
      <c r="AC731" s="67"/>
      <c r="AD731" s="12"/>
      <c r="AE731" s="12"/>
      <c r="AF731" s="12"/>
    </row>
    <row r="732" ht="15.75" customHeight="1">
      <c r="A732" s="34"/>
      <c r="B732" s="34"/>
      <c r="C732" s="34"/>
      <c r="D732" s="34"/>
      <c r="E732" s="34"/>
      <c r="F732" s="35"/>
      <c r="G732" s="34"/>
      <c r="H732" s="34"/>
      <c r="I732" s="34"/>
      <c r="J732" s="34"/>
      <c r="K732" s="34"/>
      <c r="L732" s="34"/>
      <c r="M732" s="34"/>
      <c r="N732" s="34"/>
      <c r="O732" s="36"/>
      <c r="P732" s="34"/>
      <c r="Q732" s="87"/>
      <c r="R732" s="34"/>
      <c r="S732" s="66"/>
      <c r="T732" s="12"/>
      <c r="U732" s="12"/>
      <c r="V732" s="12"/>
      <c r="W732" s="12"/>
      <c r="X732" s="12"/>
      <c r="Y732" s="12"/>
      <c r="Z732" s="67"/>
      <c r="AA732" s="12"/>
      <c r="AB732" s="12"/>
      <c r="AC732" s="67"/>
      <c r="AD732" s="12"/>
      <c r="AE732" s="12"/>
      <c r="AF732" s="12"/>
    </row>
    <row r="733" ht="15.75" customHeight="1">
      <c r="A733" s="34"/>
      <c r="B733" s="34"/>
      <c r="C733" s="34"/>
      <c r="D733" s="34"/>
      <c r="E733" s="34"/>
      <c r="F733" s="35"/>
      <c r="G733" s="34"/>
      <c r="H733" s="34"/>
      <c r="I733" s="34"/>
      <c r="J733" s="34"/>
      <c r="K733" s="34"/>
      <c r="L733" s="34"/>
      <c r="M733" s="34"/>
      <c r="N733" s="34"/>
      <c r="O733" s="36"/>
      <c r="P733" s="34"/>
      <c r="Q733" s="87"/>
      <c r="R733" s="34"/>
      <c r="S733" s="66"/>
      <c r="T733" s="12"/>
      <c r="U733" s="12"/>
      <c r="V733" s="12"/>
      <c r="W733" s="12"/>
      <c r="X733" s="12"/>
      <c r="Y733" s="12"/>
      <c r="Z733" s="67"/>
      <c r="AA733" s="12"/>
      <c r="AB733" s="12"/>
      <c r="AC733" s="67"/>
      <c r="AD733" s="12"/>
      <c r="AE733" s="12"/>
      <c r="AF733" s="12"/>
    </row>
    <row r="734" ht="15.75" customHeight="1">
      <c r="A734" s="34"/>
      <c r="B734" s="34"/>
      <c r="C734" s="34"/>
      <c r="D734" s="34"/>
      <c r="E734" s="34"/>
      <c r="F734" s="35"/>
      <c r="G734" s="34"/>
      <c r="H734" s="34"/>
      <c r="I734" s="34"/>
      <c r="J734" s="34"/>
      <c r="K734" s="34"/>
      <c r="L734" s="34"/>
      <c r="M734" s="34"/>
      <c r="N734" s="34"/>
      <c r="O734" s="36"/>
      <c r="P734" s="34"/>
      <c r="Q734" s="87"/>
      <c r="R734" s="34"/>
      <c r="S734" s="66"/>
      <c r="T734" s="12"/>
      <c r="U734" s="12"/>
      <c r="V734" s="12"/>
      <c r="W734" s="12"/>
      <c r="X734" s="12"/>
      <c r="Y734" s="12"/>
      <c r="Z734" s="67"/>
      <c r="AA734" s="12"/>
      <c r="AB734" s="12"/>
      <c r="AC734" s="67"/>
      <c r="AD734" s="12"/>
      <c r="AE734" s="12"/>
      <c r="AF734" s="12"/>
    </row>
    <row r="735" ht="15.75" customHeight="1">
      <c r="A735" s="34"/>
      <c r="B735" s="34"/>
      <c r="C735" s="34"/>
      <c r="D735" s="34"/>
      <c r="E735" s="34"/>
      <c r="F735" s="35"/>
      <c r="G735" s="34"/>
      <c r="H735" s="34"/>
      <c r="I735" s="34"/>
      <c r="J735" s="34"/>
      <c r="K735" s="34"/>
      <c r="L735" s="34"/>
      <c r="M735" s="34"/>
      <c r="N735" s="34"/>
      <c r="O735" s="36"/>
      <c r="P735" s="34"/>
      <c r="Q735" s="87"/>
      <c r="R735" s="34"/>
      <c r="S735" s="66"/>
      <c r="T735" s="12"/>
      <c r="U735" s="12"/>
      <c r="V735" s="12"/>
      <c r="W735" s="12"/>
      <c r="X735" s="12"/>
      <c r="Y735" s="12"/>
      <c r="Z735" s="67"/>
      <c r="AA735" s="12"/>
      <c r="AB735" s="12"/>
      <c r="AC735" s="67"/>
      <c r="AD735" s="12"/>
      <c r="AE735" s="12"/>
      <c r="AF735" s="12"/>
    </row>
    <row r="736" ht="15.75" customHeight="1">
      <c r="A736" s="34"/>
      <c r="B736" s="34"/>
      <c r="C736" s="34"/>
      <c r="D736" s="34"/>
      <c r="E736" s="34"/>
      <c r="F736" s="35"/>
      <c r="G736" s="34"/>
      <c r="H736" s="34"/>
      <c r="I736" s="34"/>
      <c r="J736" s="34"/>
      <c r="K736" s="34"/>
      <c r="L736" s="34"/>
      <c r="M736" s="34"/>
      <c r="N736" s="34"/>
      <c r="O736" s="36"/>
      <c r="P736" s="34"/>
      <c r="Q736" s="87"/>
      <c r="R736" s="34"/>
      <c r="S736" s="66"/>
      <c r="T736" s="12"/>
      <c r="U736" s="12"/>
      <c r="V736" s="12"/>
      <c r="W736" s="12"/>
      <c r="X736" s="12"/>
      <c r="Y736" s="12"/>
      <c r="Z736" s="67"/>
      <c r="AA736" s="12"/>
      <c r="AB736" s="12"/>
      <c r="AC736" s="67"/>
      <c r="AD736" s="12"/>
      <c r="AE736" s="12"/>
      <c r="AF736" s="12"/>
    </row>
    <row r="737" ht="15.75" customHeight="1">
      <c r="A737" s="34"/>
      <c r="B737" s="34"/>
      <c r="C737" s="34"/>
      <c r="D737" s="34"/>
      <c r="E737" s="34"/>
      <c r="F737" s="35"/>
      <c r="G737" s="34"/>
      <c r="H737" s="34"/>
      <c r="I737" s="34"/>
      <c r="J737" s="34"/>
      <c r="K737" s="34"/>
      <c r="L737" s="34"/>
      <c r="M737" s="34"/>
      <c r="N737" s="34"/>
      <c r="O737" s="36"/>
      <c r="P737" s="34"/>
      <c r="Q737" s="87"/>
      <c r="R737" s="34"/>
      <c r="S737" s="66"/>
      <c r="T737" s="12"/>
      <c r="U737" s="12"/>
      <c r="V737" s="12"/>
      <c r="W737" s="12"/>
      <c r="X737" s="12"/>
      <c r="Y737" s="12"/>
      <c r="Z737" s="67"/>
      <c r="AA737" s="12"/>
      <c r="AB737" s="12"/>
      <c r="AC737" s="67"/>
      <c r="AD737" s="12"/>
      <c r="AE737" s="12"/>
      <c r="AF737" s="12"/>
    </row>
    <row r="738" ht="15.75" customHeight="1">
      <c r="A738" s="34"/>
      <c r="B738" s="34"/>
      <c r="C738" s="34"/>
      <c r="D738" s="34"/>
      <c r="E738" s="34"/>
      <c r="F738" s="35"/>
      <c r="G738" s="34"/>
      <c r="H738" s="34"/>
      <c r="I738" s="34"/>
      <c r="J738" s="34"/>
      <c r="K738" s="34"/>
      <c r="L738" s="34"/>
      <c r="M738" s="34"/>
      <c r="N738" s="34"/>
      <c r="O738" s="36"/>
      <c r="P738" s="34"/>
      <c r="Q738" s="87"/>
      <c r="R738" s="34"/>
      <c r="S738" s="66"/>
      <c r="T738" s="12"/>
      <c r="U738" s="12"/>
      <c r="V738" s="12"/>
      <c r="W738" s="12"/>
      <c r="X738" s="12"/>
      <c r="Y738" s="12"/>
      <c r="Z738" s="67"/>
      <c r="AA738" s="12"/>
      <c r="AB738" s="12"/>
      <c r="AC738" s="67"/>
      <c r="AD738" s="12"/>
      <c r="AE738" s="12"/>
      <c r="AF738" s="12"/>
    </row>
    <row r="739" ht="15.75" customHeight="1">
      <c r="A739" s="34"/>
      <c r="B739" s="34"/>
      <c r="C739" s="34"/>
      <c r="D739" s="34"/>
      <c r="E739" s="34"/>
      <c r="F739" s="35"/>
      <c r="G739" s="34"/>
      <c r="H739" s="34"/>
      <c r="I739" s="34"/>
      <c r="J739" s="34"/>
      <c r="K739" s="34"/>
      <c r="L739" s="34"/>
      <c r="M739" s="34"/>
      <c r="N739" s="34"/>
      <c r="O739" s="36"/>
      <c r="P739" s="34"/>
      <c r="Q739" s="87"/>
      <c r="R739" s="34"/>
      <c r="S739" s="66"/>
      <c r="T739" s="12"/>
      <c r="U739" s="12"/>
      <c r="V739" s="12"/>
      <c r="W739" s="12"/>
      <c r="X739" s="12"/>
      <c r="Y739" s="12"/>
      <c r="Z739" s="67"/>
      <c r="AA739" s="12"/>
      <c r="AB739" s="12"/>
      <c r="AC739" s="67"/>
      <c r="AD739" s="12"/>
      <c r="AE739" s="12"/>
      <c r="AF739" s="12"/>
    </row>
    <row r="740" ht="15.75" customHeight="1">
      <c r="A740" s="34"/>
      <c r="B740" s="34"/>
      <c r="C740" s="34"/>
      <c r="D740" s="34"/>
      <c r="E740" s="34"/>
      <c r="F740" s="35"/>
      <c r="G740" s="34"/>
      <c r="H740" s="34"/>
      <c r="I740" s="34"/>
      <c r="J740" s="34"/>
      <c r="K740" s="34"/>
      <c r="L740" s="34"/>
      <c r="M740" s="34"/>
      <c r="N740" s="34"/>
      <c r="O740" s="36"/>
      <c r="P740" s="34"/>
      <c r="Q740" s="87"/>
      <c r="R740" s="34"/>
      <c r="S740" s="66"/>
      <c r="T740" s="12"/>
      <c r="U740" s="12"/>
      <c r="V740" s="12"/>
      <c r="W740" s="12"/>
      <c r="X740" s="12"/>
      <c r="Y740" s="12"/>
      <c r="Z740" s="67"/>
      <c r="AA740" s="12"/>
      <c r="AB740" s="12"/>
      <c r="AC740" s="67"/>
      <c r="AD740" s="12"/>
      <c r="AE740" s="12"/>
      <c r="AF740" s="12"/>
    </row>
    <row r="741" ht="15.75" customHeight="1">
      <c r="A741" s="34"/>
      <c r="B741" s="34"/>
      <c r="C741" s="34"/>
      <c r="D741" s="34"/>
      <c r="E741" s="34"/>
      <c r="F741" s="35"/>
      <c r="G741" s="34"/>
      <c r="H741" s="34"/>
      <c r="I741" s="34"/>
      <c r="J741" s="34"/>
      <c r="K741" s="34"/>
      <c r="L741" s="34"/>
      <c r="M741" s="34"/>
      <c r="N741" s="34"/>
      <c r="O741" s="36"/>
      <c r="P741" s="34"/>
      <c r="Q741" s="87"/>
      <c r="R741" s="34"/>
      <c r="S741" s="66"/>
      <c r="T741" s="12"/>
      <c r="U741" s="12"/>
      <c r="V741" s="12"/>
      <c r="W741" s="12"/>
      <c r="X741" s="12"/>
      <c r="Y741" s="12"/>
      <c r="Z741" s="67"/>
      <c r="AA741" s="12"/>
      <c r="AB741" s="12"/>
      <c r="AC741" s="67"/>
      <c r="AD741" s="12"/>
      <c r="AE741" s="12"/>
      <c r="AF741" s="12"/>
    </row>
    <row r="742" ht="15.75" customHeight="1">
      <c r="A742" s="34"/>
      <c r="B742" s="34"/>
      <c r="C742" s="34"/>
      <c r="D742" s="34"/>
      <c r="E742" s="34"/>
      <c r="F742" s="35"/>
      <c r="G742" s="34"/>
      <c r="H742" s="34"/>
      <c r="I742" s="34"/>
      <c r="J742" s="34"/>
      <c r="K742" s="34"/>
      <c r="L742" s="34"/>
      <c r="M742" s="34"/>
      <c r="N742" s="34"/>
      <c r="O742" s="36"/>
      <c r="P742" s="34"/>
      <c r="Q742" s="87"/>
      <c r="R742" s="34"/>
      <c r="S742" s="66"/>
      <c r="T742" s="12"/>
      <c r="U742" s="12"/>
      <c r="V742" s="12"/>
      <c r="W742" s="12"/>
      <c r="X742" s="12"/>
      <c r="Y742" s="12"/>
      <c r="Z742" s="67"/>
      <c r="AA742" s="12"/>
      <c r="AB742" s="12"/>
      <c r="AC742" s="67"/>
      <c r="AD742" s="12"/>
      <c r="AE742" s="12"/>
      <c r="AF742" s="12"/>
    </row>
    <row r="743" ht="15.75" customHeight="1">
      <c r="A743" s="34"/>
      <c r="B743" s="34"/>
      <c r="C743" s="34"/>
      <c r="D743" s="34"/>
      <c r="E743" s="34"/>
      <c r="F743" s="35"/>
      <c r="G743" s="34"/>
      <c r="H743" s="34"/>
      <c r="I743" s="34"/>
      <c r="J743" s="34"/>
      <c r="K743" s="34"/>
      <c r="L743" s="34"/>
      <c r="M743" s="34"/>
      <c r="N743" s="34"/>
      <c r="O743" s="36"/>
      <c r="P743" s="34"/>
      <c r="Q743" s="87"/>
      <c r="R743" s="34"/>
      <c r="S743" s="66"/>
      <c r="T743" s="12"/>
      <c r="U743" s="12"/>
      <c r="V743" s="12"/>
      <c r="W743" s="12"/>
      <c r="X743" s="12"/>
      <c r="Y743" s="12"/>
      <c r="Z743" s="67"/>
      <c r="AA743" s="12"/>
      <c r="AB743" s="12"/>
      <c r="AC743" s="67"/>
      <c r="AD743" s="12"/>
      <c r="AE743" s="12"/>
      <c r="AF743" s="12"/>
    </row>
    <row r="744" ht="15.75" customHeight="1">
      <c r="A744" s="34"/>
      <c r="B744" s="34"/>
      <c r="C744" s="34"/>
      <c r="D744" s="34"/>
      <c r="E744" s="34"/>
      <c r="F744" s="35"/>
      <c r="G744" s="34"/>
      <c r="H744" s="34"/>
      <c r="I744" s="34"/>
      <c r="J744" s="34"/>
      <c r="K744" s="34"/>
      <c r="L744" s="34"/>
      <c r="M744" s="34"/>
      <c r="N744" s="34"/>
      <c r="O744" s="36"/>
      <c r="P744" s="34"/>
      <c r="Q744" s="87"/>
      <c r="R744" s="34"/>
      <c r="S744" s="66"/>
      <c r="T744" s="12"/>
      <c r="U744" s="12"/>
      <c r="V744" s="12"/>
      <c r="W744" s="12"/>
      <c r="X744" s="12"/>
      <c r="Y744" s="12"/>
      <c r="Z744" s="67"/>
      <c r="AA744" s="12"/>
      <c r="AB744" s="12"/>
      <c r="AC744" s="67"/>
      <c r="AD744" s="12"/>
      <c r="AE744" s="12"/>
      <c r="AF744" s="12"/>
    </row>
    <row r="745" ht="15.75" customHeight="1">
      <c r="A745" s="34"/>
      <c r="B745" s="34"/>
      <c r="C745" s="34"/>
      <c r="D745" s="34"/>
      <c r="E745" s="34"/>
      <c r="F745" s="35"/>
      <c r="G745" s="34"/>
      <c r="H745" s="34"/>
      <c r="I745" s="34"/>
      <c r="J745" s="34"/>
      <c r="K745" s="34"/>
      <c r="L745" s="34"/>
      <c r="M745" s="34"/>
      <c r="N745" s="34"/>
      <c r="O745" s="36"/>
      <c r="P745" s="34"/>
      <c r="Q745" s="87"/>
      <c r="R745" s="34"/>
      <c r="S745" s="66"/>
      <c r="T745" s="12"/>
      <c r="U745" s="12"/>
      <c r="V745" s="12"/>
      <c r="W745" s="12"/>
      <c r="X745" s="12"/>
      <c r="Y745" s="12"/>
      <c r="Z745" s="67"/>
      <c r="AA745" s="12"/>
      <c r="AB745" s="12"/>
      <c r="AC745" s="67"/>
      <c r="AD745" s="12"/>
      <c r="AE745" s="12"/>
      <c r="AF745" s="12"/>
    </row>
    <row r="746" ht="15.75" customHeight="1">
      <c r="A746" s="34"/>
      <c r="B746" s="34"/>
      <c r="C746" s="34"/>
      <c r="D746" s="34"/>
      <c r="E746" s="34"/>
      <c r="F746" s="35"/>
      <c r="G746" s="34"/>
      <c r="H746" s="34"/>
      <c r="I746" s="34"/>
      <c r="J746" s="34"/>
      <c r="K746" s="34"/>
      <c r="L746" s="34"/>
      <c r="M746" s="34"/>
      <c r="N746" s="34"/>
      <c r="O746" s="36"/>
      <c r="P746" s="34"/>
      <c r="Q746" s="87"/>
      <c r="R746" s="34"/>
      <c r="S746" s="66"/>
      <c r="T746" s="12"/>
      <c r="U746" s="12"/>
      <c r="V746" s="12"/>
      <c r="W746" s="12"/>
      <c r="X746" s="12"/>
      <c r="Y746" s="12"/>
      <c r="Z746" s="67"/>
      <c r="AA746" s="12"/>
      <c r="AB746" s="12"/>
      <c r="AC746" s="67"/>
      <c r="AD746" s="12"/>
      <c r="AE746" s="12"/>
      <c r="AF746" s="12"/>
    </row>
    <row r="747" ht="15.75" customHeight="1">
      <c r="A747" s="34"/>
      <c r="B747" s="34"/>
      <c r="C747" s="34"/>
      <c r="D747" s="34"/>
      <c r="E747" s="34"/>
      <c r="F747" s="35"/>
      <c r="G747" s="34"/>
      <c r="H747" s="34"/>
      <c r="I747" s="34"/>
      <c r="J747" s="34"/>
      <c r="K747" s="34"/>
      <c r="L747" s="34"/>
      <c r="M747" s="34"/>
      <c r="N747" s="34"/>
      <c r="O747" s="36"/>
      <c r="P747" s="34"/>
      <c r="Q747" s="87"/>
      <c r="R747" s="34"/>
      <c r="S747" s="66"/>
      <c r="T747" s="12"/>
      <c r="U747" s="12"/>
      <c r="V747" s="12"/>
      <c r="W747" s="12"/>
      <c r="X747" s="12"/>
      <c r="Y747" s="12"/>
      <c r="Z747" s="67"/>
      <c r="AA747" s="12"/>
      <c r="AB747" s="12"/>
      <c r="AC747" s="67"/>
      <c r="AD747" s="12"/>
      <c r="AE747" s="12"/>
      <c r="AF747" s="12"/>
    </row>
    <row r="748" ht="15.75" customHeight="1">
      <c r="A748" s="34"/>
      <c r="B748" s="34"/>
      <c r="C748" s="34"/>
      <c r="D748" s="34"/>
      <c r="E748" s="34"/>
      <c r="F748" s="35"/>
      <c r="G748" s="34"/>
      <c r="H748" s="34"/>
      <c r="I748" s="34"/>
      <c r="J748" s="34"/>
      <c r="K748" s="34"/>
      <c r="L748" s="34"/>
      <c r="M748" s="34"/>
      <c r="N748" s="34"/>
      <c r="O748" s="36"/>
      <c r="P748" s="34"/>
      <c r="Q748" s="87"/>
      <c r="R748" s="34"/>
      <c r="S748" s="66"/>
      <c r="T748" s="12"/>
      <c r="U748" s="12"/>
      <c r="V748" s="12"/>
      <c r="W748" s="12"/>
      <c r="X748" s="12"/>
      <c r="Y748" s="12"/>
      <c r="Z748" s="67"/>
      <c r="AA748" s="12"/>
      <c r="AB748" s="12"/>
      <c r="AC748" s="67"/>
      <c r="AD748" s="12"/>
      <c r="AE748" s="12"/>
      <c r="AF748" s="12"/>
    </row>
    <row r="749" ht="15.75" customHeight="1">
      <c r="A749" s="34"/>
      <c r="B749" s="34"/>
      <c r="C749" s="34"/>
      <c r="D749" s="34"/>
      <c r="E749" s="34"/>
      <c r="F749" s="35"/>
      <c r="G749" s="34"/>
      <c r="H749" s="34"/>
      <c r="I749" s="34"/>
      <c r="J749" s="34"/>
      <c r="K749" s="34"/>
      <c r="L749" s="34"/>
      <c r="M749" s="34"/>
      <c r="N749" s="34"/>
      <c r="O749" s="36"/>
      <c r="P749" s="34"/>
      <c r="Q749" s="87"/>
      <c r="R749" s="34"/>
      <c r="S749" s="66"/>
      <c r="T749" s="12"/>
      <c r="U749" s="12"/>
      <c r="V749" s="12"/>
      <c r="W749" s="12"/>
      <c r="X749" s="12"/>
      <c r="Y749" s="12"/>
      <c r="Z749" s="67"/>
      <c r="AA749" s="12"/>
      <c r="AB749" s="12"/>
      <c r="AC749" s="67"/>
      <c r="AD749" s="12"/>
      <c r="AE749" s="12"/>
      <c r="AF749" s="12"/>
    </row>
    <row r="750" ht="15.75" customHeight="1">
      <c r="A750" s="34"/>
      <c r="B750" s="34"/>
      <c r="C750" s="34"/>
      <c r="D750" s="34"/>
      <c r="E750" s="34"/>
      <c r="F750" s="35"/>
      <c r="G750" s="34"/>
      <c r="H750" s="34"/>
      <c r="I750" s="34"/>
      <c r="J750" s="34"/>
      <c r="K750" s="34"/>
      <c r="L750" s="34"/>
      <c r="M750" s="34"/>
      <c r="N750" s="34"/>
      <c r="O750" s="36"/>
      <c r="P750" s="34"/>
      <c r="Q750" s="87"/>
      <c r="R750" s="34"/>
      <c r="S750" s="66"/>
      <c r="T750" s="12"/>
      <c r="U750" s="12"/>
      <c r="V750" s="12"/>
      <c r="W750" s="12"/>
      <c r="X750" s="12"/>
      <c r="Y750" s="12"/>
      <c r="Z750" s="67"/>
      <c r="AA750" s="12"/>
      <c r="AB750" s="12"/>
      <c r="AC750" s="67"/>
      <c r="AD750" s="12"/>
      <c r="AE750" s="12"/>
      <c r="AF750" s="12"/>
    </row>
    <row r="751" ht="15.75" customHeight="1">
      <c r="A751" s="34"/>
      <c r="B751" s="34"/>
      <c r="C751" s="34"/>
      <c r="D751" s="34"/>
      <c r="E751" s="34"/>
      <c r="F751" s="35"/>
      <c r="G751" s="34"/>
      <c r="H751" s="34"/>
      <c r="I751" s="34"/>
      <c r="J751" s="34"/>
      <c r="K751" s="34"/>
      <c r="L751" s="34"/>
      <c r="M751" s="34"/>
      <c r="N751" s="34"/>
      <c r="O751" s="36"/>
      <c r="P751" s="34"/>
      <c r="Q751" s="87"/>
      <c r="R751" s="34"/>
      <c r="S751" s="66"/>
      <c r="T751" s="12"/>
      <c r="U751" s="12"/>
      <c r="V751" s="12"/>
      <c r="W751" s="12"/>
      <c r="X751" s="12"/>
      <c r="Y751" s="12"/>
      <c r="Z751" s="67"/>
      <c r="AA751" s="12"/>
      <c r="AB751" s="12"/>
      <c r="AC751" s="67"/>
      <c r="AD751" s="12"/>
      <c r="AE751" s="12"/>
      <c r="AF751" s="12"/>
    </row>
    <row r="752" ht="15.75" customHeight="1">
      <c r="A752" s="34"/>
      <c r="B752" s="34"/>
      <c r="C752" s="34"/>
      <c r="D752" s="34"/>
      <c r="E752" s="34"/>
      <c r="F752" s="35"/>
      <c r="G752" s="34"/>
      <c r="H752" s="34"/>
      <c r="I752" s="34"/>
      <c r="J752" s="34"/>
      <c r="K752" s="34"/>
      <c r="L752" s="34"/>
      <c r="M752" s="34"/>
      <c r="N752" s="34"/>
      <c r="O752" s="36"/>
      <c r="P752" s="34"/>
      <c r="Q752" s="87"/>
      <c r="R752" s="34"/>
      <c r="S752" s="66"/>
      <c r="T752" s="12"/>
      <c r="U752" s="12"/>
      <c r="V752" s="12"/>
      <c r="W752" s="12"/>
      <c r="X752" s="12"/>
      <c r="Y752" s="12"/>
      <c r="Z752" s="67"/>
      <c r="AA752" s="12"/>
      <c r="AB752" s="12"/>
      <c r="AC752" s="67"/>
      <c r="AD752" s="12"/>
      <c r="AE752" s="12"/>
      <c r="AF752" s="12"/>
    </row>
    <row r="753" ht="15.75" customHeight="1">
      <c r="A753" s="34"/>
      <c r="B753" s="34"/>
      <c r="C753" s="34"/>
      <c r="D753" s="34"/>
      <c r="E753" s="34"/>
      <c r="F753" s="35"/>
      <c r="G753" s="34"/>
      <c r="H753" s="34"/>
      <c r="I753" s="34"/>
      <c r="J753" s="34"/>
      <c r="K753" s="34"/>
      <c r="L753" s="34"/>
      <c r="M753" s="34"/>
      <c r="N753" s="34"/>
      <c r="O753" s="36"/>
      <c r="P753" s="34"/>
      <c r="Q753" s="87"/>
      <c r="R753" s="34"/>
      <c r="S753" s="66"/>
      <c r="T753" s="12"/>
      <c r="U753" s="12"/>
      <c r="V753" s="12"/>
      <c r="W753" s="12"/>
      <c r="X753" s="12"/>
      <c r="Y753" s="12"/>
      <c r="Z753" s="67"/>
      <c r="AA753" s="12"/>
      <c r="AB753" s="12"/>
      <c r="AC753" s="67"/>
      <c r="AD753" s="12"/>
      <c r="AE753" s="12"/>
      <c r="AF753" s="12"/>
    </row>
    <row r="754" ht="15.75" customHeight="1">
      <c r="A754" s="34"/>
      <c r="B754" s="34"/>
      <c r="C754" s="34"/>
      <c r="D754" s="34"/>
      <c r="E754" s="34"/>
      <c r="F754" s="35"/>
      <c r="G754" s="34"/>
      <c r="H754" s="34"/>
      <c r="I754" s="34"/>
      <c r="J754" s="34"/>
      <c r="K754" s="34"/>
      <c r="L754" s="34"/>
      <c r="M754" s="34"/>
      <c r="N754" s="34"/>
      <c r="O754" s="36"/>
      <c r="P754" s="34"/>
      <c r="Q754" s="87"/>
      <c r="R754" s="34"/>
      <c r="S754" s="66"/>
      <c r="T754" s="12"/>
      <c r="U754" s="12"/>
      <c r="V754" s="12"/>
      <c r="W754" s="12"/>
      <c r="X754" s="12"/>
      <c r="Y754" s="12"/>
      <c r="Z754" s="67"/>
      <c r="AA754" s="12"/>
      <c r="AB754" s="12"/>
      <c r="AC754" s="67"/>
      <c r="AD754" s="12"/>
      <c r="AE754" s="12"/>
      <c r="AF754" s="12"/>
    </row>
    <row r="755" ht="15.75" customHeight="1">
      <c r="A755" s="34"/>
      <c r="B755" s="34"/>
      <c r="C755" s="34"/>
      <c r="D755" s="34"/>
      <c r="E755" s="34"/>
      <c r="F755" s="35"/>
      <c r="G755" s="34"/>
      <c r="H755" s="34"/>
      <c r="I755" s="34"/>
      <c r="J755" s="34"/>
      <c r="K755" s="34"/>
      <c r="L755" s="34"/>
      <c r="M755" s="34"/>
      <c r="N755" s="34"/>
      <c r="O755" s="36"/>
      <c r="P755" s="34"/>
      <c r="Q755" s="87"/>
      <c r="R755" s="34"/>
      <c r="S755" s="66"/>
      <c r="T755" s="12"/>
      <c r="U755" s="12"/>
      <c r="V755" s="12"/>
      <c r="W755" s="12"/>
      <c r="X755" s="12"/>
      <c r="Y755" s="12"/>
      <c r="Z755" s="67"/>
      <c r="AA755" s="12"/>
      <c r="AB755" s="12"/>
      <c r="AC755" s="67"/>
      <c r="AD755" s="12"/>
      <c r="AE755" s="12"/>
      <c r="AF755" s="12"/>
    </row>
    <row r="756" ht="15.75" customHeight="1">
      <c r="A756" s="34"/>
      <c r="B756" s="34"/>
      <c r="C756" s="34"/>
      <c r="D756" s="34"/>
      <c r="E756" s="34"/>
      <c r="F756" s="35"/>
      <c r="G756" s="34"/>
      <c r="H756" s="34"/>
      <c r="I756" s="34"/>
      <c r="J756" s="34"/>
      <c r="K756" s="34"/>
      <c r="L756" s="34"/>
      <c r="M756" s="34"/>
      <c r="N756" s="34"/>
      <c r="O756" s="36"/>
      <c r="P756" s="34"/>
      <c r="Q756" s="87"/>
      <c r="R756" s="34"/>
      <c r="S756" s="66"/>
      <c r="T756" s="12"/>
      <c r="U756" s="12"/>
      <c r="V756" s="12"/>
      <c r="W756" s="12"/>
      <c r="X756" s="12"/>
      <c r="Y756" s="12"/>
      <c r="Z756" s="67"/>
      <c r="AA756" s="12"/>
      <c r="AB756" s="12"/>
      <c r="AC756" s="67"/>
      <c r="AD756" s="12"/>
      <c r="AE756" s="12"/>
      <c r="AF756" s="12"/>
    </row>
    <row r="757" ht="15.75" customHeight="1">
      <c r="A757" s="34"/>
      <c r="B757" s="34"/>
      <c r="C757" s="34"/>
      <c r="D757" s="34"/>
      <c r="E757" s="34"/>
      <c r="F757" s="35"/>
      <c r="G757" s="34"/>
      <c r="H757" s="34"/>
      <c r="I757" s="34"/>
      <c r="J757" s="34"/>
      <c r="K757" s="34"/>
      <c r="L757" s="34"/>
      <c r="M757" s="34"/>
      <c r="N757" s="34"/>
      <c r="O757" s="36"/>
      <c r="P757" s="34"/>
      <c r="Q757" s="87"/>
      <c r="R757" s="34"/>
      <c r="S757" s="66"/>
      <c r="T757" s="12"/>
      <c r="U757" s="12"/>
      <c r="V757" s="12"/>
      <c r="W757" s="12"/>
      <c r="X757" s="12"/>
      <c r="Y757" s="12"/>
      <c r="Z757" s="67"/>
      <c r="AA757" s="12"/>
      <c r="AB757" s="12"/>
      <c r="AC757" s="67"/>
      <c r="AD757" s="12"/>
      <c r="AE757" s="12"/>
      <c r="AF757" s="12"/>
    </row>
    <row r="758" ht="15.75" customHeight="1">
      <c r="A758" s="34"/>
      <c r="B758" s="34"/>
      <c r="C758" s="34"/>
      <c r="D758" s="34"/>
      <c r="E758" s="34"/>
      <c r="F758" s="35"/>
      <c r="G758" s="34"/>
      <c r="H758" s="34"/>
      <c r="I758" s="34"/>
      <c r="J758" s="34"/>
      <c r="K758" s="34"/>
      <c r="L758" s="34"/>
      <c r="M758" s="34"/>
      <c r="N758" s="34"/>
      <c r="O758" s="36"/>
      <c r="P758" s="34"/>
      <c r="Q758" s="87"/>
      <c r="R758" s="34"/>
      <c r="S758" s="66"/>
      <c r="T758" s="12"/>
      <c r="U758" s="12"/>
      <c r="V758" s="12"/>
      <c r="W758" s="12"/>
      <c r="X758" s="12"/>
      <c r="Y758" s="12"/>
      <c r="Z758" s="67"/>
      <c r="AA758" s="12"/>
      <c r="AB758" s="12"/>
      <c r="AC758" s="67"/>
      <c r="AD758" s="12"/>
      <c r="AE758" s="12"/>
      <c r="AF758" s="12"/>
    </row>
    <row r="759" ht="15.75" customHeight="1">
      <c r="A759" s="34"/>
      <c r="B759" s="34"/>
      <c r="C759" s="34"/>
      <c r="D759" s="34"/>
      <c r="E759" s="34"/>
      <c r="F759" s="35"/>
      <c r="G759" s="34"/>
      <c r="H759" s="34"/>
      <c r="I759" s="34"/>
      <c r="J759" s="34"/>
      <c r="K759" s="34"/>
      <c r="L759" s="34"/>
      <c r="M759" s="34"/>
      <c r="N759" s="34"/>
      <c r="O759" s="36"/>
      <c r="P759" s="34"/>
      <c r="Q759" s="87"/>
      <c r="R759" s="34"/>
      <c r="S759" s="66"/>
      <c r="T759" s="12"/>
      <c r="U759" s="12"/>
      <c r="V759" s="12"/>
      <c r="W759" s="12"/>
      <c r="X759" s="12"/>
      <c r="Y759" s="12"/>
      <c r="Z759" s="67"/>
      <c r="AA759" s="12"/>
      <c r="AB759" s="12"/>
      <c r="AC759" s="67"/>
      <c r="AD759" s="12"/>
      <c r="AE759" s="12"/>
      <c r="AF759" s="12"/>
    </row>
    <row r="760" ht="15.75" customHeight="1">
      <c r="A760" s="34"/>
      <c r="B760" s="34"/>
      <c r="C760" s="34"/>
      <c r="D760" s="34"/>
      <c r="E760" s="34"/>
      <c r="F760" s="35"/>
      <c r="G760" s="34"/>
      <c r="H760" s="34"/>
      <c r="I760" s="34"/>
      <c r="J760" s="34"/>
      <c r="K760" s="34"/>
      <c r="L760" s="34"/>
      <c r="M760" s="34"/>
      <c r="N760" s="34"/>
      <c r="O760" s="36"/>
      <c r="P760" s="34"/>
      <c r="Q760" s="87"/>
      <c r="R760" s="34"/>
      <c r="S760" s="66"/>
      <c r="T760" s="12"/>
      <c r="U760" s="12"/>
      <c r="V760" s="12"/>
      <c r="W760" s="12"/>
      <c r="X760" s="12"/>
      <c r="Y760" s="12"/>
      <c r="Z760" s="67"/>
      <c r="AA760" s="12"/>
      <c r="AB760" s="12"/>
      <c r="AC760" s="67"/>
      <c r="AD760" s="12"/>
      <c r="AE760" s="12"/>
      <c r="AF760" s="12"/>
    </row>
    <row r="761" ht="15.75" customHeight="1">
      <c r="A761" s="34"/>
      <c r="B761" s="34"/>
      <c r="C761" s="34"/>
      <c r="D761" s="34"/>
      <c r="E761" s="34"/>
      <c r="F761" s="35"/>
      <c r="G761" s="34"/>
      <c r="H761" s="34"/>
      <c r="I761" s="34"/>
      <c r="J761" s="34"/>
      <c r="K761" s="34"/>
      <c r="L761" s="34"/>
      <c r="M761" s="34"/>
      <c r="N761" s="34"/>
      <c r="O761" s="36"/>
      <c r="P761" s="34"/>
      <c r="Q761" s="87"/>
      <c r="R761" s="34"/>
      <c r="S761" s="66"/>
      <c r="T761" s="12"/>
      <c r="U761" s="12"/>
      <c r="V761" s="12"/>
      <c r="W761" s="12"/>
      <c r="X761" s="12"/>
      <c r="Y761" s="12"/>
      <c r="Z761" s="67"/>
      <c r="AA761" s="12"/>
      <c r="AB761" s="12"/>
      <c r="AC761" s="67"/>
      <c r="AD761" s="12"/>
      <c r="AE761" s="12"/>
      <c r="AF761" s="12"/>
    </row>
    <row r="762" ht="15.75" customHeight="1">
      <c r="A762" s="34"/>
      <c r="B762" s="34"/>
      <c r="C762" s="34"/>
      <c r="D762" s="34"/>
      <c r="E762" s="34"/>
      <c r="F762" s="35"/>
      <c r="G762" s="34"/>
      <c r="H762" s="34"/>
      <c r="I762" s="34"/>
      <c r="J762" s="34"/>
      <c r="K762" s="34"/>
      <c r="L762" s="34"/>
      <c r="M762" s="34"/>
      <c r="N762" s="34"/>
      <c r="O762" s="36"/>
      <c r="P762" s="34"/>
      <c r="Q762" s="87"/>
      <c r="R762" s="34"/>
      <c r="S762" s="66"/>
      <c r="T762" s="12"/>
      <c r="U762" s="12"/>
      <c r="V762" s="12"/>
      <c r="W762" s="12"/>
      <c r="X762" s="12"/>
      <c r="Y762" s="12"/>
      <c r="Z762" s="67"/>
      <c r="AA762" s="12"/>
      <c r="AB762" s="12"/>
      <c r="AC762" s="67"/>
      <c r="AD762" s="12"/>
      <c r="AE762" s="12"/>
      <c r="AF762" s="12"/>
    </row>
    <row r="763" ht="15.75" customHeight="1">
      <c r="A763" s="34"/>
      <c r="B763" s="34"/>
      <c r="C763" s="34"/>
      <c r="D763" s="34"/>
      <c r="E763" s="34"/>
      <c r="F763" s="35"/>
      <c r="G763" s="34"/>
      <c r="H763" s="34"/>
      <c r="I763" s="34"/>
      <c r="J763" s="34"/>
      <c r="K763" s="34"/>
      <c r="L763" s="34"/>
      <c r="M763" s="34"/>
      <c r="N763" s="34"/>
      <c r="O763" s="36"/>
      <c r="P763" s="34"/>
      <c r="Q763" s="87"/>
      <c r="R763" s="34"/>
      <c r="S763" s="66"/>
      <c r="T763" s="12"/>
      <c r="U763" s="12"/>
      <c r="V763" s="12"/>
      <c r="W763" s="12"/>
      <c r="X763" s="12"/>
      <c r="Y763" s="12"/>
      <c r="Z763" s="67"/>
      <c r="AA763" s="12"/>
      <c r="AB763" s="12"/>
      <c r="AC763" s="67"/>
      <c r="AD763" s="12"/>
      <c r="AE763" s="12"/>
      <c r="AF763" s="12"/>
    </row>
    <row r="764" ht="15.75" customHeight="1">
      <c r="A764" s="34"/>
      <c r="B764" s="34"/>
      <c r="C764" s="34"/>
      <c r="D764" s="34"/>
      <c r="E764" s="34"/>
      <c r="F764" s="35"/>
      <c r="G764" s="34"/>
      <c r="H764" s="34"/>
      <c r="I764" s="34"/>
      <c r="J764" s="34"/>
      <c r="K764" s="34"/>
      <c r="L764" s="34"/>
      <c r="M764" s="34"/>
      <c r="N764" s="34"/>
      <c r="O764" s="36"/>
      <c r="P764" s="34"/>
      <c r="Q764" s="87"/>
      <c r="R764" s="34"/>
      <c r="S764" s="66"/>
      <c r="T764" s="12"/>
      <c r="U764" s="12"/>
      <c r="V764" s="12"/>
      <c r="W764" s="12"/>
      <c r="X764" s="12"/>
      <c r="Y764" s="12"/>
      <c r="Z764" s="67"/>
      <c r="AA764" s="12"/>
      <c r="AB764" s="12"/>
      <c r="AC764" s="67"/>
      <c r="AD764" s="12"/>
      <c r="AE764" s="12"/>
      <c r="AF764" s="12"/>
    </row>
    <row r="765" ht="15.75" customHeight="1">
      <c r="A765" s="34"/>
      <c r="B765" s="34"/>
      <c r="C765" s="34"/>
      <c r="D765" s="34"/>
      <c r="E765" s="34"/>
      <c r="F765" s="35"/>
      <c r="G765" s="34"/>
      <c r="H765" s="34"/>
      <c r="I765" s="34"/>
      <c r="J765" s="34"/>
      <c r="K765" s="34"/>
      <c r="L765" s="34"/>
      <c r="M765" s="34"/>
      <c r="N765" s="34"/>
      <c r="O765" s="36"/>
      <c r="P765" s="34"/>
      <c r="Q765" s="87"/>
      <c r="R765" s="34"/>
      <c r="S765" s="66"/>
      <c r="T765" s="12"/>
      <c r="U765" s="12"/>
      <c r="V765" s="12"/>
      <c r="W765" s="12"/>
      <c r="X765" s="12"/>
      <c r="Y765" s="12"/>
      <c r="Z765" s="67"/>
      <c r="AA765" s="12"/>
      <c r="AB765" s="12"/>
      <c r="AC765" s="67"/>
      <c r="AD765" s="12"/>
      <c r="AE765" s="12"/>
      <c r="AF765" s="12"/>
    </row>
    <row r="766" ht="15.75" customHeight="1">
      <c r="A766" s="34"/>
      <c r="B766" s="34"/>
      <c r="C766" s="34"/>
      <c r="D766" s="34"/>
      <c r="E766" s="34"/>
      <c r="F766" s="35"/>
      <c r="G766" s="34"/>
      <c r="H766" s="34"/>
      <c r="I766" s="34"/>
      <c r="J766" s="34"/>
      <c r="K766" s="34"/>
      <c r="L766" s="34"/>
      <c r="M766" s="34"/>
      <c r="N766" s="34"/>
      <c r="O766" s="36"/>
      <c r="P766" s="34"/>
      <c r="Q766" s="87"/>
      <c r="R766" s="34"/>
      <c r="S766" s="66"/>
      <c r="T766" s="12"/>
      <c r="U766" s="12"/>
      <c r="V766" s="12"/>
      <c r="W766" s="12"/>
      <c r="X766" s="12"/>
      <c r="Y766" s="12"/>
      <c r="Z766" s="67"/>
      <c r="AA766" s="12"/>
      <c r="AB766" s="12"/>
      <c r="AC766" s="67"/>
      <c r="AD766" s="12"/>
      <c r="AE766" s="12"/>
      <c r="AF766" s="12"/>
    </row>
    <row r="767" ht="15.75" customHeight="1">
      <c r="A767" s="34"/>
      <c r="B767" s="34"/>
      <c r="C767" s="34"/>
      <c r="D767" s="34"/>
      <c r="E767" s="34"/>
      <c r="F767" s="35"/>
      <c r="G767" s="34"/>
      <c r="H767" s="34"/>
      <c r="I767" s="34"/>
      <c r="J767" s="34"/>
      <c r="K767" s="34"/>
      <c r="L767" s="34"/>
      <c r="M767" s="34"/>
      <c r="N767" s="34"/>
      <c r="O767" s="36"/>
      <c r="P767" s="34"/>
      <c r="Q767" s="87"/>
      <c r="R767" s="34"/>
      <c r="S767" s="66"/>
      <c r="T767" s="12"/>
      <c r="U767" s="12"/>
      <c r="V767" s="12"/>
      <c r="W767" s="12"/>
      <c r="X767" s="12"/>
      <c r="Y767" s="12"/>
      <c r="Z767" s="67"/>
      <c r="AA767" s="12"/>
      <c r="AB767" s="12"/>
      <c r="AC767" s="67"/>
      <c r="AD767" s="12"/>
      <c r="AE767" s="12"/>
      <c r="AF767" s="12"/>
    </row>
    <row r="768" ht="15.75" customHeight="1">
      <c r="A768" s="34"/>
      <c r="B768" s="34"/>
      <c r="C768" s="34"/>
      <c r="D768" s="34"/>
      <c r="E768" s="34"/>
      <c r="F768" s="35"/>
      <c r="G768" s="34"/>
      <c r="H768" s="34"/>
      <c r="I768" s="34"/>
      <c r="J768" s="34"/>
      <c r="K768" s="34"/>
      <c r="L768" s="34"/>
      <c r="M768" s="34"/>
      <c r="N768" s="34"/>
      <c r="O768" s="36"/>
      <c r="P768" s="34"/>
      <c r="Q768" s="87"/>
      <c r="R768" s="34"/>
      <c r="S768" s="66"/>
      <c r="T768" s="12"/>
      <c r="U768" s="12"/>
      <c r="V768" s="12"/>
      <c r="W768" s="12"/>
      <c r="X768" s="12"/>
      <c r="Y768" s="12"/>
      <c r="Z768" s="67"/>
      <c r="AA768" s="12"/>
      <c r="AB768" s="12"/>
      <c r="AC768" s="67"/>
      <c r="AD768" s="12"/>
      <c r="AE768" s="12"/>
      <c r="AF768" s="12"/>
    </row>
    <row r="769" ht="15.75" customHeight="1">
      <c r="A769" s="34"/>
      <c r="B769" s="34"/>
      <c r="C769" s="34"/>
      <c r="D769" s="34"/>
      <c r="E769" s="34"/>
      <c r="F769" s="35"/>
      <c r="G769" s="34"/>
      <c r="H769" s="34"/>
      <c r="I769" s="34"/>
      <c r="J769" s="34"/>
      <c r="K769" s="34"/>
      <c r="L769" s="34"/>
      <c r="M769" s="34"/>
      <c r="N769" s="34"/>
      <c r="O769" s="36"/>
      <c r="P769" s="34"/>
      <c r="Q769" s="87"/>
      <c r="R769" s="34"/>
      <c r="S769" s="66"/>
      <c r="T769" s="12"/>
      <c r="U769" s="12"/>
      <c r="V769" s="12"/>
      <c r="W769" s="12"/>
      <c r="X769" s="12"/>
      <c r="Y769" s="12"/>
      <c r="Z769" s="67"/>
      <c r="AA769" s="12"/>
      <c r="AB769" s="12"/>
      <c r="AC769" s="67"/>
      <c r="AD769" s="12"/>
      <c r="AE769" s="12"/>
      <c r="AF769" s="12"/>
    </row>
    <row r="770" ht="15.75" customHeight="1">
      <c r="A770" s="34"/>
      <c r="B770" s="34"/>
      <c r="C770" s="34"/>
      <c r="D770" s="34"/>
      <c r="E770" s="34"/>
      <c r="F770" s="35"/>
      <c r="G770" s="34"/>
      <c r="H770" s="34"/>
      <c r="I770" s="34"/>
      <c r="J770" s="34"/>
      <c r="K770" s="34"/>
      <c r="L770" s="34"/>
      <c r="M770" s="34"/>
      <c r="N770" s="34"/>
      <c r="O770" s="36"/>
      <c r="P770" s="34"/>
      <c r="Q770" s="87"/>
      <c r="R770" s="34"/>
      <c r="S770" s="66"/>
      <c r="T770" s="12"/>
      <c r="U770" s="12"/>
      <c r="V770" s="12"/>
      <c r="W770" s="12"/>
      <c r="X770" s="12"/>
      <c r="Y770" s="12"/>
      <c r="Z770" s="67"/>
      <c r="AA770" s="12"/>
      <c r="AB770" s="12"/>
      <c r="AC770" s="67"/>
      <c r="AD770" s="12"/>
      <c r="AE770" s="12"/>
      <c r="AF770" s="12"/>
    </row>
    <row r="771" ht="15.75" customHeight="1">
      <c r="A771" s="34"/>
      <c r="B771" s="34"/>
      <c r="C771" s="34"/>
      <c r="D771" s="34"/>
      <c r="E771" s="34"/>
      <c r="F771" s="35"/>
      <c r="G771" s="34"/>
      <c r="H771" s="34"/>
      <c r="I771" s="34"/>
      <c r="J771" s="34"/>
      <c r="K771" s="34"/>
      <c r="L771" s="34"/>
      <c r="M771" s="34"/>
      <c r="N771" s="34"/>
      <c r="O771" s="36"/>
      <c r="P771" s="34"/>
      <c r="Q771" s="87"/>
      <c r="R771" s="34"/>
      <c r="S771" s="66"/>
      <c r="T771" s="12"/>
      <c r="U771" s="12"/>
      <c r="V771" s="12"/>
      <c r="W771" s="12"/>
      <c r="X771" s="12"/>
      <c r="Y771" s="12"/>
      <c r="Z771" s="67"/>
      <c r="AA771" s="12"/>
      <c r="AB771" s="12"/>
      <c r="AC771" s="67"/>
      <c r="AD771" s="12"/>
      <c r="AE771" s="12"/>
      <c r="AF771" s="12"/>
    </row>
    <row r="772" ht="15.75" customHeight="1">
      <c r="A772" s="34"/>
      <c r="B772" s="34"/>
      <c r="C772" s="34"/>
      <c r="D772" s="34"/>
      <c r="E772" s="34"/>
      <c r="F772" s="35"/>
      <c r="G772" s="34"/>
      <c r="H772" s="34"/>
      <c r="I772" s="34"/>
      <c r="J772" s="34"/>
      <c r="K772" s="34"/>
      <c r="L772" s="34"/>
      <c r="M772" s="34"/>
      <c r="N772" s="34"/>
      <c r="O772" s="36"/>
      <c r="P772" s="34"/>
      <c r="Q772" s="87"/>
      <c r="R772" s="34"/>
      <c r="S772" s="66"/>
      <c r="T772" s="12"/>
      <c r="U772" s="12"/>
      <c r="V772" s="12"/>
      <c r="W772" s="12"/>
      <c r="X772" s="12"/>
      <c r="Y772" s="12"/>
      <c r="Z772" s="67"/>
      <c r="AA772" s="12"/>
      <c r="AB772" s="12"/>
      <c r="AC772" s="67"/>
      <c r="AD772" s="12"/>
      <c r="AE772" s="12"/>
      <c r="AF772" s="12"/>
    </row>
    <row r="773" ht="15.75" customHeight="1">
      <c r="A773" s="34"/>
      <c r="B773" s="34"/>
      <c r="C773" s="34"/>
      <c r="D773" s="34"/>
      <c r="E773" s="34"/>
      <c r="F773" s="35"/>
      <c r="G773" s="34"/>
      <c r="H773" s="34"/>
      <c r="I773" s="34"/>
      <c r="J773" s="34"/>
      <c r="K773" s="34"/>
      <c r="L773" s="34"/>
      <c r="M773" s="34"/>
      <c r="N773" s="34"/>
      <c r="O773" s="36"/>
      <c r="P773" s="34"/>
      <c r="Q773" s="87"/>
      <c r="R773" s="34"/>
      <c r="S773" s="66"/>
      <c r="T773" s="12"/>
      <c r="U773" s="12"/>
      <c r="V773" s="12"/>
      <c r="W773" s="12"/>
      <c r="X773" s="12"/>
      <c r="Y773" s="12"/>
      <c r="Z773" s="67"/>
      <c r="AA773" s="12"/>
      <c r="AB773" s="12"/>
      <c r="AC773" s="67"/>
      <c r="AD773" s="12"/>
      <c r="AE773" s="12"/>
      <c r="AF773" s="12"/>
    </row>
    <row r="774" ht="15.75" customHeight="1">
      <c r="A774" s="34"/>
      <c r="B774" s="34"/>
      <c r="C774" s="34"/>
      <c r="D774" s="34"/>
      <c r="E774" s="34"/>
      <c r="F774" s="35"/>
      <c r="G774" s="34"/>
      <c r="H774" s="34"/>
      <c r="I774" s="34"/>
      <c r="J774" s="34"/>
      <c r="K774" s="34"/>
      <c r="L774" s="34"/>
      <c r="M774" s="34"/>
      <c r="N774" s="34"/>
      <c r="O774" s="36"/>
      <c r="P774" s="34"/>
      <c r="Q774" s="87"/>
      <c r="R774" s="34"/>
      <c r="S774" s="66"/>
      <c r="T774" s="12"/>
      <c r="U774" s="12"/>
      <c r="V774" s="12"/>
      <c r="W774" s="12"/>
      <c r="X774" s="12"/>
      <c r="Y774" s="12"/>
      <c r="Z774" s="67"/>
      <c r="AA774" s="12"/>
      <c r="AB774" s="12"/>
      <c r="AC774" s="67"/>
      <c r="AD774" s="12"/>
      <c r="AE774" s="12"/>
      <c r="AF774" s="12"/>
    </row>
    <row r="775" ht="15.75" customHeight="1">
      <c r="A775" s="34"/>
      <c r="B775" s="34"/>
      <c r="C775" s="34"/>
      <c r="D775" s="34"/>
      <c r="E775" s="34"/>
      <c r="F775" s="35"/>
      <c r="G775" s="34"/>
      <c r="H775" s="34"/>
      <c r="I775" s="34"/>
      <c r="J775" s="34"/>
      <c r="K775" s="34"/>
      <c r="L775" s="34"/>
      <c r="M775" s="34"/>
      <c r="N775" s="34"/>
      <c r="O775" s="36"/>
      <c r="P775" s="34"/>
      <c r="Q775" s="87"/>
      <c r="R775" s="34"/>
      <c r="S775" s="66"/>
      <c r="T775" s="12"/>
      <c r="U775" s="12"/>
      <c r="V775" s="12"/>
      <c r="W775" s="12"/>
      <c r="X775" s="12"/>
      <c r="Y775" s="12"/>
      <c r="Z775" s="67"/>
      <c r="AA775" s="12"/>
      <c r="AB775" s="12"/>
      <c r="AC775" s="67"/>
      <c r="AD775" s="12"/>
      <c r="AE775" s="12"/>
      <c r="AF775" s="12"/>
    </row>
    <row r="776" ht="15.75" customHeight="1">
      <c r="A776" s="34"/>
      <c r="B776" s="34"/>
      <c r="C776" s="34"/>
      <c r="D776" s="34"/>
      <c r="E776" s="34"/>
      <c r="F776" s="35"/>
      <c r="G776" s="34"/>
      <c r="H776" s="34"/>
      <c r="I776" s="34"/>
      <c r="J776" s="34"/>
      <c r="K776" s="34"/>
      <c r="L776" s="34"/>
      <c r="M776" s="34"/>
      <c r="N776" s="34"/>
      <c r="O776" s="36"/>
      <c r="P776" s="34"/>
      <c r="Q776" s="87"/>
      <c r="R776" s="34"/>
      <c r="S776" s="66"/>
      <c r="T776" s="12"/>
      <c r="U776" s="12"/>
      <c r="V776" s="12"/>
      <c r="W776" s="12"/>
      <c r="X776" s="12"/>
      <c r="Y776" s="12"/>
      <c r="Z776" s="67"/>
      <c r="AA776" s="12"/>
      <c r="AB776" s="12"/>
      <c r="AC776" s="67"/>
      <c r="AD776" s="12"/>
      <c r="AE776" s="12"/>
      <c r="AF776" s="12"/>
    </row>
    <row r="777" ht="15.75" customHeight="1">
      <c r="A777" s="34"/>
      <c r="B777" s="34"/>
      <c r="C777" s="34"/>
      <c r="D777" s="34"/>
      <c r="E777" s="34"/>
      <c r="F777" s="35"/>
      <c r="G777" s="34"/>
      <c r="H777" s="34"/>
      <c r="I777" s="34"/>
      <c r="J777" s="34"/>
      <c r="K777" s="34"/>
      <c r="L777" s="34"/>
      <c r="M777" s="34"/>
      <c r="N777" s="34"/>
      <c r="O777" s="36"/>
      <c r="P777" s="34"/>
      <c r="Q777" s="87"/>
      <c r="R777" s="34"/>
      <c r="S777" s="66"/>
      <c r="T777" s="12"/>
      <c r="U777" s="12"/>
      <c r="V777" s="12"/>
      <c r="W777" s="12"/>
      <c r="X777" s="12"/>
      <c r="Y777" s="12"/>
      <c r="Z777" s="67"/>
      <c r="AA777" s="12"/>
      <c r="AB777" s="12"/>
      <c r="AC777" s="67"/>
      <c r="AD777" s="12"/>
      <c r="AE777" s="12"/>
      <c r="AF777" s="12"/>
    </row>
    <row r="778" ht="15.75" customHeight="1">
      <c r="A778" s="34"/>
      <c r="B778" s="34"/>
      <c r="C778" s="34"/>
      <c r="D778" s="34"/>
      <c r="E778" s="34"/>
      <c r="F778" s="35"/>
      <c r="G778" s="34"/>
      <c r="H778" s="34"/>
      <c r="I778" s="34"/>
      <c r="J778" s="34"/>
      <c r="K778" s="34"/>
      <c r="L778" s="34"/>
      <c r="M778" s="34"/>
      <c r="N778" s="34"/>
      <c r="O778" s="36"/>
      <c r="P778" s="34"/>
      <c r="Q778" s="87"/>
      <c r="R778" s="34"/>
      <c r="S778" s="66"/>
      <c r="T778" s="12"/>
      <c r="U778" s="12"/>
      <c r="V778" s="12"/>
      <c r="W778" s="12"/>
      <c r="X778" s="12"/>
      <c r="Y778" s="12"/>
      <c r="Z778" s="67"/>
      <c r="AA778" s="12"/>
      <c r="AB778" s="12"/>
      <c r="AC778" s="67"/>
      <c r="AD778" s="12"/>
      <c r="AE778" s="12"/>
      <c r="AF778" s="12"/>
    </row>
    <row r="779" ht="15.75" customHeight="1">
      <c r="A779" s="34"/>
      <c r="B779" s="34"/>
      <c r="C779" s="34"/>
      <c r="D779" s="34"/>
      <c r="E779" s="34"/>
      <c r="F779" s="35"/>
      <c r="G779" s="34"/>
      <c r="H779" s="34"/>
      <c r="I779" s="34"/>
      <c r="J779" s="34"/>
      <c r="K779" s="34"/>
      <c r="L779" s="34"/>
      <c r="M779" s="34"/>
      <c r="N779" s="34"/>
      <c r="O779" s="36"/>
      <c r="P779" s="34"/>
      <c r="Q779" s="87"/>
      <c r="R779" s="34"/>
      <c r="S779" s="66"/>
      <c r="T779" s="12"/>
      <c r="U779" s="12"/>
      <c r="V779" s="12"/>
      <c r="W779" s="12"/>
      <c r="X779" s="12"/>
      <c r="Y779" s="12"/>
      <c r="Z779" s="67"/>
      <c r="AA779" s="12"/>
      <c r="AB779" s="12"/>
      <c r="AC779" s="67"/>
      <c r="AD779" s="12"/>
      <c r="AE779" s="12"/>
      <c r="AF779" s="12"/>
    </row>
    <row r="780" ht="15.75" customHeight="1">
      <c r="A780" s="34"/>
      <c r="B780" s="34"/>
      <c r="C780" s="34"/>
      <c r="D780" s="34"/>
      <c r="E780" s="34"/>
      <c r="F780" s="35"/>
      <c r="G780" s="34"/>
      <c r="H780" s="34"/>
      <c r="I780" s="34"/>
      <c r="J780" s="34"/>
      <c r="K780" s="34"/>
      <c r="L780" s="34"/>
      <c r="M780" s="34"/>
      <c r="N780" s="34"/>
      <c r="O780" s="36"/>
      <c r="P780" s="34"/>
      <c r="Q780" s="87"/>
      <c r="R780" s="34"/>
      <c r="S780" s="66"/>
      <c r="T780" s="12"/>
      <c r="U780" s="12"/>
      <c r="V780" s="12"/>
      <c r="W780" s="12"/>
      <c r="X780" s="12"/>
      <c r="Y780" s="12"/>
      <c r="Z780" s="67"/>
      <c r="AA780" s="12"/>
      <c r="AB780" s="12"/>
      <c r="AC780" s="67"/>
      <c r="AD780" s="12"/>
      <c r="AE780" s="12"/>
      <c r="AF780" s="12"/>
    </row>
    <row r="781" ht="15.75" customHeight="1">
      <c r="A781" s="34"/>
      <c r="B781" s="34"/>
      <c r="C781" s="34"/>
      <c r="D781" s="34"/>
      <c r="E781" s="34"/>
      <c r="F781" s="35"/>
      <c r="G781" s="34"/>
      <c r="H781" s="34"/>
      <c r="I781" s="34"/>
      <c r="J781" s="34"/>
      <c r="K781" s="34"/>
      <c r="L781" s="34"/>
      <c r="M781" s="34"/>
      <c r="N781" s="34"/>
      <c r="O781" s="36"/>
      <c r="P781" s="34"/>
      <c r="Q781" s="87"/>
      <c r="R781" s="34"/>
      <c r="S781" s="66"/>
      <c r="T781" s="12"/>
      <c r="U781" s="12"/>
      <c r="V781" s="12"/>
      <c r="W781" s="12"/>
      <c r="X781" s="12"/>
      <c r="Y781" s="12"/>
      <c r="Z781" s="67"/>
      <c r="AA781" s="12"/>
      <c r="AB781" s="12"/>
      <c r="AC781" s="67"/>
      <c r="AD781" s="12"/>
      <c r="AE781" s="12"/>
      <c r="AF781" s="12"/>
    </row>
    <row r="782" ht="15.75" customHeight="1">
      <c r="A782" s="34"/>
      <c r="B782" s="34"/>
      <c r="C782" s="34"/>
      <c r="D782" s="34"/>
      <c r="E782" s="34"/>
      <c r="F782" s="35"/>
      <c r="G782" s="34"/>
      <c r="H782" s="34"/>
      <c r="I782" s="34"/>
      <c r="J782" s="34"/>
      <c r="K782" s="34"/>
      <c r="L782" s="34"/>
      <c r="M782" s="34"/>
      <c r="N782" s="34"/>
      <c r="O782" s="36"/>
      <c r="P782" s="34"/>
      <c r="Q782" s="87"/>
      <c r="R782" s="34"/>
      <c r="S782" s="66"/>
      <c r="T782" s="12"/>
      <c r="U782" s="12"/>
      <c r="V782" s="12"/>
      <c r="W782" s="12"/>
      <c r="X782" s="12"/>
      <c r="Y782" s="12"/>
      <c r="Z782" s="67"/>
      <c r="AA782" s="12"/>
      <c r="AB782" s="12"/>
      <c r="AC782" s="67"/>
      <c r="AD782" s="12"/>
      <c r="AE782" s="12"/>
      <c r="AF782" s="12"/>
    </row>
    <row r="783" ht="15.75" customHeight="1">
      <c r="A783" s="34"/>
      <c r="B783" s="34"/>
      <c r="C783" s="34"/>
      <c r="D783" s="34"/>
      <c r="E783" s="34"/>
      <c r="F783" s="35"/>
      <c r="G783" s="34"/>
      <c r="H783" s="34"/>
      <c r="I783" s="34"/>
      <c r="J783" s="34"/>
      <c r="K783" s="34"/>
      <c r="L783" s="34"/>
      <c r="M783" s="34"/>
      <c r="N783" s="34"/>
      <c r="O783" s="36"/>
      <c r="P783" s="34"/>
      <c r="Q783" s="87"/>
      <c r="R783" s="34"/>
      <c r="S783" s="66"/>
      <c r="T783" s="12"/>
      <c r="U783" s="12"/>
      <c r="V783" s="12"/>
      <c r="W783" s="12"/>
      <c r="X783" s="12"/>
      <c r="Y783" s="12"/>
      <c r="Z783" s="67"/>
      <c r="AA783" s="12"/>
      <c r="AB783" s="12"/>
      <c r="AC783" s="67"/>
      <c r="AD783" s="12"/>
      <c r="AE783" s="12"/>
      <c r="AF783" s="12"/>
    </row>
    <row r="784" ht="15.75" customHeight="1">
      <c r="A784" s="34"/>
      <c r="B784" s="34"/>
      <c r="C784" s="34"/>
      <c r="D784" s="34"/>
      <c r="E784" s="34"/>
      <c r="F784" s="35"/>
      <c r="G784" s="34"/>
      <c r="H784" s="34"/>
      <c r="I784" s="34"/>
      <c r="J784" s="34"/>
      <c r="K784" s="34"/>
      <c r="L784" s="34"/>
      <c r="M784" s="34"/>
      <c r="N784" s="34"/>
      <c r="O784" s="36"/>
      <c r="P784" s="34"/>
      <c r="Q784" s="87"/>
      <c r="R784" s="34"/>
      <c r="S784" s="66"/>
      <c r="T784" s="12"/>
      <c r="U784" s="12"/>
      <c r="V784" s="12"/>
      <c r="W784" s="12"/>
      <c r="X784" s="12"/>
      <c r="Y784" s="12"/>
      <c r="Z784" s="67"/>
      <c r="AA784" s="12"/>
      <c r="AB784" s="12"/>
      <c r="AC784" s="67"/>
      <c r="AD784" s="12"/>
      <c r="AE784" s="12"/>
      <c r="AF784" s="12"/>
    </row>
    <row r="785" ht="15.75" customHeight="1">
      <c r="A785" s="34"/>
      <c r="B785" s="34"/>
      <c r="C785" s="34"/>
      <c r="D785" s="34"/>
      <c r="E785" s="34"/>
      <c r="F785" s="35"/>
      <c r="G785" s="34"/>
      <c r="H785" s="34"/>
      <c r="I785" s="34"/>
      <c r="J785" s="34"/>
      <c r="K785" s="34"/>
      <c r="L785" s="34"/>
      <c r="M785" s="34"/>
      <c r="N785" s="34"/>
      <c r="O785" s="36"/>
      <c r="P785" s="34"/>
      <c r="Q785" s="87"/>
      <c r="R785" s="34"/>
      <c r="S785" s="66"/>
      <c r="T785" s="12"/>
      <c r="U785" s="12"/>
      <c r="V785" s="12"/>
      <c r="W785" s="12"/>
      <c r="X785" s="12"/>
      <c r="Y785" s="12"/>
      <c r="Z785" s="67"/>
      <c r="AA785" s="12"/>
      <c r="AB785" s="12"/>
      <c r="AC785" s="67"/>
      <c r="AD785" s="12"/>
      <c r="AE785" s="12"/>
      <c r="AF785" s="12"/>
    </row>
    <row r="786" ht="15.75" customHeight="1">
      <c r="A786" s="34"/>
      <c r="B786" s="34"/>
      <c r="C786" s="34"/>
      <c r="D786" s="34"/>
      <c r="E786" s="34"/>
      <c r="F786" s="35"/>
      <c r="G786" s="34"/>
      <c r="H786" s="34"/>
      <c r="I786" s="34"/>
      <c r="J786" s="34"/>
      <c r="K786" s="34"/>
      <c r="L786" s="34"/>
      <c r="M786" s="34"/>
      <c r="N786" s="34"/>
      <c r="O786" s="36"/>
      <c r="P786" s="34"/>
      <c r="Q786" s="87"/>
      <c r="R786" s="34"/>
      <c r="S786" s="66"/>
      <c r="T786" s="12"/>
      <c r="U786" s="12"/>
      <c r="V786" s="12"/>
      <c r="W786" s="12"/>
      <c r="X786" s="12"/>
      <c r="Y786" s="12"/>
      <c r="Z786" s="67"/>
      <c r="AA786" s="12"/>
      <c r="AB786" s="12"/>
      <c r="AC786" s="67"/>
      <c r="AD786" s="12"/>
      <c r="AE786" s="12"/>
      <c r="AF786" s="12"/>
    </row>
    <row r="787" ht="15.75" customHeight="1">
      <c r="A787" s="34"/>
      <c r="B787" s="34"/>
      <c r="C787" s="34"/>
      <c r="D787" s="34"/>
      <c r="E787" s="34"/>
      <c r="F787" s="35"/>
      <c r="G787" s="34"/>
      <c r="H787" s="34"/>
      <c r="I787" s="34"/>
      <c r="J787" s="34"/>
      <c r="K787" s="34"/>
      <c r="L787" s="34"/>
      <c r="M787" s="34"/>
      <c r="N787" s="34"/>
      <c r="O787" s="36"/>
      <c r="P787" s="34"/>
      <c r="Q787" s="87"/>
      <c r="R787" s="34"/>
      <c r="S787" s="66"/>
      <c r="T787" s="12"/>
      <c r="U787" s="12"/>
      <c r="V787" s="12"/>
      <c r="W787" s="12"/>
      <c r="X787" s="12"/>
      <c r="Y787" s="12"/>
      <c r="Z787" s="67"/>
      <c r="AA787" s="12"/>
      <c r="AB787" s="12"/>
      <c r="AC787" s="67"/>
      <c r="AD787" s="12"/>
      <c r="AE787" s="12"/>
      <c r="AF787" s="12"/>
    </row>
    <row r="788" ht="15.75" customHeight="1">
      <c r="A788" s="34"/>
      <c r="B788" s="34"/>
      <c r="C788" s="34"/>
      <c r="D788" s="34"/>
      <c r="E788" s="34"/>
      <c r="F788" s="35"/>
      <c r="G788" s="34"/>
      <c r="H788" s="34"/>
      <c r="I788" s="34"/>
      <c r="J788" s="34"/>
      <c r="K788" s="34"/>
      <c r="L788" s="34"/>
      <c r="M788" s="34"/>
      <c r="N788" s="34"/>
      <c r="O788" s="36"/>
      <c r="P788" s="34"/>
      <c r="Q788" s="87"/>
      <c r="R788" s="34"/>
      <c r="S788" s="66"/>
      <c r="T788" s="12"/>
      <c r="U788" s="12"/>
      <c r="V788" s="12"/>
      <c r="W788" s="12"/>
      <c r="X788" s="12"/>
      <c r="Y788" s="12"/>
      <c r="Z788" s="67"/>
      <c r="AA788" s="12"/>
      <c r="AB788" s="12"/>
      <c r="AC788" s="67"/>
      <c r="AD788" s="12"/>
      <c r="AE788" s="12"/>
      <c r="AF788" s="12"/>
    </row>
    <row r="789" ht="15.75" customHeight="1">
      <c r="A789" s="34"/>
      <c r="B789" s="34"/>
      <c r="C789" s="34"/>
      <c r="D789" s="34"/>
      <c r="E789" s="34"/>
      <c r="F789" s="35"/>
      <c r="G789" s="34"/>
      <c r="H789" s="34"/>
      <c r="I789" s="34"/>
      <c r="J789" s="34"/>
      <c r="K789" s="34"/>
      <c r="L789" s="34"/>
      <c r="M789" s="34"/>
      <c r="N789" s="34"/>
      <c r="O789" s="36"/>
      <c r="P789" s="34"/>
      <c r="Q789" s="87"/>
      <c r="R789" s="34"/>
      <c r="S789" s="66"/>
      <c r="T789" s="12"/>
      <c r="U789" s="12"/>
      <c r="V789" s="12"/>
      <c r="W789" s="12"/>
      <c r="X789" s="12"/>
      <c r="Y789" s="12"/>
      <c r="Z789" s="67"/>
      <c r="AA789" s="12"/>
      <c r="AB789" s="12"/>
      <c r="AC789" s="67"/>
      <c r="AD789" s="12"/>
      <c r="AE789" s="12"/>
      <c r="AF789" s="12"/>
    </row>
    <row r="790" ht="15.75" customHeight="1">
      <c r="A790" s="34"/>
      <c r="B790" s="34"/>
      <c r="C790" s="34"/>
      <c r="D790" s="34"/>
      <c r="E790" s="34"/>
      <c r="F790" s="35"/>
      <c r="G790" s="34"/>
      <c r="H790" s="34"/>
      <c r="I790" s="34"/>
      <c r="J790" s="34"/>
      <c r="K790" s="34"/>
      <c r="L790" s="34"/>
      <c r="M790" s="34"/>
      <c r="N790" s="34"/>
      <c r="O790" s="36"/>
      <c r="P790" s="34"/>
      <c r="Q790" s="87"/>
      <c r="R790" s="34"/>
      <c r="S790" s="66"/>
      <c r="T790" s="12"/>
      <c r="U790" s="12"/>
      <c r="V790" s="12"/>
      <c r="W790" s="12"/>
      <c r="X790" s="12"/>
      <c r="Y790" s="12"/>
      <c r="Z790" s="67"/>
      <c r="AA790" s="12"/>
      <c r="AB790" s="12"/>
      <c r="AC790" s="67"/>
      <c r="AD790" s="12"/>
      <c r="AE790" s="12"/>
      <c r="AF790" s="12"/>
    </row>
    <row r="791" ht="15.75" customHeight="1">
      <c r="A791" s="34"/>
      <c r="B791" s="34"/>
      <c r="C791" s="34"/>
      <c r="D791" s="34"/>
      <c r="E791" s="34"/>
      <c r="F791" s="35"/>
      <c r="G791" s="34"/>
      <c r="H791" s="34"/>
      <c r="I791" s="34"/>
      <c r="J791" s="34"/>
      <c r="K791" s="34"/>
      <c r="L791" s="34"/>
      <c r="M791" s="34"/>
      <c r="N791" s="34"/>
      <c r="O791" s="36"/>
      <c r="P791" s="34"/>
      <c r="Q791" s="87"/>
      <c r="R791" s="34"/>
      <c r="S791" s="66"/>
      <c r="T791" s="12"/>
      <c r="U791" s="12"/>
      <c r="V791" s="12"/>
      <c r="W791" s="12"/>
      <c r="X791" s="12"/>
      <c r="Y791" s="12"/>
      <c r="Z791" s="67"/>
      <c r="AA791" s="12"/>
      <c r="AB791" s="12"/>
      <c r="AC791" s="67"/>
      <c r="AD791" s="12"/>
      <c r="AE791" s="12"/>
      <c r="AF791" s="12"/>
    </row>
    <row r="792" ht="15.75" customHeight="1">
      <c r="A792" s="34"/>
      <c r="B792" s="34"/>
      <c r="C792" s="34"/>
      <c r="D792" s="34"/>
      <c r="E792" s="34"/>
      <c r="F792" s="35"/>
      <c r="G792" s="34"/>
      <c r="H792" s="34"/>
      <c r="I792" s="34"/>
      <c r="J792" s="34"/>
      <c r="K792" s="34"/>
      <c r="L792" s="34"/>
      <c r="M792" s="34"/>
      <c r="N792" s="34"/>
      <c r="O792" s="36"/>
      <c r="P792" s="34"/>
      <c r="Q792" s="87"/>
      <c r="R792" s="34"/>
      <c r="S792" s="66"/>
      <c r="T792" s="12"/>
      <c r="U792" s="12"/>
      <c r="V792" s="12"/>
      <c r="W792" s="12"/>
      <c r="X792" s="12"/>
      <c r="Y792" s="12"/>
      <c r="Z792" s="67"/>
      <c r="AA792" s="12"/>
      <c r="AB792" s="12"/>
      <c r="AC792" s="67"/>
      <c r="AD792" s="12"/>
      <c r="AE792" s="12"/>
      <c r="AF792" s="12"/>
    </row>
    <row r="793" ht="15.75" customHeight="1">
      <c r="A793" s="34"/>
      <c r="B793" s="34"/>
      <c r="C793" s="34"/>
      <c r="D793" s="34"/>
      <c r="E793" s="34"/>
      <c r="F793" s="35"/>
      <c r="G793" s="34"/>
      <c r="H793" s="34"/>
      <c r="I793" s="34"/>
      <c r="J793" s="34"/>
      <c r="K793" s="34"/>
      <c r="L793" s="34"/>
      <c r="M793" s="34"/>
      <c r="N793" s="34"/>
      <c r="O793" s="36"/>
      <c r="P793" s="34"/>
      <c r="Q793" s="87"/>
      <c r="R793" s="34"/>
      <c r="S793" s="66"/>
      <c r="T793" s="12"/>
      <c r="U793" s="12"/>
      <c r="V793" s="12"/>
      <c r="W793" s="12"/>
      <c r="X793" s="12"/>
      <c r="Y793" s="12"/>
      <c r="Z793" s="67"/>
      <c r="AA793" s="12"/>
      <c r="AB793" s="12"/>
      <c r="AC793" s="67"/>
      <c r="AD793" s="12"/>
      <c r="AE793" s="12"/>
      <c r="AF793" s="12"/>
    </row>
    <row r="794" ht="15.75" customHeight="1">
      <c r="A794" s="34"/>
      <c r="B794" s="34"/>
      <c r="C794" s="34"/>
      <c r="D794" s="34"/>
      <c r="E794" s="34"/>
      <c r="F794" s="35"/>
      <c r="G794" s="34"/>
      <c r="H794" s="34"/>
      <c r="I794" s="34"/>
      <c r="J794" s="34"/>
      <c r="K794" s="34"/>
      <c r="L794" s="34"/>
      <c r="M794" s="34"/>
      <c r="N794" s="34"/>
      <c r="O794" s="36"/>
      <c r="P794" s="34"/>
      <c r="Q794" s="87"/>
      <c r="R794" s="34"/>
      <c r="S794" s="66"/>
      <c r="T794" s="12"/>
      <c r="U794" s="12"/>
      <c r="V794" s="12"/>
      <c r="W794" s="12"/>
      <c r="X794" s="12"/>
      <c r="Y794" s="12"/>
      <c r="Z794" s="67"/>
      <c r="AA794" s="12"/>
      <c r="AB794" s="12"/>
      <c r="AC794" s="67"/>
      <c r="AD794" s="12"/>
      <c r="AE794" s="12"/>
      <c r="AF794" s="12"/>
    </row>
    <row r="795" ht="15.75" customHeight="1">
      <c r="A795" s="34"/>
      <c r="B795" s="34"/>
      <c r="C795" s="34"/>
      <c r="D795" s="34"/>
      <c r="E795" s="34"/>
      <c r="F795" s="35"/>
      <c r="G795" s="34"/>
      <c r="H795" s="34"/>
      <c r="I795" s="34"/>
      <c r="J795" s="34"/>
      <c r="K795" s="34"/>
      <c r="L795" s="34"/>
      <c r="M795" s="34"/>
      <c r="N795" s="34"/>
      <c r="O795" s="36"/>
      <c r="P795" s="34"/>
      <c r="Q795" s="87"/>
      <c r="R795" s="34"/>
      <c r="S795" s="66"/>
      <c r="T795" s="12"/>
      <c r="U795" s="12"/>
      <c r="V795" s="12"/>
      <c r="W795" s="12"/>
      <c r="X795" s="12"/>
      <c r="Y795" s="12"/>
      <c r="Z795" s="67"/>
      <c r="AA795" s="12"/>
      <c r="AB795" s="12"/>
      <c r="AC795" s="67"/>
      <c r="AD795" s="12"/>
      <c r="AE795" s="12"/>
      <c r="AF795" s="12"/>
    </row>
    <row r="796" ht="15.75" customHeight="1">
      <c r="A796" s="34"/>
      <c r="B796" s="34"/>
      <c r="C796" s="34"/>
      <c r="D796" s="34"/>
      <c r="E796" s="34"/>
      <c r="F796" s="35"/>
      <c r="G796" s="34"/>
      <c r="H796" s="34"/>
      <c r="I796" s="34"/>
      <c r="J796" s="34"/>
      <c r="K796" s="34"/>
      <c r="L796" s="34"/>
      <c r="M796" s="34"/>
      <c r="N796" s="34"/>
      <c r="O796" s="36"/>
      <c r="P796" s="34"/>
      <c r="Q796" s="87"/>
      <c r="R796" s="34"/>
      <c r="S796" s="66"/>
      <c r="T796" s="12"/>
      <c r="U796" s="12"/>
      <c r="V796" s="12"/>
      <c r="W796" s="12"/>
      <c r="X796" s="12"/>
      <c r="Y796" s="12"/>
      <c r="Z796" s="67"/>
      <c r="AA796" s="12"/>
      <c r="AB796" s="12"/>
      <c r="AC796" s="67"/>
      <c r="AD796" s="12"/>
      <c r="AE796" s="12"/>
      <c r="AF796" s="12"/>
    </row>
    <row r="797" ht="15.75" customHeight="1">
      <c r="A797" s="34"/>
      <c r="B797" s="34"/>
      <c r="C797" s="34"/>
      <c r="D797" s="34"/>
      <c r="E797" s="34"/>
      <c r="F797" s="35"/>
      <c r="G797" s="34"/>
      <c r="H797" s="34"/>
      <c r="I797" s="34"/>
      <c r="J797" s="34"/>
      <c r="K797" s="34"/>
      <c r="L797" s="34"/>
      <c r="M797" s="34"/>
      <c r="N797" s="34"/>
      <c r="O797" s="36"/>
      <c r="P797" s="34"/>
      <c r="Q797" s="87"/>
      <c r="R797" s="34"/>
      <c r="S797" s="66"/>
      <c r="T797" s="12"/>
      <c r="U797" s="12"/>
      <c r="V797" s="12"/>
      <c r="W797" s="12"/>
      <c r="X797" s="12"/>
      <c r="Y797" s="12"/>
      <c r="Z797" s="67"/>
      <c r="AA797" s="12"/>
      <c r="AB797" s="12"/>
      <c r="AC797" s="67"/>
      <c r="AD797" s="12"/>
      <c r="AE797" s="12"/>
      <c r="AF797" s="12"/>
    </row>
    <row r="798" ht="15.75" customHeight="1">
      <c r="A798" s="34"/>
      <c r="B798" s="34"/>
      <c r="C798" s="34"/>
      <c r="D798" s="34"/>
      <c r="E798" s="34"/>
      <c r="F798" s="35"/>
      <c r="G798" s="34"/>
      <c r="H798" s="34"/>
      <c r="I798" s="34"/>
      <c r="J798" s="34"/>
      <c r="K798" s="34"/>
      <c r="L798" s="34"/>
      <c r="M798" s="34"/>
      <c r="N798" s="34"/>
      <c r="O798" s="36"/>
      <c r="P798" s="34"/>
      <c r="Q798" s="87"/>
      <c r="R798" s="34"/>
      <c r="S798" s="66"/>
      <c r="T798" s="12"/>
      <c r="U798" s="12"/>
      <c r="V798" s="12"/>
      <c r="W798" s="12"/>
      <c r="X798" s="12"/>
      <c r="Y798" s="12"/>
      <c r="Z798" s="67"/>
      <c r="AA798" s="12"/>
      <c r="AB798" s="12"/>
      <c r="AC798" s="67"/>
      <c r="AD798" s="12"/>
      <c r="AE798" s="12"/>
      <c r="AF798" s="12"/>
    </row>
    <row r="799" ht="15.75" customHeight="1">
      <c r="A799" s="34"/>
      <c r="B799" s="34"/>
      <c r="C799" s="34"/>
      <c r="D799" s="34"/>
      <c r="E799" s="34"/>
      <c r="F799" s="35"/>
      <c r="G799" s="34"/>
      <c r="H799" s="34"/>
      <c r="I799" s="34"/>
      <c r="J799" s="34"/>
      <c r="K799" s="34"/>
      <c r="L799" s="34"/>
      <c r="M799" s="34"/>
      <c r="N799" s="34"/>
      <c r="O799" s="36"/>
      <c r="P799" s="34"/>
      <c r="Q799" s="87"/>
      <c r="R799" s="34"/>
      <c r="S799" s="66"/>
      <c r="T799" s="12"/>
      <c r="U799" s="12"/>
      <c r="V799" s="12"/>
      <c r="W799" s="12"/>
      <c r="X799" s="12"/>
      <c r="Y799" s="12"/>
      <c r="Z799" s="67"/>
      <c r="AA799" s="12"/>
      <c r="AB799" s="12"/>
      <c r="AC799" s="67"/>
      <c r="AD799" s="12"/>
      <c r="AE799" s="12"/>
      <c r="AF799" s="12"/>
    </row>
    <row r="800" ht="15.75" customHeight="1">
      <c r="A800" s="34"/>
      <c r="B800" s="34"/>
      <c r="C800" s="34"/>
      <c r="D800" s="34"/>
      <c r="E800" s="34"/>
      <c r="F800" s="35"/>
      <c r="G800" s="34"/>
      <c r="H800" s="34"/>
      <c r="I800" s="34"/>
      <c r="J800" s="34"/>
      <c r="K800" s="34"/>
      <c r="L800" s="34"/>
      <c r="M800" s="34"/>
      <c r="N800" s="34"/>
      <c r="O800" s="36"/>
      <c r="P800" s="34"/>
      <c r="Q800" s="87"/>
      <c r="R800" s="34"/>
      <c r="S800" s="66"/>
      <c r="T800" s="12"/>
      <c r="U800" s="12"/>
      <c r="V800" s="12"/>
      <c r="W800" s="12"/>
      <c r="X800" s="12"/>
      <c r="Y800" s="12"/>
      <c r="Z800" s="67"/>
      <c r="AA800" s="12"/>
      <c r="AB800" s="12"/>
      <c r="AC800" s="67"/>
      <c r="AD800" s="12"/>
      <c r="AE800" s="12"/>
      <c r="AF800" s="12"/>
    </row>
    <row r="801" ht="15.75" customHeight="1">
      <c r="A801" s="34"/>
      <c r="B801" s="34"/>
      <c r="C801" s="34"/>
      <c r="D801" s="34"/>
      <c r="E801" s="34"/>
      <c r="F801" s="35"/>
      <c r="G801" s="34"/>
      <c r="H801" s="34"/>
      <c r="I801" s="34"/>
      <c r="J801" s="34"/>
      <c r="K801" s="34"/>
      <c r="L801" s="34"/>
      <c r="M801" s="34"/>
      <c r="N801" s="34"/>
      <c r="O801" s="36"/>
      <c r="P801" s="34"/>
      <c r="Q801" s="87"/>
      <c r="R801" s="34"/>
      <c r="S801" s="66"/>
      <c r="T801" s="12"/>
      <c r="U801" s="12"/>
      <c r="V801" s="12"/>
      <c r="W801" s="12"/>
      <c r="X801" s="12"/>
      <c r="Y801" s="12"/>
      <c r="Z801" s="67"/>
      <c r="AA801" s="12"/>
      <c r="AB801" s="12"/>
      <c r="AC801" s="67"/>
      <c r="AD801" s="12"/>
      <c r="AE801" s="12"/>
      <c r="AF801" s="12"/>
    </row>
    <row r="802" ht="15.75" customHeight="1">
      <c r="A802" s="34"/>
      <c r="B802" s="34"/>
      <c r="C802" s="34"/>
      <c r="D802" s="34"/>
      <c r="E802" s="34"/>
      <c r="F802" s="35"/>
      <c r="G802" s="34"/>
      <c r="H802" s="34"/>
      <c r="I802" s="34"/>
      <c r="J802" s="34"/>
      <c r="K802" s="34"/>
      <c r="L802" s="34"/>
      <c r="M802" s="34"/>
      <c r="N802" s="34"/>
      <c r="O802" s="36"/>
      <c r="P802" s="34"/>
      <c r="Q802" s="87"/>
      <c r="R802" s="34"/>
      <c r="S802" s="66"/>
      <c r="T802" s="12"/>
      <c r="U802" s="12"/>
      <c r="V802" s="12"/>
      <c r="W802" s="12"/>
      <c r="X802" s="12"/>
      <c r="Y802" s="12"/>
      <c r="Z802" s="67"/>
      <c r="AA802" s="12"/>
      <c r="AB802" s="12"/>
      <c r="AC802" s="67"/>
      <c r="AD802" s="12"/>
      <c r="AE802" s="12"/>
      <c r="AF802" s="12"/>
    </row>
    <row r="803" ht="15.75" customHeight="1">
      <c r="A803" s="34"/>
      <c r="B803" s="34"/>
      <c r="C803" s="34"/>
      <c r="D803" s="34"/>
      <c r="E803" s="34"/>
      <c r="F803" s="35"/>
      <c r="G803" s="34"/>
      <c r="H803" s="34"/>
      <c r="I803" s="34"/>
      <c r="J803" s="34"/>
      <c r="K803" s="34"/>
      <c r="L803" s="34"/>
      <c r="M803" s="34"/>
      <c r="N803" s="34"/>
      <c r="O803" s="36"/>
      <c r="P803" s="34"/>
      <c r="Q803" s="87"/>
      <c r="R803" s="34"/>
      <c r="S803" s="66"/>
      <c r="T803" s="12"/>
      <c r="U803" s="12"/>
      <c r="V803" s="12"/>
      <c r="W803" s="12"/>
      <c r="X803" s="12"/>
      <c r="Y803" s="12"/>
      <c r="Z803" s="67"/>
      <c r="AA803" s="12"/>
      <c r="AB803" s="12"/>
      <c r="AC803" s="67"/>
      <c r="AD803" s="12"/>
      <c r="AE803" s="12"/>
      <c r="AF803" s="12"/>
    </row>
    <row r="804" ht="15.75" customHeight="1">
      <c r="A804" s="34"/>
      <c r="B804" s="34"/>
      <c r="C804" s="34"/>
      <c r="D804" s="34"/>
      <c r="E804" s="34"/>
      <c r="F804" s="35"/>
      <c r="G804" s="34"/>
      <c r="H804" s="34"/>
      <c r="I804" s="34"/>
      <c r="J804" s="34"/>
      <c r="K804" s="34"/>
      <c r="L804" s="34"/>
      <c r="M804" s="34"/>
      <c r="N804" s="34"/>
      <c r="O804" s="36"/>
      <c r="P804" s="34"/>
      <c r="Q804" s="87"/>
      <c r="R804" s="34"/>
      <c r="S804" s="66"/>
      <c r="T804" s="12"/>
      <c r="U804" s="12"/>
      <c r="V804" s="12"/>
      <c r="W804" s="12"/>
      <c r="X804" s="12"/>
      <c r="Y804" s="12"/>
      <c r="Z804" s="67"/>
      <c r="AA804" s="12"/>
      <c r="AB804" s="12"/>
      <c r="AC804" s="67"/>
      <c r="AD804" s="12"/>
      <c r="AE804" s="12"/>
      <c r="AF804" s="12"/>
    </row>
    <row r="805" ht="15.75" customHeight="1">
      <c r="A805" s="34"/>
      <c r="B805" s="34"/>
      <c r="C805" s="34"/>
      <c r="D805" s="34"/>
      <c r="E805" s="34"/>
      <c r="F805" s="35"/>
      <c r="G805" s="34"/>
      <c r="H805" s="34"/>
      <c r="I805" s="34"/>
      <c r="J805" s="34"/>
      <c r="K805" s="34"/>
      <c r="L805" s="34"/>
      <c r="M805" s="34"/>
      <c r="N805" s="34"/>
      <c r="O805" s="36"/>
      <c r="P805" s="34"/>
      <c r="Q805" s="87"/>
      <c r="R805" s="34"/>
      <c r="S805" s="66"/>
      <c r="T805" s="12"/>
      <c r="U805" s="12"/>
      <c r="V805" s="12"/>
      <c r="W805" s="12"/>
      <c r="X805" s="12"/>
      <c r="Y805" s="12"/>
      <c r="Z805" s="67"/>
      <c r="AA805" s="12"/>
      <c r="AB805" s="12"/>
      <c r="AC805" s="67"/>
      <c r="AD805" s="12"/>
      <c r="AE805" s="12"/>
      <c r="AF805" s="12"/>
    </row>
    <row r="806" ht="15.75" customHeight="1">
      <c r="A806" s="34"/>
      <c r="B806" s="34"/>
      <c r="C806" s="34"/>
      <c r="D806" s="34"/>
      <c r="E806" s="34"/>
      <c r="F806" s="35"/>
      <c r="G806" s="34"/>
      <c r="H806" s="34"/>
      <c r="I806" s="34"/>
      <c r="J806" s="34"/>
      <c r="K806" s="34"/>
      <c r="L806" s="34"/>
      <c r="M806" s="34"/>
      <c r="N806" s="34"/>
      <c r="O806" s="36"/>
      <c r="P806" s="34"/>
      <c r="Q806" s="87"/>
      <c r="R806" s="34"/>
      <c r="S806" s="66"/>
      <c r="T806" s="12"/>
      <c r="U806" s="12"/>
      <c r="V806" s="12"/>
      <c r="W806" s="12"/>
      <c r="X806" s="12"/>
      <c r="Y806" s="12"/>
      <c r="Z806" s="67"/>
      <c r="AA806" s="12"/>
      <c r="AB806" s="12"/>
      <c r="AC806" s="67"/>
      <c r="AD806" s="12"/>
      <c r="AE806" s="12"/>
      <c r="AF806" s="12"/>
    </row>
    <row r="807" ht="15.75" customHeight="1">
      <c r="A807" s="34"/>
      <c r="B807" s="34"/>
      <c r="C807" s="34"/>
      <c r="D807" s="34"/>
      <c r="E807" s="34"/>
      <c r="F807" s="35"/>
      <c r="G807" s="34"/>
      <c r="H807" s="34"/>
      <c r="I807" s="34"/>
      <c r="J807" s="34"/>
      <c r="K807" s="34"/>
      <c r="L807" s="34"/>
      <c r="M807" s="34"/>
      <c r="N807" s="34"/>
      <c r="O807" s="36"/>
      <c r="P807" s="34"/>
      <c r="Q807" s="87"/>
      <c r="R807" s="34"/>
      <c r="S807" s="66"/>
      <c r="T807" s="12"/>
      <c r="U807" s="12"/>
      <c r="V807" s="12"/>
      <c r="W807" s="12"/>
      <c r="X807" s="12"/>
      <c r="Y807" s="12"/>
      <c r="Z807" s="67"/>
      <c r="AA807" s="12"/>
      <c r="AB807" s="12"/>
      <c r="AC807" s="67"/>
      <c r="AD807" s="12"/>
      <c r="AE807" s="12"/>
      <c r="AF807" s="12"/>
    </row>
    <row r="808" ht="15.75" customHeight="1">
      <c r="A808" s="34"/>
      <c r="B808" s="34"/>
      <c r="C808" s="34"/>
      <c r="D808" s="34"/>
      <c r="E808" s="34"/>
      <c r="F808" s="35"/>
      <c r="G808" s="34"/>
      <c r="H808" s="34"/>
      <c r="I808" s="34"/>
      <c r="J808" s="34"/>
      <c r="K808" s="34"/>
      <c r="L808" s="34"/>
      <c r="M808" s="34"/>
      <c r="N808" s="34"/>
      <c r="O808" s="36"/>
      <c r="P808" s="34"/>
      <c r="Q808" s="87"/>
      <c r="R808" s="34"/>
      <c r="S808" s="66"/>
      <c r="T808" s="12"/>
      <c r="U808" s="12"/>
      <c r="V808" s="12"/>
      <c r="W808" s="12"/>
      <c r="X808" s="12"/>
      <c r="Y808" s="12"/>
      <c r="Z808" s="67"/>
      <c r="AA808" s="12"/>
      <c r="AB808" s="12"/>
      <c r="AC808" s="67"/>
      <c r="AD808" s="12"/>
      <c r="AE808" s="12"/>
      <c r="AF808" s="12"/>
    </row>
    <row r="809" ht="15.75" customHeight="1">
      <c r="A809" s="34"/>
      <c r="B809" s="34"/>
      <c r="C809" s="34"/>
      <c r="D809" s="34"/>
      <c r="E809" s="34"/>
      <c r="F809" s="35"/>
      <c r="G809" s="34"/>
      <c r="H809" s="34"/>
      <c r="I809" s="34"/>
      <c r="J809" s="34"/>
      <c r="K809" s="34"/>
      <c r="L809" s="34"/>
      <c r="M809" s="34"/>
      <c r="N809" s="34"/>
      <c r="O809" s="36"/>
      <c r="P809" s="34"/>
      <c r="Q809" s="87"/>
      <c r="R809" s="34"/>
      <c r="S809" s="66"/>
      <c r="T809" s="12"/>
      <c r="U809" s="12"/>
      <c r="V809" s="12"/>
      <c r="W809" s="12"/>
      <c r="X809" s="12"/>
      <c r="Y809" s="12"/>
      <c r="Z809" s="67"/>
      <c r="AA809" s="12"/>
      <c r="AB809" s="12"/>
      <c r="AC809" s="67"/>
      <c r="AD809" s="12"/>
      <c r="AE809" s="12"/>
      <c r="AF809" s="12"/>
    </row>
    <row r="810" ht="15.75" customHeight="1">
      <c r="A810" s="34"/>
      <c r="B810" s="34"/>
      <c r="C810" s="34"/>
      <c r="D810" s="34"/>
      <c r="E810" s="34"/>
      <c r="F810" s="35"/>
      <c r="G810" s="34"/>
      <c r="H810" s="34"/>
      <c r="I810" s="34"/>
      <c r="J810" s="34"/>
      <c r="K810" s="34"/>
      <c r="L810" s="34"/>
      <c r="M810" s="34"/>
      <c r="N810" s="34"/>
      <c r="O810" s="36"/>
      <c r="P810" s="34"/>
      <c r="Q810" s="87"/>
      <c r="R810" s="34"/>
      <c r="S810" s="66"/>
      <c r="T810" s="12"/>
      <c r="U810" s="12"/>
      <c r="V810" s="12"/>
      <c r="W810" s="12"/>
      <c r="X810" s="12"/>
      <c r="Y810" s="12"/>
      <c r="Z810" s="67"/>
      <c r="AA810" s="12"/>
      <c r="AB810" s="12"/>
      <c r="AC810" s="67"/>
      <c r="AD810" s="12"/>
      <c r="AE810" s="12"/>
      <c r="AF810" s="12"/>
    </row>
    <row r="811" ht="15.75" customHeight="1">
      <c r="A811" s="34"/>
      <c r="B811" s="34"/>
      <c r="C811" s="34"/>
      <c r="D811" s="34"/>
      <c r="E811" s="34"/>
      <c r="F811" s="35"/>
      <c r="G811" s="34"/>
      <c r="H811" s="34"/>
      <c r="I811" s="34"/>
      <c r="J811" s="34"/>
      <c r="K811" s="34"/>
      <c r="L811" s="34"/>
      <c r="M811" s="34"/>
      <c r="N811" s="34"/>
      <c r="O811" s="36"/>
      <c r="P811" s="34"/>
      <c r="Q811" s="87"/>
      <c r="R811" s="34"/>
      <c r="S811" s="66"/>
      <c r="T811" s="12"/>
      <c r="U811" s="12"/>
      <c r="V811" s="12"/>
      <c r="W811" s="12"/>
      <c r="X811" s="12"/>
      <c r="Y811" s="12"/>
      <c r="Z811" s="67"/>
      <c r="AA811" s="12"/>
      <c r="AB811" s="12"/>
      <c r="AC811" s="67"/>
      <c r="AD811" s="12"/>
      <c r="AE811" s="12"/>
      <c r="AF811" s="12"/>
    </row>
    <row r="812" ht="15.75" customHeight="1">
      <c r="A812" s="34"/>
      <c r="B812" s="34"/>
      <c r="C812" s="34"/>
      <c r="D812" s="34"/>
      <c r="E812" s="34"/>
      <c r="F812" s="35"/>
      <c r="G812" s="34"/>
      <c r="H812" s="34"/>
      <c r="I812" s="34"/>
      <c r="J812" s="34"/>
      <c r="K812" s="34"/>
      <c r="L812" s="34"/>
      <c r="M812" s="34"/>
      <c r="N812" s="34"/>
      <c r="O812" s="36"/>
      <c r="P812" s="34"/>
      <c r="Q812" s="87"/>
      <c r="R812" s="34"/>
      <c r="S812" s="66"/>
      <c r="T812" s="12"/>
      <c r="U812" s="12"/>
      <c r="V812" s="12"/>
      <c r="W812" s="12"/>
      <c r="X812" s="12"/>
      <c r="Y812" s="12"/>
      <c r="Z812" s="67"/>
      <c r="AA812" s="12"/>
      <c r="AB812" s="12"/>
      <c r="AC812" s="67"/>
      <c r="AD812" s="12"/>
      <c r="AE812" s="12"/>
      <c r="AF812" s="12"/>
    </row>
    <row r="813" ht="15.75" customHeight="1">
      <c r="A813" s="34"/>
      <c r="B813" s="34"/>
      <c r="C813" s="34"/>
      <c r="D813" s="34"/>
      <c r="E813" s="34"/>
      <c r="F813" s="35"/>
      <c r="G813" s="34"/>
      <c r="H813" s="34"/>
      <c r="I813" s="34"/>
      <c r="J813" s="34"/>
      <c r="K813" s="34"/>
      <c r="L813" s="34"/>
      <c r="M813" s="34"/>
      <c r="N813" s="34"/>
      <c r="O813" s="36"/>
      <c r="P813" s="34"/>
      <c r="Q813" s="87"/>
      <c r="R813" s="34"/>
      <c r="S813" s="66"/>
      <c r="T813" s="12"/>
      <c r="U813" s="12"/>
      <c r="V813" s="12"/>
      <c r="W813" s="12"/>
      <c r="X813" s="12"/>
      <c r="Y813" s="12"/>
      <c r="Z813" s="67"/>
      <c r="AA813" s="12"/>
      <c r="AB813" s="12"/>
      <c r="AC813" s="67"/>
      <c r="AD813" s="12"/>
      <c r="AE813" s="12"/>
      <c r="AF813" s="12"/>
    </row>
    <row r="814" ht="15.75" customHeight="1">
      <c r="A814" s="34"/>
      <c r="B814" s="34"/>
      <c r="C814" s="34"/>
      <c r="D814" s="34"/>
      <c r="E814" s="34"/>
      <c r="F814" s="35"/>
      <c r="G814" s="34"/>
      <c r="H814" s="34"/>
      <c r="I814" s="34"/>
      <c r="J814" s="34"/>
      <c r="K814" s="34"/>
      <c r="L814" s="34"/>
      <c r="M814" s="34"/>
      <c r="N814" s="34"/>
      <c r="O814" s="36"/>
      <c r="P814" s="34"/>
      <c r="Q814" s="87"/>
      <c r="R814" s="34"/>
      <c r="S814" s="66"/>
      <c r="T814" s="12"/>
      <c r="U814" s="12"/>
      <c r="V814" s="12"/>
      <c r="W814" s="12"/>
      <c r="X814" s="12"/>
      <c r="Y814" s="12"/>
      <c r="Z814" s="67"/>
      <c r="AA814" s="12"/>
      <c r="AB814" s="12"/>
      <c r="AC814" s="67"/>
      <c r="AD814" s="12"/>
      <c r="AE814" s="12"/>
      <c r="AF814" s="12"/>
    </row>
    <row r="815" ht="15.75" customHeight="1">
      <c r="A815" s="34"/>
      <c r="B815" s="34"/>
      <c r="C815" s="34"/>
      <c r="D815" s="34"/>
      <c r="E815" s="34"/>
      <c r="F815" s="35"/>
      <c r="G815" s="34"/>
      <c r="H815" s="34"/>
      <c r="I815" s="34"/>
      <c r="J815" s="34"/>
      <c r="K815" s="34"/>
      <c r="L815" s="34"/>
      <c r="M815" s="34"/>
      <c r="N815" s="34"/>
      <c r="O815" s="36"/>
      <c r="P815" s="34"/>
      <c r="Q815" s="87"/>
      <c r="R815" s="34"/>
      <c r="S815" s="66"/>
      <c r="T815" s="12"/>
      <c r="U815" s="12"/>
      <c r="V815" s="12"/>
      <c r="W815" s="12"/>
      <c r="X815" s="12"/>
      <c r="Y815" s="12"/>
      <c r="Z815" s="67"/>
      <c r="AA815" s="12"/>
      <c r="AB815" s="12"/>
      <c r="AC815" s="67"/>
      <c r="AD815" s="12"/>
      <c r="AE815" s="12"/>
      <c r="AF815" s="12"/>
    </row>
    <row r="816" ht="15.75" customHeight="1">
      <c r="A816" s="34"/>
      <c r="B816" s="34"/>
      <c r="C816" s="34"/>
      <c r="D816" s="34"/>
      <c r="E816" s="34"/>
      <c r="F816" s="35"/>
      <c r="G816" s="34"/>
      <c r="H816" s="34"/>
      <c r="I816" s="34"/>
      <c r="J816" s="34"/>
      <c r="K816" s="34"/>
      <c r="L816" s="34"/>
      <c r="M816" s="34"/>
      <c r="N816" s="34"/>
      <c r="O816" s="36"/>
      <c r="P816" s="34"/>
      <c r="Q816" s="87"/>
      <c r="R816" s="34"/>
      <c r="S816" s="66"/>
      <c r="T816" s="12"/>
      <c r="U816" s="12"/>
      <c r="V816" s="12"/>
      <c r="W816" s="12"/>
      <c r="X816" s="12"/>
      <c r="Y816" s="12"/>
      <c r="Z816" s="67"/>
      <c r="AA816" s="12"/>
      <c r="AB816" s="12"/>
      <c r="AC816" s="67"/>
      <c r="AD816" s="12"/>
      <c r="AE816" s="12"/>
      <c r="AF816" s="12"/>
    </row>
    <row r="817" ht="15.75" customHeight="1">
      <c r="A817" s="34"/>
      <c r="B817" s="34"/>
      <c r="C817" s="34"/>
      <c r="D817" s="34"/>
      <c r="E817" s="34"/>
      <c r="F817" s="35"/>
      <c r="G817" s="34"/>
      <c r="H817" s="34"/>
      <c r="I817" s="34"/>
      <c r="J817" s="34"/>
      <c r="K817" s="34"/>
      <c r="L817" s="34"/>
      <c r="M817" s="34"/>
      <c r="N817" s="34"/>
      <c r="O817" s="36"/>
      <c r="P817" s="34"/>
      <c r="Q817" s="87"/>
      <c r="R817" s="34"/>
      <c r="S817" s="66"/>
      <c r="T817" s="12"/>
      <c r="U817" s="12"/>
      <c r="V817" s="12"/>
      <c r="W817" s="12"/>
      <c r="X817" s="12"/>
      <c r="Y817" s="12"/>
      <c r="Z817" s="67"/>
      <c r="AA817" s="12"/>
      <c r="AB817" s="12"/>
      <c r="AC817" s="67"/>
      <c r="AD817" s="12"/>
      <c r="AE817" s="12"/>
      <c r="AF817" s="12"/>
    </row>
    <row r="818" ht="15.75" customHeight="1">
      <c r="A818" s="34"/>
      <c r="B818" s="34"/>
      <c r="C818" s="34"/>
      <c r="D818" s="34"/>
      <c r="E818" s="34"/>
      <c r="F818" s="35"/>
      <c r="G818" s="34"/>
      <c r="H818" s="34"/>
      <c r="I818" s="34"/>
      <c r="J818" s="34"/>
      <c r="K818" s="34"/>
      <c r="L818" s="34"/>
      <c r="M818" s="34"/>
      <c r="N818" s="34"/>
      <c r="O818" s="36"/>
      <c r="P818" s="34"/>
      <c r="Q818" s="87"/>
      <c r="R818" s="34"/>
      <c r="S818" s="66"/>
      <c r="T818" s="12"/>
      <c r="U818" s="12"/>
      <c r="V818" s="12"/>
      <c r="W818" s="12"/>
      <c r="X818" s="12"/>
      <c r="Y818" s="12"/>
      <c r="Z818" s="67"/>
      <c r="AA818" s="12"/>
      <c r="AB818" s="12"/>
      <c r="AC818" s="67"/>
      <c r="AD818" s="12"/>
      <c r="AE818" s="12"/>
      <c r="AF818" s="12"/>
    </row>
    <row r="819" ht="15.75" customHeight="1">
      <c r="A819" s="34"/>
      <c r="B819" s="34"/>
      <c r="C819" s="34"/>
      <c r="D819" s="34"/>
      <c r="E819" s="34"/>
      <c r="F819" s="35"/>
      <c r="G819" s="34"/>
      <c r="H819" s="34"/>
      <c r="I819" s="34"/>
      <c r="J819" s="34"/>
      <c r="K819" s="34"/>
      <c r="L819" s="34"/>
      <c r="M819" s="34"/>
      <c r="N819" s="34"/>
      <c r="O819" s="36"/>
      <c r="P819" s="34"/>
      <c r="Q819" s="87"/>
      <c r="R819" s="34"/>
      <c r="S819" s="66"/>
      <c r="T819" s="12"/>
      <c r="U819" s="12"/>
      <c r="V819" s="12"/>
      <c r="W819" s="12"/>
      <c r="X819" s="12"/>
      <c r="Y819" s="12"/>
      <c r="Z819" s="67"/>
      <c r="AA819" s="12"/>
      <c r="AB819" s="12"/>
      <c r="AC819" s="67"/>
      <c r="AD819" s="12"/>
      <c r="AE819" s="12"/>
      <c r="AF819" s="12"/>
    </row>
    <row r="820" ht="15.75" customHeight="1">
      <c r="A820" s="34"/>
      <c r="B820" s="34"/>
      <c r="C820" s="34"/>
      <c r="D820" s="34"/>
      <c r="E820" s="34"/>
      <c r="F820" s="35"/>
      <c r="G820" s="34"/>
      <c r="H820" s="34"/>
      <c r="I820" s="34"/>
      <c r="J820" s="34"/>
      <c r="K820" s="34"/>
      <c r="L820" s="34"/>
      <c r="M820" s="34"/>
      <c r="N820" s="34"/>
      <c r="O820" s="36"/>
      <c r="P820" s="34"/>
      <c r="Q820" s="87"/>
      <c r="R820" s="34"/>
      <c r="S820" s="66"/>
      <c r="T820" s="12"/>
      <c r="U820" s="12"/>
      <c r="V820" s="12"/>
      <c r="W820" s="12"/>
      <c r="X820" s="12"/>
      <c r="Y820" s="12"/>
      <c r="Z820" s="67"/>
      <c r="AA820" s="12"/>
      <c r="AB820" s="12"/>
      <c r="AC820" s="67"/>
      <c r="AD820" s="12"/>
      <c r="AE820" s="12"/>
      <c r="AF820" s="12"/>
    </row>
    <row r="821" ht="15.75" customHeight="1">
      <c r="A821" s="34"/>
      <c r="B821" s="34"/>
      <c r="C821" s="34"/>
      <c r="D821" s="34"/>
      <c r="E821" s="34"/>
      <c r="F821" s="35"/>
      <c r="G821" s="34"/>
      <c r="H821" s="34"/>
      <c r="I821" s="34"/>
      <c r="J821" s="34"/>
      <c r="K821" s="34"/>
      <c r="L821" s="34"/>
      <c r="M821" s="34"/>
      <c r="N821" s="34"/>
      <c r="O821" s="36"/>
      <c r="P821" s="34"/>
      <c r="Q821" s="87"/>
      <c r="R821" s="34"/>
      <c r="S821" s="66"/>
      <c r="T821" s="12"/>
      <c r="U821" s="12"/>
      <c r="V821" s="12"/>
      <c r="W821" s="12"/>
      <c r="X821" s="12"/>
      <c r="Y821" s="12"/>
      <c r="Z821" s="67"/>
      <c r="AA821" s="12"/>
      <c r="AB821" s="12"/>
      <c r="AC821" s="67"/>
      <c r="AD821" s="12"/>
      <c r="AE821" s="12"/>
      <c r="AF821" s="12"/>
    </row>
    <row r="822" ht="15.75" customHeight="1">
      <c r="A822" s="34"/>
      <c r="B822" s="34"/>
      <c r="C822" s="34"/>
      <c r="D822" s="34"/>
      <c r="E822" s="34"/>
      <c r="F822" s="35"/>
      <c r="G822" s="34"/>
      <c r="H822" s="34"/>
      <c r="I822" s="34"/>
      <c r="J822" s="34"/>
      <c r="K822" s="34"/>
      <c r="L822" s="34"/>
      <c r="M822" s="34"/>
      <c r="N822" s="34"/>
      <c r="O822" s="36"/>
      <c r="P822" s="34"/>
      <c r="Q822" s="87"/>
      <c r="R822" s="34"/>
      <c r="S822" s="66"/>
      <c r="T822" s="12"/>
      <c r="U822" s="12"/>
      <c r="V822" s="12"/>
      <c r="W822" s="12"/>
      <c r="X822" s="12"/>
      <c r="Y822" s="12"/>
      <c r="Z822" s="67"/>
      <c r="AA822" s="12"/>
      <c r="AB822" s="12"/>
      <c r="AC822" s="67"/>
      <c r="AD822" s="12"/>
      <c r="AE822" s="12"/>
      <c r="AF822" s="12"/>
    </row>
    <row r="823" ht="15.75" customHeight="1">
      <c r="A823" s="34"/>
      <c r="B823" s="34"/>
      <c r="C823" s="34"/>
      <c r="D823" s="34"/>
      <c r="E823" s="34"/>
      <c r="F823" s="35"/>
      <c r="G823" s="34"/>
      <c r="H823" s="34"/>
      <c r="I823" s="34"/>
      <c r="J823" s="34"/>
      <c r="K823" s="34"/>
      <c r="L823" s="34"/>
      <c r="M823" s="34"/>
      <c r="N823" s="34"/>
      <c r="O823" s="36"/>
      <c r="P823" s="34"/>
      <c r="Q823" s="87"/>
      <c r="R823" s="34"/>
      <c r="S823" s="66"/>
      <c r="T823" s="12"/>
      <c r="U823" s="12"/>
      <c r="V823" s="12"/>
      <c r="W823" s="12"/>
      <c r="X823" s="12"/>
      <c r="Y823" s="12"/>
      <c r="Z823" s="67"/>
      <c r="AA823" s="12"/>
      <c r="AB823" s="12"/>
      <c r="AC823" s="67"/>
      <c r="AD823" s="12"/>
      <c r="AE823" s="12"/>
      <c r="AF823" s="12"/>
    </row>
    <row r="824" ht="15.75" customHeight="1">
      <c r="A824" s="34"/>
      <c r="B824" s="34"/>
      <c r="C824" s="34"/>
      <c r="D824" s="34"/>
      <c r="E824" s="34"/>
      <c r="F824" s="35"/>
      <c r="G824" s="34"/>
      <c r="H824" s="34"/>
      <c r="I824" s="34"/>
      <c r="J824" s="34"/>
      <c r="K824" s="34"/>
      <c r="L824" s="34"/>
      <c r="M824" s="34"/>
      <c r="N824" s="34"/>
      <c r="O824" s="36"/>
      <c r="P824" s="34"/>
      <c r="Q824" s="87"/>
      <c r="R824" s="34"/>
      <c r="S824" s="66"/>
      <c r="T824" s="12"/>
      <c r="U824" s="12"/>
      <c r="V824" s="12"/>
      <c r="W824" s="12"/>
      <c r="X824" s="12"/>
      <c r="Y824" s="12"/>
      <c r="Z824" s="67"/>
      <c r="AA824" s="12"/>
      <c r="AB824" s="12"/>
      <c r="AC824" s="67"/>
      <c r="AD824" s="12"/>
      <c r="AE824" s="12"/>
      <c r="AF824" s="12"/>
    </row>
    <row r="825" ht="15.75" customHeight="1">
      <c r="A825" s="34"/>
      <c r="B825" s="34"/>
      <c r="C825" s="34"/>
      <c r="D825" s="34"/>
      <c r="E825" s="34"/>
      <c r="F825" s="35"/>
      <c r="G825" s="34"/>
      <c r="H825" s="34"/>
      <c r="I825" s="34"/>
      <c r="J825" s="34"/>
      <c r="K825" s="34"/>
      <c r="L825" s="34"/>
      <c r="M825" s="34"/>
      <c r="N825" s="34"/>
      <c r="O825" s="36"/>
      <c r="P825" s="34"/>
      <c r="Q825" s="87"/>
      <c r="R825" s="34"/>
      <c r="S825" s="66"/>
      <c r="T825" s="12"/>
      <c r="U825" s="12"/>
      <c r="V825" s="12"/>
      <c r="W825" s="12"/>
      <c r="X825" s="12"/>
      <c r="Y825" s="12"/>
      <c r="Z825" s="67"/>
      <c r="AA825" s="12"/>
      <c r="AB825" s="12"/>
      <c r="AC825" s="67"/>
      <c r="AD825" s="12"/>
      <c r="AE825" s="12"/>
      <c r="AF825" s="12"/>
    </row>
    <row r="826" ht="15.75" customHeight="1">
      <c r="A826" s="34"/>
      <c r="B826" s="34"/>
      <c r="C826" s="34"/>
      <c r="D826" s="34"/>
      <c r="E826" s="34"/>
      <c r="F826" s="35"/>
      <c r="G826" s="34"/>
      <c r="H826" s="34"/>
      <c r="I826" s="34"/>
      <c r="J826" s="34"/>
      <c r="K826" s="34"/>
      <c r="L826" s="34"/>
      <c r="M826" s="34"/>
      <c r="N826" s="34"/>
      <c r="O826" s="36"/>
      <c r="P826" s="34"/>
      <c r="Q826" s="87"/>
      <c r="R826" s="34"/>
      <c r="S826" s="66"/>
      <c r="T826" s="12"/>
      <c r="U826" s="12"/>
      <c r="V826" s="12"/>
      <c r="W826" s="12"/>
      <c r="X826" s="12"/>
      <c r="Y826" s="12"/>
      <c r="Z826" s="67"/>
      <c r="AA826" s="12"/>
      <c r="AB826" s="12"/>
      <c r="AC826" s="67"/>
      <c r="AD826" s="12"/>
      <c r="AE826" s="12"/>
      <c r="AF826" s="12"/>
    </row>
    <row r="827" ht="15.75" customHeight="1">
      <c r="A827" s="34"/>
      <c r="B827" s="34"/>
      <c r="C827" s="34"/>
      <c r="D827" s="34"/>
      <c r="E827" s="34"/>
      <c r="F827" s="35"/>
      <c r="G827" s="34"/>
      <c r="H827" s="34"/>
      <c r="I827" s="34"/>
      <c r="J827" s="34"/>
      <c r="K827" s="34"/>
      <c r="L827" s="34"/>
      <c r="M827" s="34"/>
      <c r="N827" s="34"/>
      <c r="O827" s="36"/>
      <c r="P827" s="34"/>
      <c r="Q827" s="87"/>
      <c r="R827" s="34"/>
      <c r="S827" s="66"/>
      <c r="T827" s="12"/>
      <c r="U827" s="12"/>
      <c r="V827" s="12"/>
      <c r="W827" s="12"/>
      <c r="X827" s="12"/>
      <c r="Y827" s="12"/>
      <c r="Z827" s="67"/>
      <c r="AA827" s="12"/>
      <c r="AB827" s="12"/>
      <c r="AC827" s="67"/>
      <c r="AD827" s="12"/>
      <c r="AE827" s="12"/>
      <c r="AF827" s="12"/>
    </row>
    <row r="828" ht="15.75" customHeight="1">
      <c r="A828" s="34"/>
      <c r="B828" s="34"/>
      <c r="C828" s="34"/>
      <c r="D828" s="34"/>
      <c r="E828" s="34"/>
      <c r="F828" s="35"/>
      <c r="G828" s="34"/>
      <c r="H828" s="34"/>
      <c r="I828" s="34"/>
      <c r="J828" s="34"/>
      <c r="K828" s="34"/>
      <c r="L828" s="34"/>
      <c r="M828" s="34"/>
      <c r="N828" s="34"/>
      <c r="O828" s="36"/>
      <c r="P828" s="34"/>
      <c r="Q828" s="87"/>
      <c r="R828" s="34"/>
      <c r="S828" s="66"/>
      <c r="T828" s="12"/>
      <c r="U828" s="12"/>
      <c r="V828" s="12"/>
      <c r="W828" s="12"/>
      <c r="X828" s="12"/>
      <c r="Y828" s="12"/>
      <c r="Z828" s="67"/>
      <c r="AA828" s="12"/>
      <c r="AB828" s="12"/>
      <c r="AC828" s="67"/>
      <c r="AD828" s="12"/>
      <c r="AE828" s="12"/>
      <c r="AF828" s="12"/>
    </row>
    <row r="829" ht="15.75" customHeight="1">
      <c r="A829" s="34"/>
      <c r="B829" s="34"/>
      <c r="C829" s="34"/>
      <c r="D829" s="34"/>
      <c r="E829" s="34"/>
      <c r="F829" s="35"/>
      <c r="G829" s="34"/>
      <c r="H829" s="34"/>
      <c r="I829" s="34"/>
      <c r="J829" s="34"/>
      <c r="K829" s="34"/>
      <c r="L829" s="34"/>
      <c r="M829" s="34"/>
      <c r="N829" s="34"/>
      <c r="O829" s="36"/>
      <c r="P829" s="34"/>
      <c r="Q829" s="87"/>
      <c r="R829" s="34"/>
      <c r="S829" s="66"/>
      <c r="T829" s="12"/>
      <c r="U829" s="12"/>
      <c r="V829" s="12"/>
      <c r="W829" s="12"/>
      <c r="X829" s="12"/>
      <c r="Y829" s="12"/>
      <c r="Z829" s="67"/>
      <c r="AA829" s="12"/>
      <c r="AB829" s="12"/>
      <c r="AC829" s="67"/>
      <c r="AD829" s="12"/>
      <c r="AE829" s="12"/>
      <c r="AF829" s="12"/>
    </row>
    <row r="830" ht="15.75" customHeight="1">
      <c r="A830" s="34"/>
      <c r="B830" s="34"/>
      <c r="C830" s="34"/>
      <c r="D830" s="34"/>
      <c r="E830" s="34"/>
      <c r="F830" s="35"/>
      <c r="G830" s="34"/>
      <c r="H830" s="34"/>
      <c r="I830" s="34"/>
      <c r="J830" s="34"/>
      <c r="K830" s="34"/>
      <c r="L830" s="34"/>
      <c r="M830" s="34"/>
      <c r="N830" s="34"/>
      <c r="O830" s="36"/>
      <c r="P830" s="34"/>
      <c r="Q830" s="87"/>
      <c r="R830" s="34"/>
      <c r="S830" s="66"/>
      <c r="T830" s="12"/>
      <c r="U830" s="12"/>
      <c r="V830" s="12"/>
      <c r="W830" s="12"/>
      <c r="X830" s="12"/>
      <c r="Y830" s="12"/>
      <c r="Z830" s="67"/>
      <c r="AA830" s="12"/>
      <c r="AB830" s="12"/>
      <c r="AC830" s="67"/>
      <c r="AD830" s="12"/>
      <c r="AE830" s="12"/>
      <c r="AF830" s="12"/>
    </row>
    <row r="831" ht="15.75" customHeight="1">
      <c r="A831" s="34"/>
      <c r="B831" s="34"/>
      <c r="C831" s="34"/>
      <c r="D831" s="34"/>
      <c r="E831" s="34"/>
      <c r="F831" s="35"/>
      <c r="G831" s="34"/>
      <c r="H831" s="34"/>
      <c r="I831" s="34"/>
      <c r="J831" s="34"/>
      <c r="K831" s="34"/>
      <c r="L831" s="34"/>
      <c r="M831" s="34"/>
      <c r="N831" s="34"/>
      <c r="O831" s="36"/>
      <c r="P831" s="34"/>
      <c r="Q831" s="87"/>
      <c r="R831" s="34"/>
      <c r="S831" s="66"/>
      <c r="T831" s="12"/>
      <c r="U831" s="12"/>
      <c r="V831" s="12"/>
      <c r="W831" s="12"/>
      <c r="X831" s="12"/>
      <c r="Y831" s="12"/>
      <c r="Z831" s="67"/>
      <c r="AA831" s="12"/>
      <c r="AB831" s="12"/>
      <c r="AC831" s="67"/>
      <c r="AD831" s="12"/>
      <c r="AE831" s="12"/>
      <c r="AF831" s="12"/>
    </row>
    <row r="832" ht="15.75" customHeight="1">
      <c r="A832" s="34"/>
      <c r="B832" s="34"/>
      <c r="C832" s="34"/>
      <c r="D832" s="34"/>
      <c r="E832" s="34"/>
      <c r="F832" s="35"/>
      <c r="G832" s="34"/>
      <c r="H832" s="34"/>
      <c r="I832" s="34"/>
      <c r="J832" s="34"/>
      <c r="K832" s="34"/>
      <c r="L832" s="34"/>
      <c r="M832" s="34"/>
      <c r="N832" s="34"/>
      <c r="O832" s="36"/>
      <c r="P832" s="34"/>
      <c r="Q832" s="87"/>
      <c r="R832" s="34"/>
      <c r="S832" s="66"/>
      <c r="T832" s="12"/>
      <c r="U832" s="12"/>
      <c r="V832" s="12"/>
      <c r="W832" s="12"/>
      <c r="X832" s="12"/>
      <c r="Y832" s="12"/>
      <c r="Z832" s="67"/>
      <c r="AA832" s="12"/>
      <c r="AB832" s="12"/>
      <c r="AC832" s="67"/>
      <c r="AD832" s="12"/>
      <c r="AE832" s="12"/>
      <c r="AF832" s="12"/>
    </row>
    <row r="833" ht="15.75" customHeight="1">
      <c r="A833" s="34"/>
      <c r="B833" s="34"/>
      <c r="C833" s="34"/>
      <c r="D833" s="34"/>
      <c r="E833" s="34"/>
      <c r="F833" s="35"/>
      <c r="G833" s="34"/>
      <c r="H833" s="34"/>
      <c r="I833" s="34"/>
      <c r="J833" s="34"/>
      <c r="K833" s="34"/>
      <c r="L833" s="34"/>
      <c r="M833" s="34"/>
      <c r="N833" s="34"/>
      <c r="O833" s="36"/>
      <c r="P833" s="34"/>
      <c r="Q833" s="87"/>
      <c r="R833" s="34"/>
      <c r="S833" s="66"/>
      <c r="T833" s="12"/>
      <c r="U833" s="12"/>
      <c r="V833" s="12"/>
      <c r="W833" s="12"/>
      <c r="X833" s="12"/>
      <c r="Y833" s="12"/>
      <c r="Z833" s="67"/>
      <c r="AA833" s="12"/>
      <c r="AB833" s="12"/>
      <c r="AC833" s="67"/>
      <c r="AD833" s="12"/>
      <c r="AE833" s="12"/>
      <c r="AF833" s="12"/>
    </row>
    <row r="834" ht="15.75" customHeight="1">
      <c r="A834" s="34"/>
      <c r="B834" s="34"/>
      <c r="C834" s="34"/>
      <c r="D834" s="34"/>
      <c r="E834" s="34"/>
      <c r="F834" s="35"/>
      <c r="G834" s="34"/>
      <c r="H834" s="34"/>
      <c r="I834" s="34"/>
      <c r="J834" s="34"/>
      <c r="K834" s="34"/>
      <c r="L834" s="34"/>
      <c r="M834" s="34"/>
      <c r="N834" s="34"/>
      <c r="O834" s="36"/>
      <c r="P834" s="34"/>
      <c r="Q834" s="87"/>
      <c r="R834" s="34"/>
      <c r="S834" s="66"/>
      <c r="T834" s="12"/>
      <c r="U834" s="12"/>
      <c r="V834" s="12"/>
      <c r="W834" s="12"/>
      <c r="X834" s="12"/>
      <c r="Y834" s="12"/>
      <c r="Z834" s="67"/>
      <c r="AA834" s="12"/>
      <c r="AB834" s="12"/>
      <c r="AC834" s="67"/>
      <c r="AD834" s="12"/>
      <c r="AE834" s="12"/>
      <c r="AF834" s="12"/>
    </row>
    <row r="835" ht="15.75" customHeight="1">
      <c r="A835" s="34"/>
      <c r="B835" s="34"/>
      <c r="C835" s="34"/>
      <c r="D835" s="34"/>
      <c r="E835" s="34"/>
      <c r="F835" s="35"/>
      <c r="G835" s="34"/>
      <c r="H835" s="34"/>
      <c r="I835" s="34"/>
      <c r="J835" s="34"/>
      <c r="K835" s="34"/>
      <c r="L835" s="34"/>
      <c r="M835" s="34"/>
      <c r="N835" s="34"/>
      <c r="O835" s="36"/>
      <c r="P835" s="34"/>
      <c r="Q835" s="87"/>
      <c r="R835" s="34"/>
      <c r="S835" s="66"/>
      <c r="T835" s="12"/>
      <c r="U835" s="12"/>
      <c r="V835" s="12"/>
      <c r="W835" s="12"/>
      <c r="X835" s="12"/>
      <c r="Y835" s="12"/>
      <c r="Z835" s="67"/>
      <c r="AA835" s="12"/>
      <c r="AB835" s="12"/>
      <c r="AC835" s="67"/>
      <c r="AD835" s="12"/>
      <c r="AE835" s="12"/>
      <c r="AF835" s="12"/>
    </row>
    <row r="836" ht="15.75" customHeight="1">
      <c r="A836" s="34"/>
      <c r="B836" s="34"/>
      <c r="C836" s="34"/>
      <c r="D836" s="34"/>
      <c r="E836" s="34"/>
      <c r="F836" s="35"/>
      <c r="G836" s="34"/>
      <c r="H836" s="34"/>
      <c r="I836" s="34"/>
      <c r="J836" s="34"/>
      <c r="K836" s="34"/>
      <c r="L836" s="34"/>
      <c r="M836" s="34"/>
      <c r="N836" s="34"/>
      <c r="O836" s="36"/>
      <c r="P836" s="34"/>
      <c r="Q836" s="87"/>
      <c r="R836" s="34"/>
      <c r="S836" s="66"/>
      <c r="T836" s="12"/>
      <c r="U836" s="12"/>
      <c r="V836" s="12"/>
      <c r="W836" s="12"/>
      <c r="X836" s="12"/>
      <c r="Y836" s="12"/>
      <c r="Z836" s="67"/>
      <c r="AA836" s="12"/>
      <c r="AB836" s="12"/>
      <c r="AC836" s="67"/>
      <c r="AD836" s="12"/>
      <c r="AE836" s="12"/>
      <c r="AF836" s="12"/>
    </row>
    <row r="837" ht="15.75" customHeight="1">
      <c r="A837" s="34"/>
      <c r="B837" s="34"/>
      <c r="C837" s="34"/>
      <c r="D837" s="34"/>
      <c r="E837" s="34"/>
      <c r="F837" s="35"/>
      <c r="G837" s="34"/>
      <c r="H837" s="34"/>
      <c r="I837" s="34"/>
      <c r="J837" s="34"/>
      <c r="K837" s="34"/>
      <c r="L837" s="34"/>
      <c r="M837" s="34"/>
      <c r="N837" s="34"/>
      <c r="O837" s="36"/>
      <c r="P837" s="34"/>
      <c r="Q837" s="87"/>
      <c r="R837" s="34"/>
      <c r="S837" s="66"/>
      <c r="T837" s="12"/>
      <c r="U837" s="12"/>
      <c r="V837" s="12"/>
      <c r="W837" s="12"/>
      <c r="X837" s="12"/>
      <c r="Y837" s="12"/>
      <c r="Z837" s="67"/>
      <c r="AA837" s="12"/>
      <c r="AB837" s="12"/>
      <c r="AC837" s="67"/>
      <c r="AD837" s="12"/>
      <c r="AE837" s="12"/>
      <c r="AF837" s="12"/>
    </row>
    <row r="838" ht="15.75" customHeight="1">
      <c r="A838" s="34"/>
      <c r="B838" s="34"/>
      <c r="C838" s="34"/>
      <c r="D838" s="34"/>
      <c r="E838" s="34"/>
      <c r="F838" s="35"/>
      <c r="G838" s="34"/>
      <c r="H838" s="34"/>
      <c r="I838" s="34"/>
      <c r="J838" s="34"/>
      <c r="K838" s="34"/>
      <c r="L838" s="34"/>
      <c r="M838" s="34"/>
      <c r="N838" s="34"/>
      <c r="O838" s="36"/>
      <c r="P838" s="34"/>
      <c r="Q838" s="87"/>
      <c r="R838" s="34"/>
      <c r="S838" s="66"/>
      <c r="T838" s="12"/>
      <c r="U838" s="12"/>
      <c r="V838" s="12"/>
      <c r="W838" s="12"/>
      <c r="X838" s="12"/>
      <c r="Y838" s="12"/>
      <c r="Z838" s="67"/>
      <c r="AA838" s="12"/>
      <c r="AB838" s="12"/>
      <c r="AC838" s="67"/>
      <c r="AD838" s="12"/>
      <c r="AE838" s="12"/>
      <c r="AF838" s="12"/>
    </row>
    <row r="839" ht="15.75" customHeight="1">
      <c r="A839" s="34"/>
      <c r="B839" s="34"/>
      <c r="C839" s="34"/>
      <c r="D839" s="34"/>
      <c r="E839" s="34"/>
      <c r="F839" s="35"/>
      <c r="G839" s="34"/>
      <c r="H839" s="34"/>
      <c r="I839" s="34"/>
      <c r="J839" s="34"/>
      <c r="K839" s="34"/>
      <c r="L839" s="34"/>
      <c r="M839" s="34"/>
      <c r="N839" s="34"/>
      <c r="O839" s="36"/>
      <c r="P839" s="34"/>
      <c r="Q839" s="87"/>
      <c r="R839" s="34"/>
      <c r="S839" s="66"/>
      <c r="T839" s="12"/>
      <c r="U839" s="12"/>
      <c r="V839" s="12"/>
      <c r="W839" s="12"/>
      <c r="X839" s="12"/>
      <c r="Y839" s="12"/>
      <c r="Z839" s="67"/>
      <c r="AA839" s="12"/>
      <c r="AB839" s="12"/>
      <c r="AC839" s="67"/>
      <c r="AD839" s="12"/>
      <c r="AE839" s="12"/>
      <c r="AF839" s="12"/>
    </row>
    <row r="840" ht="15.75" customHeight="1">
      <c r="A840" s="34"/>
      <c r="B840" s="34"/>
      <c r="C840" s="34"/>
      <c r="D840" s="34"/>
      <c r="E840" s="34"/>
      <c r="F840" s="35"/>
      <c r="G840" s="34"/>
      <c r="H840" s="34"/>
      <c r="I840" s="34"/>
      <c r="J840" s="34"/>
      <c r="K840" s="34"/>
      <c r="L840" s="34"/>
      <c r="M840" s="34"/>
      <c r="N840" s="34"/>
      <c r="O840" s="36"/>
      <c r="P840" s="34"/>
      <c r="Q840" s="87"/>
      <c r="R840" s="34"/>
      <c r="S840" s="66"/>
      <c r="T840" s="12"/>
      <c r="U840" s="12"/>
      <c r="V840" s="12"/>
      <c r="W840" s="12"/>
      <c r="X840" s="12"/>
      <c r="Y840" s="12"/>
      <c r="Z840" s="67"/>
      <c r="AA840" s="12"/>
      <c r="AB840" s="12"/>
      <c r="AC840" s="67"/>
      <c r="AD840" s="12"/>
      <c r="AE840" s="12"/>
      <c r="AF840" s="12"/>
    </row>
    <row r="841" ht="15.75" customHeight="1">
      <c r="A841" s="34"/>
      <c r="B841" s="34"/>
      <c r="C841" s="34"/>
      <c r="D841" s="34"/>
      <c r="E841" s="34"/>
      <c r="F841" s="35"/>
      <c r="G841" s="34"/>
      <c r="H841" s="34"/>
      <c r="I841" s="34"/>
      <c r="J841" s="34"/>
      <c r="K841" s="34"/>
      <c r="L841" s="34"/>
      <c r="M841" s="34"/>
      <c r="N841" s="34"/>
      <c r="O841" s="36"/>
      <c r="P841" s="34"/>
      <c r="Q841" s="87"/>
      <c r="R841" s="34"/>
      <c r="S841" s="66"/>
      <c r="T841" s="12"/>
      <c r="U841" s="12"/>
      <c r="V841" s="12"/>
      <c r="W841" s="12"/>
      <c r="X841" s="12"/>
      <c r="Y841" s="12"/>
      <c r="Z841" s="67"/>
      <c r="AA841" s="12"/>
      <c r="AB841" s="12"/>
      <c r="AC841" s="67"/>
      <c r="AD841" s="12"/>
      <c r="AE841" s="12"/>
      <c r="AF841" s="12"/>
    </row>
    <row r="842" ht="15.75" customHeight="1">
      <c r="A842" s="34"/>
      <c r="B842" s="34"/>
      <c r="C842" s="34"/>
      <c r="D842" s="34"/>
      <c r="E842" s="34"/>
      <c r="F842" s="35"/>
      <c r="G842" s="34"/>
      <c r="H842" s="34"/>
      <c r="I842" s="34"/>
      <c r="J842" s="34"/>
      <c r="K842" s="34"/>
      <c r="L842" s="34"/>
      <c r="M842" s="34"/>
      <c r="N842" s="34"/>
      <c r="O842" s="36"/>
      <c r="P842" s="34"/>
      <c r="Q842" s="87"/>
      <c r="R842" s="34"/>
      <c r="S842" s="66"/>
      <c r="T842" s="12"/>
      <c r="U842" s="12"/>
      <c r="V842" s="12"/>
      <c r="W842" s="12"/>
      <c r="X842" s="12"/>
      <c r="Y842" s="12"/>
      <c r="Z842" s="67"/>
      <c r="AA842" s="12"/>
      <c r="AB842" s="12"/>
      <c r="AC842" s="67"/>
      <c r="AD842" s="12"/>
      <c r="AE842" s="12"/>
      <c r="AF842" s="12"/>
    </row>
    <row r="843" ht="15.75" customHeight="1">
      <c r="A843" s="34"/>
      <c r="B843" s="34"/>
      <c r="C843" s="34"/>
      <c r="D843" s="34"/>
      <c r="E843" s="34"/>
      <c r="F843" s="35"/>
      <c r="G843" s="34"/>
      <c r="H843" s="34"/>
      <c r="I843" s="34"/>
      <c r="J843" s="34"/>
      <c r="K843" s="34"/>
      <c r="L843" s="34"/>
      <c r="M843" s="34"/>
      <c r="N843" s="34"/>
      <c r="O843" s="36"/>
      <c r="P843" s="34"/>
      <c r="Q843" s="87"/>
      <c r="R843" s="34"/>
      <c r="S843" s="66"/>
      <c r="T843" s="12"/>
      <c r="U843" s="12"/>
      <c r="V843" s="12"/>
      <c r="W843" s="12"/>
      <c r="X843" s="12"/>
      <c r="Y843" s="12"/>
      <c r="Z843" s="67"/>
      <c r="AA843" s="12"/>
      <c r="AB843" s="12"/>
      <c r="AC843" s="67"/>
      <c r="AD843" s="12"/>
      <c r="AE843" s="12"/>
      <c r="AF843" s="12"/>
    </row>
    <row r="844" ht="15.75" customHeight="1">
      <c r="A844" s="34"/>
      <c r="B844" s="34"/>
      <c r="C844" s="34"/>
      <c r="D844" s="34"/>
      <c r="E844" s="34"/>
      <c r="F844" s="35"/>
      <c r="G844" s="34"/>
      <c r="H844" s="34"/>
      <c r="I844" s="34"/>
      <c r="J844" s="34"/>
      <c r="K844" s="34"/>
      <c r="L844" s="34"/>
      <c r="M844" s="34"/>
      <c r="N844" s="34"/>
      <c r="O844" s="36"/>
      <c r="P844" s="34"/>
      <c r="Q844" s="87"/>
      <c r="R844" s="34"/>
      <c r="S844" s="66"/>
      <c r="T844" s="12"/>
      <c r="U844" s="12"/>
      <c r="V844" s="12"/>
      <c r="W844" s="12"/>
      <c r="X844" s="12"/>
      <c r="Y844" s="12"/>
      <c r="Z844" s="67"/>
      <c r="AA844" s="12"/>
      <c r="AB844" s="12"/>
      <c r="AC844" s="67"/>
      <c r="AD844" s="12"/>
      <c r="AE844" s="12"/>
      <c r="AF844" s="12"/>
    </row>
    <row r="845" ht="15.75" customHeight="1">
      <c r="A845" s="34"/>
      <c r="B845" s="34"/>
      <c r="C845" s="34"/>
      <c r="D845" s="34"/>
      <c r="E845" s="34"/>
      <c r="F845" s="35"/>
      <c r="G845" s="34"/>
      <c r="H845" s="34"/>
      <c r="I845" s="34"/>
      <c r="J845" s="34"/>
      <c r="K845" s="34"/>
      <c r="L845" s="34"/>
      <c r="M845" s="34"/>
      <c r="N845" s="34"/>
      <c r="O845" s="36"/>
      <c r="P845" s="34"/>
      <c r="Q845" s="87"/>
      <c r="R845" s="34"/>
      <c r="S845" s="66"/>
      <c r="T845" s="12"/>
      <c r="U845" s="12"/>
      <c r="V845" s="12"/>
      <c r="W845" s="12"/>
      <c r="X845" s="12"/>
      <c r="Y845" s="12"/>
      <c r="Z845" s="67"/>
      <c r="AA845" s="12"/>
      <c r="AB845" s="12"/>
      <c r="AC845" s="67"/>
      <c r="AD845" s="12"/>
      <c r="AE845" s="12"/>
      <c r="AF845" s="12"/>
    </row>
    <row r="846" ht="15.75" customHeight="1">
      <c r="A846" s="34"/>
      <c r="B846" s="34"/>
      <c r="C846" s="34"/>
      <c r="D846" s="34"/>
      <c r="E846" s="34"/>
      <c r="F846" s="35"/>
      <c r="G846" s="34"/>
      <c r="H846" s="34"/>
      <c r="I846" s="34"/>
      <c r="J846" s="34"/>
      <c r="K846" s="34"/>
      <c r="L846" s="34"/>
      <c r="M846" s="34"/>
      <c r="N846" s="34"/>
      <c r="O846" s="36"/>
      <c r="P846" s="34"/>
      <c r="Q846" s="87"/>
      <c r="R846" s="34"/>
      <c r="S846" s="66"/>
      <c r="T846" s="12"/>
      <c r="U846" s="12"/>
      <c r="V846" s="12"/>
      <c r="W846" s="12"/>
      <c r="X846" s="12"/>
      <c r="Y846" s="12"/>
      <c r="Z846" s="67"/>
      <c r="AA846" s="12"/>
      <c r="AB846" s="12"/>
      <c r="AC846" s="67"/>
      <c r="AD846" s="12"/>
      <c r="AE846" s="12"/>
      <c r="AF846" s="12"/>
    </row>
    <row r="847" ht="15.75" customHeight="1">
      <c r="A847" s="34"/>
      <c r="B847" s="34"/>
      <c r="C847" s="34"/>
      <c r="D847" s="34"/>
      <c r="E847" s="34"/>
      <c r="F847" s="35"/>
      <c r="G847" s="34"/>
      <c r="H847" s="34"/>
      <c r="I847" s="34"/>
      <c r="J847" s="34"/>
      <c r="K847" s="34"/>
      <c r="L847" s="34"/>
      <c r="M847" s="34"/>
      <c r="N847" s="34"/>
      <c r="O847" s="36"/>
      <c r="P847" s="34"/>
      <c r="Q847" s="87"/>
      <c r="R847" s="34"/>
      <c r="S847" s="66"/>
      <c r="T847" s="12"/>
      <c r="U847" s="12"/>
      <c r="V847" s="12"/>
      <c r="W847" s="12"/>
      <c r="X847" s="12"/>
      <c r="Y847" s="12"/>
      <c r="Z847" s="67"/>
      <c r="AA847" s="12"/>
      <c r="AB847" s="12"/>
      <c r="AC847" s="67"/>
      <c r="AD847" s="12"/>
      <c r="AE847" s="12"/>
      <c r="AF847" s="12"/>
    </row>
    <row r="848" ht="15.75" customHeight="1">
      <c r="A848" s="34"/>
      <c r="B848" s="34"/>
      <c r="C848" s="34"/>
      <c r="D848" s="34"/>
      <c r="E848" s="34"/>
      <c r="F848" s="35"/>
      <c r="G848" s="34"/>
      <c r="H848" s="34"/>
      <c r="I848" s="34"/>
      <c r="J848" s="34"/>
      <c r="K848" s="34"/>
      <c r="L848" s="34"/>
      <c r="M848" s="34"/>
      <c r="N848" s="34"/>
      <c r="O848" s="36"/>
      <c r="P848" s="34"/>
      <c r="Q848" s="87"/>
      <c r="R848" s="34"/>
      <c r="S848" s="66"/>
      <c r="T848" s="12"/>
      <c r="U848" s="12"/>
      <c r="V848" s="12"/>
      <c r="W848" s="12"/>
      <c r="X848" s="12"/>
      <c r="Y848" s="12"/>
      <c r="Z848" s="67"/>
      <c r="AA848" s="12"/>
      <c r="AB848" s="12"/>
      <c r="AC848" s="67"/>
      <c r="AD848" s="12"/>
      <c r="AE848" s="12"/>
      <c r="AF848" s="12"/>
    </row>
    <row r="849" ht="15.75" customHeight="1">
      <c r="A849" s="34"/>
      <c r="B849" s="34"/>
      <c r="C849" s="34"/>
      <c r="D849" s="34"/>
      <c r="E849" s="34"/>
      <c r="F849" s="35"/>
      <c r="G849" s="34"/>
      <c r="H849" s="34"/>
      <c r="I849" s="34"/>
      <c r="J849" s="34"/>
      <c r="K849" s="34"/>
      <c r="L849" s="34"/>
      <c r="M849" s="34"/>
      <c r="N849" s="34"/>
      <c r="O849" s="36"/>
      <c r="P849" s="34"/>
      <c r="Q849" s="87"/>
      <c r="R849" s="34"/>
      <c r="S849" s="66"/>
      <c r="T849" s="12"/>
      <c r="U849" s="12"/>
      <c r="V849" s="12"/>
      <c r="W849" s="12"/>
      <c r="X849" s="12"/>
      <c r="Y849" s="12"/>
      <c r="Z849" s="67"/>
      <c r="AA849" s="12"/>
      <c r="AB849" s="12"/>
      <c r="AC849" s="67"/>
      <c r="AD849" s="12"/>
      <c r="AE849" s="12"/>
      <c r="AF849" s="12"/>
    </row>
    <row r="850" ht="15.75" customHeight="1">
      <c r="A850" s="34"/>
      <c r="B850" s="34"/>
      <c r="C850" s="34"/>
      <c r="D850" s="34"/>
      <c r="E850" s="34"/>
      <c r="F850" s="35"/>
      <c r="G850" s="34"/>
      <c r="H850" s="34"/>
      <c r="I850" s="34"/>
      <c r="J850" s="34"/>
      <c r="K850" s="34"/>
      <c r="L850" s="34"/>
      <c r="M850" s="34"/>
      <c r="N850" s="34"/>
      <c r="O850" s="36"/>
      <c r="P850" s="34"/>
      <c r="Q850" s="87"/>
      <c r="R850" s="34"/>
      <c r="S850" s="66"/>
      <c r="T850" s="12"/>
      <c r="U850" s="12"/>
      <c r="V850" s="12"/>
      <c r="W850" s="12"/>
      <c r="X850" s="12"/>
      <c r="Y850" s="12"/>
      <c r="Z850" s="67"/>
      <c r="AA850" s="12"/>
      <c r="AB850" s="12"/>
      <c r="AC850" s="67"/>
      <c r="AD850" s="12"/>
      <c r="AE850" s="12"/>
      <c r="AF850" s="12"/>
    </row>
    <row r="851" ht="15.75" customHeight="1">
      <c r="A851" s="34"/>
      <c r="B851" s="34"/>
      <c r="C851" s="34"/>
      <c r="D851" s="34"/>
      <c r="E851" s="34"/>
      <c r="F851" s="35"/>
      <c r="G851" s="34"/>
      <c r="H851" s="34"/>
      <c r="I851" s="34"/>
      <c r="J851" s="34"/>
      <c r="K851" s="34"/>
      <c r="L851" s="34"/>
      <c r="M851" s="34"/>
      <c r="N851" s="34"/>
      <c r="O851" s="36"/>
      <c r="P851" s="34"/>
      <c r="Q851" s="87"/>
      <c r="R851" s="34"/>
      <c r="S851" s="66"/>
      <c r="T851" s="12"/>
      <c r="U851" s="12"/>
      <c r="V851" s="12"/>
      <c r="W851" s="12"/>
      <c r="X851" s="12"/>
      <c r="Y851" s="12"/>
      <c r="Z851" s="67"/>
      <c r="AA851" s="12"/>
      <c r="AB851" s="12"/>
      <c r="AC851" s="67"/>
      <c r="AD851" s="12"/>
      <c r="AE851" s="12"/>
      <c r="AF851" s="12"/>
    </row>
    <row r="852" ht="15.75" customHeight="1">
      <c r="A852" s="34"/>
      <c r="B852" s="34"/>
      <c r="C852" s="34"/>
      <c r="D852" s="34"/>
      <c r="E852" s="34"/>
      <c r="F852" s="35"/>
      <c r="G852" s="34"/>
      <c r="H852" s="34"/>
      <c r="I852" s="34"/>
      <c r="J852" s="34"/>
      <c r="K852" s="34"/>
      <c r="L852" s="34"/>
      <c r="M852" s="34"/>
      <c r="N852" s="34"/>
      <c r="O852" s="36"/>
      <c r="P852" s="34"/>
      <c r="Q852" s="87"/>
      <c r="R852" s="34"/>
      <c r="S852" s="66"/>
      <c r="T852" s="12"/>
      <c r="U852" s="12"/>
      <c r="V852" s="12"/>
      <c r="W852" s="12"/>
      <c r="X852" s="12"/>
      <c r="Y852" s="12"/>
      <c r="Z852" s="67"/>
      <c r="AA852" s="12"/>
      <c r="AB852" s="12"/>
      <c r="AC852" s="67"/>
      <c r="AD852" s="12"/>
      <c r="AE852" s="12"/>
      <c r="AF852" s="12"/>
    </row>
    <row r="853" ht="15.75" customHeight="1">
      <c r="A853" s="34"/>
      <c r="B853" s="34"/>
      <c r="C853" s="34"/>
      <c r="D853" s="34"/>
      <c r="E853" s="34"/>
      <c r="F853" s="35"/>
      <c r="G853" s="34"/>
      <c r="H853" s="34"/>
      <c r="I853" s="34"/>
      <c r="J853" s="34"/>
      <c r="K853" s="34"/>
      <c r="L853" s="34"/>
      <c r="M853" s="34"/>
      <c r="N853" s="34"/>
      <c r="O853" s="36"/>
      <c r="P853" s="34"/>
      <c r="Q853" s="87"/>
      <c r="R853" s="34"/>
      <c r="S853" s="66"/>
      <c r="T853" s="12"/>
      <c r="U853" s="12"/>
      <c r="V853" s="12"/>
      <c r="W853" s="12"/>
      <c r="X853" s="12"/>
      <c r="Y853" s="12"/>
      <c r="Z853" s="67"/>
      <c r="AA853" s="12"/>
      <c r="AB853" s="12"/>
      <c r="AC853" s="67"/>
      <c r="AD853" s="12"/>
      <c r="AE853" s="12"/>
      <c r="AF853" s="12"/>
    </row>
    <row r="854" ht="15.75" customHeight="1">
      <c r="A854" s="34"/>
      <c r="B854" s="34"/>
      <c r="C854" s="34"/>
      <c r="D854" s="34"/>
      <c r="E854" s="34"/>
      <c r="F854" s="35"/>
      <c r="G854" s="34"/>
      <c r="H854" s="34"/>
      <c r="I854" s="34"/>
      <c r="J854" s="34"/>
      <c r="K854" s="34"/>
      <c r="L854" s="34"/>
      <c r="M854" s="34"/>
      <c r="N854" s="34"/>
      <c r="O854" s="36"/>
      <c r="P854" s="34"/>
      <c r="Q854" s="87"/>
      <c r="R854" s="34"/>
      <c r="S854" s="66"/>
      <c r="T854" s="12"/>
      <c r="U854" s="12"/>
      <c r="V854" s="12"/>
      <c r="W854" s="12"/>
      <c r="X854" s="12"/>
      <c r="Y854" s="12"/>
      <c r="Z854" s="67"/>
      <c r="AA854" s="12"/>
      <c r="AB854" s="12"/>
      <c r="AC854" s="67"/>
      <c r="AD854" s="12"/>
      <c r="AE854" s="12"/>
      <c r="AF854" s="12"/>
    </row>
    <row r="855" ht="15.75" customHeight="1">
      <c r="A855" s="34"/>
      <c r="B855" s="34"/>
      <c r="C855" s="34"/>
      <c r="D855" s="34"/>
      <c r="E855" s="34"/>
      <c r="F855" s="35"/>
      <c r="G855" s="34"/>
      <c r="H855" s="34"/>
      <c r="I855" s="34"/>
      <c r="J855" s="34"/>
      <c r="K855" s="34"/>
      <c r="L855" s="34"/>
      <c r="M855" s="34"/>
      <c r="N855" s="34"/>
      <c r="O855" s="36"/>
      <c r="P855" s="34"/>
      <c r="Q855" s="87"/>
      <c r="R855" s="34"/>
      <c r="S855" s="66"/>
      <c r="T855" s="12"/>
      <c r="U855" s="12"/>
      <c r="V855" s="12"/>
      <c r="W855" s="12"/>
      <c r="X855" s="12"/>
      <c r="Y855" s="12"/>
      <c r="Z855" s="67"/>
      <c r="AA855" s="12"/>
      <c r="AB855" s="12"/>
      <c r="AC855" s="67"/>
      <c r="AD855" s="12"/>
      <c r="AE855" s="12"/>
      <c r="AF855" s="12"/>
    </row>
    <row r="856" ht="15.75" customHeight="1">
      <c r="A856" s="34"/>
      <c r="B856" s="34"/>
      <c r="C856" s="34"/>
      <c r="D856" s="34"/>
      <c r="E856" s="34"/>
      <c r="F856" s="35"/>
      <c r="G856" s="34"/>
      <c r="H856" s="34"/>
      <c r="I856" s="34"/>
      <c r="J856" s="34"/>
      <c r="K856" s="34"/>
      <c r="L856" s="34"/>
      <c r="M856" s="34"/>
      <c r="N856" s="34"/>
      <c r="O856" s="36"/>
      <c r="P856" s="34"/>
      <c r="Q856" s="87"/>
      <c r="R856" s="34"/>
      <c r="S856" s="66"/>
      <c r="T856" s="12"/>
      <c r="U856" s="12"/>
      <c r="V856" s="12"/>
      <c r="W856" s="12"/>
      <c r="X856" s="12"/>
      <c r="Y856" s="12"/>
      <c r="Z856" s="67"/>
      <c r="AA856" s="12"/>
      <c r="AB856" s="12"/>
      <c r="AC856" s="67"/>
      <c r="AD856" s="12"/>
      <c r="AE856" s="12"/>
      <c r="AF856" s="12"/>
    </row>
    <row r="857" ht="15.75" customHeight="1">
      <c r="A857" s="34"/>
      <c r="B857" s="34"/>
      <c r="C857" s="34"/>
      <c r="D857" s="34"/>
      <c r="E857" s="34"/>
      <c r="F857" s="35"/>
      <c r="G857" s="34"/>
      <c r="H857" s="34"/>
      <c r="I857" s="34"/>
      <c r="J857" s="34"/>
      <c r="K857" s="34"/>
      <c r="L857" s="34"/>
      <c r="M857" s="34"/>
      <c r="N857" s="34"/>
      <c r="O857" s="36"/>
      <c r="P857" s="34"/>
      <c r="Q857" s="87"/>
      <c r="R857" s="34"/>
      <c r="S857" s="66"/>
      <c r="T857" s="12"/>
      <c r="U857" s="12"/>
      <c r="V857" s="12"/>
      <c r="W857" s="12"/>
      <c r="X857" s="12"/>
      <c r="Y857" s="12"/>
      <c r="Z857" s="67"/>
      <c r="AA857" s="12"/>
      <c r="AB857" s="12"/>
      <c r="AC857" s="67"/>
      <c r="AD857" s="12"/>
      <c r="AE857" s="12"/>
      <c r="AF857" s="12"/>
    </row>
    <row r="858" ht="15.75" customHeight="1">
      <c r="A858" s="34"/>
      <c r="B858" s="34"/>
      <c r="C858" s="34"/>
      <c r="D858" s="34"/>
      <c r="E858" s="34"/>
      <c r="F858" s="35"/>
      <c r="G858" s="34"/>
      <c r="H858" s="34"/>
      <c r="I858" s="34"/>
      <c r="J858" s="34"/>
      <c r="K858" s="34"/>
      <c r="L858" s="34"/>
      <c r="M858" s="34"/>
      <c r="N858" s="34"/>
      <c r="O858" s="36"/>
      <c r="P858" s="34"/>
      <c r="Q858" s="87"/>
      <c r="R858" s="34"/>
      <c r="S858" s="66"/>
      <c r="T858" s="12"/>
      <c r="U858" s="12"/>
      <c r="V858" s="12"/>
      <c r="W858" s="12"/>
      <c r="X858" s="12"/>
      <c r="Y858" s="12"/>
      <c r="Z858" s="67"/>
      <c r="AA858" s="12"/>
      <c r="AB858" s="12"/>
      <c r="AC858" s="67"/>
      <c r="AD858" s="12"/>
      <c r="AE858" s="12"/>
      <c r="AF858" s="12"/>
    </row>
    <row r="859" ht="15.75" customHeight="1">
      <c r="A859" s="34"/>
      <c r="B859" s="34"/>
      <c r="C859" s="34"/>
      <c r="D859" s="34"/>
      <c r="E859" s="34"/>
      <c r="F859" s="35"/>
      <c r="G859" s="34"/>
      <c r="H859" s="34"/>
      <c r="I859" s="34"/>
      <c r="J859" s="34"/>
      <c r="K859" s="34"/>
      <c r="L859" s="34"/>
      <c r="M859" s="34"/>
      <c r="N859" s="34"/>
      <c r="O859" s="36"/>
      <c r="P859" s="34"/>
      <c r="Q859" s="87"/>
      <c r="R859" s="34"/>
      <c r="S859" s="66"/>
      <c r="T859" s="12"/>
      <c r="U859" s="12"/>
      <c r="V859" s="12"/>
      <c r="W859" s="12"/>
      <c r="X859" s="12"/>
      <c r="Y859" s="12"/>
      <c r="Z859" s="67"/>
      <c r="AA859" s="12"/>
      <c r="AB859" s="12"/>
      <c r="AC859" s="67"/>
      <c r="AD859" s="12"/>
      <c r="AE859" s="12"/>
      <c r="AF859" s="12"/>
    </row>
    <row r="860" ht="15.75" customHeight="1">
      <c r="A860" s="34"/>
      <c r="B860" s="34"/>
      <c r="C860" s="34"/>
      <c r="D860" s="34"/>
      <c r="E860" s="34"/>
      <c r="F860" s="35"/>
      <c r="G860" s="34"/>
      <c r="H860" s="34"/>
      <c r="I860" s="34"/>
      <c r="J860" s="34"/>
      <c r="K860" s="34"/>
      <c r="L860" s="34"/>
      <c r="M860" s="34"/>
      <c r="N860" s="34"/>
      <c r="O860" s="36"/>
      <c r="P860" s="34"/>
      <c r="Q860" s="87"/>
      <c r="R860" s="34"/>
      <c r="S860" s="66"/>
      <c r="T860" s="12"/>
      <c r="U860" s="12"/>
      <c r="V860" s="12"/>
      <c r="W860" s="12"/>
      <c r="X860" s="12"/>
      <c r="Y860" s="12"/>
      <c r="Z860" s="67"/>
      <c r="AA860" s="12"/>
      <c r="AB860" s="12"/>
      <c r="AC860" s="67"/>
      <c r="AD860" s="12"/>
      <c r="AE860" s="12"/>
      <c r="AF860" s="12"/>
    </row>
    <row r="861" ht="15.75" customHeight="1">
      <c r="A861" s="34"/>
      <c r="B861" s="34"/>
      <c r="C861" s="34"/>
      <c r="D861" s="34"/>
      <c r="E861" s="34"/>
      <c r="F861" s="35"/>
      <c r="G861" s="34"/>
      <c r="H861" s="34"/>
      <c r="I861" s="34"/>
      <c r="J861" s="34"/>
      <c r="K861" s="34"/>
      <c r="L861" s="34"/>
      <c r="M861" s="34"/>
      <c r="N861" s="34"/>
      <c r="O861" s="36"/>
      <c r="P861" s="34"/>
      <c r="Q861" s="87"/>
      <c r="R861" s="34"/>
      <c r="S861" s="66"/>
      <c r="T861" s="12"/>
      <c r="U861" s="12"/>
      <c r="V861" s="12"/>
      <c r="W861" s="12"/>
      <c r="X861" s="12"/>
      <c r="Y861" s="12"/>
      <c r="Z861" s="67"/>
      <c r="AA861" s="12"/>
      <c r="AB861" s="12"/>
      <c r="AC861" s="67"/>
      <c r="AD861" s="12"/>
      <c r="AE861" s="12"/>
      <c r="AF861" s="12"/>
    </row>
    <row r="862" ht="15.75" customHeight="1">
      <c r="A862" s="34"/>
      <c r="B862" s="34"/>
      <c r="C862" s="34"/>
      <c r="D862" s="34"/>
      <c r="E862" s="34"/>
      <c r="F862" s="35"/>
      <c r="G862" s="34"/>
      <c r="H862" s="34"/>
      <c r="I862" s="34"/>
      <c r="J862" s="34"/>
      <c r="K862" s="34"/>
      <c r="L862" s="34"/>
      <c r="M862" s="34"/>
      <c r="N862" s="34"/>
      <c r="O862" s="36"/>
      <c r="P862" s="34"/>
      <c r="Q862" s="87"/>
      <c r="R862" s="34"/>
      <c r="S862" s="66"/>
      <c r="T862" s="12"/>
      <c r="U862" s="12"/>
      <c r="V862" s="12"/>
      <c r="W862" s="12"/>
      <c r="X862" s="12"/>
      <c r="Y862" s="12"/>
      <c r="Z862" s="67"/>
      <c r="AA862" s="12"/>
      <c r="AB862" s="12"/>
      <c r="AC862" s="67"/>
      <c r="AD862" s="12"/>
      <c r="AE862" s="12"/>
      <c r="AF862" s="12"/>
    </row>
    <row r="863" ht="15.75" customHeight="1">
      <c r="A863" s="34"/>
      <c r="B863" s="34"/>
      <c r="C863" s="34"/>
      <c r="D863" s="34"/>
      <c r="E863" s="34"/>
      <c r="F863" s="35"/>
      <c r="G863" s="34"/>
      <c r="H863" s="34"/>
      <c r="I863" s="34"/>
      <c r="J863" s="34"/>
      <c r="K863" s="34"/>
      <c r="L863" s="34"/>
      <c r="M863" s="34"/>
      <c r="N863" s="34"/>
      <c r="O863" s="36"/>
      <c r="P863" s="34"/>
      <c r="Q863" s="87"/>
      <c r="R863" s="34"/>
      <c r="S863" s="66"/>
      <c r="T863" s="12"/>
      <c r="U863" s="12"/>
      <c r="V863" s="12"/>
      <c r="W863" s="12"/>
      <c r="X863" s="12"/>
      <c r="Y863" s="12"/>
      <c r="Z863" s="67"/>
      <c r="AA863" s="12"/>
      <c r="AB863" s="12"/>
      <c r="AC863" s="67"/>
      <c r="AD863" s="12"/>
      <c r="AE863" s="12"/>
      <c r="AF863" s="12"/>
    </row>
    <row r="864" ht="15.75" customHeight="1">
      <c r="A864" s="34"/>
      <c r="B864" s="34"/>
      <c r="C864" s="34"/>
      <c r="D864" s="34"/>
      <c r="E864" s="34"/>
      <c r="F864" s="35"/>
      <c r="G864" s="34"/>
      <c r="H864" s="34"/>
      <c r="I864" s="34"/>
      <c r="J864" s="34"/>
      <c r="K864" s="34"/>
      <c r="L864" s="34"/>
      <c r="M864" s="34"/>
      <c r="N864" s="34"/>
      <c r="O864" s="36"/>
      <c r="P864" s="34"/>
      <c r="Q864" s="87"/>
      <c r="R864" s="34"/>
      <c r="S864" s="66"/>
      <c r="T864" s="12"/>
      <c r="U864" s="12"/>
      <c r="V864" s="12"/>
      <c r="W864" s="12"/>
      <c r="X864" s="12"/>
      <c r="Y864" s="12"/>
      <c r="Z864" s="67"/>
      <c r="AA864" s="12"/>
      <c r="AB864" s="12"/>
      <c r="AC864" s="67"/>
      <c r="AD864" s="12"/>
      <c r="AE864" s="12"/>
      <c r="AF864" s="12"/>
    </row>
    <row r="865" ht="15.75" customHeight="1">
      <c r="A865" s="34"/>
      <c r="B865" s="34"/>
      <c r="C865" s="34"/>
      <c r="D865" s="34"/>
      <c r="E865" s="34"/>
      <c r="F865" s="35"/>
      <c r="G865" s="34"/>
      <c r="H865" s="34"/>
      <c r="I865" s="34"/>
      <c r="J865" s="34"/>
      <c r="K865" s="34"/>
      <c r="L865" s="34"/>
      <c r="M865" s="34"/>
      <c r="N865" s="34"/>
      <c r="O865" s="36"/>
      <c r="P865" s="34"/>
      <c r="Q865" s="87"/>
      <c r="R865" s="34"/>
      <c r="S865" s="66"/>
      <c r="T865" s="12"/>
      <c r="U865" s="12"/>
      <c r="V865" s="12"/>
      <c r="W865" s="12"/>
      <c r="X865" s="12"/>
      <c r="Y865" s="12"/>
      <c r="Z865" s="67"/>
      <c r="AA865" s="12"/>
      <c r="AB865" s="12"/>
      <c r="AC865" s="67"/>
      <c r="AD865" s="12"/>
      <c r="AE865" s="12"/>
      <c r="AF865" s="12"/>
    </row>
    <row r="866" ht="15.75" customHeight="1">
      <c r="A866" s="34"/>
      <c r="B866" s="34"/>
      <c r="C866" s="34"/>
      <c r="D866" s="34"/>
      <c r="E866" s="34"/>
      <c r="F866" s="35"/>
      <c r="G866" s="34"/>
      <c r="H866" s="34"/>
      <c r="I866" s="34"/>
      <c r="J866" s="34"/>
      <c r="K866" s="34"/>
      <c r="L866" s="34"/>
      <c r="M866" s="34"/>
      <c r="N866" s="34"/>
      <c r="O866" s="36"/>
      <c r="P866" s="34"/>
      <c r="Q866" s="87"/>
      <c r="R866" s="34"/>
      <c r="S866" s="66"/>
      <c r="T866" s="12"/>
      <c r="U866" s="12"/>
      <c r="V866" s="12"/>
      <c r="W866" s="12"/>
      <c r="X866" s="12"/>
      <c r="Y866" s="12"/>
      <c r="Z866" s="67"/>
      <c r="AA866" s="12"/>
      <c r="AB866" s="12"/>
      <c r="AC866" s="67"/>
      <c r="AD866" s="12"/>
      <c r="AE866" s="12"/>
      <c r="AF866" s="12"/>
    </row>
    <row r="867" ht="15.75" customHeight="1">
      <c r="A867" s="34"/>
      <c r="B867" s="34"/>
      <c r="C867" s="34"/>
      <c r="D867" s="34"/>
      <c r="E867" s="34"/>
      <c r="F867" s="35"/>
      <c r="G867" s="34"/>
      <c r="H867" s="34"/>
      <c r="I867" s="34"/>
      <c r="J867" s="34"/>
      <c r="K867" s="34"/>
      <c r="L867" s="34"/>
      <c r="M867" s="34"/>
      <c r="N867" s="34"/>
      <c r="O867" s="36"/>
      <c r="P867" s="34"/>
      <c r="Q867" s="87"/>
      <c r="R867" s="34"/>
      <c r="S867" s="66"/>
      <c r="T867" s="12"/>
      <c r="U867" s="12"/>
      <c r="V867" s="12"/>
      <c r="W867" s="12"/>
      <c r="X867" s="12"/>
      <c r="Y867" s="12"/>
      <c r="Z867" s="67"/>
      <c r="AA867" s="12"/>
      <c r="AB867" s="12"/>
      <c r="AC867" s="67"/>
      <c r="AD867" s="12"/>
      <c r="AE867" s="12"/>
      <c r="AF867" s="12"/>
    </row>
    <row r="868" ht="15.75" customHeight="1">
      <c r="A868" s="34"/>
      <c r="B868" s="34"/>
      <c r="C868" s="34"/>
      <c r="D868" s="34"/>
      <c r="E868" s="34"/>
      <c r="F868" s="35"/>
      <c r="G868" s="34"/>
      <c r="H868" s="34"/>
      <c r="I868" s="34"/>
      <c r="J868" s="34"/>
      <c r="K868" s="34"/>
      <c r="L868" s="34"/>
      <c r="M868" s="34"/>
      <c r="N868" s="34"/>
      <c r="O868" s="36"/>
      <c r="P868" s="34"/>
      <c r="Q868" s="87"/>
      <c r="R868" s="34"/>
      <c r="S868" s="66"/>
      <c r="T868" s="12"/>
      <c r="U868" s="12"/>
      <c r="V868" s="12"/>
      <c r="W868" s="12"/>
      <c r="X868" s="12"/>
      <c r="Y868" s="12"/>
      <c r="Z868" s="67"/>
      <c r="AA868" s="12"/>
      <c r="AB868" s="12"/>
      <c r="AC868" s="67"/>
      <c r="AD868" s="12"/>
      <c r="AE868" s="12"/>
      <c r="AF868" s="12"/>
    </row>
    <row r="869" ht="15.75" customHeight="1">
      <c r="A869" s="34"/>
      <c r="B869" s="34"/>
      <c r="C869" s="34"/>
      <c r="D869" s="34"/>
      <c r="E869" s="34"/>
      <c r="F869" s="35"/>
      <c r="G869" s="34"/>
      <c r="H869" s="34"/>
      <c r="I869" s="34"/>
      <c r="J869" s="34"/>
      <c r="K869" s="34"/>
      <c r="L869" s="34"/>
      <c r="M869" s="34"/>
      <c r="N869" s="34"/>
      <c r="O869" s="36"/>
      <c r="P869" s="34"/>
      <c r="Q869" s="87"/>
      <c r="R869" s="34"/>
      <c r="S869" s="66"/>
      <c r="T869" s="12"/>
      <c r="U869" s="12"/>
      <c r="V869" s="12"/>
      <c r="W869" s="12"/>
      <c r="X869" s="12"/>
      <c r="Y869" s="12"/>
      <c r="Z869" s="67"/>
      <c r="AA869" s="12"/>
      <c r="AB869" s="12"/>
      <c r="AC869" s="67"/>
      <c r="AD869" s="12"/>
      <c r="AE869" s="12"/>
      <c r="AF869" s="12"/>
    </row>
    <row r="870" ht="15.75" customHeight="1">
      <c r="A870" s="34"/>
      <c r="B870" s="34"/>
      <c r="C870" s="34"/>
      <c r="D870" s="34"/>
      <c r="E870" s="34"/>
      <c r="F870" s="35"/>
      <c r="G870" s="34"/>
      <c r="H870" s="34"/>
      <c r="I870" s="34"/>
      <c r="J870" s="34"/>
      <c r="K870" s="34"/>
      <c r="L870" s="34"/>
      <c r="M870" s="34"/>
      <c r="N870" s="34"/>
      <c r="O870" s="36"/>
      <c r="P870" s="34"/>
      <c r="Q870" s="87"/>
      <c r="R870" s="34"/>
      <c r="S870" s="66"/>
      <c r="T870" s="12"/>
      <c r="U870" s="12"/>
      <c r="V870" s="12"/>
      <c r="W870" s="12"/>
      <c r="X870" s="12"/>
      <c r="Y870" s="12"/>
      <c r="Z870" s="67"/>
      <c r="AA870" s="12"/>
      <c r="AB870" s="12"/>
      <c r="AC870" s="67"/>
      <c r="AD870" s="12"/>
      <c r="AE870" s="12"/>
      <c r="AF870" s="12"/>
    </row>
    <row r="871" ht="15.75" customHeight="1">
      <c r="A871" s="34"/>
      <c r="B871" s="34"/>
      <c r="C871" s="34"/>
      <c r="D871" s="34"/>
      <c r="E871" s="34"/>
      <c r="F871" s="35"/>
      <c r="G871" s="34"/>
      <c r="H871" s="34"/>
      <c r="I871" s="34"/>
      <c r="J871" s="34"/>
      <c r="K871" s="34"/>
      <c r="L871" s="34"/>
      <c r="M871" s="34"/>
      <c r="N871" s="34"/>
      <c r="O871" s="36"/>
      <c r="P871" s="34"/>
      <c r="Q871" s="87"/>
      <c r="R871" s="34"/>
      <c r="S871" s="66"/>
      <c r="T871" s="12"/>
      <c r="U871" s="12"/>
      <c r="V871" s="12"/>
      <c r="W871" s="12"/>
      <c r="X871" s="12"/>
      <c r="Y871" s="12"/>
      <c r="Z871" s="67"/>
      <c r="AA871" s="12"/>
      <c r="AB871" s="12"/>
      <c r="AC871" s="67"/>
      <c r="AD871" s="12"/>
      <c r="AE871" s="12"/>
      <c r="AF871" s="12"/>
    </row>
    <row r="872" ht="15.75" customHeight="1">
      <c r="A872" s="34"/>
      <c r="B872" s="34"/>
      <c r="C872" s="34"/>
      <c r="D872" s="34"/>
      <c r="E872" s="34"/>
      <c r="F872" s="35"/>
      <c r="G872" s="34"/>
      <c r="H872" s="34"/>
      <c r="I872" s="34"/>
      <c r="J872" s="34"/>
      <c r="K872" s="34"/>
      <c r="L872" s="34"/>
      <c r="M872" s="34"/>
      <c r="N872" s="34"/>
      <c r="O872" s="36"/>
      <c r="P872" s="34"/>
      <c r="Q872" s="87"/>
      <c r="R872" s="34"/>
      <c r="S872" s="66"/>
      <c r="T872" s="12"/>
      <c r="U872" s="12"/>
      <c r="V872" s="12"/>
      <c r="W872" s="12"/>
      <c r="X872" s="12"/>
      <c r="Y872" s="12"/>
      <c r="Z872" s="67"/>
      <c r="AA872" s="12"/>
      <c r="AB872" s="12"/>
      <c r="AC872" s="67"/>
      <c r="AD872" s="12"/>
      <c r="AE872" s="12"/>
      <c r="AF872" s="12"/>
    </row>
    <row r="873" ht="15.75" customHeight="1">
      <c r="A873" s="34"/>
      <c r="B873" s="34"/>
      <c r="C873" s="34"/>
      <c r="D873" s="34"/>
      <c r="E873" s="34"/>
      <c r="F873" s="35"/>
      <c r="G873" s="34"/>
      <c r="H873" s="34"/>
      <c r="I873" s="34"/>
      <c r="J873" s="34"/>
      <c r="K873" s="34"/>
      <c r="L873" s="34"/>
      <c r="M873" s="34"/>
      <c r="N873" s="34"/>
      <c r="O873" s="36"/>
      <c r="P873" s="34"/>
      <c r="Q873" s="87"/>
      <c r="R873" s="34"/>
      <c r="S873" s="66"/>
      <c r="T873" s="12"/>
      <c r="U873" s="12"/>
      <c r="V873" s="12"/>
      <c r="W873" s="12"/>
      <c r="X873" s="12"/>
      <c r="Y873" s="12"/>
      <c r="Z873" s="67"/>
      <c r="AA873" s="12"/>
      <c r="AB873" s="12"/>
      <c r="AC873" s="67"/>
      <c r="AD873" s="12"/>
      <c r="AE873" s="12"/>
      <c r="AF873" s="12"/>
    </row>
    <row r="874" ht="15.75" customHeight="1">
      <c r="A874" s="34"/>
      <c r="B874" s="34"/>
      <c r="C874" s="34"/>
      <c r="D874" s="34"/>
      <c r="E874" s="34"/>
      <c r="F874" s="35"/>
      <c r="G874" s="34"/>
      <c r="H874" s="34"/>
      <c r="I874" s="34"/>
      <c r="J874" s="34"/>
      <c r="K874" s="34"/>
      <c r="L874" s="34"/>
      <c r="M874" s="34"/>
      <c r="N874" s="34"/>
      <c r="O874" s="36"/>
      <c r="P874" s="34"/>
      <c r="Q874" s="87"/>
      <c r="R874" s="34"/>
      <c r="S874" s="66"/>
      <c r="T874" s="12"/>
      <c r="U874" s="12"/>
      <c r="V874" s="12"/>
      <c r="W874" s="12"/>
      <c r="X874" s="12"/>
      <c r="Y874" s="12"/>
      <c r="Z874" s="67"/>
      <c r="AA874" s="12"/>
      <c r="AB874" s="12"/>
      <c r="AC874" s="67"/>
      <c r="AD874" s="12"/>
      <c r="AE874" s="12"/>
      <c r="AF874" s="12"/>
    </row>
    <row r="875" ht="15.75" customHeight="1">
      <c r="A875" s="34"/>
      <c r="B875" s="34"/>
      <c r="C875" s="34"/>
      <c r="D875" s="34"/>
      <c r="E875" s="34"/>
      <c r="F875" s="35"/>
      <c r="G875" s="34"/>
      <c r="H875" s="34"/>
      <c r="I875" s="34"/>
      <c r="J875" s="34"/>
      <c r="K875" s="34"/>
      <c r="L875" s="34"/>
      <c r="M875" s="34"/>
      <c r="N875" s="34"/>
      <c r="O875" s="36"/>
      <c r="P875" s="34"/>
      <c r="Q875" s="87"/>
      <c r="R875" s="34"/>
      <c r="S875" s="66"/>
      <c r="T875" s="12"/>
      <c r="U875" s="12"/>
      <c r="V875" s="12"/>
      <c r="W875" s="12"/>
      <c r="X875" s="12"/>
      <c r="Y875" s="12"/>
      <c r="Z875" s="67"/>
      <c r="AA875" s="12"/>
      <c r="AB875" s="12"/>
      <c r="AC875" s="67"/>
      <c r="AD875" s="12"/>
      <c r="AE875" s="12"/>
      <c r="AF875" s="12"/>
    </row>
    <row r="876" ht="15.75" customHeight="1">
      <c r="A876" s="34"/>
      <c r="B876" s="34"/>
      <c r="C876" s="34"/>
      <c r="D876" s="34"/>
      <c r="E876" s="34"/>
      <c r="F876" s="35"/>
      <c r="G876" s="34"/>
      <c r="H876" s="34"/>
      <c r="I876" s="34"/>
      <c r="J876" s="34"/>
      <c r="K876" s="34"/>
      <c r="L876" s="34"/>
      <c r="M876" s="34"/>
      <c r="N876" s="34"/>
      <c r="O876" s="36"/>
      <c r="P876" s="34"/>
      <c r="Q876" s="87"/>
      <c r="R876" s="34"/>
      <c r="S876" s="66"/>
      <c r="T876" s="12"/>
      <c r="U876" s="12"/>
      <c r="V876" s="12"/>
      <c r="W876" s="12"/>
      <c r="X876" s="12"/>
      <c r="Y876" s="12"/>
      <c r="Z876" s="67"/>
      <c r="AA876" s="12"/>
      <c r="AB876" s="12"/>
      <c r="AC876" s="67"/>
      <c r="AD876" s="12"/>
      <c r="AE876" s="12"/>
      <c r="AF876" s="12"/>
    </row>
    <row r="877" ht="15.75" customHeight="1">
      <c r="A877" s="34"/>
      <c r="B877" s="34"/>
      <c r="C877" s="34"/>
      <c r="D877" s="34"/>
      <c r="E877" s="34"/>
      <c r="F877" s="35"/>
      <c r="G877" s="34"/>
      <c r="H877" s="34"/>
      <c r="I877" s="34"/>
      <c r="J877" s="34"/>
      <c r="K877" s="34"/>
      <c r="L877" s="34"/>
      <c r="M877" s="34"/>
      <c r="N877" s="34"/>
      <c r="O877" s="36"/>
      <c r="P877" s="34"/>
      <c r="Q877" s="87"/>
      <c r="R877" s="34"/>
      <c r="S877" s="66"/>
      <c r="T877" s="12"/>
      <c r="U877" s="12"/>
      <c r="V877" s="12"/>
      <c r="W877" s="12"/>
      <c r="X877" s="12"/>
      <c r="Y877" s="12"/>
      <c r="Z877" s="67"/>
      <c r="AA877" s="12"/>
      <c r="AB877" s="12"/>
      <c r="AC877" s="67"/>
      <c r="AD877" s="12"/>
      <c r="AE877" s="12"/>
      <c r="AF877" s="12"/>
    </row>
    <row r="878" ht="15.75" customHeight="1">
      <c r="A878" s="34"/>
      <c r="B878" s="34"/>
      <c r="C878" s="34"/>
      <c r="D878" s="34"/>
      <c r="E878" s="34"/>
      <c r="F878" s="35"/>
      <c r="G878" s="34"/>
      <c r="H878" s="34"/>
      <c r="I878" s="34"/>
      <c r="J878" s="34"/>
      <c r="K878" s="34"/>
      <c r="L878" s="34"/>
      <c r="M878" s="34"/>
      <c r="N878" s="34"/>
      <c r="O878" s="36"/>
      <c r="P878" s="34"/>
      <c r="Q878" s="87"/>
      <c r="R878" s="34"/>
      <c r="S878" s="66"/>
      <c r="T878" s="12"/>
      <c r="U878" s="12"/>
      <c r="V878" s="12"/>
      <c r="W878" s="12"/>
      <c r="X878" s="12"/>
      <c r="Y878" s="12"/>
      <c r="Z878" s="67"/>
      <c r="AA878" s="12"/>
      <c r="AB878" s="12"/>
      <c r="AC878" s="67"/>
      <c r="AD878" s="12"/>
      <c r="AE878" s="12"/>
      <c r="AF878" s="12"/>
    </row>
    <row r="879" ht="15.75" customHeight="1">
      <c r="A879" s="34"/>
      <c r="B879" s="34"/>
      <c r="C879" s="34"/>
      <c r="D879" s="34"/>
      <c r="E879" s="34"/>
      <c r="F879" s="35"/>
      <c r="G879" s="34"/>
      <c r="H879" s="34"/>
      <c r="I879" s="34"/>
      <c r="J879" s="34"/>
      <c r="K879" s="34"/>
      <c r="L879" s="34"/>
      <c r="M879" s="34"/>
      <c r="N879" s="34"/>
      <c r="O879" s="36"/>
      <c r="P879" s="34"/>
      <c r="Q879" s="87"/>
      <c r="R879" s="34"/>
      <c r="S879" s="66"/>
      <c r="T879" s="12"/>
      <c r="U879" s="12"/>
      <c r="V879" s="12"/>
      <c r="W879" s="12"/>
      <c r="X879" s="12"/>
      <c r="Y879" s="12"/>
      <c r="Z879" s="67"/>
      <c r="AA879" s="12"/>
      <c r="AB879" s="12"/>
      <c r="AC879" s="67"/>
      <c r="AD879" s="12"/>
      <c r="AE879" s="12"/>
      <c r="AF879" s="12"/>
    </row>
    <row r="880" ht="15.75" customHeight="1">
      <c r="A880" s="34"/>
      <c r="B880" s="34"/>
      <c r="C880" s="34"/>
      <c r="D880" s="34"/>
      <c r="E880" s="34"/>
      <c r="F880" s="35"/>
      <c r="G880" s="34"/>
      <c r="H880" s="34"/>
      <c r="I880" s="34"/>
      <c r="J880" s="34"/>
      <c r="K880" s="34"/>
      <c r="L880" s="34"/>
      <c r="M880" s="34"/>
      <c r="N880" s="34"/>
      <c r="O880" s="36"/>
      <c r="P880" s="34"/>
      <c r="Q880" s="87"/>
      <c r="R880" s="34"/>
      <c r="S880" s="66"/>
      <c r="T880" s="12"/>
      <c r="U880" s="12"/>
      <c r="V880" s="12"/>
      <c r="W880" s="12"/>
      <c r="X880" s="12"/>
      <c r="Y880" s="12"/>
      <c r="Z880" s="67"/>
      <c r="AA880" s="12"/>
      <c r="AB880" s="12"/>
      <c r="AC880" s="67"/>
      <c r="AD880" s="12"/>
      <c r="AE880" s="12"/>
      <c r="AF880" s="12"/>
    </row>
    <row r="881" ht="15.75" customHeight="1">
      <c r="A881" s="34"/>
      <c r="B881" s="34"/>
      <c r="C881" s="34"/>
      <c r="D881" s="34"/>
      <c r="E881" s="34"/>
      <c r="F881" s="35"/>
      <c r="G881" s="34"/>
      <c r="H881" s="34"/>
      <c r="I881" s="34"/>
      <c r="J881" s="34"/>
      <c r="K881" s="34"/>
      <c r="L881" s="34"/>
      <c r="M881" s="34"/>
      <c r="N881" s="34"/>
      <c r="O881" s="36"/>
      <c r="P881" s="34"/>
      <c r="Q881" s="87"/>
      <c r="R881" s="34"/>
      <c r="S881" s="66"/>
      <c r="T881" s="12"/>
      <c r="U881" s="12"/>
      <c r="V881" s="12"/>
      <c r="W881" s="12"/>
      <c r="X881" s="12"/>
      <c r="Y881" s="12"/>
      <c r="Z881" s="67"/>
      <c r="AA881" s="12"/>
      <c r="AB881" s="12"/>
      <c r="AC881" s="67"/>
      <c r="AD881" s="12"/>
      <c r="AE881" s="12"/>
      <c r="AF881" s="12"/>
    </row>
    <row r="882" ht="15.75" customHeight="1">
      <c r="A882" s="34"/>
      <c r="B882" s="34"/>
      <c r="C882" s="34"/>
      <c r="D882" s="34"/>
      <c r="E882" s="34"/>
      <c r="F882" s="35"/>
      <c r="G882" s="34"/>
      <c r="H882" s="34"/>
      <c r="I882" s="34"/>
      <c r="J882" s="34"/>
      <c r="K882" s="34"/>
      <c r="L882" s="34"/>
      <c r="M882" s="34"/>
      <c r="N882" s="34"/>
      <c r="O882" s="36"/>
      <c r="P882" s="34"/>
      <c r="Q882" s="87"/>
      <c r="R882" s="34"/>
      <c r="S882" s="66"/>
      <c r="T882" s="12"/>
      <c r="U882" s="12"/>
      <c r="V882" s="12"/>
      <c r="W882" s="12"/>
      <c r="X882" s="12"/>
      <c r="Y882" s="12"/>
      <c r="Z882" s="67"/>
      <c r="AA882" s="12"/>
      <c r="AB882" s="12"/>
      <c r="AC882" s="67"/>
      <c r="AD882" s="12"/>
      <c r="AE882" s="12"/>
      <c r="AF882" s="12"/>
    </row>
    <row r="883" ht="15.75" customHeight="1">
      <c r="A883" s="34"/>
      <c r="B883" s="34"/>
      <c r="C883" s="34"/>
      <c r="D883" s="34"/>
      <c r="E883" s="34"/>
      <c r="F883" s="35"/>
      <c r="G883" s="34"/>
      <c r="H883" s="34"/>
      <c r="I883" s="34"/>
      <c r="J883" s="34"/>
      <c r="K883" s="34"/>
      <c r="L883" s="34"/>
      <c r="M883" s="34"/>
      <c r="N883" s="34"/>
      <c r="O883" s="36"/>
      <c r="P883" s="34"/>
      <c r="Q883" s="87"/>
      <c r="R883" s="34"/>
      <c r="S883" s="66"/>
      <c r="T883" s="12"/>
      <c r="U883" s="12"/>
      <c r="V883" s="12"/>
      <c r="W883" s="12"/>
      <c r="X883" s="12"/>
      <c r="Y883" s="12"/>
      <c r="Z883" s="67"/>
      <c r="AA883" s="12"/>
      <c r="AB883" s="12"/>
      <c r="AC883" s="67"/>
      <c r="AD883" s="12"/>
      <c r="AE883" s="12"/>
      <c r="AF883" s="12"/>
    </row>
    <row r="884" ht="15.75" customHeight="1">
      <c r="A884" s="34"/>
      <c r="B884" s="34"/>
      <c r="C884" s="34"/>
      <c r="D884" s="34"/>
      <c r="E884" s="34"/>
      <c r="F884" s="35"/>
      <c r="G884" s="34"/>
      <c r="H884" s="34"/>
      <c r="I884" s="34"/>
      <c r="J884" s="34"/>
      <c r="K884" s="34"/>
      <c r="L884" s="34"/>
      <c r="M884" s="34"/>
      <c r="N884" s="34"/>
      <c r="O884" s="36"/>
      <c r="P884" s="34"/>
      <c r="Q884" s="87"/>
      <c r="R884" s="34"/>
      <c r="S884" s="66"/>
      <c r="T884" s="12"/>
      <c r="U884" s="12"/>
      <c r="V884" s="12"/>
      <c r="W884" s="12"/>
      <c r="X884" s="12"/>
      <c r="Y884" s="12"/>
      <c r="Z884" s="67"/>
      <c r="AA884" s="12"/>
      <c r="AB884" s="12"/>
      <c r="AC884" s="67"/>
      <c r="AD884" s="12"/>
      <c r="AE884" s="12"/>
      <c r="AF884" s="12"/>
    </row>
    <row r="885" ht="15.75" customHeight="1">
      <c r="A885" s="34"/>
      <c r="B885" s="34"/>
      <c r="C885" s="34"/>
      <c r="D885" s="34"/>
      <c r="E885" s="34"/>
      <c r="F885" s="35"/>
      <c r="G885" s="34"/>
      <c r="H885" s="34"/>
      <c r="I885" s="34"/>
      <c r="J885" s="34"/>
      <c r="K885" s="34"/>
      <c r="L885" s="34"/>
      <c r="M885" s="34"/>
      <c r="N885" s="34"/>
      <c r="O885" s="36"/>
      <c r="P885" s="34"/>
      <c r="Q885" s="87"/>
      <c r="R885" s="34"/>
      <c r="S885" s="66"/>
      <c r="T885" s="12"/>
      <c r="U885" s="12"/>
      <c r="V885" s="12"/>
      <c r="W885" s="12"/>
      <c r="X885" s="12"/>
      <c r="Y885" s="12"/>
      <c r="Z885" s="67"/>
      <c r="AA885" s="12"/>
      <c r="AB885" s="12"/>
      <c r="AC885" s="67"/>
      <c r="AD885" s="12"/>
      <c r="AE885" s="12"/>
      <c r="AF885" s="12"/>
    </row>
    <row r="886" ht="15.75" customHeight="1">
      <c r="A886" s="34"/>
      <c r="B886" s="34"/>
      <c r="C886" s="34"/>
      <c r="D886" s="34"/>
      <c r="E886" s="34"/>
      <c r="F886" s="35"/>
      <c r="G886" s="34"/>
      <c r="H886" s="34"/>
      <c r="I886" s="34"/>
      <c r="J886" s="34"/>
      <c r="K886" s="34"/>
      <c r="L886" s="34"/>
      <c r="M886" s="34"/>
      <c r="N886" s="34"/>
      <c r="O886" s="36"/>
      <c r="P886" s="34"/>
      <c r="Q886" s="87"/>
      <c r="R886" s="34"/>
      <c r="S886" s="66"/>
      <c r="T886" s="12"/>
      <c r="U886" s="12"/>
      <c r="V886" s="12"/>
      <c r="W886" s="12"/>
      <c r="X886" s="12"/>
      <c r="Y886" s="12"/>
      <c r="Z886" s="67"/>
      <c r="AA886" s="12"/>
      <c r="AB886" s="12"/>
      <c r="AC886" s="67"/>
      <c r="AD886" s="12"/>
      <c r="AE886" s="12"/>
      <c r="AF886" s="12"/>
    </row>
    <row r="887" ht="15.75" customHeight="1">
      <c r="A887" s="34"/>
      <c r="B887" s="34"/>
      <c r="C887" s="34"/>
      <c r="D887" s="34"/>
      <c r="E887" s="34"/>
      <c r="F887" s="35"/>
      <c r="G887" s="34"/>
      <c r="H887" s="34"/>
      <c r="I887" s="34"/>
      <c r="J887" s="34"/>
      <c r="K887" s="34"/>
      <c r="L887" s="34"/>
      <c r="M887" s="34"/>
      <c r="N887" s="34"/>
      <c r="O887" s="36"/>
      <c r="P887" s="34"/>
      <c r="Q887" s="87"/>
      <c r="R887" s="34"/>
      <c r="S887" s="66"/>
      <c r="T887" s="12"/>
      <c r="U887" s="12"/>
      <c r="V887" s="12"/>
      <c r="W887" s="12"/>
      <c r="X887" s="12"/>
      <c r="Y887" s="12"/>
      <c r="Z887" s="67"/>
      <c r="AA887" s="12"/>
      <c r="AB887" s="12"/>
      <c r="AC887" s="67"/>
      <c r="AD887" s="12"/>
      <c r="AE887" s="12"/>
      <c r="AF887" s="12"/>
    </row>
    <row r="888" ht="15.75" customHeight="1">
      <c r="A888" s="34"/>
      <c r="B888" s="34"/>
      <c r="C888" s="34"/>
      <c r="D888" s="34"/>
      <c r="E888" s="34"/>
      <c r="F888" s="35"/>
      <c r="G888" s="34"/>
      <c r="H888" s="34"/>
      <c r="I888" s="34"/>
      <c r="J888" s="34"/>
      <c r="K888" s="34"/>
      <c r="L888" s="34"/>
      <c r="M888" s="34"/>
      <c r="N888" s="34"/>
      <c r="O888" s="36"/>
      <c r="P888" s="34"/>
      <c r="Q888" s="87"/>
      <c r="R888" s="34"/>
      <c r="S888" s="66"/>
      <c r="T888" s="12"/>
      <c r="U888" s="12"/>
      <c r="V888" s="12"/>
      <c r="W888" s="12"/>
      <c r="X888" s="12"/>
      <c r="Y888" s="12"/>
      <c r="Z888" s="67"/>
      <c r="AA888" s="12"/>
      <c r="AB888" s="12"/>
      <c r="AC888" s="67"/>
      <c r="AD888" s="12"/>
      <c r="AE888" s="12"/>
      <c r="AF888" s="12"/>
    </row>
    <row r="889" ht="15.75" customHeight="1">
      <c r="A889" s="34"/>
      <c r="B889" s="34"/>
      <c r="C889" s="34"/>
      <c r="D889" s="34"/>
      <c r="E889" s="34"/>
      <c r="F889" s="35"/>
      <c r="G889" s="34"/>
      <c r="H889" s="34"/>
      <c r="I889" s="34"/>
      <c r="J889" s="34"/>
      <c r="K889" s="34"/>
      <c r="L889" s="34"/>
      <c r="M889" s="34"/>
      <c r="N889" s="34"/>
      <c r="O889" s="36"/>
      <c r="P889" s="34"/>
      <c r="Q889" s="87"/>
      <c r="R889" s="34"/>
      <c r="S889" s="66"/>
      <c r="T889" s="12"/>
      <c r="U889" s="12"/>
      <c r="V889" s="12"/>
      <c r="W889" s="12"/>
      <c r="X889" s="12"/>
      <c r="Y889" s="12"/>
      <c r="Z889" s="67"/>
      <c r="AA889" s="12"/>
      <c r="AB889" s="12"/>
      <c r="AC889" s="67"/>
      <c r="AD889" s="12"/>
      <c r="AE889" s="12"/>
      <c r="AF889" s="12"/>
    </row>
    <row r="890" ht="15.75" customHeight="1">
      <c r="A890" s="34"/>
      <c r="B890" s="34"/>
      <c r="C890" s="34"/>
      <c r="D890" s="34"/>
      <c r="E890" s="34"/>
      <c r="F890" s="35"/>
      <c r="G890" s="34"/>
      <c r="H890" s="34"/>
      <c r="I890" s="34"/>
      <c r="J890" s="34"/>
      <c r="K890" s="34"/>
      <c r="L890" s="34"/>
      <c r="M890" s="34"/>
      <c r="N890" s="34"/>
      <c r="O890" s="36"/>
      <c r="P890" s="34"/>
      <c r="Q890" s="87"/>
      <c r="R890" s="34"/>
      <c r="S890" s="66"/>
      <c r="T890" s="12"/>
      <c r="U890" s="12"/>
      <c r="V890" s="12"/>
      <c r="W890" s="12"/>
      <c r="X890" s="12"/>
      <c r="Y890" s="12"/>
      <c r="Z890" s="67"/>
      <c r="AA890" s="12"/>
      <c r="AB890" s="12"/>
      <c r="AC890" s="67"/>
      <c r="AD890" s="12"/>
      <c r="AE890" s="12"/>
      <c r="AF890" s="12"/>
    </row>
    <row r="891" ht="15.75" customHeight="1">
      <c r="A891" s="34"/>
      <c r="B891" s="34"/>
      <c r="C891" s="34"/>
      <c r="D891" s="34"/>
      <c r="E891" s="34"/>
      <c r="F891" s="35"/>
      <c r="G891" s="34"/>
      <c r="H891" s="34"/>
      <c r="I891" s="34"/>
      <c r="J891" s="34"/>
      <c r="K891" s="34"/>
      <c r="L891" s="34"/>
      <c r="M891" s="34"/>
      <c r="N891" s="34"/>
      <c r="O891" s="36"/>
      <c r="P891" s="34"/>
      <c r="Q891" s="87"/>
      <c r="R891" s="34"/>
      <c r="S891" s="66"/>
      <c r="T891" s="12"/>
      <c r="U891" s="12"/>
      <c r="V891" s="12"/>
      <c r="W891" s="12"/>
      <c r="X891" s="12"/>
      <c r="Y891" s="12"/>
      <c r="Z891" s="67"/>
      <c r="AA891" s="12"/>
      <c r="AB891" s="12"/>
      <c r="AC891" s="67"/>
      <c r="AD891" s="12"/>
      <c r="AE891" s="12"/>
      <c r="AF891" s="12"/>
    </row>
    <row r="892" ht="15.75" customHeight="1">
      <c r="A892" s="34"/>
      <c r="B892" s="34"/>
      <c r="C892" s="34"/>
      <c r="D892" s="34"/>
      <c r="E892" s="34"/>
      <c r="F892" s="35"/>
      <c r="G892" s="34"/>
      <c r="H892" s="34"/>
      <c r="I892" s="34"/>
      <c r="J892" s="34"/>
      <c r="K892" s="34"/>
      <c r="L892" s="34"/>
      <c r="M892" s="34"/>
      <c r="N892" s="34"/>
      <c r="O892" s="36"/>
      <c r="P892" s="34"/>
      <c r="Q892" s="87"/>
      <c r="R892" s="34"/>
      <c r="S892" s="66"/>
      <c r="T892" s="12"/>
      <c r="U892" s="12"/>
      <c r="V892" s="12"/>
      <c r="W892" s="12"/>
      <c r="X892" s="12"/>
      <c r="Y892" s="12"/>
      <c r="Z892" s="67"/>
      <c r="AA892" s="12"/>
      <c r="AB892" s="12"/>
      <c r="AC892" s="67"/>
      <c r="AD892" s="12"/>
      <c r="AE892" s="12"/>
      <c r="AF892" s="12"/>
    </row>
    <row r="893" ht="15.75" customHeight="1">
      <c r="A893" s="34"/>
      <c r="B893" s="34"/>
      <c r="C893" s="34"/>
      <c r="D893" s="34"/>
      <c r="E893" s="34"/>
      <c r="F893" s="35"/>
      <c r="G893" s="34"/>
      <c r="H893" s="34"/>
      <c r="I893" s="34"/>
      <c r="J893" s="34"/>
      <c r="K893" s="34"/>
      <c r="L893" s="34"/>
      <c r="M893" s="34"/>
      <c r="N893" s="34"/>
      <c r="O893" s="36"/>
      <c r="P893" s="34"/>
      <c r="Q893" s="87"/>
      <c r="R893" s="34"/>
      <c r="S893" s="66"/>
      <c r="T893" s="12"/>
      <c r="U893" s="12"/>
      <c r="V893" s="12"/>
      <c r="W893" s="12"/>
      <c r="X893" s="12"/>
      <c r="Y893" s="12"/>
      <c r="Z893" s="67"/>
      <c r="AA893" s="12"/>
      <c r="AB893" s="12"/>
      <c r="AC893" s="67"/>
      <c r="AD893" s="12"/>
      <c r="AE893" s="12"/>
      <c r="AF893" s="12"/>
    </row>
    <row r="894" ht="15.75" customHeight="1">
      <c r="A894" s="34"/>
      <c r="B894" s="34"/>
      <c r="C894" s="34"/>
      <c r="D894" s="34"/>
      <c r="E894" s="34"/>
      <c r="F894" s="35"/>
      <c r="G894" s="34"/>
      <c r="H894" s="34"/>
      <c r="I894" s="34"/>
      <c r="J894" s="34"/>
      <c r="K894" s="34"/>
      <c r="L894" s="34"/>
      <c r="M894" s="34"/>
      <c r="N894" s="34"/>
      <c r="O894" s="36"/>
      <c r="P894" s="34"/>
      <c r="Q894" s="87"/>
      <c r="R894" s="34"/>
      <c r="S894" s="66"/>
      <c r="T894" s="12"/>
      <c r="U894" s="12"/>
      <c r="V894" s="12"/>
      <c r="W894" s="12"/>
      <c r="X894" s="12"/>
      <c r="Y894" s="12"/>
      <c r="Z894" s="67"/>
      <c r="AA894" s="12"/>
      <c r="AB894" s="12"/>
      <c r="AC894" s="67"/>
      <c r="AD894" s="12"/>
      <c r="AE894" s="12"/>
      <c r="AF894" s="12"/>
    </row>
    <row r="895" ht="15.75" customHeight="1">
      <c r="A895" s="34"/>
      <c r="B895" s="34"/>
      <c r="C895" s="34"/>
      <c r="D895" s="34"/>
      <c r="E895" s="34"/>
      <c r="F895" s="35"/>
      <c r="G895" s="34"/>
      <c r="H895" s="34"/>
      <c r="I895" s="34"/>
      <c r="J895" s="34"/>
      <c r="K895" s="34"/>
      <c r="L895" s="34"/>
      <c r="M895" s="34"/>
      <c r="N895" s="34"/>
      <c r="O895" s="36"/>
      <c r="P895" s="34"/>
      <c r="Q895" s="87"/>
      <c r="R895" s="34"/>
      <c r="S895" s="66"/>
      <c r="T895" s="12"/>
      <c r="U895" s="12"/>
      <c r="V895" s="12"/>
      <c r="W895" s="12"/>
      <c r="X895" s="12"/>
      <c r="Y895" s="12"/>
      <c r="Z895" s="67"/>
      <c r="AA895" s="12"/>
      <c r="AB895" s="12"/>
      <c r="AC895" s="67"/>
      <c r="AD895" s="12"/>
      <c r="AE895" s="12"/>
      <c r="AF895" s="12"/>
    </row>
    <row r="896" ht="15.75" customHeight="1">
      <c r="A896" s="34"/>
      <c r="B896" s="34"/>
      <c r="C896" s="34"/>
      <c r="D896" s="34"/>
      <c r="E896" s="34"/>
      <c r="F896" s="35"/>
      <c r="G896" s="34"/>
      <c r="H896" s="34"/>
      <c r="I896" s="34"/>
      <c r="J896" s="34"/>
      <c r="K896" s="34"/>
      <c r="L896" s="34"/>
      <c r="M896" s="34"/>
      <c r="N896" s="34"/>
      <c r="O896" s="36"/>
      <c r="P896" s="34"/>
      <c r="Q896" s="87"/>
      <c r="R896" s="34"/>
      <c r="S896" s="66"/>
      <c r="T896" s="12"/>
      <c r="U896" s="12"/>
      <c r="V896" s="12"/>
      <c r="W896" s="12"/>
      <c r="X896" s="12"/>
      <c r="Y896" s="12"/>
      <c r="Z896" s="67"/>
      <c r="AA896" s="12"/>
      <c r="AB896" s="12"/>
      <c r="AC896" s="67"/>
      <c r="AD896" s="12"/>
      <c r="AE896" s="12"/>
      <c r="AF896" s="12"/>
    </row>
    <row r="897" ht="15.75" customHeight="1">
      <c r="A897" s="34"/>
      <c r="B897" s="34"/>
      <c r="C897" s="34"/>
      <c r="D897" s="34"/>
      <c r="E897" s="34"/>
      <c r="F897" s="35"/>
      <c r="G897" s="34"/>
      <c r="H897" s="34"/>
      <c r="I897" s="34"/>
      <c r="J897" s="34"/>
      <c r="K897" s="34"/>
      <c r="L897" s="34"/>
      <c r="M897" s="34"/>
      <c r="N897" s="34"/>
      <c r="O897" s="36"/>
      <c r="P897" s="34"/>
      <c r="Q897" s="87"/>
      <c r="R897" s="34"/>
      <c r="S897" s="66"/>
      <c r="T897" s="12"/>
      <c r="U897" s="12"/>
      <c r="V897" s="12"/>
      <c r="W897" s="12"/>
      <c r="X897" s="12"/>
      <c r="Y897" s="12"/>
      <c r="Z897" s="67"/>
      <c r="AA897" s="12"/>
      <c r="AB897" s="12"/>
      <c r="AC897" s="67"/>
      <c r="AD897" s="12"/>
      <c r="AE897" s="12"/>
      <c r="AF897" s="12"/>
    </row>
    <row r="898" ht="15.75" customHeight="1">
      <c r="A898" s="34"/>
      <c r="B898" s="34"/>
      <c r="C898" s="34"/>
      <c r="D898" s="34"/>
      <c r="E898" s="34"/>
      <c r="F898" s="35"/>
      <c r="G898" s="34"/>
      <c r="H898" s="34"/>
      <c r="I898" s="34"/>
      <c r="J898" s="34"/>
      <c r="K898" s="34"/>
      <c r="L898" s="34"/>
      <c r="M898" s="34"/>
      <c r="N898" s="34"/>
      <c r="O898" s="36"/>
      <c r="P898" s="34"/>
      <c r="Q898" s="87"/>
      <c r="R898" s="34"/>
      <c r="S898" s="66"/>
      <c r="T898" s="12"/>
      <c r="U898" s="12"/>
      <c r="V898" s="12"/>
      <c r="W898" s="12"/>
      <c r="X898" s="12"/>
      <c r="Y898" s="12"/>
      <c r="Z898" s="67"/>
      <c r="AA898" s="12"/>
      <c r="AB898" s="12"/>
      <c r="AC898" s="67"/>
      <c r="AD898" s="12"/>
      <c r="AE898" s="12"/>
      <c r="AF898" s="12"/>
    </row>
    <row r="899" ht="15.75" customHeight="1">
      <c r="A899" s="34"/>
      <c r="B899" s="34"/>
      <c r="C899" s="34"/>
      <c r="D899" s="34"/>
      <c r="E899" s="34"/>
      <c r="F899" s="35"/>
      <c r="G899" s="34"/>
      <c r="H899" s="34"/>
      <c r="I899" s="34"/>
      <c r="J899" s="34"/>
      <c r="K899" s="34"/>
      <c r="L899" s="34"/>
      <c r="M899" s="34"/>
      <c r="N899" s="34"/>
      <c r="O899" s="36"/>
      <c r="P899" s="34"/>
      <c r="Q899" s="87"/>
      <c r="R899" s="34"/>
      <c r="S899" s="66"/>
      <c r="T899" s="12"/>
      <c r="U899" s="12"/>
      <c r="V899" s="12"/>
      <c r="W899" s="12"/>
      <c r="X899" s="12"/>
      <c r="Y899" s="12"/>
      <c r="Z899" s="67"/>
      <c r="AA899" s="12"/>
      <c r="AB899" s="12"/>
      <c r="AC899" s="67"/>
      <c r="AD899" s="12"/>
      <c r="AE899" s="12"/>
      <c r="AF899" s="12"/>
    </row>
    <row r="900" ht="15.75" customHeight="1">
      <c r="A900" s="34"/>
      <c r="B900" s="34"/>
      <c r="C900" s="34"/>
      <c r="D900" s="34"/>
      <c r="E900" s="34"/>
      <c r="F900" s="35"/>
      <c r="G900" s="34"/>
      <c r="H900" s="34"/>
      <c r="I900" s="34"/>
      <c r="J900" s="34"/>
      <c r="K900" s="34"/>
      <c r="L900" s="34"/>
      <c r="M900" s="34"/>
      <c r="N900" s="34"/>
      <c r="O900" s="36"/>
      <c r="P900" s="34"/>
      <c r="Q900" s="87"/>
      <c r="R900" s="34"/>
      <c r="S900" s="66"/>
      <c r="T900" s="12"/>
      <c r="U900" s="12"/>
      <c r="V900" s="12"/>
      <c r="W900" s="12"/>
      <c r="X900" s="12"/>
      <c r="Y900" s="12"/>
      <c r="Z900" s="67"/>
      <c r="AA900" s="12"/>
      <c r="AB900" s="12"/>
      <c r="AC900" s="67"/>
      <c r="AD900" s="12"/>
      <c r="AE900" s="12"/>
      <c r="AF900" s="12"/>
    </row>
    <row r="901" ht="15.75" customHeight="1">
      <c r="A901" s="34"/>
      <c r="B901" s="34"/>
      <c r="C901" s="34"/>
      <c r="D901" s="34"/>
      <c r="E901" s="34"/>
      <c r="F901" s="35"/>
      <c r="G901" s="34"/>
      <c r="H901" s="34"/>
      <c r="I901" s="34"/>
      <c r="J901" s="34"/>
      <c r="K901" s="34"/>
      <c r="L901" s="34"/>
      <c r="M901" s="34"/>
      <c r="N901" s="34"/>
      <c r="O901" s="36"/>
      <c r="P901" s="34"/>
      <c r="Q901" s="87"/>
      <c r="R901" s="34"/>
      <c r="S901" s="66"/>
      <c r="T901" s="12"/>
      <c r="U901" s="12"/>
      <c r="V901" s="12"/>
      <c r="W901" s="12"/>
      <c r="X901" s="12"/>
      <c r="Y901" s="12"/>
      <c r="Z901" s="67"/>
      <c r="AA901" s="12"/>
      <c r="AB901" s="12"/>
      <c r="AC901" s="67"/>
      <c r="AD901" s="12"/>
      <c r="AE901" s="12"/>
      <c r="AF901" s="12"/>
    </row>
    <row r="902" ht="15.75" customHeight="1">
      <c r="A902" s="34"/>
      <c r="B902" s="34"/>
      <c r="C902" s="34"/>
      <c r="D902" s="34"/>
      <c r="E902" s="34"/>
      <c r="F902" s="35"/>
      <c r="G902" s="34"/>
      <c r="H902" s="34"/>
      <c r="I902" s="34"/>
      <c r="J902" s="34"/>
      <c r="K902" s="34"/>
      <c r="L902" s="34"/>
      <c r="M902" s="34"/>
      <c r="N902" s="34"/>
      <c r="O902" s="36"/>
      <c r="P902" s="34"/>
      <c r="Q902" s="87"/>
      <c r="R902" s="34"/>
      <c r="S902" s="66"/>
      <c r="T902" s="12"/>
      <c r="U902" s="12"/>
      <c r="V902" s="12"/>
      <c r="W902" s="12"/>
      <c r="X902" s="12"/>
      <c r="Y902" s="12"/>
      <c r="Z902" s="67"/>
      <c r="AA902" s="12"/>
      <c r="AB902" s="12"/>
      <c r="AC902" s="67"/>
      <c r="AD902" s="12"/>
      <c r="AE902" s="12"/>
      <c r="AF902" s="12"/>
    </row>
    <row r="903" ht="15.75" customHeight="1">
      <c r="A903" s="34"/>
      <c r="B903" s="34"/>
      <c r="C903" s="34"/>
      <c r="D903" s="34"/>
      <c r="E903" s="34"/>
      <c r="F903" s="35"/>
      <c r="G903" s="34"/>
      <c r="H903" s="34"/>
      <c r="I903" s="34"/>
      <c r="J903" s="34"/>
      <c r="K903" s="34"/>
      <c r="L903" s="34"/>
      <c r="M903" s="34"/>
      <c r="N903" s="34"/>
      <c r="O903" s="36"/>
      <c r="P903" s="34"/>
      <c r="Q903" s="87"/>
      <c r="R903" s="34"/>
      <c r="S903" s="66"/>
      <c r="T903" s="12"/>
      <c r="U903" s="12"/>
      <c r="V903" s="12"/>
      <c r="W903" s="12"/>
      <c r="X903" s="12"/>
      <c r="Y903" s="12"/>
      <c r="Z903" s="67"/>
      <c r="AA903" s="12"/>
      <c r="AB903" s="12"/>
      <c r="AC903" s="67"/>
      <c r="AD903" s="12"/>
      <c r="AE903" s="12"/>
      <c r="AF903" s="12"/>
    </row>
    <row r="904" ht="15.75" customHeight="1">
      <c r="A904" s="34"/>
      <c r="B904" s="34"/>
      <c r="C904" s="34"/>
      <c r="D904" s="34"/>
      <c r="E904" s="34"/>
      <c r="F904" s="35"/>
      <c r="G904" s="34"/>
      <c r="H904" s="34"/>
      <c r="I904" s="34"/>
      <c r="J904" s="34"/>
      <c r="K904" s="34"/>
      <c r="L904" s="34"/>
      <c r="M904" s="34"/>
      <c r="N904" s="34"/>
      <c r="O904" s="36"/>
      <c r="P904" s="34"/>
      <c r="Q904" s="87"/>
      <c r="R904" s="34"/>
      <c r="S904" s="66"/>
      <c r="T904" s="12"/>
      <c r="U904" s="12"/>
      <c r="V904" s="12"/>
      <c r="W904" s="12"/>
      <c r="X904" s="12"/>
      <c r="Y904" s="12"/>
      <c r="Z904" s="67"/>
      <c r="AA904" s="12"/>
      <c r="AB904" s="12"/>
      <c r="AC904" s="67"/>
      <c r="AD904" s="12"/>
      <c r="AE904" s="12"/>
      <c r="AF904" s="12"/>
    </row>
    <row r="905" ht="15.75" customHeight="1">
      <c r="A905" s="34"/>
      <c r="B905" s="34"/>
      <c r="C905" s="34"/>
      <c r="D905" s="34"/>
      <c r="E905" s="34"/>
      <c r="F905" s="35"/>
      <c r="G905" s="34"/>
      <c r="H905" s="34"/>
      <c r="I905" s="34"/>
      <c r="J905" s="34"/>
      <c r="K905" s="34"/>
      <c r="L905" s="34"/>
      <c r="M905" s="34"/>
      <c r="N905" s="34"/>
      <c r="O905" s="36"/>
      <c r="P905" s="34"/>
      <c r="Q905" s="87"/>
      <c r="R905" s="34"/>
      <c r="S905" s="66"/>
      <c r="T905" s="12"/>
      <c r="U905" s="12"/>
      <c r="V905" s="12"/>
      <c r="W905" s="12"/>
      <c r="X905" s="12"/>
      <c r="Y905" s="12"/>
      <c r="Z905" s="67"/>
      <c r="AA905" s="12"/>
      <c r="AB905" s="12"/>
      <c r="AC905" s="67"/>
      <c r="AD905" s="12"/>
      <c r="AE905" s="12"/>
      <c r="AF905" s="12"/>
    </row>
    <row r="906" ht="15.75" customHeight="1">
      <c r="A906" s="34"/>
      <c r="B906" s="34"/>
      <c r="C906" s="34"/>
      <c r="D906" s="34"/>
      <c r="E906" s="34"/>
      <c r="F906" s="35"/>
      <c r="G906" s="34"/>
      <c r="H906" s="34"/>
      <c r="I906" s="34"/>
      <c r="J906" s="34"/>
      <c r="K906" s="34"/>
      <c r="L906" s="34"/>
      <c r="M906" s="34"/>
      <c r="N906" s="34"/>
      <c r="O906" s="36"/>
      <c r="P906" s="34"/>
      <c r="Q906" s="87"/>
      <c r="R906" s="34"/>
      <c r="S906" s="66"/>
      <c r="T906" s="12"/>
      <c r="U906" s="12"/>
      <c r="V906" s="12"/>
      <c r="W906" s="12"/>
      <c r="X906" s="12"/>
      <c r="Y906" s="12"/>
      <c r="Z906" s="67"/>
      <c r="AA906" s="12"/>
      <c r="AB906" s="12"/>
      <c r="AC906" s="67"/>
      <c r="AD906" s="12"/>
      <c r="AE906" s="12"/>
      <c r="AF906" s="12"/>
    </row>
    <row r="907" ht="15.75" customHeight="1">
      <c r="A907" s="34"/>
      <c r="B907" s="34"/>
      <c r="C907" s="34"/>
      <c r="D907" s="34"/>
      <c r="E907" s="34"/>
      <c r="F907" s="35"/>
      <c r="G907" s="34"/>
      <c r="H907" s="34"/>
      <c r="I907" s="34"/>
      <c r="J907" s="34"/>
      <c r="K907" s="34"/>
      <c r="L907" s="34"/>
      <c r="M907" s="34"/>
      <c r="N907" s="34"/>
      <c r="O907" s="36"/>
      <c r="P907" s="34"/>
      <c r="Q907" s="87"/>
      <c r="R907" s="34"/>
      <c r="S907" s="66"/>
      <c r="T907" s="12"/>
      <c r="U907" s="12"/>
      <c r="V907" s="12"/>
      <c r="W907" s="12"/>
      <c r="X907" s="12"/>
      <c r="Y907" s="12"/>
      <c r="Z907" s="67"/>
      <c r="AA907" s="12"/>
      <c r="AB907" s="12"/>
      <c r="AC907" s="67"/>
      <c r="AD907" s="12"/>
      <c r="AE907" s="12"/>
      <c r="AF907" s="12"/>
    </row>
    <row r="908" ht="15.75" customHeight="1">
      <c r="A908" s="34"/>
      <c r="B908" s="34"/>
      <c r="C908" s="34"/>
      <c r="D908" s="34"/>
      <c r="E908" s="34"/>
      <c r="F908" s="35"/>
      <c r="G908" s="34"/>
      <c r="H908" s="34"/>
      <c r="I908" s="34"/>
      <c r="J908" s="34"/>
      <c r="K908" s="34"/>
      <c r="L908" s="34"/>
      <c r="M908" s="34"/>
      <c r="N908" s="34"/>
      <c r="O908" s="36"/>
      <c r="P908" s="34"/>
      <c r="Q908" s="87"/>
      <c r="R908" s="34"/>
      <c r="S908" s="66"/>
      <c r="T908" s="12"/>
      <c r="U908" s="12"/>
      <c r="V908" s="12"/>
      <c r="W908" s="12"/>
      <c r="X908" s="12"/>
      <c r="Y908" s="12"/>
      <c r="Z908" s="67"/>
      <c r="AA908" s="12"/>
      <c r="AB908" s="12"/>
      <c r="AC908" s="67"/>
      <c r="AD908" s="12"/>
      <c r="AE908" s="12"/>
      <c r="AF908" s="12"/>
    </row>
    <row r="909" ht="15.75" customHeight="1">
      <c r="A909" s="34"/>
      <c r="B909" s="34"/>
      <c r="C909" s="34"/>
      <c r="D909" s="34"/>
      <c r="E909" s="34"/>
      <c r="F909" s="35"/>
      <c r="G909" s="34"/>
      <c r="H909" s="34"/>
      <c r="I909" s="34"/>
      <c r="J909" s="34"/>
      <c r="K909" s="34"/>
      <c r="L909" s="34"/>
      <c r="M909" s="34"/>
      <c r="N909" s="34"/>
      <c r="O909" s="36"/>
      <c r="P909" s="34"/>
      <c r="Q909" s="87"/>
      <c r="R909" s="34"/>
      <c r="S909" s="66"/>
      <c r="T909" s="12"/>
      <c r="U909" s="12"/>
      <c r="V909" s="12"/>
      <c r="W909" s="12"/>
      <c r="X909" s="12"/>
      <c r="Y909" s="12"/>
      <c r="Z909" s="67"/>
      <c r="AA909" s="12"/>
      <c r="AB909" s="12"/>
      <c r="AC909" s="67"/>
      <c r="AD909" s="12"/>
      <c r="AE909" s="12"/>
      <c r="AF909" s="12"/>
    </row>
    <row r="910" ht="15.75" customHeight="1">
      <c r="A910" s="34"/>
      <c r="B910" s="34"/>
      <c r="C910" s="34"/>
      <c r="D910" s="34"/>
      <c r="E910" s="34"/>
      <c r="F910" s="35"/>
      <c r="G910" s="34"/>
      <c r="H910" s="34"/>
      <c r="I910" s="34"/>
      <c r="J910" s="34"/>
      <c r="K910" s="34"/>
      <c r="L910" s="34"/>
      <c r="M910" s="34"/>
      <c r="N910" s="34"/>
      <c r="O910" s="36"/>
      <c r="P910" s="34"/>
      <c r="Q910" s="87"/>
      <c r="R910" s="34"/>
      <c r="S910" s="66"/>
      <c r="T910" s="12"/>
      <c r="U910" s="12"/>
      <c r="V910" s="12"/>
      <c r="W910" s="12"/>
      <c r="X910" s="12"/>
      <c r="Y910" s="12"/>
      <c r="Z910" s="67"/>
      <c r="AA910" s="12"/>
      <c r="AB910" s="12"/>
      <c r="AC910" s="67"/>
      <c r="AD910" s="12"/>
      <c r="AE910" s="12"/>
      <c r="AF910" s="12"/>
    </row>
    <row r="911" ht="15.75" customHeight="1">
      <c r="A911" s="34"/>
      <c r="B911" s="34"/>
      <c r="C911" s="34"/>
      <c r="D911" s="34"/>
      <c r="E911" s="34"/>
      <c r="F911" s="35"/>
      <c r="G911" s="34"/>
      <c r="H911" s="34"/>
      <c r="I911" s="34"/>
      <c r="J911" s="34"/>
      <c r="K911" s="34"/>
      <c r="L911" s="34"/>
      <c r="M911" s="34"/>
      <c r="N911" s="34"/>
      <c r="O911" s="36"/>
      <c r="P911" s="34"/>
      <c r="Q911" s="87"/>
      <c r="R911" s="34"/>
      <c r="S911" s="66"/>
      <c r="T911" s="12"/>
      <c r="U911" s="12"/>
      <c r="V911" s="12"/>
      <c r="W911" s="12"/>
      <c r="X911" s="12"/>
      <c r="Y911" s="12"/>
      <c r="Z911" s="67"/>
      <c r="AA911" s="12"/>
      <c r="AB911" s="12"/>
      <c r="AC911" s="67"/>
      <c r="AD911" s="12"/>
      <c r="AE911" s="12"/>
      <c r="AF911" s="12"/>
    </row>
    <row r="912" ht="15.75" customHeight="1">
      <c r="A912" s="34"/>
      <c r="B912" s="34"/>
      <c r="C912" s="34"/>
      <c r="D912" s="34"/>
      <c r="E912" s="34"/>
      <c r="F912" s="35"/>
      <c r="G912" s="34"/>
      <c r="H912" s="34"/>
      <c r="I912" s="34"/>
      <c r="J912" s="34"/>
      <c r="K912" s="34"/>
      <c r="L912" s="34"/>
      <c r="M912" s="34"/>
      <c r="N912" s="34"/>
      <c r="O912" s="36"/>
      <c r="P912" s="34"/>
      <c r="Q912" s="87"/>
      <c r="R912" s="34"/>
      <c r="S912" s="66"/>
      <c r="T912" s="12"/>
      <c r="U912" s="12"/>
      <c r="V912" s="12"/>
      <c r="W912" s="12"/>
      <c r="X912" s="12"/>
      <c r="Y912" s="12"/>
      <c r="Z912" s="67"/>
      <c r="AA912" s="12"/>
      <c r="AB912" s="12"/>
      <c r="AC912" s="67"/>
      <c r="AD912" s="12"/>
      <c r="AE912" s="12"/>
      <c r="AF912" s="12"/>
    </row>
    <row r="913" ht="15.75" customHeight="1">
      <c r="A913" s="34"/>
      <c r="B913" s="34"/>
      <c r="C913" s="34"/>
      <c r="D913" s="34"/>
      <c r="E913" s="34"/>
      <c r="F913" s="35"/>
      <c r="G913" s="34"/>
      <c r="H913" s="34"/>
      <c r="I913" s="34"/>
      <c r="J913" s="34"/>
      <c r="K913" s="34"/>
      <c r="L913" s="34"/>
      <c r="M913" s="34"/>
      <c r="N913" s="34"/>
      <c r="O913" s="36"/>
      <c r="P913" s="34"/>
      <c r="Q913" s="87"/>
      <c r="R913" s="34"/>
      <c r="S913" s="66"/>
      <c r="T913" s="12"/>
      <c r="U913" s="12"/>
      <c r="V913" s="12"/>
      <c r="W913" s="12"/>
      <c r="X913" s="12"/>
      <c r="Y913" s="12"/>
      <c r="Z913" s="67"/>
      <c r="AA913" s="12"/>
      <c r="AB913" s="12"/>
      <c r="AC913" s="67"/>
      <c r="AD913" s="12"/>
      <c r="AE913" s="12"/>
      <c r="AF913" s="12"/>
    </row>
    <row r="914" ht="15.75" customHeight="1">
      <c r="A914" s="34"/>
      <c r="B914" s="34"/>
      <c r="C914" s="34"/>
      <c r="D914" s="34"/>
      <c r="E914" s="34"/>
      <c r="F914" s="35"/>
      <c r="G914" s="34"/>
      <c r="H914" s="34"/>
      <c r="I914" s="34"/>
      <c r="J914" s="34"/>
      <c r="K914" s="34"/>
      <c r="L914" s="34"/>
      <c r="M914" s="34"/>
      <c r="N914" s="34"/>
      <c r="O914" s="36"/>
      <c r="P914" s="34"/>
      <c r="Q914" s="87"/>
      <c r="R914" s="34"/>
      <c r="S914" s="66"/>
      <c r="T914" s="12"/>
      <c r="U914" s="12"/>
      <c r="V914" s="12"/>
      <c r="W914" s="12"/>
      <c r="X914" s="12"/>
      <c r="Y914" s="12"/>
      <c r="Z914" s="67"/>
      <c r="AA914" s="12"/>
      <c r="AB914" s="12"/>
      <c r="AC914" s="67"/>
      <c r="AD914" s="12"/>
      <c r="AE914" s="12"/>
      <c r="AF914" s="12"/>
    </row>
    <row r="915" ht="15.75" customHeight="1">
      <c r="A915" s="34"/>
      <c r="B915" s="34"/>
      <c r="C915" s="34"/>
      <c r="D915" s="34"/>
      <c r="E915" s="34"/>
      <c r="F915" s="35"/>
      <c r="G915" s="34"/>
      <c r="H915" s="34"/>
      <c r="I915" s="34"/>
      <c r="J915" s="34"/>
      <c r="K915" s="34"/>
      <c r="L915" s="34"/>
      <c r="M915" s="34"/>
      <c r="N915" s="34"/>
      <c r="O915" s="36"/>
      <c r="P915" s="34"/>
      <c r="Q915" s="87"/>
      <c r="R915" s="34"/>
      <c r="S915" s="66"/>
      <c r="T915" s="12"/>
      <c r="U915" s="12"/>
      <c r="V915" s="12"/>
      <c r="W915" s="12"/>
      <c r="X915" s="12"/>
      <c r="Y915" s="12"/>
      <c r="Z915" s="67"/>
      <c r="AA915" s="12"/>
      <c r="AB915" s="12"/>
      <c r="AC915" s="67"/>
      <c r="AD915" s="12"/>
      <c r="AE915" s="12"/>
      <c r="AF915" s="12"/>
    </row>
    <row r="916" ht="15.75" customHeight="1">
      <c r="A916" s="34"/>
      <c r="B916" s="34"/>
      <c r="C916" s="34"/>
      <c r="D916" s="34"/>
      <c r="E916" s="34"/>
      <c r="F916" s="35"/>
      <c r="G916" s="34"/>
      <c r="H916" s="34"/>
      <c r="I916" s="34"/>
      <c r="J916" s="34"/>
      <c r="K916" s="34"/>
      <c r="L916" s="34"/>
      <c r="M916" s="34"/>
      <c r="N916" s="34"/>
      <c r="O916" s="36"/>
      <c r="P916" s="34"/>
      <c r="Q916" s="87"/>
      <c r="R916" s="34"/>
      <c r="S916" s="66"/>
      <c r="T916" s="12"/>
      <c r="U916" s="12"/>
      <c r="V916" s="12"/>
      <c r="W916" s="12"/>
      <c r="X916" s="12"/>
      <c r="Y916" s="12"/>
      <c r="Z916" s="67"/>
      <c r="AA916" s="12"/>
      <c r="AB916" s="12"/>
      <c r="AC916" s="67"/>
      <c r="AD916" s="12"/>
      <c r="AE916" s="12"/>
      <c r="AF916" s="12"/>
    </row>
    <row r="917" ht="15.75" customHeight="1">
      <c r="A917" s="34"/>
      <c r="B917" s="34"/>
      <c r="C917" s="34"/>
      <c r="D917" s="34"/>
      <c r="E917" s="34"/>
      <c r="F917" s="35"/>
      <c r="G917" s="34"/>
      <c r="H917" s="34"/>
      <c r="I917" s="34"/>
      <c r="J917" s="34"/>
      <c r="K917" s="34"/>
      <c r="L917" s="34"/>
      <c r="M917" s="34"/>
      <c r="N917" s="34"/>
      <c r="O917" s="36"/>
      <c r="P917" s="34"/>
      <c r="Q917" s="87"/>
      <c r="R917" s="34"/>
      <c r="S917" s="66"/>
      <c r="T917" s="12"/>
      <c r="U917" s="12"/>
      <c r="V917" s="12"/>
      <c r="W917" s="12"/>
      <c r="X917" s="12"/>
      <c r="Y917" s="12"/>
      <c r="Z917" s="67"/>
      <c r="AA917" s="12"/>
      <c r="AB917" s="12"/>
      <c r="AC917" s="67"/>
      <c r="AD917" s="12"/>
      <c r="AE917" s="12"/>
      <c r="AF917" s="12"/>
    </row>
    <row r="918" ht="15.75" customHeight="1">
      <c r="A918" s="34"/>
      <c r="B918" s="34"/>
      <c r="C918" s="34"/>
      <c r="D918" s="34"/>
      <c r="E918" s="34"/>
      <c r="F918" s="35"/>
      <c r="G918" s="34"/>
      <c r="H918" s="34"/>
      <c r="I918" s="34"/>
      <c r="J918" s="34"/>
      <c r="K918" s="34"/>
      <c r="L918" s="34"/>
      <c r="M918" s="34"/>
      <c r="N918" s="34"/>
      <c r="O918" s="36"/>
      <c r="P918" s="34"/>
      <c r="Q918" s="87"/>
      <c r="R918" s="34"/>
      <c r="S918" s="66"/>
      <c r="T918" s="12"/>
      <c r="U918" s="12"/>
      <c r="V918" s="12"/>
      <c r="W918" s="12"/>
      <c r="X918" s="12"/>
      <c r="Y918" s="12"/>
      <c r="Z918" s="67"/>
      <c r="AA918" s="12"/>
      <c r="AB918" s="12"/>
      <c r="AC918" s="67"/>
      <c r="AD918" s="12"/>
      <c r="AE918" s="12"/>
      <c r="AF918" s="12"/>
    </row>
    <row r="919" ht="15.75" customHeight="1">
      <c r="A919" s="34"/>
      <c r="B919" s="34"/>
      <c r="C919" s="34"/>
      <c r="D919" s="34"/>
      <c r="E919" s="34"/>
      <c r="F919" s="35"/>
      <c r="G919" s="34"/>
      <c r="H919" s="34"/>
      <c r="I919" s="34"/>
      <c r="J919" s="34"/>
      <c r="K919" s="34"/>
      <c r="L919" s="34"/>
      <c r="M919" s="34"/>
      <c r="N919" s="34"/>
      <c r="O919" s="36"/>
      <c r="P919" s="34"/>
      <c r="Q919" s="87"/>
      <c r="R919" s="34"/>
      <c r="S919" s="66"/>
      <c r="T919" s="12"/>
      <c r="U919" s="12"/>
      <c r="V919" s="12"/>
      <c r="W919" s="12"/>
      <c r="X919" s="12"/>
      <c r="Y919" s="12"/>
      <c r="Z919" s="67"/>
      <c r="AA919" s="12"/>
      <c r="AB919" s="12"/>
      <c r="AC919" s="67"/>
      <c r="AD919" s="12"/>
      <c r="AE919" s="12"/>
      <c r="AF919" s="12"/>
    </row>
    <row r="920" ht="15.75" customHeight="1">
      <c r="A920" s="34"/>
      <c r="B920" s="34"/>
      <c r="C920" s="34"/>
      <c r="D920" s="34"/>
      <c r="E920" s="34"/>
      <c r="F920" s="35"/>
      <c r="G920" s="34"/>
      <c r="H920" s="34"/>
      <c r="I920" s="34"/>
      <c r="J920" s="34"/>
      <c r="K920" s="34"/>
      <c r="L920" s="34"/>
      <c r="M920" s="34"/>
      <c r="N920" s="34"/>
      <c r="O920" s="36"/>
      <c r="P920" s="34"/>
      <c r="Q920" s="87"/>
      <c r="R920" s="34"/>
      <c r="S920" s="66"/>
      <c r="T920" s="12"/>
      <c r="U920" s="12"/>
      <c r="V920" s="12"/>
      <c r="W920" s="12"/>
      <c r="X920" s="12"/>
      <c r="Y920" s="12"/>
      <c r="Z920" s="67"/>
      <c r="AA920" s="12"/>
      <c r="AB920" s="12"/>
      <c r="AC920" s="67"/>
      <c r="AD920" s="12"/>
      <c r="AE920" s="12"/>
      <c r="AF920" s="12"/>
    </row>
    <row r="921" ht="15.75" customHeight="1">
      <c r="A921" s="34"/>
      <c r="B921" s="34"/>
      <c r="C921" s="34"/>
      <c r="D921" s="34"/>
      <c r="E921" s="34"/>
      <c r="F921" s="35"/>
      <c r="G921" s="34"/>
      <c r="H921" s="34"/>
      <c r="I921" s="34"/>
      <c r="J921" s="34"/>
      <c r="K921" s="34"/>
      <c r="L921" s="34"/>
      <c r="M921" s="34"/>
      <c r="N921" s="34"/>
      <c r="O921" s="36"/>
      <c r="P921" s="34"/>
      <c r="Q921" s="87"/>
      <c r="R921" s="34"/>
      <c r="S921" s="66"/>
      <c r="T921" s="12"/>
      <c r="U921" s="12"/>
      <c r="V921" s="12"/>
      <c r="W921" s="12"/>
      <c r="X921" s="12"/>
      <c r="Y921" s="12"/>
      <c r="Z921" s="67"/>
      <c r="AA921" s="12"/>
      <c r="AB921" s="12"/>
      <c r="AC921" s="67"/>
      <c r="AD921" s="12"/>
      <c r="AE921" s="12"/>
      <c r="AF921" s="12"/>
    </row>
    <row r="922" ht="15.75" customHeight="1">
      <c r="A922" s="34"/>
      <c r="B922" s="34"/>
      <c r="C922" s="34"/>
      <c r="D922" s="34"/>
      <c r="E922" s="34"/>
      <c r="F922" s="35"/>
      <c r="G922" s="34"/>
      <c r="H922" s="34"/>
      <c r="I922" s="34"/>
      <c r="J922" s="34"/>
      <c r="K922" s="34"/>
      <c r="L922" s="34"/>
      <c r="M922" s="34"/>
      <c r="N922" s="34"/>
      <c r="O922" s="36"/>
      <c r="P922" s="34"/>
      <c r="Q922" s="87"/>
      <c r="R922" s="34"/>
      <c r="S922" s="66"/>
      <c r="T922" s="12"/>
      <c r="U922" s="12"/>
      <c r="V922" s="12"/>
      <c r="W922" s="12"/>
      <c r="X922" s="12"/>
      <c r="Y922" s="12"/>
      <c r="Z922" s="67"/>
      <c r="AA922" s="12"/>
      <c r="AB922" s="12"/>
      <c r="AC922" s="67"/>
      <c r="AD922" s="12"/>
      <c r="AE922" s="12"/>
      <c r="AF922" s="12"/>
    </row>
    <row r="923" ht="15.75" customHeight="1">
      <c r="A923" s="34"/>
      <c r="B923" s="34"/>
      <c r="C923" s="34"/>
      <c r="D923" s="34"/>
      <c r="E923" s="34"/>
      <c r="F923" s="35"/>
      <c r="G923" s="34"/>
      <c r="H923" s="34"/>
      <c r="I923" s="34"/>
      <c r="J923" s="34"/>
      <c r="K923" s="34"/>
      <c r="L923" s="34"/>
      <c r="M923" s="34"/>
      <c r="N923" s="34"/>
      <c r="O923" s="36"/>
      <c r="P923" s="34"/>
      <c r="Q923" s="87"/>
      <c r="R923" s="34"/>
      <c r="S923" s="66"/>
      <c r="T923" s="12"/>
      <c r="U923" s="12"/>
      <c r="V923" s="12"/>
      <c r="W923" s="12"/>
      <c r="X923" s="12"/>
      <c r="Y923" s="12"/>
      <c r="Z923" s="67"/>
      <c r="AA923" s="12"/>
      <c r="AB923" s="12"/>
      <c r="AC923" s="67"/>
      <c r="AD923" s="12"/>
      <c r="AE923" s="12"/>
      <c r="AF923" s="12"/>
    </row>
    <row r="924" ht="15.75" customHeight="1">
      <c r="A924" s="34"/>
      <c r="B924" s="34"/>
      <c r="C924" s="34"/>
      <c r="D924" s="34"/>
      <c r="E924" s="34"/>
      <c r="F924" s="35"/>
      <c r="G924" s="34"/>
      <c r="H924" s="34"/>
      <c r="I924" s="34"/>
      <c r="J924" s="34"/>
      <c r="K924" s="34"/>
      <c r="L924" s="34"/>
      <c r="M924" s="34"/>
      <c r="N924" s="34"/>
      <c r="O924" s="36"/>
      <c r="P924" s="34"/>
      <c r="Q924" s="87"/>
      <c r="R924" s="34"/>
      <c r="S924" s="66"/>
      <c r="T924" s="12"/>
      <c r="U924" s="12"/>
      <c r="V924" s="12"/>
      <c r="W924" s="12"/>
      <c r="X924" s="12"/>
      <c r="Y924" s="12"/>
      <c r="Z924" s="67"/>
      <c r="AA924" s="12"/>
      <c r="AB924" s="12"/>
      <c r="AC924" s="67"/>
      <c r="AD924" s="12"/>
      <c r="AE924" s="12"/>
      <c r="AF924" s="12"/>
    </row>
    <row r="925" ht="15.75" customHeight="1">
      <c r="A925" s="34"/>
      <c r="B925" s="34"/>
      <c r="C925" s="34"/>
      <c r="D925" s="34"/>
      <c r="E925" s="34"/>
      <c r="F925" s="35"/>
      <c r="G925" s="34"/>
      <c r="H925" s="34"/>
      <c r="I925" s="34"/>
      <c r="J925" s="34"/>
      <c r="K925" s="34"/>
      <c r="L925" s="34"/>
      <c r="M925" s="34"/>
      <c r="N925" s="34"/>
      <c r="O925" s="36"/>
      <c r="P925" s="34"/>
      <c r="Q925" s="87"/>
      <c r="R925" s="34"/>
      <c r="S925" s="66"/>
      <c r="T925" s="12"/>
      <c r="U925" s="12"/>
      <c r="V925" s="12"/>
      <c r="W925" s="12"/>
      <c r="X925" s="12"/>
      <c r="Y925" s="12"/>
      <c r="Z925" s="67"/>
      <c r="AA925" s="12"/>
      <c r="AB925" s="12"/>
      <c r="AC925" s="67"/>
      <c r="AD925" s="12"/>
      <c r="AE925" s="12"/>
      <c r="AF925" s="12"/>
    </row>
    <row r="926" ht="15.75" customHeight="1">
      <c r="A926" s="34"/>
      <c r="B926" s="34"/>
      <c r="C926" s="34"/>
      <c r="D926" s="34"/>
      <c r="E926" s="34"/>
      <c r="F926" s="35"/>
      <c r="G926" s="34"/>
      <c r="H926" s="34"/>
      <c r="I926" s="34"/>
      <c r="J926" s="34"/>
      <c r="K926" s="34"/>
      <c r="L926" s="34"/>
      <c r="M926" s="34"/>
      <c r="N926" s="34"/>
      <c r="O926" s="36"/>
      <c r="P926" s="34"/>
      <c r="Q926" s="87"/>
      <c r="R926" s="34"/>
      <c r="S926" s="66"/>
      <c r="T926" s="12"/>
      <c r="U926" s="12"/>
      <c r="V926" s="12"/>
      <c r="W926" s="12"/>
      <c r="X926" s="12"/>
      <c r="Y926" s="12"/>
      <c r="Z926" s="67"/>
      <c r="AA926" s="12"/>
      <c r="AB926" s="12"/>
      <c r="AC926" s="67"/>
      <c r="AD926" s="12"/>
      <c r="AE926" s="12"/>
      <c r="AF926" s="12"/>
    </row>
    <row r="927" ht="15.75" customHeight="1">
      <c r="A927" s="34"/>
      <c r="B927" s="34"/>
      <c r="C927" s="34"/>
      <c r="D927" s="34"/>
      <c r="E927" s="34"/>
      <c r="F927" s="35"/>
      <c r="G927" s="34"/>
      <c r="H927" s="34"/>
      <c r="I927" s="34"/>
      <c r="J927" s="34"/>
      <c r="K927" s="34"/>
      <c r="L927" s="34"/>
      <c r="M927" s="34"/>
      <c r="N927" s="34"/>
      <c r="O927" s="36"/>
      <c r="P927" s="34"/>
      <c r="Q927" s="87"/>
      <c r="R927" s="34"/>
      <c r="S927" s="66"/>
      <c r="T927" s="12"/>
      <c r="U927" s="12"/>
      <c r="V927" s="12"/>
      <c r="W927" s="12"/>
      <c r="X927" s="12"/>
      <c r="Y927" s="12"/>
      <c r="Z927" s="67"/>
      <c r="AA927" s="12"/>
      <c r="AB927" s="12"/>
      <c r="AC927" s="67"/>
      <c r="AD927" s="12"/>
      <c r="AE927" s="12"/>
      <c r="AF927" s="12"/>
    </row>
    <row r="928" ht="15.75" customHeight="1">
      <c r="A928" s="34"/>
      <c r="B928" s="34"/>
      <c r="C928" s="34"/>
      <c r="D928" s="34"/>
      <c r="E928" s="34"/>
      <c r="F928" s="35"/>
      <c r="G928" s="34"/>
      <c r="H928" s="34"/>
      <c r="I928" s="34"/>
      <c r="J928" s="34"/>
      <c r="K928" s="34"/>
      <c r="L928" s="34"/>
      <c r="M928" s="34"/>
      <c r="N928" s="34"/>
      <c r="O928" s="36"/>
      <c r="P928" s="34"/>
      <c r="Q928" s="87"/>
      <c r="R928" s="34"/>
      <c r="S928" s="66"/>
      <c r="T928" s="12"/>
      <c r="U928" s="12"/>
      <c r="V928" s="12"/>
      <c r="W928" s="12"/>
      <c r="X928" s="12"/>
      <c r="Y928" s="12"/>
      <c r="Z928" s="67"/>
      <c r="AA928" s="12"/>
      <c r="AB928" s="12"/>
      <c r="AC928" s="67"/>
      <c r="AD928" s="12"/>
      <c r="AE928" s="12"/>
      <c r="AF928" s="12"/>
    </row>
    <row r="929" ht="15.75" customHeight="1">
      <c r="A929" s="34"/>
      <c r="B929" s="34"/>
      <c r="C929" s="34"/>
      <c r="D929" s="34"/>
      <c r="E929" s="34"/>
      <c r="F929" s="35"/>
      <c r="G929" s="34"/>
      <c r="H929" s="34"/>
      <c r="I929" s="34"/>
      <c r="J929" s="34"/>
      <c r="K929" s="34"/>
      <c r="L929" s="34"/>
      <c r="M929" s="34"/>
      <c r="N929" s="34"/>
      <c r="O929" s="36"/>
      <c r="P929" s="34"/>
      <c r="Q929" s="87"/>
      <c r="R929" s="34"/>
      <c r="S929" s="66"/>
      <c r="T929" s="12"/>
      <c r="U929" s="12"/>
      <c r="V929" s="12"/>
      <c r="W929" s="12"/>
      <c r="X929" s="12"/>
      <c r="Y929" s="12"/>
      <c r="Z929" s="67"/>
      <c r="AA929" s="12"/>
      <c r="AB929" s="12"/>
      <c r="AC929" s="67"/>
      <c r="AD929" s="12"/>
      <c r="AE929" s="12"/>
      <c r="AF929" s="12"/>
    </row>
    <row r="930" ht="15.75" customHeight="1">
      <c r="A930" s="34"/>
      <c r="B930" s="34"/>
      <c r="C930" s="34"/>
      <c r="D930" s="34"/>
      <c r="E930" s="34"/>
      <c r="F930" s="35"/>
      <c r="G930" s="34"/>
      <c r="H930" s="34"/>
      <c r="I930" s="34"/>
      <c r="J930" s="34"/>
      <c r="K930" s="34"/>
      <c r="L930" s="34"/>
      <c r="M930" s="34"/>
      <c r="N930" s="34"/>
      <c r="O930" s="36"/>
      <c r="P930" s="34"/>
      <c r="Q930" s="87"/>
      <c r="R930" s="34"/>
      <c r="S930" s="66"/>
      <c r="T930" s="12"/>
      <c r="U930" s="12"/>
      <c r="V930" s="12"/>
      <c r="W930" s="12"/>
      <c r="X930" s="12"/>
      <c r="Y930" s="12"/>
      <c r="Z930" s="67"/>
      <c r="AA930" s="12"/>
      <c r="AB930" s="12"/>
      <c r="AC930" s="67"/>
      <c r="AD930" s="12"/>
      <c r="AE930" s="12"/>
      <c r="AF930" s="12"/>
    </row>
    <row r="931" ht="15.75" customHeight="1">
      <c r="A931" s="34"/>
      <c r="B931" s="34"/>
      <c r="C931" s="34"/>
      <c r="D931" s="34"/>
      <c r="E931" s="34"/>
      <c r="F931" s="35"/>
      <c r="G931" s="34"/>
      <c r="H931" s="34"/>
      <c r="I931" s="34"/>
      <c r="J931" s="34"/>
      <c r="K931" s="34"/>
      <c r="L931" s="34"/>
      <c r="M931" s="34"/>
      <c r="N931" s="34"/>
      <c r="O931" s="36"/>
      <c r="P931" s="34"/>
      <c r="Q931" s="87"/>
      <c r="R931" s="34"/>
      <c r="S931" s="66"/>
      <c r="T931" s="12"/>
      <c r="U931" s="12"/>
      <c r="V931" s="12"/>
      <c r="W931" s="12"/>
      <c r="X931" s="12"/>
      <c r="Y931" s="12"/>
      <c r="Z931" s="67"/>
      <c r="AA931" s="12"/>
      <c r="AB931" s="12"/>
      <c r="AC931" s="67"/>
      <c r="AD931" s="12"/>
      <c r="AE931" s="12"/>
      <c r="AF931" s="12"/>
    </row>
    <row r="932" ht="15.75" customHeight="1">
      <c r="A932" s="34"/>
      <c r="B932" s="34"/>
      <c r="C932" s="34"/>
      <c r="D932" s="34"/>
      <c r="E932" s="34"/>
      <c r="F932" s="35"/>
      <c r="G932" s="34"/>
      <c r="H932" s="34"/>
      <c r="I932" s="34"/>
      <c r="J932" s="34"/>
      <c r="K932" s="34"/>
      <c r="L932" s="34"/>
      <c r="M932" s="34"/>
      <c r="N932" s="34"/>
      <c r="O932" s="36"/>
      <c r="P932" s="34"/>
      <c r="Q932" s="87"/>
      <c r="R932" s="34"/>
      <c r="S932" s="66"/>
      <c r="T932" s="12"/>
      <c r="U932" s="12"/>
      <c r="V932" s="12"/>
      <c r="W932" s="12"/>
      <c r="X932" s="12"/>
      <c r="Y932" s="12"/>
      <c r="Z932" s="67"/>
      <c r="AA932" s="12"/>
      <c r="AB932" s="12"/>
      <c r="AC932" s="67"/>
      <c r="AD932" s="12"/>
      <c r="AE932" s="12"/>
      <c r="AF932" s="12"/>
    </row>
    <row r="933" ht="15.75" customHeight="1">
      <c r="A933" s="34"/>
      <c r="B933" s="34"/>
      <c r="C933" s="34"/>
      <c r="D933" s="34"/>
      <c r="E933" s="34"/>
      <c r="F933" s="35"/>
      <c r="G933" s="34"/>
      <c r="H933" s="34"/>
      <c r="I933" s="34"/>
      <c r="J933" s="34"/>
      <c r="K933" s="34"/>
      <c r="L933" s="34"/>
      <c r="M933" s="34"/>
      <c r="N933" s="34"/>
      <c r="O933" s="36"/>
      <c r="P933" s="34"/>
      <c r="Q933" s="87"/>
      <c r="R933" s="34"/>
      <c r="S933" s="66"/>
      <c r="T933" s="12"/>
      <c r="U933" s="12"/>
      <c r="V933" s="12"/>
      <c r="W933" s="12"/>
      <c r="X933" s="12"/>
      <c r="Y933" s="12"/>
      <c r="Z933" s="67"/>
      <c r="AA933" s="12"/>
      <c r="AB933" s="12"/>
      <c r="AC933" s="67"/>
      <c r="AD933" s="12"/>
      <c r="AE933" s="12"/>
      <c r="AF933" s="12"/>
    </row>
    <row r="934" ht="15.75" customHeight="1">
      <c r="A934" s="34"/>
      <c r="B934" s="34"/>
      <c r="C934" s="34"/>
      <c r="D934" s="34"/>
      <c r="E934" s="34"/>
      <c r="F934" s="35"/>
      <c r="G934" s="34"/>
      <c r="H934" s="34"/>
      <c r="I934" s="34"/>
      <c r="J934" s="34"/>
      <c r="K934" s="34"/>
      <c r="L934" s="34"/>
      <c r="M934" s="34"/>
      <c r="N934" s="34"/>
      <c r="O934" s="36"/>
      <c r="P934" s="34"/>
      <c r="Q934" s="87"/>
      <c r="R934" s="34"/>
      <c r="S934" s="66"/>
      <c r="T934" s="12"/>
      <c r="U934" s="12"/>
      <c r="V934" s="12"/>
      <c r="W934" s="12"/>
      <c r="X934" s="12"/>
      <c r="Y934" s="12"/>
      <c r="Z934" s="67"/>
      <c r="AA934" s="12"/>
      <c r="AB934" s="12"/>
      <c r="AC934" s="67"/>
      <c r="AD934" s="12"/>
      <c r="AE934" s="12"/>
      <c r="AF934" s="12"/>
    </row>
    <row r="935" ht="15.75" customHeight="1">
      <c r="A935" s="34"/>
      <c r="B935" s="34"/>
      <c r="C935" s="34"/>
      <c r="D935" s="34"/>
      <c r="E935" s="34"/>
      <c r="F935" s="35"/>
      <c r="G935" s="34"/>
      <c r="H935" s="34"/>
      <c r="I935" s="34"/>
      <c r="J935" s="34"/>
      <c r="K935" s="34"/>
      <c r="L935" s="34"/>
      <c r="M935" s="34"/>
      <c r="N935" s="34"/>
      <c r="O935" s="36"/>
      <c r="P935" s="34"/>
      <c r="Q935" s="87"/>
      <c r="R935" s="34"/>
      <c r="S935" s="66"/>
      <c r="T935" s="12"/>
      <c r="U935" s="12"/>
      <c r="V935" s="12"/>
      <c r="W935" s="12"/>
      <c r="X935" s="12"/>
      <c r="Y935" s="12"/>
      <c r="Z935" s="67"/>
      <c r="AA935" s="12"/>
      <c r="AB935" s="12"/>
      <c r="AC935" s="67"/>
      <c r="AD935" s="12"/>
      <c r="AE935" s="12"/>
      <c r="AF935" s="12"/>
    </row>
    <row r="936" ht="15.75" customHeight="1">
      <c r="A936" s="34"/>
      <c r="B936" s="34"/>
      <c r="C936" s="34"/>
      <c r="D936" s="34"/>
      <c r="E936" s="34"/>
      <c r="F936" s="35"/>
      <c r="G936" s="34"/>
      <c r="H936" s="34"/>
      <c r="I936" s="34"/>
      <c r="J936" s="34"/>
      <c r="K936" s="34"/>
      <c r="L936" s="34"/>
      <c r="M936" s="34"/>
      <c r="N936" s="34"/>
      <c r="O936" s="36"/>
      <c r="P936" s="34"/>
      <c r="Q936" s="87"/>
      <c r="R936" s="34"/>
      <c r="S936" s="66"/>
      <c r="T936" s="12"/>
      <c r="U936" s="12"/>
      <c r="V936" s="12"/>
      <c r="W936" s="12"/>
      <c r="X936" s="12"/>
      <c r="Y936" s="12"/>
      <c r="Z936" s="67"/>
      <c r="AA936" s="12"/>
      <c r="AB936" s="12"/>
      <c r="AC936" s="67"/>
      <c r="AD936" s="12"/>
      <c r="AE936" s="12"/>
      <c r="AF936" s="12"/>
    </row>
    <row r="937" ht="15.75" customHeight="1">
      <c r="A937" s="34"/>
      <c r="B937" s="34"/>
      <c r="C937" s="34"/>
      <c r="D937" s="34"/>
      <c r="E937" s="34"/>
      <c r="F937" s="35"/>
      <c r="G937" s="34"/>
      <c r="H937" s="34"/>
      <c r="I937" s="34"/>
      <c r="J937" s="34"/>
      <c r="K937" s="34"/>
      <c r="L937" s="34"/>
      <c r="M937" s="34"/>
      <c r="N937" s="34"/>
      <c r="O937" s="36"/>
      <c r="P937" s="34"/>
      <c r="Q937" s="87"/>
      <c r="R937" s="34"/>
      <c r="S937" s="66"/>
      <c r="T937" s="12"/>
      <c r="U937" s="12"/>
      <c r="V937" s="12"/>
      <c r="W937" s="12"/>
      <c r="X937" s="12"/>
      <c r="Y937" s="12"/>
      <c r="Z937" s="67"/>
      <c r="AA937" s="12"/>
      <c r="AB937" s="12"/>
      <c r="AC937" s="67"/>
      <c r="AD937" s="12"/>
      <c r="AE937" s="12"/>
      <c r="AF937" s="12"/>
    </row>
    <row r="938" ht="15.75" customHeight="1">
      <c r="A938" s="34"/>
      <c r="B938" s="34"/>
      <c r="C938" s="34"/>
      <c r="D938" s="34"/>
      <c r="E938" s="34"/>
      <c r="F938" s="35"/>
      <c r="G938" s="34"/>
      <c r="H938" s="34"/>
      <c r="I938" s="34"/>
      <c r="J938" s="34"/>
      <c r="K938" s="34"/>
      <c r="L938" s="34"/>
      <c r="M938" s="34"/>
      <c r="N938" s="34"/>
      <c r="O938" s="36"/>
      <c r="P938" s="34"/>
      <c r="Q938" s="87"/>
      <c r="R938" s="34"/>
      <c r="S938" s="66"/>
      <c r="T938" s="12"/>
      <c r="U938" s="12"/>
      <c r="V938" s="12"/>
      <c r="W938" s="12"/>
      <c r="X938" s="12"/>
      <c r="Y938" s="12"/>
      <c r="Z938" s="67"/>
      <c r="AA938" s="12"/>
      <c r="AB938" s="12"/>
      <c r="AC938" s="67"/>
      <c r="AD938" s="12"/>
      <c r="AE938" s="12"/>
      <c r="AF938" s="12"/>
    </row>
    <row r="939" ht="15.75" customHeight="1">
      <c r="A939" s="34"/>
      <c r="B939" s="34"/>
      <c r="C939" s="34"/>
      <c r="D939" s="34"/>
      <c r="E939" s="34"/>
      <c r="F939" s="35"/>
      <c r="G939" s="34"/>
      <c r="H939" s="34"/>
      <c r="I939" s="34"/>
      <c r="J939" s="34"/>
      <c r="K939" s="34"/>
      <c r="L939" s="34"/>
      <c r="M939" s="34"/>
      <c r="N939" s="34"/>
      <c r="O939" s="36"/>
      <c r="P939" s="34"/>
      <c r="Q939" s="87"/>
      <c r="R939" s="34"/>
      <c r="S939" s="66"/>
      <c r="T939" s="12"/>
      <c r="U939" s="12"/>
      <c r="V939" s="12"/>
      <c r="W939" s="12"/>
      <c r="X939" s="12"/>
      <c r="Y939" s="12"/>
      <c r="Z939" s="67"/>
      <c r="AA939" s="12"/>
      <c r="AB939" s="12"/>
      <c r="AC939" s="67"/>
      <c r="AD939" s="12"/>
      <c r="AE939" s="12"/>
      <c r="AF939" s="12"/>
    </row>
    <row r="940" ht="15.75" customHeight="1">
      <c r="A940" s="34"/>
      <c r="B940" s="34"/>
      <c r="C940" s="34"/>
      <c r="D940" s="34"/>
      <c r="E940" s="34"/>
      <c r="F940" s="35"/>
      <c r="G940" s="34"/>
      <c r="H940" s="34"/>
      <c r="I940" s="34"/>
      <c r="J940" s="34"/>
      <c r="K940" s="34"/>
      <c r="L940" s="34"/>
      <c r="M940" s="34"/>
      <c r="N940" s="34"/>
      <c r="O940" s="36"/>
      <c r="P940" s="34"/>
      <c r="Q940" s="87"/>
      <c r="R940" s="34"/>
      <c r="S940" s="66"/>
      <c r="T940" s="12"/>
      <c r="U940" s="12"/>
      <c r="V940" s="12"/>
      <c r="W940" s="12"/>
      <c r="X940" s="12"/>
      <c r="Y940" s="12"/>
      <c r="Z940" s="67"/>
      <c r="AA940" s="12"/>
      <c r="AB940" s="12"/>
      <c r="AC940" s="67"/>
      <c r="AD940" s="12"/>
      <c r="AE940" s="12"/>
      <c r="AF940" s="12"/>
    </row>
    <row r="941" ht="15.75" customHeight="1">
      <c r="A941" s="34"/>
      <c r="B941" s="34"/>
      <c r="C941" s="34"/>
      <c r="D941" s="34"/>
      <c r="E941" s="34"/>
      <c r="F941" s="35"/>
      <c r="G941" s="34"/>
      <c r="H941" s="34"/>
      <c r="I941" s="34"/>
      <c r="J941" s="34"/>
      <c r="K941" s="34"/>
      <c r="L941" s="34"/>
      <c r="M941" s="34"/>
      <c r="N941" s="34"/>
      <c r="O941" s="36"/>
      <c r="P941" s="34"/>
      <c r="Q941" s="87"/>
      <c r="R941" s="34"/>
      <c r="S941" s="66"/>
      <c r="T941" s="12"/>
      <c r="U941" s="12"/>
      <c r="V941" s="12"/>
      <c r="W941" s="12"/>
      <c r="X941" s="12"/>
      <c r="Y941" s="12"/>
      <c r="Z941" s="67"/>
      <c r="AA941" s="12"/>
      <c r="AB941" s="12"/>
      <c r="AC941" s="67"/>
      <c r="AD941" s="12"/>
      <c r="AE941" s="12"/>
      <c r="AF941" s="12"/>
    </row>
    <row r="942" ht="15.75" customHeight="1">
      <c r="A942" s="34"/>
      <c r="B942" s="34"/>
      <c r="C942" s="34"/>
      <c r="D942" s="34"/>
      <c r="E942" s="34"/>
      <c r="F942" s="35"/>
      <c r="G942" s="34"/>
      <c r="H942" s="34"/>
      <c r="I942" s="34"/>
      <c r="J942" s="34"/>
      <c r="K942" s="34"/>
      <c r="L942" s="34"/>
      <c r="M942" s="34"/>
      <c r="N942" s="34"/>
      <c r="O942" s="36"/>
      <c r="P942" s="34"/>
      <c r="Q942" s="87"/>
      <c r="R942" s="34"/>
      <c r="S942" s="66"/>
      <c r="T942" s="12"/>
      <c r="U942" s="12"/>
      <c r="V942" s="12"/>
      <c r="W942" s="12"/>
      <c r="X942" s="12"/>
      <c r="Y942" s="12"/>
      <c r="Z942" s="67"/>
      <c r="AA942" s="12"/>
      <c r="AB942" s="12"/>
      <c r="AC942" s="67"/>
      <c r="AD942" s="12"/>
      <c r="AE942" s="12"/>
      <c r="AF942" s="12"/>
    </row>
    <row r="943" ht="15.75" customHeight="1">
      <c r="A943" s="34"/>
      <c r="B943" s="34"/>
      <c r="C943" s="34"/>
      <c r="D943" s="34"/>
      <c r="E943" s="34"/>
      <c r="F943" s="35"/>
      <c r="G943" s="34"/>
      <c r="H943" s="34"/>
      <c r="I943" s="34"/>
      <c r="J943" s="34"/>
      <c r="K943" s="34"/>
      <c r="L943" s="34"/>
      <c r="M943" s="34"/>
      <c r="N943" s="34"/>
      <c r="O943" s="36"/>
      <c r="P943" s="34"/>
      <c r="Q943" s="87"/>
      <c r="R943" s="34"/>
      <c r="S943" s="66"/>
      <c r="T943" s="12"/>
      <c r="U943" s="12"/>
      <c r="V943" s="12"/>
      <c r="W943" s="12"/>
      <c r="X943" s="12"/>
      <c r="Y943" s="12"/>
      <c r="Z943" s="67"/>
      <c r="AA943" s="12"/>
      <c r="AB943" s="12"/>
      <c r="AC943" s="67"/>
      <c r="AD943" s="12"/>
      <c r="AE943" s="12"/>
      <c r="AF943" s="12"/>
    </row>
    <row r="944" ht="15.75" customHeight="1">
      <c r="A944" s="34"/>
      <c r="B944" s="34"/>
      <c r="C944" s="34"/>
      <c r="D944" s="34"/>
      <c r="E944" s="34"/>
      <c r="F944" s="35"/>
      <c r="G944" s="34"/>
      <c r="H944" s="34"/>
      <c r="I944" s="34"/>
      <c r="J944" s="34"/>
      <c r="K944" s="34"/>
      <c r="L944" s="34"/>
      <c r="M944" s="34"/>
      <c r="N944" s="34"/>
      <c r="O944" s="36"/>
      <c r="P944" s="34"/>
      <c r="Q944" s="87"/>
      <c r="R944" s="34"/>
      <c r="S944" s="66"/>
      <c r="T944" s="12"/>
      <c r="U944" s="12"/>
      <c r="V944" s="12"/>
      <c r="W944" s="12"/>
      <c r="X944" s="12"/>
      <c r="Y944" s="12"/>
      <c r="Z944" s="67"/>
      <c r="AA944" s="12"/>
      <c r="AB944" s="12"/>
      <c r="AC944" s="67"/>
      <c r="AD944" s="12"/>
      <c r="AE944" s="12"/>
      <c r="AF944" s="12"/>
    </row>
    <row r="945" ht="15.75" customHeight="1">
      <c r="A945" s="34"/>
      <c r="B945" s="34"/>
      <c r="C945" s="34"/>
      <c r="D945" s="34"/>
      <c r="E945" s="34"/>
      <c r="F945" s="35"/>
      <c r="G945" s="34"/>
      <c r="H945" s="34"/>
      <c r="I945" s="34"/>
      <c r="J945" s="34"/>
      <c r="K945" s="34"/>
      <c r="L945" s="34"/>
      <c r="M945" s="34"/>
      <c r="N945" s="34"/>
      <c r="O945" s="36"/>
      <c r="P945" s="34"/>
      <c r="Q945" s="87"/>
      <c r="R945" s="34"/>
      <c r="S945" s="66"/>
      <c r="T945" s="12"/>
      <c r="U945" s="12"/>
      <c r="V945" s="12"/>
      <c r="W945" s="12"/>
      <c r="X945" s="12"/>
      <c r="Y945" s="12"/>
      <c r="Z945" s="67"/>
      <c r="AA945" s="12"/>
      <c r="AB945" s="12"/>
      <c r="AC945" s="67"/>
      <c r="AD945" s="12"/>
      <c r="AE945" s="12"/>
      <c r="AF945" s="12"/>
    </row>
    <row r="946" ht="15.75" customHeight="1">
      <c r="A946" s="34"/>
      <c r="B946" s="34"/>
      <c r="C946" s="34"/>
      <c r="D946" s="34"/>
      <c r="E946" s="34"/>
      <c r="F946" s="35"/>
      <c r="G946" s="34"/>
      <c r="H946" s="34"/>
      <c r="I946" s="34"/>
      <c r="J946" s="34"/>
      <c r="K946" s="34"/>
      <c r="L946" s="34"/>
      <c r="M946" s="34"/>
      <c r="N946" s="34"/>
      <c r="O946" s="36"/>
      <c r="P946" s="34"/>
      <c r="Q946" s="87"/>
      <c r="R946" s="34"/>
      <c r="S946" s="66"/>
      <c r="T946" s="12"/>
      <c r="U946" s="12"/>
      <c r="V946" s="12"/>
      <c r="W946" s="12"/>
      <c r="X946" s="12"/>
      <c r="Y946" s="12"/>
      <c r="Z946" s="67"/>
      <c r="AA946" s="12"/>
      <c r="AB946" s="12"/>
      <c r="AC946" s="67"/>
      <c r="AD946" s="12"/>
      <c r="AE946" s="12"/>
      <c r="AF946" s="12"/>
    </row>
    <row r="947" ht="15.75" customHeight="1">
      <c r="A947" s="34"/>
      <c r="B947" s="34"/>
      <c r="C947" s="34"/>
      <c r="D947" s="34"/>
      <c r="E947" s="34"/>
      <c r="F947" s="35"/>
      <c r="G947" s="34"/>
      <c r="H947" s="34"/>
      <c r="I947" s="34"/>
      <c r="J947" s="34"/>
      <c r="K947" s="34"/>
      <c r="L947" s="34"/>
      <c r="M947" s="34"/>
      <c r="N947" s="34"/>
      <c r="O947" s="36"/>
      <c r="P947" s="34"/>
      <c r="Q947" s="87"/>
      <c r="R947" s="34"/>
      <c r="S947" s="66"/>
      <c r="T947" s="12"/>
      <c r="U947" s="12"/>
      <c r="V947" s="12"/>
      <c r="W947" s="12"/>
      <c r="X947" s="12"/>
      <c r="Y947" s="12"/>
      <c r="Z947" s="67"/>
      <c r="AA947" s="12"/>
      <c r="AB947" s="12"/>
      <c r="AC947" s="67"/>
      <c r="AD947" s="12"/>
      <c r="AE947" s="12"/>
      <c r="AF947" s="12"/>
    </row>
    <row r="948" ht="15.75" customHeight="1">
      <c r="A948" s="34"/>
      <c r="B948" s="34"/>
      <c r="C948" s="34"/>
      <c r="D948" s="34"/>
      <c r="E948" s="34"/>
      <c r="F948" s="35"/>
      <c r="G948" s="34"/>
      <c r="H948" s="34"/>
      <c r="I948" s="34"/>
      <c r="J948" s="34"/>
      <c r="K948" s="34"/>
      <c r="L948" s="34"/>
      <c r="M948" s="34"/>
      <c r="N948" s="34"/>
      <c r="O948" s="36"/>
      <c r="P948" s="34"/>
      <c r="Q948" s="87"/>
      <c r="R948" s="34"/>
      <c r="S948" s="66"/>
      <c r="T948" s="12"/>
      <c r="U948" s="12"/>
      <c r="V948" s="12"/>
      <c r="W948" s="12"/>
      <c r="X948" s="12"/>
      <c r="Y948" s="12"/>
      <c r="Z948" s="67"/>
      <c r="AA948" s="12"/>
      <c r="AB948" s="12"/>
      <c r="AC948" s="67"/>
      <c r="AD948" s="12"/>
      <c r="AE948" s="12"/>
      <c r="AF948" s="12"/>
    </row>
    <row r="949" ht="15.75" customHeight="1">
      <c r="A949" s="34"/>
      <c r="B949" s="34"/>
      <c r="C949" s="34"/>
      <c r="D949" s="34"/>
      <c r="E949" s="34"/>
      <c r="F949" s="35"/>
      <c r="G949" s="34"/>
      <c r="H949" s="34"/>
      <c r="I949" s="34"/>
      <c r="J949" s="34"/>
      <c r="K949" s="34"/>
      <c r="L949" s="34"/>
      <c r="M949" s="34"/>
      <c r="N949" s="34"/>
      <c r="O949" s="36"/>
      <c r="P949" s="34"/>
      <c r="Q949" s="87"/>
      <c r="R949" s="34"/>
      <c r="S949" s="66"/>
      <c r="T949" s="12"/>
      <c r="U949" s="12"/>
      <c r="V949" s="12"/>
      <c r="W949" s="12"/>
      <c r="X949" s="12"/>
      <c r="Y949" s="12"/>
      <c r="Z949" s="67"/>
      <c r="AA949" s="12"/>
      <c r="AB949" s="12"/>
      <c r="AC949" s="67"/>
      <c r="AD949" s="12"/>
      <c r="AE949" s="12"/>
      <c r="AF949" s="12"/>
    </row>
    <row r="950" ht="15.75" customHeight="1">
      <c r="A950" s="34"/>
      <c r="B950" s="34"/>
      <c r="C950" s="34"/>
      <c r="D950" s="34"/>
      <c r="E950" s="34"/>
      <c r="F950" s="35"/>
      <c r="G950" s="34"/>
      <c r="H950" s="34"/>
      <c r="I950" s="34"/>
      <c r="J950" s="34"/>
      <c r="K950" s="34"/>
      <c r="L950" s="34"/>
      <c r="M950" s="34"/>
      <c r="N950" s="34"/>
      <c r="O950" s="36"/>
      <c r="P950" s="34"/>
      <c r="Q950" s="87"/>
      <c r="R950" s="34"/>
      <c r="S950" s="66"/>
      <c r="T950" s="12"/>
      <c r="U950" s="12"/>
      <c r="V950" s="12"/>
      <c r="W950" s="12"/>
      <c r="X950" s="12"/>
      <c r="Y950" s="12"/>
      <c r="Z950" s="67"/>
      <c r="AA950" s="12"/>
      <c r="AB950" s="12"/>
      <c r="AC950" s="67"/>
      <c r="AD950" s="12"/>
      <c r="AE950" s="12"/>
      <c r="AF950" s="12"/>
    </row>
    <row r="951" ht="15.75" customHeight="1">
      <c r="A951" s="34"/>
      <c r="B951" s="34"/>
      <c r="C951" s="34"/>
      <c r="D951" s="34"/>
      <c r="E951" s="34"/>
      <c r="F951" s="35"/>
      <c r="G951" s="34"/>
      <c r="H951" s="34"/>
      <c r="I951" s="34"/>
      <c r="J951" s="34"/>
      <c r="K951" s="34"/>
      <c r="L951" s="34"/>
      <c r="M951" s="34"/>
      <c r="N951" s="34"/>
      <c r="O951" s="36"/>
      <c r="P951" s="34"/>
      <c r="Q951" s="87"/>
      <c r="R951" s="34"/>
      <c r="S951" s="66"/>
      <c r="T951" s="12"/>
      <c r="U951" s="12"/>
      <c r="V951" s="12"/>
      <c r="W951" s="12"/>
      <c r="X951" s="12"/>
      <c r="Y951" s="12"/>
      <c r="Z951" s="67"/>
      <c r="AA951" s="12"/>
      <c r="AB951" s="12"/>
      <c r="AC951" s="67"/>
      <c r="AD951" s="12"/>
      <c r="AE951" s="12"/>
      <c r="AF951" s="12"/>
    </row>
    <row r="952" ht="15.75" customHeight="1">
      <c r="A952" s="34"/>
      <c r="B952" s="34"/>
      <c r="C952" s="34"/>
      <c r="D952" s="34"/>
      <c r="E952" s="34"/>
      <c r="F952" s="35"/>
      <c r="G952" s="34"/>
      <c r="H952" s="34"/>
      <c r="I952" s="34"/>
      <c r="J952" s="34"/>
      <c r="K952" s="34"/>
      <c r="L952" s="34"/>
      <c r="M952" s="34"/>
      <c r="N952" s="34"/>
      <c r="O952" s="36"/>
      <c r="P952" s="34"/>
      <c r="Q952" s="87"/>
      <c r="R952" s="34"/>
      <c r="S952" s="66"/>
      <c r="T952" s="12"/>
      <c r="U952" s="12"/>
      <c r="V952" s="12"/>
      <c r="W952" s="12"/>
      <c r="X952" s="12"/>
      <c r="Y952" s="12"/>
      <c r="Z952" s="67"/>
      <c r="AA952" s="12"/>
      <c r="AB952" s="12"/>
      <c r="AC952" s="67"/>
      <c r="AD952" s="12"/>
      <c r="AE952" s="12"/>
      <c r="AF952" s="12"/>
    </row>
    <row r="953" ht="15.75" customHeight="1">
      <c r="A953" s="34"/>
      <c r="B953" s="34"/>
      <c r="C953" s="34"/>
      <c r="D953" s="34"/>
      <c r="E953" s="34"/>
      <c r="F953" s="35"/>
      <c r="G953" s="34"/>
      <c r="H953" s="34"/>
      <c r="I953" s="34"/>
      <c r="J953" s="34"/>
      <c r="K953" s="34"/>
      <c r="L953" s="34"/>
      <c r="M953" s="34"/>
      <c r="N953" s="34"/>
      <c r="O953" s="36"/>
      <c r="P953" s="34"/>
      <c r="Q953" s="87"/>
      <c r="R953" s="34"/>
      <c r="S953" s="66"/>
      <c r="T953" s="12"/>
      <c r="U953" s="12"/>
      <c r="V953" s="12"/>
      <c r="W953" s="12"/>
      <c r="X953" s="12"/>
      <c r="Y953" s="12"/>
      <c r="Z953" s="67"/>
      <c r="AA953" s="12"/>
      <c r="AB953" s="12"/>
      <c r="AC953" s="67"/>
      <c r="AD953" s="12"/>
      <c r="AE953" s="12"/>
      <c r="AF953" s="12"/>
    </row>
    <row r="954" ht="15.75" customHeight="1">
      <c r="A954" s="34"/>
      <c r="B954" s="34"/>
      <c r="C954" s="34"/>
      <c r="D954" s="34"/>
      <c r="E954" s="34"/>
      <c r="F954" s="35"/>
      <c r="G954" s="34"/>
      <c r="H954" s="34"/>
      <c r="I954" s="34"/>
      <c r="J954" s="34"/>
      <c r="K954" s="34"/>
      <c r="L954" s="34"/>
      <c r="M954" s="34"/>
      <c r="N954" s="34"/>
      <c r="O954" s="36"/>
      <c r="P954" s="34"/>
      <c r="Q954" s="87"/>
      <c r="R954" s="34"/>
      <c r="S954" s="66"/>
      <c r="T954" s="12"/>
      <c r="U954" s="12"/>
      <c r="V954" s="12"/>
      <c r="W954" s="12"/>
      <c r="X954" s="12"/>
      <c r="Y954" s="12"/>
      <c r="Z954" s="67"/>
      <c r="AA954" s="12"/>
      <c r="AB954" s="12"/>
      <c r="AC954" s="67"/>
      <c r="AD954" s="12"/>
      <c r="AE954" s="12"/>
      <c r="AF954" s="12"/>
    </row>
    <row r="955" ht="15.75" customHeight="1">
      <c r="A955" s="34"/>
      <c r="B955" s="34"/>
      <c r="C955" s="34"/>
      <c r="D955" s="34"/>
      <c r="E955" s="34"/>
      <c r="F955" s="35"/>
      <c r="G955" s="34"/>
      <c r="H955" s="34"/>
      <c r="I955" s="34"/>
      <c r="J955" s="34"/>
      <c r="K955" s="34"/>
      <c r="L955" s="34"/>
      <c r="M955" s="34"/>
      <c r="N955" s="34"/>
      <c r="O955" s="36"/>
      <c r="P955" s="34"/>
      <c r="Q955" s="87"/>
      <c r="R955" s="34"/>
      <c r="S955" s="66"/>
      <c r="T955" s="12"/>
      <c r="U955" s="12"/>
      <c r="V955" s="12"/>
      <c r="W955" s="12"/>
      <c r="X955" s="12"/>
      <c r="Y955" s="12"/>
      <c r="Z955" s="67"/>
      <c r="AA955" s="12"/>
      <c r="AB955" s="12"/>
      <c r="AC955" s="67"/>
      <c r="AD955" s="12"/>
      <c r="AE955" s="12"/>
      <c r="AF955" s="12"/>
    </row>
    <row r="956" ht="15.75" customHeight="1">
      <c r="A956" s="34"/>
      <c r="B956" s="34"/>
      <c r="C956" s="34"/>
      <c r="D956" s="34"/>
      <c r="E956" s="34"/>
      <c r="F956" s="35"/>
      <c r="G956" s="34"/>
      <c r="H956" s="34"/>
      <c r="I956" s="34"/>
      <c r="J956" s="34"/>
      <c r="K956" s="34"/>
      <c r="L956" s="34"/>
      <c r="M956" s="34"/>
      <c r="N956" s="34"/>
      <c r="O956" s="36"/>
      <c r="P956" s="34"/>
      <c r="Q956" s="87"/>
      <c r="R956" s="34"/>
      <c r="S956" s="66"/>
      <c r="T956" s="12"/>
      <c r="U956" s="12"/>
      <c r="V956" s="12"/>
      <c r="W956" s="12"/>
      <c r="X956" s="12"/>
      <c r="Y956" s="12"/>
      <c r="Z956" s="67"/>
      <c r="AA956" s="12"/>
      <c r="AB956" s="12"/>
      <c r="AC956" s="67"/>
      <c r="AD956" s="12"/>
      <c r="AE956" s="12"/>
      <c r="AF956" s="12"/>
    </row>
    <row r="957" ht="15.75" customHeight="1">
      <c r="A957" s="34"/>
      <c r="B957" s="34"/>
      <c r="C957" s="34"/>
      <c r="D957" s="34"/>
      <c r="E957" s="34"/>
      <c r="F957" s="35"/>
      <c r="G957" s="34"/>
      <c r="H957" s="34"/>
      <c r="I957" s="34"/>
      <c r="J957" s="34"/>
      <c r="K957" s="34"/>
      <c r="L957" s="34"/>
      <c r="M957" s="34"/>
      <c r="N957" s="34"/>
      <c r="O957" s="36"/>
      <c r="P957" s="34"/>
      <c r="Q957" s="87"/>
      <c r="R957" s="34"/>
      <c r="S957" s="66"/>
      <c r="T957" s="12"/>
      <c r="U957" s="12"/>
      <c r="V957" s="12"/>
      <c r="W957" s="12"/>
      <c r="X957" s="12"/>
      <c r="Y957" s="12"/>
      <c r="Z957" s="67"/>
      <c r="AA957" s="12"/>
      <c r="AB957" s="12"/>
      <c r="AC957" s="67"/>
      <c r="AD957" s="12"/>
      <c r="AE957" s="12"/>
      <c r="AF957" s="12"/>
    </row>
    <row r="958" ht="15.75" customHeight="1">
      <c r="A958" s="34"/>
      <c r="B958" s="34"/>
      <c r="C958" s="34"/>
      <c r="D958" s="34"/>
      <c r="E958" s="34"/>
      <c r="F958" s="35"/>
      <c r="G958" s="34"/>
      <c r="H958" s="34"/>
      <c r="I958" s="34"/>
      <c r="J958" s="34"/>
      <c r="K958" s="34"/>
      <c r="L958" s="34"/>
      <c r="M958" s="34"/>
      <c r="N958" s="34"/>
      <c r="O958" s="36"/>
      <c r="P958" s="34"/>
      <c r="Q958" s="87"/>
      <c r="R958" s="34"/>
      <c r="S958" s="66"/>
      <c r="T958" s="12"/>
      <c r="U958" s="12"/>
      <c r="V958" s="12"/>
      <c r="W958" s="12"/>
      <c r="X958" s="12"/>
      <c r="Y958" s="12"/>
      <c r="Z958" s="67"/>
      <c r="AA958" s="12"/>
      <c r="AB958" s="12"/>
      <c r="AC958" s="67"/>
      <c r="AD958" s="12"/>
      <c r="AE958" s="12"/>
      <c r="AF958" s="12"/>
    </row>
    <row r="959" ht="15.75" customHeight="1">
      <c r="A959" s="34"/>
      <c r="B959" s="34"/>
      <c r="C959" s="34"/>
      <c r="D959" s="34"/>
      <c r="E959" s="34"/>
      <c r="F959" s="35"/>
      <c r="G959" s="34"/>
      <c r="H959" s="34"/>
      <c r="I959" s="34"/>
      <c r="J959" s="34"/>
      <c r="K959" s="34"/>
      <c r="L959" s="34"/>
      <c r="M959" s="34"/>
      <c r="N959" s="34"/>
      <c r="O959" s="36"/>
      <c r="P959" s="34"/>
      <c r="Q959" s="87"/>
      <c r="R959" s="34"/>
      <c r="S959" s="66"/>
      <c r="T959" s="12"/>
      <c r="U959" s="12"/>
      <c r="V959" s="12"/>
      <c r="W959" s="12"/>
      <c r="X959" s="12"/>
      <c r="Y959" s="12"/>
      <c r="Z959" s="67"/>
      <c r="AA959" s="12"/>
      <c r="AB959" s="12"/>
      <c r="AC959" s="67"/>
      <c r="AD959" s="12"/>
      <c r="AE959" s="12"/>
      <c r="AF959" s="12"/>
    </row>
    <row r="960" ht="15.75" customHeight="1">
      <c r="A960" s="34"/>
      <c r="B960" s="34"/>
      <c r="C960" s="34"/>
      <c r="D960" s="34"/>
      <c r="E960" s="34"/>
      <c r="F960" s="35"/>
      <c r="G960" s="34"/>
      <c r="H960" s="34"/>
      <c r="I960" s="34"/>
      <c r="J960" s="34"/>
      <c r="K960" s="34"/>
      <c r="L960" s="34"/>
      <c r="M960" s="34"/>
      <c r="N960" s="34"/>
      <c r="O960" s="36"/>
      <c r="P960" s="34"/>
      <c r="Q960" s="87"/>
      <c r="R960" s="34"/>
      <c r="S960" s="66"/>
      <c r="T960" s="12"/>
      <c r="U960" s="12"/>
      <c r="V960" s="12"/>
      <c r="W960" s="12"/>
      <c r="X960" s="12"/>
      <c r="Y960" s="12"/>
      <c r="Z960" s="67"/>
      <c r="AA960" s="12"/>
      <c r="AB960" s="12"/>
      <c r="AC960" s="67"/>
      <c r="AD960" s="12"/>
      <c r="AE960" s="12"/>
      <c r="AF960" s="12"/>
    </row>
    <row r="961" ht="15.75" customHeight="1">
      <c r="A961" s="34"/>
      <c r="B961" s="34"/>
      <c r="C961" s="34"/>
      <c r="D961" s="34"/>
      <c r="E961" s="34"/>
      <c r="F961" s="35"/>
      <c r="G961" s="34"/>
      <c r="H961" s="34"/>
      <c r="I961" s="34"/>
      <c r="J961" s="34"/>
      <c r="K961" s="34"/>
      <c r="L961" s="34"/>
      <c r="M961" s="34"/>
      <c r="N961" s="34"/>
      <c r="O961" s="36"/>
      <c r="P961" s="34"/>
      <c r="Q961" s="87"/>
      <c r="R961" s="34"/>
      <c r="S961" s="66"/>
      <c r="T961" s="12"/>
      <c r="U961" s="12"/>
      <c r="V961" s="12"/>
      <c r="W961" s="12"/>
      <c r="X961" s="12"/>
      <c r="Y961" s="12"/>
      <c r="Z961" s="67"/>
      <c r="AA961" s="12"/>
      <c r="AB961" s="12"/>
      <c r="AC961" s="67"/>
      <c r="AD961" s="12"/>
      <c r="AE961" s="12"/>
      <c r="AF961" s="12"/>
    </row>
    <row r="962" ht="15.75" customHeight="1">
      <c r="A962" s="34"/>
      <c r="B962" s="34"/>
      <c r="C962" s="34"/>
      <c r="D962" s="34"/>
      <c r="E962" s="34"/>
      <c r="F962" s="35"/>
      <c r="G962" s="34"/>
      <c r="H962" s="34"/>
      <c r="I962" s="34"/>
      <c r="J962" s="34"/>
      <c r="K962" s="34"/>
      <c r="L962" s="34"/>
      <c r="M962" s="34"/>
      <c r="N962" s="34"/>
      <c r="O962" s="36"/>
      <c r="P962" s="34"/>
      <c r="Q962" s="87"/>
      <c r="R962" s="34"/>
      <c r="S962" s="66"/>
      <c r="T962" s="12"/>
      <c r="U962" s="12"/>
      <c r="V962" s="12"/>
      <c r="W962" s="12"/>
      <c r="X962" s="12"/>
      <c r="Y962" s="12"/>
      <c r="Z962" s="67"/>
      <c r="AA962" s="12"/>
      <c r="AB962" s="12"/>
      <c r="AC962" s="67"/>
      <c r="AD962" s="12"/>
      <c r="AE962" s="12"/>
      <c r="AF962" s="12"/>
    </row>
    <row r="963" ht="15.75" customHeight="1">
      <c r="A963" s="34"/>
      <c r="B963" s="34"/>
      <c r="C963" s="34"/>
      <c r="D963" s="34"/>
      <c r="E963" s="34"/>
      <c r="F963" s="35"/>
      <c r="G963" s="34"/>
      <c r="H963" s="34"/>
      <c r="I963" s="34"/>
      <c r="J963" s="34"/>
      <c r="K963" s="34"/>
      <c r="L963" s="34"/>
      <c r="M963" s="34"/>
      <c r="N963" s="34"/>
      <c r="O963" s="36"/>
      <c r="P963" s="34"/>
      <c r="Q963" s="87"/>
      <c r="R963" s="34"/>
      <c r="S963" s="66"/>
      <c r="T963" s="12"/>
      <c r="U963" s="12"/>
      <c r="V963" s="12"/>
      <c r="W963" s="12"/>
      <c r="X963" s="12"/>
      <c r="Y963" s="12"/>
      <c r="Z963" s="67"/>
      <c r="AA963" s="12"/>
      <c r="AB963" s="12"/>
      <c r="AC963" s="67"/>
      <c r="AD963" s="12"/>
      <c r="AE963" s="12"/>
      <c r="AF963" s="12"/>
    </row>
    <row r="964" ht="15.75" customHeight="1">
      <c r="A964" s="34"/>
      <c r="B964" s="34"/>
      <c r="C964" s="34"/>
      <c r="D964" s="34"/>
      <c r="E964" s="34"/>
      <c r="F964" s="35"/>
      <c r="G964" s="34"/>
      <c r="H964" s="34"/>
      <c r="I964" s="34"/>
      <c r="J964" s="34"/>
      <c r="K964" s="34"/>
      <c r="L964" s="34"/>
      <c r="M964" s="34"/>
      <c r="N964" s="34"/>
      <c r="O964" s="36"/>
      <c r="P964" s="34"/>
      <c r="Q964" s="87"/>
      <c r="R964" s="34"/>
      <c r="S964" s="66"/>
      <c r="T964" s="12"/>
      <c r="U964" s="12"/>
      <c r="V964" s="12"/>
      <c r="W964" s="12"/>
      <c r="X964" s="12"/>
      <c r="Y964" s="12"/>
      <c r="Z964" s="67"/>
      <c r="AA964" s="12"/>
      <c r="AB964" s="12"/>
      <c r="AC964" s="67"/>
      <c r="AD964" s="12"/>
      <c r="AE964" s="12"/>
      <c r="AF964" s="12"/>
    </row>
    <row r="965" ht="15.75" customHeight="1">
      <c r="A965" s="34"/>
      <c r="B965" s="34"/>
      <c r="C965" s="34"/>
      <c r="D965" s="34"/>
      <c r="E965" s="34"/>
      <c r="F965" s="35"/>
      <c r="G965" s="34"/>
      <c r="H965" s="34"/>
      <c r="I965" s="34"/>
      <c r="J965" s="34"/>
      <c r="K965" s="34"/>
      <c r="L965" s="34"/>
      <c r="M965" s="34"/>
      <c r="N965" s="34"/>
      <c r="O965" s="36"/>
      <c r="P965" s="34"/>
      <c r="Q965" s="87"/>
      <c r="R965" s="34"/>
      <c r="S965" s="66"/>
      <c r="T965" s="12"/>
      <c r="U965" s="12"/>
      <c r="V965" s="12"/>
      <c r="W965" s="12"/>
      <c r="X965" s="12"/>
      <c r="Y965" s="12"/>
      <c r="Z965" s="67"/>
      <c r="AA965" s="12"/>
      <c r="AB965" s="12"/>
      <c r="AC965" s="67"/>
      <c r="AD965" s="12"/>
      <c r="AE965" s="12"/>
      <c r="AF965" s="12"/>
    </row>
    <row r="966" ht="15.75" customHeight="1">
      <c r="A966" s="34"/>
      <c r="B966" s="34"/>
      <c r="C966" s="34"/>
      <c r="D966" s="34"/>
      <c r="E966" s="34"/>
      <c r="F966" s="35"/>
      <c r="G966" s="34"/>
      <c r="H966" s="34"/>
      <c r="I966" s="34"/>
      <c r="J966" s="34"/>
      <c r="K966" s="34"/>
      <c r="L966" s="34"/>
      <c r="M966" s="34"/>
      <c r="N966" s="34"/>
      <c r="O966" s="36"/>
      <c r="P966" s="34"/>
      <c r="Q966" s="87"/>
      <c r="R966" s="34"/>
      <c r="S966" s="66"/>
      <c r="T966" s="12"/>
      <c r="U966" s="12"/>
      <c r="V966" s="12"/>
      <c r="W966" s="12"/>
      <c r="X966" s="12"/>
      <c r="Y966" s="12"/>
      <c r="Z966" s="67"/>
      <c r="AA966" s="12"/>
      <c r="AB966" s="12"/>
      <c r="AC966" s="67"/>
      <c r="AD966" s="12"/>
      <c r="AE966" s="12"/>
      <c r="AF966" s="12"/>
    </row>
    <row r="967" ht="15.75" customHeight="1">
      <c r="A967" s="34"/>
      <c r="B967" s="34"/>
      <c r="C967" s="34"/>
      <c r="D967" s="34"/>
      <c r="E967" s="34"/>
      <c r="F967" s="35"/>
      <c r="G967" s="34"/>
      <c r="H967" s="34"/>
      <c r="I967" s="34"/>
      <c r="J967" s="34"/>
      <c r="K967" s="34"/>
      <c r="L967" s="34"/>
      <c r="M967" s="34"/>
      <c r="N967" s="34"/>
      <c r="O967" s="36"/>
      <c r="P967" s="34"/>
      <c r="Q967" s="87"/>
      <c r="R967" s="34"/>
      <c r="S967" s="66"/>
      <c r="T967" s="12"/>
      <c r="U967" s="12"/>
      <c r="V967" s="12"/>
      <c r="W967" s="12"/>
      <c r="X967" s="12"/>
      <c r="Y967" s="12"/>
      <c r="Z967" s="67"/>
      <c r="AA967" s="12"/>
      <c r="AB967" s="12"/>
      <c r="AC967" s="67"/>
      <c r="AD967" s="12"/>
      <c r="AE967" s="12"/>
      <c r="AF967" s="12"/>
    </row>
    <row r="968" ht="15.75" customHeight="1">
      <c r="A968" s="34"/>
      <c r="B968" s="34"/>
      <c r="C968" s="34"/>
      <c r="D968" s="34"/>
      <c r="E968" s="34"/>
      <c r="F968" s="35"/>
      <c r="G968" s="34"/>
      <c r="H968" s="34"/>
      <c r="I968" s="34"/>
      <c r="J968" s="34"/>
      <c r="K968" s="34"/>
      <c r="L968" s="34"/>
      <c r="M968" s="34"/>
      <c r="N968" s="34"/>
      <c r="O968" s="36"/>
      <c r="P968" s="34"/>
      <c r="Q968" s="87"/>
      <c r="R968" s="34"/>
      <c r="S968" s="66"/>
      <c r="T968" s="12"/>
      <c r="U968" s="12"/>
      <c r="V968" s="12"/>
      <c r="W968" s="12"/>
      <c r="X968" s="12"/>
      <c r="Y968" s="12"/>
      <c r="Z968" s="67"/>
      <c r="AA968" s="12"/>
      <c r="AB968" s="12"/>
      <c r="AC968" s="67"/>
      <c r="AD968" s="12"/>
      <c r="AE968" s="12"/>
      <c r="AF968" s="12"/>
    </row>
    <row r="969" ht="15.75" customHeight="1">
      <c r="A969" s="34"/>
      <c r="B969" s="34"/>
      <c r="C969" s="34"/>
      <c r="D969" s="34"/>
      <c r="E969" s="34"/>
      <c r="F969" s="35"/>
      <c r="G969" s="34"/>
      <c r="H969" s="34"/>
      <c r="I969" s="34"/>
      <c r="J969" s="34"/>
      <c r="K969" s="34"/>
      <c r="L969" s="34"/>
      <c r="M969" s="34"/>
      <c r="N969" s="34"/>
      <c r="O969" s="36"/>
      <c r="P969" s="34"/>
      <c r="Q969" s="87"/>
      <c r="R969" s="34"/>
      <c r="S969" s="66"/>
      <c r="T969" s="12"/>
      <c r="U969" s="12"/>
      <c r="V969" s="12"/>
      <c r="W969" s="12"/>
      <c r="X969" s="12"/>
      <c r="Y969" s="12"/>
      <c r="Z969" s="67"/>
      <c r="AA969" s="12"/>
      <c r="AB969" s="12"/>
      <c r="AC969" s="67"/>
      <c r="AD969" s="12"/>
      <c r="AE969" s="12"/>
      <c r="AF969" s="12"/>
    </row>
    <row r="970" ht="15.75" customHeight="1">
      <c r="A970" s="34"/>
      <c r="B970" s="34"/>
      <c r="C970" s="34"/>
      <c r="D970" s="34"/>
      <c r="E970" s="34"/>
      <c r="F970" s="35"/>
      <c r="G970" s="34"/>
      <c r="H970" s="34"/>
      <c r="I970" s="34"/>
      <c r="J970" s="34"/>
      <c r="K970" s="34"/>
      <c r="L970" s="34"/>
      <c r="M970" s="34"/>
      <c r="N970" s="34"/>
      <c r="O970" s="36"/>
      <c r="P970" s="34"/>
      <c r="Q970" s="87"/>
      <c r="R970" s="34"/>
      <c r="S970" s="66"/>
      <c r="T970" s="12"/>
      <c r="U970" s="12"/>
      <c r="V970" s="12"/>
      <c r="W970" s="12"/>
      <c r="X970" s="12"/>
      <c r="Y970" s="12"/>
      <c r="Z970" s="67"/>
      <c r="AA970" s="12"/>
      <c r="AB970" s="12"/>
      <c r="AC970" s="67"/>
      <c r="AD970" s="12"/>
      <c r="AE970" s="12"/>
      <c r="AF970" s="12"/>
    </row>
    <row r="971" ht="15.75" customHeight="1">
      <c r="A971" s="34"/>
      <c r="B971" s="34"/>
      <c r="C971" s="34"/>
      <c r="D971" s="34"/>
      <c r="E971" s="34"/>
      <c r="F971" s="35"/>
      <c r="G971" s="34"/>
      <c r="H971" s="34"/>
      <c r="I971" s="34"/>
      <c r="J971" s="34"/>
      <c r="K971" s="34"/>
      <c r="L971" s="34"/>
      <c r="M971" s="34"/>
      <c r="N971" s="34"/>
      <c r="O971" s="36"/>
      <c r="P971" s="34"/>
      <c r="Q971" s="87"/>
      <c r="R971" s="34"/>
      <c r="S971" s="66"/>
      <c r="T971" s="12"/>
      <c r="U971" s="12"/>
      <c r="V971" s="12"/>
      <c r="W971" s="12"/>
      <c r="X971" s="12"/>
      <c r="Y971" s="12"/>
      <c r="Z971" s="67"/>
      <c r="AA971" s="12"/>
      <c r="AB971" s="12"/>
      <c r="AC971" s="67"/>
      <c r="AD971" s="12"/>
      <c r="AE971" s="12"/>
      <c r="AF971" s="12"/>
    </row>
    <row r="972" ht="15.75" customHeight="1">
      <c r="A972" s="34"/>
      <c r="B972" s="34"/>
      <c r="C972" s="34"/>
      <c r="D972" s="34"/>
      <c r="E972" s="34"/>
      <c r="F972" s="35"/>
      <c r="G972" s="34"/>
      <c r="H972" s="34"/>
      <c r="I972" s="34"/>
      <c r="J972" s="34"/>
      <c r="K972" s="34"/>
      <c r="L972" s="34"/>
      <c r="M972" s="34"/>
      <c r="N972" s="34"/>
      <c r="O972" s="36"/>
      <c r="P972" s="34"/>
      <c r="Q972" s="87"/>
      <c r="R972" s="34"/>
      <c r="S972" s="66"/>
      <c r="T972" s="12"/>
      <c r="U972" s="12"/>
      <c r="V972" s="12"/>
      <c r="W972" s="12"/>
      <c r="X972" s="12"/>
      <c r="Y972" s="12"/>
      <c r="Z972" s="67"/>
      <c r="AA972" s="12"/>
      <c r="AB972" s="12"/>
      <c r="AC972" s="67"/>
      <c r="AD972" s="12"/>
      <c r="AE972" s="12"/>
      <c r="AF972" s="12"/>
    </row>
    <row r="973" ht="15.75" customHeight="1">
      <c r="A973" s="34"/>
      <c r="B973" s="34"/>
      <c r="C973" s="34"/>
      <c r="D973" s="34"/>
      <c r="E973" s="34"/>
      <c r="F973" s="35"/>
      <c r="G973" s="34"/>
      <c r="H973" s="34"/>
      <c r="I973" s="34"/>
      <c r="J973" s="34"/>
      <c r="K973" s="34"/>
      <c r="L973" s="34"/>
      <c r="M973" s="34"/>
      <c r="N973" s="34"/>
      <c r="O973" s="36"/>
      <c r="P973" s="34"/>
      <c r="Q973" s="87"/>
      <c r="R973" s="34"/>
      <c r="S973" s="66"/>
      <c r="T973" s="12"/>
      <c r="U973" s="12"/>
      <c r="V973" s="12"/>
      <c r="W973" s="12"/>
      <c r="X973" s="12"/>
      <c r="Y973" s="12"/>
      <c r="Z973" s="67"/>
      <c r="AA973" s="12"/>
      <c r="AB973" s="12"/>
      <c r="AC973" s="67"/>
      <c r="AD973" s="12"/>
      <c r="AE973" s="12"/>
      <c r="AF973" s="12"/>
    </row>
    <row r="974" ht="15.75" customHeight="1">
      <c r="A974" s="34"/>
      <c r="B974" s="34"/>
      <c r="C974" s="34"/>
      <c r="D974" s="34"/>
      <c r="E974" s="34"/>
      <c r="F974" s="35"/>
      <c r="G974" s="34"/>
      <c r="H974" s="34"/>
      <c r="I974" s="34"/>
      <c r="J974" s="34"/>
      <c r="K974" s="34"/>
      <c r="L974" s="34"/>
      <c r="M974" s="34"/>
      <c r="N974" s="34"/>
      <c r="O974" s="36"/>
      <c r="P974" s="34"/>
      <c r="Q974" s="87"/>
      <c r="R974" s="34"/>
      <c r="S974" s="66"/>
      <c r="T974" s="12"/>
      <c r="U974" s="12"/>
      <c r="V974" s="12"/>
      <c r="W974" s="12"/>
      <c r="X974" s="12"/>
      <c r="Y974" s="12"/>
      <c r="Z974" s="67"/>
      <c r="AA974" s="12"/>
      <c r="AB974" s="12"/>
      <c r="AC974" s="67"/>
      <c r="AD974" s="12"/>
      <c r="AE974" s="12"/>
      <c r="AF974" s="12"/>
    </row>
    <row r="975" ht="15.75" customHeight="1">
      <c r="A975" s="34"/>
      <c r="B975" s="34"/>
      <c r="C975" s="34"/>
      <c r="D975" s="34"/>
      <c r="E975" s="34"/>
      <c r="F975" s="35"/>
      <c r="G975" s="34"/>
      <c r="H975" s="34"/>
      <c r="I975" s="34"/>
      <c r="J975" s="34"/>
      <c r="K975" s="34"/>
      <c r="L975" s="34"/>
      <c r="M975" s="34"/>
      <c r="N975" s="34"/>
      <c r="O975" s="36"/>
      <c r="P975" s="34"/>
      <c r="Q975" s="87"/>
      <c r="R975" s="34"/>
      <c r="S975" s="66"/>
      <c r="T975" s="12"/>
      <c r="U975" s="12"/>
      <c r="V975" s="12"/>
      <c r="W975" s="12"/>
      <c r="X975" s="12"/>
      <c r="Y975" s="12"/>
      <c r="Z975" s="67"/>
      <c r="AA975" s="12"/>
      <c r="AB975" s="12"/>
      <c r="AC975" s="67"/>
      <c r="AD975" s="12"/>
      <c r="AE975" s="12"/>
      <c r="AF975" s="12"/>
    </row>
    <row r="976" ht="15.75" customHeight="1">
      <c r="A976" s="34"/>
      <c r="B976" s="34"/>
      <c r="C976" s="34"/>
      <c r="D976" s="34"/>
      <c r="E976" s="34"/>
      <c r="F976" s="35"/>
      <c r="G976" s="34"/>
      <c r="H976" s="34"/>
      <c r="I976" s="34"/>
      <c r="J976" s="34"/>
      <c r="K976" s="34"/>
      <c r="L976" s="34"/>
      <c r="M976" s="34"/>
      <c r="N976" s="34"/>
      <c r="O976" s="36"/>
      <c r="P976" s="34"/>
      <c r="Q976" s="87"/>
      <c r="R976" s="34"/>
      <c r="S976" s="66"/>
      <c r="T976" s="12"/>
      <c r="U976" s="12"/>
      <c r="V976" s="12"/>
      <c r="W976" s="12"/>
      <c r="X976" s="12"/>
      <c r="Y976" s="12"/>
      <c r="Z976" s="67"/>
      <c r="AA976" s="12"/>
      <c r="AB976" s="12"/>
      <c r="AC976" s="67"/>
      <c r="AD976" s="12"/>
      <c r="AE976" s="12"/>
      <c r="AF976" s="12"/>
    </row>
    <row r="977" ht="15.75" customHeight="1">
      <c r="A977" s="34"/>
      <c r="B977" s="34"/>
      <c r="C977" s="34"/>
      <c r="D977" s="34"/>
      <c r="E977" s="34"/>
      <c r="F977" s="35"/>
      <c r="G977" s="34"/>
      <c r="H977" s="34"/>
      <c r="I977" s="34"/>
      <c r="J977" s="34"/>
      <c r="K977" s="34"/>
      <c r="L977" s="34"/>
      <c r="M977" s="34"/>
      <c r="N977" s="34"/>
      <c r="O977" s="36"/>
      <c r="P977" s="34"/>
      <c r="Q977" s="87"/>
      <c r="R977" s="34"/>
      <c r="S977" s="66"/>
      <c r="T977" s="12"/>
      <c r="U977" s="12"/>
      <c r="V977" s="12"/>
      <c r="W977" s="12"/>
      <c r="X977" s="12"/>
      <c r="Y977" s="12"/>
      <c r="Z977" s="67"/>
      <c r="AA977" s="12"/>
      <c r="AB977" s="12"/>
      <c r="AC977" s="67"/>
      <c r="AD977" s="12"/>
      <c r="AE977" s="12"/>
      <c r="AF977" s="12"/>
    </row>
    <row r="978" ht="15.75" customHeight="1">
      <c r="A978" s="34"/>
      <c r="B978" s="34"/>
      <c r="C978" s="34"/>
      <c r="D978" s="34"/>
      <c r="E978" s="34"/>
      <c r="F978" s="35"/>
      <c r="G978" s="34"/>
      <c r="H978" s="34"/>
      <c r="I978" s="34"/>
      <c r="J978" s="34"/>
      <c r="K978" s="34"/>
      <c r="L978" s="34"/>
      <c r="M978" s="34"/>
      <c r="N978" s="34"/>
      <c r="O978" s="36"/>
      <c r="P978" s="34"/>
      <c r="Q978" s="87"/>
      <c r="R978" s="34"/>
      <c r="S978" s="66"/>
      <c r="T978" s="12"/>
      <c r="U978" s="12"/>
      <c r="V978" s="12"/>
      <c r="W978" s="12"/>
      <c r="X978" s="12"/>
      <c r="Y978" s="12"/>
      <c r="Z978" s="67"/>
      <c r="AA978" s="12"/>
      <c r="AB978" s="12"/>
      <c r="AC978" s="67"/>
      <c r="AD978" s="12"/>
      <c r="AE978" s="12"/>
      <c r="AF978" s="12"/>
    </row>
    <row r="979" ht="15.75" customHeight="1">
      <c r="A979" s="34"/>
      <c r="B979" s="34"/>
      <c r="C979" s="34"/>
      <c r="D979" s="34"/>
      <c r="E979" s="34"/>
      <c r="F979" s="35"/>
      <c r="G979" s="34"/>
      <c r="H979" s="34"/>
      <c r="I979" s="34"/>
      <c r="J979" s="34"/>
      <c r="K979" s="34"/>
      <c r="L979" s="34"/>
      <c r="M979" s="34"/>
      <c r="N979" s="34"/>
      <c r="O979" s="36"/>
      <c r="P979" s="34"/>
      <c r="Q979" s="87"/>
      <c r="R979" s="34"/>
      <c r="S979" s="66"/>
      <c r="T979" s="12"/>
      <c r="U979" s="12"/>
      <c r="V979" s="12"/>
      <c r="W979" s="12"/>
      <c r="X979" s="12"/>
      <c r="Y979" s="12"/>
      <c r="Z979" s="67"/>
      <c r="AA979" s="12"/>
      <c r="AB979" s="12"/>
      <c r="AC979" s="67"/>
      <c r="AD979" s="12"/>
      <c r="AE979" s="12"/>
      <c r="AF979" s="12"/>
    </row>
    <row r="980" ht="15.75" customHeight="1">
      <c r="A980" s="34"/>
      <c r="B980" s="34"/>
      <c r="C980" s="34"/>
      <c r="D980" s="34"/>
      <c r="E980" s="34"/>
      <c r="F980" s="35"/>
      <c r="G980" s="34"/>
      <c r="H980" s="34"/>
      <c r="I980" s="34"/>
      <c r="J980" s="34"/>
      <c r="K980" s="34"/>
      <c r="L980" s="34"/>
      <c r="M980" s="34"/>
      <c r="N980" s="34"/>
      <c r="O980" s="36"/>
      <c r="P980" s="34"/>
      <c r="Q980" s="87"/>
      <c r="R980" s="34"/>
      <c r="S980" s="66"/>
      <c r="T980" s="12"/>
      <c r="U980" s="12"/>
      <c r="V980" s="12"/>
      <c r="W980" s="12"/>
      <c r="X980" s="12"/>
      <c r="Y980" s="12"/>
      <c r="Z980" s="67"/>
      <c r="AA980" s="12"/>
      <c r="AB980" s="12"/>
      <c r="AC980" s="67"/>
      <c r="AD980" s="12"/>
      <c r="AE980" s="12"/>
      <c r="AF980" s="12"/>
    </row>
    <row r="981" ht="15.75" customHeight="1">
      <c r="A981" s="34"/>
      <c r="B981" s="34"/>
      <c r="C981" s="34"/>
      <c r="D981" s="34"/>
      <c r="E981" s="34"/>
      <c r="F981" s="35"/>
      <c r="G981" s="34"/>
      <c r="H981" s="34"/>
      <c r="I981" s="34"/>
      <c r="J981" s="34"/>
      <c r="K981" s="34"/>
      <c r="L981" s="34"/>
      <c r="M981" s="34"/>
      <c r="N981" s="34"/>
      <c r="O981" s="36"/>
      <c r="P981" s="34"/>
      <c r="Q981" s="87"/>
      <c r="R981" s="34"/>
      <c r="S981" s="66"/>
      <c r="T981" s="12"/>
      <c r="U981" s="12"/>
      <c r="V981" s="12"/>
      <c r="W981" s="12"/>
      <c r="X981" s="12"/>
      <c r="Y981" s="12"/>
      <c r="Z981" s="67"/>
      <c r="AA981" s="12"/>
      <c r="AB981" s="12"/>
      <c r="AC981" s="67"/>
      <c r="AD981" s="12"/>
      <c r="AE981" s="12"/>
      <c r="AF981" s="12"/>
    </row>
    <row r="982" ht="15.75" customHeight="1">
      <c r="A982" s="34"/>
      <c r="B982" s="34"/>
      <c r="C982" s="34"/>
      <c r="D982" s="34"/>
      <c r="E982" s="34"/>
      <c r="F982" s="35"/>
      <c r="G982" s="34"/>
      <c r="H982" s="34"/>
      <c r="I982" s="34"/>
      <c r="J982" s="34"/>
      <c r="K982" s="34"/>
      <c r="L982" s="34"/>
      <c r="M982" s="34"/>
      <c r="N982" s="34"/>
      <c r="O982" s="36"/>
      <c r="P982" s="34"/>
      <c r="Q982" s="87"/>
      <c r="R982" s="34"/>
      <c r="S982" s="66"/>
      <c r="T982" s="12"/>
      <c r="U982" s="12"/>
      <c r="V982" s="12"/>
      <c r="W982" s="12"/>
      <c r="X982" s="12"/>
      <c r="Y982" s="12"/>
      <c r="Z982" s="67"/>
      <c r="AA982" s="12"/>
      <c r="AB982" s="12"/>
      <c r="AC982" s="67"/>
      <c r="AD982" s="12"/>
      <c r="AE982" s="12"/>
      <c r="AF982" s="12"/>
    </row>
    <row r="983" ht="15.75" customHeight="1">
      <c r="A983" s="34"/>
      <c r="B983" s="34"/>
      <c r="C983" s="34"/>
      <c r="D983" s="34"/>
      <c r="E983" s="34"/>
      <c r="F983" s="35"/>
      <c r="G983" s="34"/>
      <c r="H983" s="34"/>
      <c r="I983" s="34"/>
      <c r="J983" s="34"/>
      <c r="K983" s="34"/>
      <c r="L983" s="34"/>
      <c r="M983" s="34"/>
      <c r="N983" s="34"/>
      <c r="O983" s="36"/>
      <c r="P983" s="34"/>
      <c r="Q983" s="87"/>
      <c r="R983" s="34"/>
      <c r="S983" s="66"/>
      <c r="T983" s="12"/>
      <c r="U983" s="12"/>
      <c r="V983" s="12"/>
      <c r="W983" s="12"/>
      <c r="X983" s="12"/>
      <c r="Y983" s="12"/>
      <c r="Z983" s="67"/>
      <c r="AA983" s="12"/>
      <c r="AB983" s="12"/>
      <c r="AC983" s="67"/>
      <c r="AD983" s="12"/>
      <c r="AE983" s="12"/>
      <c r="AF983" s="12"/>
    </row>
    <row r="984" ht="15.75" customHeight="1">
      <c r="A984" s="34"/>
      <c r="B984" s="34"/>
      <c r="C984" s="34"/>
      <c r="D984" s="34"/>
      <c r="E984" s="34"/>
      <c r="F984" s="35"/>
      <c r="G984" s="34"/>
      <c r="H984" s="34"/>
      <c r="I984" s="34"/>
      <c r="J984" s="34"/>
      <c r="K984" s="34"/>
      <c r="L984" s="34"/>
      <c r="M984" s="34"/>
      <c r="N984" s="34"/>
      <c r="O984" s="36"/>
      <c r="P984" s="34"/>
      <c r="Q984" s="87"/>
      <c r="R984" s="34"/>
      <c r="S984" s="66"/>
      <c r="T984" s="12"/>
      <c r="U984" s="12"/>
      <c r="V984" s="12"/>
      <c r="W984" s="12"/>
      <c r="X984" s="12"/>
      <c r="Y984" s="12"/>
      <c r="Z984" s="67"/>
      <c r="AA984" s="12"/>
      <c r="AB984" s="12"/>
      <c r="AC984" s="67"/>
      <c r="AD984" s="12"/>
      <c r="AE984" s="12"/>
      <c r="AF984" s="12"/>
    </row>
    <row r="985" ht="15.75" customHeight="1">
      <c r="A985" s="34"/>
      <c r="B985" s="34"/>
      <c r="C985" s="34"/>
      <c r="D985" s="34"/>
      <c r="E985" s="34"/>
      <c r="F985" s="35"/>
      <c r="G985" s="34"/>
      <c r="H985" s="34"/>
      <c r="I985" s="34"/>
      <c r="J985" s="34"/>
      <c r="K985" s="34"/>
      <c r="L985" s="34"/>
      <c r="M985" s="34"/>
      <c r="N985" s="34"/>
      <c r="O985" s="36"/>
      <c r="P985" s="34"/>
      <c r="Q985" s="87"/>
      <c r="R985" s="34"/>
      <c r="S985" s="66"/>
      <c r="T985" s="12"/>
      <c r="U985" s="12"/>
      <c r="V985" s="12"/>
      <c r="W985" s="12"/>
      <c r="X985" s="12"/>
      <c r="Y985" s="12"/>
      <c r="Z985" s="67"/>
      <c r="AA985" s="12"/>
      <c r="AB985" s="12"/>
      <c r="AC985" s="67"/>
      <c r="AD985" s="12"/>
      <c r="AE985" s="12"/>
      <c r="AF985" s="12"/>
    </row>
    <row r="986" ht="15.75" customHeight="1">
      <c r="A986" s="34"/>
      <c r="B986" s="34"/>
      <c r="C986" s="34"/>
      <c r="D986" s="34"/>
      <c r="E986" s="34"/>
      <c r="F986" s="35"/>
      <c r="G986" s="34"/>
      <c r="H986" s="34"/>
      <c r="I986" s="34"/>
      <c r="J986" s="34"/>
      <c r="K986" s="34"/>
      <c r="L986" s="34"/>
      <c r="M986" s="34"/>
      <c r="N986" s="34"/>
      <c r="O986" s="36"/>
      <c r="P986" s="34"/>
      <c r="Q986" s="87"/>
      <c r="R986" s="34"/>
      <c r="S986" s="66"/>
      <c r="T986" s="12"/>
      <c r="U986" s="12"/>
      <c r="V986" s="12"/>
      <c r="W986" s="12"/>
      <c r="X986" s="12"/>
      <c r="Y986" s="12"/>
      <c r="Z986" s="67"/>
      <c r="AA986" s="12"/>
      <c r="AB986" s="12"/>
      <c r="AC986" s="67"/>
      <c r="AD986" s="12"/>
      <c r="AE986" s="12"/>
      <c r="AF986" s="12"/>
    </row>
    <row r="987" ht="15.75" customHeight="1">
      <c r="A987" s="34"/>
      <c r="B987" s="34"/>
      <c r="C987" s="34"/>
      <c r="D987" s="34"/>
      <c r="E987" s="34"/>
      <c r="F987" s="35"/>
      <c r="G987" s="34"/>
      <c r="H987" s="34"/>
      <c r="I987" s="34"/>
      <c r="J987" s="34"/>
      <c r="K987" s="34"/>
      <c r="L987" s="34"/>
      <c r="M987" s="34"/>
      <c r="N987" s="34"/>
      <c r="O987" s="36"/>
      <c r="P987" s="34"/>
      <c r="Q987" s="87"/>
      <c r="R987" s="34"/>
      <c r="S987" s="66"/>
      <c r="T987" s="12"/>
      <c r="U987" s="12"/>
      <c r="V987" s="12"/>
      <c r="W987" s="12"/>
      <c r="X987" s="12"/>
      <c r="Y987" s="12"/>
      <c r="Z987" s="67"/>
      <c r="AA987" s="12"/>
      <c r="AB987" s="12"/>
      <c r="AC987" s="67"/>
      <c r="AD987" s="12"/>
      <c r="AE987" s="12"/>
      <c r="AF987" s="12"/>
    </row>
    <row r="988" ht="15.75" customHeight="1">
      <c r="A988" s="34"/>
      <c r="B988" s="34"/>
      <c r="C988" s="34"/>
      <c r="D988" s="34"/>
      <c r="E988" s="34"/>
      <c r="F988" s="35"/>
      <c r="G988" s="34"/>
      <c r="H988" s="34"/>
      <c r="I988" s="34"/>
      <c r="J988" s="34"/>
      <c r="K988" s="34"/>
      <c r="L988" s="34"/>
      <c r="M988" s="34"/>
      <c r="N988" s="34"/>
      <c r="O988" s="36"/>
      <c r="P988" s="34"/>
      <c r="Q988" s="87"/>
      <c r="R988" s="34"/>
      <c r="S988" s="66"/>
      <c r="T988" s="12"/>
      <c r="U988" s="12"/>
      <c r="V988" s="12"/>
      <c r="W988" s="12"/>
      <c r="X988" s="12"/>
      <c r="Y988" s="12"/>
      <c r="Z988" s="67"/>
      <c r="AA988" s="12"/>
      <c r="AB988" s="12"/>
      <c r="AC988" s="67"/>
      <c r="AD988" s="12"/>
      <c r="AE988" s="12"/>
      <c r="AF988" s="12"/>
    </row>
    <row r="989" ht="15.75" customHeight="1">
      <c r="A989" s="34"/>
      <c r="B989" s="34"/>
      <c r="C989" s="34"/>
      <c r="D989" s="34"/>
      <c r="E989" s="34"/>
      <c r="F989" s="35"/>
      <c r="G989" s="34"/>
      <c r="H989" s="34"/>
      <c r="I989" s="34"/>
      <c r="J989" s="34"/>
      <c r="K989" s="34"/>
      <c r="L989" s="34"/>
      <c r="M989" s="34"/>
      <c r="N989" s="34"/>
      <c r="O989" s="36"/>
      <c r="P989" s="34"/>
      <c r="Q989" s="87"/>
      <c r="R989" s="34"/>
      <c r="S989" s="66"/>
      <c r="T989" s="12"/>
      <c r="U989" s="12"/>
      <c r="V989" s="12"/>
      <c r="W989" s="12"/>
      <c r="X989" s="12"/>
      <c r="Y989" s="12"/>
      <c r="Z989" s="67"/>
      <c r="AA989" s="12"/>
      <c r="AB989" s="12"/>
      <c r="AC989" s="67"/>
      <c r="AD989" s="12"/>
      <c r="AE989" s="12"/>
      <c r="AF989" s="12"/>
    </row>
    <row r="990" ht="15.75" customHeight="1">
      <c r="A990" s="34"/>
      <c r="B990" s="34"/>
      <c r="C990" s="34"/>
      <c r="D990" s="34"/>
      <c r="E990" s="34"/>
      <c r="F990" s="35"/>
      <c r="G990" s="34"/>
      <c r="H990" s="34"/>
      <c r="I990" s="34"/>
      <c r="J990" s="34"/>
      <c r="K990" s="34"/>
      <c r="L990" s="34"/>
      <c r="M990" s="34"/>
      <c r="N990" s="34"/>
      <c r="O990" s="36"/>
      <c r="P990" s="34"/>
      <c r="Q990" s="87"/>
      <c r="R990" s="34"/>
      <c r="S990" s="66"/>
      <c r="T990" s="12"/>
      <c r="U990" s="12"/>
      <c r="V990" s="12"/>
      <c r="W990" s="12"/>
      <c r="X990" s="12"/>
      <c r="Y990" s="12"/>
      <c r="Z990" s="67"/>
      <c r="AA990" s="12"/>
      <c r="AB990" s="12"/>
      <c r="AC990" s="67"/>
      <c r="AD990" s="12"/>
      <c r="AE990" s="12"/>
      <c r="AF990" s="12"/>
    </row>
    <row r="991" ht="15.75" customHeight="1">
      <c r="A991" s="34"/>
      <c r="B991" s="34"/>
      <c r="C991" s="34"/>
      <c r="D991" s="34"/>
      <c r="E991" s="34"/>
      <c r="F991" s="35"/>
      <c r="G991" s="34"/>
      <c r="H991" s="34"/>
      <c r="I991" s="34"/>
      <c r="J991" s="34"/>
      <c r="K991" s="34"/>
      <c r="L991" s="34"/>
      <c r="M991" s="34"/>
      <c r="N991" s="34"/>
      <c r="O991" s="36"/>
      <c r="P991" s="34"/>
      <c r="Q991" s="87"/>
      <c r="R991" s="34"/>
      <c r="S991" s="66"/>
      <c r="T991" s="12"/>
      <c r="U991" s="12"/>
      <c r="V991" s="12"/>
      <c r="W991" s="12"/>
      <c r="X991" s="12"/>
      <c r="Y991" s="12"/>
      <c r="Z991" s="67"/>
      <c r="AA991" s="12"/>
      <c r="AB991" s="12"/>
      <c r="AC991" s="67"/>
      <c r="AD991" s="12"/>
      <c r="AE991" s="12"/>
      <c r="AF991" s="12"/>
    </row>
    <row r="992" ht="15.75" customHeight="1">
      <c r="A992" s="34"/>
      <c r="B992" s="34"/>
      <c r="C992" s="34"/>
      <c r="D992" s="34"/>
      <c r="E992" s="34"/>
      <c r="F992" s="35"/>
      <c r="G992" s="34"/>
      <c r="H992" s="34"/>
      <c r="I992" s="34"/>
      <c r="J992" s="34"/>
      <c r="K992" s="34"/>
      <c r="L992" s="34"/>
      <c r="M992" s="34"/>
      <c r="N992" s="34"/>
      <c r="O992" s="36"/>
      <c r="P992" s="34"/>
      <c r="Q992" s="87"/>
      <c r="R992" s="34"/>
      <c r="S992" s="66"/>
      <c r="T992" s="12"/>
      <c r="U992" s="12"/>
      <c r="V992" s="12"/>
      <c r="W992" s="12"/>
      <c r="X992" s="12"/>
      <c r="Y992" s="12"/>
      <c r="Z992" s="67"/>
      <c r="AA992" s="12"/>
      <c r="AB992" s="12"/>
      <c r="AC992" s="67"/>
      <c r="AD992" s="12"/>
      <c r="AE992" s="12"/>
      <c r="AF992" s="12"/>
    </row>
    <row r="993" ht="15.75" customHeight="1">
      <c r="A993" s="34"/>
      <c r="B993" s="34"/>
      <c r="C993" s="34"/>
      <c r="D993" s="34"/>
      <c r="E993" s="34"/>
      <c r="F993" s="35"/>
      <c r="G993" s="34"/>
      <c r="H993" s="34"/>
      <c r="I993" s="34"/>
      <c r="J993" s="34"/>
      <c r="K993" s="34"/>
      <c r="L993" s="34"/>
      <c r="M993" s="34"/>
      <c r="N993" s="34"/>
      <c r="O993" s="36"/>
      <c r="P993" s="34"/>
      <c r="Q993" s="87"/>
      <c r="R993" s="34"/>
      <c r="S993" s="66"/>
      <c r="T993" s="12"/>
      <c r="U993" s="12"/>
      <c r="V993" s="12"/>
      <c r="W993" s="12"/>
      <c r="X993" s="12"/>
      <c r="Y993" s="12"/>
      <c r="Z993" s="67"/>
      <c r="AA993" s="12"/>
      <c r="AB993" s="12"/>
      <c r="AC993" s="67"/>
      <c r="AD993" s="12"/>
      <c r="AE993" s="12"/>
      <c r="AF993" s="12"/>
    </row>
    <row r="994" ht="15.75" customHeight="1">
      <c r="A994" s="34"/>
      <c r="B994" s="34"/>
      <c r="C994" s="34"/>
      <c r="D994" s="34"/>
      <c r="E994" s="34"/>
      <c r="F994" s="35"/>
      <c r="G994" s="34"/>
      <c r="H994" s="34"/>
      <c r="I994" s="34"/>
      <c r="J994" s="34"/>
      <c r="K994" s="34"/>
      <c r="L994" s="34"/>
      <c r="M994" s="34"/>
      <c r="N994" s="34"/>
      <c r="O994" s="36"/>
      <c r="P994" s="34"/>
      <c r="Q994" s="87"/>
      <c r="R994" s="34"/>
      <c r="S994" s="66"/>
      <c r="T994" s="12"/>
      <c r="U994" s="12"/>
      <c r="V994" s="12"/>
      <c r="W994" s="12"/>
      <c r="X994" s="12"/>
      <c r="Y994" s="12"/>
      <c r="Z994" s="67"/>
      <c r="AA994" s="12"/>
      <c r="AB994" s="12"/>
      <c r="AC994" s="67"/>
      <c r="AD994" s="12"/>
      <c r="AE994" s="12"/>
      <c r="AF994" s="12"/>
    </row>
    <row r="995" ht="15.75" customHeight="1">
      <c r="A995" s="34"/>
      <c r="B995" s="34"/>
      <c r="C995" s="34"/>
      <c r="D995" s="34"/>
      <c r="E995" s="34"/>
      <c r="F995" s="35"/>
      <c r="G995" s="34"/>
      <c r="H995" s="34"/>
      <c r="I995" s="34"/>
      <c r="J995" s="34"/>
      <c r="K995" s="34"/>
      <c r="L995" s="34"/>
      <c r="M995" s="34"/>
      <c r="N995" s="34"/>
      <c r="O995" s="36"/>
      <c r="P995" s="34"/>
      <c r="Q995" s="87"/>
      <c r="R995" s="34"/>
      <c r="S995" s="66"/>
      <c r="T995" s="12"/>
      <c r="U995" s="12"/>
      <c r="V995" s="12"/>
      <c r="W995" s="12"/>
      <c r="X995" s="12"/>
      <c r="Y995" s="12"/>
      <c r="Z995" s="67"/>
      <c r="AA995" s="12"/>
      <c r="AB995" s="12"/>
      <c r="AC995" s="67"/>
      <c r="AD995" s="12"/>
      <c r="AE995" s="12"/>
      <c r="AF995" s="12"/>
    </row>
    <row r="996" ht="15.75" customHeight="1">
      <c r="A996" s="34"/>
      <c r="B996" s="34"/>
      <c r="C996" s="34"/>
      <c r="D996" s="34"/>
      <c r="E996" s="34"/>
      <c r="F996" s="35"/>
      <c r="G996" s="34"/>
      <c r="H996" s="34"/>
      <c r="I996" s="34"/>
      <c r="J996" s="34"/>
      <c r="K996" s="34"/>
      <c r="L996" s="34"/>
      <c r="M996" s="34"/>
      <c r="N996" s="34"/>
      <c r="O996" s="36"/>
      <c r="P996" s="34"/>
      <c r="Q996" s="87"/>
      <c r="R996" s="34"/>
      <c r="S996" s="66"/>
      <c r="T996" s="12"/>
      <c r="U996" s="12"/>
      <c r="V996" s="12"/>
      <c r="W996" s="12"/>
      <c r="X996" s="12"/>
      <c r="Y996" s="12"/>
      <c r="Z996" s="67"/>
      <c r="AA996" s="12"/>
      <c r="AB996" s="12"/>
      <c r="AC996" s="67"/>
      <c r="AD996" s="12"/>
      <c r="AE996" s="12"/>
      <c r="AF996" s="12"/>
    </row>
    <row r="997" ht="15.75" customHeight="1">
      <c r="A997" s="34"/>
      <c r="B997" s="34"/>
      <c r="C997" s="34"/>
      <c r="D997" s="34"/>
      <c r="E997" s="34"/>
      <c r="F997" s="35"/>
      <c r="G997" s="34"/>
      <c r="H997" s="34"/>
      <c r="I997" s="34"/>
      <c r="J997" s="34"/>
      <c r="K997" s="34"/>
      <c r="L997" s="34"/>
      <c r="M997" s="34"/>
      <c r="N997" s="34"/>
      <c r="O997" s="36"/>
      <c r="P997" s="34"/>
      <c r="Q997" s="87"/>
      <c r="R997" s="34"/>
      <c r="S997" s="66"/>
      <c r="T997" s="12"/>
      <c r="U997" s="12"/>
      <c r="V997" s="12"/>
      <c r="W997" s="12"/>
      <c r="X997" s="12"/>
      <c r="Y997" s="12"/>
      <c r="Z997" s="67"/>
      <c r="AA997" s="12"/>
      <c r="AB997" s="12"/>
      <c r="AC997" s="67"/>
      <c r="AD997" s="12"/>
      <c r="AE997" s="12"/>
      <c r="AF997" s="12"/>
    </row>
    <row r="998" ht="15.75" customHeight="1">
      <c r="A998" s="34"/>
      <c r="B998" s="34"/>
      <c r="C998" s="34"/>
      <c r="D998" s="34"/>
      <c r="E998" s="34"/>
      <c r="F998" s="35"/>
      <c r="G998" s="34"/>
      <c r="H998" s="34"/>
      <c r="I998" s="34"/>
      <c r="J998" s="34"/>
      <c r="K998" s="34"/>
      <c r="L998" s="34"/>
      <c r="M998" s="34"/>
      <c r="N998" s="34"/>
      <c r="O998" s="36"/>
      <c r="P998" s="34"/>
      <c r="Q998" s="87"/>
      <c r="R998" s="34"/>
      <c r="S998" s="66"/>
      <c r="T998" s="12"/>
      <c r="U998" s="12"/>
      <c r="V998" s="12"/>
      <c r="W998" s="12"/>
      <c r="X998" s="12"/>
      <c r="Y998" s="12"/>
      <c r="Z998" s="67"/>
      <c r="AA998" s="12"/>
      <c r="AB998" s="12"/>
      <c r="AC998" s="67"/>
      <c r="AD998" s="12"/>
      <c r="AE998" s="12"/>
      <c r="AF998" s="12"/>
    </row>
    <row r="999" ht="15.75" customHeight="1">
      <c r="A999" s="34"/>
      <c r="B999" s="34"/>
      <c r="C999" s="34"/>
      <c r="D999" s="34"/>
      <c r="E999" s="34"/>
      <c r="F999" s="35"/>
      <c r="G999" s="34"/>
      <c r="H999" s="34"/>
      <c r="I999" s="34"/>
      <c r="J999" s="34"/>
      <c r="K999" s="34"/>
      <c r="L999" s="34"/>
      <c r="M999" s="34"/>
      <c r="N999" s="34"/>
      <c r="O999" s="36"/>
      <c r="P999" s="34"/>
      <c r="Q999" s="87"/>
      <c r="R999" s="34"/>
      <c r="S999" s="66"/>
      <c r="T999" s="12"/>
      <c r="U999" s="12"/>
      <c r="V999" s="12"/>
      <c r="W999" s="12"/>
      <c r="X999" s="12"/>
      <c r="Y999" s="12"/>
      <c r="Z999" s="67"/>
      <c r="AA999" s="12"/>
      <c r="AB999" s="12"/>
      <c r="AC999" s="67"/>
      <c r="AD999" s="12"/>
      <c r="AE999" s="12"/>
      <c r="AF999" s="12"/>
    </row>
    <row r="1000" ht="15.75" customHeight="1">
      <c r="A1000" s="34"/>
      <c r="B1000" s="34"/>
      <c r="C1000" s="34"/>
      <c r="D1000" s="34"/>
      <c r="E1000" s="34"/>
      <c r="F1000" s="35"/>
      <c r="G1000" s="34"/>
      <c r="H1000" s="34"/>
      <c r="I1000" s="34"/>
      <c r="J1000" s="34"/>
      <c r="K1000" s="34"/>
      <c r="L1000" s="34"/>
      <c r="M1000" s="34"/>
      <c r="N1000" s="34"/>
      <c r="O1000" s="36"/>
      <c r="P1000" s="34"/>
      <c r="Q1000" s="87"/>
      <c r="R1000" s="34"/>
      <c r="S1000" s="66"/>
      <c r="T1000" s="12"/>
      <c r="U1000" s="12"/>
      <c r="V1000" s="12"/>
      <c r="W1000" s="12"/>
      <c r="X1000" s="12"/>
      <c r="Y1000" s="12"/>
      <c r="Z1000" s="67"/>
      <c r="AA1000" s="12"/>
      <c r="AB1000" s="12"/>
      <c r="AC1000" s="67"/>
      <c r="AD1000" s="12"/>
      <c r="AE1000" s="12"/>
      <c r="AF1000" s="12"/>
    </row>
  </sheetData>
  <autoFilter ref="$A$4:$W$458">
    <sortState ref="A4:W458">
      <sortCondition ref="F4:F458"/>
    </sortState>
  </autoFilter>
  <mergeCells count="2">
    <mergeCell ref="A1:P1"/>
    <mergeCell ref="A2:P2"/>
  </mergeCells>
  <conditionalFormatting sqref="B106">
    <cfRule type="containsBlanks" dxfId="0" priority="1">
      <formula>LEN(TRIM(B106))=0</formula>
    </cfRule>
  </conditionalFormatting>
  <conditionalFormatting sqref="A5:F5 A6:B14 A17:B33 A36:A43 A46:A58 A61:A80 A83:A87 A90:A107 A110:A120 A123:A128 A131:A230 A233:A251 A254:A257 A260:A272 A275:A307 A310:A332 A335:A355 A358:A363 A366:A375 A378:A382 A385:A397 A400:A408 A411:A439 A442:A454 C6:C11 D4 D6:D14 D16:D33 D35:D43 D45:D58 D60:D80 D82:D87 D89:D107 D109:D120 D122:D128 D130:D230 D232:D251 D253:D257 D259:D272 D274:D307 D309:D332 D334:D355 D357:D363 D365:D375 D377:D382 D384:D397 D399:D408 D410:D439 D441:D447 F6:F11 G4:K5 G7:K14 G16:K33 G35:K43 G45:K58 G60:K80 G82:K87 G89:K107 G109:K120 G122:K128 G130:K230 G232:K251 G253:K257 G259:K272 G274:K307 G309:K332 G334:K355 G357:K363 G365:K375 G377:K382 G384:K384 G389:I389 G399:K399 G410:K410 G441:K454 K385:K397 K400:K408 K411:K439 O4:P5 O10:O14 O16:U16 O17:P33 O35:U35 O36:P43 O45:U45 O46:P58 O60:U60 O61:P80 O82:U82 O83:P87 O89:U89 O90:P107 O109:U109 O110:P120 O122:U122 O123:P128 O130:U130 O131:P230 O232:U232 O233:P251 O253:U253 O254:P257 O259:U259 O261:O272 O274:U274 O275:O307 O309:U309 O310:P332 O334:U334 O335:P355 O357:U357 O358:P363 O365:U365 O366:P375 O377:U377 O378:O381 O384:U384 O399:U399 O410:U410 O439 O441:U441 O442:P454 P7:P14 P260:P272 P275:P292 P295:P307 P378:P382 P389:P397 P400:P408 P411:P439 Q4:U4 Q296 Q302 Q329 Q332 Q336 Q341:Q344 Q350 Q360:Q361 Q394:Q395 Q397">
    <cfRule type="containsBlanks" dxfId="0" priority="2">
      <formula>LEN(TRIM(A5))=0</formula>
    </cfRule>
  </conditionalFormatting>
  <conditionalFormatting sqref="D456 G456:K456 O456:U456">
    <cfRule type="containsBlanks" dxfId="0" priority="3">
      <formula>LEN(TRIM(D456))=0</formula>
    </cfRule>
  </conditionalFormatting>
  <dataValidations>
    <dataValidation type="list" allowBlank="1" showErrorMessage="1" sqref="K4 K6:K14 K16:K33 K35:K43 K45:K58 K60:K80 K82:K87 K89:K107 K109:K120 K122:K128 K130:K230 K232:K251 K253:K257 K259:K272 K274:K307 K309:K332 K334:K355 K357:K363 K365:K375 K377:K382 K384:K397 K399:K408 K410:K439 K441:K454 K456:K465">
      <formula1>Sheet1!$C$1:$C$8</formula1>
    </dataValidation>
    <dataValidation type="list" allowBlank="1" showErrorMessage="1" sqref="F4:F14 F16:F33 F35:F43 F45:F58 F60:F80 F82:F87 F89:F107 F109:F120 F122:F128 F130:F230 F232:F251 F253:F257 F259:F272 F274:F307 F309:F332 F334:F355 F357:F363 F365:F375 F377:F382 F384:F397 F399:F408 F410:F439 F441:F454 F456:F465">
      <formula1>Sheet1!$A$1:$A$24</formula1>
    </dataValidation>
  </dataValidations>
  <printOptions horizontalCentered="1"/>
  <pageMargins bottom="0.7480314960629921" footer="0.0" header="0.0" left="0.7086614173228347" right="0.7086614173228347" top="0.7480314960629921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43"/>
    <col customWidth="1" min="2" max="2" width="22.71"/>
    <col customWidth="1" min="3" max="3" width="23.57"/>
    <col customWidth="1" min="4" max="4" width="18.71"/>
    <col customWidth="1" min="5" max="5" width="15.43"/>
    <col customWidth="1" min="6" max="8" width="13.29"/>
    <col customWidth="1" min="9" max="9" width="14.29"/>
    <col customWidth="1" min="10" max="24" width="8.71"/>
  </cols>
  <sheetData>
    <row r="1">
      <c r="A1" s="89"/>
      <c r="B1" s="32" t="s">
        <v>1735</v>
      </c>
      <c r="C1" s="32" t="s">
        <v>1736</v>
      </c>
      <c r="D1" s="32" t="s">
        <v>1737</v>
      </c>
      <c r="E1" s="32" t="s">
        <v>179</v>
      </c>
      <c r="F1" s="32" t="s">
        <v>249</v>
      </c>
      <c r="G1" s="32" t="s">
        <v>66</v>
      </c>
      <c r="H1" s="32" t="s">
        <v>22</v>
      </c>
      <c r="I1" s="32" t="s">
        <v>1738</v>
      </c>
    </row>
    <row r="2" ht="22.5" customHeight="1">
      <c r="A2" s="90" t="s">
        <v>1739</v>
      </c>
      <c r="E2" s="32">
        <v>23.0</v>
      </c>
      <c r="F2" s="32">
        <v>23.0</v>
      </c>
      <c r="G2" s="32">
        <v>24.0</v>
      </c>
      <c r="H2" s="32">
        <v>11.0</v>
      </c>
      <c r="I2" s="32">
        <v>5.0</v>
      </c>
    </row>
    <row r="3">
      <c r="A3" s="89">
        <v>1.0</v>
      </c>
      <c r="B3" s="91" t="s">
        <v>826</v>
      </c>
      <c r="C3" s="92" t="s">
        <v>658</v>
      </c>
      <c r="D3" s="35" t="s">
        <v>1740</v>
      </c>
      <c r="E3" s="91" t="s">
        <v>501</v>
      </c>
      <c r="F3" s="92" t="s">
        <v>1363</v>
      </c>
      <c r="G3" s="91" t="s">
        <v>903</v>
      </c>
      <c r="H3" s="92" t="s">
        <v>1372</v>
      </c>
      <c r="I3" s="91" t="s">
        <v>1633</v>
      </c>
    </row>
    <row r="4">
      <c r="A4" s="89">
        <v>2.0</v>
      </c>
      <c r="B4" s="92" t="s">
        <v>830</v>
      </c>
      <c r="C4" s="91" t="s">
        <v>662</v>
      </c>
      <c r="D4" s="92" t="s">
        <v>642</v>
      </c>
      <c r="E4" s="91" t="s">
        <v>927</v>
      </c>
      <c r="F4" s="92" t="s">
        <v>1367</v>
      </c>
      <c r="G4" s="91" t="s">
        <v>266</v>
      </c>
      <c r="H4" s="91" t="s">
        <v>287</v>
      </c>
      <c r="I4" s="91" t="s">
        <v>1646</v>
      </c>
    </row>
    <row r="5">
      <c r="A5" s="89">
        <v>3.0</v>
      </c>
      <c r="B5" s="91" t="s">
        <v>834</v>
      </c>
      <c r="C5" s="92" t="s">
        <v>666</v>
      </c>
      <c r="D5" s="91" t="s">
        <v>646</v>
      </c>
      <c r="E5" s="92" t="s">
        <v>1741</v>
      </c>
      <c r="F5" s="7" t="s">
        <v>1623</v>
      </c>
      <c r="G5" s="92" t="s">
        <v>271</v>
      </c>
      <c r="H5" s="92" t="s">
        <v>292</v>
      </c>
      <c r="I5" s="92" t="s">
        <v>1650</v>
      </c>
    </row>
    <row r="6">
      <c r="A6" s="89">
        <v>4.0</v>
      </c>
      <c r="B6" s="92" t="s">
        <v>838</v>
      </c>
      <c r="C6" s="91" t="s">
        <v>670</v>
      </c>
      <c r="D6" s="92" t="s">
        <v>650</v>
      </c>
      <c r="E6" s="91" t="s">
        <v>228</v>
      </c>
      <c r="F6" s="91" t="s">
        <v>927</v>
      </c>
      <c r="G6" s="91" t="s">
        <v>275</v>
      </c>
      <c r="H6" s="91" t="s">
        <v>296</v>
      </c>
      <c r="I6" s="91" t="s">
        <v>1654</v>
      </c>
    </row>
    <row r="7">
      <c r="A7" s="89">
        <v>5.0</v>
      </c>
      <c r="B7" s="91" t="s">
        <v>842</v>
      </c>
      <c r="C7" s="92" t="s">
        <v>674</v>
      </c>
      <c r="D7" s="91" t="s">
        <v>654</v>
      </c>
      <c r="E7" s="92" t="s">
        <v>232</v>
      </c>
      <c r="F7" s="92" t="s">
        <v>1391</v>
      </c>
      <c r="G7" s="92" t="s">
        <v>279</v>
      </c>
      <c r="H7" s="91" t="s">
        <v>202</v>
      </c>
      <c r="I7" s="92" t="s">
        <v>1658</v>
      </c>
    </row>
    <row r="8">
      <c r="A8" s="89">
        <v>6.0</v>
      </c>
      <c r="B8" s="92" t="s">
        <v>626</v>
      </c>
      <c r="C8" s="91" t="s">
        <v>678</v>
      </c>
      <c r="D8" s="91" t="s">
        <v>886</v>
      </c>
      <c r="E8" s="91" t="s">
        <v>1742</v>
      </c>
      <c r="F8" s="91" t="s">
        <v>1395</v>
      </c>
      <c r="G8" s="91" t="s">
        <v>283</v>
      </c>
      <c r="H8" s="92" t="s">
        <v>207</v>
      </c>
      <c r="I8" s="91" t="s">
        <v>183</v>
      </c>
    </row>
    <row r="9">
      <c r="A9" s="89"/>
      <c r="B9" s="91"/>
      <c r="C9" s="92" t="s">
        <v>682</v>
      </c>
      <c r="D9" s="91" t="s">
        <v>846</v>
      </c>
      <c r="E9" s="92" t="s">
        <v>1743</v>
      </c>
      <c r="F9" s="92" t="s">
        <v>248</v>
      </c>
      <c r="G9" s="91" t="s">
        <v>425</v>
      </c>
      <c r="H9" s="91" t="s">
        <v>211</v>
      </c>
      <c r="I9" s="93" t="s">
        <v>1678</v>
      </c>
    </row>
    <row r="10">
      <c r="A10" s="89"/>
      <c r="B10" s="7" t="s">
        <v>1526</v>
      </c>
      <c r="C10" s="91" t="s">
        <v>686</v>
      </c>
      <c r="D10" s="91" t="s">
        <v>586</v>
      </c>
      <c r="E10" s="93" t="s">
        <v>930</v>
      </c>
      <c r="F10" s="91" t="s">
        <v>254</v>
      </c>
      <c r="G10" s="92" t="s">
        <v>429</v>
      </c>
      <c r="H10" s="91" t="s">
        <v>1384</v>
      </c>
    </row>
    <row r="11">
      <c r="A11" s="89"/>
      <c r="B11" s="7" t="s">
        <v>1530</v>
      </c>
      <c r="C11" s="92" t="s">
        <v>690</v>
      </c>
      <c r="D11" s="92"/>
      <c r="E11" s="91" t="s">
        <v>1376</v>
      </c>
      <c r="F11" s="92" t="s">
        <v>258</v>
      </c>
      <c r="G11" s="91" t="s">
        <v>434</v>
      </c>
      <c r="H11" s="92" t="s">
        <v>1358</v>
      </c>
    </row>
    <row r="12">
      <c r="A12" s="89"/>
      <c r="B12" s="7" t="s">
        <v>1744</v>
      </c>
      <c r="C12" s="91" t="s">
        <v>694</v>
      </c>
      <c r="D12" s="92" t="s">
        <v>919</v>
      </c>
      <c r="E12" s="91" t="s">
        <v>927</v>
      </c>
      <c r="F12" s="91" t="s">
        <v>262</v>
      </c>
      <c r="G12" s="91" t="s">
        <v>459</v>
      </c>
      <c r="H12" s="91"/>
    </row>
    <row r="13">
      <c r="A13" s="89"/>
      <c r="B13" s="91" t="s">
        <v>1518</v>
      </c>
      <c r="C13" s="92" t="s">
        <v>698</v>
      </c>
      <c r="D13" s="92" t="s">
        <v>1388</v>
      </c>
      <c r="E13" s="92"/>
      <c r="F13" s="91" t="s">
        <v>493</v>
      </c>
      <c r="G13" s="92" t="s">
        <v>441</v>
      </c>
      <c r="H13" s="92" t="s">
        <v>207</v>
      </c>
    </row>
    <row r="14">
      <c r="A14" s="89"/>
      <c r="B14" s="92" t="s">
        <v>1588</v>
      </c>
      <c r="C14" s="91" t="s">
        <v>702</v>
      </c>
      <c r="D14" s="91" t="s">
        <v>446</v>
      </c>
      <c r="E14" s="91"/>
      <c r="F14" s="92" t="s">
        <v>497</v>
      </c>
      <c r="G14" s="91" t="s">
        <v>446</v>
      </c>
      <c r="H14" s="91" t="s">
        <v>211</v>
      </c>
    </row>
    <row r="15">
      <c r="A15" s="89"/>
      <c r="B15" s="92" t="s">
        <v>1584</v>
      </c>
      <c r="C15" s="92" t="s">
        <v>706</v>
      </c>
      <c r="D15" s="92" t="s">
        <v>420</v>
      </c>
      <c r="E15" s="92" t="s">
        <v>232</v>
      </c>
      <c r="F15" s="91" t="s">
        <v>923</v>
      </c>
      <c r="G15" s="92"/>
    </row>
    <row r="16">
      <c r="A16" s="89"/>
      <c r="B16" s="7" t="s">
        <v>1565</v>
      </c>
      <c r="C16" s="91" t="s">
        <v>710</v>
      </c>
      <c r="D16" s="91" t="s">
        <v>425</v>
      </c>
      <c r="E16" s="91" t="s">
        <v>1637</v>
      </c>
      <c r="F16" s="92" t="s">
        <v>450</v>
      </c>
      <c r="G16" s="92" t="s">
        <v>454</v>
      </c>
    </row>
    <row r="17">
      <c r="A17" s="89"/>
      <c r="B17" s="7" t="s">
        <v>1569</v>
      </c>
      <c r="C17" s="92" t="s">
        <v>714</v>
      </c>
      <c r="D17" s="91" t="s">
        <v>434</v>
      </c>
      <c r="E17" s="92" t="s">
        <v>1642</v>
      </c>
      <c r="F17" s="91" t="s">
        <v>493</v>
      </c>
      <c r="G17" s="92" t="s">
        <v>954</v>
      </c>
    </row>
    <row r="18">
      <c r="A18" s="89"/>
      <c r="B18" s="92" t="s">
        <v>1542</v>
      </c>
      <c r="C18" s="91" t="s">
        <v>718</v>
      </c>
      <c r="D18" s="92" t="s">
        <v>441</v>
      </c>
      <c r="E18" s="92"/>
      <c r="F18" s="92" t="s">
        <v>497</v>
      </c>
      <c r="G18" s="92" t="s">
        <v>188</v>
      </c>
    </row>
    <row r="19">
      <c r="A19" s="89"/>
      <c r="B19" s="92" t="s">
        <v>962</v>
      </c>
      <c r="C19" s="92" t="s">
        <v>722</v>
      </c>
      <c r="D19" s="92" t="s">
        <v>454</v>
      </c>
      <c r="G19" s="91" t="s">
        <v>300</v>
      </c>
    </row>
    <row r="20">
      <c r="A20" s="89"/>
      <c r="B20" s="7" t="s">
        <v>1745</v>
      </c>
      <c r="C20" s="91" t="s">
        <v>726</v>
      </c>
      <c r="D20" s="91"/>
      <c r="G20" s="92" t="s">
        <v>304</v>
      </c>
    </row>
    <row r="21" ht="15.75" customHeight="1">
      <c r="A21" s="89"/>
      <c r="B21" s="94" t="s">
        <v>1746</v>
      </c>
      <c r="C21" s="92" t="s">
        <v>730</v>
      </c>
      <c r="D21" s="92" t="s">
        <v>915</v>
      </c>
      <c r="G21" s="91" t="s">
        <v>309</v>
      </c>
    </row>
    <row r="22" ht="15.75" customHeight="1">
      <c r="A22" s="89"/>
      <c r="B22" s="92" t="s">
        <v>505</v>
      </c>
      <c r="C22" s="91" t="s">
        <v>734</v>
      </c>
      <c r="D22" s="92"/>
      <c r="G22" s="91" t="s">
        <v>314</v>
      </c>
    </row>
    <row r="23" ht="15.75" customHeight="1">
      <c r="A23" s="89"/>
      <c r="B23" s="91" t="s">
        <v>509</v>
      </c>
      <c r="C23" s="92" t="s">
        <v>738</v>
      </c>
      <c r="D23" s="91" t="s">
        <v>446</v>
      </c>
      <c r="G23" s="92" t="s">
        <v>236</v>
      </c>
    </row>
    <row r="24" ht="15.75" customHeight="1">
      <c r="A24" s="89"/>
      <c r="B24" s="92" t="s">
        <v>513</v>
      </c>
      <c r="C24" s="91" t="s">
        <v>742</v>
      </c>
      <c r="D24" s="7" t="s">
        <v>1747</v>
      </c>
      <c r="G24" s="91" t="s">
        <v>266</v>
      </c>
    </row>
    <row r="25" ht="15.75" customHeight="1">
      <c r="A25" s="89"/>
      <c r="B25" s="92"/>
      <c r="C25" s="92" t="s">
        <v>746</v>
      </c>
      <c r="D25" s="91" t="s">
        <v>1576</v>
      </c>
      <c r="G25" s="92" t="s">
        <v>271</v>
      </c>
    </row>
    <row r="26" ht="15.75" customHeight="1">
      <c r="A26" s="89"/>
      <c r="B26" s="7"/>
      <c r="C26" s="91" t="s">
        <v>750</v>
      </c>
      <c r="D26" s="91" t="s">
        <v>1561</v>
      </c>
      <c r="G26" s="91" t="s">
        <v>275</v>
      </c>
    </row>
    <row r="27" ht="15.75" customHeight="1">
      <c r="A27" s="89"/>
      <c r="B27" s="92" t="s">
        <v>488</v>
      </c>
      <c r="C27" s="92" t="s">
        <v>754</v>
      </c>
      <c r="D27" s="92" t="s">
        <v>1619</v>
      </c>
      <c r="G27" s="92" t="s">
        <v>279</v>
      </c>
    </row>
    <row r="28" ht="15.75" customHeight="1">
      <c r="A28" s="89"/>
      <c r="B28" s="91"/>
      <c r="C28" s="91" t="s">
        <v>758</v>
      </c>
      <c r="D28" s="91"/>
      <c r="G28" s="91" t="s">
        <v>283</v>
      </c>
    </row>
    <row r="29" ht="15.75" customHeight="1">
      <c r="A29" s="89"/>
      <c r="B29" s="92" t="s">
        <v>420</v>
      </c>
      <c r="C29" s="92" t="s">
        <v>762</v>
      </c>
      <c r="D29" s="92" t="s">
        <v>947</v>
      </c>
      <c r="G29" s="92" t="s">
        <v>188</v>
      </c>
    </row>
    <row r="30" ht="15.75" customHeight="1">
      <c r="A30" s="89"/>
      <c r="B30" s="91" t="s">
        <v>425</v>
      </c>
      <c r="C30" s="91" t="s">
        <v>766</v>
      </c>
      <c r="D30" s="92" t="s">
        <v>1580</v>
      </c>
    </row>
    <row r="31" ht="15.75" customHeight="1">
      <c r="A31" s="89"/>
      <c r="B31" s="91" t="s">
        <v>434</v>
      </c>
      <c r="C31" s="92" t="s">
        <v>770</v>
      </c>
      <c r="D31" s="92" t="s">
        <v>943</v>
      </c>
    </row>
    <row r="32" ht="15.75" customHeight="1">
      <c r="A32" s="89"/>
      <c r="B32" s="92" t="s">
        <v>441</v>
      </c>
      <c r="C32" s="91" t="s">
        <v>774</v>
      </c>
      <c r="D32" s="91" t="s">
        <v>890</v>
      </c>
    </row>
    <row r="33" ht="15.75" customHeight="1">
      <c r="A33" s="89"/>
      <c r="B33" s="92" t="s">
        <v>454</v>
      </c>
      <c r="C33" s="92" t="s">
        <v>778</v>
      </c>
      <c r="D33" s="91" t="s">
        <v>950</v>
      </c>
    </row>
    <row r="34" ht="15.75" customHeight="1">
      <c r="A34" s="89"/>
      <c r="B34" s="92"/>
      <c r="C34" s="91" t="s">
        <v>782</v>
      </c>
      <c r="D34" s="91" t="s">
        <v>940</v>
      </c>
    </row>
    <row r="35" ht="15.75" customHeight="1">
      <c r="A35" s="89"/>
      <c r="B35" s="93" t="s">
        <v>216</v>
      </c>
      <c r="C35" s="92" t="s">
        <v>786</v>
      </c>
      <c r="D35" s="92" t="s">
        <v>1546</v>
      </c>
    </row>
    <row r="36" ht="15.75" customHeight="1">
      <c r="A36" s="89"/>
      <c r="B36" s="92" t="s">
        <v>1658</v>
      </c>
      <c r="C36" s="91" t="s">
        <v>790</v>
      </c>
    </row>
    <row r="37" ht="15.75" customHeight="1">
      <c r="A37" s="89"/>
      <c r="B37" s="93" t="s">
        <v>1678</v>
      </c>
      <c r="C37" s="92" t="s">
        <v>794</v>
      </c>
      <c r="D37" s="92"/>
    </row>
    <row r="38" ht="15.75" customHeight="1">
      <c r="A38" s="89"/>
      <c r="B38" s="91"/>
      <c r="C38" s="91" t="s">
        <v>798</v>
      </c>
      <c r="D38" s="92"/>
    </row>
    <row r="39" ht="15.75" customHeight="1">
      <c r="A39" s="89"/>
      <c r="B39" s="91" t="s">
        <v>895</v>
      </c>
      <c r="C39" s="92" t="s">
        <v>802</v>
      </c>
      <c r="D39" s="92"/>
    </row>
    <row r="40" ht="15.75" customHeight="1">
      <c r="A40" s="89"/>
      <c r="B40" s="91" t="s">
        <v>438</v>
      </c>
      <c r="C40" s="91" t="s">
        <v>806</v>
      </c>
      <c r="D40" s="91"/>
    </row>
    <row r="41" ht="15.75" customHeight="1">
      <c r="A41" s="89"/>
      <c r="B41" s="91" t="s">
        <v>958</v>
      </c>
      <c r="C41" s="92" t="s">
        <v>810</v>
      </c>
      <c r="D41" s="91"/>
    </row>
    <row r="42" ht="15.75" customHeight="1">
      <c r="A42" s="89"/>
      <c r="B42" s="91" t="s">
        <v>911</v>
      </c>
      <c r="C42" s="91" t="s">
        <v>814</v>
      </c>
      <c r="D42" s="91"/>
    </row>
    <row r="43" ht="15.75" customHeight="1">
      <c r="A43" s="89"/>
      <c r="B43" s="91"/>
      <c r="C43" s="92" t="s">
        <v>818</v>
      </c>
      <c r="D43" s="92"/>
    </row>
    <row r="44" ht="15.75" customHeight="1">
      <c r="A44" s="89"/>
      <c r="B44" s="91"/>
      <c r="C44" s="91" t="s">
        <v>822</v>
      </c>
      <c r="D44" s="91"/>
    </row>
    <row r="45" ht="15.75" customHeight="1">
      <c r="A45" s="89"/>
      <c r="B45" s="91"/>
      <c r="C45" s="91"/>
      <c r="D45" s="92"/>
    </row>
    <row r="46" ht="15.75" customHeight="1">
      <c r="A46" s="89"/>
      <c r="C46" s="92" t="s">
        <v>517</v>
      </c>
      <c r="D46" s="92"/>
    </row>
    <row r="47" ht="15.75" customHeight="1">
      <c r="A47" s="89"/>
      <c r="C47" s="91" t="s">
        <v>522</v>
      </c>
    </row>
    <row r="48" ht="15.75" customHeight="1">
      <c r="A48" s="89"/>
      <c r="C48" s="92" t="s">
        <v>526</v>
      </c>
    </row>
    <row r="49" ht="15.75" customHeight="1">
      <c r="A49" s="89"/>
      <c r="C49" s="91" t="s">
        <v>530</v>
      </c>
    </row>
    <row r="50" ht="15.75" customHeight="1">
      <c r="A50" s="89"/>
      <c r="C50" s="92" t="s">
        <v>534</v>
      </c>
    </row>
    <row r="51" ht="15.75" customHeight="1">
      <c r="A51" s="89"/>
      <c r="C51" s="91" t="s">
        <v>538</v>
      </c>
    </row>
    <row r="52" ht="15.75" customHeight="1">
      <c r="A52" s="89"/>
      <c r="C52" s="92" t="s">
        <v>542</v>
      </c>
    </row>
    <row r="53" ht="15.75" customHeight="1">
      <c r="A53" s="89"/>
      <c r="C53" s="91" t="s">
        <v>546</v>
      </c>
    </row>
    <row r="54" ht="15.75" customHeight="1">
      <c r="A54" s="89"/>
      <c r="C54" s="92" t="s">
        <v>550</v>
      </c>
    </row>
    <row r="55" ht="15.75" customHeight="1">
      <c r="A55" s="89"/>
      <c r="C55" s="91" t="s">
        <v>554</v>
      </c>
    </row>
    <row r="56" ht="15.75" customHeight="1">
      <c r="A56" s="89"/>
      <c r="C56" s="92" t="s">
        <v>558</v>
      </c>
    </row>
    <row r="57" ht="15.75" customHeight="1">
      <c r="A57" s="89"/>
      <c r="C57" s="91" t="s">
        <v>562</v>
      </c>
    </row>
    <row r="58" ht="15.75" customHeight="1">
      <c r="A58" s="89"/>
      <c r="C58" s="92" t="s">
        <v>566</v>
      </c>
    </row>
    <row r="59" ht="15.75" customHeight="1">
      <c r="A59" s="89"/>
      <c r="C59" s="92" t="s">
        <v>570</v>
      </c>
    </row>
    <row r="60" ht="15.75" customHeight="1">
      <c r="A60" s="89"/>
      <c r="C60" s="91" t="s">
        <v>574</v>
      </c>
    </row>
    <row r="61" ht="15.75" customHeight="1">
      <c r="A61" s="89"/>
      <c r="C61" s="91" t="s">
        <v>578</v>
      </c>
    </row>
    <row r="62" ht="15.75" customHeight="1">
      <c r="A62" s="89"/>
      <c r="C62" s="92" t="s">
        <v>582</v>
      </c>
    </row>
    <row r="63" ht="15.75" customHeight="1">
      <c r="A63" s="89"/>
    </row>
    <row r="64" ht="15.75" customHeight="1">
      <c r="A64" s="89"/>
      <c r="C64" s="91" t="s">
        <v>603</v>
      </c>
    </row>
    <row r="65" ht="15.75" customHeight="1">
      <c r="A65" s="89"/>
      <c r="C65" s="91" t="s">
        <v>607</v>
      </c>
    </row>
    <row r="66" ht="15.75" customHeight="1">
      <c r="A66" s="89"/>
      <c r="C66" s="91" t="s">
        <v>610</v>
      </c>
    </row>
    <row r="67" ht="15.75" customHeight="1">
      <c r="A67" s="89"/>
      <c r="C67" s="91" t="s">
        <v>614</v>
      </c>
    </row>
    <row r="68" ht="15.75" customHeight="1">
      <c r="A68" s="89"/>
      <c r="C68" s="92" t="s">
        <v>618</v>
      </c>
    </row>
    <row r="69" ht="15.75" customHeight="1">
      <c r="A69" s="89"/>
      <c r="C69" s="91" t="s">
        <v>622</v>
      </c>
    </row>
    <row r="70" ht="15.75" customHeight="1">
      <c r="A70" s="89"/>
    </row>
    <row r="71" ht="15.75" customHeight="1">
      <c r="A71" s="89"/>
      <c r="C71" s="92" t="s">
        <v>248</v>
      </c>
    </row>
    <row r="72" ht="15.75" customHeight="1">
      <c r="A72" s="89"/>
      <c r="C72" s="91" t="s">
        <v>254</v>
      </c>
    </row>
    <row r="73" ht="15.75" customHeight="1">
      <c r="A73" s="89"/>
      <c r="C73" s="92" t="s">
        <v>258</v>
      </c>
    </row>
    <row r="74" ht="15.75" customHeight="1">
      <c r="A74" s="89"/>
      <c r="C74" s="91" t="s">
        <v>262</v>
      </c>
    </row>
    <row r="75" ht="15.75" customHeight="1">
      <c r="A75" s="89"/>
    </row>
    <row r="76" ht="15.75" customHeight="1">
      <c r="A76" s="89"/>
      <c r="C76" s="91" t="s">
        <v>266</v>
      </c>
    </row>
    <row r="77" ht="15.75" customHeight="1">
      <c r="A77" s="89"/>
      <c r="C77" s="92" t="s">
        <v>271</v>
      </c>
    </row>
    <row r="78" ht="15.75" customHeight="1">
      <c r="A78" s="89"/>
      <c r="C78" s="91" t="s">
        <v>275</v>
      </c>
    </row>
    <row r="79" ht="15.75" customHeight="1">
      <c r="A79" s="89"/>
      <c r="C79" s="92" t="s">
        <v>279</v>
      </c>
    </row>
    <row r="80" ht="15.75" customHeight="1">
      <c r="A80" s="89"/>
      <c r="C80" s="91" t="s">
        <v>283</v>
      </c>
    </row>
    <row r="81" ht="15.75" customHeight="1">
      <c r="A81" s="89"/>
    </row>
    <row r="82" ht="15.75" customHeight="1">
      <c r="A82" s="89"/>
      <c r="C82" s="92"/>
    </row>
    <row r="83" ht="15.75" customHeight="1">
      <c r="A83" s="89"/>
      <c r="C83" s="93"/>
    </row>
    <row r="84" ht="15.75" customHeight="1">
      <c r="A84" s="89"/>
      <c r="C84" s="91"/>
    </row>
    <row r="85" ht="15.75" customHeight="1">
      <c r="A85" s="89"/>
    </row>
    <row r="86" ht="15.75" customHeight="1">
      <c r="A86" s="89"/>
      <c r="C86" s="93"/>
    </row>
    <row r="87" ht="15.75" customHeight="1">
      <c r="A87" s="89"/>
      <c r="C87" s="7"/>
    </row>
    <row r="88" ht="15.75" customHeight="1">
      <c r="A88" s="89"/>
      <c r="C88" s="91"/>
    </row>
    <row r="89" ht="15.75" customHeight="1">
      <c r="A89" s="89"/>
      <c r="C89" s="7"/>
    </row>
    <row r="90" ht="15.75" customHeight="1">
      <c r="A90" s="89"/>
      <c r="C90" s="7"/>
    </row>
    <row r="91" ht="15.75" customHeight="1">
      <c r="A91" s="89"/>
      <c r="C91" s="91"/>
    </row>
    <row r="92" ht="15.75" customHeight="1">
      <c r="A92" s="89"/>
      <c r="C92" s="91"/>
    </row>
    <row r="93" ht="15.75" customHeight="1">
      <c r="A93" s="89"/>
      <c r="C93" s="7"/>
    </row>
    <row r="94" ht="15.75" customHeight="1">
      <c r="A94" s="89"/>
      <c r="C94" s="7"/>
    </row>
    <row r="95" ht="15.75" customHeight="1">
      <c r="A95" s="89"/>
      <c r="C95" s="92"/>
    </row>
    <row r="96" ht="15.75" customHeight="1">
      <c r="A96" s="89"/>
      <c r="C96" s="92"/>
    </row>
    <row r="97" ht="15.75" customHeight="1">
      <c r="A97" s="89"/>
    </row>
    <row r="98" ht="15.75" customHeight="1">
      <c r="A98" s="89"/>
      <c r="C98" s="92"/>
    </row>
    <row r="99" ht="15.75" customHeight="1">
      <c r="A99" s="89"/>
      <c r="C99" s="91"/>
    </row>
    <row r="100" ht="15.75" customHeight="1">
      <c r="A100" s="89"/>
      <c r="C100" s="92"/>
    </row>
    <row r="101" ht="15.75" customHeight="1">
      <c r="A101" s="89"/>
      <c r="C101" s="92"/>
    </row>
    <row r="102" ht="15.75" customHeight="1">
      <c r="A102" s="89"/>
      <c r="C102" s="91"/>
    </row>
    <row r="103" ht="15.75" customHeight="1">
      <c r="A103" s="89"/>
      <c r="C103" s="91"/>
    </row>
    <row r="104" ht="15.75" customHeight="1">
      <c r="A104" s="89"/>
    </row>
    <row r="105" ht="15.75" customHeight="1">
      <c r="A105" s="89"/>
      <c r="C105" s="92"/>
    </row>
    <row r="106" ht="15.75" customHeight="1">
      <c r="A106" s="89"/>
      <c r="C106" s="92"/>
    </row>
    <row r="107" ht="15.75" customHeight="1">
      <c r="A107" s="89"/>
      <c r="C107" s="91"/>
    </row>
    <row r="108" ht="15.75" customHeight="1">
      <c r="A108" s="89"/>
      <c r="C108" s="91"/>
    </row>
    <row r="109" ht="15.75" customHeight="1">
      <c r="A109" s="89"/>
      <c r="C109" s="92"/>
    </row>
    <row r="110" ht="15.75" customHeight="1">
      <c r="A110" s="89"/>
      <c r="C110" s="92"/>
    </row>
    <row r="111" ht="15.75" customHeight="1">
      <c r="A111" s="89"/>
    </row>
    <row r="112" ht="15.75" customHeight="1">
      <c r="A112" s="89"/>
    </row>
    <row r="113" ht="15.75" customHeight="1">
      <c r="A113" s="89"/>
      <c r="C113" s="92"/>
    </row>
    <row r="114" ht="15.75" customHeight="1">
      <c r="A114" s="89"/>
      <c r="C114" s="92"/>
    </row>
    <row r="115" ht="15.75" customHeight="1">
      <c r="A115" s="89"/>
      <c r="C115" s="95"/>
    </row>
    <row r="116" ht="15.75" customHeight="1">
      <c r="A116" s="89"/>
    </row>
    <row r="117" ht="15.75" customHeight="1">
      <c r="A117" s="89"/>
    </row>
    <row r="118" ht="15.75" customHeight="1">
      <c r="A118" s="89"/>
    </row>
    <row r="119" ht="15.75" customHeight="1">
      <c r="A119" s="89"/>
    </row>
    <row r="120" ht="15.75" customHeight="1">
      <c r="A120" s="89"/>
    </row>
    <row r="121" ht="15.75" customHeight="1">
      <c r="A121" s="89"/>
    </row>
    <row r="122" ht="15.75" customHeight="1">
      <c r="A122" s="89"/>
    </row>
    <row r="123" ht="15.75" customHeight="1">
      <c r="A123" s="89"/>
    </row>
    <row r="124" ht="15.75" customHeight="1">
      <c r="A124" s="89"/>
    </row>
    <row r="125" ht="15.75" customHeight="1">
      <c r="A125" s="89"/>
    </row>
    <row r="126" ht="15.75" customHeight="1">
      <c r="A126" s="89"/>
    </row>
    <row r="127" ht="15.75" customHeight="1">
      <c r="A127" s="89"/>
    </row>
    <row r="128" ht="15.75" customHeight="1">
      <c r="A128" s="89"/>
    </row>
    <row r="129" ht="15.75" customHeight="1">
      <c r="A129" s="89"/>
    </row>
    <row r="130" ht="15.75" customHeight="1">
      <c r="A130" s="89"/>
    </row>
    <row r="131" ht="15.75" customHeight="1">
      <c r="A131" s="89"/>
    </row>
    <row r="132" ht="15.75" customHeight="1">
      <c r="A132" s="89"/>
    </row>
    <row r="133" ht="15.75" customHeight="1">
      <c r="A133" s="89"/>
    </row>
    <row r="134" ht="15.75" customHeight="1">
      <c r="A134" s="89"/>
    </row>
    <row r="135" ht="15.75" customHeight="1">
      <c r="A135" s="89"/>
    </row>
    <row r="136" ht="15.75" customHeight="1">
      <c r="A136" s="89"/>
    </row>
    <row r="137" ht="15.75" customHeight="1">
      <c r="A137" s="89"/>
    </row>
    <row r="138" ht="15.75" customHeight="1">
      <c r="A138" s="89"/>
    </row>
    <row r="139" ht="15.75" customHeight="1">
      <c r="A139" s="89"/>
    </row>
    <row r="140" ht="15.75" customHeight="1">
      <c r="A140" s="89"/>
    </row>
    <row r="141" ht="15.75" customHeight="1">
      <c r="A141" s="89"/>
    </row>
    <row r="142" ht="15.75" customHeight="1">
      <c r="A142" s="89"/>
    </row>
    <row r="143" ht="15.75" customHeight="1">
      <c r="A143" s="89"/>
    </row>
    <row r="144" ht="15.75" customHeight="1">
      <c r="A144" s="89"/>
    </row>
    <row r="145" ht="15.75" customHeight="1">
      <c r="A145" s="89"/>
    </row>
    <row r="146" ht="15.75" customHeight="1">
      <c r="A146" s="89"/>
    </row>
    <row r="147" ht="15.75" customHeight="1">
      <c r="A147" s="89"/>
    </row>
    <row r="148" ht="15.75" customHeight="1">
      <c r="A148" s="89"/>
    </row>
    <row r="149" ht="15.75" customHeight="1">
      <c r="A149" s="89"/>
    </row>
    <row r="150" ht="15.75" customHeight="1">
      <c r="A150" s="89"/>
    </row>
    <row r="151" ht="15.75" customHeight="1">
      <c r="A151" s="89"/>
    </row>
    <row r="152" ht="15.75" customHeight="1">
      <c r="A152" s="89"/>
    </row>
    <row r="153" ht="15.75" customHeight="1">
      <c r="A153" s="89"/>
    </row>
    <row r="154" ht="15.75" customHeight="1">
      <c r="A154" s="89"/>
    </row>
    <row r="155" ht="15.75" customHeight="1">
      <c r="A155" s="89"/>
    </row>
    <row r="156" ht="15.75" customHeight="1">
      <c r="A156" s="89"/>
    </row>
    <row r="157" ht="15.75" customHeight="1">
      <c r="A157" s="89"/>
    </row>
    <row r="158" ht="15.75" customHeight="1">
      <c r="A158" s="89"/>
    </row>
    <row r="159" ht="15.75" customHeight="1">
      <c r="A159" s="89"/>
    </row>
    <row r="160" ht="15.75" customHeight="1">
      <c r="A160" s="89"/>
    </row>
    <row r="161" ht="15.75" customHeight="1">
      <c r="A161" s="89"/>
    </row>
    <row r="162" ht="15.75" customHeight="1">
      <c r="A162" s="89"/>
    </row>
    <row r="163" ht="15.75" customHeight="1">
      <c r="A163" s="89"/>
    </row>
    <row r="164" ht="15.75" customHeight="1">
      <c r="A164" s="89"/>
    </row>
    <row r="165" ht="15.75" customHeight="1">
      <c r="A165" s="89"/>
    </row>
    <row r="166" ht="15.75" customHeight="1">
      <c r="A166" s="89"/>
    </row>
    <row r="167" ht="15.75" customHeight="1">
      <c r="A167" s="89"/>
    </row>
    <row r="168" ht="15.75" customHeight="1">
      <c r="A168" s="89"/>
    </row>
    <row r="169" ht="15.75" customHeight="1">
      <c r="A169" s="89"/>
    </row>
    <row r="170" ht="15.75" customHeight="1">
      <c r="A170" s="89"/>
    </row>
    <row r="171" ht="15.75" customHeight="1">
      <c r="A171" s="89"/>
    </row>
    <row r="172" ht="15.75" customHeight="1">
      <c r="A172" s="89"/>
    </row>
    <row r="173" ht="15.75" customHeight="1">
      <c r="A173" s="89"/>
    </row>
    <row r="174" ht="15.75" customHeight="1">
      <c r="A174" s="89"/>
    </row>
    <row r="175" ht="15.75" customHeight="1">
      <c r="A175" s="89"/>
    </row>
    <row r="176" ht="15.75" customHeight="1">
      <c r="A176" s="89"/>
    </row>
    <row r="177" ht="15.75" customHeight="1">
      <c r="A177" s="89"/>
    </row>
    <row r="178" ht="15.75" customHeight="1">
      <c r="A178" s="89"/>
    </row>
    <row r="179" ht="15.75" customHeight="1">
      <c r="A179" s="89"/>
    </row>
    <row r="180" ht="15.75" customHeight="1">
      <c r="A180" s="89"/>
    </row>
    <row r="181" ht="15.75" customHeight="1">
      <c r="A181" s="89"/>
    </row>
    <row r="182" ht="15.75" customHeight="1">
      <c r="A182" s="89"/>
    </row>
    <row r="183" ht="15.75" customHeight="1">
      <c r="A183" s="89"/>
    </row>
    <row r="184" ht="15.75" customHeight="1">
      <c r="A184" s="89"/>
    </row>
    <row r="185" ht="15.75" customHeight="1">
      <c r="A185" s="89"/>
    </row>
    <row r="186" ht="15.75" customHeight="1">
      <c r="A186" s="89"/>
    </row>
    <row r="187" ht="15.75" customHeight="1">
      <c r="A187" s="89"/>
    </row>
    <row r="188" ht="15.75" customHeight="1">
      <c r="A188" s="89"/>
    </row>
    <row r="189" ht="15.75" customHeight="1">
      <c r="A189" s="89"/>
    </row>
    <row r="190" ht="15.75" customHeight="1">
      <c r="A190" s="89"/>
    </row>
    <row r="191" ht="15.75" customHeight="1">
      <c r="A191" s="89"/>
    </row>
    <row r="192" ht="15.75" customHeight="1">
      <c r="A192" s="89"/>
    </row>
    <row r="193" ht="15.75" customHeight="1">
      <c r="A193" s="89"/>
    </row>
    <row r="194" ht="15.75" customHeight="1">
      <c r="A194" s="89"/>
    </row>
    <row r="195" ht="15.75" customHeight="1">
      <c r="A195" s="89"/>
    </row>
    <row r="196" ht="15.75" customHeight="1">
      <c r="A196" s="89"/>
    </row>
    <row r="197" ht="15.75" customHeight="1">
      <c r="A197" s="89"/>
    </row>
    <row r="198" ht="15.75" customHeight="1">
      <c r="A198" s="89"/>
    </row>
    <row r="199" ht="15.75" customHeight="1">
      <c r="A199" s="89"/>
    </row>
    <row r="200" ht="15.75" customHeight="1">
      <c r="A200" s="89"/>
    </row>
    <row r="201" ht="15.75" customHeight="1">
      <c r="A201" s="89"/>
    </row>
    <row r="202" ht="15.75" customHeight="1">
      <c r="A202" s="89"/>
    </row>
    <row r="203" ht="15.75" customHeight="1">
      <c r="A203" s="89"/>
    </row>
    <row r="204" ht="15.75" customHeight="1">
      <c r="A204" s="89"/>
    </row>
    <row r="205" ht="15.75" customHeight="1">
      <c r="A205" s="89"/>
    </row>
    <row r="206" ht="15.75" customHeight="1">
      <c r="A206" s="89"/>
    </row>
    <row r="207" ht="15.75" customHeight="1">
      <c r="A207" s="89"/>
    </row>
    <row r="208" ht="15.75" customHeight="1">
      <c r="A208" s="89"/>
    </row>
    <row r="209" ht="15.75" customHeight="1">
      <c r="A209" s="89"/>
    </row>
    <row r="210" ht="15.75" customHeight="1">
      <c r="A210" s="89"/>
    </row>
    <row r="211" ht="15.75" customHeight="1">
      <c r="A211" s="89"/>
    </row>
    <row r="212" ht="15.75" customHeight="1">
      <c r="A212" s="89"/>
    </row>
    <row r="213" ht="15.75" customHeight="1">
      <c r="A213" s="89"/>
    </row>
    <row r="214" ht="15.75" customHeight="1">
      <c r="A214" s="89"/>
    </row>
    <row r="215" ht="15.75" customHeight="1">
      <c r="A215" s="89"/>
    </row>
    <row r="216" ht="15.75" customHeight="1">
      <c r="A216" s="89"/>
    </row>
    <row r="217" ht="15.75" customHeight="1">
      <c r="A217" s="89"/>
    </row>
    <row r="218" ht="15.75" customHeight="1">
      <c r="A218" s="89"/>
    </row>
    <row r="219" ht="15.75" customHeight="1">
      <c r="A219" s="89"/>
    </row>
    <row r="220" ht="15.75" customHeight="1">
      <c r="A220" s="89"/>
    </row>
    <row r="221" ht="15.75" customHeight="1">
      <c r="A221" s="89"/>
    </row>
    <row r="222" ht="15.75" customHeight="1">
      <c r="A222" s="89"/>
    </row>
    <row r="223" ht="15.75" customHeight="1">
      <c r="A223" s="89"/>
    </row>
    <row r="224" ht="15.75" customHeight="1">
      <c r="A224" s="89"/>
    </row>
    <row r="225" ht="15.75" customHeight="1">
      <c r="A225" s="89"/>
    </row>
    <row r="226" ht="15.75" customHeight="1">
      <c r="A226" s="89"/>
    </row>
    <row r="227" ht="15.75" customHeight="1">
      <c r="A227" s="89"/>
    </row>
    <row r="228" ht="15.75" customHeight="1">
      <c r="A228" s="89"/>
    </row>
    <row r="229" ht="15.75" customHeight="1">
      <c r="A229" s="89"/>
    </row>
    <row r="230" ht="15.75" customHeight="1">
      <c r="A230" s="89"/>
    </row>
    <row r="231" ht="15.75" customHeight="1">
      <c r="A231" s="89"/>
    </row>
    <row r="232" ht="15.75" customHeight="1">
      <c r="A232" s="89"/>
    </row>
    <row r="233" ht="15.75" customHeight="1">
      <c r="A233" s="89"/>
    </row>
    <row r="234" ht="15.75" customHeight="1">
      <c r="A234" s="89"/>
    </row>
    <row r="235" ht="15.75" customHeight="1">
      <c r="A235" s="89"/>
    </row>
    <row r="236" ht="15.75" customHeight="1">
      <c r="A236" s="89"/>
    </row>
    <row r="237" ht="15.75" customHeight="1">
      <c r="A237" s="89"/>
    </row>
    <row r="238" ht="15.75" customHeight="1">
      <c r="A238" s="89"/>
    </row>
    <row r="239" ht="15.75" customHeight="1">
      <c r="A239" s="89"/>
    </row>
    <row r="240" ht="15.75" customHeight="1">
      <c r="A240" s="89"/>
    </row>
    <row r="241" ht="15.75" customHeight="1">
      <c r="A241" s="89"/>
    </row>
    <row r="242" ht="15.75" customHeight="1">
      <c r="A242" s="89"/>
    </row>
    <row r="243" ht="15.75" customHeight="1">
      <c r="A243" s="89"/>
    </row>
    <row r="244" ht="15.75" customHeight="1">
      <c r="A244" s="89"/>
    </row>
    <row r="245" ht="15.75" customHeight="1">
      <c r="A245" s="89"/>
    </row>
    <row r="246" ht="15.75" customHeight="1">
      <c r="A246" s="89"/>
    </row>
    <row r="247" ht="15.75" customHeight="1">
      <c r="A247" s="89"/>
    </row>
    <row r="248" ht="15.75" customHeight="1">
      <c r="A248" s="89"/>
    </row>
    <row r="249" ht="15.75" customHeight="1">
      <c r="A249" s="89"/>
    </row>
    <row r="250" ht="15.75" customHeight="1">
      <c r="A250" s="89"/>
    </row>
    <row r="251" ht="15.75" customHeight="1">
      <c r="A251" s="89"/>
    </row>
    <row r="252" ht="15.75" customHeight="1">
      <c r="A252" s="89"/>
    </row>
    <row r="253" ht="15.75" customHeight="1">
      <c r="A253" s="89"/>
    </row>
    <row r="254" ht="15.75" customHeight="1">
      <c r="A254" s="89"/>
    </row>
    <row r="255" ht="15.75" customHeight="1">
      <c r="A255" s="89"/>
    </row>
    <row r="256" ht="15.75" customHeight="1">
      <c r="A256" s="89"/>
    </row>
    <row r="257" ht="15.75" customHeight="1">
      <c r="A257" s="89"/>
    </row>
    <row r="258" ht="15.75" customHeight="1">
      <c r="A258" s="89"/>
    </row>
    <row r="259" ht="15.75" customHeight="1">
      <c r="A259" s="89"/>
    </row>
    <row r="260" ht="15.75" customHeight="1">
      <c r="A260" s="89"/>
    </row>
    <row r="261" ht="15.75" customHeight="1">
      <c r="A261" s="89"/>
    </row>
    <row r="262" ht="15.75" customHeight="1">
      <c r="A262" s="89"/>
    </row>
    <row r="263" ht="15.75" customHeight="1">
      <c r="A263" s="89"/>
    </row>
    <row r="264" ht="15.75" customHeight="1">
      <c r="A264" s="89"/>
    </row>
    <row r="265" ht="15.75" customHeight="1">
      <c r="A265" s="89"/>
    </row>
    <row r="266" ht="15.75" customHeight="1">
      <c r="A266" s="89"/>
    </row>
    <row r="267" ht="15.75" customHeight="1">
      <c r="A267" s="89"/>
    </row>
    <row r="268" ht="15.75" customHeight="1">
      <c r="A268" s="89"/>
    </row>
    <row r="269" ht="15.75" customHeight="1">
      <c r="A269" s="89"/>
    </row>
    <row r="270" ht="15.75" customHeight="1">
      <c r="A270" s="89"/>
    </row>
    <row r="271" ht="15.75" customHeight="1">
      <c r="A271" s="89"/>
    </row>
    <row r="272" ht="15.75" customHeight="1">
      <c r="A272" s="89"/>
    </row>
    <row r="273" ht="15.75" customHeight="1">
      <c r="A273" s="89"/>
    </row>
    <row r="274" ht="15.75" customHeight="1">
      <c r="A274" s="89"/>
    </row>
    <row r="275" ht="15.75" customHeight="1">
      <c r="A275" s="89"/>
    </row>
    <row r="276" ht="15.75" customHeight="1">
      <c r="A276" s="89"/>
    </row>
    <row r="277" ht="15.75" customHeight="1">
      <c r="A277" s="89"/>
    </row>
    <row r="278" ht="15.75" customHeight="1">
      <c r="A278" s="89"/>
    </row>
    <row r="279" ht="15.75" customHeight="1">
      <c r="A279" s="89"/>
    </row>
    <row r="280" ht="15.75" customHeight="1">
      <c r="A280" s="89"/>
    </row>
    <row r="281" ht="15.75" customHeight="1">
      <c r="A281" s="89"/>
    </row>
    <row r="282" ht="15.75" customHeight="1">
      <c r="A282" s="89"/>
    </row>
    <row r="283" ht="15.75" customHeight="1">
      <c r="A283" s="89"/>
    </row>
    <row r="284" ht="15.75" customHeight="1">
      <c r="A284" s="89"/>
    </row>
    <row r="285" ht="15.75" customHeight="1">
      <c r="A285" s="89"/>
    </row>
    <row r="286" ht="15.75" customHeight="1">
      <c r="A286" s="89"/>
    </row>
    <row r="287" ht="15.75" customHeight="1">
      <c r="A287" s="89"/>
    </row>
    <row r="288" ht="15.75" customHeight="1">
      <c r="A288" s="89"/>
    </row>
    <row r="289" ht="15.75" customHeight="1">
      <c r="A289" s="89"/>
    </row>
    <row r="290" ht="15.75" customHeight="1">
      <c r="A290" s="89"/>
    </row>
    <row r="291" ht="15.75" customHeight="1">
      <c r="A291" s="89"/>
    </row>
    <row r="292" ht="15.75" customHeight="1">
      <c r="A292" s="89"/>
    </row>
    <row r="293" ht="15.75" customHeight="1">
      <c r="A293" s="89"/>
    </row>
    <row r="294" ht="15.75" customHeight="1">
      <c r="A294" s="89"/>
    </row>
    <row r="295" ht="15.75" customHeight="1">
      <c r="A295" s="89"/>
    </row>
    <row r="296" ht="15.75" customHeight="1">
      <c r="A296" s="89"/>
    </row>
    <row r="297" ht="15.75" customHeight="1">
      <c r="A297" s="89"/>
    </row>
    <row r="298" ht="15.75" customHeight="1">
      <c r="A298" s="89"/>
    </row>
    <row r="299" ht="15.75" customHeight="1">
      <c r="A299" s="89"/>
    </row>
    <row r="300" ht="15.75" customHeight="1">
      <c r="A300" s="89"/>
    </row>
    <row r="301" ht="15.75" customHeight="1">
      <c r="A301" s="89"/>
    </row>
    <row r="302" ht="15.75" customHeight="1">
      <c r="A302" s="89"/>
    </row>
    <row r="303" ht="15.75" customHeight="1">
      <c r="A303" s="89"/>
    </row>
    <row r="304" ht="15.75" customHeight="1">
      <c r="A304" s="89"/>
    </row>
    <row r="305" ht="15.75" customHeight="1">
      <c r="A305" s="89"/>
    </row>
    <row r="306" ht="15.75" customHeight="1">
      <c r="A306" s="89"/>
    </row>
    <row r="307" ht="15.75" customHeight="1">
      <c r="A307" s="89"/>
    </row>
    <row r="308" ht="15.75" customHeight="1">
      <c r="A308" s="89"/>
    </row>
    <row r="309" ht="15.75" customHeight="1">
      <c r="A309" s="89"/>
    </row>
    <row r="310" ht="15.75" customHeight="1">
      <c r="A310" s="89"/>
    </row>
    <row r="311" ht="15.75" customHeight="1">
      <c r="A311" s="89"/>
    </row>
    <row r="312" ht="15.75" customHeight="1">
      <c r="A312" s="89"/>
    </row>
    <row r="313" ht="15.75" customHeight="1">
      <c r="A313" s="89"/>
    </row>
    <row r="314" ht="15.75" customHeight="1">
      <c r="A314" s="89"/>
    </row>
    <row r="315" ht="15.75" customHeight="1">
      <c r="A315" s="89"/>
    </row>
    <row r="316" ht="15.75" customHeight="1">
      <c r="A316" s="89"/>
    </row>
    <row r="317" ht="15.75" customHeight="1">
      <c r="A317" s="89"/>
    </row>
    <row r="318" ht="15.75" customHeight="1">
      <c r="A318" s="89"/>
    </row>
    <row r="319" ht="15.75" customHeight="1">
      <c r="A319" s="89"/>
    </row>
    <row r="320" ht="15.75" customHeight="1">
      <c r="A320" s="89"/>
    </row>
    <row r="321" ht="15.75" customHeight="1">
      <c r="A321" s="89"/>
    </row>
    <row r="322" ht="15.75" customHeight="1">
      <c r="A322" s="89"/>
    </row>
    <row r="323" ht="15.75" customHeight="1">
      <c r="A323" s="89"/>
    </row>
    <row r="324" ht="15.75" customHeight="1">
      <c r="A324" s="89"/>
    </row>
    <row r="325" ht="15.75" customHeight="1">
      <c r="A325" s="89"/>
    </row>
    <row r="326" ht="15.75" customHeight="1">
      <c r="A326" s="89"/>
    </row>
    <row r="327" ht="15.75" customHeight="1">
      <c r="A327" s="89"/>
    </row>
    <row r="328" ht="15.75" customHeight="1">
      <c r="A328" s="89"/>
    </row>
    <row r="329" ht="15.75" customHeight="1">
      <c r="A329" s="89"/>
    </row>
    <row r="330" ht="15.75" customHeight="1">
      <c r="A330" s="89"/>
    </row>
    <row r="331" ht="15.75" customHeight="1">
      <c r="A331" s="89"/>
    </row>
    <row r="332" ht="15.75" customHeight="1">
      <c r="A332" s="89"/>
    </row>
    <row r="333" ht="15.75" customHeight="1">
      <c r="A333" s="89"/>
    </row>
    <row r="334" ht="15.75" customHeight="1">
      <c r="A334" s="89"/>
    </row>
    <row r="335" ht="15.75" customHeight="1">
      <c r="A335" s="89"/>
    </row>
    <row r="336" ht="15.75" customHeight="1">
      <c r="A336" s="89"/>
    </row>
    <row r="337" ht="15.75" customHeight="1">
      <c r="A337" s="89"/>
    </row>
    <row r="338" ht="15.75" customHeight="1">
      <c r="A338" s="89"/>
    </row>
    <row r="339" ht="15.75" customHeight="1">
      <c r="A339" s="89"/>
    </row>
    <row r="340" ht="15.75" customHeight="1">
      <c r="A340" s="89"/>
    </row>
    <row r="341" ht="15.75" customHeight="1">
      <c r="A341" s="89"/>
    </row>
    <row r="342" ht="15.75" customHeight="1">
      <c r="A342" s="89"/>
    </row>
    <row r="343" ht="15.75" customHeight="1">
      <c r="A343" s="89"/>
    </row>
    <row r="344" ht="15.75" customHeight="1">
      <c r="A344" s="89"/>
    </row>
    <row r="345" ht="15.75" customHeight="1">
      <c r="A345" s="89"/>
    </row>
    <row r="346" ht="15.75" customHeight="1">
      <c r="A346" s="89"/>
    </row>
    <row r="347" ht="15.75" customHeight="1">
      <c r="A347" s="89"/>
    </row>
    <row r="348" ht="15.75" customHeight="1">
      <c r="A348" s="89"/>
    </row>
    <row r="349" ht="15.75" customHeight="1">
      <c r="A349" s="89"/>
    </row>
    <row r="350" ht="15.75" customHeight="1">
      <c r="A350" s="89"/>
    </row>
    <row r="351" ht="15.75" customHeight="1">
      <c r="A351" s="89"/>
    </row>
    <row r="352" ht="15.75" customHeight="1">
      <c r="A352" s="89"/>
    </row>
    <row r="353" ht="15.75" customHeight="1">
      <c r="A353" s="89"/>
    </row>
    <row r="354" ht="15.75" customHeight="1">
      <c r="A354" s="89"/>
    </row>
    <row r="355" ht="15.75" customHeight="1">
      <c r="A355" s="89"/>
    </row>
    <row r="356" ht="15.75" customHeight="1">
      <c r="A356" s="89"/>
    </row>
    <row r="357" ht="15.75" customHeight="1">
      <c r="A357" s="89"/>
    </row>
    <row r="358" ht="15.75" customHeight="1">
      <c r="A358" s="89"/>
    </row>
    <row r="359" ht="15.75" customHeight="1">
      <c r="A359" s="89"/>
    </row>
    <row r="360" ht="15.75" customHeight="1">
      <c r="A360" s="89"/>
    </row>
    <row r="361" ht="15.75" customHeight="1">
      <c r="A361" s="89"/>
    </row>
    <row r="362" ht="15.75" customHeight="1">
      <c r="A362" s="89"/>
    </row>
    <row r="363" ht="15.75" customHeight="1">
      <c r="A363" s="89"/>
    </row>
    <row r="364" ht="15.75" customHeight="1">
      <c r="A364" s="89"/>
    </row>
    <row r="365" ht="15.75" customHeight="1">
      <c r="A365" s="89"/>
    </row>
    <row r="366" ht="15.75" customHeight="1">
      <c r="A366" s="89"/>
    </row>
    <row r="367" ht="15.75" customHeight="1">
      <c r="A367" s="89"/>
    </row>
    <row r="368" ht="15.75" customHeight="1">
      <c r="A368" s="89"/>
    </row>
    <row r="369" ht="15.75" customHeight="1">
      <c r="A369" s="89"/>
    </row>
    <row r="370" ht="15.75" customHeight="1">
      <c r="A370" s="89"/>
    </row>
    <row r="371" ht="15.75" customHeight="1">
      <c r="A371" s="89"/>
    </row>
    <row r="372" ht="15.75" customHeight="1">
      <c r="A372" s="89"/>
    </row>
    <row r="373" ht="15.75" customHeight="1">
      <c r="A373" s="89"/>
    </row>
    <row r="374" ht="15.75" customHeight="1">
      <c r="A374" s="89"/>
    </row>
    <row r="375" ht="15.75" customHeight="1">
      <c r="A375" s="89"/>
    </row>
    <row r="376" ht="15.75" customHeight="1">
      <c r="A376" s="89"/>
    </row>
    <row r="377" ht="15.75" customHeight="1">
      <c r="A377" s="89"/>
    </row>
    <row r="378" ht="15.75" customHeight="1">
      <c r="A378" s="89"/>
    </row>
    <row r="379" ht="15.75" customHeight="1">
      <c r="A379" s="89"/>
    </row>
    <row r="380" ht="15.75" customHeight="1">
      <c r="A380" s="89"/>
    </row>
    <row r="381" ht="15.75" customHeight="1">
      <c r="A381" s="89"/>
    </row>
    <row r="382" ht="15.75" customHeight="1">
      <c r="A382" s="89"/>
    </row>
    <row r="383" ht="15.75" customHeight="1">
      <c r="A383" s="89"/>
    </row>
    <row r="384" ht="15.75" customHeight="1">
      <c r="A384" s="89"/>
    </row>
    <row r="385" ht="15.75" customHeight="1">
      <c r="A385" s="89"/>
    </row>
    <row r="386" ht="15.75" customHeight="1">
      <c r="A386" s="89"/>
    </row>
    <row r="387" ht="15.75" customHeight="1">
      <c r="A387" s="89"/>
    </row>
    <row r="388" ht="15.75" customHeight="1">
      <c r="A388" s="89"/>
    </row>
    <row r="389" ht="15.75" customHeight="1">
      <c r="A389" s="89"/>
    </row>
    <row r="390" ht="15.75" customHeight="1">
      <c r="A390" s="89"/>
    </row>
    <row r="391" ht="15.75" customHeight="1">
      <c r="A391" s="89"/>
    </row>
    <row r="392" ht="15.75" customHeight="1">
      <c r="A392" s="89"/>
    </row>
    <row r="393" ht="15.75" customHeight="1">
      <c r="A393" s="89"/>
    </row>
    <row r="394" ht="15.75" customHeight="1">
      <c r="A394" s="89"/>
    </row>
    <row r="395" ht="15.75" customHeight="1">
      <c r="A395" s="89"/>
    </row>
    <row r="396" ht="15.75" customHeight="1">
      <c r="A396" s="89"/>
    </row>
    <row r="397" ht="15.75" customHeight="1">
      <c r="A397" s="89"/>
    </row>
    <row r="398" ht="15.75" customHeight="1">
      <c r="A398" s="89"/>
    </row>
    <row r="399" ht="15.75" customHeight="1">
      <c r="A399" s="89"/>
    </row>
    <row r="400" ht="15.75" customHeight="1">
      <c r="A400" s="89"/>
    </row>
    <row r="401" ht="15.75" customHeight="1">
      <c r="A401" s="89"/>
    </row>
    <row r="402" ht="15.75" customHeight="1">
      <c r="A402" s="89"/>
    </row>
    <row r="403" ht="15.75" customHeight="1">
      <c r="A403" s="89"/>
    </row>
    <row r="404" ht="15.75" customHeight="1">
      <c r="A404" s="89"/>
    </row>
    <row r="405" ht="15.75" customHeight="1">
      <c r="A405" s="89"/>
    </row>
    <row r="406" ht="15.75" customHeight="1">
      <c r="A406" s="89"/>
    </row>
    <row r="407" ht="15.75" customHeight="1">
      <c r="A407" s="89"/>
    </row>
    <row r="408" ht="15.75" customHeight="1">
      <c r="A408" s="89"/>
    </row>
    <row r="409" ht="15.75" customHeight="1">
      <c r="A409" s="89"/>
    </row>
    <row r="410" ht="15.75" customHeight="1">
      <c r="A410" s="89"/>
    </row>
    <row r="411" ht="15.75" customHeight="1">
      <c r="A411" s="89"/>
    </row>
    <row r="412" ht="15.75" customHeight="1">
      <c r="A412" s="89"/>
    </row>
    <row r="413" ht="15.75" customHeight="1">
      <c r="A413" s="89"/>
    </row>
    <row r="414" ht="15.75" customHeight="1">
      <c r="A414" s="89"/>
    </row>
    <row r="415" ht="15.75" customHeight="1">
      <c r="A415" s="89"/>
    </row>
    <row r="416" ht="15.75" customHeight="1">
      <c r="A416" s="89"/>
    </row>
    <row r="417" ht="15.75" customHeight="1">
      <c r="A417" s="89"/>
    </row>
    <row r="418" ht="15.75" customHeight="1">
      <c r="A418" s="89"/>
    </row>
    <row r="419" ht="15.75" customHeight="1">
      <c r="A419" s="89"/>
    </row>
    <row r="420" ht="15.75" customHeight="1">
      <c r="A420" s="89"/>
    </row>
    <row r="421" ht="15.75" customHeight="1">
      <c r="A421" s="89"/>
    </row>
    <row r="422" ht="15.75" customHeight="1">
      <c r="A422" s="89"/>
    </row>
    <row r="423" ht="15.75" customHeight="1">
      <c r="A423" s="89"/>
    </row>
    <row r="424" ht="15.75" customHeight="1">
      <c r="A424" s="89"/>
    </row>
    <row r="425" ht="15.75" customHeight="1">
      <c r="A425" s="89"/>
    </row>
    <row r="426" ht="15.75" customHeight="1">
      <c r="A426" s="89"/>
    </row>
    <row r="427" ht="15.75" customHeight="1">
      <c r="A427" s="89"/>
    </row>
    <row r="428" ht="15.75" customHeight="1">
      <c r="A428" s="89"/>
    </row>
    <row r="429" ht="15.75" customHeight="1">
      <c r="A429" s="89"/>
    </row>
    <row r="430" ht="15.75" customHeight="1">
      <c r="A430" s="89"/>
    </row>
    <row r="431" ht="15.75" customHeight="1">
      <c r="A431" s="89"/>
    </row>
    <row r="432" ht="15.75" customHeight="1">
      <c r="A432" s="89"/>
    </row>
    <row r="433" ht="15.75" customHeight="1">
      <c r="A433" s="89"/>
    </row>
    <row r="434" ht="15.75" customHeight="1">
      <c r="A434" s="89"/>
    </row>
    <row r="435" ht="15.75" customHeight="1">
      <c r="A435" s="89"/>
    </row>
    <row r="436" ht="15.75" customHeight="1">
      <c r="A436" s="89"/>
    </row>
    <row r="437" ht="15.75" customHeight="1">
      <c r="A437" s="89"/>
    </row>
    <row r="438" ht="15.75" customHeight="1">
      <c r="A438" s="89"/>
    </row>
    <row r="439" ht="15.75" customHeight="1">
      <c r="A439" s="89"/>
    </row>
    <row r="440" ht="15.75" customHeight="1">
      <c r="A440" s="89"/>
    </row>
    <row r="441" ht="15.75" customHeight="1">
      <c r="A441" s="89"/>
    </row>
    <row r="442" ht="15.75" customHeight="1">
      <c r="A442" s="89"/>
    </row>
    <row r="443" ht="15.75" customHeight="1">
      <c r="A443" s="89"/>
    </row>
    <row r="444" ht="15.75" customHeight="1">
      <c r="A444" s="89"/>
    </row>
    <row r="445" ht="15.75" customHeight="1">
      <c r="A445" s="89"/>
    </row>
    <row r="446" ht="15.75" customHeight="1">
      <c r="A446" s="89"/>
    </row>
    <row r="447" ht="15.75" customHeight="1">
      <c r="A447" s="89"/>
    </row>
    <row r="448" ht="15.75" customHeight="1">
      <c r="A448" s="89"/>
    </row>
    <row r="449" ht="15.75" customHeight="1">
      <c r="A449" s="89"/>
    </row>
    <row r="450" ht="15.75" customHeight="1">
      <c r="A450" s="89"/>
    </row>
    <row r="451" ht="15.75" customHeight="1">
      <c r="A451" s="89"/>
    </row>
    <row r="452" ht="15.75" customHeight="1">
      <c r="A452" s="89"/>
    </row>
    <row r="453" ht="15.75" customHeight="1">
      <c r="A453" s="89"/>
    </row>
    <row r="454" ht="15.75" customHeight="1">
      <c r="A454" s="89"/>
    </row>
    <row r="455" ht="15.75" customHeight="1">
      <c r="A455" s="89"/>
    </row>
    <row r="456" ht="15.75" customHeight="1">
      <c r="A456" s="89"/>
    </row>
    <row r="457" ht="15.75" customHeight="1">
      <c r="A457" s="89"/>
    </row>
    <row r="458" ht="15.75" customHeight="1">
      <c r="A458" s="89"/>
    </row>
    <row r="459" ht="15.75" customHeight="1">
      <c r="A459" s="89"/>
    </row>
    <row r="460" ht="15.75" customHeight="1">
      <c r="A460" s="89"/>
    </row>
    <row r="461" ht="15.75" customHeight="1">
      <c r="A461" s="89"/>
    </row>
    <row r="462" ht="15.75" customHeight="1">
      <c r="A462" s="89"/>
    </row>
    <row r="463" ht="15.75" customHeight="1">
      <c r="A463" s="89"/>
    </row>
    <row r="464" ht="15.75" customHeight="1">
      <c r="A464" s="89"/>
    </row>
    <row r="465" ht="15.75" customHeight="1">
      <c r="A465" s="89"/>
    </row>
    <row r="466" ht="15.75" customHeight="1">
      <c r="A466" s="89"/>
    </row>
    <row r="467" ht="15.75" customHeight="1">
      <c r="A467" s="89"/>
    </row>
    <row r="468" ht="15.75" customHeight="1">
      <c r="A468" s="89"/>
    </row>
    <row r="469" ht="15.75" customHeight="1">
      <c r="A469" s="89"/>
    </row>
    <row r="470" ht="15.75" customHeight="1">
      <c r="A470" s="89"/>
    </row>
    <row r="471" ht="15.75" customHeight="1">
      <c r="A471" s="89"/>
    </row>
    <row r="472" ht="15.75" customHeight="1">
      <c r="A472" s="89"/>
    </row>
    <row r="473" ht="15.75" customHeight="1">
      <c r="A473" s="89"/>
    </row>
    <row r="474" ht="15.75" customHeight="1">
      <c r="A474" s="89"/>
    </row>
    <row r="475" ht="15.75" customHeight="1">
      <c r="A475" s="89"/>
    </row>
    <row r="476" ht="15.75" customHeight="1">
      <c r="A476" s="89"/>
    </row>
    <row r="477" ht="15.75" customHeight="1">
      <c r="A477" s="89"/>
    </row>
    <row r="478" ht="15.75" customHeight="1">
      <c r="A478" s="89"/>
    </row>
    <row r="479" ht="15.75" customHeight="1">
      <c r="A479" s="89"/>
    </row>
    <row r="480" ht="15.75" customHeight="1">
      <c r="A480" s="89"/>
    </row>
    <row r="481" ht="15.75" customHeight="1">
      <c r="A481" s="89"/>
    </row>
    <row r="482" ht="15.75" customHeight="1">
      <c r="A482" s="89"/>
    </row>
    <row r="483" ht="15.75" customHeight="1">
      <c r="A483" s="89"/>
    </row>
    <row r="484" ht="15.75" customHeight="1">
      <c r="A484" s="89"/>
    </row>
    <row r="485" ht="15.75" customHeight="1">
      <c r="A485" s="89"/>
    </row>
    <row r="486" ht="15.75" customHeight="1">
      <c r="A486" s="89"/>
    </row>
    <row r="487" ht="15.75" customHeight="1">
      <c r="A487" s="89"/>
    </row>
    <row r="488" ht="15.75" customHeight="1">
      <c r="A488" s="89"/>
    </row>
    <row r="489" ht="15.75" customHeight="1">
      <c r="A489" s="89"/>
    </row>
    <row r="490" ht="15.75" customHeight="1">
      <c r="A490" s="89"/>
    </row>
    <row r="491" ht="15.75" customHeight="1">
      <c r="A491" s="89"/>
    </row>
    <row r="492" ht="15.75" customHeight="1">
      <c r="A492" s="89"/>
    </row>
    <row r="493" ht="15.75" customHeight="1">
      <c r="A493" s="89"/>
    </row>
    <row r="494" ht="15.75" customHeight="1">
      <c r="A494" s="89"/>
    </row>
    <row r="495" ht="15.75" customHeight="1">
      <c r="A495" s="89"/>
    </row>
    <row r="496" ht="15.75" customHeight="1">
      <c r="A496" s="89"/>
    </row>
    <row r="497" ht="15.75" customHeight="1">
      <c r="A497" s="89"/>
    </row>
    <row r="498" ht="15.75" customHeight="1">
      <c r="A498" s="89"/>
    </row>
    <row r="499" ht="15.75" customHeight="1">
      <c r="A499" s="89"/>
    </row>
    <row r="500" ht="15.75" customHeight="1">
      <c r="A500" s="89"/>
    </row>
    <row r="501" ht="15.75" customHeight="1">
      <c r="A501" s="89"/>
    </row>
    <row r="502" ht="15.75" customHeight="1">
      <c r="A502" s="89"/>
    </row>
    <row r="503" ht="15.75" customHeight="1">
      <c r="A503" s="89"/>
    </row>
    <row r="504" ht="15.75" customHeight="1">
      <c r="A504" s="89"/>
    </row>
    <row r="505" ht="15.75" customHeight="1">
      <c r="A505" s="89"/>
    </row>
    <row r="506" ht="15.75" customHeight="1">
      <c r="A506" s="89"/>
    </row>
    <row r="507" ht="15.75" customHeight="1">
      <c r="A507" s="89"/>
    </row>
    <row r="508" ht="15.75" customHeight="1">
      <c r="A508" s="89"/>
    </row>
    <row r="509" ht="15.75" customHeight="1">
      <c r="A509" s="89"/>
    </row>
    <row r="510" ht="15.75" customHeight="1">
      <c r="A510" s="89"/>
    </row>
    <row r="511" ht="15.75" customHeight="1">
      <c r="A511" s="89"/>
    </row>
    <row r="512" ht="15.75" customHeight="1">
      <c r="A512" s="89"/>
    </row>
    <row r="513" ht="15.75" customHeight="1">
      <c r="A513" s="89"/>
    </row>
    <row r="514" ht="15.75" customHeight="1">
      <c r="A514" s="89"/>
    </row>
    <row r="515" ht="15.75" customHeight="1">
      <c r="A515" s="89"/>
    </row>
    <row r="516" ht="15.75" customHeight="1">
      <c r="A516" s="89"/>
    </row>
    <row r="517" ht="15.75" customHeight="1">
      <c r="A517" s="89"/>
    </row>
    <row r="518" ht="15.75" customHeight="1">
      <c r="A518" s="89"/>
    </row>
    <row r="519" ht="15.75" customHeight="1">
      <c r="A519" s="89"/>
    </row>
    <row r="520" ht="15.75" customHeight="1">
      <c r="A520" s="89"/>
    </row>
    <row r="521" ht="15.75" customHeight="1">
      <c r="A521" s="89"/>
    </row>
    <row r="522" ht="15.75" customHeight="1">
      <c r="A522" s="89"/>
    </row>
    <row r="523" ht="15.75" customHeight="1">
      <c r="A523" s="89"/>
    </row>
    <row r="524" ht="15.75" customHeight="1">
      <c r="A524" s="89"/>
    </row>
    <row r="525" ht="15.75" customHeight="1">
      <c r="A525" s="89"/>
    </row>
    <row r="526" ht="15.75" customHeight="1">
      <c r="A526" s="89"/>
    </row>
    <row r="527" ht="15.75" customHeight="1">
      <c r="A527" s="89"/>
    </row>
    <row r="528" ht="15.75" customHeight="1">
      <c r="A528" s="89"/>
    </row>
    <row r="529" ht="15.75" customHeight="1">
      <c r="A529" s="89"/>
    </row>
    <row r="530" ht="15.75" customHeight="1">
      <c r="A530" s="89"/>
    </row>
    <row r="531" ht="15.75" customHeight="1">
      <c r="A531" s="89"/>
    </row>
    <row r="532" ht="15.75" customHeight="1">
      <c r="A532" s="89"/>
    </row>
    <row r="533" ht="15.75" customHeight="1">
      <c r="A533" s="89"/>
    </row>
    <row r="534" ht="15.75" customHeight="1">
      <c r="A534" s="89"/>
    </row>
    <row r="535" ht="15.75" customHeight="1">
      <c r="A535" s="89"/>
    </row>
    <row r="536" ht="15.75" customHeight="1">
      <c r="A536" s="89"/>
    </row>
    <row r="537" ht="15.75" customHeight="1">
      <c r="A537" s="89"/>
    </row>
    <row r="538" ht="15.75" customHeight="1">
      <c r="A538" s="89"/>
    </row>
    <row r="539" ht="15.75" customHeight="1">
      <c r="A539" s="89"/>
    </row>
    <row r="540" ht="15.75" customHeight="1">
      <c r="A540" s="89"/>
    </row>
    <row r="541" ht="15.75" customHeight="1">
      <c r="A541" s="89"/>
    </row>
    <row r="542" ht="15.75" customHeight="1">
      <c r="A542" s="89"/>
    </row>
    <row r="543" ht="15.75" customHeight="1">
      <c r="A543" s="89"/>
    </row>
    <row r="544" ht="15.75" customHeight="1">
      <c r="A544" s="89"/>
    </row>
    <row r="545" ht="15.75" customHeight="1">
      <c r="A545" s="89"/>
    </row>
    <row r="546" ht="15.75" customHeight="1">
      <c r="A546" s="89"/>
    </row>
    <row r="547" ht="15.75" customHeight="1">
      <c r="A547" s="89"/>
    </row>
    <row r="548" ht="15.75" customHeight="1">
      <c r="A548" s="89"/>
    </row>
    <row r="549" ht="15.75" customHeight="1">
      <c r="A549" s="89"/>
    </row>
    <row r="550" ht="15.75" customHeight="1">
      <c r="A550" s="89"/>
    </row>
    <row r="551" ht="15.75" customHeight="1">
      <c r="A551" s="89"/>
    </row>
    <row r="552" ht="15.75" customHeight="1">
      <c r="A552" s="89"/>
    </row>
    <row r="553" ht="15.75" customHeight="1">
      <c r="A553" s="89"/>
    </row>
    <row r="554" ht="15.75" customHeight="1">
      <c r="A554" s="89"/>
    </row>
    <row r="555" ht="15.75" customHeight="1">
      <c r="A555" s="89"/>
    </row>
    <row r="556" ht="15.75" customHeight="1">
      <c r="A556" s="89"/>
    </row>
    <row r="557" ht="15.75" customHeight="1">
      <c r="A557" s="89"/>
    </row>
    <row r="558" ht="15.75" customHeight="1">
      <c r="A558" s="89"/>
    </row>
    <row r="559" ht="15.75" customHeight="1">
      <c r="A559" s="89"/>
    </row>
    <row r="560" ht="15.75" customHeight="1">
      <c r="A560" s="89"/>
    </row>
    <row r="561" ht="15.75" customHeight="1">
      <c r="A561" s="89"/>
    </row>
    <row r="562" ht="15.75" customHeight="1">
      <c r="A562" s="89"/>
    </row>
    <row r="563" ht="15.75" customHeight="1">
      <c r="A563" s="89"/>
    </row>
    <row r="564" ht="15.75" customHeight="1">
      <c r="A564" s="89"/>
    </row>
    <row r="565" ht="15.75" customHeight="1">
      <c r="A565" s="89"/>
    </row>
    <row r="566" ht="15.75" customHeight="1">
      <c r="A566" s="89"/>
    </row>
    <row r="567" ht="15.75" customHeight="1">
      <c r="A567" s="89"/>
    </row>
    <row r="568" ht="15.75" customHeight="1">
      <c r="A568" s="89"/>
    </row>
    <row r="569" ht="15.75" customHeight="1">
      <c r="A569" s="89"/>
    </row>
    <row r="570" ht="15.75" customHeight="1">
      <c r="A570" s="89"/>
    </row>
    <row r="571" ht="15.75" customHeight="1">
      <c r="A571" s="89"/>
    </row>
    <row r="572" ht="15.75" customHeight="1">
      <c r="A572" s="89"/>
    </row>
    <row r="573" ht="15.75" customHeight="1">
      <c r="A573" s="89"/>
    </row>
    <row r="574" ht="15.75" customHeight="1">
      <c r="A574" s="89"/>
    </row>
    <row r="575" ht="15.75" customHeight="1">
      <c r="A575" s="89"/>
    </row>
    <row r="576" ht="15.75" customHeight="1">
      <c r="A576" s="89"/>
    </row>
    <row r="577" ht="15.75" customHeight="1">
      <c r="A577" s="89"/>
    </row>
    <row r="578" ht="15.75" customHeight="1">
      <c r="A578" s="89"/>
    </row>
    <row r="579" ht="15.75" customHeight="1">
      <c r="A579" s="89"/>
    </row>
    <row r="580" ht="15.75" customHeight="1">
      <c r="A580" s="89"/>
    </row>
    <row r="581" ht="15.75" customHeight="1">
      <c r="A581" s="89"/>
    </row>
    <row r="582" ht="15.75" customHeight="1">
      <c r="A582" s="89"/>
    </row>
    <row r="583" ht="15.75" customHeight="1">
      <c r="A583" s="89"/>
    </row>
    <row r="584" ht="15.75" customHeight="1">
      <c r="A584" s="89"/>
    </row>
    <row r="585" ht="15.75" customHeight="1">
      <c r="A585" s="89"/>
    </row>
    <row r="586" ht="15.75" customHeight="1">
      <c r="A586" s="89"/>
    </row>
    <row r="587" ht="15.75" customHeight="1">
      <c r="A587" s="89"/>
    </row>
    <row r="588" ht="15.75" customHeight="1">
      <c r="A588" s="89"/>
    </row>
    <row r="589" ht="15.75" customHeight="1">
      <c r="A589" s="89"/>
    </row>
    <row r="590" ht="15.75" customHeight="1">
      <c r="A590" s="89"/>
    </row>
    <row r="591" ht="15.75" customHeight="1">
      <c r="A591" s="89"/>
    </row>
    <row r="592" ht="15.75" customHeight="1">
      <c r="A592" s="89"/>
    </row>
    <row r="593" ht="15.75" customHeight="1">
      <c r="A593" s="89"/>
    </row>
    <row r="594" ht="15.75" customHeight="1">
      <c r="A594" s="89"/>
    </row>
    <row r="595" ht="15.75" customHeight="1">
      <c r="A595" s="89"/>
    </row>
    <row r="596" ht="15.75" customHeight="1">
      <c r="A596" s="89"/>
    </row>
    <row r="597" ht="15.75" customHeight="1">
      <c r="A597" s="89"/>
    </row>
    <row r="598" ht="15.75" customHeight="1">
      <c r="A598" s="89"/>
    </row>
    <row r="599" ht="15.75" customHeight="1">
      <c r="A599" s="89"/>
    </row>
    <row r="600" ht="15.75" customHeight="1">
      <c r="A600" s="89"/>
    </row>
    <row r="601" ht="15.75" customHeight="1">
      <c r="A601" s="89"/>
    </row>
    <row r="602" ht="15.75" customHeight="1">
      <c r="A602" s="89"/>
    </row>
    <row r="603" ht="15.75" customHeight="1">
      <c r="A603" s="89"/>
    </row>
    <row r="604" ht="15.75" customHeight="1">
      <c r="A604" s="89"/>
    </row>
    <row r="605" ht="15.75" customHeight="1">
      <c r="A605" s="89"/>
    </row>
    <row r="606" ht="15.75" customHeight="1">
      <c r="A606" s="89"/>
    </row>
    <row r="607" ht="15.75" customHeight="1">
      <c r="A607" s="89"/>
    </row>
    <row r="608" ht="15.75" customHeight="1">
      <c r="A608" s="89"/>
    </row>
    <row r="609" ht="15.75" customHeight="1">
      <c r="A609" s="89"/>
    </row>
    <row r="610" ht="15.75" customHeight="1">
      <c r="A610" s="89"/>
    </row>
    <row r="611" ht="15.75" customHeight="1">
      <c r="A611" s="89"/>
    </row>
    <row r="612" ht="15.75" customHeight="1">
      <c r="A612" s="89"/>
    </row>
    <row r="613" ht="15.75" customHeight="1">
      <c r="A613" s="89"/>
    </row>
    <row r="614" ht="15.75" customHeight="1">
      <c r="A614" s="89"/>
    </row>
    <row r="615" ht="15.75" customHeight="1">
      <c r="A615" s="89"/>
    </row>
    <row r="616" ht="15.75" customHeight="1">
      <c r="A616" s="89"/>
    </row>
    <row r="617" ht="15.75" customHeight="1">
      <c r="A617" s="89"/>
    </row>
    <row r="618" ht="15.75" customHeight="1">
      <c r="A618" s="89"/>
    </row>
    <row r="619" ht="15.75" customHeight="1">
      <c r="A619" s="89"/>
    </row>
    <row r="620" ht="15.75" customHeight="1">
      <c r="A620" s="89"/>
    </row>
    <row r="621" ht="15.75" customHeight="1">
      <c r="A621" s="89"/>
    </row>
    <row r="622" ht="15.75" customHeight="1">
      <c r="A622" s="89"/>
    </row>
    <row r="623" ht="15.75" customHeight="1">
      <c r="A623" s="89"/>
    </row>
    <row r="624" ht="15.75" customHeight="1">
      <c r="A624" s="89"/>
    </row>
    <row r="625" ht="15.75" customHeight="1">
      <c r="A625" s="89"/>
    </row>
    <row r="626" ht="15.75" customHeight="1">
      <c r="A626" s="89"/>
    </row>
    <row r="627" ht="15.75" customHeight="1">
      <c r="A627" s="89"/>
    </row>
    <row r="628" ht="15.75" customHeight="1">
      <c r="A628" s="89"/>
    </row>
    <row r="629" ht="15.75" customHeight="1">
      <c r="A629" s="89"/>
    </row>
    <row r="630" ht="15.75" customHeight="1">
      <c r="A630" s="89"/>
    </row>
    <row r="631" ht="15.75" customHeight="1">
      <c r="A631" s="89"/>
    </row>
    <row r="632" ht="15.75" customHeight="1">
      <c r="A632" s="89"/>
    </row>
    <row r="633" ht="15.75" customHeight="1">
      <c r="A633" s="89"/>
    </row>
    <row r="634" ht="15.75" customHeight="1">
      <c r="A634" s="89"/>
    </row>
    <row r="635" ht="15.75" customHeight="1">
      <c r="A635" s="89"/>
    </row>
    <row r="636" ht="15.75" customHeight="1">
      <c r="A636" s="89"/>
    </row>
    <row r="637" ht="15.75" customHeight="1">
      <c r="A637" s="89"/>
    </row>
    <row r="638" ht="15.75" customHeight="1">
      <c r="A638" s="89"/>
    </row>
    <row r="639" ht="15.75" customHeight="1">
      <c r="A639" s="89"/>
    </row>
    <row r="640" ht="15.75" customHeight="1">
      <c r="A640" s="89"/>
    </row>
    <row r="641" ht="15.75" customHeight="1">
      <c r="A641" s="89"/>
    </row>
    <row r="642" ht="15.75" customHeight="1">
      <c r="A642" s="89"/>
    </row>
    <row r="643" ht="15.75" customHeight="1">
      <c r="A643" s="89"/>
    </row>
    <row r="644" ht="15.75" customHeight="1">
      <c r="A644" s="89"/>
    </row>
    <row r="645" ht="15.75" customHeight="1">
      <c r="A645" s="89"/>
    </row>
    <row r="646" ht="15.75" customHeight="1">
      <c r="A646" s="89"/>
    </row>
    <row r="647" ht="15.75" customHeight="1">
      <c r="A647" s="89"/>
    </row>
    <row r="648" ht="15.75" customHeight="1">
      <c r="A648" s="89"/>
    </row>
    <row r="649" ht="15.75" customHeight="1">
      <c r="A649" s="89"/>
    </row>
    <row r="650" ht="15.75" customHeight="1">
      <c r="A650" s="89"/>
    </row>
    <row r="651" ht="15.75" customHeight="1">
      <c r="A651" s="89"/>
    </row>
    <row r="652" ht="15.75" customHeight="1">
      <c r="A652" s="89"/>
    </row>
    <row r="653" ht="15.75" customHeight="1">
      <c r="A653" s="89"/>
    </row>
    <row r="654" ht="15.75" customHeight="1">
      <c r="A654" s="89"/>
    </row>
    <row r="655" ht="15.75" customHeight="1">
      <c r="A655" s="89"/>
    </row>
    <row r="656" ht="15.75" customHeight="1">
      <c r="A656" s="89"/>
    </row>
    <row r="657" ht="15.75" customHeight="1">
      <c r="A657" s="89"/>
    </row>
    <row r="658" ht="15.75" customHeight="1">
      <c r="A658" s="89"/>
    </row>
    <row r="659" ht="15.75" customHeight="1">
      <c r="A659" s="89"/>
    </row>
    <row r="660" ht="15.75" customHeight="1">
      <c r="A660" s="89"/>
    </row>
    <row r="661" ht="15.75" customHeight="1">
      <c r="A661" s="89"/>
    </row>
    <row r="662" ht="15.75" customHeight="1">
      <c r="A662" s="89"/>
    </row>
    <row r="663" ht="15.75" customHeight="1">
      <c r="A663" s="89"/>
    </row>
    <row r="664" ht="15.75" customHeight="1">
      <c r="A664" s="89"/>
    </row>
    <row r="665" ht="15.75" customHeight="1">
      <c r="A665" s="89"/>
    </row>
    <row r="666" ht="15.75" customHeight="1">
      <c r="A666" s="89"/>
    </row>
    <row r="667" ht="15.75" customHeight="1">
      <c r="A667" s="89"/>
    </row>
    <row r="668" ht="15.75" customHeight="1">
      <c r="A668" s="89"/>
    </row>
    <row r="669" ht="15.75" customHeight="1">
      <c r="A669" s="89"/>
    </row>
    <row r="670" ht="15.75" customHeight="1">
      <c r="A670" s="89"/>
    </row>
    <row r="671" ht="15.75" customHeight="1">
      <c r="A671" s="89"/>
    </row>
    <row r="672" ht="15.75" customHeight="1">
      <c r="A672" s="89"/>
    </row>
    <row r="673" ht="15.75" customHeight="1">
      <c r="A673" s="89"/>
    </row>
    <row r="674" ht="15.75" customHeight="1">
      <c r="A674" s="89"/>
    </row>
    <row r="675" ht="15.75" customHeight="1">
      <c r="A675" s="89"/>
    </row>
    <row r="676" ht="15.75" customHeight="1">
      <c r="A676" s="89"/>
    </row>
    <row r="677" ht="15.75" customHeight="1">
      <c r="A677" s="89"/>
    </row>
    <row r="678" ht="15.75" customHeight="1">
      <c r="A678" s="89"/>
    </row>
    <row r="679" ht="15.75" customHeight="1">
      <c r="A679" s="89"/>
    </row>
    <row r="680" ht="15.75" customHeight="1">
      <c r="A680" s="89"/>
    </row>
    <row r="681" ht="15.75" customHeight="1">
      <c r="A681" s="89"/>
    </row>
    <row r="682" ht="15.75" customHeight="1">
      <c r="A682" s="89"/>
    </row>
    <row r="683" ht="15.75" customHeight="1">
      <c r="A683" s="89"/>
    </row>
    <row r="684" ht="15.75" customHeight="1">
      <c r="A684" s="89"/>
    </row>
    <row r="685" ht="15.75" customHeight="1">
      <c r="A685" s="89"/>
    </row>
    <row r="686" ht="15.75" customHeight="1">
      <c r="A686" s="89"/>
    </row>
    <row r="687" ht="15.75" customHeight="1">
      <c r="A687" s="89"/>
    </row>
    <row r="688" ht="15.75" customHeight="1">
      <c r="A688" s="89"/>
    </row>
    <row r="689" ht="15.75" customHeight="1">
      <c r="A689" s="89"/>
    </row>
    <row r="690" ht="15.75" customHeight="1">
      <c r="A690" s="89"/>
    </row>
    <row r="691" ht="15.75" customHeight="1">
      <c r="A691" s="89"/>
    </row>
    <row r="692" ht="15.75" customHeight="1">
      <c r="A692" s="89"/>
    </row>
    <row r="693" ht="15.75" customHeight="1">
      <c r="A693" s="89"/>
    </row>
    <row r="694" ht="15.75" customHeight="1">
      <c r="A694" s="89"/>
    </row>
    <row r="695" ht="15.75" customHeight="1">
      <c r="A695" s="89"/>
    </row>
    <row r="696" ht="15.75" customHeight="1">
      <c r="A696" s="89"/>
    </row>
    <row r="697" ht="15.75" customHeight="1">
      <c r="A697" s="89"/>
    </row>
    <row r="698" ht="15.75" customHeight="1">
      <c r="A698" s="89"/>
    </row>
    <row r="699" ht="15.75" customHeight="1">
      <c r="A699" s="89"/>
    </row>
    <row r="700" ht="15.75" customHeight="1">
      <c r="A700" s="89"/>
    </row>
    <row r="701" ht="15.75" customHeight="1">
      <c r="A701" s="89"/>
    </row>
    <row r="702" ht="15.75" customHeight="1">
      <c r="A702" s="89"/>
    </row>
    <row r="703" ht="15.75" customHeight="1">
      <c r="A703" s="89"/>
    </row>
    <row r="704" ht="15.75" customHeight="1">
      <c r="A704" s="89"/>
    </row>
    <row r="705" ht="15.75" customHeight="1">
      <c r="A705" s="89"/>
    </row>
    <row r="706" ht="15.75" customHeight="1">
      <c r="A706" s="89"/>
    </row>
    <row r="707" ht="15.75" customHeight="1">
      <c r="A707" s="89"/>
    </row>
    <row r="708" ht="15.75" customHeight="1">
      <c r="A708" s="89"/>
    </row>
    <row r="709" ht="15.75" customHeight="1">
      <c r="A709" s="89"/>
    </row>
    <row r="710" ht="15.75" customHeight="1">
      <c r="A710" s="89"/>
    </row>
    <row r="711" ht="15.75" customHeight="1">
      <c r="A711" s="89"/>
    </row>
    <row r="712" ht="15.75" customHeight="1">
      <c r="A712" s="89"/>
    </row>
    <row r="713" ht="15.75" customHeight="1">
      <c r="A713" s="89"/>
    </row>
    <row r="714" ht="15.75" customHeight="1">
      <c r="A714" s="89"/>
    </row>
    <row r="715" ht="15.75" customHeight="1">
      <c r="A715" s="89"/>
    </row>
    <row r="716" ht="15.75" customHeight="1">
      <c r="A716" s="89"/>
    </row>
    <row r="717" ht="15.75" customHeight="1">
      <c r="A717" s="89"/>
    </row>
    <row r="718" ht="15.75" customHeight="1">
      <c r="A718" s="89"/>
    </row>
    <row r="719" ht="15.75" customHeight="1">
      <c r="A719" s="89"/>
    </row>
    <row r="720" ht="15.75" customHeight="1">
      <c r="A720" s="89"/>
    </row>
    <row r="721" ht="15.75" customHeight="1">
      <c r="A721" s="89"/>
    </row>
    <row r="722" ht="15.75" customHeight="1">
      <c r="A722" s="89"/>
    </row>
    <row r="723" ht="15.75" customHeight="1">
      <c r="A723" s="89"/>
    </row>
    <row r="724" ht="15.75" customHeight="1">
      <c r="A724" s="89"/>
    </row>
    <row r="725" ht="15.75" customHeight="1">
      <c r="A725" s="89"/>
    </row>
    <row r="726" ht="15.75" customHeight="1">
      <c r="A726" s="89"/>
    </row>
    <row r="727" ht="15.75" customHeight="1">
      <c r="A727" s="89"/>
    </row>
    <row r="728" ht="15.75" customHeight="1">
      <c r="A728" s="89"/>
    </row>
    <row r="729" ht="15.75" customHeight="1">
      <c r="A729" s="89"/>
    </row>
    <row r="730" ht="15.75" customHeight="1">
      <c r="A730" s="89"/>
    </row>
    <row r="731" ht="15.75" customHeight="1">
      <c r="A731" s="89"/>
    </row>
    <row r="732" ht="15.75" customHeight="1">
      <c r="A732" s="89"/>
    </row>
    <row r="733" ht="15.75" customHeight="1">
      <c r="A733" s="89"/>
    </row>
    <row r="734" ht="15.75" customHeight="1">
      <c r="A734" s="89"/>
    </row>
    <row r="735" ht="15.75" customHeight="1">
      <c r="A735" s="89"/>
    </row>
    <row r="736" ht="15.75" customHeight="1">
      <c r="A736" s="89"/>
    </row>
    <row r="737" ht="15.75" customHeight="1">
      <c r="A737" s="89"/>
    </row>
    <row r="738" ht="15.75" customHeight="1">
      <c r="A738" s="89"/>
    </row>
    <row r="739" ht="15.75" customHeight="1">
      <c r="A739" s="89"/>
    </row>
    <row r="740" ht="15.75" customHeight="1">
      <c r="A740" s="89"/>
    </row>
    <row r="741" ht="15.75" customHeight="1">
      <c r="A741" s="89"/>
    </row>
    <row r="742" ht="15.75" customHeight="1">
      <c r="A742" s="89"/>
    </row>
    <row r="743" ht="15.75" customHeight="1">
      <c r="A743" s="89"/>
    </row>
    <row r="744" ht="15.75" customHeight="1">
      <c r="A744" s="89"/>
    </row>
    <row r="745" ht="15.75" customHeight="1">
      <c r="A745" s="89"/>
    </row>
    <row r="746" ht="15.75" customHeight="1">
      <c r="A746" s="89"/>
    </row>
    <row r="747" ht="15.75" customHeight="1">
      <c r="A747" s="89"/>
    </row>
    <row r="748" ht="15.75" customHeight="1">
      <c r="A748" s="89"/>
    </row>
    <row r="749" ht="15.75" customHeight="1">
      <c r="A749" s="89"/>
    </row>
    <row r="750" ht="15.75" customHeight="1">
      <c r="A750" s="89"/>
    </row>
    <row r="751" ht="15.75" customHeight="1">
      <c r="A751" s="89"/>
    </row>
    <row r="752" ht="15.75" customHeight="1">
      <c r="A752" s="89"/>
    </row>
    <row r="753" ht="15.75" customHeight="1">
      <c r="A753" s="89"/>
    </row>
    <row r="754" ht="15.75" customHeight="1">
      <c r="A754" s="89"/>
    </row>
    <row r="755" ht="15.75" customHeight="1">
      <c r="A755" s="89"/>
    </row>
    <row r="756" ht="15.75" customHeight="1">
      <c r="A756" s="89"/>
    </row>
    <row r="757" ht="15.75" customHeight="1">
      <c r="A757" s="89"/>
    </row>
    <row r="758" ht="15.75" customHeight="1">
      <c r="A758" s="89"/>
    </row>
    <row r="759" ht="15.75" customHeight="1">
      <c r="A759" s="89"/>
    </row>
    <row r="760" ht="15.75" customHeight="1">
      <c r="A760" s="89"/>
    </row>
    <row r="761" ht="15.75" customHeight="1">
      <c r="A761" s="89"/>
    </row>
    <row r="762" ht="15.75" customHeight="1">
      <c r="A762" s="89"/>
    </row>
    <row r="763" ht="15.75" customHeight="1">
      <c r="A763" s="89"/>
    </row>
    <row r="764" ht="15.75" customHeight="1">
      <c r="A764" s="89"/>
    </row>
    <row r="765" ht="15.75" customHeight="1">
      <c r="A765" s="89"/>
    </row>
    <row r="766" ht="15.75" customHeight="1">
      <c r="A766" s="89"/>
    </row>
    <row r="767" ht="15.75" customHeight="1">
      <c r="A767" s="89"/>
    </row>
    <row r="768" ht="15.75" customHeight="1">
      <c r="A768" s="89"/>
    </row>
    <row r="769" ht="15.75" customHeight="1">
      <c r="A769" s="89"/>
    </row>
    <row r="770" ht="15.75" customHeight="1">
      <c r="A770" s="89"/>
    </row>
    <row r="771" ht="15.75" customHeight="1">
      <c r="A771" s="89"/>
    </row>
    <row r="772" ht="15.75" customHeight="1">
      <c r="A772" s="89"/>
    </row>
    <row r="773" ht="15.75" customHeight="1">
      <c r="A773" s="89"/>
    </row>
    <row r="774" ht="15.75" customHeight="1">
      <c r="A774" s="89"/>
    </row>
    <row r="775" ht="15.75" customHeight="1">
      <c r="A775" s="89"/>
    </row>
    <row r="776" ht="15.75" customHeight="1">
      <c r="A776" s="89"/>
    </row>
    <row r="777" ht="15.75" customHeight="1">
      <c r="A777" s="89"/>
    </row>
    <row r="778" ht="15.75" customHeight="1">
      <c r="A778" s="89"/>
    </row>
    <row r="779" ht="15.75" customHeight="1">
      <c r="A779" s="89"/>
    </row>
    <row r="780" ht="15.75" customHeight="1">
      <c r="A780" s="89"/>
    </row>
    <row r="781" ht="15.75" customHeight="1">
      <c r="A781" s="89"/>
    </row>
    <row r="782" ht="15.75" customHeight="1">
      <c r="A782" s="89"/>
    </row>
    <row r="783" ht="15.75" customHeight="1">
      <c r="A783" s="89"/>
    </row>
    <row r="784" ht="15.75" customHeight="1">
      <c r="A784" s="89"/>
    </row>
    <row r="785" ht="15.75" customHeight="1">
      <c r="A785" s="89"/>
    </row>
    <row r="786" ht="15.75" customHeight="1">
      <c r="A786" s="89"/>
    </row>
    <row r="787" ht="15.75" customHeight="1">
      <c r="A787" s="89"/>
    </row>
    <row r="788" ht="15.75" customHeight="1">
      <c r="A788" s="89"/>
    </row>
    <row r="789" ht="15.75" customHeight="1">
      <c r="A789" s="89"/>
    </row>
    <row r="790" ht="15.75" customHeight="1">
      <c r="A790" s="89"/>
    </row>
    <row r="791" ht="15.75" customHeight="1">
      <c r="A791" s="89"/>
    </row>
    <row r="792" ht="15.75" customHeight="1">
      <c r="A792" s="89"/>
    </row>
    <row r="793" ht="15.75" customHeight="1">
      <c r="A793" s="89"/>
    </row>
    <row r="794" ht="15.75" customHeight="1">
      <c r="A794" s="89"/>
    </row>
    <row r="795" ht="15.75" customHeight="1">
      <c r="A795" s="89"/>
    </row>
    <row r="796" ht="15.75" customHeight="1">
      <c r="A796" s="89"/>
    </row>
    <row r="797" ht="15.75" customHeight="1">
      <c r="A797" s="89"/>
    </row>
    <row r="798" ht="15.75" customHeight="1">
      <c r="A798" s="89"/>
    </row>
    <row r="799" ht="15.75" customHeight="1">
      <c r="A799" s="89"/>
    </row>
    <row r="800" ht="15.75" customHeight="1">
      <c r="A800" s="89"/>
    </row>
    <row r="801" ht="15.75" customHeight="1">
      <c r="A801" s="89"/>
    </row>
    <row r="802" ht="15.75" customHeight="1">
      <c r="A802" s="89"/>
    </row>
    <row r="803" ht="15.75" customHeight="1">
      <c r="A803" s="89"/>
    </row>
    <row r="804" ht="15.75" customHeight="1">
      <c r="A804" s="89"/>
    </row>
    <row r="805" ht="15.75" customHeight="1">
      <c r="A805" s="89"/>
    </row>
    <row r="806" ht="15.75" customHeight="1">
      <c r="A806" s="89"/>
    </row>
    <row r="807" ht="15.75" customHeight="1">
      <c r="A807" s="89"/>
    </row>
    <row r="808" ht="15.75" customHeight="1">
      <c r="A808" s="89"/>
    </row>
    <row r="809" ht="15.75" customHeight="1">
      <c r="A809" s="89"/>
    </row>
    <row r="810" ht="15.75" customHeight="1">
      <c r="A810" s="89"/>
    </row>
    <row r="811" ht="15.75" customHeight="1">
      <c r="A811" s="89"/>
    </row>
    <row r="812" ht="15.75" customHeight="1">
      <c r="A812" s="89"/>
    </row>
    <row r="813" ht="15.75" customHeight="1">
      <c r="A813" s="89"/>
    </row>
    <row r="814" ht="15.75" customHeight="1">
      <c r="A814" s="89"/>
    </row>
    <row r="815" ht="15.75" customHeight="1">
      <c r="A815" s="89"/>
    </row>
    <row r="816" ht="15.75" customHeight="1">
      <c r="A816" s="89"/>
    </row>
    <row r="817" ht="15.75" customHeight="1">
      <c r="A817" s="89"/>
    </row>
    <row r="818" ht="15.75" customHeight="1">
      <c r="A818" s="89"/>
    </row>
    <row r="819" ht="15.75" customHeight="1">
      <c r="A819" s="89"/>
    </row>
    <row r="820" ht="15.75" customHeight="1">
      <c r="A820" s="89"/>
    </row>
    <row r="821" ht="15.75" customHeight="1">
      <c r="A821" s="89"/>
    </row>
    <row r="822" ht="15.75" customHeight="1">
      <c r="A822" s="89"/>
    </row>
    <row r="823" ht="15.75" customHeight="1">
      <c r="A823" s="89"/>
    </row>
    <row r="824" ht="15.75" customHeight="1">
      <c r="A824" s="89"/>
    </row>
    <row r="825" ht="15.75" customHeight="1">
      <c r="A825" s="89"/>
    </row>
    <row r="826" ht="15.75" customHeight="1">
      <c r="A826" s="89"/>
    </row>
    <row r="827" ht="15.75" customHeight="1">
      <c r="A827" s="89"/>
    </row>
    <row r="828" ht="15.75" customHeight="1">
      <c r="A828" s="89"/>
    </row>
    <row r="829" ht="15.75" customHeight="1">
      <c r="A829" s="89"/>
    </row>
    <row r="830" ht="15.75" customHeight="1">
      <c r="A830" s="89"/>
    </row>
    <row r="831" ht="15.75" customHeight="1">
      <c r="A831" s="89"/>
    </row>
    <row r="832" ht="15.75" customHeight="1">
      <c r="A832" s="89"/>
    </row>
    <row r="833" ht="15.75" customHeight="1">
      <c r="A833" s="89"/>
    </row>
    <row r="834" ht="15.75" customHeight="1">
      <c r="A834" s="89"/>
    </row>
    <row r="835" ht="15.75" customHeight="1">
      <c r="A835" s="89"/>
    </row>
    <row r="836" ht="15.75" customHeight="1">
      <c r="A836" s="89"/>
    </row>
    <row r="837" ht="15.75" customHeight="1">
      <c r="A837" s="89"/>
    </row>
    <row r="838" ht="15.75" customHeight="1">
      <c r="A838" s="89"/>
    </row>
    <row r="839" ht="15.75" customHeight="1">
      <c r="A839" s="89"/>
    </row>
    <row r="840" ht="15.75" customHeight="1">
      <c r="A840" s="89"/>
    </row>
    <row r="841" ht="15.75" customHeight="1">
      <c r="A841" s="89"/>
    </row>
    <row r="842" ht="15.75" customHeight="1">
      <c r="A842" s="89"/>
    </row>
    <row r="843" ht="15.75" customHeight="1">
      <c r="A843" s="89"/>
    </row>
    <row r="844" ht="15.75" customHeight="1">
      <c r="A844" s="89"/>
    </row>
    <row r="845" ht="15.75" customHeight="1">
      <c r="A845" s="89"/>
    </row>
    <row r="846" ht="15.75" customHeight="1">
      <c r="A846" s="89"/>
    </row>
    <row r="847" ht="15.75" customHeight="1">
      <c r="A847" s="89"/>
    </row>
    <row r="848" ht="15.75" customHeight="1">
      <c r="A848" s="89"/>
    </row>
    <row r="849" ht="15.75" customHeight="1">
      <c r="A849" s="89"/>
    </row>
    <row r="850" ht="15.75" customHeight="1">
      <c r="A850" s="89"/>
    </row>
    <row r="851" ht="15.75" customHeight="1">
      <c r="A851" s="89"/>
    </row>
    <row r="852" ht="15.75" customHeight="1">
      <c r="A852" s="89"/>
    </row>
    <row r="853" ht="15.75" customHeight="1">
      <c r="A853" s="89"/>
    </row>
    <row r="854" ht="15.75" customHeight="1">
      <c r="A854" s="89"/>
    </row>
    <row r="855" ht="15.75" customHeight="1">
      <c r="A855" s="89"/>
    </row>
    <row r="856" ht="15.75" customHeight="1">
      <c r="A856" s="89"/>
    </row>
    <row r="857" ht="15.75" customHeight="1">
      <c r="A857" s="89"/>
    </row>
    <row r="858" ht="15.75" customHeight="1">
      <c r="A858" s="89"/>
    </row>
    <row r="859" ht="15.75" customHeight="1">
      <c r="A859" s="89"/>
    </row>
    <row r="860" ht="15.75" customHeight="1">
      <c r="A860" s="89"/>
    </row>
    <row r="861" ht="15.75" customHeight="1">
      <c r="A861" s="89"/>
    </row>
    <row r="862" ht="15.75" customHeight="1">
      <c r="A862" s="89"/>
    </row>
    <row r="863" ht="15.75" customHeight="1">
      <c r="A863" s="89"/>
    </row>
    <row r="864" ht="15.75" customHeight="1">
      <c r="A864" s="89"/>
    </row>
    <row r="865" ht="15.75" customHeight="1">
      <c r="A865" s="89"/>
    </row>
    <row r="866" ht="15.75" customHeight="1">
      <c r="A866" s="89"/>
    </row>
    <row r="867" ht="15.75" customHeight="1">
      <c r="A867" s="89"/>
    </row>
    <row r="868" ht="15.75" customHeight="1">
      <c r="A868" s="89"/>
    </row>
    <row r="869" ht="15.75" customHeight="1">
      <c r="A869" s="89"/>
    </row>
    <row r="870" ht="15.75" customHeight="1">
      <c r="A870" s="89"/>
    </row>
    <row r="871" ht="15.75" customHeight="1">
      <c r="A871" s="89"/>
    </row>
    <row r="872" ht="15.75" customHeight="1">
      <c r="A872" s="89"/>
    </row>
    <row r="873" ht="15.75" customHeight="1">
      <c r="A873" s="89"/>
    </row>
    <row r="874" ht="15.75" customHeight="1">
      <c r="A874" s="89"/>
    </row>
    <row r="875" ht="15.75" customHeight="1">
      <c r="A875" s="89"/>
    </row>
    <row r="876" ht="15.75" customHeight="1">
      <c r="A876" s="89"/>
    </row>
    <row r="877" ht="15.75" customHeight="1">
      <c r="A877" s="89"/>
    </row>
    <row r="878" ht="15.75" customHeight="1">
      <c r="A878" s="89"/>
    </row>
    <row r="879" ht="15.75" customHeight="1">
      <c r="A879" s="89"/>
    </row>
    <row r="880" ht="15.75" customHeight="1">
      <c r="A880" s="89"/>
    </row>
    <row r="881" ht="15.75" customHeight="1">
      <c r="A881" s="89"/>
    </row>
    <row r="882" ht="15.75" customHeight="1">
      <c r="A882" s="89"/>
    </row>
    <row r="883" ht="15.75" customHeight="1">
      <c r="A883" s="89"/>
    </row>
    <row r="884" ht="15.75" customHeight="1">
      <c r="A884" s="89"/>
    </row>
    <row r="885" ht="15.75" customHeight="1">
      <c r="A885" s="89"/>
    </row>
    <row r="886" ht="15.75" customHeight="1">
      <c r="A886" s="89"/>
    </row>
    <row r="887" ht="15.75" customHeight="1">
      <c r="A887" s="89"/>
    </row>
    <row r="888" ht="15.75" customHeight="1">
      <c r="A888" s="89"/>
    </row>
    <row r="889" ht="15.75" customHeight="1">
      <c r="A889" s="89"/>
    </row>
    <row r="890" ht="15.75" customHeight="1">
      <c r="A890" s="89"/>
    </row>
    <row r="891" ht="15.75" customHeight="1">
      <c r="A891" s="89"/>
    </row>
    <row r="892" ht="15.75" customHeight="1">
      <c r="A892" s="89"/>
    </row>
    <row r="893" ht="15.75" customHeight="1">
      <c r="A893" s="89"/>
    </row>
    <row r="894" ht="15.75" customHeight="1">
      <c r="A894" s="89"/>
    </row>
    <row r="895" ht="15.75" customHeight="1">
      <c r="A895" s="89"/>
    </row>
    <row r="896" ht="15.75" customHeight="1">
      <c r="A896" s="89"/>
    </row>
    <row r="897" ht="15.75" customHeight="1">
      <c r="A897" s="89"/>
    </row>
    <row r="898" ht="15.75" customHeight="1">
      <c r="A898" s="89"/>
    </row>
    <row r="899" ht="15.75" customHeight="1">
      <c r="A899" s="89"/>
    </row>
    <row r="900" ht="15.75" customHeight="1">
      <c r="A900" s="89"/>
    </row>
    <row r="901" ht="15.75" customHeight="1">
      <c r="A901" s="89"/>
    </row>
    <row r="902" ht="15.75" customHeight="1">
      <c r="A902" s="89"/>
    </row>
    <row r="903" ht="15.75" customHeight="1">
      <c r="A903" s="89"/>
    </row>
    <row r="904" ht="15.75" customHeight="1">
      <c r="A904" s="89"/>
    </row>
    <row r="905" ht="15.75" customHeight="1">
      <c r="A905" s="89"/>
    </row>
    <row r="906" ht="15.75" customHeight="1">
      <c r="A906" s="89"/>
    </row>
    <row r="907" ht="15.75" customHeight="1">
      <c r="A907" s="89"/>
    </row>
    <row r="908" ht="15.75" customHeight="1">
      <c r="A908" s="89"/>
    </row>
    <row r="909" ht="15.75" customHeight="1">
      <c r="A909" s="89"/>
    </row>
    <row r="910" ht="15.75" customHeight="1">
      <c r="A910" s="89"/>
    </row>
    <row r="911" ht="15.75" customHeight="1">
      <c r="A911" s="89"/>
    </row>
    <row r="912" ht="15.75" customHeight="1">
      <c r="A912" s="89"/>
    </row>
    <row r="913" ht="15.75" customHeight="1">
      <c r="A913" s="89"/>
    </row>
    <row r="914" ht="15.75" customHeight="1">
      <c r="A914" s="89"/>
    </row>
    <row r="915" ht="15.75" customHeight="1">
      <c r="A915" s="89"/>
    </row>
    <row r="916" ht="15.75" customHeight="1">
      <c r="A916" s="89"/>
    </row>
    <row r="917" ht="15.75" customHeight="1">
      <c r="A917" s="89"/>
    </row>
    <row r="918" ht="15.75" customHeight="1">
      <c r="A918" s="89"/>
    </row>
    <row r="919" ht="15.75" customHeight="1">
      <c r="A919" s="89"/>
    </row>
    <row r="920" ht="15.75" customHeight="1">
      <c r="A920" s="89"/>
    </row>
    <row r="921" ht="15.75" customHeight="1">
      <c r="A921" s="89"/>
    </row>
    <row r="922" ht="15.75" customHeight="1">
      <c r="A922" s="89"/>
    </row>
    <row r="923" ht="15.75" customHeight="1">
      <c r="A923" s="89"/>
    </row>
    <row r="924" ht="15.75" customHeight="1">
      <c r="A924" s="89"/>
    </row>
    <row r="925" ht="15.75" customHeight="1">
      <c r="A925" s="89"/>
    </row>
    <row r="926" ht="15.75" customHeight="1">
      <c r="A926" s="89"/>
    </row>
    <row r="927" ht="15.75" customHeight="1">
      <c r="A927" s="89"/>
    </row>
    <row r="928" ht="15.75" customHeight="1">
      <c r="A928" s="89"/>
    </row>
    <row r="929" ht="15.75" customHeight="1">
      <c r="A929" s="89"/>
    </row>
    <row r="930" ht="15.75" customHeight="1">
      <c r="A930" s="89"/>
    </row>
    <row r="931" ht="15.75" customHeight="1">
      <c r="A931" s="89"/>
    </row>
    <row r="932" ht="15.75" customHeight="1">
      <c r="A932" s="89"/>
    </row>
    <row r="933" ht="15.75" customHeight="1">
      <c r="A933" s="89"/>
    </row>
    <row r="934" ht="15.75" customHeight="1">
      <c r="A934" s="89"/>
    </row>
    <row r="935" ht="15.75" customHeight="1">
      <c r="A935" s="89"/>
    </row>
    <row r="936" ht="15.75" customHeight="1">
      <c r="A936" s="89"/>
    </row>
    <row r="937" ht="15.75" customHeight="1">
      <c r="A937" s="89"/>
    </row>
    <row r="938" ht="15.75" customHeight="1">
      <c r="A938" s="89"/>
    </row>
    <row r="939" ht="15.75" customHeight="1">
      <c r="A939" s="89"/>
    </row>
    <row r="940" ht="15.75" customHeight="1">
      <c r="A940" s="89"/>
    </row>
    <row r="941" ht="15.75" customHeight="1">
      <c r="A941" s="89"/>
    </row>
    <row r="942" ht="15.75" customHeight="1">
      <c r="A942" s="89"/>
    </row>
    <row r="943" ht="15.75" customHeight="1">
      <c r="A943" s="89"/>
    </row>
    <row r="944" ht="15.75" customHeight="1">
      <c r="A944" s="89"/>
    </row>
    <row r="945" ht="15.75" customHeight="1">
      <c r="A945" s="89"/>
    </row>
    <row r="946" ht="15.75" customHeight="1">
      <c r="A946" s="89"/>
    </row>
    <row r="947" ht="15.75" customHeight="1">
      <c r="A947" s="89"/>
    </row>
    <row r="948" ht="15.75" customHeight="1">
      <c r="A948" s="89"/>
    </row>
    <row r="949" ht="15.75" customHeight="1">
      <c r="A949" s="89"/>
    </row>
    <row r="950" ht="15.75" customHeight="1">
      <c r="A950" s="89"/>
    </row>
    <row r="951" ht="15.75" customHeight="1">
      <c r="A951" s="89"/>
    </row>
    <row r="952" ht="15.75" customHeight="1">
      <c r="A952" s="89"/>
    </row>
    <row r="953" ht="15.75" customHeight="1">
      <c r="A953" s="89"/>
    </row>
    <row r="954" ht="15.75" customHeight="1">
      <c r="A954" s="89"/>
    </row>
    <row r="955" ht="15.75" customHeight="1">
      <c r="A955" s="89"/>
    </row>
    <row r="956" ht="15.75" customHeight="1">
      <c r="A956" s="89"/>
    </row>
    <row r="957" ht="15.75" customHeight="1">
      <c r="A957" s="89"/>
    </row>
    <row r="958" ht="15.75" customHeight="1">
      <c r="A958" s="89"/>
    </row>
    <row r="959" ht="15.75" customHeight="1">
      <c r="A959" s="89"/>
    </row>
    <row r="960" ht="15.75" customHeight="1">
      <c r="A960" s="89"/>
    </row>
    <row r="961" ht="15.75" customHeight="1">
      <c r="A961" s="89"/>
    </row>
    <row r="962" ht="15.75" customHeight="1">
      <c r="A962" s="89"/>
    </row>
    <row r="963" ht="15.75" customHeight="1">
      <c r="A963" s="89"/>
    </row>
    <row r="964" ht="15.75" customHeight="1">
      <c r="A964" s="89"/>
    </row>
    <row r="965" ht="15.75" customHeight="1">
      <c r="A965" s="89"/>
    </row>
    <row r="966" ht="15.75" customHeight="1">
      <c r="A966" s="89"/>
    </row>
    <row r="967" ht="15.75" customHeight="1">
      <c r="A967" s="89"/>
    </row>
    <row r="968" ht="15.75" customHeight="1">
      <c r="A968" s="89"/>
    </row>
    <row r="969" ht="15.75" customHeight="1">
      <c r="A969" s="89"/>
    </row>
    <row r="970" ht="15.75" customHeight="1">
      <c r="A970" s="89"/>
    </row>
    <row r="971" ht="15.75" customHeight="1">
      <c r="A971" s="89"/>
    </row>
    <row r="972" ht="15.75" customHeight="1">
      <c r="A972" s="89"/>
    </row>
    <row r="973" ht="15.75" customHeight="1">
      <c r="A973" s="89"/>
    </row>
    <row r="974" ht="15.75" customHeight="1">
      <c r="A974" s="89"/>
    </row>
    <row r="975" ht="15.75" customHeight="1">
      <c r="A975" s="89"/>
    </row>
    <row r="976" ht="15.75" customHeight="1">
      <c r="A976" s="89"/>
    </row>
    <row r="977" ht="15.75" customHeight="1">
      <c r="A977" s="89"/>
    </row>
    <row r="978" ht="15.75" customHeight="1">
      <c r="A978" s="89"/>
    </row>
    <row r="979" ht="15.75" customHeight="1">
      <c r="A979" s="89"/>
    </row>
    <row r="980" ht="15.75" customHeight="1">
      <c r="A980" s="89"/>
    </row>
    <row r="981" ht="15.75" customHeight="1">
      <c r="A981" s="89"/>
    </row>
    <row r="982" ht="15.75" customHeight="1">
      <c r="A982" s="89"/>
    </row>
    <row r="983" ht="15.75" customHeight="1">
      <c r="A983" s="89"/>
    </row>
    <row r="984" ht="15.75" customHeight="1">
      <c r="A984" s="89"/>
    </row>
    <row r="985" ht="15.75" customHeight="1">
      <c r="A985" s="89"/>
    </row>
    <row r="986" ht="15.75" customHeight="1">
      <c r="A986" s="89"/>
    </row>
    <row r="987" ht="15.75" customHeight="1">
      <c r="A987" s="89"/>
    </row>
    <row r="988" ht="15.75" customHeight="1">
      <c r="A988" s="89"/>
    </row>
    <row r="989" ht="15.75" customHeight="1">
      <c r="A989" s="89"/>
    </row>
    <row r="990" ht="15.75" customHeight="1">
      <c r="A990" s="89"/>
    </row>
    <row r="991" ht="15.75" customHeight="1">
      <c r="A991" s="89"/>
    </row>
    <row r="992" ht="15.75" customHeight="1">
      <c r="A992" s="89"/>
    </row>
    <row r="993" ht="15.75" customHeight="1">
      <c r="A993" s="89"/>
    </row>
    <row r="994" ht="15.75" customHeight="1">
      <c r="A994" s="89"/>
    </row>
    <row r="995" ht="15.75" customHeight="1">
      <c r="A995" s="89"/>
    </row>
    <row r="996" ht="15.75" customHeight="1">
      <c r="A996" s="89"/>
    </row>
    <row r="997" ht="15.75" customHeight="1">
      <c r="A997" s="89"/>
    </row>
    <row r="998" ht="15.75" customHeight="1">
      <c r="A998" s="89"/>
    </row>
    <row r="999" ht="15.75" customHeight="1">
      <c r="A999" s="89"/>
    </row>
    <row r="1000" ht="15.75" customHeight="1">
      <c r="A1000" s="89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3" width="16.43"/>
    <col customWidth="1" min="5" max="7" width="19.29"/>
    <col customWidth="1" min="9" max="11" width="18.57"/>
  </cols>
  <sheetData>
    <row r="1" ht="25.5" customHeight="1">
      <c r="A1" s="96" t="s">
        <v>1748</v>
      </c>
      <c r="B1" s="39"/>
      <c r="C1" s="40"/>
      <c r="D1" s="97"/>
      <c r="E1" s="98" t="s">
        <v>1749</v>
      </c>
      <c r="H1" s="99"/>
      <c r="I1" s="96" t="s">
        <v>1750</v>
      </c>
      <c r="J1" s="39"/>
      <c r="K1" s="40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ht="25.5" customHeight="1">
      <c r="A2" s="100" t="s">
        <v>2</v>
      </c>
      <c r="B2" s="100" t="s">
        <v>1</v>
      </c>
      <c r="C2" s="100" t="s">
        <v>1751</v>
      </c>
      <c r="D2" s="97"/>
      <c r="E2" s="100" t="s">
        <v>2</v>
      </c>
      <c r="F2" s="101" t="s">
        <v>1</v>
      </c>
      <c r="G2" s="101" t="s">
        <v>1751</v>
      </c>
      <c r="H2" s="99"/>
      <c r="I2" s="100" t="s">
        <v>2</v>
      </c>
      <c r="J2" s="100" t="s">
        <v>1</v>
      </c>
      <c r="K2" s="100" t="s">
        <v>1751</v>
      </c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</row>
    <row r="3" ht="35.25" customHeight="1">
      <c r="A3" s="102" t="s">
        <v>911</v>
      </c>
      <c r="B3" s="103" t="s">
        <v>910</v>
      </c>
      <c r="C3" s="104" t="s">
        <v>1752</v>
      </c>
      <c r="D3" s="97"/>
      <c r="E3" s="102" t="s">
        <v>662</v>
      </c>
      <c r="F3" s="103" t="s">
        <v>661</v>
      </c>
      <c r="G3" s="105" t="s">
        <v>1753</v>
      </c>
      <c r="H3" s="99"/>
      <c r="I3" s="93" t="s">
        <v>1754</v>
      </c>
      <c r="J3" s="106" t="s">
        <v>889</v>
      </c>
      <c r="K3" s="107" t="s">
        <v>1755</v>
      </c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</row>
    <row r="4">
      <c r="A4" s="102" t="s">
        <v>895</v>
      </c>
      <c r="B4" s="103" t="s">
        <v>894</v>
      </c>
      <c r="C4" s="104" t="s">
        <v>1756</v>
      </c>
      <c r="D4" s="97"/>
      <c r="E4" s="108" t="s">
        <v>1757</v>
      </c>
      <c r="F4" s="109" t="s">
        <v>789</v>
      </c>
      <c r="G4" s="105" t="s">
        <v>1753</v>
      </c>
      <c r="H4" s="99"/>
      <c r="I4" s="93" t="s">
        <v>1758</v>
      </c>
      <c r="J4" s="106" t="s">
        <v>1557</v>
      </c>
      <c r="K4" s="107" t="s">
        <v>1759</v>
      </c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</row>
    <row r="5">
      <c r="A5" s="102" t="s">
        <v>1760</v>
      </c>
      <c r="B5" s="103" t="s">
        <v>957</v>
      </c>
      <c r="C5" s="104" t="s">
        <v>1761</v>
      </c>
      <c r="D5" s="97"/>
      <c r="E5" s="108" t="s">
        <v>698</v>
      </c>
      <c r="F5" s="109" t="s">
        <v>697</v>
      </c>
      <c r="G5" s="105" t="s">
        <v>1762</v>
      </c>
      <c r="H5" s="99"/>
      <c r="I5" s="110" t="s">
        <v>1763</v>
      </c>
      <c r="J5" s="106" t="s">
        <v>1579</v>
      </c>
      <c r="K5" s="107" t="s">
        <v>1764</v>
      </c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</row>
    <row r="6">
      <c r="A6" s="111" t="s">
        <v>1765</v>
      </c>
      <c r="B6" s="112" t="s">
        <v>1564</v>
      </c>
      <c r="C6" s="104" t="s">
        <v>1766</v>
      </c>
      <c r="D6" s="97"/>
      <c r="E6" s="108" t="s">
        <v>706</v>
      </c>
      <c r="F6" s="109" t="s">
        <v>705</v>
      </c>
      <c r="G6" s="105" t="s">
        <v>1762</v>
      </c>
      <c r="H6" s="99"/>
      <c r="I6" s="93" t="s">
        <v>1767</v>
      </c>
      <c r="J6" s="106" t="s">
        <v>1512</v>
      </c>
      <c r="K6" s="107" t="s">
        <v>1768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</row>
    <row r="7">
      <c r="A7" s="113" t="s">
        <v>1769</v>
      </c>
      <c r="B7" s="114" t="s">
        <v>1568</v>
      </c>
      <c r="C7" s="104" t="s">
        <v>1770</v>
      </c>
      <c r="D7" s="97"/>
      <c r="E7" s="108" t="s">
        <v>718</v>
      </c>
      <c r="F7" s="109" t="s">
        <v>717</v>
      </c>
      <c r="G7" s="105" t="s">
        <v>1771</v>
      </c>
      <c r="H7" s="99"/>
      <c r="I7" s="93" t="s">
        <v>1772</v>
      </c>
      <c r="J7" s="106" t="s">
        <v>1571</v>
      </c>
      <c r="K7" s="107" t="s">
        <v>1773</v>
      </c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</row>
    <row r="8">
      <c r="A8" s="102" t="s">
        <v>1744</v>
      </c>
      <c r="B8" s="103" t="s">
        <v>1521</v>
      </c>
      <c r="C8" s="104" t="s">
        <v>1774</v>
      </c>
      <c r="D8" s="97"/>
      <c r="E8" s="108" t="s">
        <v>734</v>
      </c>
      <c r="F8" s="109" t="s">
        <v>733</v>
      </c>
      <c r="G8" s="105" t="s">
        <v>1771</v>
      </c>
      <c r="H8" s="99"/>
      <c r="I8" s="93" t="s">
        <v>1775</v>
      </c>
      <c r="J8" s="106" t="s">
        <v>1549</v>
      </c>
      <c r="K8" s="107" t="s">
        <v>1776</v>
      </c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</row>
    <row r="9">
      <c r="A9" s="102" t="s">
        <v>1777</v>
      </c>
      <c r="B9" s="103" t="s">
        <v>1595</v>
      </c>
      <c r="C9" s="104" t="s">
        <v>1778</v>
      </c>
      <c r="D9" s="97"/>
      <c r="E9" s="108" t="s">
        <v>1779</v>
      </c>
      <c r="F9" s="109" t="s">
        <v>817</v>
      </c>
      <c r="G9" s="105" t="s">
        <v>1780</v>
      </c>
      <c r="H9" s="99"/>
      <c r="I9" s="93" t="s">
        <v>1781</v>
      </c>
      <c r="J9" s="106" t="s">
        <v>1533</v>
      </c>
      <c r="K9" s="107" t="s">
        <v>1782</v>
      </c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</row>
    <row r="10">
      <c r="A10" s="102" t="s">
        <v>1530</v>
      </c>
      <c r="B10" s="103" t="s">
        <v>1529</v>
      </c>
      <c r="C10" s="104" t="s">
        <v>1783</v>
      </c>
      <c r="D10" s="97"/>
      <c r="E10" s="108" t="s">
        <v>754</v>
      </c>
      <c r="F10" s="109" t="s">
        <v>753</v>
      </c>
      <c r="G10" s="105" t="s">
        <v>1780</v>
      </c>
      <c r="H10" s="99"/>
      <c r="I10" s="93" t="s">
        <v>1546</v>
      </c>
      <c r="J10" s="106" t="s">
        <v>1545</v>
      </c>
      <c r="K10" s="107" t="s">
        <v>1782</v>
      </c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</row>
    <row r="11">
      <c r="A11" s="102" t="s">
        <v>1526</v>
      </c>
      <c r="B11" s="103" t="s">
        <v>1525</v>
      </c>
      <c r="C11" s="104" t="s">
        <v>1784</v>
      </c>
      <c r="D11" s="97"/>
      <c r="E11" s="108" t="s">
        <v>774</v>
      </c>
      <c r="F11" s="109" t="s">
        <v>773</v>
      </c>
      <c r="G11" s="105" t="s">
        <v>1785</v>
      </c>
      <c r="H11" s="99"/>
      <c r="I11" s="93" t="s">
        <v>1786</v>
      </c>
      <c r="J11" s="106" t="s">
        <v>1541</v>
      </c>
      <c r="K11" s="107" t="s">
        <v>1787</v>
      </c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</row>
    <row r="12">
      <c r="A12" s="102" t="s">
        <v>626</v>
      </c>
      <c r="B12" s="103" t="s">
        <v>625</v>
      </c>
      <c r="C12" s="104" t="s">
        <v>1788</v>
      </c>
      <c r="D12" s="97"/>
      <c r="E12" s="108" t="s">
        <v>658</v>
      </c>
      <c r="F12" s="109" t="s">
        <v>657</v>
      </c>
      <c r="G12" s="105" t="s">
        <v>1785</v>
      </c>
      <c r="H12" s="99"/>
      <c r="I12" s="93" t="s">
        <v>1789</v>
      </c>
      <c r="J12" s="106" t="s">
        <v>1560</v>
      </c>
      <c r="K12" s="107" t="s">
        <v>1790</v>
      </c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</row>
    <row r="13">
      <c r="A13" s="102" t="s">
        <v>1791</v>
      </c>
      <c r="B13" s="103" t="s">
        <v>1537</v>
      </c>
      <c r="C13" s="104" t="s">
        <v>1788</v>
      </c>
      <c r="D13" s="97"/>
      <c r="E13" s="108" t="s">
        <v>1792</v>
      </c>
      <c r="F13" s="109" t="s">
        <v>781</v>
      </c>
      <c r="G13" s="105" t="s">
        <v>1793</v>
      </c>
      <c r="H13" s="99"/>
      <c r="I13" s="93" t="s">
        <v>1576</v>
      </c>
      <c r="J13" s="106" t="s">
        <v>1575</v>
      </c>
      <c r="K13" s="107" t="s">
        <v>1794</v>
      </c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</row>
    <row r="14">
      <c r="A14" s="102" t="s">
        <v>1795</v>
      </c>
      <c r="B14" s="103" t="s">
        <v>1587</v>
      </c>
      <c r="C14" s="104" t="s">
        <v>1796</v>
      </c>
      <c r="D14" s="97"/>
      <c r="E14" s="108" t="s">
        <v>690</v>
      </c>
      <c r="F14" s="109" t="s">
        <v>689</v>
      </c>
      <c r="G14" s="105" t="s">
        <v>1793</v>
      </c>
      <c r="H14" s="99"/>
      <c r="I14" s="93" t="s">
        <v>1584</v>
      </c>
      <c r="J14" s="106" t="s">
        <v>1583</v>
      </c>
      <c r="K14" s="107" t="s">
        <v>1797</v>
      </c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</row>
    <row r="15">
      <c r="A15" s="102" t="s">
        <v>1798</v>
      </c>
      <c r="B15" s="103" t="s">
        <v>1591</v>
      </c>
      <c r="C15" s="104" t="s">
        <v>1796</v>
      </c>
      <c r="D15" s="97"/>
      <c r="E15" s="108" t="s">
        <v>1799</v>
      </c>
      <c r="F15" s="109" t="s">
        <v>797</v>
      </c>
      <c r="G15" s="105" t="s">
        <v>1800</v>
      </c>
      <c r="H15" s="99"/>
      <c r="I15" s="93" t="s">
        <v>1619</v>
      </c>
      <c r="J15" s="106" t="s">
        <v>1618</v>
      </c>
      <c r="K15" s="107" t="s">
        <v>1801</v>
      </c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</row>
    <row r="16">
      <c r="A16" s="102" t="s">
        <v>488</v>
      </c>
      <c r="B16" s="103" t="s">
        <v>487</v>
      </c>
      <c r="C16" s="104" t="s">
        <v>1802</v>
      </c>
      <c r="D16" s="97"/>
      <c r="E16" s="108" t="s">
        <v>710</v>
      </c>
      <c r="F16" s="109" t="s">
        <v>709</v>
      </c>
      <c r="G16" s="105" t="s">
        <v>1800</v>
      </c>
      <c r="H16" s="99"/>
      <c r="I16" s="93" t="s">
        <v>441</v>
      </c>
      <c r="J16" s="106" t="s">
        <v>440</v>
      </c>
      <c r="K16" s="107" t="s">
        <v>1803</v>
      </c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</row>
    <row r="17">
      <c r="A17" s="102" t="s">
        <v>1804</v>
      </c>
      <c r="B17" s="103" t="s">
        <v>637</v>
      </c>
      <c r="C17" s="104" t="s">
        <v>1802</v>
      </c>
      <c r="D17" s="97"/>
      <c r="E17" s="108" t="s">
        <v>726</v>
      </c>
      <c r="F17" s="109" t="s">
        <v>725</v>
      </c>
      <c r="G17" s="105" t="s">
        <v>1805</v>
      </c>
      <c r="H17" s="99"/>
      <c r="I17" s="115" t="s">
        <v>438</v>
      </c>
      <c r="J17" s="116" t="s">
        <v>437</v>
      </c>
      <c r="K17" s="107" t="s">
        <v>1806</v>
      </c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</row>
    <row r="18" ht="21.75" customHeight="1">
      <c r="A18" s="117" t="s">
        <v>1807</v>
      </c>
      <c r="B18" s="118"/>
      <c r="C18" s="119"/>
      <c r="D18" s="97"/>
      <c r="E18" s="108" t="s">
        <v>1808</v>
      </c>
      <c r="F18" s="109" t="s">
        <v>809</v>
      </c>
      <c r="G18" s="105" t="s">
        <v>1805</v>
      </c>
      <c r="H18" s="99"/>
      <c r="I18" s="93" t="s">
        <v>950</v>
      </c>
      <c r="J18" s="106" t="s">
        <v>949</v>
      </c>
      <c r="K18" s="107" t="s">
        <v>1809</v>
      </c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</row>
    <row r="19" ht="21.75" customHeight="1">
      <c r="A19" s="120"/>
      <c r="B19" s="121"/>
      <c r="C19" s="122"/>
      <c r="D19" s="97"/>
      <c r="E19" s="108" t="s">
        <v>746</v>
      </c>
      <c r="F19" s="109" t="s">
        <v>745</v>
      </c>
      <c r="G19" s="105" t="s">
        <v>1810</v>
      </c>
      <c r="H19" s="99"/>
      <c r="I19" s="93" t="s">
        <v>1811</v>
      </c>
      <c r="J19" s="106" t="s">
        <v>914</v>
      </c>
      <c r="K19" s="107" t="s">
        <v>1812</v>
      </c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</row>
    <row r="20">
      <c r="A20" s="96" t="s">
        <v>1813</v>
      </c>
      <c r="B20" s="39"/>
      <c r="C20" s="40"/>
      <c r="D20" s="97"/>
      <c r="E20" s="108" t="s">
        <v>766</v>
      </c>
      <c r="F20" s="109" t="s">
        <v>765</v>
      </c>
      <c r="G20" s="105" t="s">
        <v>1810</v>
      </c>
      <c r="H20" s="99"/>
      <c r="I20" s="93" t="s">
        <v>940</v>
      </c>
      <c r="J20" s="106" t="s">
        <v>939</v>
      </c>
      <c r="K20" s="107" t="s">
        <v>1814</v>
      </c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</row>
    <row r="21">
      <c r="A21" s="93" t="s">
        <v>943</v>
      </c>
      <c r="B21" s="123" t="s">
        <v>942</v>
      </c>
      <c r="C21" s="105" t="s">
        <v>1815</v>
      </c>
      <c r="D21" s="97"/>
      <c r="E21" s="108" t="s">
        <v>678</v>
      </c>
      <c r="F21" s="109" t="s">
        <v>677</v>
      </c>
      <c r="G21" s="105" t="s">
        <v>1816</v>
      </c>
      <c r="H21" s="99"/>
      <c r="I21" s="124" t="s">
        <v>1817</v>
      </c>
      <c r="J21" s="40"/>
      <c r="K21" s="107" t="s">
        <v>1818</v>
      </c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</row>
    <row r="22">
      <c r="A22" s="93" t="s">
        <v>947</v>
      </c>
      <c r="B22" s="123" t="s">
        <v>946</v>
      </c>
      <c r="C22" s="105" t="s">
        <v>1819</v>
      </c>
      <c r="D22" s="97"/>
      <c r="E22" s="108" t="s">
        <v>686</v>
      </c>
      <c r="F22" s="109" t="s">
        <v>685</v>
      </c>
      <c r="G22" s="105" t="s">
        <v>1816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</row>
    <row r="23">
      <c r="A23" s="93" t="s">
        <v>1820</v>
      </c>
      <c r="B23" s="123" t="s">
        <v>918</v>
      </c>
      <c r="C23" s="105" t="s">
        <v>1819</v>
      </c>
      <c r="D23" s="97"/>
      <c r="E23" s="108" t="s">
        <v>742</v>
      </c>
      <c r="F23" s="109" t="s">
        <v>741</v>
      </c>
      <c r="G23" s="105" t="s">
        <v>1821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</row>
    <row r="24">
      <c r="A24" s="93" t="s">
        <v>1822</v>
      </c>
      <c r="B24" s="123" t="s">
        <v>1553</v>
      </c>
      <c r="C24" s="105" t="s">
        <v>1823</v>
      </c>
      <c r="D24" s="97"/>
      <c r="E24" s="108" t="s">
        <v>666</v>
      </c>
      <c r="F24" s="109" t="s">
        <v>665</v>
      </c>
      <c r="G24" s="105" t="s">
        <v>1821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</row>
    <row r="25">
      <c r="A25" s="93" t="s">
        <v>1824</v>
      </c>
      <c r="B25" s="123" t="s">
        <v>1517</v>
      </c>
      <c r="C25" s="105" t="s">
        <v>1823</v>
      </c>
      <c r="D25" s="97"/>
      <c r="E25" s="108" t="s">
        <v>794</v>
      </c>
      <c r="F25" s="109" t="s">
        <v>793</v>
      </c>
      <c r="G25" s="105" t="s">
        <v>1825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</row>
    <row r="26">
      <c r="A26" s="93" t="s">
        <v>650</v>
      </c>
      <c r="B26" s="123" t="s">
        <v>649</v>
      </c>
      <c r="C26" s="105" t="s">
        <v>1826</v>
      </c>
      <c r="D26" s="97"/>
      <c r="E26" s="108" t="s">
        <v>702</v>
      </c>
      <c r="F26" s="109" t="s">
        <v>701</v>
      </c>
      <c r="G26" s="105" t="s">
        <v>1825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</row>
    <row r="27">
      <c r="A27" s="93" t="s">
        <v>646</v>
      </c>
      <c r="B27" s="123" t="s">
        <v>645</v>
      </c>
      <c r="C27" s="105" t="s">
        <v>1826</v>
      </c>
      <c r="D27" s="97"/>
      <c r="E27" s="108" t="s">
        <v>806</v>
      </c>
      <c r="F27" s="109" t="s">
        <v>805</v>
      </c>
      <c r="G27" s="105" t="s">
        <v>1827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</row>
    <row r="28">
      <c r="A28" s="93" t="s">
        <v>642</v>
      </c>
      <c r="B28" s="123" t="s">
        <v>641</v>
      </c>
      <c r="C28" s="105" t="s">
        <v>1828</v>
      </c>
      <c r="D28" s="97"/>
      <c r="E28" s="108" t="s">
        <v>722</v>
      </c>
      <c r="F28" s="109" t="s">
        <v>721</v>
      </c>
      <c r="G28" s="105" t="s">
        <v>1827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</row>
    <row r="29">
      <c r="A29" s="93" t="s">
        <v>654</v>
      </c>
      <c r="B29" s="123" t="s">
        <v>653</v>
      </c>
      <c r="C29" s="105" t="s">
        <v>1828</v>
      </c>
      <c r="D29" s="97"/>
      <c r="E29" s="108" t="s">
        <v>738</v>
      </c>
      <c r="F29" s="109" t="s">
        <v>737</v>
      </c>
      <c r="G29" s="105" t="s">
        <v>1829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</row>
    <row r="30">
      <c r="A30" s="93" t="s">
        <v>1388</v>
      </c>
      <c r="B30" s="123" t="s">
        <v>1387</v>
      </c>
      <c r="C30" s="105" t="s">
        <v>1830</v>
      </c>
      <c r="D30" s="97"/>
      <c r="E30" s="108" t="s">
        <v>822</v>
      </c>
      <c r="F30" s="109" t="s">
        <v>821</v>
      </c>
      <c r="G30" s="105" t="s">
        <v>1829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</row>
    <row r="31">
      <c r="A31" s="93" t="s">
        <v>834</v>
      </c>
      <c r="B31" s="123" t="s">
        <v>833</v>
      </c>
      <c r="C31" s="105" t="s">
        <v>1831</v>
      </c>
      <c r="D31" s="97"/>
      <c r="E31" s="108" t="s">
        <v>758</v>
      </c>
      <c r="F31" s="109" t="s">
        <v>757</v>
      </c>
      <c r="G31" s="105" t="s">
        <v>1832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</row>
    <row r="32">
      <c r="A32" s="93" t="s">
        <v>842</v>
      </c>
      <c r="B32" s="123" t="s">
        <v>841</v>
      </c>
      <c r="C32" s="105" t="s">
        <v>1833</v>
      </c>
      <c r="D32" s="97"/>
      <c r="E32" s="108" t="s">
        <v>778</v>
      </c>
      <c r="F32" s="109" t="s">
        <v>777</v>
      </c>
      <c r="G32" s="105" t="s">
        <v>1832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</row>
    <row r="33">
      <c r="A33" s="93" t="s">
        <v>886</v>
      </c>
      <c r="B33" s="123" t="s">
        <v>885</v>
      </c>
      <c r="C33" s="105" t="s">
        <v>1834</v>
      </c>
      <c r="D33" s="97"/>
      <c r="E33" s="108" t="s">
        <v>670</v>
      </c>
      <c r="F33" s="109" t="s">
        <v>669</v>
      </c>
      <c r="G33" s="105" t="s">
        <v>1835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</row>
    <row r="34">
      <c r="A34" s="93" t="s">
        <v>1380</v>
      </c>
      <c r="B34" s="123" t="s">
        <v>1379</v>
      </c>
      <c r="C34" s="105" t="s">
        <v>1834</v>
      </c>
      <c r="D34" s="97"/>
      <c r="E34" s="108" t="s">
        <v>786</v>
      </c>
      <c r="F34" s="109" t="s">
        <v>785</v>
      </c>
      <c r="G34" s="105" t="s">
        <v>1835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</row>
    <row r="35">
      <c r="A35" s="97"/>
      <c r="B35" s="97"/>
      <c r="C35" s="97"/>
      <c r="D35" s="97"/>
      <c r="E35" s="108" t="s">
        <v>674</v>
      </c>
      <c r="F35" s="109" t="s">
        <v>673</v>
      </c>
      <c r="G35" s="105" t="s">
        <v>1836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</row>
    <row r="36">
      <c r="A36" s="97"/>
      <c r="B36" s="97"/>
      <c r="C36" s="97"/>
      <c r="D36" s="97"/>
      <c r="E36" s="108" t="s">
        <v>694</v>
      </c>
      <c r="F36" s="109" t="s">
        <v>693</v>
      </c>
      <c r="G36" s="105" t="s">
        <v>1836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</row>
    <row r="37">
      <c r="A37" s="97"/>
      <c r="B37" s="97"/>
      <c r="C37" s="97"/>
      <c r="D37" s="97"/>
      <c r="E37" s="108" t="s">
        <v>802</v>
      </c>
      <c r="F37" s="109" t="s">
        <v>801</v>
      </c>
      <c r="G37" s="105" t="s">
        <v>1837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</row>
    <row r="38">
      <c r="A38" s="97"/>
      <c r="B38" s="97"/>
      <c r="C38" s="97"/>
      <c r="D38" s="97"/>
      <c r="E38" s="108" t="s">
        <v>714</v>
      </c>
      <c r="F38" s="109" t="s">
        <v>713</v>
      </c>
      <c r="G38" s="105" t="s">
        <v>1837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</row>
    <row r="39">
      <c r="A39" s="97"/>
      <c r="B39" s="97"/>
      <c r="C39" s="97"/>
      <c r="D39" s="97"/>
      <c r="E39" s="108" t="s">
        <v>730</v>
      </c>
      <c r="F39" s="109" t="s">
        <v>729</v>
      </c>
      <c r="G39" s="105" t="s">
        <v>1838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</row>
    <row r="40">
      <c r="A40" s="97"/>
      <c r="B40" s="97"/>
      <c r="C40" s="97"/>
      <c r="D40" s="97"/>
      <c r="E40" s="108" t="s">
        <v>814</v>
      </c>
      <c r="F40" s="109" t="s">
        <v>813</v>
      </c>
      <c r="G40" s="105" t="s">
        <v>1838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</row>
    <row r="41">
      <c r="A41" s="97"/>
      <c r="B41" s="97"/>
      <c r="C41" s="97"/>
      <c r="D41" s="97"/>
      <c r="E41" s="108" t="s">
        <v>750</v>
      </c>
      <c r="F41" s="109" t="s">
        <v>749</v>
      </c>
      <c r="G41" s="105" t="s">
        <v>1839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</row>
    <row r="42">
      <c r="A42" s="97"/>
      <c r="B42" s="97"/>
      <c r="C42" s="97"/>
      <c r="D42" s="97"/>
      <c r="E42" s="108" t="s">
        <v>762</v>
      </c>
      <c r="F42" s="109" t="s">
        <v>761</v>
      </c>
      <c r="G42" s="105" t="s">
        <v>1839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</row>
    <row r="43">
      <c r="A43" s="97"/>
      <c r="B43" s="97"/>
      <c r="C43" s="97"/>
      <c r="D43" s="97"/>
      <c r="E43" s="108" t="s">
        <v>770</v>
      </c>
      <c r="F43" s="109" t="s">
        <v>769</v>
      </c>
      <c r="G43" s="105" t="s">
        <v>1840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</row>
    <row r="44">
      <c r="A44" s="97"/>
      <c r="B44" s="97"/>
      <c r="C44" s="97"/>
      <c r="D44" s="97"/>
      <c r="E44" s="108" t="s">
        <v>682</v>
      </c>
      <c r="F44" s="109" t="s">
        <v>681</v>
      </c>
      <c r="G44" s="105" t="s">
        <v>1840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</row>
    <row r="45">
      <c r="A45" s="97"/>
      <c r="B45" s="97"/>
      <c r="C45" s="97"/>
      <c r="D45" s="97"/>
      <c r="E45" s="108" t="s">
        <v>878</v>
      </c>
      <c r="F45" s="109" t="s">
        <v>873</v>
      </c>
      <c r="G45" s="105" t="s">
        <v>1841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</row>
    <row r="46">
      <c r="A46" s="97"/>
      <c r="B46" s="97"/>
      <c r="C46" s="97"/>
      <c r="D46" s="97"/>
      <c r="E46" s="108" t="s">
        <v>874</v>
      </c>
      <c r="F46" s="109" t="s">
        <v>877</v>
      </c>
      <c r="G46" s="105" t="s">
        <v>1841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</row>
    <row r="47">
      <c r="A47" s="97"/>
      <c r="B47" s="97"/>
      <c r="C47" s="97"/>
      <c r="D47" s="97"/>
      <c r="E47" s="108" t="s">
        <v>882</v>
      </c>
      <c r="F47" s="109" t="s">
        <v>881</v>
      </c>
      <c r="G47" s="105" t="s">
        <v>1841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</row>
    <row r="48">
      <c r="A48" s="97"/>
      <c r="B48" s="97"/>
      <c r="C48" s="97"/>
      <c r="D48" s="97"/>
      <c r="E48" s="108" t="s">
        <v>590</v>
      </c>
      <c r="F48" s="109" t="s">
        <v>589</v>
      </c>
      <c r="G48" s="105" t="s">
        <v>1842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</row>
    <row r="49">
      <c r="A49" s="97"/>
      <c r="B49" s="97"/>
      <c r="C49" s="97"/>
      <c r="D49" s="97"/>
      <c r="E49" s="108" t="s">
        <v>594</v>
      </c>
      <c r="F49" s="109" t="s">
        <v>593</v>
      </c>
      <c r="G49" s="105" t="s">
        <v>1842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</row>
    <row r="50">
      <c r="A50" s="97"/>
      <c r="B50" s="97"/>
      <c r="C50" s="97"/>
      <c r="D50" s="97"/>
      <c r="E50" s="108" t="s">
        <v>630</v>
      </c>
      <c r="F50" s="109" t="s">
        <v>629</v>
      </c>
      <c r="G50" s="105" t="s">
        <v>1843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</row>
    <row r="51">
      <c r="A51" s="97"/>
      <c r="B51" s="97"/>
      <c r="C51" s="97"/>
      <c r="D51" s="97"/>
      <c r="E51" s="108" t="s">
        <v>634</v>
      </c>
      <c r="F51" s="109" t="s">
        <v>633</v>
      </c>
      <c r="G51" s="105" t="s">
        <v>1843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</row>
    <row r="52">
      <c r="A52" s="97"/>
      <c r="B52" s="97"/>
      <c r="C52" s="97"/>
      <c r="D52" s="97"/>
      <c r="E52" s="108" t="s">
        <v>522</v>
      </c>
      <c r="F52" s="109" t="s">
        <v>521</v>
      </c>
      <c r="G52" s="105" t="s">
        <v>1844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</row>
    <row r="53">
      <c r="A53" s="97"/>
      <c r="B53" s="97"/>
      <c r="C53" s="97"/>
      <c r="D53" s="97"/>
      <c r="E53" s="108" t="s">
        <v>517</v>
      </c>
      <c r="F53" s="109" t="s">
        <v>516</v>
      </c>
      <c r="G53" s="105" t="s">
        <v>1844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</row>
    <row r="54">
      <c r="A54" s="97"/>
      <c r="B54" s="97"/>
      <c r="C54" s="97"/>
      <c r="D54" s="97"/>
      <c r="E54" s="108" t="s">
        <v>530</v>
      </c>
      <c r="F54" s="109" t="s">
        <v>529</v>
      </c>
      <c r="G54" s="105" t="s">
        <v>1845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</row>
    <row r="55">
      <c r="A55" s="97"/>
      <c r="B55" s="97"/>
      <c r="C55" s="97"/>
      <c r="D55" s="97"/>
      <c r="E55" s="108" t="s">
        <v>526</v>
      </c>
      <c r="F55" s="109" t="s">
        <v>525</v>
      </c>
      <c r="G55" s="105" t="s">
        <v>1845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</row>
    <row r="56">
      <c r="A56" s="97"/>
      <c r="B56" s="97"/>
      <c r="C56" s="97"/>
      <c r="D56" s="97"/>
      <c r="E56" s="108" t="s">
        <v>566</v>
      </c>
      <c r="F56" s="109" t="s">
        <v>565</v>
      </c>
      <c r="G56" s="105" t="s">
        <v>1846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</row>
    <row r="57">
      <c r="A57" s="97"/>
      <c r="B57" s="97"/>
      <c r="C57" s="97"/>
      <c r="D57" s="97"/>
      <c r="E57" s="108" t="s">
        <v>574</v>
      </c>
      <c r="F57" s="109" t="s">
        <v>573</v>
      </c>
      <c r="G57" s="105" t="s">
        <v>1846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</row>
    <row r="58">
      <c r="A58" s="97"/>
      <c r="B58" s="97"/>
      <c r="C58" s="97"/>
      <c r="D58" s="97"/>
      <c r="E58" s="108" t="s">
        <v>870</v>
      </c>
      <c r="F58" s="109" t="s">
        <v>869</v>
      </c>
      <c r="G58" s="105" t="s">
        <v>1847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</row>
    <row r="59">
      <c r="A59" s="97"/>
      <c r="B59" s="97"/>
      <c r="C59" s="97"/>
      <c r="D59" s="97"/>
      <c r="E59" s="108" t="s">
        <v>850</v>
      </c>
      <c r="F59" s="109" t="s">
        <v>849</v>
      </c>
      <c r="G59" s="105" t="s">
        <v>1847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</row>
    <row r="60">
      <c r="A60" s="97"/>
      <c r="B60" s="97"/>
      <c r="C60" s="97"/>
      <c r="D60" s="97"/>
      <c r="E60" s="108" t="s">
        <v>854</v>
      </c>
      <c r="F60" s="109" t="s">
        <v>853</v>
      </c>
      <c r="G60" s="105" t="s">
        <v>1848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</row>
    <row r="61">
      <c r="A61" s="97"/>
      <c r="B61" s="97"/>
      <c r="C61" s="97"/>
      <c r="D61" s="97"/>
      <c r="E61" s="108" t="s">
        <v>858</v>
      </c>
      <c r="F61" s="109" t="s">
        <v>857</v>
      </c>
      <c r="G61" s="105" t="s">
        <v>1848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</row>
    <row r="62">
      <c r="A62" s="97"/>
      <c r="B62" s="97"/>
      <c r="C62" s="97"/>
      <c r="D62" s="97"/>
      <c r="E62" s="108" t="s">
        <v>862</v>
      </c>
      <c r="F62" s="109" t="s">
        <v>861</v>
      </c>
      <c r="G62" s="105" t="s">
        <v>1848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</row>
    <row r="63">
      <c r="A63" s="97"/>
      <c r="B63" s="97"/>
      <c r="C63" s="97"/>
      <c r="D63" s="97"/>
      <c r="E63" s="108" t="s">
        <v>866</v>
      </c>
      <c r="F63" s="109" t="s">
        <v>865</v>
      </c>
      <c r="G63" s="105" t="s">
        <v>1849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</row>
    <row r="64">
      <c r="A64" s="97"/>
      <c r="B64" s="97"/>
      <c r="C64" s="97"/>
      <c r="D64" s="97"/>
      <c r="E64" s="108" t="s">
        <v>534</v>
      </c>
      <c r="F64" s="109" t="s">
        <v>533</v>
      </c>
      <c r="G64" s="105" t="s">
        <v>1850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</row>
    <row r="65">
      <c r="A65" s="97"/>
      <c r="B65" s="97"/>
      <c r="C65" s="97"/>
      <c r="D65" s="97"/>
      <c r="E65" s="108" t="s">
        <v>550</v>
      </c>
      <c r="F65" s="109" t="s">
        <v>549</v>
      </c>
      <c r="G65" s="105" t="s">
        <v>1850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</row>
    <row r="66">
      <c r="A66" s="97"/>
      <c r="B66" s="97"/>
      <c r="C66" s="97"/>
      <c r="D66" s="97"/>
      <c r="E66" s="108" t="s">
        <v>570</v>
      </c>
      <c r="F66" s="109" t="s">
        <v>569</v>
      </c>
      <c r="G66" s="105" t="s">
        <v>1851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</row>
    <row r="67">
      <c r="A67" s="97"/>
      <c r="B67" s="97"/>
      <c r="C67" s="97"/>
      <c r="D67" s="97"/>
      <c r="E67" s="108" t="s">
        <v>538</v>
      </c>
      <c r="F67" s="109" t="s">
        <v>537</v>
      </c>
      <c r="G67" s="105" t="s">
        <v>1851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</row>
    <row r="68">
      <c r="A68" s="97"/>
      <c r="B68" s="97"/>
      <c r="C68" s="97"/>
      <c r="D68" s="97"/>
      <c r="E68" s="108" t="s">
        <v>554</v>
      </c>
      <c r="F68" s="109" t="s">
        <v>553</v>
      </c>
      <c r="G68" s="105" t="s">
        <v>1852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</row>
    <row r="69">
      <c r="A69" s="97"/>
      <c r="B69" s="97"/>
      <c r="C69" s="97"/>
      <c r="D69" s="97"/>
      <c r="E69" s="108" t="s">
        <v>578</v>
      </c>
      <c r="F69" s="109" t="s">
        <v>577</v>
      </c>
      <c r="G69" s="105" t="s">
        <v>1852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</row>
    <row r="70">
      <c r="A70" s="97"/>
      <c r="B70" s="97"/>
      <c r="C70" s="97"/>
      <c r="D70" s="97"/>
      <c r="E70" s="108" t="s">
        <v>542</v>
      </c>
      <c r="F70" s="109" t="s">
        <v>541</v>
      </c>
      <c r="G70" s="105" t="s">
        <v>1853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</row>
    <row r="71">
      <c r="A71" s="97"/>
      <c r="B71" s="97"/>
      <c r="C71" s="97"/>
      <c r="D71" s="97"/>
      <c r="E71" s="108" t="s">
        <v>558</v>
      </c>
      <c r="F71" s="109" t="s">
        <v>557</v>
      </c>
      <c r="G71" s="105" t="s">
        <v>1853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</row>
    <row r="72">
      <c r="A72" s="97"/>
      <c r="B72" s="97"/>
      <c r="C72" s="97"/>
      <c r="D72" s="97"/>
      <c r="E72" s="108" t="s">
        <v>582</v>
      </c>
      <c r="F72" s="109" t="s">
        <v>581</v>
      </c>
      <c r="G72" s="105" t="s">
        <v>1854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</row>
    <row r="73">
      <c r="A73" s="97"/>
      <c r="B73" s="97"/>
      <c r="C73" s="97"/>
      <c r="D73" s="97"/>
      <c r="E73" s="108" t="s">
        <v>546</v>
      </c>
      <c r="F73" s="109" t="s">
        <v>545</v>
      </c>
      <c r="G73" s="105" t="s">
        <v>1854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</row>
    <row r="74">
      <c r="A74" s="97"/>
      <c r="B74" s="97"/>
      <c r="C74" s="97"/>
      <c r="D74" s="97"/>
      <c r="E74" s="108" t="s">
        <v>562</v>
      </c>
      <c r="F74" s="109" t="s">
        <v>561</v>
      </c>
      <c r="G74" s="105" t="s">
        <v>1855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</row>
    <row r="75">
      <c r="A75" s="97"/>
      <c r="B75" s="97"/>
      <c r="C75" s="97"/>
      <c r="D75" s="97"/>
      <c r="E75" s="102" t="s">
        <v>1856</v>
      </c>
      <c r="F75" s="11" t="s">
        <v>825</v>
      </c>
      <c r="G75" s="105" t="s">
        <v>1857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</row>
    <row r="76">
      <c r="A76" s="97"/>
      <c r="B76" s="97"/>
      <c r="C76" s="97"/>
      <c r="D76" s="97"/>
      <c r="E76" s="102" t="s">
        <v>1858</v>
      </c>
      <c r="F76" s="125" t="s">
        <v>829</v>
      </c>
      <c r="G76" s="105" t="s">
        <v>1857</v>
      </c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</row>
    <row r="77">
      <c r="A77" s="97"/>
      <c r="B77" s="97"/>
      <c r="C77" s="97"/>
      <c r="D77" s="97"/>
      <c r="E77" s="108" t="s">
        <v>838</v>
      </c>
      <c r="F77" s="109" t="s">
        <v>837</v>
      </c>
      <c r="G77" s="105" t="s">
        <v>1859</v>
      </c>
      <c r="K77" s="126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</row>
    <row r="78">
      <c r="A78" s="97"/>
      <c r="B78" s="97"/>
      <c r="C78" s="97"/>
      <c r="D78" s="97"/>
      <c r="E78" s="102" t="s">
        <v>1860</v>
      </c>
      <c r="F78" s="103" t="s">
        <v>585</v>
      </c>
      <c r="G78" s="105" t="s">
        <v>1861</v>
      </c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</row>
    <row r="79">
      <c r="A79" s="97"/>
      <c r="B79" s="97"/>
      <c r="C79" s="97"/>
      <c r="D79" s="97"/>
      <c r="E79" s="102" t="s">
        <v>1862</v>
      </c>
      <c r="F79" s="103" t="s">
        <v>597</v>
      </c>
      <c r="G79" s="105" t="s">
        <v>1863</v>
      </c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</row>
    <row r="80">
      <c r="A80" s="97"/>
      <c r="B80" s="97"/>
      <c r="C80" s="97"/>
      <c r="D80" s="97"/>
      <c r="E80" s="102" t="s">
        <v>846</v>
      </c>
      <c r="F80" s="103" t="s">
        <v>845</v>
      </c>
      <c r="G80" s="105" t="s">
        <v>1864</v>
      </c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</row>
    <row r="81">
      <c r="A81" s="97"/>
      <c r="B81" s="97"/>
      <c r="C81" s="97"/>
      <c r="D81" s="97"/>
      <c r="E81" s="117" t="s">
        <v>1865</v>
      </c>
      <c r="F81" s="118"/>
      <c r="G81" s="11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</row>
    <row r="82">
      <c r="A82" s="97"/>
      <c r="B82" s="97"/>
      <c r="C82" s="97"/>
      <c r="D82" s="97"/>
      <c r="E82" s="120"/>
      <c r="F82" s="121"/>
      <c r="G82" s="122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</row>
    <row r="83">
      <c r="A83" s="97"/>
      <c r="B83" s="97"/>
      <c r="C83" s="97"/>
      <c r="D83" s="97"/>
      <c r="E83" s="108" t="s">
        <v>603</v>
      </c>
      <c r="F83" s="109" t="s">
        <v>602</v>
      </c>
      <c r="G83" s="105" t="s">
        <v>1866</v>
      </c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</row>
    <row r="84">
      <c r="A84" s="97"/>
      <c r="B84" s="97"/>
      <c r="C84" s="97"/>
      <c r="D84" s="97"/>
      <c r="E84" s="108" t="s">
        <v>607</v>
      </c>
      <c r="F84" s="109" t="s">
        <v>606</v>
      </c>
      <c r="G84" s="105" t="s">
        <v>1867</v>
      </c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</row>
    <row r="85">
      <c r="A85" s="97"/>
      <c r="B85" s="97"/>
      <c r="C85" s="97"/>
      <c r="D85" s="97"/>
      <c r="E85" s="108" t="s">
        <v>610</v>
      </c>
      <c r="F85" s="109" t="s">
        <v>609</v>
      </c>
      <c r="G85" s="105" t="s">
        <v>1868</v>
      </c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</row>
    <row r="86">
      <c r="A86" s="97"/>
      <c r="B86" s="97"/>
      <c r="C86" s="97"/>
      <c r="D86" s="97"/>
      <c r="E86" s="108" t="s">
        <v>614</v>
      </c>
      <c r="F86" s="109" t="s">
        <v>613</v>
      </c>
      <c r="G86" s="105" t="s">
        <v>1869</v>
      </c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</row>
    <row r="87">
      <c r="A87" s="97"/>
      <c r="B87" s="97"/>
      <c r="C87" s="97"/>
      <c r="D87" s="97"/>
      <c r="E87" s="108" t="s">
        <v>618</v>
      </c>
      <c r="F87" s="109" t="s">
        <v>617</v>
      </c>
      <c r="G87" s="105" t="s">
        <v>1870</v>
      </c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</row>
    <row r="88">
      <c r="A88" s="97"/>
      <c r="B88" s="97"/>
      <c r="C88" s="97"/>
      <c r="D88" s="97"/>
      <c r="E88" s="108" t="s">
        <v>622</v>
      </c>
      <c r="F88" s="109" t="s">
        <v>621</v>
      </c>
      <c r="G88" s="105" t="s">
        <v>1871</v>
      </c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</row>
    <row r="89">
      <c r="A89" s="97"/>
      <c r="B89" s="97"/>
      <c r="C89" s="97"/>
      <c r="D89" s="97"/>
      <c r="E89" s="127" t="s">
        <v>509</v>
      </c>
      <c r="F89" s="114" t="s">
        <v>508</v>
      </c>
      <c r="G89" s="105" t="s">
        <v>1872</v>
      </c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</row>
    <row r="90">
      <c r="A90" s="97"/>
      <c r="B90" s="97"/>
      <c r="C90" s="97"/>
      <c r="D90" s="97"/>
      <c r="E90" s="108" t="s">
        <v>513</v>
      </c>
      <c r="F90" s="109" t="s">
        <v>512</v>
      </c>
      <c r="G90" s="105" t="s">
        <v>1873</v>
      </c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</row>
    <row r="91">
      <c r="A91" s="97"/>
      <c r="B91" s="97"/>
      <c r="C91" s="97"/>
      <c r="D91" s="97"/>
      <c r="E91" s="111" t="s">
        <v>505</v>
      </c>
      <c r="F91" s="112" t="s">
        <v>504</v>
      </c>
      <c r="G91" s="105" t="s">
        <v>1874</v>
      </c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</row>
    <row r="92">
      <c r="A92" s="97"/>
      <c r="B92" s="97"/>
      <c r="C92" s="97"/>
      <c r="D92" s="97"/>
      <c r="E92" s="104" t="s">
        <v>1875</v>
      </c>
      <c r="F92" s="6" t="s">
        <v>295</v>
      </c>
      <c r="G92" s="105" t="s">
        <v>1876</v>
      </c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</row>
    <row r="93">
      <c r="A93" s="97"/>
      <c r="B93" s="97"/>
      <c r="C93" s="97"/>
      <c r="D93" s="97"/>
      <c r="E93" s="104" t="s">
        <v>1877</v>
      </c>
      <c r="F93" s="6" t="s">
        <v>291</v>
      </c>
      <c r="G93" s="105" t="s">
        <v>1878</v>
      </c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</row>
    <row r="94">
      <c r="A94" s="97"/>
      <c r="B94" s="97"/>
      <c r="C94" s="97"/>
      <c r="D94" s="97"/>
      <c r="E94" s="104" t="s">
        <v>1879</v>
      </c>
      <c r="F94" s="6" t="s">
        <v>286</v>
      </c>
      <c r="G94" s="105" t="s">
        <v>1880</v>
      </c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</row>
    <row r="95">
      <c r="A95" s="128"/>
      <c r="B95" s="128"/>
      <c r="C95" s="128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</row>
    <row r="996">
      <c r="A996" s="99"/>
      <c r="B996" s="99"/>
      <c r="C996" s="99"/>
      <c r="D996" s="99"/>
      <c r="H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</row>
    <row r="997">
      <c r="A997" s="99"/>
      <c r="B997" s="99"/>
      <c r="C997" s="99"/>
      <c r="D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</row>
    <row r="998">
      <c r="A998" s="99"/>
      <c r="B998" s="99"/>
      <c r="C998" s="99"/>
      <c r="D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</row>
    <row r="999">
      <c r="A999" s="99"/>
      <c r="B999" s="99"/>
      <c r="C999" s="99"/>
      <c r="D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</row>
    <row r="1000">
      <c r="A1000" s="99"/>
      <c r="B1000" s="99"/>
      <c r="C1000" s="99"/>
      <c r="D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</row>
    <row r="1001">
      <c r="A1001" s="99"/>
      <c r="B1001" s="99"/>
      <c r="C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</row>
    <row r="1002">
      <c r="L1002" s="99"/>
      <c r="M1002" s="99"/>
      <c r="N1002" s="99"/>
      <c r="O1002" s="99"/>
      <c r="P1002" s="99"/>
      <c r="Q1002" s="99"/>
      <c r="R1002" s="99"/>
      <c r="S1002" s="99"/>
      <c r="T1002" s="99"/>
      <c r="U1002" s="99"/>
      <c r="V1002" s="99"/>
      <c r="W1002" s="99"/>
      <c r="X1002" s="99"/>
    </row>
    <row r="1003">
      <c r="M1003" s="99"/>
      <c r="N1003" s="99"/>
      <c r="O1003" s="99"/>
      <c r="P1003" s="99"/>
      <c r="Q1003" s="99"/>
      <c r="R1003" s="99"/>
      <c r="S1003" s="99"/>
      <c r="T1003" s="99"/>
      <c r="U1003" s="99"/>
      <c r="V1003" s="99"/>
      <c r="W1003" s="99"/>
      <c r="X1003" s="99"/>
    </row>
  </sheetData>
  <mergeCells count="7">
    <mergeCell ref="A1:C1"/>
    <mergeCell ref="E1:G1"/>
    <mergeCell ref="I1:K1"/>
    <mergeCell ref="A18:C19"/>
    <mergeCell ref="A20:C20"/>
    <mergeCell ref="I21:J21"/>
    <mergeCell ref="E81:G82"/>
  </mergeCells>
  <conditionalFormatting sqref="F75 F92:F94">
    <cfRule type="containsBlanks" dxfId="0" priority="1">
      <formula>LEN(TRIM(F75))=0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6.57"/>
    <col customWidth="1" min="3" max="3" width="11.86"/>
    <col customWidth="1" min="4" max="4" width="41.29"/>
    <col customWidth="1" min="5" max="5" width="22.29"/>
    <col customWidth="1" min="6" max="6" width="5.86"/>
    <col customWidth="1" min="7" max="7" width="9.43"/>
    <col customWidth="1" hidden="1" min="8" max="8" width="10.71"/>
    <col customWidth="1" hidden="1" min="9" max="9" width="11.29"/>
    <col customWidth="1" hidden="1" min="10" max="10" width="26.43"/>
    <col customWidth="1" hidden="1" min="11" max="11" width="7.86"/>
    <col customWidth="1" hidden="1" min="12" max="12" width="16.0"/>
    <col customWidth="1" hidden="1" min="13" max="13" width="23.57"/>
    <col customWidth="1" hidden="1" min="14" max="14" width="73.29"/>
    <col customWidth="1" min="15" max="15" width="20.71"/>
    <col customWidth="1" hidden="1" min="16" max="16" width="14.0"/>
    <col customWidth="1" hidden="1" min="17" max="17" width="15.29"/>
    <col customWidth="1" hidden="1" min="18" max="18" width="4.71"/>
    <col customWidth="1" hidden="1" min="19" max="19" width="9.29"/>
    <col customWidth="1" hidden="1" min="20" max="20" width="16.0"/>
    <col customWidth="1" hidden="1" min="21" max="21" width="9.29"/>
    <col hidden="1" min="22" max="24" width="14.43"/>
  </cols>
  <sheetData>
    <row r="1" ht="45.0" customHeight="1">
      <c r="A1" s="129" t="s">
        <v>0</v>
      </c>
      <c r="B1" s="129"/>
      <c r="C1" s="129" t="s">
        <v>1</v>
      </c>
      <c r="D1" s="129" t="s">
        <v>2</v>
      </c>
      <c r="E1" s="129" t="s">
        <v>3</v>
      </c>
      <c r="F1" s="129" t="s">
        <v>4</v>
      </c>
      <c r="G1" s="130" t="s">
        <v>1881</v>
      </c>
      <c r="H1" s="129" t="s">
        <v>6</v>
      </c>
      <c r="I1" s="129" t="s">
        <v>7</v>
      </c>
      <c r="J1" s="131" t="s">
        <v>8</v>
      </c>
      <c r="K1" s="129" t="s">
        <v>9</v>
      </c>
      <c r="L1" s="129" t="s">
        <v>10</v>
      </c>
      <c r="M1" s="129" t="s">
        <v>11</v>
      </c>
      <c r="N1" s="129" t="s">
        <v>12</v>
      </c>
      <c r="O1" s="132" t="s">
        <v>13</v>
      </c>
      <c r="P1" s="132" t="s">
        <v>13</v>
      </c>
      <c r="Q1" s="132" t="s">
        <v>13</v>
      </c>
      <c r="R1" s="132" t="s">
        <v>13</v>
      </c>
      <c r="S1" s="132" t="s">
        <v>13</v>
      </c>
      <c r="T1" s="132" t="s">
        <v>1882</v>
      </c>
      <c r="U1" s="133" t="s">
        <v>1883</v>
      </c>
      <c r="V1" s="134" t="s">
        <v>1884</v>
      </c>
      <c r="W1" s="135" t="s">
        <v>1885</v>
      </c>
      <c r="X1" s="136"/>
    </row>
    <row r="2" ht="72.0" hidden="1" customHeight="1">
      <c r="A2" s="137">
        <v>1.0</v>
      </c>
      <c r="B2" s="137" t="s">
        <v>15</v>
      </c>
      <c r="C2" s="137" t="s">
        <v>17</v>
      </c>
      <c r="D2" s="138" t="s">
        <v>18</v>
      </c>
      <c r="E2" s="139" t="s">
        <v>19</v>
      </c>
      <c r="F2" s="140">
        <v>5.0</v>
      </c>
      <c r="G2" s="140">
        <v>6.0</v>
      </c>
      <c r="H2" s="140">
        <v>75.0</v>
      </c>
      <c r="I2" s="137">
        <f t="shared" ref="I2:I84" si="1">H2*G2</f>
        <v>450</v>
      </c>
      <c r="J2" s="141" t="s">
        <v>20</v>
      </c>
      <c r="K2" s="138" t="s">
        <v>21</v>
      </c>
      <c r="L2" s="140" t="s">
        <v>22</v>
      </c>
      <c r="M2" s="138" t="s">
        <v>23</v>
      </c>
      <c r="N2" s="142" t="s">
        <v>24</v>
      </c>
      <c r="O2" s="137" t="str">
        <f>IMAGE("https://m.media-amazon.com/images/I/61ZBVWoGgCL._SL1500_.jpg",1)</f>
        <v/>
      </c>
      <c r="P2" s="137"/>
      <c r="Q2" s="137"/>
      <c r="R2" s="137"/>
      <c r="S2" s="137"/>
      <c r="T2" s="137"/>
      <c r="U2" s="137">
        <v>1.0</v>
      </c>
      <c r="V2" s="143"/>
      <c r="W2" s="144">
        <f t="shared" ref="W2:W259" si="2">G2*45</f>
        <v>270</v>
      </c>
      <c r="X2" s="145"/>
    </row>
    <row r="3" ht="72.0" hidden="1" customHeight="1">
      <c r="A3" s="137">
        <v>2.0</v>
      </c>
      <c r="B3" s="137" t="s">
        <v>15</v>
      </c>
      <c r="C3" s="137" t="s">
        <v>26</v>
      </c>
      <c r="D3" s="138" t="s">
        <v>27</v>
      </c>
      <c r="E3" s="139" t="s">
        <v>19</v>
      </c>
      <c r="F3" s="140">
        <v>1.0</v>
      </c>
      <c r="G3" s="140">
        <v>2.0</v>
      </c>
      <c r="H3" s="140">
        <v>150.0</v>
      </c>
      <c r="I3" s="137">
        <f t="shared" si="1"/>
        <v>300</v>
      </c>
      <c r="J3" s="141" t="s">
        <v>20</v>
      </c>
      <c r="K3" s="138" t="s">
        <v>21</v>
      </c>
      <c r="L3" s="140"/>
      <c r="M3" s="138" t="s">
        <v>23</v>
      </c>
      <c r="N3" s="142" t="s">
        <v>28</v>
      </c>
      <c r="O3" s="137" t="str">
        <f>IMAGE("https://5.imimg.com/data5/BN/FC/MY-25588345/omega-cell-tape-dispenser-500x500.jpg",1)</f>
        <v/>
      </c>
      <c r="P3" s="137"/>
      <c r="Q3" s="137"/>
      <c r="R3" s="137"/>
      <c r="S3" s="137"/>
      <c r="T3" s="137"/>
      <c r="U3" s="146">
        <v>1.0</v>
      </c>
      <c r="V3" s="143"/>
      <c r="W3" s="144">
        <f t="shared" si="2"/>
        <v>90</v>
      </c>
      <c r="X3" s="145"/>
    </row>
    <row r="4" ht="69.75" hidden="1" customHeight="1">
      <c r="A4" s="137">
        <v>3.0</v>
      </c>
      <c r="B4" s="137" t="s">
        <v>15</v>
      </c>
      <c r="C4" s="137" t="s">
        <v>30</v>
      </c>
      <c r="D4" s="138" t="s">
        <v>31</v>
      </c>
      <c r="E4" s="139" t="s">
        <v>19</v>
      </c>
      <c r="F4" s="140">
        <v>5.0</v>
      </c>
      <c r="G4" s="140">
        <v>6.0</v>
      </c>
      <c r="H4" s="137">
        <v>25.0</v>
      </c>
      <c r="I4" s="137">
        <f t="shared" si="1"/>
        <v>150</v>
      </c>
      <c r="J4" s="141" t="s">
        <v>20</v>
      </c>
      <c r="K4" s="138" t="s">
        <v>21</v>
      </c>
      <c r="L4" s="140" t="s">
        <v>22</v>
      </c>
      <c r="M4" s="138" t="s">
        <v>23</v>
      </c>
      <c r="N4" s="142" t="s">
        <v>32</v>
      </c>
      <c r="O4" s="137" t="str">
        <f>IMAGE("https://m.media-amazon.com/images/I/21wXjA1iP5L.jpg",1)</f>
        <v/>
      </c>
      <c r="P4" s="137"/>
      <c r="Q4" s="137"/>
      <c r="R4" s="137"/>
      <c r="S4" s="147"/>
      <c r="T4" s="147"/>
      <c r="U4" s="137">
        <v>1.0</v>
      </c>
      <c r="V4" s="143"/>
      <c r="W4" s="144">
        <f t="shared" si="2"/>
        <v>270</v>
      </c>
      <c r="X4" s="145"/>
    </row>
    <row r="5" ht="74.25" hidden="1" customHeight="1">
      <c r="A5" s="137">
        <v>4.0</v>
      </c>
      <c r="B5" s="137" t="s">
        <v>15</v>
      </c>
      <c r="C5" s="137" t="s">
        <v>34</v>
      </c>
      <c r="D5" s="138" t="s">
        <v>35</v>
      </c>
      <c r="E5" s="139" t="s">
        <v>19</v>
      </c>
      <c r="F5" s="140">
        <v>5.0</v>
      </c>
      <c r="G5" s="140">
        <v>6.0</v>
      </c>
      <c r="H5" s="140">
        <v>80.0</v>
      </c>
      <c r="I5" s="137">
        <f t="shared" si="1"/>
        <v>480</v>
      </c>
      <c r="J5" s="141" t="s">
        <v>20</v>
      </c>
      <c r="K5" s="138" t="s">
        <v>21</v>
      </c>
      <c r="L5" s="140" t="s">
        <v>22</v>
      </c>
      <c r="M5" s="138" t="s">
        <v>23</v>
      </c>
      <c r="N5" s="142"/>
      <c r="O5" s="137" t="str">
        <f>IMAGE("https://5.imimg.com/data5/YG/CD/MY-4112616/transparent-tape-500x500.jpg",1)</f>
        <v/>
      </c>
      <c r="P5" s="137"/>
      <c r="Q5" s="137"/>
      <c r="R5" s="137"/>
      <c r="S5" s="137"/>
      <c r="T5" s="137"/>
      <c r="U5" s="137">
        <v>1.0</v>
      </c>
      <c r="V5" s="143"/>
      <c r="W5" s="144">
        <f t="shared" si="2"/>
        <v>270</v>
      </c>
      <c r="X5" s="145"/>
    </row>
    <row r="6" ht="89.25" hidden="1" customHeight="1">
      <c r="A6" s="137">
        <v>5.0</v>
      </c>
      <c r="B6" s="137" t="s">
        <v>15</v>
      </c>
      <c r="C6" s="137" t="s">
        <v>37</v>
      </c>
      <c r="D6" s="138" t="s">
        <v>1886</v>
      </c>
      <c r="E6" s="139" t="s">
        <v>19</v>
      </c>
      <c r="F6" s="140">
        <v>5.0</v>
      </c>
      <c r="G6" s="140">
        <v>6.0</v>
      </c>
      <c r="H6" s="140">
        <v>80.0</v>
      </c>
      <c r="I6" s="137">
        <f t="shared" si="1"/>
        <v>480</v>
      </c>
      <c r="J6" s="141" t="s">
        <v>20</v>
      </c>
      <c r="K6" s="138" t="s">
        <v>21</v>
      </c>
      <c r="L6" s="140" t="s">
        <v>22</v>
      </c>
      <c r="M6" s="138" t="s">
        <v>23</v>
      </c>
      <c r="N6" s="142" t="s">
        <v>39</v>
      </c>
      <c r="O6" s="137" t="str">
        <f>IMAGE("https://m.media-amazon.com/images/I/61JiUrBk2-L._SL1082_.jpg",1)</f>
        <v/>
      </c>
      <c r="P6" s="137"/>
      <c r="Q6" s="137"/>
      <c r="R6" s="137"/>
      <c r="S6" s="137"/>
      <c r="T6" s="137"/>
      <c r="U6" s="137">
        <v>1.0</v>
      </c>
      <c r="V6" s="143"/>
      <c r="W6" s="144">
        <f t="shared" si="2"/>
        <v>270</v>
      </c>
      <c r="X6" s="145"/>
    </row>
    <row r="7" ht="90.0" hidden="1" customHeight="1">
      <c r="A7" s="137">
        <v>6.0</v>
      </c>
      <c r="B7" s="137" t="s">
        <v>15</v>
      </c>
      <c r="C7" s="137" t="s">
        <v>41</v>
      </c>
      <c r="D7" s="138" t="s">
        <v>42</v>
      </c>
      <c r="E7" s="139" t="s">
        <v>19</v>
      </c>
      <c r="F7" s="140">
        <v>5.0</v>
      </c>
      <c r="G7" s="140">
        <v>6.0</v>
      </c>
      <c r="H7" s="140">
        <v>80.0</v>
      </c>
      <c r="I7" s="137">
        <f t="shared" si="1"/>
        <v>480</v>
      </c>
      <c r="J7" s="141" t="s">
        <v>20</v>
      </c>
      <c r="K7" s="138" t="s">
        <v>21</v>
      </c>
      <c r="L7" s="140" t="s">
        <v>22</v>
      </c>
      <c r="M7" s="138" t="s">
        <v>23</v>
      </c>
      <c r="N7" s="142" t="s">
        <v>43</v>
      </c>
      <c r="O7" s="137" t="str">
        <f>IMAGE("https://m.media-amazon.com/images/I/51JAsOuirxL._SL1000_.jpg",1)</f>
        <v/>
      </c>
      <c r="P7" s="137" t="s">
        <v>56</v>
      </c>
      <c r="Q7" s="147"/>
      <c r="R7" s="147"/>
      <c r="S7" s="137"/>
      <c r="T7" s="137"/>
      <c r="U7" s="137">
        <v>1.0</v>
      </c>
      <c r="V7" s="143"/>
      <c r="W7" s="144">
        <f t="shared" si="2"/>
        <v>270</v>
      </c>
      <c r="X7" s="145"/>
    </row>
    <row r="8" ht="45.0" hidden="1" customHeight="1">
      <c r="A8" s="137">
        <v>7.0</v>
      </c>
      <c r="B8" s="137" t="s">
        <v>15</v>
      </c>
      <c r="C8" s="137" t="s">
        <v>45</v>
      </c>
      <c r="D8" s="138" t="s">
        <v>46</v>
      </c>
      <c r="E8" s="139" t="s">
        <v>19</v>
      </c>
      <c r="F8" s="137">
        <v>10.0</v>
      </c>
      <c r="G8" s="137">
        <v>10.0</v>
      </c>
      <c r="H8" s="137">
        <v>35.0</v>
      </c>
      <c r="I8" s="137">
        <f t="shared" si="1"/>
        <v>350</v>
      </c>
      <c r="J8" s="141" t="s">
        <v>20</v>
      </c>
      <c r="K8" s="138" t="s">
        <v>47</v>
      </c>
      <c r="L8" s="140" t="s">
        <v>22</v>
      </c>
      <c r="M8" s="138" t="s">
        <v>23</v>
      </c>
      <c r="N8" s="142" t="s">
        <v>48</v>
      </c>
      <c r="O8" s="137" t="str">
        <f>IMAGE("https://m.media-amazon.com/images/I/81zdeTxqkLL._SL1500_.jpg",1)</f>
        <v/>
      </c>
      <c r="P8" s="137"/>
      <c r="Q8" s="137"/>
      <c r="R8" s="137"/>
      <c r="S8" s="137"/>
      <c r="T8" s="137"/>
      <c r="U8" s="137">
        <v>1.0</v>
      </c>
      <c r="V8" s="143"/>
      <c r="W8" s="144">
        <f t="shared" si="2"/>
        <v>450</v>
      </c>
      <c r="X8" s="145"/>
    </row>
    <row r="9" ht="45.0" hidden="1" customHeight="1">
      <c r="A9" s="137">
        <v>8.0</v>
      </c>
      <c r="B9" s="137" t="s">
        <v>15</v>
      </c>
      <c r="C9" s="137" t="s">
        <v>50</v>
      </c>
      <c r="D9" s="138" t="s">
        <v>51</v>
      </c>
      <c r="E9" s="139" t="s">
        <v>19</v>
      </c>
      <c r="F9" s="140">
        <v>5.0</v>
      </c>
      <c r="G9" s="140">
        <v>5.0</v>
      </c>
      <c r="H9" s="140">
        <v>80.0</v>
      </c>
      <c r="I9" s="137">
        <f t="shared" si="1"/>
        <v>400</v>
      </c>
      <c r="J9" s="141" t="s">
        <v>20</v>
      </c>
      <c r="K9" s="138" t="s">
        <v>21</v>
      </c>
      <c r="L9" s="140" t="s">
        <v>22</v>
      </c>
      <c r="M9" s="138" t="s">
        <v>23</v>
      </c>
      <c r="N9" s="142" t="s">
        <v>52</v>
      </c>
      <c r="O9" s="137" t="str">
        <f>IMAGE("https://megahardwarett.com/wp-content/uploads/2022/03/71TQZaRi6yL._AC_SX425_.jpg",1)</f>
        <v/>
      </c>
      <c r="P9" s="137"/>
      <c r="Q9" s="137"/>
      <c r="R9" s="137"/>
      <c r="S9" s="147"/>
      <c r="T9" s="147"/>
      <c r="U9" s="137">
        <v>1.0</v>
      </c>
      <c r="V9" s="143"/>
      <c r="W9" s="144">
        <f t="shared" si="2"/>
        <v>225</v>
      </c>
      <c r="X9" s="145"/>
    </row>
    <row r="10" ht="45.0" hidden="1" customHeight="1">
      <c r="A10" s="137">
        <v>9.0</v>
      </c>
      <c r="B10" s="137" t="s">
        <v>15</v>
      </c>
      <c r="C10" s="137" t="s">
        <v>54</v>
      </c>
      <c r="D10" s="138" t="s">
        <v>1887</v>
      </c>
      <c r="E10" s="139" t="s">
        <v>19</v>
      </c>
      <c r="F10" s="140">
        <v>5.0</v>
      </c>
      <c r="G10" s="140">
        <v>10.0</v>
      </c>
      <c r="H10" s="140">
        <v>60.0</v>
      </c>
      <c r="I10" s="137">
        <f t="shared" si="1"/>
        <v>600</v>
      </c>
      <c r="J10" s="141" t="s">
        <v>20</v>
      </c>
      <c r="K10" s="138" t="s">
        <v>47</v>
      </c>
      <c r="L10" s="140" t="s">
        <v>22</v>
      </c>
      <c r="M10" s="138" t="s">
        <v>23</v>
      </c>
      <c r="N10" s="140" t="s">
        <v>56</v>
      </c>
      <c r="O10" s="137" t="str">
        <f>IMAGE("https://m.media-amazon.com/images/I/51xkFZnkVFL._SX466_.jpg",1)</f>
        <v/>
      </c>
      <c r="P10" s="137"/>
      <c r="Q10" s="137"/>
      <c r="R10" s="137"/>
      <c r="S10" s="137"/>
      <c r="T10" s="137"/>
      <c r="U10" s="137">
        <v>1.0</v>
      </c>
      <c r="V10" s="143"/>
      <c r="W10" s="144">
        <f t="shared" si="2"/>
        <v>450</v>
      </c>
      <c r="X10" s="145"/>
    </row>
    <row r="11" ht="45.0" hidden="1" customHeight="1">
      <c r="A11" s="137">
        <v>10.0</v>
      </c>
      <c r="B11" s="137" t="s">
        <v>15</v>
      </c>
      <c r="C11" s="137" t="s">
        <v>58</v>
      </c>
      <c r="D11" s="138" t="s">
        <v>1888</v>
      </c>
      <c r="E11" s="139" t="s">
        <v>19</v>
      </c>
      <c r="F11" s="140">
        <v>5.0</v>
      </c>
      <c r="G11" s="140">
        <v>10.0</v>
      </c>
      <c r="H11" s="140">
        <v>70.0</v>
      </c>
      <c r="I11" s="137">
        <f t="shared" si="1"/>
        <v>700</v>
      </c>
      <c r="J11" s="141" t="s">
        <v>20</v>
      </c>
      <c r="K11" s="138" t="s">
        <v>47</v>
      </c>
      <c r="L11" s="140" t="s">
        <v>22</v>
      </c>
      <c r="M11" s="138" t="s">
        <v>23</v>
      </c>
      <c r="N11" s="142" t="s">
        <v>60</v>
      </c>
      <c r="O11" s="137" t="str">
        <f>IMAGE("https://5.imimg.com/data5/LJ/PW/MY-3849711/loctite-401-super-glue-500x500.jpg",1)</f>
        <v/>
      </c>
      <c r="P11" s="137"/>
      <c r="Q11" s="137"/>
      <c r="R11" s="137"/>
      <c r="S11" s="137"/>
      <c r="T11" s="137"/>
      <c r="U11" s="137">
        <v>1.0</v>
      </c>
      <c r="V11" s="143"/>
      <c r="W11" s="144">
        <f t="shared" si="2"/>
        <v>450</v>
      </c>
      <c r="X11" s="145"/>
    </row>
    <row r="12" ht="45.0" hidden="1" customHeight="1">
      <c r="A12" s="137">
        <v>11.0</v>
      </c>
      <c r="B12" s="137" t="s">
        <v>15</v>
      </c>
      <c r="C12" s="137" t="s">
        <v>62</v>
      </c>
      <c r="D12" s="138" t="s">
        <v>1889</v>
      </c>
      <c r="E12" s="139" t="s">
        <v>64</v>
      </c>
      <c r="F12" s="140">
        <v>20.0</v>
      </c>
      <c r="G12" s="140">
        <v>60.0</v>
      </c>
      <c r="H12" s="140">
        <v>300.0</v>
      </c>
      <c r="I12" s="137">
        <f t="shared" si="1"/>
        <v>18000</v>
      </c>
      <c r="J12" s="141" t="s">
        <v>20</v>
      </c>
      <c r="K12" s="138" t="s">
        <v>65</v>
      </c>
      <c r="L12" s="140" t="s">
        <v>66</v>
      </c>
      <c r="M12" s="138" t="s">
        <v>1890</v>
      </c>
      <c r="N12" s="142" t="s">
        <v>68</v>
      </c>
      <c r="O12" s="137" t="str">
        <f>IMAGE("https://5.imimg.com/data5/SELLER/Default/2020/9/EF/FR/SW/13763930/fevicryte-acrylic-colors-500x500.jpg",1)</f>
        <v/>
      </c>
      <c r="P12" s="137" t="s">
        <v>56</v>
      </c>
      <c r="Q12" s="137"/>
      <c r="R12" s="137"/>
      <c r="S12" s="137"/>
      <c r="T12" s="137"/>
      <c r="U12" s="137">
        <v>1.0</v>
      </c>
      <c r="V12" s="143"/>
      <c r="W12" s="144">
        <f t="shared" si="2"/>
        <v>2700</v>
      </c>
      <c r="X12" s="145"/>
    </row>
    <row r="13" ht="45.0" hidden="1" customHeight="1">
      <c r="A13" s="137">
        <v>12.0</v>
      </c>
      <c r="B13" s="137" t="s">
        <v>15</v>
      </c>
      <c r="C13" s="137" t="s">
        <v>70</v>
      </c>
      <c r="D13" s="138" t="s">
        <v>71</v>
      </c>
      <c r="E13" s="139" t="s">
        <v>64</v>
      </c>
      <c r="F13" s="140">
        <v>1.0</v>
      </c>
      <c r="G13" s="140">
        <v>25.0</v>
      </c>
      <c r="H13" s="137">
        <v>1000.0</v>
      </c>
      <c r="I13" s="137">
        <f t="shared" si="1"/>
        <v>25000</v>
      </c>
      <c r="J13" s="141" t="s">
        <v>20</v>
      </c>
      <c r="K13" s="138" t="s">
        <v>72</v>
      </c>
      <c r="L13" s="140" t="s">
        <v>65</v>
      </c>
      <c r="M13" s="138" t="s">
        <v>111</v>
      </c>
      <c r="N13" s="142" t="s">
        <v>73</v>
      </c>
      <c r="O13" s="137" t="str">
        <f>IMAGE("https://helloaugust.in/wp-content/uploads/2020/04/dark-colour-chart-paper-full-size-300x300.jpg",1)</f>
        <v/>
      </c>
      <c r="P13" s="137"/>
      <c r="Q13" s="137"/>
      <c r="R13" s="137"/>
      <c r="S13" s="137"/>
      <c r="T13" s="137"/>
      <c r="U13" s="146">
        <v>1.0</v>
      </c>
      <c r="V13" s="143"/>
      <c r="W13" s="144">
        <f t="shared" si="2"/>
        <v>1125</v>
      </c>
      <c r="X13" s="145"/>
    </row>
    <row r="14" ht="45.0" hidden="1" customHeight="1">
      <c r="A14" s="137">
        <v>13.0</v>
      </c>
      <c r="B14" s="137" t="s">
        <v>15</v>
      </c>
      <c r="C14" s="137" t="s">
        <v>75</v>
      </c>
      <c r="D14" s="138" t="s">
        <v>1891</v>
      </c>
      <c r="E14" s="139" t="s">
        <v>64</v>
      </c>
      <c r="F14" s="137">
        <v>10.0</v>
      </c>
      <c r="G14" s="137">
        <v>10.0</v>
      </c>
      <c r="H14" s="137">
        <v>50.0</v>
      </c>
      <c r="I14" s="137">
        <f t="shared" si="1"/>
        <v>500</v>
      </c>
      <c r="J14" s="141" t="s">
        <v>20</v>
      </c>
      <c r="K14" s="138" t="s">
        <v>77</v>
      </c>
      <c r="L14" s="140" t="s">
        <v>65</v>
      </c>
      <c r="M14" s="138" t="s">
        <v>1892</v>
      </c>
      <c r="N14" s="142" t="s">
        <v>78</v>
      </c>
      <c r="O14" s="137" t="str">
        <f>IMAGE("https://m.media-amazon.com/images/W/MEDIAX_792452-T2/images/I/611Q9E31rML._SL1500_.jpg",1)</f>
        <v/>
      </c>
      <c r="P14" s="137"/>
      <c r="Q14" s="137"/>
      <c r="R14" s="137"/>
      <c r="S14" s="137"/>
      <c r="T14" s="137"/>
      <c r="U14" s="137">
        <v>1.0</v>
      </c>
      <c r="V14" s="143"/>
      <c r="W14" s="144">
        <f t="shared" si="2"/>
        <v>450</v>
      </c>
      <c r="X14" s="145"/>
    </row>
    <row r="15" ht="45.0" hidden="1" customHeight="1">
      <c r="A15" s="137">
        <v>14.0</v>
      </c>
      <c r="B15" s="137" t="s">
        <v>15</v>
      </c>
      <c r="C15" s="137" t="s">
        <v>80</v>
      </c>
      <c r="D15" s="138" t="s">
        <v>352</v>
      </c>
      <c r="E15" s="139" t="s">
        <v>64</v>
      </c>
      <c r="F15" s="140">
        <v>5.0</v>
      </c>
      <c r="G15" s="140">
        <v>5.0</v>
      </c>
      <c r="H15" s="137">
        <v>100.0</v>
      </c>
      <c r="I15" s="137">
        <f t="shared" si="1"/>
        <v>500</v>
      </c>
      <c r="J15" s="141" t="s">
        <v>20</v>
      </c>
      <c r="K15" s="138" t="s">
        <v>65</v>
      </c>
      <c r="L15" s="140" t="s">
        <v>82</v>
      </c>
      <c r="M15" s="138" t="s">
        <v>111</v>
      </c>
      <c r="N15" s="142" t="s">
        <v>84</v>
      </c>
      <c r="O15" s="137" t="str">
        <f>IMAGE("https://4.imimg.com/data4/TN/NP/MY-32886991/a4-colour-paper-500x500.jpg",1)</f>
        <v/>
      </c>
      <c r="P15" s="137"/>
      <c r="Q15" s="137"/>
      <c r="R15" s="137"/>
      <c r="S15" s="137"/>
      <c r="T15" s="137"/>
      <c r="U15" s="146">
        <v>1.0</v>
      </c>
      <c r="V15" s="143"/>
      <c r="W15" s="144">
        <f t="shared" si="2"/>
        <v>225</v>
      </c>
      <c r="X15" s="145"/>
    </row>
    <row r="16" ht="45.0" hidden="1" customHeight="1">
      <c r="A16" s="137">
        <v>15.0</v>
      </c>
      <c r="B16" s="137" t="s">
        <v>15</v>
      </c>
      <c r="C16" s="137" t="s">
        <v>86</v>
      </c>
      <c r="D16" s="138" t="s">
        <v>1893</v>
      </c>
      <c r="E16" s="139" t="s">
        <v>64</v>
      </c>
      <c r="F16" s="140">
        <v>5.0</v>
      </c>
      <c r="G16" s="140">
        <v>5.0</v>
      </c>
      <c r="H16" s="140">
        <v>70.0</v>
      </c>
      <c r="I16" s="137">
        <f t="shared" si="1"/>
        <v>350</v>
      </c>
      <c r="J16" s="141" t="s">
        <v>20</v>
      </c>
      <c r="K16" s="138" t="s">
        <v>77</v>
      </c>
      <c r="L16" s="140" t="s">
        <v>65</v>
      </c>
      <c r="M16" s="138" t="s">
        <v>111</v>
      </c>
      <c r="N16" s="142" t="s">
        <v>88</v>
      </c>
      <c r="O16" s="137" t="str">
        <f>IMAGE("https://www.htconline.in/images/thumbs/0019821_camlin-drawing-pencils-set-of-6.jpeg",1)</f>
        <v/>
      </c>
      <c r="P16" s="137"/>
      <c r="Q16" s="137"/>
      <c r="R16" s="137"/>
      <c r="S16" s="137"/>
      <c r="T16" s="137"/>
      <c r="U16" s="137">
        <v>1.0</v>
      </c>
      <c r="V16" s="143"/>
      <c r="W16" s="144">
        <f t="shared" si="2"/>
        <v>225</v>
      </c>
      <c r="X16" s="145"/>
    </row>
    <row r="17" ht="45.0" hidden="1" customHeight="1">
      <c r="A17" s="137">
        <v>16.0</v>
      </c>
      <c r="B17" s="137" t="s">
        <v>15</v>
      </c>
      <c r="C17" s="137" t="s">
        <v>90</v>
      </c>
      <c r="D17" s="138" t="s">
        <v>91</v>
      </c>
      <c r="E17" s="139" t="s">
        <v>64</v>
      </c>
      <c r="F17" s="140">
        <v>10.0</v>
      </c>
      <c r="G17" s="140">
        <v>20.0</v>
      </c>
      <c r="H17" s="140">
        <v>10.0</v>
      </c>
      <c r="I17" s="137">
        <f t="shared" si="1"/>
        <v>200</v>
      </c>
      <c r="J17" s="141" t="s">
        <v>20</v>
      </c>
      <c r="K17" s="138" t="s">
        <v>77</v>
      </c>
      <c r="L17" s="140" t="s">
        <v>65</v>
      </c>
      <c r="M17" s="138" t="s">
        <v>111</v>
      </c>
      <c r="N17" s="142" t="s">
        <v>92</v>
      </c>
      <c r="O17" s="137" t="str">
        <f>IMAGE("https://upload.wikimedia.org/wikipedia/commons/e/e8/Office-pink-erasers.jpg",1)</f>
        <v/>
      </c>
      <c r="P17" s="137" t="s">
        <v>56</v>
      </c>
      <c r="Q17" s="137"/>
      <c r="R17" s="137"/>
      <c r="S17" s="137"/>
      <c r="T17" s="137"/>
      <c r="U17" s="137">
        <v>1.0</v>
      </c>
      <c r="V17" s="143"/>
      <c r="W17" s="144">
        <f t="shared" si="2"/>
        <v>900</v>
      </c>
      <c r="X17" s="145"/>
    </row>
    <row r="18" ht="45.0" hidden="1" customHeight="1">
      <c r="A18" s="137">
        <v>17.0</v>
      </c>
      <c r="B18" s="137" t="s">
        <v>15</v>
      </c>
      <c r="C18" s="137" t="s">
        <v>94</v>
      </c>
      <c r="D18" s="138" t="s">
        <v>95</v>
      </c>
      <c r="E18" s="139" t="s">
        <v>64</v>
      </c>
      <c r="F18" s="140">
        <v>10.0</v>
      </c>
      <c r="G18" s="140">
        <v>10.0</v>
      </c>
      <c r="H18" s="140">
        <v>35.0</v>
      </c>
      <c r="I18" s="137">
        <f t="shared" si="1"/>
        <v>350</v>
      </c>
      <c r="J18" s="141" t="s">
        <v>20</v>
      </c>
      <c r="K18" s="138" t="s">
        <v>77</v>
      </c>
      <c r="L18" s="140" t="s">
        <v>65</v>
      </c>
      <c r="M18" s="138" t="s">
        <v>111</v>
      </c>
      <c r="N18" s="148" t="s">
        <v>96</v>
      </c>
      <c r="O18" s="137" t="str">
        <f>IMAGE("https://cdn.shopify.com/s/files/1/0064/3412/7939/products/Main-2_2baab3ae-c700-4dd7-acd2-e9442aee0358_2048x.jpg?v=1669799264",1)</f>
        <v/>
      </c>
      <c r="P18" s="137"/>
      <c r="Q18" s="137"/>
      <c r="R18" s="137"/>
      <c r="S18" s="137"/>
      <c r="T18" s="137"/>
      <c r="U18" s="137">
        <v>1.0</v>
      </c>
      <c r="V18" s="143"/>
      <c r="W18" s="144">
        <f t="shared" si="2"/>
        <v>450</v>
      </c>
      <c r="X18" s="145"/>
    </row>
    <row r="19" ht="45.0" hidden="1" customHeight="1">
      <c r="A19" s="137">
        <v>18.0</v>
      </c>
      <c r="B19" s="137"/>
      <c r="C19" s="137" t="s">
        <v>97</v>
      </c>
      <c r="D19" s="138" t="s">
        <v>1894</v>
      </c>
      <c r="E19" s="139" t="s">
        <v>64</v>
      </c>
      <c r="F19" s="140" t="s">
        <v>56</v>
      </c>
      <c r="G19" s="140">
        <v>10.0</v>
      </c>
      <c r="H19" s="140">
        <v>10.0</v>
      </c>
      <c r="I19" s="137">
        <f t="shared" si="1"/>
        <v>100</v>
      </c>
      <c r="J19" s="141" t="s">
        <v>20</v>
      </c>
      <c r="K19" s="138" t="s">
        <v>77</v>
      </c>
      <c r="L19" s="140"/>
      <c r="M19" s="138" t="s">
        <v>111</v>
      </c>
      <c r="N19" s="148"/>
      <c r="O19" s="137" t="e">
        <v>#VALUE!</v>
      </c>
      <c r="P19" s="137"/>
      <c r="Q19" s="137"/>
      <c r="R19" s="137"/>
      <c r="S19" s="137"/>
      <c r="T19" s="137"/>
      <c r="U19" s="137">
        <v>1.0</v>
      </c>
      <c r="V19" s="143"/>
      <c r="W19" s="144">
        <f t="shared" si="2"/>
        <v>450</v>
      </c>
      <c r="X19" s="145"/>
    </row>
    <row r="20" ht="45.0" hidden="1" customHeight="1">
      <c r="A20" s="137">
        <v>19.0</v>
      </c>
      <c r="B20" s="137" t="s">
        <v>15</v>
      </c>
      <c r="C20" s="137" t="s">
        <v>100</v>
      </c>
      <c r="D20" s="138" t="s">
        <v>101</v>
      </c>
      <c r="E20" s="139" t="s">
        <v>64</v>
      </c>
      <c r="F20" s="140">
        <v>5.0</v>
      </c>
      <c r="G20" s="140">
        <v>10.0</v>
      </c>
      <c r="H20" s="140">
        <v>200.0</v>
      </c>
      <c r="I20" s="137">
        <f t="shared" si="1"/>
        <v>2000</v>
      </c>
      <c r="J20" s="141" t="s">
        <v>20</v>
      </c>
      <c r="K20" s="138" t="s">
        <v>77</v>
      </c>
      <c r="L20" s="140" t="s">
        <v>1895</v>
      </c>
      <c r="M20" s="138" t="s">
        <v>1890</v>
      </c>
      <c r="N20" s="142" t="s">
        <v>102</v>
      </c>
      <c r="O20" s="137" t="str">
        <f>IMAGE("https://i5.walmartimages.com/asr/2f51619b-ee1e-4e7f-9717-927459ae38b6.1308a61cc28d473c3122e46595affb79.jpeg",1)</f>
        <v/>
      </c>
      <c r="P20" s="137"/>
      <c r="Q20" s="137"/>
      <c r="R20" s="137"/>
      <c r="S20" s="137"/>
      <c r="T20" s="137"/>
      <c r="U20" s="137">
        <v>1.0</v>
      </c>
      <c r="V20" s="143"/>
      <c r="W20" s="144">
        <f t="shared" si="2"/>
        <v>450</v>
      </c>
      <c r="X20" s="145"/>
    </row>
    <row r="21" ht="45.0" hidden="1" customHeight="1">
      <c r="A21" s="137">
        <v>20.0</v>
      </c>
      <c r="B21" s="137" t="s">
        <v>15</v>
      </c>
      <c r="C21" s="137" t="s">
        <v>104</v>
      </c>
      <c r="D21" s="138" t="s">
        <v>105</v>
      </c>
      <c r="E21" s="139" t="s">
        <v>64</v>
      </c>
      <c r="F21" s="140">
        <v>5.0</v>
      </c>
      <c r="G21" s="140">
        <v>5.0</v>
      </c>
      <c r="H21" s="140">
        <v>50.0</v>
      </c>
      <c r="I21" s="137">
        <f t="shared" si="1"/>
        <v>250</v>
      </c>
      <c r="J21" s="141" t="s">
        <v>20</v>
      </c>
      <c r="K21" s="138" t="s">
        <v>21</v>
      </c>
      <c r="L21" s="140" t="s">
        <v>65</v>
      </c>
      <c r="M21" s="138" t="s">
        <v>1890</v>
      </c>
      <c r="N21" s="142" t="s">
        <v>106</v>
      </c>
      <c r="O21" s="137" t="str">
        <f>IMAGE("https://c8.alamy.com/comp/R7TP32/paint-palette-with-various-acrylic-paints-and-a-brush-R7TP32.jpg",1)</f>
        <v/>
      </c>
      <c r="P21" s="147"/>
      <c r="Q21" s="137"/>
      <c r="R21" s="137"/>
      <c r="S21" s="137"/>
      <c r="T21" s="137"/>
      <c r="U21" s="137">
        <v>1.0</v>
      </c>
      <c r="V21" s="143"/>
      <c r="W21" s="144">
        <f t="shared" si="2"/>
        <v>225</v>
      </c>
      <c r="X21" s="145"/>
    </row>
    <row r="22" ht="45.0" hidden="1" customHeight="1">
      <c r="A22" s="149">
        <v>21.0</v>
      </c>
      <c r="B22" s="149" t="s">
        <v>15</v>
      </c>
      <c r="C22" s="149" t="s">
        <v>108</v>
      </c>
      <c r="D22" s="150" t="s">
        <v>1896</v>
      </c>
      <c r="E22" s="151" t="s">
        <v>64</v>
      </c>
      <c r="F22" s="152">
        <v>10.0</v>
      </c>
      <c r="G22" s="152">
        <v>1.0</v>
      </c>
      <c r="H22" s="149">
        <v>20.0</v>
      </c>
      <c r="I22" s="149">
        <f t="shared" si="1"/>
        <v>20</v>
      </c>
      <c r="J22" s="153" t="s">
        <v>20</v>
      </c>
      <c r="K22" s="150" t="s">
        <v>77</v>
      </c>
      <c r="L22" s="152" t="s">
        <v>110</v>
      </c>
      <c r="M22" s="150" t="s">
        <v>111</v>
      </c>
      <c r="N22" s="154" t="s">
        <v>112</v>
      </c>
      <c r="O22" s="149" t="str">
        <f>IMAGE("https://i5.walmartimages.com/asr/093150f9-deec-44c1-a07d-a6985f3f45c7.dad44d94862d81eed55b6d8aef2937c1.jpeg?odnHeight=612&amp;odnWidth=612&amp;odnBg=FFFFFF",1)</f>
        <v/>
      </c>
      <c r="P22" s="149"/>
      <c r="Q22" s="149"/>
      <c r="R22" s="149"/>
      <c r="S22" s="155"/>
      <c r="T22" s="149"/>
      <c r="U22" s="156">
        <v>0.0</v>
      </c>
      <c r="V22" s="157"/>
      <c r="W22" s="158">
        <f t="shared" si="2"/>
        <v>45</v>
      </c>
      <c r="X22" s="145"/>
    </row>
    <row r="23" ht="45.0" hidden="1" customHeight="1">
      <c r="A23" s="137">
        <v>22.0</v>
      </c>
      <c r="B23" s="137" t="s">
        <v>15</v>
      </c>
      <c r="C23" s="137" t="s">
        <v>114</v>
      </c>
      <c r="D23" s="138" t="s">
        <v>115</v>
      </c>
      <c r="E23" s="139" t="s">
        <v>64</v>
      </c>
      <c r="F23" s="140">
        <v>5.0</v>
      </c>
      <c r="G23" s="140">
        <v>10.0</v>
      </c>
      <c r="H23" s="140">
        <v>40.0</v>
      </c>
      <c r="I23" s="137">
        <f t="shared" si="1"/>
        <v>400</v>
      </c>
      <c r="J23" s="141" t="s">
        <v>20</v>
      </c>
      <c r="K23" s="138" t="s">
        <v>77</v>
      </c>
      <c r="L23" s="140" t="s">
        <v>110</v>
      </c>
      <c r="M23" s="138" t="s">
        <v>111</v>
      </c>
      <c r="N23" s="137" t="s">
        <v>56</v>
      </c>
      <c r="O23" s="137" t="str">
        <f>IMAGE("https://m.media-amazon.com/images/I/81XeaSXczEL._SL1500_.jpg",1)</f>
        <v/>
      </c>
      <c r="P23" s="137"/>
      <c r="Q23" s="137"/>
      <c r="R23" s="137"/>
      <c r="S23" s="137"/>
      <c r="T23" s="137"/>
      <c r="U23" s="137">
        <v>1.0</v>
      </c>
      <c r="V23" s="143"/>
      <c r="W23" s="144">
        <f t="shared" si="2"/>
        <v>450</v>
      </c>
      <c r="X23" s="145"/>
    </row>
    <row r="24" ht="45.0" hidden="1" customHeight="1">
      <c r="A24" s="137">
        <v>23.0</v>
      </c>
      <c r="B24" s="137" t="s">
        <v>15</v>
      </c>
      <c r="C24" s="137" t="s">
        <v>118</v>
      </c>
      <c r="D24" s="138" t="s">
        <v>1897</v>
      </c>
      <c r="E24" s="139" t="s">
        <v>64</v>
      </c>
      <c r="F24" s="140">
        <v>10.0</v>
      </c>
      <c r="G24" s="140">
        <v>10.0</v>
      </c>
      <c r="H24" s="140">
        <v>100.0</v>
      </c>
      <c r="I24" s="137">
        <f t="shared" si="1"/>
        <v>1000</v>
      </c>
      <c r="J24" s="141" t="s">
        <v>20</v>
      </c>
      <c r="K24" s="138" t="s">
        <v>21</v>
      </c>
      <c r="L24" s="140" t="s">
        <v>65</v>
      </c>
      <c r="M24" s="138" t="s">
        <v>1898</v>
      </c>
      <c r="N24" s="142" t="s">
        <v>120</v>
      </c>
      <c r="O24" s="137" t="str">
        <f>IMAGE("https://www.faithfulltools.com/images/xxlarge/FAIRULE150SS.jpg",1)</f>
        <v/>
      </c>
      <c r="P24" s="147"/>
      <c r="Q24" s="137"/>
      <c r="R24" s="137"/>
      <c r="S24" s="137"/>
      <c r="T24" s="137"/>
      <c r="U24" s="137">
        <v>1.0</v>
      </c>
      <c r="V24" s="143"/>
      <c r="W24" s="144">
        <f t="shared" si="2"/>
        <v>450</v>
      </c>
      <c r="X24" s="145"/>
    </row>
    <row r="25" ht="45.0" hidden="1" customHeight="1">
      <c r="A25" s="137">
        <v>24.0</v>
      </c>
      <c r="B25" s="137" t="s">
        <v>15</v>
      </c>
      <c r="C25" s="137" t="s">
        <v>122</v>
      </c>
      <c r="D25" s="138" t="s">
        <v>123</v>
      </c>
      <c r="E25" s="139" t="s">
        <v>64</v>
      </c>
      <c r="F25" s="140">
        <v>10.0</v>
      </c>
      <c r="G25" s="140">
        <v>10.0</v>
      </c>
      <c r="H25" s="140">
        <v>25.0</v>
      </c>
      <c r="I25" s="137">
        <f t="shared" si="1"/>
        <v>250</v>
      </c>
      <c r="J25" s="141" t="s">
        <v>20</v>
      </c>
      <c r="K25" s="138" t="s">
        <v>77</v>
      </c>
      <c r="L25" s="140" t="s">
        <v>65</v>
      </c>
      <c r="M25" s="138" t="s">
        <v>1899</v>
      </c>
      <c r="N25" s="142" t="s">
        <v>124</v>
      </c>
      <c r="O25" s="137" t="str">
        <f>IMAGE("https://images.meesho.com/images/products/60299132/dranx_512.jpg",1)</f>
        <v/>
      </c>
      <c r="P25" s="137"/>
      <c r="Q25" s="147"/>
      <c r="R25" s="147"/>
      <c r="S25" s="137"/>
      <c r="T25" s="137"/>
      <c r="U25" s="137">
        <v>1.0</v>
      </c>
      <c r="V25" s="143"/>
      <c r="W25" s="144">
        <f t="shared" si="2"/>
        <v>450</v>
      </c>
      <c r="X25" s="145"/>
    </row>
    <row r="26" ht="45.0" hidden="1" customHeight="1">
      <c r="A26" s="137">
        <v>25.0</v>
      </c>
      <c r="B26" s="137" t="s">
        <v>15</v>
      </c>
      <c r="C26" s="137" t="s">
        <v>126</v>
      </c>
      <c r="D26" s="138" t="s">
        <v>127</v>
      </c>
      <c r="E26" s="139" t="s">
        <v>64</v>
      </c>
      <c r="F26" s="140">
        <v>5.0</v>
      </c>
      <c r="G26" s="140">
        <v>5.0</v>
      </c>
      <c r="H26" s="140">
        <v>25.0</v>
      </c>
      <c r="I26" s="137">
        <f t="shared" si="1"/>
        <v>125</v>
      </c>
      <c r="J26" s="141" t="s">
        <v>20</v>
      </c>
      <c r="K26" s="138" t="s">
        <v>65</v>
      </c>
      <c r="L26" s="140" t="s">
        <v>1900</v>
      </c>
      <c r="M26" s="138" t="s">
        <v>111</v>
      </c>
      <c r="N26" s="142" t="s">
        <v>128</v>
      </c>
      <c r="O26" s="137" t="str">
        <f>IMAGE("https://m.media-amazon.com/images/I/31GYpPjkDOL._AC_UF1000,1000_QL80_.jpg",1)</f>
        <v/>
      </c>
      <c r="P26" s="137"/>
      <c r="Q26" s="137"/>
      <c r="R26" s="137"/>
      <c r="S26" s="137"/>
      <c r="T26" s="137"/>
      <c r="U26" s="137">
        <v>1.0</v>
      </c>
      <c r="V26" s="143"/>
      <c r="W26" s="144">
        <f t="shared" si="2"/>
        <v>225</v>
      </c>
      <c r="X26" s="145"/>
    </row>
    <row r="27" ht="45.0" hidden="1" customHeight="1">
      <c r="A27" s="137">
        <v>26.0</v>
      </c>
      <c r="B27" s="137" t="s">
        <v>15</v>
      </c>
      <c r="C27" s="137" t="s">
        <v>130</v>
      </c>
      <c r="D27" s="138" t="s">
        <v>131</v>
      </c>
      <c r="E27" s="139" t="s">
        <v>64</v>
      </c>
      <c r="F27" s="140">
        <v>10.0</v>
      </c>
      <c r="G27" s="140">
        <v>10.0</v>
      </c>
      <c r="H27" s="140">
        <v>50.0</v>
      </c>
      <c r="I27" s="137">
        <f t="shared" si="1"/>
        <v>500</v>
      </c>
      <c r="J27" s="141" t="s">
        <v>20</v>
      </c>
      <c r="K27" s="138"/>
      <c r="L27" s="140"/>
      <c r="M27" s="138" t="s">
        <v>1898</v>
      </c>
      <c r="N27" s="142" t="s">
        <v>132</v>
      </c>
      <c r="O27" s="137" t="str">
        <f>IMAGE("https://5.imimg.com/data5/AO/GN/AU/SELLER-10873750/floppy-disk-1000x1000.jpg",1)</f>
        <v/>
      </c>
      <c r="P27" s="137"/>
      <c r="Q27" s="137"/>
      <c r="R27" s="137"/>
      <c r="S27" s="137"/>
      <c r="T27" s="137"/>
      <c r="U27" s="137">
        <v>1.0</v>
      </c>
      <c r="V27" s="143"/>
      <c r="W27" s="144">
        <f t="shared" si="2"/>
        <v>450</v>
      </c>
      <c r="X27" s="145"/>
    </row>
    <row r="28" ht="45.0" hidden="1" customHeight="1">
      <c r="A28" s="137">
        <v>27.0</v>
      </c>
      <c r="B28" s="137" t="s">
        <v>15</v>
      </c>
      <c r="C28" s="137" t="s">
        <v>134</v>
      </c>
      <c r="D28" s="138" t="s">
        <v>135</v>
      </c>
      <c r="E28" s="139" t="s">
        <v>64</v>
      </c>
      <c r="F28" s="140">
        <v>10.0</v>
      </c>
      <c r="G28" s="140">
        <v>10.0</v>
      </c>
      <c r="H28" s="140">
        <v>20.0</v>
      </c>
      <c r="I28" s="137">
        <f t="shared" si="1"/>
        <v>200</v>
      </c>
      <c r="J28" s="141" t="s">
        <v>20</v>
      </c>
      <c r="K28" s="138" t="s">
        <v>77</v>
      </c>
      <c r="L28" s="140" t="s">
        <v>65</v>
      </c>
      <c r="M28" s="138" t="s">
        <v>1890</v>
      </c>
      <c r="N28" s="142" t="s">
        <v>136</v>
      </c>
      <c r="O28" s="137" t="str">
        <f>IMAGE("https://m.media-amazon.com/images/I/717edTeWYZL._SL1500_.jpg",1)</f>
        <v/>
      </c>
      <c r="P28" s="137"/>
      <c r="Q28" s="137"/>
      <c r="R28" s="137"/>
      <c r="S28" s="147"/>
      <c r="T28" s="137"/>
      <c r="U28" s="137">
        <v>1.0</v>
      </c>
      <c r="V28" s="143"/>
      <c r="W28" s="144">
        <f t="shared" si="2"/>
        <v>450</v>
      </c>
      <c r="X28" s="145"/>
    </row>
    <row r="29" ht="45.0" hidden="1" customHeight="1">
      <c r="A29" s="149">
        <v>28.0</v>
      </c>
      <c r="B29" s="149" t="s">
        <v>137</v>
      </c>
      <c r="C29" s="149" t="s">
        <v>139</v>
      </c>
      <c r="D29" s="150" t="s">
        <v>140</v>
      </c>
      <c r="E29" s="151" t="s">
        <v>141</v>
      </c>
      <c r="F29" s="149">
        <v>1.0</v>
      </c>
      <c r="G29" s="149">
        <v>1.0</v>
      </c>
      <c r="H29" s="149">
        <v>2500.0</v>
      </c>
      <c r="I29" s="149">
        <f t="shared" si="1"/>
        <v>2500</v>
      </c>
      <c r="J29" s="153" t="s">
        <v>142</v>
      </c>
      <c r="K29" s="150"/>
      <c r="L29" s="152"/>
      <c r="M29" s="150" t="s">
        <v>1901</v>
      </c>
      <c r="N29" s="154" t="s">
        <v>143</v>
      </c>
      <c r="O29" s="149" t="str">
        <f>IMAGE("https://m.media-amazon.com/images/I/61OL8tsZEcL.jpg",1)</f>
        <v/>
      </c>
      <c r="P29" s="159" t="s">
        <v>1684</v>
      </c>
      <c r="Q29" s="149">
        <v>60.0</v>
      </c>
      <c r="R29" s="149"/>
      <c r="S29" s="149"/>
      <c r="T29" s="149"/>
      <c r="U29" s="156">
        <v>0.0</v>
      </c>
      <c r="V29" s="157"/>
      <c r="W29" s="158">
        <f t="shared" si="2"/>
        <v>45</v>
      </c>
      <c r="X29" s="145"/>
    </row>
    <row r="30" ht="45.0" hidden="1" customHeight="1">
      <c r="A30" s="149">
        <v>29.0</v>
      </c>
      <c r="B30" s="149" t="s">
        <v>137</v>
      </c>
      <c r="C30" s="149" t="s">
        <v>146</v>
      </c>
      <c r="D30" s="150" t="s">
        <v>147</v>
      </c>
      <c r="E30" s="151" t="s">
        <v>141</v>
      </c>
      <c r="F30" s="152">
        <v>1.0</v>
      </c>
      <c r="G30" s="152">
        <v>1.0</v>
      </c>
      <c r="H30" s="152">
        <v>1000.0</v>
      </c>
      <c r="I30" s="149">
        <f t="shared" si="1"/>
        <v>1000</v>
      </c>
      <c r="J30" s="153" t="s">
        <v>142</v>
      </c>
      <c r="K30" s="150"/>
      <c r="L30" s="152" t="s">
        <v>1902</v>
      </c>
      <c r="M30" s="150" t="s">
        <v>1901</v>
      </c>
      <c r="N30" s="154" t="s">
        <v>148</v>
      </c>
      <c r="O30" s="149" t="str">
        <f>IMAGE("https://i0.wp.com/www.deltastore.in/wp-content/uploads/2021/05/Untitled-design-95.png?fit=1080%2C1080&amp;ssl=1",1)</f>
        <v/>
      </c>
      <c r="P30" s="149"/>
      <c r="Q30" s="149"/>
      <c r="R30" s="149"/>
      <c r="S30" s="149"/>
      <c r="T30" s="149"/>
      <c r="U30" s="156">
        <v>0.0</v>
      </c>
      <c r="V30" s="157"/>
      <c r="W30" s="158">
        <f t="shared" si="2"/>
        <v>45</v>
      </c>
      <c r="X30" s="145"/>
    </row>
    <row r="31" ht="45.0" hidden="1" customHeight="1">
      <c r="A31" s="149">
        <v>30.0</v>
      </c>
      <c r="B31" s="149" t="s">
        <v>137</v>
      </c>
      <c r="C31" s="149" t="s">
        <v>150</v>
      </c>
      <c r="D31" s="150" t="s">
        <v>151</v>
      </c>
      <c r="E31" s="151" t="s">
        <v>141</v>
      </c>
      <c r="F31" s="152">
        <v>2.0</v>
      </c>
      <c r="G31" s="152">
        <v>2.0</v>
      </c>
      <c r="H31" s="152">
        <v>250.0</v>
      </c>
      <c r="I31" s="149">
        <f t="shared" si="1"/>
        <v>500</v>
      </c>
      <c r="J31" s="153" t="s">
        <v>1157</v>
      </c>
      <c r="K31" s="150"/>
      <c r="L31" s="152"/>
      <c r="M31" s="150" t="s">
        <v>1903</v>
      </c>
      <c r="N31" s="154" t="s">
        <v>152</v>
      </c>
      <c r="O31" s="149" t="str">
        <f>IMAGE("https://m.media-amazon.com/images/I/51KO2QtXE8L._SL1000_.jpg", 1)</f>
        <v/>
      </c>
      <c r="P31" s="159" t="s">
        <v>1684</v>
      </c>
      <c r="Q31" s="149">
        <v>120.0</v>
      </c>
      <c r="R31" s="149"/>
      <c r="S31" s="149"/>
      <c r="T31" s="149"/>
      <c r="U31" s="156">
        <v>0.0</v>
      </c>
      <c r="V31" s="157"/>
      <c r="W31" s="158">
        <f t="shared" si="2"/>
        <v>90</v>
      </c>
      <c r="X31" s="145"/>
    </row>
    <row r="32" ht="45.0" hidden="1" customHeight="1">
      <c r="A32" s="149">
        <v>31.0</v>
      </c>
      <c r="B32" s="149" t="s">
        <v>137</v>
      </c>
      <c r="C32" s="149" t="s">
        <v>154</v>
      </c>
      <c r="D32" s="150" t="s">
        <v>155</v>
      </c>
      <c r="E32" s="151" t="s">
        <v>141</v>
      </c>
      <c r="F32" s="152">
        <v>1.0</v>
      </c>
      <c r="G32" s="152">
        <v>1.0</v>
      </c>
      <c r="H32" s="152">
        <v>2000.0</v>
      </c>
      <c r="I32" s="149">
        <f t="shared" si="1"/>
        <v>2000</v>
      </c>
      <c r="J32" s="153" t="s">
        <v>142</v>
      </c>
      <c r="K32" s="150"/>
      <c r="L32" s="152"/>
      <c r="M32" s="150" t="s">
        <v>1901</v>
      </c>
      <c r="N32" s="154" t="s">
        <v>156</v>
      </c>
      <c r="O32" s="149" t="str">
        <f>IMAGE("https://m.media-amazon.com/images/I/61Zlcg+2mNL.jpg")</f>
        <v/>
      </c>
      <c r="P32" s="159" t="s">
        <v>1684</v>
      </c>
      <c r="Q32" s="149">
        <v>55.0</v>
      </c>
      <c r="R32" s="149"/>
      <c r="S32" s="149"/>
      <c r="T32" s="149"/>
      <c r="U32" s="156">
        <v>0.0</v>
      </c>
      <c r="V32" s="157"/>
      <c r="W32" s="158">
        <f t="shared" si="2"/>
        <v>45</v>
      </c>
      <c r="X32" s="145"/>
    </row>
    <row r="33" ht="45.0" hidden="1" customHeight="1">
      <c r="A33" s="149">
        <v>32.0</v>
      </c>
      <c r="B33" s="149" t="s">
        <v>137</v>
      </c>
      <c r="C33" s="149" t="s">
        <v>158</v>
      </c>
      <c r="D33" s="150" t="s">
        <v>159</v>
      </c>
      <c r="E33" s="151" t="s">
        <v>141</v>
      </c>
      <c r="F33" s="152">
        <v>1.0</v>
      </c>
      <c r="G33" s="152">
        <v>1.0</v>
      </c>
      <c r="H33" s="160">
        <v>38000.0</v>
      </c>
      <c r="I33" s="149">
        <f t="shared" si="1"/>
        <v>38000</v>
      </c>
      <c r="J33" s="153" t="s">
        <v>142</v>
      </c>
      <c r="K33" s="150"/>
      <c r="L33" s="152"/>
      <c r="M33" s="150" t="s">
        <v>1901</v>
      </c>
      <c r="N33" s="154" t="s">
        <v>160</v>
      </c>
      <c r="O33" s="149" t="str">
        <f>IMAGE("https://c1.neweggimages.com/Productimage/24-001-864-04.jpg",1)</f>
        <v/>
      </c>
      <c r="P33" s="159" t="s">
        <v>1685</v>
      </c>
      <c r="Q33" s="149"/>
      <c r="R33" s="149"/>
      <c r="S33" s="149"/>
      <c r="T33" s="149"/>
      <c r="U33" s="156">
        <v>0.0</v>
      </c>
      <c r="V33" s="157"/>
      <c r="W33" s="158">
        <f t="shared" si="2"/>
        <v>45</v>
      </c>
      <c r="X33" s="145"/>
    </row>
    <row r="34" ht="45.0" hidden="1" customHeight="1">
      <c r="A34" s="149">
        <v>33.0</v>
      </c>
      <c r="B34" s="149" t="s">
        <v>137</v>
      </c>
      <c r="C34" s="149" t="s">
        <v>162</v>
      </c>
      <c r="D34" s="150" t="s">
        <v>163</v>
      </c>
      <c r="E34" s="151" t="s">
        <v>141</v>
      </c>
      <c r="F34" s="152">
        <v>1.0</v>
      </c>
      <c r="G34" s="152">
        <v>1.0</v>
      </c>
      <c r="H34" s="152">
        <v>1000.0</v>
      </c>
      <c r="I34" s="149">
        <f t="shared" si="1"/>
        <v>1000</v>
      </c>
      <c r="J34" s="153" t="s">
        <v>142</v>
      </c>
      <c r="K34" s="150"/>
      <c r="L34" s="152"/>
      <c r="M34" s="150" t="s">
        <v>1901</v>
      </c>
      <c r="N34" s="154" t="s">
        <v>164</v>
      </c>
      <c r="O34" s="149" t="str">
        <f>IMAGE("https://m.media-amazon.com/images/I/6100FnINmsL._SL1468_.jpg",1)</f>
        <v/>
      </c>
      <c r="P34" s="149" t="s">
        <v>1686</v>
      </c>
      <c r="Q34" s="149">
        <v>55.0</v>
      </c>
      <c r="R34" s="149"/>
      <c r="S34" s="149"/>
      <c r="T34" s="149"/>
      <c r="U34" s="156">
        <v>0.0</v>
      </c>
      <c r="V34" s="157"/>
      <c r="W34" s="158">
        <f t="shared" si="2"/>
        <v>45</v>
      </c>
      <c r="X34" s="145"/>
    </row>
    <row r="35" ht="45.0" hidden="1" customHeight="1">
      <c r="A35" s="149">
        <v>34.0</v>
      </c>
      <c r="B35" s="149" t="s">
        <v>137</v>
      </c>
      <c r="C35" s="149" t="s">
        <v>166</v>
      </c>
      <c r="D35" s="150" t="s">
        <v>167</v>
      </c>
      <c r="E35" s="151" t="s">
        <v>141</v>
      </c>
      <c r="F35" s="152">
        <v>1.0</v>
      </c>
      <c r="G35" s="152">
        <v>1.0</v>
      </c>
      <c r="H35" s="152">
        <v>1500.0</v>
      </c>
      <c r="I35" s="149">
        <f t="shared" si="1"/>
        <v>1500</v>
      </c>
      <c r="J35" s="153" t="s">
        <v>142</v>
      </c>
      <c r="K35" s="150"/>
      <c r="L35" s="152"/>
      <c r="M35" s="150" t="s">
        <v>1901</v>
      </c>
      <c r="N35" s="154" t="s">
        <v>168</v>
      </c>
      <c r="O35" s="149" t="str">
        <f>IMAGE("https://encrypted-tbn1.gstatic.com/shopping?q=tbn:ANd9GcSwk1vUmWwFhmXgluT27_kpt_1XbFeMGM9voPktN2V8FycBha0_9qycLyoE5G3LsPm9IAaz9ZK9JsFmIAo5gwJtywrUheHD9Zzv6NIaMNLbw1go2XSC6Z0l&amp;usqp=CAE",1)</f>
        <v/>
      </c>
      <c r="P35" s="159" t="s">
        <v>1684</v>
      </c>
      <c r="Q35" s="149">
        <v>60.0</v>
      </c>
      <c r="R35" s="149"/>
      <c r="S35" s="149"/>
      <c r="T35" s="149"/>
      <c r="U35" s="156">
        <v>0.0</v>
      </c>
      <c r="V35" s="157"/>
      <c r="W35" s="158">
        <f t="shared" si="2"/>
        <v>45</v>
      </c>
      <c r="X35" s="145"/>
    </row>
    <row r="36" ht="45.0" hidden="1" customHeight="1">
      <c r="A36" s="137">
        <v>35.0</v>
      </c>
      <c r="B36" s="137" t="s">
        <v>137</v>
      </c>
      <c r="C36" s="137" t="s">
        <v>170</v>
      </c>
      <c r="D36" s="138" t="s">
        <v>171</v>
      </c>
      <c r="E36" s="139" t="s">
        <v>141</v>
      </c>
      <c r="F36" s="140">
        <v>1.0</v>
      </c>
      <c r="G36" s="140">
        <v>1.0</v>
      </c>
      <c r="H36" s="161">
        <v>38000.0</v>
      </c>
      <c r="I36" s="137">
        <f t="shared" si="1"/>
        <v>38000</v>
      </c>
      <c r="J36" s="141" t="s">
        <v>142</v>
      </c>
      <c r="K36" s="138"/>
      <c r="L36" s="140" t="s">
        <v>1904</v>
      </c>
      <c r="M36" s="138" t="s">
        <v>1901</v>
      </c>
      <c r="N36" s="142" t="s">
        <v>172</v>
      </c>
      <c r="O36" s="137" t="str">
        <f>IMAGE("https://www.designinfo.in/wp-content/uploads/nc/p/5/1/4/9/0/51490-485x485.jpg",1)</f>
        <v/>
      </c>
      <c r="P36" s="132" t="s">
        <v>1684</v>
      </c>
      <c r="Q36" s="137">
        <v>55.0</v>
      </c>
      <c r="R36" s="137"/>
      <c r="S36" s="137"/>
      <c r="T36" s="137"/>
      <c r="U36" s="137">
        <v>1.0</v>
      </c>
      <c r="V36" s="143"/>
      <c r="W36" s="144">
        <f t="shared" si="2"/>
        <v>45</v>
      </c>
      <c r="X36" s="145"/>
    </row>
    <row r="37" ht="45.0" hidden="1" customHeight="1">
      <c r="A37" s="137">
        <v>36.0</v>
      </c>
      <c r="B37" s="137" t="s">
        <v>173</v>
      </c>
      <c r="C37" s="137" t="s">
        <v>175</v>
      </c>
      <c r="D37" s="138" t="s">
        <v>176</v>
      </c>
      <c r="E37" s="139" t="s">
        <v>177</v>
      </c>
      <c r="F37" s="140">
        <v>5.0</v>
      </c>
      <c r="G37" s="140">
        <v>5.0</v>
      </c>
      <c r="H37" s="140">
        <v>250.0</v>
      </c>
      <c r="I37" s="137">
        <f t="shared" si="1"/>
        <v>1250</v>
      </c>
      <c r="J37" s="141" t="s">
        <v>178</v>
      </c>
      <c r="K37" s="138"/>
      <c r="L37" s="140" t="s">
        <v>179</v>
      </c>
      <c r="M37" s="138" t="s">
        <v>1905</v>
      </c>
      <c r="N37" s="142" t="s">
        <v>180</v>
      </c>
      <c r="O37" s="137" t="str">
        <f>IMAGE("https://robu.in/wp-content/uploads/2021/05/EU-Plug-Universal-Battery-Charger-For-18650-16340-14500-Li-ion-Rechargeable-Battery-Charger-3.jpg",1)</f>
        <v/>
      </c>
      <c r="P37" s="137" t="s">
        <v>1688</v>
      </c>
      <c r="Q37" s="137"/>
      <c r="R37" s="137"/>
      <c r="S37" s="137"/>
      <c r="T37" s="137"/>
      <c r="U37" s="137">
        <v>1.0</v>
      </c>
      <c r="V37" s="143"/>
      <c r="W37" s="144">
        <f t="shared" si="2"/>
        <v>225</v>
      </c>
      <c r="X37" s="145"/>
    </row>
    <row r="38" ht="45.0" hidden="1" customHeight="1">
      <c r="A38" s="137">
        <v>37.0</v>
      </c>
      <c r="B38" s="137" t="s">
        <v>173</v>
      </c>
      <c r="C38" s="137" t="s">
        <v>182</v>
      </c>
      <c r="D38" s="138" t="s">
        <v>1906</v>
      </c>
      <c r="E38" s="139" t="s">
        <v>177</v>
      </c>
      <c r="F38" s="140">
        <v>5.0</v>
      </c>
      <c r="G38" s="140">
        <v>5.0</v>
      </c>
      <c r="H38" s="140">
        <v>100.0</v>
      </c>
      <c r="I38" s="137">
        <f t="shared" si="1"/>
        <v>500</v>
      </c>
      <c r="J38" s="141" t="s">
        <v>178</v>
      </c>
      <c r="K38" s="138"/>
      <c r="L38" s="140" t="s">
        <v>110</v>
      </c>
      <c r="M38" s="138" t="s">
        <v>1907</v>
      </c>
      <c r="N38" s="162" t="s">
        <v>185</v>
      </c>
      <c r="O38" s="137" t="str">
        <f>IMAGE("https://rukminim2.flixcart.com/image/832/832/krs40i80/worldwide-adaptor/f/7/g/pack-of-1-power-adapter-12v-2-amp-dual-pin-for-charger-with-original-imag5hmbvgzazbzz.jpeg?q=70",1)</f>
        <v/>
      </c>
      <c r="P38" s="137" t="s">
        <v>1688</v>
      </c>
      <c r="Q38" s="137"/>
      <c r="R38" s="137"/>
      <c r="S38" s="137"/>
      <c r="T38" s="137"/>
      <c r="U38" s="137">
        <v>1.0</v>
      </c>
      <c r="V38" s="143"/>
      <c r="W38" s="144">
        <f t="shared" si="2"/>
        <v>225</v>
      </c>
      <c r="X38" s="145"/>
    </row>
    <row r="39" ht="45.0" hidden="1" customHeight="1">
      <c r="A39" s="137">
        <v>38.0</v>
      </c>
      <c r="B39" s="137" t="s">
        <v>173</v>
      </c>
      <c r="C39" s="137" t="s">
        <v>187</v>
      </c>
      <c r="D39" s="138" t="s">
        <v>1908</v>
      </c>
      <c r="E39" s="139" t="s">
        <v>177</v>
      </c>
      <c r="F39" s="140">
        <v>5.0</v>
      </c>
      <c r="G39" s="140">
        <v>5.0</v>
      </c>
      <c r="H39" s="140">
        <v>300.0</v>
      </c>
      <c r="I39" s="137">
        <f t="shared" si="1"/>
        <v>1500</v>
      </c>
      <c r="J39" s="141" t="s">
        <v>178</v>
      </c>
      <c r="K39" s="138"/>
      <c r="L39" s="140" t="s">
        <v>66</v>
      </c>
      <c r="M39" s="138" t="s">
        <v>1909</v>
      </c>
      <c r="N39" s="142" t="s">
        <v>189</v>
      </c>
      <c r="O39" s="137" t="str">
        <f>IMAGE("https://m.media-amazon.com/images/I/6161NXWtz-L._SL1500_.jpg",1)</f>
        <v/>
      </c>
      <c r="P39" s="137" t="s">
        <v>1688</v>
      </c>
      <c r="Q39" s="137"/>
      <c r="R39" s="137"/>
      <c r="S39" s="137"/>
      <c r="T39" s="137"/>
      <c r="U39" s="137">
        <v>1.0</v>
      </c>
      <c r="V39" s="143"/>
      <c r="W39" s="144">
        <f t="shared" si="2"/>
        <v>225</v>
      </c>
      <c r="X39" s="145"/>
    </row>
    <row r="40" ht="45.0" hidden="1" customHeight="1">
      <c r="A40" s="137">
        <v>39.0</v>
      </c>
      <c r="B40" s="137" t="s">
        <v>173</v>
      </c>
      <c r="C40" s="137" t="s">
        <v>191</v>
      </c>
      <c r="D40" s="138" t="s">
        <v>1910</v>
      </c>
      <c r="E40" s="139" t="s">
        <v>177</v>
      </c>
      <c r="F40" s="140">
        <v>20.0</v>
      </c>
      <c r="G40" s="140">
        <v>20.0</v>
      </c>
      <c r="H40" s="140">
        <v>6.0</v>
      </c>
      <c r="I40" s="137">
        <f t="shared" si="1"/>
        <v>120</v>
      </c>
      <c r="J40" s="141" t="s">
        <v>178</v>
      </c>
      <c r="K40" s="138"/>
      <c r="L40" s="140" t="s">
        <v>193</v>
      </c>
      <c r="M40" s="138" t="s">
        <v>1909</v>
      </c>
      <c r="N40" s="142" t="s">
        <v>195</v>
      </c>
      <c r="O40" s="137" t="str">
        <f>IMAGE("https://i0.wp.com/www.rytronics.in/wp-content/uploads/2021/09/9v-batter-connector-snap-connector02.jpg?fit=1000%2C1000&amp;ssl=1",1)</f>
        <v/>
      </c>
      <c r="P40" s="137" t="s">
        <v>1688</v>
      </c>
      <c r="Q40" s="137"/>
      <c r="R40" s="137"/>
      <c r="S40" s="137"/>
      <c r="T40" s="137"/>
      <c r="U40" s="137">
        <v>1.0</v>
      </c>
      <c r="V40" s="143"/>
      <c r="W40" s="144">
        <f t="shared" si="2"/>
        <v>900</v>
      </c>
      <c r="X40" s="145"/>
    </row>
    <row r="41" ht="45.0" hidden="1" customHeight="1">
      <c r="A41" s="137">
        <v>40.0</v>
      </c>
      <c r="B41" s="137" t="s">
        <v>173</v>
      </c>
      <c r="C41" s="137" t="s">
        <v>197</v>
      </c>
      <c r="D41" s="138" t="s">
        <v>1911</v>
      </c>
      <c r="E41" s="139" t="s">
        <v>177</v>
      </c>
      <c r="F41" s="140">
        <v>15.0</v>
      </c>
      <c r="G41" s="140">
        <v>15.0</v>
      </c>
      <c r="H41" s="140">
        <v>20.0</v>
      </c>
      <c r="I41" s="137">
        <f t="shared" si="1"/>
        <v>300</v>
      </c>
      <c r="J41" s="141" t="s">
        <v>178</v>
      </c>
      <c r="K41" s="138"/>
      <c r="L41" s="140" t="s">
        <v>193</v>
      </c>
      <c r="M41" s="138" t="s">
        <v>1909</v>
      </c>
      <c r="N41" s="142" t="s">
        <v>199</v>
      </c>
      <c r="O41" s="137" t="str">
        <f>IMAGE("https://m.media-amazon.com/images/W/MEDIAX_792452-T2/images/I/61UPqH4BXuL.SS700.jpg",1)</f>
        <v/>
      </c>
      <c r="P41" s="137" t="s">
        <v>1688</v>
      </c>
      <c r="Q41" s="137"/>
      <c r="R41" s="137"/>
      <c r="S41" s="137"/>
      <c r="T41" s="137"/>
      <c r="U41" s="137">
        <v>1.0</v>
      </c>
      <c r="V41" s="143"/>
      <c r="W41" s="144">
        <f t="shared" si="2"/>
        <v>675</v>
      </c>
      <c r="X41" s="145"/>
    </row>
    <row r="42" ht="45.0" hidden="1" customHeight="1">
      <c r="A42" s="137">
        <v>41.0</v>
      </c>
      <c r="B42" s="137" t="s">
        <v>173</v>
      </c>
      <c r="C42" s="137" t="s">
        <v>201</v>
      </c>
      <c r="D42" s="138" t="s">
        <v>1912</v>
      </c>
      <c r="E42" s="139" t="s">
        <v>177</v>
      </c>
      <c r="F42" s="140">
        <v>10.0</v>
      </c>
      <c r="G42" s="140">
        <v>10.0</v>
      </c>
      <c r="H42" s="140">
        <v>50.0</v>
      </c>
      <c r="I42" s="137">
        <f t="shared" si="1"/>
        <v>500</v>
      </c>
      <c r="J42" s="141" t="s">
        <v>178</v>
      </c>
      <c r="K42" s="138"/>
      <c r="L42" s="140" t="s">
        <v>22</v>
      </c>
      <c r="M42" s="138" t="s">
        <v>1909</v>
      </c>
      <c r="N42" s="142" t="s">
        <v>204</v>
      </c>
      <c r="O42" s="137" t="str">
        <f>IMAGE("https://robotools.in/wp-content/uploads/2022/09/18650-x-2-battery-holder-with-cover-and-OnOff-Switch-5.jpg",1)</f>
        <v/>
      </c>
      <c r="P42" s="137" t="s">
        <v>1688</v>
      </c>
      <c r="Q42" s="137"/>
      <c r="R42" s="137"/>
      <c r="S42" s="137"/>
      <c r="T42" s="137"/>
      <c r="U42" s="137">
        <v>1.0</v>
      </c>
      <c r="V42" s="143"/>
      <c r="W42" s="144">
        <f t="shared" si="2"/>
        <v>450</v>
      </c>
      <c r="X42" s="145"/>
    </row>
    <row r="43" ht="45.0" hidden="1" customHeight="1">
      <c r="A43" s="137">
        <v>42.0</v>
      </c>
      <c r="B43" s="137" t="s">
        <v>173</v>
      </c>
      <c r="C43" s="137" t="s">
        <v>206</v>
      </c>
      <c r="D43" s="138" t="s">
        <v>1913</v>
      </c>
      <c r="E43" s="139" t="s">
        <v>177</v>
      </c>
      <c r="F43" s="140">
        <v>30.0</v>
      </c>
      <c r="G43" s="140">
        <v>30.0</v>
      </c>
      <c r="H43" s="140">
        <v>20.0</v>
      </c>
      <c r="I43" s="137">
        <f t="shared" si="1"/>
        <v>600</v>
      </c>
      <c r="J43" s="141" t="s">
        <v>178</v>
      </c>
      <c r="K43" s="138"/>
      <c r="L43" s="140" t="s">
        <v>22</v>
      </c>
      <c r="M43" s="138" t="s">
        <v>1909</v>
      </c>
      <c r="N43" s="142" t="s">
        <v>208</v>
      </c>
      <c r="O43" s="137" t="str">
        <f>IMAGE("https://robu.in/wp-content/uploads/2019/03/2-x-1.5V-AA-battery-holder-with-cover-and-OnOff-Switch-6.jpg",1)</f>
        <v/>
      </c>
      <c r="P43" s="137" t="s">
        <v>1688</v>
      </c>
      <c r="Q43" s="137"/>
      <c r="R43" s="137"/>
      <c r="S43" s="137"/>
      <c r="T43" s="137"/>
      <c r="U43" s="137">
        <v>1.0</v>
      </c>
      <c r="V43" s="143"/>
      <c r="W43" s="144">
        <f t="shared" si="2"/>
        <v>1350</v>
      </c>
      <c r="X43" s="145"/>
    </row>
    <row r="44" ht="45.0" hidden="1" customHeight="1">
      <c r="A44" s="137">
        <v>43.0</v>
      </c>
      <c r="B44" s="137" t="s">
        <v>173</v>
      </c>
      <c r="C44" s="137" t="s">
        <v>210</v>
      </c>
      <c r="D44" s="138" t="s">
        <v>1914</v>
      </c>
      <c r="E44" s="139" t="s">
        <v>177</v>
      </c>
      <c r="F44" s="140">
        <v>20.0</v>
      </c>
      <c r="G44" s="140">
        <v>20.0</v>
      </c>
      <c r="H44" s="140">
        <v>40.0</v>
      </c>
      <c r="I44" s="137">
        <f t="shared" si="1"/>
        <v>800</v>
      </c>
      <c r="J44" s="141" t="s">
        <v>178</v>
      </c>
      <c r="K44" s="138"/>
      <c r="L44" s="140" t="s">
        <v>22</v>
      </c>
      <c r="M44" s="138" t="s">
        <v>1909</v>
      </c>
      <c r="N44" s="142" t="s">
        <v>212</v>
      </c>
      <c r="O44" s="137" t="str">
        <f>IMAGE("https://probots.co.in/pub/media/catalog/product/cache/d8ddd0f9b0cd008b57085cd218b48832/4/-/4-x-1.5v-aa-battery-holder01.jpg",1)</f>
        <v/>
      </c>
      <c r="P44" s="137" t="s">
        <v>1688</v>
      </c>
      <c r="Q44" s="137"/>
      <c r="R44" s="137"/>
      <c r="S44" s="147"/>
      <c r="T44" s="147"/>
      <c r="U44" s="137">
        <v>1.0</v>
      </c>
      <c r="V44" s="143"/>
      <c r="W44" s="144">
        <f t="shared" si="2"/>
        <v>900</v>
      </c>
      <c r="X44" s="145"/>
    </row>
    <row r="45" ht="45.0" hidden="1" customHeight="1">
      <c r="A45" s="137">
        <v>44.0</v>
      </c>
      <c r="B45" s="137" t="s">
        <v>173</v>
      </c>
      <c r="C45" s="137" t="s">
        <v>214</v>
      </c>
      <c r="D45" s="138" t="s">
        <v>1915</v>
      </c>
      <c r="E45" s="139" t="s">
        <v>177</v>
      </c>
      <c r="F45" s="140">
        <v>20.0</v>
      </c>
      <c r="G45" s="140">
        <v>20.0</v>
      </c>
      <c r="H45" s="140">
        <v>30.0</v>
      </c>
      <c r="I45" s="137">
        <f t="shared" si="1"/>
        <v>600</v>
      </c>
      <c r="J45" s="141" t="s">
        <v>178</v>
      </c>
      <c r="K45" s="138"/>
      <c r="L45" s="140" t="s">
        <v>193</v>
      </c>
      <c r="M45" s="138" t="s">
        <v>1909</v>
      </c>
      <c r="N45" s="142" t="s">
        <v>217</v>
      </c>
      <c r="O45" s="137" t="str">
        <f>IMAGE("https://robu.in/wp-content/uploads/2022/06/510c1Z93PDL._SX679_.jpg",1)</f>
        <v/>
      </c>
      <c r="P45" s="137" t="s">
        <v>1688</v>
      </c>
      <c r="Q45" s="137"/>
      <c r="R45" s="137"/>
      <c r="S45" s="137"/>
      <c r="T45" s="137"/>
      <c r="U45" s="137">
        <v>1.0</v>
      </c>
      <c r="V45" s="143"/>
      <c r="W45" s="144">
        <f t="shared" si="2"/>
        <v>900</v>
      </c>
      <c r="X45" s="145"/>
    </row>
    <row r="46" ht="45.0" hidden="1" customHeight="1">
      <c r="A46" s="137">
        <v>45.0</v>
      </c>
      <c r="B46" s="137" t="s">
        <v>173</v>
      </c>
      <c r="C46" s="137" t="s">
        <v>219</v>
      </c>
      <c r="D46" s="138" t="s">
        <v>220</v>
      </c>
      <c r="E46" s="139" t="s">
        <v>177</v>
      </c>
      <c r="F46" s="140">
        <v>5.0</v>
      </c>
      <c r="G46" s="140">
        <v>5.0</v>
      </c>
      <c r="H46" s="140">
        <v>500.0</v>
      </c>
      <c r="I46" s="137">
        <f t="shared" si="1"/>
        <v>2500</v>
      </c>
      <c r="J46" s="141" t="s">
        <v>178</v>
      </c>
      <c r="K46" s="138"/>
      <c r="L46" s="140"/>
      <c r="M46" s="138" t="s">
        <v>1905</v>
      </c>
      <c r="N46" s="142" t="s">
        <v>221</v>
      </c>
      <c r="O46" s="137" t="str">
        <f>IMAGE("https://i02.psgsm.net/gsm.com/p/887576/480/power-bank-hoco-j26-10000-mah-micro-usb-type-b-input-5v-2a-2-usb-outputs-5-v-2-1-a-139-70-16-mm-with-micro-usb-cable-type-b-black.jpg",1)</f>
        <v/>
      </c>
      <c r="P46" s="137" t="s">
        <v>1688</v>
      </c>
      <c r="Q46" s="137"/>
      <c r="R46" s="137"/>
      <c r="S46" s="137"/>
      <c r="T46" s="137"/>
      <c r="U46" s="137">
        <v>1.0</v>
      </c>
      <c r="V46" s="143"/>
      <c r="W46" s="144">
        <f t="shared" si="2"/>
        <v>225</v>
      </c>
      <c r="X46" s="145"/>
    </row>
    <row r="47" ht="45.0" hidden="1" customHeight="1">
      <c r="A47" s="137">
        <v>46.0</v>
      </c>
      <c r="B47" s="137" t="s">
        <v>173</v>
      </c>
      <c r="C47" s="137" t="s">
        <v>223</v>
      </c>
      <c r="D47" s="138" t="s">
        <v>1741</v>
      </c>
      <c r="E47" s="139" t="s">
        <v>177</v>
      </c>
      <c r="F47" s="140">
        <v>10.0</v>
      </c>
      <c r="G47" s="140">
        <v>10.0</v>
      </c>
      <c r="H47" s="140">
        <v>150.0</v>
      </c>
      <c r="I47" s="137">
        <f t="shared" si="1"/>
        <v>1500</v>
      </c>
      <c r="J47" s="141" t="s">
        <v>178</v>
      </c>
      <c r="K47" s="138"/>
      <c r="L47" s="140" t="s">
        <v>179</v>
      </c>
      <c r="M47" s="138" t="s">
        <v>1905</v>
      </c>
      <c r="N47" s="142" t="s">
        <v>225</v>
      </c>
      <c r="O47" s="137" t="str">
        <f>IMAGE("https://images-na.ssl-images-amazon.com/images/I/51p4KPR9o1L.SS700.jpg",1)</f>
        <v/>
      </c>
      <c r="P47" s="137" t="s">
        <v>1688</v>
      </c>
      <c r="Q47" s="137"/>
      <c r="R47" s="137"/>
      <c r="S47" s="137"/>
      <c r="T47" s="137"/>
      <c r="U47" s="137">
        <v>1.0</v>
      </c>
      <c r="V47" s="143"/>
      <c r="W47" s="144">
        <f t="shared" si="2"/>
        <v>450</v>
      </c>
      <c r="X47" s="145"/>
    </row>
    <row r="48" ht="45.0" hidden="1" customHeight="1">
      <c r="A48" s="137">
        <v>47.0</v>
      </c>
      <c r="B48" s="137" t="s">
        <v>173</v>
      </c>
      <c r="C48" s="137" t="s">
        <v>227</v>
      </c>
      <c r="D48" s="138" t="s">
        <v>228</v>
      </c>
      <c r="E48" s="139" t="s">
        <v>177</v>
      </c>
      <c r="F48" s="140">
        <v>10.0</v>
      </c>
      <c r="G48" s="140">
        <v>10.0</v>
      </c>
      <c r="H48" s="140">
        <v>200.0</v>
      </c>
      <c r="I48" s="137">
        <f t="shared" si="1"/>
        <v>2000</v>
      </c>
      <c r="J48" s="141" t="s">
        <v>178</v>
      </c>
      <c r="K48" s="138"/>
      <c r="L48" s="140" t="s">
        <v>179</v>
      </c>
      <c r="M48" s="138" t="s">
        <v>1905</v>
      </c>
      <c r="N48" s="142" t="s">
        <v>229</v>
      </c>
      <c r="O48" s="137" t="str">
        <f>IMAGE("https://5.imimg.com/data5/SELLER/Default/2021/7/XA/OZ/BW/6610292/9v-power-plus-nimh-rechargeable-battery-500x500.jpg",1)</f>
        <v/>
      </c>
      <c r="P48" s="137" t="s">
        <v>1688</v>
      </c>
      <c r="Q48" s="137"/>
      <c r="R48" s="137"/>
      <c r="S48" s="137"/>
      <c r="T48" s="137"/>
      <c r="U48" s="137">
        <v>1.0</v>
      </c>
      <c r="V48" s="143"/>
      <c r="W48" s="144">
        <f t="shared" si="2"/>
        <v>450</v>
      </c>
      <c r="X48" s="145"/>
    </row>
    <row r="49" ht="45.0" hidden="1" customHeight="1">
      <c r="A49" s="137">
        <v>48.0</v>
      </c>
      <c r="B49" s="137" t="s">
        <v>173</v>
      </c>
      <c r="C49" s="137" t="s">
        <v>231</v>
      </c>
      <c r="D49" s="138" t="s">
        <v>232</v>
      </c>
      <c r="E49" s="139" t="s">
        <v>177</v>
      </c>
      <c r="F49" s="140">
        <v>20.0</v>
      </c>
      <c r="G49" s="140">
        <v>20.0</v>
      </c>
      <c r="H49" s="140">
        <v>100.0</v>
      </c>
      <c r="I49" s="137">
        <f t="shared" si="1"/>
        <v>2000</v>
      </c>
      <c r="J49" s="141" t="s">
        <v>178</v>
      </c>
      <c r="K49" s="138"/>
      <c r="L49" s="140" t="s">
        <v>179</v>
      </c>
      <c r="M49" s="138" t="s">
        <v>1905</v>
      </c>
      <c r="N49" s="142" t="s">
        <v>233</v>
      </c>
      <c r="O49" s="137" t="str">
        <f>IMAGE("https://images-cdn.ubuy.co.in/6578382306deda07ed788ca4-rechargeable-aa-batteries-aa.jpg",1)</f>
        <v/>
      </c>
      <c r="P49" s="137" t="s">
        <v>1688</v>
      </c>
      <c r="Q49" s="137"/>
      <c r="R49" s="137"/>
      <c r="S49" s="137"/>
      <c r="T49" s="137"/>
      <c r="U49" s="137">
        <v>1.0</v>
      </c>
      <c r="V49" s="143"/>
      <c r="W49" s="144">
        <f t="shared" si="2"/>
        <v>900</v>
      </c>
      <c r="X49" s="145"/>
    </row>
    <row r="50" ht="45.0" hidden="1" customHeight="1">
      <c r="A50" s="137">
        <v>49.0</v>
      </c>
      <c r="B50" s="137" t="s">
        <v>173</v>
      </c>
      <c r="C50" s="137" t="s">
        <v>235</v>
      </c>
      <c r="D50" s="138" t="s">
        <v>1916</v>
      </c>
      <c r="E50" s="139" t="s">
        <v>237</v>
      </c>
      <c r="F50" s="140">
        <v>20.0</v>
      </c>
      <c r="G50" s="140">
        <v>20.0</v>
      </c>
      <c r="H50" s="140">
        <v>7.5</v>
      </c>
      <c r="I50" s="137">
        <f t="shared" si="1"/>
        <v>150</v>
      </c>
      <c r="J50" s="141" t="s">
        <v>178</v>
      </c>
      <c r="K50" s="138"/>
      <c r="L50" s="140" t="s">
        <v>22</v>
      </c>
      <c r="M50" s="138" t="s">
        <v>237</v>
      </c>
      <c r="N50" s="142" t="s">
        <v>238</v>
      </c>
      <c r="O50" s="137" t="str">
        <f>IMAGE("https://robu.in/wp-content/uploads/2017/04/Alligator-Clips-Electrical-DIY-Test-Leads-10pcs-For-Test-Leads-Double-ended-Crocodile-Clips-Roach-Clip-2.jpg",1)</f>
        <v/>
      </c>
      <c r="P50" s="137" t="s">
        <v>1688</v>
      </c>
      <c r="Q50" s="137"/>
      <c r="R50" s="137"/>
      <c r="S50" s="137"/>
      <c r="T50" s="137"/>
      <c r="U50" s="137">
        <v>1.0</v>
      </c>
      <c r="V50" s="143"/>
      <c r="W50" s="144">
        <f t="shared" si="2"/>
        <v>900</v>
      </c>
      <c r="X50" s="145"/>
    </row>
    <row r="51" ht="45.0" hidden="1" customHeight="1">
      <c r="A51" s="137">
        <v>50.0</v>
      </c>
      <c r="B51" s="137" t="s">
        <v>173</v>
      </c>
      <c r="C51" s="137" t="s">
        <v>240</v>
      </c>
      <c r="D51" s="138" t="s">
        <v>241</v>
      </c>
      <c r="E51" s="139" t="s">
        <v>237</v>
      </c>
      <c r="F51" s="140">
        <v>20.0</v>
      </c>
      <c r="G51" s="140">
        <v>20.0</v>
      </c>
      <c r="H51" s="140">
        <v>20.0</v>
      </c>
      <c r="I51" s="137">
        <f t="shared" si="1"/>
        <v>400</v>
      </c>
      <c r="J51" s="141" t="s">
        <v>178</v>
      </c>
      <c r="K51" s="138"/>
      <c r="L51" s="140" t="s">
        <v>1917</v>
      </c>
      <c r="M51" s="138" t="s">
        <v>237</v>
      </c>
      <c r="N51" s="142" t="s">
        <v>242</v>
      </c>
      <c r="O51" s="137" t="str">
        <f>IMAGE("https://makerbazar.in/cdn/shop/products/dcmalejackwithwire2_600x.jpg?v=1642675074",1)</f>
        <v/>
      </c>
      <c r="P51" s="137" t="s">
        <v>1688</v>
      </c>
      <c r="Q51" s="137"/>
      <c r="R51" s="137"/>
      <c r="S51" s="137"/>
      <c r="T51" s="137"/>
      <c r="U51" s="137">
        <v>1.0</v>
      </c>
      <c r="V51" s="143"/>
      <c r="W51" s="144">
        <f t="shared" si="2"/>
        <v>900</v>
      </c>
      <c r="X51" s="145"/>
    </row>
    <row r="52" ht="45.0" hidden="1" customHeight="1">
      <c r="A52" s="149">
        <v>51.0</v>
      </c>
      <c r="B52" s="149" t="s">
        <v>173</v>
      </c>
      <c r="C52" s="149" t="s">
        <v>244</v>
      </c>
      <c r="D52" s="150" t="s">
        <v>245</v>
      </c>
      <c r="E52" s="151" t="s">
        <v>237</v>
      </c>
      <c r="F52" s="149">
        <v>1.0</v>
      </c>
      <c r="G52" s="149">
        <v>1.0</v>
      </c>
      <c r="H52" s="149">
        <v>200.0</v>
      </c>
      <c r="I52" s="149">
        <f t="shared" si="1"/>
        <v>200</v>
      </c>
      <c r="J52" s="153" t="s">
        <v>142</v>
      </c>
      <c r="K52" s="150"/>
      <c r="L52" s="152" t="s">
        <v>1902</v>
      </c>
      <c r="M52" s="150" t="s">
        <v>237</v>
      </c>
      <c r="N52" s="154"/>
      <c r="O52" s="149" t="str">
        <f>IMAGE("https://m.media-amazon.com/images/I/61YPX7I4aSL._SL1500_.jpg",1)</f>
        <v/>
      </c>
      <c r="P52" s="149"/>
      <c r="Q52" s="149"/>
      <c r="R52" s="149"/>
      <c r="S52" s="149"/>
      <c r="T52" s="149"/>
      <c r="U52" s="156">
        <v>0.0</v>
      </c>
      <c r="V52" s="157"/>
      <c r="W52" s="158">
        <f t="shared" si="2"/>
        <v>45</v>
      </c>
      <c r="X52" s="145"/>
    </row>
    <row r="53" ht="45.0" hidden="1" customHeight="1">
      <c r="A53" s="137">
        <v>52.0</v>
      </c>
      <c r="B53" s="137" t="s">
        <v>173</v>
      </c>
      <c r="C53" s="137" t="s">
        <v>247</v>
      </c>
      <c r="D53" s="138" t="s">
        <v>1918</v>
      </c>
      <c r="E53" s="139" t="s">
        <v>237</v>
      </c>
      <c r="F53" s="140">
        <v>1.0</v>
      </c>
      <c r="G53" s="140">
        <v>1.0</v>
      </c>
      <c r="H53" s="140">
        <v>150.0</v>
      </c>
      <c r="I53" s="137">
        <f t="shared" si="1"/>
        <v>150</v>
      </c>
      <c r="J53" s="141" t="s">
        <v>178</v>
      </c>
      <c r="K53" s="138"/>
      <c r="L53" s="140" t="s">
        <v>249</v>
      </c>
      <c r="M53" s="138" t="s">
        <v>250</v>
      </c>
      <c r="N53" s="142" t="s">
        <v>251</v>
      </c>
      <c r="O53" s="137" t="str">
        <f>IMAGE("https://rukminim2.flixcart.com/image/832/832/k8t3jbk0/cable-sleeve/j/c/q/black-2mm-polyolefin-heat-shrink-tube-sleeve-for-wrap-60-meter-original-imafqq3y2g2v9vzz.jpeg?q=70",1)</f>
        <v/>
      </c>
      <c r="P53" s="137" t="s">
        <v>1688</v>
      </c>
      <c r="Q53" s="137"/>
      <c r="R53" s="137"/>
      <c r="S53" s="137"/>
      <c r="T53" s="137"/>
      <c r="U53" s="137">
        <v>1.0</v>
      </c>
      <c r="V53" s="143"/>
      <c r="W53" s="144">
        <f t="shared" si="2"/>
        <v>45</v>
      </c>
      <c r="X53" s="145"/>
    </row>
    <row r="54" ht="45.0" hidden="1" customHeight="1">
      <c r="A54" s="137">
        <v>53.0</v>
      </c>
      <c r="B54" s="137" t="s">
        <v>173</v>
      </c>
      <c r="C54" s="137" t="s">
        <v>253</v>
      </c>
      <c r="D54" s="138" t="s">
        <v>1919</v>
      </c>
      <c r="E54" s="139" t="s">
        <v>237</v>
      </c>
      <c r="F54" s="140">
        <v>1.0</v>
      </c>
      <c r="G54" s="140">
        <v>1.0</v>
      </c>
      <c r="H54" s="140">
        <v>150.0</v>
      </c>
      <c r="I54" s="137">
        <f t="shared" si="1"/>
        <v>150</v>
      </c>
      <c r="J54" s="141" t="s">
        <v>178</v>
      </c>
      <c r="K54" s="138"/>
      <c r="L54" s="140" t="s">
        <v>249</v>
      </c>
      <c r="M54" s="138" t="s">
        <v>250</v>
      </c>
      <c r="N54" s="142" t="s">
        <v>255</v>
      </c>
      <c r="O54" s="137" t="str">
        <f>IMAGE("https://m.media-amazon.com/images/I/61zJ0n1EqGS._AC_SL1500_.jpg",1)</f>
        <v/>
      </c>
      <c r="P54" s="137" t="s">
        <v>1688</v>
      </c>
      <c r="Q54" s="147"/>
      <c r="R54" s="147"/>
      <c r="S54" s="147"/>
      <c r="T54" s="147"/>
      <c r="U54" s="137">
        <v>1.0</v>
      </c>
      <c r="V54" s="143"/>
      <c r="W54" s="144">
        <f t="shared" si="2"/>
        <v>45</v>
      </c>
      <c r="X54" s="145"/>
    </row>
    <row r="55" ht="45.0" hidden="1" customHeight="1">
      <c r="A55" s="137">
        <v>54.0</v>
      </c>
      <c r="B55" s="137" t="s">
        <v>173</v>
      </c>
      <c r="C55" s="137" t="s">
        <v>257</v>
      </c>
      <c r="D55" s="138" t="s">
        <v>1920</v>
      </c>
      <c r="E55" s="139" t="s">
        <v>237</v>
      </c>
      <c r="F55" s="140">
        <v>1.0</v>
      </c>
      <c r="G55" s="140">
        <v>1.0</v>
      </c>
      <c r="H55" s="140">
        <v>150.0</v>
      </c>
      <c r="I55" s="137">
        <f t="shared" si="1"/>
        <v>150</v>
      </c>
      <c r="J55" s="141" t="s">
        <v>178</v>
      </c>
      <c r="K55" s="138"/>
      <c r="L55" s="140" t="s">
        <v>249</v>
      </c>
      <c r="M55" s="138" t="s">
        <v>250</v>
      </c>
      <c r="N55" s="142" t="s">
        <v>259</v>
      </c>
      <c r="O55" s="137" t="str">
        <f>IMAGE("https://m.media-amazon.com/images/W/MEDIAX_792452-T2/images/I/417I5BCQPSL.jpg",1)</f>
        <v/>
      </c>
      <c r="P55" s="137" t="s">
        <v>1688</v>
      </c>
      <c r="Q55" s="137"/>
      <c r="R55" s="137"/>
      <c r="S55" s="147"/>
      <c r="T55" s="147"/>
      <c r="U55" s="137">
        <v>1.0</v>
      </c>
      <c r="V55" s="143"/>
      <c r="W55" s="144">
        <f t="shared" si="2"/>
        <v>45</v>
      </c>
      <c r="X55" s="145"/>
    </row>
    <row r="56" ht="45.0" hidden="1" customHeight="1">
      <c r="A56" s="137">
        <v>55.0</v>
      </c>
      <c r="B56" s="137" t="s">
        <v>173</v>
      </c>
      <c r="C56" s="137" t="s">
        <v>261</v>
      </c>
      <c r="D56" s="138" t="s">
        <v>1921</v>
      </c>
      <c r="E56" s="139" t="s">
        <v>237</v>
      </c>
      <c r="F56" s="140">
        <v>1.0</v>
      </c>
      <c r="G56" s="140">
        <v>1.0</v>
      </c>
      <c r="H56" s="140">
        <v>150.0</v>
      </c>
      <c r="I56" s="137">
        <f t="shared" si="1"/>
        <v>150</v>
      </c>
      <c r="J56" s="141" t="s">
        <v>178</v>
      </c>
      <c r="K56" s="138"/>
      <c r="L56" s="140" t="s">
        <v>249</v>
      </c>
      <c r="M56" s="138" t="s">
        <v>250</v>
      </c>
      <c r="N56" s="142" t="s">
        <v>263</v>
      </c>
      <c r="O56" s="137" t="str">
        <f>IMAGE("https://m.media-amazon.com/images/I/61zJ0n1EqGS._AC_SL1500_.jpg",1)</f>
        <v/>
      </c>
      <c r="P56" s="137" t="s">
        <v>1688</v>
      </c>
      <c r="Q56" s="137"/>
      <c r="R56" s="137"/>
      <c r="S56" s="137"/>
      <c r="T56" s="137"/>
      <c r="U56" s="137">
        <v>1.0</v>
      </c>
      <c r="V56" s="143"/>
      <c r="W56" s="144">
        <f t="shared" si="2"/>
        <v>45</v>
      </c>
      <c r="X56" s="145"/>
    </row>
    <row r="57" ht="45.0" hidden="1" customHeight="1">
      <c r="A57" s="137">
        <v>56.0</v>
      </c>
      <c r="B57" s="137" t="s">
        <v>173</v>
      </c>
      <c r="C57" s="137" t="s">
        <v>265</v>
      </c>
      <c r="D57" s="138" t="s">
        <v>266</v>
      </c>
      <c r="E57" s="139" t="s">
        <v>237</v>
      </c>
      <c r="F57" s="140">
        <v>20.0</v>
      </c>
      <c r="G57" s="140">
        <v>20.0</v>
      </c>
      <c r="H57" s="140">
        <v>20.0</v>
      </c>
      <c r="I57" s="137">
        <f t="shared" si="1"/>
        <v>400</v>
      </c>
      <c r="J57" s="141" t="s">
        <v>178</v>
      </c>
      <c r="K57" s="138"/>
      <c r="L57" s="140" t="s">
        <v>66</v>
      </c>
      <c r="M57" s="138" t="s">
        <v>267</v>
      </c>
      <c r="N57" s="142" t="s">
        <v>268</v>
      </c>
      <c r="O57" s="137" t="str">
        <f t="shared" ref="O57:O61" si="3">IMAGE("https://i.ebayimg.com/images/g/xCYAAOSwjvJlEQU8/s-l1600.jpg",1)</f>
        <v/>
      </c>
      <c r="P57" s="137" t="s">
        <v>1688</v>
      </c>
      <c r="Q57" s="137"/>
      <c r="R57" s="137"/>
      <c r="S57" s="137"/>
      <c r="T57" s="137"/>
      <c r="U57" s="137">
        <v>1.0</v>
      </c>
      <c r="V57" s="143"/>
      <c r="W57" s="144">
        <f t="shared" si="2"/>
        <v>900</v>
      </c>
      <c r="X57" s="145"/>
    </row>
    <row r="58" ht="45.0" hidden="1" customHeight="1">
      <c r="A58" s="137">
        <v>57.0</v>
      </c>
      <c r="B58" s="137" t="s">
        <v>173</v>
      </c>
      <c r="C58" s="137" t="s">
        <v>270</v>
      </c>
      <c r="D58" s="138" t="s">
        <v>271</v>
      </c>
      <c r="E58" s="139" t="s">
        <v>237</v>
      </c>
      <c r="F58" s="140">
        <v>20.0</v>
      </c>
      <c r="G58" s="140">
        <v>20.0</v>
      </c>
      <c r="H58" s="140">
        <v>20.0</v>
      </c>
      <c r="I58" s="137">
        <f t="shared" si="1"/>
        <v>400</v>
      </c>
      <c r="J58" s="141" t="s">
        <v>178</v>
      </c>
      <c r="K58" s="138"/>
      <c r="L58" s="140" t="s">
        <v>66</v>
      </c>
      <c r="M58" s="138" t="s">
        <v>267</v>
      </c>
      <c r="N58" s="142" t="s">
        <v>272</v>
      </c>
      <c r="O58" s="137" t="str">
        <f t="shared" si="3"/>
        <v/>
      </c>
      <c r="P58" s="137" t="s">
        <v>1688</v>
      </c>
      <c r="Q58" s="137"/>
      <c r="R58" s="137"/>
      <c r="S58" s="137"/>
      <c r="T58" s="137"/>
      <c r="U58" s="137">
        <v>1.0</v>
      </c>
      <c r="V58" s="143"/>
      <c r="W58" s="144">
        <f t="shared" si="2"/>
        <v>900</v>
      </c>
      <c r="X58" s="145"/>
    </row>
    <row r="59" ht="45.0" hidden="1" customHeight="1">
      <c r="A59" s="137">
        <v>58.0</v>
      </c>
      <c r="B59" s="137" t="s">
        <v>173</v>
      </c>
      <c r="C59" s="137" t="s">
        <v>274</v>
      </c>
      <c r="D59" s="138" t="s">
        <v>275</v>
      </c>
      <c r="E59" s="139" t="s">
        <v>237</v>
      </c>
      <c r="F59" s="140">
        <v>20.0</v>
      </c>
      <c r="G59" s="140">
        <v>20.0</v>
      </c>
      <c r="H59" s="140">
        <v>20.0</v>
      </c>
      <c r="I59" s="137">
        <f t="shared" si="1"/>
        <v>400</v>
      </c>
      <c r="J59" s="141" t="s">
        <v>178</v>
      </c>
      <c r="K59" s="138"/>
      <c r="L59" s="140" t="s">
        <v>66</v>
      </c>
      <c r="M59" s="138" t="s">
        <v>267</v>
      </c>
      <c r="N59" s="142" t="s">
        <v>276</v>
      </c>
      <c r="O59" s="137" t="str">
        <f t="shared" si="3"/>
        <v/>
      </c>
      <c r="P59" s="137" t="s">
        <v>1688</v>
      </c>
      <c r="Q59" s="137"/>
      <c r="R59" s="137"/>
      <c r="S59" s="137"/>
      <c r="T59" s="137"/>
      <c r="U59" s="137">
        <v>1.0</v>
      </c>
      <c r="V59" s="143"/>
      <c r="W59" s="144">
        <f t="shared" si="2"/>
        <v>900</v>
      </c>
      <c r="X59" s="145"/>
    </row>
    <row r="60" ht="45.0" hidden="1" customHeight="1">
      <c r="A60" s="137">
        <v>59.0</v>
      </c>
      <c r="B60" s="137" t="s">
        <v>173</v>
      </c>
      <c r="C60" s="137" t="s">
        <v>278</v>
      </c>
      <c r="D60" s="138" t="s">
        <v>279</v>
      </c>
      <c r="E60" s="139" t="s">
        <v>237</v>
      </c>
      <c r="F60" s="140">
        <v>20.0</v>
      </c>
      <c r="G60" s="140">
        <v>20.0</v>
      </c>
      <c r="H60" s="140">
        <v>20.0</v>
      </c>
      <c r="I60" s="137">
        <f t="shared" si="1"/>
        <v>400</v>
      </c>
      <c r="J60" s="141" t="s">
        <v>178</v>
      </c>
      <c r="K60" s="138"/>
      <c r="L60" s="140" t="s">
        <v>66</v>
      </c>
      <c r="M60" s="138" t="s">
        <v>267</v>
      </c>
      <c r="N60" s="142" t="s">
        <v>280</v>
      </c>
      <c r="O60" s="137" t="str">
        <f t="shared" si="3"/>
        <v/>
      </c>
      <c r="P60" s="137" t="s">
        <v>1688</v>
      </c>
      <c r="Q60" s="137"/>
      <c r="R60" s="137"/>
      <c r="S60" s="137"/>
      <c r="T60" s="137"/>
      <c r="U60" s="137">
        <v>1.0</v>
      </c>
      <c r="V60" s="143"/>
      <c r="W60" s="144">
        <f t="shared" si="2"/>
        <v>900</v>
      </c>
      <c r="X60" s="145"/>
    </row>
    <row r="61" ht="45.0" hidden="1" customHeight="1">
      <c r="A61" s="137">
        <v>60.0</v>
      </c>
      <c r="B61" s="137" t="s">
        <v>173</v>
      </c>
      <c r="C61" s="137" t="s">
        <v>282</v>
      </c>
      <c r="D61" s="138" t="s">
        <v>283</v>
      </c>
      <c r="E61" s="139" t="s">
        <v>237</v>
      </c>
      <c r="F61" s="140">
        <v>20.0</v>
      </c>
      <c r="G61" s="140">
        <v>20.0</v>
      </c>
      <c r="H61" s="140">
        <v>20.0</v>
      </c>
      <c r="I61" s="137">
        <f t="shared" si="1"/>
        <v>400</v>
      </c>
      <c r="J61" s="141" t="s">
        <v>178</v>
      </c>
      <c r="K61" s="138"/>
      <c r="L61" s="140" t="s">
        <v>66</v>
      </c>
      <c r="M61" s="138" t="s">
        <v>267</v>
      </c>
      <c r="N61" s="142" t="s">
        <v>284</v>
      </c>
      <c r="O61" s="137" t="str">
        <f t="shared" si="3"/>
        <v/>
      </c>
      <c r="P61" s="137" t="s">
        <v>1688</v>
      </c>
      <c r="Q61" s="137"/>
      <c r="R61" s="137"/>
      <c r="S61" s="137"/>
      <c r="T61" s="137"/>
      <c r="U61" s="137">
        <v>1.0</v>
      </c>
      <c r="V61" s="143"/>
      <c r="W61" s="144">
        <f t="shared" si="2"/>
        <v>900</v>
      </c>
      <c r="X61" s="145"/>
    </row>
    <row r="62" ht="45.0" hidden="1" customHeight="1">
      <c r="A62" s="137">
        <v>61.0</v>
      </c>
      <c r="B62" s="137" t="s">
        <v>173</v>
      </c>
      <c r="C62" s="137" t="s">
        <v>286</v>
      </c>
      <c r="D62" s="138" t="s">
        <v>287</v>
      </c>
      <c r="E62" s="139" t="s">
        <v>237</v>
      </c>
      <c r="F62" s="140">
        <v>20.0</v>
      </c>
      <c r="G62" s="140">
        <v>20.0</v>
      </c>
      <c r="H62" s="140">
        <v>40.0</v>
      </c>
      <c r="I62" s="137">
        <f t="shared" si="1"/>
        <v>800</v>
      </c>
      <c r="J62" s="141" t="s">
        <v>178</v>
      </c>
      <c r="K62" s="138"/>
      <c r="L62" s="140" t="s">
        <v>179</v>
      </c>
      <c r="M62" s="138" t="s">
        <v>1922</v>
      </c>
      <c r="N62" s="142" t="s">
        <v>289</v>
      </c>
      <c r="O62" s="137" t="str">
        <f t="shared" ref="O62:O64" si="4">IMAGE("https://cdn.shopify.com/s/files/1/0527/2692/3444/products/M-M10CM_800x.jpg?v=1620840829",1)</f>
        <v/>
      </c>
      <c r="P62" s="137" t="s">
        <v>1688</v>
      </c>
      <c r="Q62" s="137"/>
      <c r="R62" s="137"/>
      <c r="S62" s="137"/>
      <c r="T62" s="137"/>
      <c r="U62" s="137">
        <v>1.0</v>
      </c>
      <c r="V62" s="143"/>
      <c r="W62" s="144">
        <f t="shared" si="2"/>
        <v>900</v>
      </c>
      <c r="X62" s="145"/>
    </row>
    <row r="63" ht="45.0" hidden="1" customHeight="1">
      <c r="A63" s="137">
        <v>62.0</v>
      </c>
      <c r="B63" s="137" t="s">
        <v>173</v>
      </c>
      <c r="C63" s="137" t="s">
        <v>291</v>
      </c>
      <c r="D63" s="138" t="s">
        <v>292</v>
      </c>
      <c r="E63" s="139" t="s">
        <v>237</v>
      </c>
      <c r="F63" s="140">
        <v>20.0</v>
      </c>
      <c r="G63" s="140">
        <v>20.0</v>
      </c>
      <c r="H63" s="140">
        <v>40.0</v>
      </c>
      <c r="I63" s="137">
        <f t="shared" si="1"/>
        <v>800</v>
      </c>
      <c r="J63" s="141" t="s">
        <v>178</v>
      </c>
      <c r="K63" s="138"/>
      <c r="L63" s="140" t="s">
        <v>179</v>
      </c>
      <c r="M63" s="138" t="s">
        <v>1922</v>
      </c>
      <c r="N63" s="142" t="s">
        <v>293</v>
      </c>
      <c r="O63" s="137" t="str">
        <f t="shared" si="4"/>
        <v/>
      </c>
      <c r="P63" s="137" t="s">
        <v>1688</v>
      </c>
      <c r="Q63" s="137"/>
      <c r="R63" s="137"/>
      <c r="S63" s="137"/>
      <c r="T63" s="137"/>
      <c r="U63" s="137">
        <v>1.0</v>
      </c>
      <c r="V63" s="143"/>
      <c r="W63" s="144">
        <f t="shared" si="2"/>
        <v>900</v>
      </c>
      <c r="X63" s="145"/>
    </row>
    <row r="64" ht="45.0" hidden="1" customHeight="1">
      <c r="A64" s="137">
        <v>63.0</v>
      </c>
      <c r="B64" s="137" t="s">
        <v>173</v>
      </c>
      <c r="C64" s="137" t="s">
        <v>295</v>
      </c>
      <c r="D64" s="138" t="s">
        <v>296</v>
      </c>
      <c r="E64" s="139" t="s">
        <v>237</v>
      </c>
      <c r="F64" s="140">
        <v>20.0</v>
      </c>
      <c r="G64" s="140">
        <v>20.0</v>
      </c>
      <c r="H64" s="140">
        <v>40.0</v>
      </c>
      <c r="I64" s="137">
        <f t="shared" si="1"/>
        <v>800</v>
      </c>
      <c r="J64" s="141" t="s">
        <v>178</v>
      </c>
      <c r="K64" s="138"/>
      <c r="L64" s="140" t="s">
        <v>179</v>
      </c>
      <c r="M64" s="138" t="s">
        <v>1922</v>
      </c>
      <c r="N64" s="142" t="s">
        <v>297</v>
      </c>
      <c r="O64" s="137" t="str">
        <f t="shared" si="4"/>
        <v/>
      </c>
      <c r="P64" s="137" t="s">
        <v>1688</v>
      </c>
      <c r="Q64" s="137"/>
      <c r="R64" s="137"/>
      <c r="S64" s="137"/>
      <c r="T64" s="137"/>
      <c r="U64" s="137">
        <v>1.0</v>
      </c>
      <c r="V64" s="143"/>
      <c r="W64" s="144">
        <f t="shared" si="2"/>
        <v>900</v>
      </c>
      <c r="X64" s="145"/>
    </row>
    <row r="65" ht="45.0" hidden="1" customHeight="1">
      <c r="A65" s="137">
        <v>64.0</v>
      </c>
      <c r="B65" s="137" t="s">
        <v>173</v>
      </c>
      <c r="C65" s="137" t="s">
        <v>299</v>
      </c>
      <c r="D65" s="138" t="s">
        <v>300</v>
      </c>
      <c r="E65" s="139" t="s">
        <v>237</v>
      </c>
      <c r="F65" s="140">
        <v>10.0</v>
      </c>
      <c r="G65" s="140">
        <v>10.0</v>
      </c>
      <c r="H65" s="140">
        <v>50.0</v>
      </c>
      <c r="I65" s="137">
        <f t="shared" si="1"/>
        <v>500</v>
      </c>
      <c r="J65" s="141" t="s">
        <v>178</v>
      </c>
      <c r="K65" s="138"/>
      <c r="L65" s="140" t="s">
        <v>66</v>
      </c>
      <c r="M65" s="138" t="s">
        <v>300</v>
      </c>
      <c r="N65" s="142" t="s">
        <v>301</v>
      </c>
      <c r="O65" s="137" t="str">
        <f>IMAGE("https://encrypted-tbn0.gstatic.com/images?q=tbn:ANd9GcR4A79FMiemvwjtYU3z1SGV0ayCZPtc8oNMobr5AuvlhGOJoeuq78aTh7JjRPQlfFrsXfE&amp;usqp=CAU",1)</f>
        <v/>
      </c>
      <c r="P65" s="137" t="s">
        <v>1688</v>
      </c>
      <c r="Q65" s="137"/>
      <c r="R65" s="137"/>
      <c r="S65" s="137"/>
      <c r="T65" s="137"/>
      <c r="U65" s="137">
        <v>1.0</v>
      </c>
      <c r="V65" s="143"/>
      <c r="W65" s="144">
        <f t="shared" si="2"/>
        <v>450</v>
      </c>
      <c r="X65" s="145"/>
    </row>
    <row r="66" ht="45.0" hidden="1" customHeight="1">
      <c r="A66" s="137">
        <v>65.0</v>
      </c>
      <c r="B66" s="137" t="s">
        <v>173</v>
      </c>
      <c r="C66" s="137" t="s">
        <v>303</v>
      </c>
      <c r="D66" s="138" t="s">
        <v>304</v>
      </c>
      <c r="E66" s="139" t="s">
        <v>237</v>
      </c>
      <c r="F66" s="140">
        <v>10.0</v>
      </c>
      <c r="G66" s="140">
        <v>10.0</v>
      </c>
      <c r="H66" s="140">
        <v>50.0</v>
      </c>
      <c r="I66" s="137">
        <f t="shared" si="1"/>
        <v>500</v>
      </c>
      <c r="J66" s="141" t="s">
        <v>178</v>
      </c>
      <c r="K66" s="138"/>
      <c r="L66" s="140" t="s">
        <v>66</v>
      </c>
      <c r="M66" s="138" t="s">
        <v>304</v>
      </c>
      <c r="N66" s="142" t="s">
        <v>306</v>
      </c>
      <c r="O66" s="137" t="str">
        <f>IMAGE("https://robu.in/wp-content/uploads/2018/07/50-CM-Micro-USB-Cable-1.jpg",1)</f>
        <v/>
      </c>
      <c r="P66" s="137" t="s">
        <v>1688</v>
      </c>
      <c r="Q66" s="137"/>
      <c r="R66" s="137"/>
      <c r="S66" s="147"/>
      <c r="T66" s="147"/>
      <c r="U66" s="137">
        <v>1.0</v>
      </c>
      <c r="V66" s="143"/>
      <c r="W66" s="144">
        <f t="shared" si="2"/>
        <v>450</v>
      </c>
      <c r="X66" s="145"/>
    </row>
    <row r="67" ht="45.0" hidden="1" customHeight="1">
      <c r="A67" s="137">
        <v>66.0</v>
      </c>
      <c r="B67" s="163" t="s">
        <v>173</v>
      </c>
      <c r="C67" s="163" t="s">
        <v>308</v>
      </c>
      <c r="D67" s="164" t="s">
        <v>309</v>
      </c>
      <c r="E67" s="165" t="s">
        <v>237</v>
      </c>
      <c r="F67" s="166">
        <v>10.0</v>
      </c>
      <c r="G67" s="166">
        <v>10.0</v>
      </c>
      <c r="H67" s="166">
        <v>50.0</v>
      </c>
      <c r="I67" s="163">
        <f t="shared" si="1"/>
        <v>500</v>
      </c>
      <c r="J67" s="167" t="s">
        <v>178</v>
      </c>
      <c r="K67" s="164"/>
      <c r="L67" s="166"/>
      <c r="M67" s="164" t="s">
        <v>309</v>
      </c>
      <c r="N67" s="168" t="s">
        <v>311</v>
      </c>
      <c r="O67" s="163" t="str">
        <f>IMAGE("https://m.media-amazon.com/images/I/618b8Xq+hXL._SL1500_.jpg",1)</f>
        <v/>
      </c>
      <c r="P67" s="163" t="s">
        <v>1688</v>
      </c>
      <c r="Q67" s="163"/>
      <c r="R67" s="163"/>
      <c r="S67" s="163"/>
      <c r="T67" s="163"/>
      <c r="U67" s="169">
        <v>4.0</v>
      </c>
      <c r="V67" s="134" t="s">
        <v>1923</v>
      </c>
      <c r="W67" s="144">
        <f t="shared" si="2"/>
        <v>450</v>
      </c>
      <c r="X67" s="170"/>
    </row>
    <row r="68" ht="45.0" hidden="1" customHeight="1">
      <c r="A68" s="149">
        <v>67.0</v>
      </c>
      <c r="B68" s="149" t="s">
        <v>173</v>
      </c>
      <c r="C68" s="149" t="s">
        <v>313</v>
      </c>
      <c r="D68" s="150" t="s">
        <v>314</v>
      </c>
      <c r="E68" s="151" t="s">
        <v>237</v>
      </c>
      <c r="F68" s="149">
        <v>1.0</v>
      </c>
      <c r="G68" s="149">
        <v>1.0</v>
      </c>
      <c r="H68" s="149">
        <v>300.0</v>
      </c>
      <c r="I68" s="149">
        <f t="shared" si="1"/>
        <v>300</v>
      </c>
      <c r="J68" s="153" t="s">
        <v>142</v>
      </c>
      <c r="K68" s="150"/>
      <c r="L68" s="152" t="s">
        <v>1902</v>
      </c>
      <c r="M68" s="150" t="s">
        <v>237</v>
      </c>
      <c r="N68" s="154" t="s">
        <v>315</v>
      </c>
      <c r="O68" s="149" t="str">
        <f>IMAGE("https://m.media-amazon.com/images/I/41ajXEZ8zhL._SL1200_.jpg",1)</f>
        <v/>
      </c>
      <c r="P68" s="149"/>
      <c r="Q68" s="155"/>
      <c r="R68" s="155"/>
      <c r="S68" s="149"/>
      <c r="T68" s="149"/>
      <c r="U68" s="156">
        <v>0.0</v>
      </c>
      <c r="V68" s="157"/>
      <c r="W68" s="158">
        <f t="shared" si="2"/>
        <v>45</v>
      </c>
      <c r="X68" s="170"/>
    </row>
    <row r="69" ht="45.0" hidden="1" customHeight="1">
      <c r="A69" s="137">
        <v>68.0</v>
      </c>
      <c r="B69" s="137" t="s">
        <v>173</v>
      </c>
      <c r="C69" s="137" t="s">
        <v>317</v>
      </c>
      <c r="D69" s="138" t="s">
        <v>1924</v>
      </c>
      <c r="E69" s="139" t="s">
        <v>237</v>
      </c>
      <c r="F69" s="140">
        <v>10.0</v>
      </c>
      <c r="G69" s="140">
        <v>10.0</v>
      </c>
      <c r="H69" s="140">
        <v>50.0</v>
      </c>
      <c r="I69" s="137">
        <f t="shared" si="1"/>
        <v>500</v>
      </c>
      <c r="J69" s="141" t="s">
        <v>178</v>
      </c>
      <c r="K69" s="138"/>
      <c r="L69" s="140" t="s">
        <v>193</v>
      </c>
      <c r="M69" s="138" t="s">
        <v>237</v>
      </c>
      <c r="N69" s="142" t="s">
        <v>320</v>
      </c>
      <c r="O69" s="137" t="str">
        <f>IMAGE("https://robu.in/wp-content/uploads/2019/06/3.5mm-Audio-Plug-3-Pole-Gold-plated-Earphone-Adapter-For-DIY-Stereo-Headset-5.jpg",1)</f>
        <v/>
      </c>
      <c r="P69" s="137" t="s">
        <v>1688</v>
      </c>
      <c r="Q69" s="137"/>
      <c r="R69" s="137"/>
      <c r="S69" s="137"/>
      <c r="T69" s="137"/>
      <c r="U69" s="137">
        <v>1.0</v>
      </c>
      <c r="V69" s="143"/>
      <c r="W69" s="144">
        <f t="shared" si="2"/>
        <v>450</v>
      </c>
      <c r="X69" s="170"/>
    </row>
    <row r="70" ht="45.0" hidden="1" customHeight="1">
      <c r="A70" s="149">
        <v>69.0</v>
      </c>
      <c r="B70" s="149" t="s">
        <v>321</v>
      </c>
      <c r="C70" s="149" t="s">
        <v>323</v>
      </c>
      <c r="D70" s="150" t="s">
        <v>324</v>
      </c>
      <c r="E70" s="151" t="s">
        <v>325</v>
      </c>
      <c r="F70" s="149">
        <v>1.0</v>
      </c>
      <c r="G70" s="149">
        <v>1.0</v>
      </c>
      <c r="H70" s="149">
        <v>200.0</v>
      </c>
      <c r="I70" s="149">
        <f t="shared" si="1"/>
        <v>200</v>
      </c>
      <c r="J70" s="153" t="s">
        <v>326</v>
      </c>
      <c r="K70" s="150"/>
      <c r="L70" s="152"/>
      <c r="M70" s="150" t="s">
        <v>1925</v>
      </c>
      <c r="N70" s="154" t="s">
        <v>78</v>
      </c>
      <c r="O70" s="149" t="str">
        <f>IMAGE("https://5.imimg.com/data5/PL/FV/MY-11916319/synthetic-angle-broom-500x500.jpg",1)</f>
        <v/>
      </c>
      <c r="P70" s="149"/>
      <c r="Q70" s="149"/>
      <c r="R70" s="149"/>
      <c r="S70" s="149"/>
      <c r="T70" s="149"/>
      <c r="U70" s="156">
        <v>0.0</v>
      </c>
      <c r="V70" s="157"/>
      <c r="W70" s="158">
        <f t="shared" si="2"/>
        <v>45</v>
      </c>
      <c r="X70" s="170"/>
    </row>
    <row r="71" ht="45.0" hidden="1" customHeight="1">
      <c r="A71" s="149">
        <v>70.0</v>
      </c>
      <c r="B71" s="149" t="s">
        <v>321</v>
      </c>
      <c r="C71" s="149" t="s">
        <v>328</v>
      </c>
      <c r="D71" s="150" t="s">
        <v>329</v>
      </c>
      <c r="E71" s="151" t="s">
        <v>325</v>
      </c>
      <c r="F71" s="149">
        <v>1.0</v>
      </c>
      <c r="G71" s="149">
        <v>1.0</v>
      </c>
      <c r="H71" s="149">
        <v>100.0</v>
      </c>
      <c r="I71" s="149">
        <f t="shared" si="1"/>
        <v>100</v>
      </c>
      <c r="J71" s="153" t="s">
        <v>326</v>
      </c>
      <c r="K71" s="150"/>
      <c r="L71" s="152"/>
      <c r="M71" s="150" t="s">
        <v>1925</v>
      </c>
      <c r="N71" s="154" t="s">
        <v>330</v>
      </c>
      <c r="O71" s="149" t="str">
        <f>IMAGE("https://m.media-amazon.com/images/I/41yLi8RmWdL._AC_UF894,1000_QL80_.jpg",1)</f>
        <v/>
      </c>
      <c r="P71" s="149" t="s">
        <v>56</v>
      </c>
      <c r="Q71" s="155"/>
      <c r="R71" s="155"/>
      <c r="S71" s="149"/>
      <c r="T71" s="149"/>
      <c r="U71" s="156">
        <v>0.0</v>
      </c>
      <c r="V71" s="157"/>
      <c r="W71" s="158">
        <f t="shared" si="2"/>
        <v>45</v>
      </c>
      <c r="X71" s="170"/>
    </row>
    <row r="72" ht="45.0" hidden="1" customHeight="1">
      <c r="A72" s="149">
        <v>71.0</v>
      </c>
      <c r="B72" s="149" t="s">
        <v>321</v>
      </c>
      <c r="C72" s="149" t="s">
        <v>332</v>
      </c>
      <c r="D72" s="150" t="s">
        <v>333</v>
      </c>
      <c r="E72" s="151" t="s">
        <v>325</v>
      </c>
      <c r="F72" s="149">
        <v>5.0</v>
      </c>
      <c r="G72" s="149">
        <v>5.0</v>
      </c>
      <c r="H72" s="149">
        <v>100.0</v>
      </c>
      <c r="I72" s="149">
        <f t="shared" si="1"/>
        <v>500</v>
      </c>
      <c r="J72" s="153" t="s">
        <v>326</v>
      </c>
      <c r="K72" s="150"/>
      <c r="L72" s="152"/>
      <c r="M72" s="150" t="s">
        <v>1925</v>
      </c>
      <c r="N72" s="154" t="s">
        <v>334</v>
      </c>
      <c r="O72" s="149" t="str">
        <f>IMAGE("https://m.media-amazon.com/images/I/61XW98N71wL._AC_UF1000,1000_QL80_.jpg",1)</f>
        <v/>
      </c>
      <c r="P72" s="149"/>
      <c r="Q72" s="149"/>
      <c r="R72" s="149"/>
      <c r="S72" s="149"/>
      <c r="T72" s="149"/>
      <c r="U72" s="156">
        <v>0.0</v>
      </c>
      <c r="V72" s="157"/>
      <c r="W72" s="158">
        <f t="shared" si="2"/>
        <v>225</v>
      </c>
      <c r="X72" s="170"/>
    </row>
    <row r="73" ht="45.0" hidden="1" customHeight="1">
      <c r="A73" s="149">
        <v>72.0</v>
      </c>
      <c r="B73" s="149" t="s">
        <v>321</v>
      </c>
      <c r="C73" s="149" t="s">
        <v>336</v>
      </c>
      <c r="D73" s="150" t="s">
        <v>337</v>
      </c>
      <c r="E73" s="151" t="s">
        <v>325</v>
      </c>
      <c r="F73" s="149">
        <v>1.0</v>
      </c>
      <c r="G73" s="149">
        <v>1.0</v>
      </c>
      <c r="H73" s="149">
        <v>3600.0</v>
      </c>
      <c r="I73" s="149">
        <f t="shared" si="1"/>
        <v>3600</v>
      </c>
      <c r="J73" s="153" t="s">
        <v>326</v>
      </c>
      <c r="K73" s="150" t="s">
        <v>65</v>
      </c>
      <c r="L73" s="152" t="s">
        <v>65</v>
      </c>
      <c r="M73" s="150" t="s">
        <v>1925</v>
      </c>
      <c r="N73" s="154" t="s">
        <v>338</v>
      </c>
      <c r="O73" s="149" t="str">
        <f>IMAGE("https://m.media-amazon.com/images/I/61HelF+y3YL._SL1500_.jpg",1)</f>
        <v/>
      </c>
      <c r="P73" s="159" t="s">
        <v>1689</v>
      </c>
      <c r="Q73" s="149"/>
      <c r="R73" s="149"/>
      <c r="S73" s="155"/>
      <c r="T73" s="155"/>
      <c r="U73" s="156">
        <v>0.0</v>
      </c>
      <c r="V73" s="157"/>
      <c r="W73" s="158">
        <f t="shared" si="2"/>
        <v>45</v>
      </c>
      <c r="X73" s="170"/>
    </row>
    <row r="74" ht="45.0" hidden="1" customHeight="1">
      <c r="A74" s="149">
        <v>73.0</v>
      </c>
      <c r="B74" s="149" t="s">
        <v>321</v>
      </c>
      <c r="C74" s="149" t="s">
        <v>340</v>
      </c>
      <c r="D74" s="150" t="s">
        <v>341</v>
      </c>
      <c r="E74" s="151" t="s">
        <v>325</v>
      </c>
      <c r="F74" s="149">
        <v>3.0</v>
      </c>
      <c r="G74" s="149">
        <v>3.0</v>
      </c>
      <c r="H74" s="149">
        <v>800.0</v>
      </c>
      <c r="I74" s="149">
        <f t="shared" si="1"/>
        <v>2400</v>
      </c>
      <c r="J74" s="153" t="s">
        <v>326</v>
      </c>
      <c r="K74" s="150"/>
      <c r="L74" s="152"/>
      <c r="M74" s="150" t="s">
        <v>1925</v>
      </c>
      <c r="N74" s="154"/>
      <c r="O74" s="149" t="str">
        <f>IMAGE("https://rukminim2.flixcart.com/image/850/1000/kshtxu80/dustbin/p/l/y/swaccha-bharat-champaign-dry-and-wet-waste-bins-small-11ltr-original-imag6fnfj6pqmsba.jpeg?q=20",1)</f>
        <v/>
      </c>
      <c r="P74" s="149"/>
      <c r="Q74" s="155"/>
      <c r="R74" s="155"/>
      <c r="S74" s="149"/>
      <c r="T74" s="149"/>
      <c r="U74" s="156">
        <v>0.0</v>
      </c>
      <c r="V74" s="157"/>
      <c r="W74" s="158">
        <f t="shared" si="2"/>
        <v>135</v>
      </c>
      <c r="X74" s="170"/>
    </row>
    <row r="75" ht="45.0" hidden="1" customHeight="1">
      <c r="A75" s="149">
        <v>74.0</v>
      </c>
      <c r="B75" s="149" t="s">
        <v>342</v>
      </c>
      <c r="C75" s="149" t="s">
        <v>344</v>
      </c>
      <c r="D75" s="150" t="s">
        <v>345</v>
      </c>
      <c r="E75" s="151" t="s">
        <v>346</v>
      </c>
      <c r="F75" s="152">
        <v>1.0</v>
      </c>
      <c r="G75" s="152">
        <v>2.0</v>
      </c>
      <c r="H75" s="152">
        <v>200.0</v>
      </c>
      <c r="I75" s="149">
        <f t="shared" si="1"/>
        <v>400</v>
      </c>
      <c r="J75" s="153" t="s">
        <v>347</v>
      </c>
      <c r="K75" s="150" t="s">
        <v>21</v>
      </c>
      <c r="L75" s="149"/>
      <c r="M75" s="151" t="s">
        <v>346</v>
      </c>
      <c r="N75" s="154" t="s">
        <v>348</v>
      </c>
      <c r="O75" s="149" t="str">
        <f>IMAGE("https://m.media-amazon.com/images/I/71NdWJD1LKL._SL1500_.jpg",1)</f>
        <v/>
      </c>
      <c r="P75" s="149" t="s">
        <v>1689</v>
      </c>
      <c r="Q75" s="149" t="s">
        <v>1691</v>
      </c>
      <c r="R75" s="149"/>
      <c r="S75" s="149"/>
      <c r="T75" s="149"/>
      <c r="U75" s="156">
        <v>0.0</v>
      </c>
      <c r="V75" s="171" t="s">
        <v>1689</v>
      </c>
      <c r="W75" s="158">
        <f t="shared" si="2"/>
        <v>90</v>
      </c>
      <c r="X75" s="170"/>
    </row>
    <row r="76" ht="45.0" hidden="1" customHeight="1">
      <c r="A76" s="149">
        <v>75.0</v>
      </c>
      <c r="B76" s="149" t="s">
        <v>342</v>
      </c>
      <c r="C76" s="149" t="s">
        <v>350</v>
      </c>
      <c r="D76" s="150" t="s">
        <v>351</v>
      </c>
      <c r="E76" s="151" t="s">
        <v>346</v>
      </c>
      <c r="F76" s="152">
        <v>1.0</v>
      </c>
      <c r="G76" s="152">
        <v>2.0</v>
      </c>
      <c r="H76" s="152">
        <v>180.0</v>
      </c>
      <c r="I76" s="149">
        <f t="shared" si="1"/>
        <v>360</v>
      </c>
      <c r="J76" s="153" t="s">
        <v>347</v>
      </c>
      <c r="K76" s="150"/>
      <c r="L76" s="152"/>
      <c r="M76" s="151" t="s">
        <v>346</v>
      </c>
      <c r="N76" s="154" t="s">
        <v>353</v>
      </c>
      <c r="O76" s="149" t="str">
        <f>IMAGE("https://m.media-amazon.com/images/I/41GBeFsg3kL.jpg",1)</f>
        <v/>
      </c>
      <c r="P76" s="149"/>
      <c r="Q76" s="149"/>
      <c r="R76" s="149"/>
      <c r="S76" s="149"/>
      <c r="T76" s="149"/>
      <c r="U76" s="156">
        <v>0.0</v>
      </c>
      <c r="V76" s="171" t="s">
        <v>1689</v>
      </c>
      <c r="W76" s="158">
        <f t="shared" si="2"/>
        <v>90</v>
      </c>
      <c r="X76" s="170"/>
    </row>
    <row r="77" ht="45.0" hidden="1" customHeight="1">
      <c r="A77" s="149">
        <v>76.0</v>
      </c>
      <c r="B77" s="149" t="s">
        <v>342</v>
      </c>
      <c r="C77" s="149" t="s">
        <v>355</v>
      </c>
      <c r="D77" s="150" t="s">
        <v>356</v>
      </c>
      <c r="E77" s="151" t="s">
        <v>346</v>
      </c>
      <c r="F77" s="152">
        <v>1.0</v>
      </c>
      <c r="G77" s="152">
        <v>1.0</v>
      </c>
      <c r="H77" s="152">
        <v>300.0</v>
      </c>
      <c r="I77" s="149">
        <f t="shared" si="1"/>
        <v>300</v>
      </c>
      <c r="J77" s="153" t="s">
        <v>347</v>
      </c>
      <c r="K77" s="150" t="s">
        <v>77</v>
      </c>
      <c r="L77" s="152"/>
      <c r="M77" s="151" t="s">
        <v>346</v>
      </c>
      <c r="N77" s="154" t="s">
        <v>357</v>
      </c>
      <c r="O77" s="149" t="str">
        <f>IMAGE("https://services.ibo.com/media/v1/products/images/db78032d-e5ba-4c4c-bc8f-110fa0021b77/stanley-sta7221xjin-16-pc-drilling-and-screwdriving-set-1.jpeg",1)</f>
        <v/>
      </c>
      <c r="P77" s="159" t="s">
        <v>1689</v>
      </c>
      <c r="Q77" s="149" t="s">
        <v>1692</v>
      </c>
      <c r="R77" s="149"/>
      <c r="S77" s="149"/>
      <c r="T77" s="149"/>
      <c r="U77" s="156">
        <v>0.0</v>
      </c>
      <c r="V77" s="171" t="s">
        <v>1689</v>
      </c>
      <c r="W77" s="158">
        <f t="shared" si="2"/>
        <v>45</v>
      </c>
      <c r="X77" s="170"/>
    </row>
    <row r="78" ht="45.0" hidden="1" customHeight="1">
      <c r="A78" s="137">
        <v>77.0</v>
      </c>
      <c r="B78" s="137" t="s">
        <v>342</v>
      </c>
      <c r="C78" s="137" t="s">
        <v>359</v>
      </c>
      <c r="D78" s="138" t="s">
        <v>360</v>
      </c>
      <c r="E78" s="139" t="s">
        <v>346</v>
      </c>
      <c r="F78" s="140">
        <v>1.0</v>
      </c>
      <c r="G78" s="140">
        <v>1.0</v>
      </c>
      <c r="H78" s="140">
        <v>2500.0</v>
      </c>
      <c r="I78" s="137">
        <f t="shared" si="1"/>
        <v>2500</v>
      </c>
      <c r="J78" s="141" t="s">
        <v>347</v>
      </c>
      <c r="K78" s="138" t="s">
        <v>21</v>
      </c>
      <c r="L78" s="140"/>
      <c r="M78" s="139" t="s">
        <v>346</v>
      </c>
      <c r="N78" s="142" t="s">
        <v>361</v>
      </c>
      <c r="O78" s="137" t="str">
        <f>IMAGE("https://cdn.moglix.com/p/Rn8lZopeAizs5-xxlarge.jpg",1)</f>
        <v/>
      </c>
      <c r="P78" s="132" t="s">
        <v>1689</v>
      </c>
      <c r="Q78" s="137" t="s">
        <v>1693</v>
      </c>
      <c r="R78" s="137"/>
      <c r="S78" s="137"/>
      <c r="T78" s="137"/>
      <c r="U78" s="146">
        <v>1.0</v>
      </c>
      <c r="V78" s="143"/>
      <c r="W78" s="144">
        <f t="shared" si="2"/>
        <v>45</v>
      </c>
      <c r="X78" s="170"/>
    </row>
    <row r="79" ht="45.0" hidden="1" customHeight="1">
      <c r="A79" s="149">
        <v>78.0</v>
      </c>
      <c r="B79" s="149" t="s">
        <v>342</v>
      </c>
      <c r="C79" s="149" t="s">
        <v>363</v>
      </c>
      <c r="D79" s="150" t="s">
        <v>364</v>
      </c>
      <c r="E79" s="151" t="s">
        <v>346</v>
      </c>
      <c r="F79" s="152">
        <v>1.0</v>
      </c>
      <c r="G79" s="152">
        <v>1.0</v>
      </c>
      <c r="H79" s="152">
        <v>500.0</v>
      </c>
      <c r="I79" s="149">
        <f t="shared" si="1"/>
        <v>500</v>
      </c>
      <c r="J79" s="153" t="s">
        <v>347</v>
      </c>
      <c r="K79" s="150"/>
      <c r="L79" s="152"/>
      <c r="M79" s="151" t="s">
        <v>346</v>
      </c>
      <c r="N79" s="154" t="s">
        <v>365</v>
      </c>
      <c r="O79" s="149" t="str">
        <f>IMAGE("https://m.media-amazon.com/images/I/51wli9aWH9S._SL1000_.jpg",1)</f>
        <v/>
      </c>
      <c r="P79" s="159" t="s">
        <v>1684</v>
      </c>
      <c r="Q79" s="149">
        <v>60.0</v>
      </c>
      <c r="R79" s="149"/>
      <c r="S79" s="149"/>
      <c r="T79" s="149"/>
      <c r="U79" s="156">
        <v>0.0</v>
      </c>
      <c r="V79" s="171" t="s">
        <v>1689</v>
      </c>
      <c r="W79" s="158">
        <f t="shared" si="2"/>
        <v>45</v>
      </c>
      <c r="X79" s="170"/>
    </row>
    <row r="80" ht="45.0" hidden="1" customHeight="1">
      <c r="A80" s="149">
        <v>79.0</v>
      </c>
      <c r="B80" s="149" t="s">
        <v>342</v>
      </c>
      <c r="C80" s="149" t="s">
        <v>367</v>
      </c>
      <c r="D80" s="150" t="s">
        <v>368</v>
      </c>
      <c r="E80" s="151" t="s">
        <v>346</v>
      </c>
      <c r="F80" s="152">
        <v>20.0</v>
      </c>
      <c r="G80" s="152">
        <v>20.0</v>
      </c>
      <c r="H80" s="152">
        <v>5.0</v>
      </c>
      <c r="I80" s="149">
        <f t="shared" si="1"/>
        <v>100</v>
      </c>
      <c r="J80" s="153" t="s">
        <v>347</v>
      </c>
      <c r="K80" s="150"/>
      <c r="L80" s="152"/>
      <c r="M80" s="151" t="s">
        <v>346</v>
      </c>
      <c r="N80" s="154" t="s">
        <v>369</v>
      </c>
      <c r="O80" s="149" t="str">
        <f>IMAGE("https://res.cloudinary.com/rsc/image/upload/b_rgb:FFFFFF,c_pad,dpr_1.0,f_auto,q_auto,w_700/c_pad,w_700/C4847566-05",1)</f>
        <v/>
      </c>
      <c r="P80" s="149"/>
      <c r="Q80" s="149"/>
      <c r="R80" s="149"/>
      <c r="S80" s="155"/>
      <c r="T80" s="155"/>
      <c r="U80" s="156">
        <v>0.0</v>
      </c>
      <c r="V80" s="171" t="s">
        <v>1689</v>
      </c>
      <c r="W80" s="158">
        <f t="shared" si="2"/>
        <v>900</v>
      </c>
      <c r="X80" s="170"/>
    </row>
    <row r="81" ht="45.0" hidden="1" customHeight="1">
      <c r="A81" s="149">
        <v>80.0</v>
      </c>
      <c r="B81" s="149" t="s">
        <v>342</v>
      </c>
      <c r="C81" s="149" t="s">
        <v>371</v>
      </c>
      <c r="D81" s="150" t="s">
        <v>372</v>
      </c>
      <c r="E81" s="151" t="s">
        <v>346</v>
      </c>
      <c r="F81" s="152">
        <v>1.0</v>
      </c>
      <c r="G81" s="152">
        <v>2.0</v>
      </c>
      <c r="H81" s="152">
        <v>150.0</v>
      </c>
      <c r="I81" s="149">
        <f t="shared" si="1"/>
        <v>300</v>
      </c>
      <c r="J81" s="153" t="s">
        <v>347</v>
      </c>
      <c r="K81" s="150"/>
      <c r="L81" s="152"/>
      <c r="M81" s="151" t="s">
        <v>346</v>
      </c>
      <c r="N81" s="154"/>
      <c r="O81" s="149" t="str">
        <f>IMAGE("https://5.imimg.com/data5/JR/LF/GK/SELLER-30390418/hacksaw-500x500.png",1)</f>
        <v/>
      </c>
      <c r="P81" s="159" t="s">
        <v>1689</v>
      </c>
      <c r="Q81" s="149"/>
      <c r="R81" s="149"/>
      <c r="S81" s="155"/>
      <c r="T81" s="155"/>
      <c r="U81" s="156">
        <v>0.0</v>
      </c>
      <c r="V81" s="171" t="s">
        <v>1689</v>
      </c>
      <c r="W81" s="158">
        <f t="shared" si="2"/>
        <v>90</v>
      </c>
      <c r="X81" s="170"/>
    </row>
    <row r="82" ht="45.0" hidden="1" customHeight="1">
      <c r="A82" s="137">
        <v>81.0</v>
      </c>
      <c r="B82" s="137" t="s">
        <v>342</v>
      </c>
      <c r="C82" s="137" t="s">
        <v>374</v>
      </c>
      <c r="D82" s="138" t="s">
        <v>375</v>
      </c>
      <c r="E82" s="139" t="s">
        <v>346</v>
      </c>
      <c r="F82" s="140">
        <v>5.0</v>
      </c>
      <c r="G82" s="140">
        <v>5.0</v>
      </c>
      <c r="H82" s="140">
        <v>170.0</v>
      </c>
      <c r="I82" s="137">
        <f t="shared" si="1"/>
        <v>850</v>
      </c>
      <c r="J82" s="141" t="s">
        <v>347</v>
      </c>
      <c r="K82" s="138"/>
      <c r="L82" s="140"/>
      <c r="M82" s="139" t="s">
        <v>346</v>
      </c>
      <c r="N82" s="142" t="s">
        <v>376</v>
      </c>
      <c r="O82" s="137" t="str">
        <f>IMAGE("https://encrypted-tbn0.gstatic.com/images?q=tbn:ANd9GcRnlFGDkPLnXJSjTXFe7fzQ2kj51brspxAcjVtkmgU5NgUWN5-EbmbNTptE-Y3t4g8lr84&amp;usqp=CAU",1)</f>
        <v/>
      </c>
      <c r="P82" s="132" t="s">
        <v>1689</v>
      </c>
      <c r="Q82" s="137" t="s">
        <v>1694</v>
      </c>
      <c r="R82" s="137"/>
      <c r="S82" s="147"/>
      <c r="T82" s="147"/>
      <c r="U82" s="146">
        <v>1.0</v>
      </c>
      <c r="V82" s="143"/>
      <c r="W82" s="144">
        <f t="shared" si="2"/>
        <v>225</v>
      </c>
      <c r="X82" s="170"/>
    </row>
    <row r="83" ht="45.0" hidden="1" customHeight="1">
      <c r="A83" s="149">
        <v>82.0</v>
      </c>
      <c r="B83" s="149" t="s">
        <v>342</v>
      </c>
      <c r="C83" s="149" t="s">
        <v>378</v>
      </c>
      <c r="D83" s="150" t="s">
        <v>379</v>
      </c>
      <c r="E83" s="151" t="s">
        <v>346</v>
      </c>
      <c r="F83" s="152">
        <v>2.0</v>
      </c>
      <c r="G83" s="152">
        <v>2.0</v>
      </c>
      <c r="H83" s="152">
        <v>500.0</v>
      </c>
      <c r="I83" s="149">
        <f t="shared" si="1"/>
        <v>1000</v>
      </c>
      <c r="J83" s="153" t="s">
        <v>347</v>
      </c>
      <c r="K83" s="150"/>
      <c r="L83" s="152"/>
      <c r="M83" s="151" t="s">
        <v>346</v>
      </c>
      <c r="N83" s="154" t="s">
        <v>156</v>
      </c>
      <c r="O83" s="149" t="str">
        <f>IMAGE("https://www.stanleytools.me/EMEA/PRODUCT/IMAGES/HIRES/STHT0-10194/STHT0-10194_1.jpg?resize=530x530",1)</f>
        <v/>
      </c>
      <c r="P83" s="159" t="s">
        <v>1689</v>
      </c>
      <c r="Q83" s="149" t="s">
        <v>1695</v>
      </c>
      <c r="R83" s="149"/>
      <c r="S83" s="155"/>
      <c r="T83" s="155"/>
      <c r="U83" s="156">
        <v>0.0</v>
      </c>
      <c r="V83" s="171" t="s">
        <v>1689</v>
      </c>
      <c r="W83" s="158">
        <f t="shared" si="2"/>
        <v>90</v>
      </c>
      <c r="X83" s="170"/>
    </row>
    <row r="84" ht="45.0" hidden="1" customHeight="1">
      <c r="A84" s="149">
        <v>83.0</v>
      </c>
      <c r="B84" s="149" t="s">
        <v>342</v>
      </c>
      <c r="C84" s="149" t="s">
        <v>381</v>
      </c>
      <c r="D84" s="150" t="s">
        <v>382</v>
      </c>
      <c r="E84" s="151" t="s">
        <v>346</v>
      </c>
      <c r="F84" s="152">
        <v>10.0</v>
      </c>
      <c r="G84" s="152">
        <v>10.0</v>
      </c>
      <c r="H84" s="152">
        <v>80.0</v>
      </c>
      <c r="I84" s="149">
        <f t="shared" si="1"/>
        <v>800</v>
      </c>
      <c r="J84" s="153" t="s">
        <v>347</v>
      </c>
      <c r="K84" s="150"/>
      <c r="L84" s="152"/>
      <c r="M84" s="151" t="s">
        <v>346</v>
      </c>
      <c r="N84" s="154" t="s">
        <v>383</v>
      </c>
      <c r="O84" s="149" t="str">
        <f>IMAGE("https://sc04.alicdn.com/kf/HTB1fK8lXPvuK1Rjy0Faq6x2aVXa5.jpg",1)</f>
        <v/>
      </c>
      <c r="P84" s="159" t="s">
        <v>1689</v>
      </c>
      <c r="Q84" s="149"/>
      <c r="R84" s="149"/>
      <c r="S84" s="149"/>
      <c r="T84" s="149"/>
      <c r="U84" s="156">
        <v>0.0</v>
      </c>
      <c r="V84" s="171" t="s">
        <v>1689</v>
      </c>
      <c r="W84" s="158">
        <f t="shared" si="2"/>
        <v>450</v>
      </c>
      <c r="X84" s="170"/>
    </row>
    <row r="85" ht="45.0" hidden="1" customHeight="1">
      <c r="A85" s="137">
        <v>84.0</v>
      </c>
      <c r="B85" s="137" t="s">
        <v>342</v>
      </c>
      <c r="C85" s="137" t="s">
        <v>385</v>
      </c>
      <c r="D85" s="138" t="s">
        <v>1926</v>
      </c>
      <c r="E85" s="139" t="s">
        <v>346</v>
      </c>
      <c r="F85" s="137">
        <v>1.0</v>
      </c>
      <c r="G85" s="137">
        <v>1.0</v>
      </c>
      <c r="H85" s="137">
        <v>3500.0</v>
      </c>
      <c r="I85" s="137">
        <v>3500.0</v>
      </c>
      <c r="J85" s="141" t="s">
        <v>347</v>
      </c>
      <c r="K85" s="138"/>
      <c r="L85" s="140"/>
      <c r="M85" s="139" t="s">
        <v>346</v>
      </c>
      <c r="N85" s="142"/>
      <c r="O85" s="137" t="str">
        <f>IMAGE("https://asia.blackanddecker.global/ASIA/PRODUCT/IMAGES/HIRES/RT18KA-B1/RT18KA_1.jpg?resize=530x530", 1)</f>
        <v/>
      </c>
      <c r="P85" s="132" t="s">
        <v>1689</v>
      </c>
      <c r="Q85" s="137"/>
      <c r="R85" s="137"/>
      <c r="S85" s="137"/>
      <c r="T85" s="137"/>
      <c r="U85" s="146">
        <v>1.0</v>
      </c>
      <c r="V85" s="143"/>
      <c r="W85" s="144">
        <f t="shared" si="2"/>
        <v>45</v>
      </c>
      <c r="X85" s="170"/>
    </row>
    <row r="86" ht="45.0" hidden="1" customHeight="1">
      <c r="A86" s="149">
        <v>85.0</v>
      </c>
      <c r="B86" s="149" t="s">
        <v>342</v>
      </c>
      <c r="C86" s="149" t="s">
        <v>388</v>
      </c>
      <c r="D86" s="150" t="s">
        <v>1927</v>
      </c>
      <c r="E86" s="151" t="s">
        <v>346</v>
      </c>
      <c r="F86" s="152">
        <v>5.0</v>
      </c>
      <c r="G86" s="152">
        <v>5.0</v>
      </c>
      <c r="H86" s="152">
        <v>50.0</v>
      </c>
      <c r="I86" s="149">
        <f t="shared" ref="I86:I261" si="5">H86*G86</f>
        <v>250</v>
      </c>
      <c r="J86" s="153" t="s">
        <v>347</v>
      </c>
      <c r="K86" s="150" t="s">
        <v>77</v>
      </c>
      <c r="L86" s="152" t="s">
        <v>65</v>
      </c>
      <c r="M86" s="151" t="s">
        <v>346</v>
      </c>
      <c r="N86" s="154" t="s">
        <v>390</v>
      </c>
      <c r="O86" s="149" t="str">
        <f>IMAGE("https://m.media-amazon.com/images/I/518vUksgebL._SL1100_.jpg",1)</f>
        <v/>
      </c>
      <c r="P86" s="149"/>
      <c r="Q86" s="149"/>
      <c r="R86" s="149"/>
      <c r="S86" s="149"/>
      <c r="T86" s="149"/>
      <c r="U86" s="156">
        <v>0.0</v>
      </c>
      <c r="V86" s="171" t="s">
        <v>1689</v>
      </c>
      <c r="W86" s="158">
        <f t="shared" si="2"/>
        <v>225</v>
      </c>
      <c r="X86" s="170"/>
    </row>
    <row r="87" ht="45.0" hidden="1" customHeight="1">
      <c r="A87" s="149">
        <v>86.0</v>
      </c>
      <c r="B87" s="149" t="s">
        <v>342</v>
      </c>
      <c r="C87" s="149" t="s">
        <v>392</v>
      </c>
      <c r="D87" s="150" t="s">
        <v>1928</v>
      </c>
      <c r="E87" s="151" t="s">
        <v>346</v>
      </c>
      <c r="F87" s="152">
        <v>5.0</v>
      </c>
      <c r="G87" s="152">
        <v>5.0</v>
      </c>
      <c r="H87" s="152">
        <v>50.0</v>
      </c>
      <c r="I87" s="149">
        <f t="shared" si="5"/>
        <v>250</v>
      </c>
      <c r="J87" s="153" t="s">
        <v>347</v>
      </c>
      <c r="K87" s="150" t="s">
        <v>77</v>
      </c>
      <c r="L87" s="152" t="s">
        <v>65</v>
      </c>
      <c r="M87" s="151" t="s">
        <v>346</v>
      </c>
      <c r="N87" s="154" t="s">
        <v>394</v>
      </c>
      <c r="O87" s="149" t="str">
        <f>IMAGE("https://rukminim1.flixcart.com/image/416/416/jidg9zk0/art-craft-kit/f/g/a/9mm-snap-off-precision-blades-30-degree-blades-100-blade-pack-1-original-imaf66g6ahvgzem3.jpeg?q=70",1)</f>
        <v/>
      </c>
      <c r="P87" s="149"/>
      <c r="Q87" s="149"/>
      <c r="R87" s="149"/>
      <c r="S87" s="149"/>
      <c r="T87" s="149"/>
      <c r="U87" s="156">
        <v>0.0</v>
      </c>
      <c r="V87" s="171" t="s">
        <v>1689</v>
      </c>
      <c r="W87" s="158">
        <f t="shared" si="2"/>
        <v>225</v>
      </c>
      <c r="X87" s="170"/>
    </row>
    <row r="88" ht="45.0" hidden="1" customHeight="1">
      <c r="A88" s="149">
        <v>87.0</v>
      </c>
      <c r="B88" s="149" t="s">
        <v>342</v>
      </c>
      <c r="C88" s="149" t="s">
        <v>396</v>
      </c>
      <c r="D88" s="150" t="s">
        <v>1929</v>
      </c>
      <c r="E88" s="151" t="s">
        <v>346</v>
      </c>
      <c r="F88" s="152">
        <v>5.0</v>
      </c>
      <c r="G88" s="152">
        <v>5.0</v>
      </c>
      <c r="H88" s="152">
        <v>100.0</v>
      </c>
      <c r="I88" s="149">
        <f t="shared" si="5"/>
        <v>500</v>
      </c>
      <c r="J88" s="153" t="s">
        <v>347</v>
      </c>
      <c r="K88" s="150" t="s">
        <v>77</v>
      </c>
      <c r="L88" s="152" t="s">
        <v>65</v>
      </c>
      <c r="M88" s="151" t="s">
        <v>346</v>
      </c>
      <c r="N88" s="154" t="s">
        <v>398</v>
      </c>
      <c r="O88" s="149" t="str">
        <f>IMAGE("https://m.media-amazon.com/images/I/31u15vg7r0L._SX342_.jpg",1)</f>
        <v/>
      </c>
      <c r="P88" s="159" t="s">
        <v>1689</v>
      </c>
      <c r="Q88" s="149"/>
      <c r="R88" s="149"/>
      <c r="S88" s="149"/>
      <c r="T88" s="149"/>
      <c r="U88" s="156">
        <v>0.0</v>
      </c>
      <c r="V88" s="171" t="s">
        <v>1689</v>
      </c>
      <c r="W88" s="158">
        <f t="shared" si="2"/>
        <v>225</v>
      </c>
      <c r="X88" s="170"/>
    </row>
    <row r="89" ht="45.0" hidden="1" customHeight="1">
      <c r="A89" s="149">
        <v>88.0</v>
      </c>
      <c r="B89" s="149" t="s">
        <v>342</v>
      </c>
      <c r="C89" s="149" t="s">
        <v>400</v>
      </c>
      <c r="D89" s="150" t="s">
        <v>1930</v>
      </c>
      <c r="E89" s="151" t="s">
        <v>346</v>
      </c>
      <c r="F89" s="152">
        <v>10.0</v>
      </c>
      <c r="G89" s="152">
        <v>10.0</v>
      </c>
      <c r="H89" s="152">
        <v>100.0</v>
      </c>
      <c r="I89" s="149">
        <f t="shared" si="5"/>
        <v>1000</v>
      </c>
      <c r="J89" s="153" t="s">
        <v>347</v>
      </c>
      <c r="K89" s="150" t="s">
        <v>77</v>
      </c>
      <c r="L89" s="149"/>
      <c r="M89" s="151" t="s">
        <v>346</v>
      </c>
      <c r="N89" s="154" t="s">
        <v>402</v>
      </c>
      <c r="O89" s="149" t="str">
        <f>IMAGE("https://5.imimg.com/data5/SELLER/Default/2024/7/439078851/OH/PI/FM/75336779/stanley-9-mm-basic-snap-off-knife-10-131-s.jpg",1)</f>
        <v/>
      </c>
      <c r="P89" s="149"/>
      <c r="Q89" s="149"/>
      <c r="R89" s="149"/>
      <c r="S89" s="149"/>
      <c r="T89" s="149"/>
      <c r="U89" s="156">
        <v>0.0</v>
      </c>
      <c r="V89" s="171" t="s">
        <v>1689</v>
      </c>
      <c r="W89" s="158">
        <f t="shared" si="2"/>
        <v>450</v>
      </c>
      <c r="X89" s="170"/>
    </row>
    <row r="90" ht="45.0" hidden="1" customHeight="1">
      <c r="A90" s="137">
        <v>89.0</v>
      </c>
      <c r="B90" s="137" t="s">
        <v>342</v>
      </c>
      <c r="C90" s="137" t="s">
        <v>404</v>
      </c>
      <c r="D90" s="138" t="s">
        <v>405</v>
      </c>
      <c r="E90" s="139" t="s">
        <v>346</v>
      </c>
      <c r="F90" s="140">
        <v>10.0</v>
      </c>
      <c r="G90" s="140">
        <v>10.0</v>
      </c>
      <c r="H90" s="140">
        <v>100.0</v>
      </c>
      <c r="I90" s="137">
        <f t="shared" si="5"/>
        <v>1000</v>
      </c>
      <c r="J90" s="141" t="s">
        <v>347</v>
      </c>
      <c r="K90" s="138" t="s">
        <v>21</v>
      </c>
      <c r="L90" s="137"/>
      <c r="M90" s="139" t="s">
        <v>346</v>
      </c>
      <c r="N90" s="142" t="s">
        <v>406</v>
      </c>
      <c r="O90" s="137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P90" s="137"/>
      <c r="Q90" s="137"/>
      <c r="R90" s="137"/>
      <c r="S90" s="137"/>
      <c r="T90" s="137"/>
      <c r="U90" s="137">
        <v>1.0</v>
      </c>
      <c r="V90" s="143"/>
      <c r="W90" s="144">
        <f t="shared" si="2"/>
        <v>450</v>
      </c>
      <c r="X90" s="170"/>
    </row>
    <row r="91" ht="45.0" hidden="1" customHeight="1">
      <c r="A91" s="137">
        <v>90.0</v>
      </c>
      <c r="B91" s="137" t="s">
        <v>407</v>
      </c>
      <c r="C91" s="137" t="s">
        <v>407</v>
      </c>
      <c r="D91" s="138" t="s">
        <v>408</v>
      </c>
      <c r="E91" s="139" t="s">
        <v>346</v>
      </c>
      <c r="F91" s="140">
        <v>10.0</v>
      </c>
      <c r="G91" s="140">
        <v>10.0</v>
      </c>
      <c r="H91" s="140">
        <v>80.0</v>
      </c>
      <c r="I91" s="137">
        <f t="shared" si="5"/>
        <v>800</v>
      </c>
      <c r="J91" s="141" t="s">
        <v>347</v>
      </c>
      <c r="K91" s="138" t="s">
        <v>77</v>
      </c>
      <c r="L91" s="137"/>
      <c r="M91" s="139" t="s">
        <v>346</v>
      </c>
      <c r="N91" s="142"/>
      <c r="O91" s="137" t="str">
        <f>IMAGE("https://cdn-reichelt.de/bilder/web/xxl_ws/I210/LEITZ_54166095.png",1)</f>
        <v/>
      </c>
      <c r="P91" s="137"/>
      <c r="Q91" s="137"/>
      <c r="R91" s="137"/>
      <c r="S91" s="137"/>
      <c r="T91" s="137"/>
      <c r="U91" s="137">
        <v>1.0</v>
      </c>
      <c r="V91" s="143"/>
      <c r="W91" s="144">
        <f t="shared" si="2"/>
        <v>450</v>
      </c>
      <c r="X91" s="170"/>
    </row>
    <row r="92" ht="45.0" hidden="1" customHeight="1">
      <c r="A92" s="149">
        <v>91.0</v>
      </c>
      <c r="B92" s="149" t="s">
        <v>342</v>
      </c>
      <c r="C92" s="149" t="s">
        <v>410</v>
      </c>
      <c r="D92" s="150" t="s">
        <v>411</v>
      </c>
      <c r="E92" s="151" t="s">
        <v>346</v>
      </c>
      <c r="F92" s="152">
        <v>10.0</v>
      </c>
      <c r="G92" s="152">
        <v>10.0</v>
      </c>
      <c r="H92" s="152">
        <v>150.0</v>
      </c>
      <c r="I92" s="149">
        <f t="shared" si="5"/>
        <v>1500</v>
      </c>
      <c r="J92" s="153" t="s">
        <v>347</v>
      </c>
      <c r="K92" s="150" t="s">
        <v>21</v>
      </c>
      <c r="L92" s="152" t="s">
        <v>66</v>
      </c>
      <c r="M92" s="151" t="s">
        <v>346</v>
      </c>
      <c r="N92" s="154"/>
      <c r="O92" s="149" t="str">
        <f>IMAGE("https://m.media-amazon.com/images/I/31G0WGZxFFL._AC_.jpg",1)</f>
        <v/>
      </c>
      <c r="P92" s="149"/>
      <c r="Q92" s="149"/>
      <c r="R92" s="149"/>
      <c r="S92" s="149"/>
      <c r="T92" s="149"/>
      <c r="U92" s="156">
        <v>0.0</v>
      </c>
      <c r="V92" s="157"/>
      <c r="W92" s="158">
        <f t="shared" si="2"/>
        <v>450</v>
      </c>
      <c r="X92" s="145"/>
    </row>
    <row r="93" ht="45.0" hidden="1" customHeight="1">
      <c r="A93" s="149">
        <v>92.0</v>
      </c>
      <c r="B93" s="149" t="s">
        <v>173</v>
      </c>
      <c r="C93" s="149" t="s">
        <v>413</v>
      </c>
      <c r="D93" s="150" t="s">
        <v>1931</v>
      </c>
      <c r="E93" s="151" t="s">
        <v>415</v>
      </c>
      <c r="F93" s="172">
        <v>12.0</v>
      </c>
      <c r="G93" s="173">
        <v>7.0</v>
      </c>
      <c r="H93" s="149">
        <v>150.0</v>
      </c>
      <c r="I93" s="149">
        <f t="shared" si="5"/>
        <v>1050</v>
      </c>
      <c r="J93" s="153" t="s">
        <v>178</v>
      </c>
      <c r="K93" s="150"/>
      <c r="L93" s="152" t="s">
        <v>249</v>
      </c>
      <c r="M93" s="150" t="s">
        <v>1932</v>
      </c>
      <c r="N93" s="154" t="s">
        <v>417</v>
      </c>
      <c r="O93" s="149" t="str">
        <f>IMAGE("https://www.electronicscomp.com/image/cache/catalog/cnc-shield-v3-400x400.jpg",1)</f>
        <v/>
      </c>
      <c r="P93" s="149"/>
      <c r="Q93" s="149"/>
      <c r="R93" s="149"/>
      <c r="S93" s="155"/>
      <c r="T93" s="155"/>
      <c r="U93" s="174">
        <v>0.0</v>
      </c>
      <c r="V93" s="157"/>
      <c r="W93" s="158">
        <f t="shared" si="2"/>
        <v>315</v>
      </c>
      <c r="X93" s="170"/>
    </row>
    <row r="94" ht="45.0" hidden="1" customHeight="1">
      <c r="A94" s="137">
        <v>93.0</v>
      </c>
      <c r="B94" s="137" t="s">
        <v>173</v>
      </c>
      <c r="C94" s="137" t="s">
        <v>419</v>
      </c>
      <c r="D94" s="138" t="s">
        <v>420</v>
      </c>
      <c r="E94" s="139" t="s">
        <v>415</v>
      </c>
      <c r="F94" s="140">
        <v>15.0</v>
      </c>
      <c r="G94" s="140">
        <v>15.0</v>
      </c>
      <c r="H94" s="140">
        <v>400.0</v>
      </c>
      <c r="I94" s="137">
        <f t="shared" si="5"/>
        <v>6000</v>
      </c>
      <c r="J94" s="141" t="s">
        <v>178</v>
      </c>
      <c r="K94" s="138"/>
      <c r="L94" s="140" t="s">
        <v>66</v>
      </c>
      <c r="M94" s="138" t="s">
        <v>1932</v>
      </c>
      <c r="N94" s="142" t="s">
        <v>422</v>
      </c>
      <c r="O94" s="137" t="str">
        <f>IMAGE("https://5.imimg.com/data5/VS/XC/MY-4167793/arduino-nano-500x500.jpg",1)</f>
        <v/>
      </c>
      <c r="P94" s="137" t="s">
        <v>1688</v>
      </c>
      <c r="Q94" s="137"/>
      <c r="R94" s="137"/>
      <c r="S94" s="137"/>
      <c r="T94" s="137"/>
      <c r="U94" s="137">
        <v>1.0</v>
      </c>
      <c r="V94" s="143"/>
      <c r="W94" s="144">
        <f t="shared" si="2"/>
        <v>675</v>
      </c>
      <c r="X94" s="145"/>
    </row>
    <row r="95" ht="45.0" hidden="1" customHeight="1">
      <c r="A95" s="137">
        <v>94.0</v>
      </c>
      <c r="B95" s="137" t="s">
        <v>173</v>
      </c>
      <c r="C95" s="137" t="s">
        <v>424</v>
      </c>
      <c r="D95" s="138" t="s">
        <v>1933</v>
      </c>
      <c r="E95" s="139" t="s">
        <v>415</v>
      </c>
      <c r="F95" s="140">
        <v>10.0</v>
      </c>
      <c r="G95" s="140">
        <v>10.0</v>
      </c>
      <c r="H95" s="140">
        <v>500.0</v>
      </c>
      <c r="I95" s="137">
        <f t="shared" si="5"/>
        <v>5000</v>
      </c>
      <c r="J95" s="141" t="s">
        <v>178</v>
      </c>
      <c r="K95" s="138"/>
      <c r="L95" s="140" t="s">
        <v>66</v>
      </c>
      <c r="M95" s="138" t="s">
        <v>1932</v>
      </c>
      <c r="N95" s="142" t="s">
        <v>426</v>
      </c>
      <c r="O95" s="137" t="str">
        <f>IMAGE("https://robu.in/wp-content/uploads/2017/04/Arduino_NANO_expansion1.jpg",1)</f>
        <v/>
      </c>
      <c r="P95" s="137" t="s">
        <v>1688</v>
      </c>
      <c r="Q95" s="147"/>
      <c r="R95" s="147"/>
      <c r="S95" s="137"/>
      <c r="T95" s="137"/>
      <c r="U95" s="137">
        <v>1.0</v>
      </c>
      <c r="V95" s="143"/>
      <c r="W95" s="144">
        <f t="shared" si="2"/>
        <v>450</v>
      </c>
      <c r="X95" s="145"/>
    </row>
    <row r="96" ht="45.0" hidden="1" customHeight="1">
      <c r="A96" s="137">
        <v>95.0</v>
      </c>
      <c r="B96" s="137" t="s">
        <v>173</v>
      </c>
      <c r="C96" s="137" t="s">
        <v>428</v>
      </c>
      <c r="D96" s="138" t="s">
        <v>1934</v>
      </c>
      <c r="E96" s="139" t="s">
        <v>415</v>
      </c>
      <c r="F96" s="140">
        <v>15.0</v>
      </c>
      <c r="G96" s="140">
        <v>15.0</v>
      </c>
      <c r="H96" s="140">
        <v>450.0</v>
      </c>
      <c r="I96" s="137">
        <f t="shared" si="5"/>
        <v>6750</v>
      </c>
      <c r="J96" s="141" t="s">
        <v>178</v>
      </c>
      <c r="K96" s="138"/>
      <c r="L96" s="140" t="s">
        <v>66</v>
      </c>
      <c r="M96" s="138" t="s">
        <v>1932</v>
      </c>
      <c r="N96" s="142" t="s">
        <v>431</v>
      </c>
      <c r="O96" s="137" t="str">
        <f>IMAGE("https://robu.in/wp-content/uploads/2017/10/Uno-R3-CH340G-ATmega328p-Development-Board-Compatible-with-Arduino2.png",1)</f>
        <v/>
      </c>
      <c r="P96" s="137" t="s">
        <v>1688</v>
      </c>
      <c r="Q96" s="137"/>
      <c r="R96" s="137"/>
      <c r="S96" s="137"/>
      <c r="T96" s="137"/>
      <c r="U96" s="137">
        <v>1.0</v>
      </c>
      <c r="V96" s="143"/>
      <c r="W96" s="144">
        <f t="shared" si="2"/>
        <v>675</v>
      </c>
      <c r="X96" s="145"/>
    </row>
    <row r="97" ht="45.0" hidden="1" customHeight="1">
      <c r="A97" s="149">
        <v>96.0</v>
      </c>
      <c r="B97" s="149" t="s">
        <v>173</v>
      </c>
      <c r="C97" s="149" t="s">
        <v>433</v>
      </c>
      <c r="D97" s="150" t="s">
        <v>1935</v>
      </c>
      <c r="E97" s="151" t="s">
        <v>415</v>
      </c>
      <c r="F97" s="152">
        <v>10.0</v>
      </c>
      <c r="G97" s="152">
        <v>10.0</v>
      </c>
      <c r="H97" s="152">
        <v>700.0</v>
      </c>
      <c r="I97" s="149">
        <f t="shared" si="5"/>
        <v>7000</v>
      </c>
      <c r="J97" s="153" t="s">
        <v>178</v>
      </c>
      <c r="K97" s="150"/>
      <c r="L97" s="152" t="s">
        <v>66</v>
      </c>
      <c r="M97" s="150" t="s">
        <v>1932</v>
      </c>
      <c r="N97" s="154" t="s">
        <v>435</v>
      </c>
      <c r="O97" s="149" t="str">
        <f>IMAGE("https://robu.in/wp-content/uploads/2015/11/SKU-6337.png",1)</f>
        <v/>
      </c>
      <c r="P97" s="149" t="s">
        <v>1688</v>
      </c>
      <c r="Q97" s="149"/>
      <c r="R97" s="149"/>
      <c r="S97" s="149"/>
      <c r="T97" s="149"/>
      <c r="U97" s="156">
        <v>0.0</v>
      </c>
      <c r="V97" s="171" t="s">
        <v>1936</v>
      </c>
      <c r="W97" s="158">
        <f t="shared" si="2"/>
        <v>450</v>
      </c>
      <c r="X97" s="170"/>
    </row>
    <row r="98" ht="45.0" hidden="1" customHeight="1">
      <c r="A98" s="137">
        <v>97.0</v>
      </c>
      <c r="B98" s="137" t="s">
        <v>173</v>
      </c>
      <c r="C98" s="137" t="s">
        <v>437</v>
      </c>
      <c r="D98" s="138" t="s">
        <v>438</v>
      </c>
      <c r="E98" s="139" t="s">
        <v>415</v>
      </c>
      <c r="F98" s="140">
        <v>10.0</v>
      </c>
      <c r="G98" s="140">
        <v>10.0</v>
      </c>
      <c r="H98" s="140">
        <v>150.0</v>
      </c>
      <c r="I98" s="137">
        <f t="shared" si="5"/>
        <v>1500</v>
      </c>
      <c r="J98" s="141" t="s">
        <v>178</v>
      </c>
      <c r="K98" s="138"/>
      <c r="L98" s="140" t="s">
        <v>193</v>
      </c>
      <c r="M98" s="138" t="s">
        <v>1937</v>
      </c>
      <c r="N98" s="142" t="s">
        <v>439</v>
      </c>
      <c r="O98" s="137" t="str">
        <f>IMAGE("https://www.electronicscomp.com/image/cache/catalog/esp8266-esp01-wifi-module-india-800x800.jpg",1)</f>
        <v/>
      </c>
      <c r="P98" s="137" t="s">
        <v>1688</v>
      </c>
      <c r="Q98" s="137"/>
      <c r="R98" s="137"/>
      <c r="S98" s="137"/>
      <c r="T98" s="137"/>
      <c r="U98" s="137">
        <v>1.0</v>
      </c>
      <c r="V98" s="143"/>
      <c r="W98" s="144">
        <f t="shared" si="2"/>
        <v>450</v>
      </c>
      <c r="X98" s="145"/>
    </row>
    <row r="99" ht="45.0" hidden="1" customHeight="1">
      <c r="A99" s="137">
        <v>98.0</v>
      </c>
      <c r="B99" s="137" t="s">
        <v>173</v>
      </c>
      <c r="C99" s="137" t="s">
        <v>440</v>
      </c>
      <c r="D99" s="138" t="s">
        <v>441</v>
      </c>
      <c r="E99" s="139" t="s">
        <v>415</v>
      </c>
      <c r="F99" s="140">
        <v>10.0</v>
      </c>
      <c r="G99" s="140">
        <v>10.0</v>
      </c>
      <c r="H99" s="140">
        <v>300.0</v>
      </c>
      <c r="I99" s="137">
        <f t="shared" si="5"/>
        <v>3000</v>
      </c>
      <c r="J99" s="141" t="s">
        <v>178</v>
      </c>
      <c r="K99" s="138"/>
      <c r="L99" s="140" t="s">
        <v>66</v>
      </c>
      <c r="M99" s="138" t="s">
        <v>1937</v>
      </c>
      <c r="N99" s="142" t="s">
        <v>443</v>
      </c>
      <c r="O99" s="137" t="str">
        <f>IMAGE("https://makerselectronics.com/wp-content/uploads/2020/07/ESP32-CAM-2.jpg",1)</f>
        <v/>
      </c>
      <c r="P99" s="137" t="s">
        <v>1688</v>
      </c>
      <c r="Q99" s="137"/>
      <c r="R99" s="137"/>
      <c r="S99" s="137"/>
      <c r="T99" s="137"/>
      <c r="U99" s="137">
        <v>1.0</v>
      </c>
      <c r="V99" s="143"/>
      <c r="W99" s="144">
        <f t="shared" si="2"/>
        <v>450</v>
      </c>
      <c r="X99" s="145"/>
    </row>
    <row r="100" ht="45.0" hidden="1" customHeight="1">
      <c r="A100" s="137">
        <v>99.0</v>
      </c>
      <c r="B100" s="137" t="s">
        <v>173</v>
      </c>
      <c r="C100" s="137" t="s">
        <v>445</v>
      </c>
      <c r="D100" s="138" t="s">
        <v>446</v>
      </c>
      <c r="E100" s="139" t="s">
        <v>415</v>
      </c>
      <c r="F100" s="140">
        <v>10.0</v>
      </c>
      <c r="G100" s="140">
        <v>10.0</v>
      </c>
      <c r="H100" s="140">
        <v>200.0</v>
      </c>
      <c r="I100" s="137">
        <f t="shared" si="5"/>
        <v>2000</v>
      </c>
      <c r="J100" s="141" t="s">
        <v>178</v>
      </c>
      <c r="K100" s="138"/>
      <c r="L100" s="140" t="s">
        <v>66</v>
      </c>
      <c r="M100" s="138" t="s">
        <v>1937</v>
      </c>
      <c r="N100" s="142" t="s">
        <v>447</v>
      </c>
      <c r="O100" s="137" t="str">
        <f>IMAGE("https://www.berrybase.de/media/image/c5/26/b6/ID_186599_orig_600x600.jpg",1)</f>
        <v/>
      </c>
      <c r="P100" s="137" t="s">
        <v>1688</v>
      </c>
      <c r="Q100" s="137"/>
      <c r="R100" s="137"/>
      <c r="S100" s="137"/>
      <c r="T100" s="137"/>
      <c r="U100" s="137">
        <v>1.0</v>
      </c>
      <c r="V100" s="143"/>
      <c r="W100" s="144">
        <f t="shared" si="2"/>
        <v>450</v>
      </c>
      <c r="X100" s="145"/>
    </row>
    <row r="101" ht="45.0" hidden="1" customHeight="1">
      <c r="A101" s="137">
        <v>100.0</v>
      </c>
      <c r="B101" s="137" t="s">
        <v>173</v>
      </c>
      <c r="C101" s="137" t="s">
        <v>449</v>
      </c>
      <c r="D101" s="138" t="s">
        <v>450</v>
      </c>
      <c r="E101" s="139" t="s">
        <v>415</v>
      </c>
      <c r="F101" s="140">
        <v>15.0</v>
      </c>
      <c r="G101" s="140">
        <v>15.0</v>
      </c>
      <c r="H101" s="140">
        <v>250.0</v>
      </c>
      <c r="I101" s="137">
        <f t="shared" si="5"/>
        <v>3750</v>
      </c>
      <c r="J101" s="141" t="s">
        <v>178</v>
      </c>
      <c r="K101" s="138"/>
      <c r="L101" s="140" t="s">
        <v>249</v>
      </c>
      <c r="M101" s="138" t="s">
        <v>1937</v>
      </c>
      <c r="N101" s="142" t="s">
        <v>451</v>
      </c>
      <c r="O101" s="137" t="str">
        <f>IMAGE("https://m.media-amazon.com/images/I/61rcnccrByL._SL1238_.jpg",1)</f>
        <v/>
      </c>
      <c r="P101" s="137" t="s">
        <v>1688</v>
      </c>
      <c r="Q101" s="137"/>
      <c r="R101" s="137"/>
      <c r="S101" s="147"/>
      <c r="T101" s="147"/>
      <c r="U101" s="137">
        <v>1.0</v>
      </c>
      <c r="V101" s="143"/>
      <c r="W101" s="144">
        <f t="shared" si="2"/>
        <v>675</v>
      </c>
      <c r="X101" s="145"/>
    </row>
    <row r="102" ht="45.0" hidden="1" customHeight="1">
      <c r="A102" s="137">
        <v>101.0</v>
      </c>
      <c r="B102" s="137" t="s">
        <v>173</v>
      </c>
      <c r="C102" s="137" t="s">
        <v>453</v>
      </c>
      <c r="D102" s="138" t="s">
        <v>454</v>
      </c>
      <c r="E102" s="139" t="s">
        <v>415</v>
      </c>
      <c r="F102" s="140">
        <v>15.0</v>
      </c>
      <c r="G102" s="140">
        <v>15.0</v>
      </c>
      <c r="H102" s="140">
        <v>400.0</v>
      </c>
      <c r="I102" s="137">
        <f t="shared" si="5"/>
        <v>6000</v>
      </c>
      <c r="J102" s="141" t="s">
        <v>178</v>
      </c>
      <c r="K102" s="138"/>
      <c r="L102" s="140" t="s">
        <v>66</v>
      </c>
      <c r="M102" s="138" t="s">
        <v>455</v>
      </c>
      <c r="N102" s="142" t="s">
        <v>456</v>
      </c>
      <c r="O102" s="137" t="str">
        <f>IMAGE("https://m.media-amazon.com/images/W/MEDIAX_792452-T2/images/I/61t+lNeiChL._SL1443_.jpg",1)</f>
        <v/>
      </c>
      <c r="P102" s="137" t="s">
        <v>1688</v>
      </c>
      <c r="Q102" s="137"/>
      <c r="R102" s="137"/>
      <c r="S102" s="147"/>
      <c r="T102" s="147"/>
      <c r="U102" s="137">
        <v>1.0</v>
      </c>
      <c r="V102" s="143"/>
      <c r="W102" s="144">
        <f t="shared" si="2"/>
        <v>675</v>
      </c>
      <c r="X102" s="145"/>
    </row>
    <row r="103" ht="45.0" hidden="1" customHeight="1">
      <c r="A103" s="137">
        <v>102.0</v>
      </c>
      <c r="B103" s="137" t="s">
        <v>173</v>
      </c>
      <c r="C103" s="137" t="s">
        <v>458</v>
      </c>
      <c r="D103" s="139" t="s">
        <v>459</v>
      </c>
      <c r="E103" s="139" t="s">
        <v>415</v>
      </c>
      <c r="F103" s="140">
        <v>10.0</v>
      </c>
      <c r="G103" s="140">
        <v>10.0</v>
      </c>
      <c r="H103" s="140">
        <v>500.0</v>
      </c>
      <c r="I103" s="137">
        <f t="shared" si="5"/>
        <v>5000</v>
      </c>
      <c r="J103" s="141" t="s">
        <v>178</v>
      </c>
      <c r="K103" s="138"/>
      <c r="L103" s="140" t="s">
        <v>66</v>
      </c>
      <c r="M103" s="138" t="s">
        <v>455</v>
      </c>
      <c r="N103" s="142" t="s">
        <v>460</v>
      </c>
      <c r="O103" s="137" t="str">
        <f>IMAGE("https://m.media-amazon.com/images/W/MEDIAX_792452-T2/images/I/61xb9SMx4AL._SL1440_.jpg",1)</f>
        <v/>
      </c>
      <c r="P103" s="137" t="s">
        <v>1688</v>
      </c>
      <c r="Q103" s="137"/>
      <c r="R103" s="137"/>
      <c r="S103" s="137"/>
      <c r="T103" s="137"/>
      <c r="U103" s="137">
        <v>1.0</v>
      </c>
      <c r="V103" s="143"/>
      <c r="W103" s="144">
        <f t="shared" si="2"/>
        <v>450</v>
      </c>
      <c r="X103" s="145"/>
    </row>
    <row r="104" ht="45.0" hidden="1" customHeight="1">
      <c r="A104" s="149">
        <v>103.0</v>
      </c>
      <c r="B104" s="149" t="s">
        <v>461</v>
      </c>
      <c r="C104" s="149" t="s">
        <v>463</v>
      </c>
      <c r="D104" s="150" t="s">
        <v>464</v>
      </c>
      <c r="E104" s="151" t="s">
        <v>465</v>
      </c>
      <c r="F104" s="152">
        <v>5.0</v>
      </c>
      <c r="G104" s="152">
        <v>5.0</v>
      </c>
      <c r="H104" s="152">
        <v>1200.0</v>
      </c>
      <c r="I104" s="149">
        <f t="shared" si="5"/>
        <v>6000</v>
      </c>
      <c r="J104" s="153" t="s">
        <v>466</v>
      </c>
      <c r="K104" s="150" t="s">
        <v>47</v>
      </c>
      <c r="L104" s="152" t="s">
        <v>467</v>
      </c>
      <c r="M104" s="150" t="s">
        <v>1938</v>
      </c>
      <c r="N104" s="154" t="s">
        <v>468</v>
      </c>
      <c r="O104" s="149" t="str">
        <f>IMAGE("https://5.imimg.com/data5/SELLER/Default/2020/10/MN/BG/IF/24066098/sunlu-sl-300-3d-pen-green-500x500.jpg",1)</f>
        <v/>
      </c>
      <c r="P104" s="159" t="s">
        <v>1684</v>
      </c>
      <c r="Q104" s="149">
        <f>3*60</f>
        <v>180</v>
      </c>
      <c r="R104" s="149"/>
      <c r="S104" s="149"/>
      <c r="T104" s="149"/>
      <c r="U104" s="156">
        <v>0.0</v>
      </c>
      <c r="V104" s="157"/>
      <c r="W104" s="158">
        <f t="shared" si="2"/>
        <v>225</v>
      </c>
      <c r="X104" s="175"/>
    </row>
    <row r="105" ht="45.0" hidden="1" customHeight="1">
      <c r="A105" s="137">
        <v>104.0</v>
      </c>
      <c r="B105" s="137" t="s">
        <v>461</v>
      </c>
      <c r="C105" s="137" t="s">
        <v>470</v>
      </c>
      <c r="D105" s="138" t="s">
        <v>471</v>
      </c>
      <c r="E105" s="139" t="s">
        <v>465</v>
      </c>
      <c r="F105" s="140">
        <v>1.0</v>
      </c>
      <c r="G105" s="140">
        <v>1.0</v>
      </c>
      <c r="H105" s="161">
        <v>31000.0</v>
      </c>
      <c r="I105" s="137">
        <f t="shared" si="5"/>
        <v>31000</v>
      </c>
      <c r="J105" s="141" t="s">
        <v>466</v>
      </c>
      <c r="K105" s="138" t="s">
        <v>47</v>
      </c>
      <c r="L105" s="140" t="s">
        <v>65</v>
      </c>
      <c r="M105" s="138" t="s">
        <v>1938</v>
      </c>
      <c r="N105" s="142" t="s">
        <v>472</v>
      </c>
      <c r="O105" s="137" t="str">
        <f>IMAGE("https://m.media-amazon.com/images/I/61UtNlSmPaL._SX342_.jpg",1)</f>
        <v/>
      </c>
      <c r="P105" s="132" t="s">
        <v>1684</v>
      </c>
      <c r="Q105" s="137">
        <f>55</f>
        <v>55</v>
      </c>
      <c r="R105" s="137"/>
      <c r="S105" s="137"/>
      <c r="T105" s="137"/>
      <c r="U105" s="146">
        <v>1.0</v>
      </c>
      <c r="V105" s="143"/>
      <c r="W105" s="144">
        <f t="shared" si="2"/>
        <v>45</v>
      </c>
      <c r="X105" s="176"/>
    </row>
    <row r="106" ht="45.0" hidden="1" customHeight="1">
      <c r="A106" s="137">
        <v>105.0</v>
      </c>
      <c r="B106" s="137" t="s">
        <v>461</v>
      </c>
      <c r="C106" s="137" t="s">
        <v>474</v>
      </c>
      <c r="D106" s="138" t="s">
        <v>475</v>
      </c>
      <c r="E106" s="139" t="s">
        <v>465</v>
      </c>
      <c r="F106" s="140" t="s">
        <v>56</v>
      </c>
      <c r="G106" s="140">
        <v>1.0</v>
      </c>
      <c r="H106" s="140">
        <v>500.0</v>
      </c>
      <c r="I106" s="137">
        <f t="shared" si="5"/>
        <v>500</v>
      </c>
      <c r="J106" s="141" t="s">
        <v>466</v>
      </c>
      <c r="K106" s="137"/>
      <c r="L106" s="140" t="s">
        <v>476</v>
      </c>
      <c r="M106" s="138" t="s">
        <v>1938</v>
      </c>
      <c r="N106" s="142"/>
      <c r="O106" s="137"/>
      <c r="P106" s="132"/>
      <c r="Q106" s="137"/>
      <c r="R106" s="137"/>
      <c r="S106" s="137"/>
      <c r="T106" s="137"/>
      <c r="U106" s="137">
        <v>1.0</v>
      </c>
      <c r="V106" s="143"/>
      <c r="W106" s="144">
        <f t="shared" si="2"/>
        <v>45</v>
      </c>
      <c r="X106" s="176"/>
    </row>
    <row r="107" ht="45.0" hidden="1" customHeight="1">
      <c r="A107" s="149">
        <v>106.0</v>
      </c>
      <c r="B107" s="149" t="s">
        <v>461</v>
      </c>
      <c r="C107" s="149" t="s">
        <v>478</v>
      </c>
      <c r="D107" s="177" t="s">
        <v>1939</v>
      </c>
      <c r="E107" s="151" t="s">
        <v>465</v>
      </c>
      <c r="F107" s="152">
        <v>3.0</v>
      </c>
      <c r="G107" s="152">
        <v>3.0</v>
      </c>
      <c r="H107" s="152">
        <v>500.0</v>
      </c>
      <c r="I107" s="149">
        <f t="shared" si="5"/>
        <v>1500</v>
      </c>
      <c r="J107" s="153" t="s">
        <v>466</v>
      </c>
      <c r="K107" s="150"/>
      <c r="L107" s="152" t="s">
        <v>1940</v>
      </c>
      <c r="M107" s="150" t="s">
        <v>1938</v>
      </c>
      <c r="N107" s="154" t="s">
        <v>481</v>
      </c>
      <c r="O107" s="149" t="str">
        <f>IMAGE("https://5.imimg.com/data5/LA/TM/JO/SELLER-79394111/3d-printer-nylon-filament-500x500.jpg",1)</f>
        <v/>
      </c>
      <c r="P107" s="159" t="s">
        <v>1684</v>
      </c>
      <c r="Q107" s="149"/>
      <c r="R107" s="149"/>
      <c r="S107" s="149"/>
      <c r="T107" s="149"/>
      <c r="U107" s="156">
        <v>0.0</v>
      </c>
      <c r="V107" s="171" t="s">
        <v>1936</v>
      </c>
      <c r="W107" s="158">
        <f t="shared" si="2"/>
        <v>135</v>
      </c>
      <c r="X107" s="178"/>
    </row>
    <row r="108" ht="45.0" customHeight="1">
      <c r="A108" s="137">
        <v>107.0</v>
      </c>
      <c r="B108" s="137" t="s">
        <v>173</v>
      </c>
      <c r="C108" s="137" t="s">
        <v>487</v>
      </c>
      <c r="D108" s="138" t="s">
        <v>488</v>
      </c>
      <c r="E108" s="139" t="s">
        <v>489</v>
      </c>
      <c r="F108" s="140">
        <v>20.0</v>
      </c>
      <c r="G108" s="140">
        <v>20.0</v>
      </c>
      <c r="H108" s="140">
        <v>40.0</v>
      </c>
      <c r="I108" s="137">
        <f t="shared" si="5"/>
        <v>800</v>
      </c>
      <c r="J108" s="141" t="s">
        <v>178</v>
      </c>
      <c r="K108" s="138"/>
      <c r="L108" s="140" t="s">
        <v>193</v>
      </c>
      <c r="M108" s="138" t="s">
        <v>1941</v>
      </c>
      <c r="N108" s="142" t="s">
        <v>490</v>
      </c>
      <c r="O108" s="137" t="str">
        <f>IMAGE("https://m.media-amazon.com/images/I/51BByYhTjOL._SX425_.jpg",1)</f>
        <v/>
      </c>
      <c r="P108" s="137" t="s">
        <v>1688</v>
      </c>
      <c r="Q108" s="147"/>
      <c r="R108" s="147"/>
      <c r="S108" s="137"/>
      <c r="T108" s="137"/>
      <c r="U108" s="137">
        <v>1.0</v>
      </c>
      <c r="V108" s="143"/>
      <c r="W108" s="144">
        <f t="shared" si="2"/>
        <v>900</v>
      </c>
      <c r="X108" s="176"/>
    </row>
    <row r="109" ht="45.0" customHeight="1">
      <c r="A109" s="137">
        <v>108.0</v>
      </c>
      <c r="B109" s="137" t="s">
        <v>173</v>
      </c>
      <c r="C109" s="137" t="s">
        <v>492</v>
      </c>
      <c r="D109" s="138" t="s">
        <v>1942</v>
      </c>
      <c r="E109" s="139" t="s">
        <v>489</v>
      </c>
      <c r="F109" s="140">
        <v>10.0</v>
      </c>
      <c r="G109" s="140">
        <v>10.0</v>
      </c>
      <c r="H109" s="140">
        <v>60.0</v>
      </c>
      <c r="I109" s="137">
        <f t="shared" si="5"/>
        <v>600</v>
      </c>
      <c r="J109" s="141" t="s">
        <v>178</v>
      </c>
      <c r="K109" s="138"/>
      <c r="L109" s="140" t="s">
        <v>249</v>
      </c>
      <c r="M109" s="138" t="s">
        <v>493</v>
      </c>
      <c r="N109" s="142" t="s">
        <v>494</v>
      </c>
      <c r="O109" s="137" t="str">
        <f>IMAGE("https://5.imimg.com/data5/SR/JZ/RD/SELLER-80355495/large-breadboard-800-points--500x500.jpg",1)</f>
        <v/>
      </c>
      <c r="P109" s="137" t="s">
        <v>1688</v>
      </c>
      <c r="Q109" s="137"/>
      <c r="R109" s="137"/>
      <c r="S109" s="137"/>
      <c r="T109" s="137"/>
      <c r="U109" s="137">
        <v>1.0</v>
      </c>
      <c r="V109" s="143"/>
      <c r="W109" s="144">
        <f t="shared" si="2"/>
        <v>450</v>
      </c>
      <c r="X109" s="176"/>
    </row>
    <row r="110" ht="45.0" customHeight="1">
      <c r="A110" s="137">
        <v>109.0</v>
      </c>
      <c r="B110" s="137" t="s">
        <v>173</v>
      </c>
      <c r="C110" s="137" t="s">
        <v>496</v>
      </c>
      <c r="D110" s="138" t="s">
        <v>497</v>
      </c>
      <c r="E110" s="139" t="s">
        <v>489</v>
      </c>
      <c r="F110" s="140">
        <v>10.0</v>
      </c>
      <c r="G110" s="140">
        <v>10.0</v>
      </c>
      <c r="H110" s="140">
        <v>40.0</v>
      </c>
      <c r="I110" s="137">
        <f t="shared" si="5"/>
        <v>400</v>
      </c>
      <c r="J110" s="141" t="s">
        <v>178</v>
      </c>
      <c r="K110" s="138"/>
      <c r="L110" s="140" t="s">
        <v>249</v>
      </c>
      <c r="M110" s="138" t="s">
        <v>493</v>
      </c>
      <c r="N110" s="142" t="s">
        <v>498</v>
      </c>
      <c r="O110" s="137" t="str">
        <f>IMAGE("https://5.imimg.com/data5/SELLER/Default/2020/12/GY/DK/LM/59387089/400-point-solderless-breadboard-500x500.jpg",1)</f>
        <v/>
      </c>
      <c r="P110" s="137" t="s">
        <v>1688</v>
      </c>
      <c r="Q110" s="137"/>
      <c r="R110" s="137"/>
      <c r="S110" s="137"/>
      <c r="T110" s="137"/>
      <c r="U110" s="137">
        <v>1.0</v>
      </c>
      <c r="V110" s="143"/>
      <c r="W110" s="144">
        <f t="shared" si="2"/>
        <v>450</v>
      </c>
      <c r="X110" s="176"/>
    </row>
    <row r="111" ht="45.0" customHeight="1">
      <c r="A111" s="137">
        <v>110.0</v>
      </c>
      <c r="B111" s="137" t="s">
        <v>173</v>
      </c>
      <c r="C111" s="137" t="s">
        <v>500</v>
      </c>
      <c r="D111" s="138" t="s">
        <v>501</v>
      </c>
      <c r="E111" s="139" t="s">
        <v>489</v>
      </c>
      <c r="F111" s="140">
        <v>10.0</v>
      </c>
      <c r="G111" s="140">
        <v>10.0</v>
      </c>
      <c r="H111" s="140">
        <v>200.0</v>
      </c>
      <c r="I111" s="137">
        <f t="shared" si="5"/>
        <v>2000</v>
      </c>
      <c r="J111" s="141" t="s">
        <v>178</v>
      </c>
      <c r="K111" s="138"/>
      <c r="L111" s="140" t="s">
        <v>179</v>
      </c>
      <c r="M111" s="138" t="s">
        <v>493</v>
      </c>
      <c r="N111" s="179" t="s">
        <v>502</v>
      </c>
      <c r="O111" s="137" t="str">
        <f>IMAGE("https://1ohm.in/wp-content/uploads/2021/07/MB102-3.3V5V-Breadboard-Power-Supply-Module.png",1)</f>
        <v/>
      </c>
      <c r="P111" s="137" t="s">
        <v>1688</v>
      </c>
      <c r="Q111" s="137"/>
      <c r="R111" s="137"/>
      <c r="S111" s="137"/>
      <c r="T111" s="137"/>
      <c r="U111" s="137">
        <v>1.0</v>
      </c>
      <c r="V111" s="143"/>
      <c r="W111" s="144">
        <f t="shared" si="2"/>
        <v>450</v>
      </c>
      <c r="X111" s="176"/>
    </row>
    <row r="112" ht="45.0" customHeight="1">
      <c r="A112" s="137">
        <v>111.0</v>
      </c>
      <c r="B112" s="137" t="s">
        <v>173</v>
      </c>
      <c r="C112" s="137" t="s">
        <v>504</v>
      </c>
      <c r="D112" s="138" t="s">
        <v>505</v>
      </c>
      <c r="E112" s="139" t="s">
        <v>489</v>
      </c>
      <c r="F112" s="140">
        <v>100.0</v>
      </c>
      <c r="G112" s="140">
        <v>100.0</v>
      </c>
      <c r="H112" s="140">
        <v>10.0</v>
      </c>
      <c r="I112" s="137">
        <f t="shared" si="5"/>
        <v>1000</v>
      </c>
      <c r="J112" s="141" t="s">
        <v>178</v>
      </c>
      <c r="K112" s="138"/>
      <c r="L112" s="140" t="s">
        <v>193</v>
      </c>
      <c r="M112" s="138" t="s">
        <v>23</v>
      </c>
      <c r="N112" s="142" t="s">
        <v>506</v>
      </c>
      <c r="O112" s="137" t="str">
        <f>IMAGE("https://rukminim2.flixcart.com/image/832/832/ks243gw0/electronic-hobby-kit/x/f/2/2mm-pitch-female-burg-strip-40-pin-5-pcs-prime-intact-original-imag5pxpqjxcdsgh.jpeg?q=70",1)</f>
        <v/>
      </c>
      <c r="P112" s="137" t="s">
        <v>1688</v>
      </c>
      <c r="Q112" s="137"/>
      <c r="R112" s="137"/>
      <c r="S112" s="137"/>
      <c r="T112" s="137"/>
      <c r="U112" s="137">
        <v>1.0</v>
      </c>
      <c r="V112" s="143"/>
      <c r="W112" s="144">
        <f t="shared" si="2"/>
        <v>4500</v>
      </c>
      <c r="X112" s="176"/>
    </row>
    <row r="113" ht="45.0" customHeight="1">
      <c r="A113" s="137">
        <v>112.0</v>
      </c>
      <c r="B113" s="137" t="s">
        <v>173</v>
      </c>
      <c r="C113" s="137" t="s">
        <v>508</v>
      </c>
      <c r="D113" s="138" t="s">
        <v>509</v>
      </c>
      <c r="E113" s="139" t="s">
        <v>489</v>
      </c>
      <c r="F113" s="140">
        <v>50.0</v>
      </c>
      <c r="G113" s="140">
        <v>50.0</v>
      </c>
      <c r="H113" s="140">
        <v>15.0</v>
      </c>
      <c r="I113" s="137">
        <f t="shared" si="5"/>
        <v>750</v>
      </c>
      <c r="J113" s="141" t="s">
        <v>178</v>
      </c>
      <c r="K113" s="138"/>
      <c r="L113" s="140" t="s">
        <v>193</v>
      </c>
      <c r="M113" s="138" t="s">
        <v>237</v>
      </c>
      <c r="N113" s="142" t="s">
        <v>510</v>
      </c>
      <c r="O113" s="137" t="str">
        <f>IMAGE("https://5.imimg.com/data5/OF/VW/IL/SELLER-9316309/burg-strips-500x500.jpg",1)</f>
        <v/>
      </c>
      <c r="P113" s="137" t="s">
        <v>1688</v>
      </c>
      <c r="Q113" s="137"/>
      <c r="R113" s="137"/>
      <c r="S113" s="137"/>
      <c r="T113" s="137"/>
      <c r="U113" s="137">
        <v>1.0</v>
      </c>
      <c r="V113" s="143"/>
      <c r="W113" s="144">
        <f t="shared" si="2"/>
        <v>2250</v>
      </c>
      <c r="X113" s="176"/>
    </row>
    <row r="114" ht="45.0" customHeight="1">
      <c r="A114" s="137">
        <v>113.0</v>
      </c>
      <c r="B114" s="137" t="s">
        <v>173</v>
      </c>
      <c r="C114" s="137" t="s">
        <v>512</v>
      </c>
      <c r="D114" s="138" t="s">
        <v>513</v>
      </c>
      <c r="E114" s="139" t="s">
        <v>489</v>
      </c>
      <c r="F114" s="140">
        <v>50.0</v>
      </c>
      <c r="G114" s="140">
        <v>50.0</v>
      </c>
      <c r="H114" s="140">
        <v>20.0</v>
      </c>
      <c r="I114" s="137">
        <f t="shared" si="5"/>
        <v>1000</v>
      </c>
      <c r="J114" s="141" t="s">
        <v>178</v>
      </c>
      <c r="K114" s="138"/>
      <c r="L114" s="140" t="s">
        <v>193</v>
      </c>
      <c r="M114" s="138" t="s">
        <v>237</v>
      </c>
      <c r="N114" s="142" t="s">
        <v>514</v>
      </c>
      <c r="O114" s="137" t="str">
        <f>IMAGE("https://www.tomsonelectronics.com/cdn/shop/products/40X1MALERAI_2048x2048.jpg?v=1602835171",1)</f>
        <v/>
      </c>
      <c r="P114" s="137" t="s">
        <v>1688</v>
      </c>
      <c r="Q114" s="137"/>
      <c r="R114" s="137"/>
      <c r="S114" s="137"/>
      <c r="T114" s="137"/>
      <c r="U114" s="137">
        <v>1.0</v>
      </c>
      <c r="V114" s="143"/>
      <c r="W114" s="144">
        <f t="shared" si="2"/>
        <v>2250</v>
      </c>
      <c r="X114" s="176"/>
    </row>
    <row r="115" ht="45.0" customHeight="1">
      <c r="A115" s="137">
        <v>114.0</v>
      </c>
      <c r="B115" s="137" t="s">
        <v>173</v>
      </c>
      <c r="C115" s="137" t="s">
        <v>516</v>
      </c>
      <c r="D115" s="138" t="s">
        <v>517</v>
      </c>
      <c r="E115" s="139" t="s">
        <v>489</v>
      </c>
      <c r="F115" s="140">
        <v>100.0</v>
      </c>
      <c r="G115" s="140">
        <v>100.0</v>
      </c>
      <c r="H115" s="140">
        <v>5.0</v>
      </c>
      <c r="I115" s="137">
        <f t="shared" si="5"/>
        <v>500</v>
      </c>
      <c r="J115" s="141" t="s">
        <v>178</v>
      </c>
      <c r="K115" s="138" t="s">
        <v>65</v>
      </c>
      <c r="L115" s="140" t="s">
        <v>518</v>
      </c>
      <c r="M115" s="138" t="s">
        <v>1943</v>
      </c>
      <c r="N115" s="142" t="s">
        <v>519</v>
      </c>
      <c r="O115" s="137" t="str">
        <f>IMAGE("https://projectpoint.in/image/cache/catalog/102-672x504.jpg",1)</f>
        <v/>
      </c>
      <c r="P115" s="137" t="s">
        <v>1688</v>
      </c>
      <c r="Q115" s="137"/>
      <c r="R115" s="137"/>
      <c r="S115" s="137"/>
      <c r="T115" s="137"/>
      <c r="U115" s="137">
        <v>1.0</v>
      </c>
      <c r="V115" s="143"/>
      <c r="W115" s="144">
        <f t="shared" si="2"/>
        <v>4500</v>
      </c>
      <c r="X115" s="176"/>
    </row>
    <row r="116" ht="45.0" customHeight="1">
      <c r="A116" s="137">
        <v>115.0</v>
      </c>
      <c r="B116" s="137" t="s">
        <v>173</v>
      </c>
      <c r="C116" s="137" t="s">
        <v>521</v>
      </c>
      <c r="D116" s="138" t="s">
        <v>522</v>
      </c>
      <c r="E116" s="139" t="s">
        <v>489</v>
      </c>
      <c r="F116" s="140">
        <v>100.0</v>
      </c>
      <c r="G116" s="140">
        <v>100.0</v>
      </c>
      <c r="H116" s="140">
        <v>5.0</v>
      </c>
      <c r="I116" s="137">
        <f t="shared" si="5"/>
        <v>500</v>
      </c>
      <c r="J116" s="141" t="s">
        <v>178</v>
      </c>
      <c r="K116" s="138" t="s">
        <v>65</v>
      </c>
      <c r="L116" s="140" t="s">
        <v>518</v>
      </c>
      <c r="M116" s="138" t="s">
        <v>1943</v>
      </c>
      <c r="N116" s="142" t="s">
        <v>523</v>
      </c>
      <c r="O116" s="137" t="str">
        <f t="shared" ref="O116:O117" si="6">IMAGE("https://projectpoint.in/image/cache/catalog/103-672x504.jpg",1)</f>
        <v/>
      </c>
      <c r="P116" s="137" t="s">
        <v>1688</v>
      </c>
      <c r="Q116" s="137"/>
      <c r="R116" s="137"/>
      <c r="S116" s="137"/>
      <c r="T116" s="137"/>
      <c r="U116" s="137">
        <v>1.0</v>
      </c>
      <c r="V116" s="143"/>
      <c r="W116" s="144">
        <f t="shared" si="2"/>
        <v>4500</v>
      </c>
      <c r="X116" s="176"/>
    </row>
    <row r="117" ht="45.0" customHeight="1">
      <c r="A117" s="137">
        <v>116.0</v>
      </c>
      <c r="B117" s="137" t="s">
        <v>173</v>
      </c>
      <c r="C117" s="137" t="s">
        <v>525</v>
      </c>
      <c r="D117" s="138" t="s">
        <v>526</v>
      </c>
      <c r="E117" s="139" t="s">
        <v>489</v>
      </c>
      <c r="F117" s="140">
        <v>100.0</v>
      </c>
      <c r="G117" s="140">
        <v>100.0</v>
      </c>
      <c r="H117" s="140">
        <v>5.0</v>
      </c>
      <c r="I117" s="137">
        <f t="shared" si="5"/>
        <v>500</v>
      </c>
      <c r="J117" s="141" t="s">
        <v>178</v>
      </c>
      <c r="K117" s="138" t="s">
        <v>65</v>
      </c>
      <c r="L117" s="140" t="s">
        <v>518</v>
      </c>
      <c r="M117" s="138" t="s">
        <v>1943</v>
      </c>
      <c r="N117" s="142" t="s">
        <v>527</v>
      </c>
      <c r="O117" s="137" t="str">
        <f t="shared" si="6"/>
        <v/>
      </c>
      <c r="P117" s="137" t="s">
        <v>1688</v>
      </c>
      <c r="Q117" s="137"/>
      <c r="R117" s="137"/>
      <c r="S117" s="137"/>
      <c r="T117" s="137"/>
      <c r="U117" s="137">
        <v>1.0</v>
      </c>
      <c r="V117" s="143"/>
      <c r="W117" s="144">
        <f t="shared" si="2"/>
        <v>4500</v>
      </c>
      <c r="X117" s="176"/>
    </row>
    <row r="118" ht="45.0" customHeight="1">
      <c r="A118" s="137">
        <v>117.0</v>
      </c>
      <c r="B118" s="137" t="s">
        <v>173</v>
      </c>
      <c r="C118" s="137" t="s">
        <v>529</v>
      </c>
      <c r="D118" s="138" t="s">
        <v>530</v>
      </c>
      <c r="E118" s="139" t="s">
        <v>489</v>
      </c>
      <c r="F118" s="140">
        <v>100.0</v>
      </c>
      <c r="G118" s="140">
        <v>100.0</v>
      </c>
      <c r="H118" s="140">
        <v>5.0</v>
      </c>
      <c r="I118" s="137">
        <f t="shared" si="5"/>
        <v>500</v>
      </c>
      <c r="J118" s="141" t="s">
        <v>178</v>
      </c>
      <c r="K118" s="138" t="s">
        <v>65</v>
      </c>
      <c r="L118" s="140" t="s">
        <v>518</v>
      </c>
      <c r="M118" s="138" t="s">
        <v>1943</v>
      </c>
      <c r="N118" s="142" t="s">
        <v>531</v>
      </c>
      <c r="O118" s="137" t="str">
        <f t="shared" ref="O118:O119" si="7">IMAGE("https://www.ato.com/content/images/thumbs/0011952_01f-50v-disc-ceramic-capacitor_550.jpeg",1)</f>
        <v/>
      </c>
      <c r="P118" s="137" t="s">
        <v>1688</v>
      </c>
      <c r="Q118" s="137"/>
      <c r="R118" s="137"/>
      <c r="S118" s="137"/>
      <c r="T118" s="137"/>
      <c r="U118" s="137">
        <v>1.0</v>
      </c>
      <c r="V118" s="143"/>
      <c r="W118" s="144">
        <f t="shared" si="2"/>
        <v>4500</v>
      </c>
      <c r="X118" s="176"/>
    </row>
    <row r="119" ht="45.0" customHeight="1">
      <c r="A119" s="137">
        <v>118.0</v>
      </c>
      <c r="B119" s="137" t="s">
        <v>173</v>
      </c>
      <c r="C119" s="137" t="s">
        <v>533</v>
      </c>
      <c r="D119" s="138" t="s">
        <v>534</v>
      </c>
      <c r="E119" s="139" t="s">
        <v>489</v>
      </c>
      <c r="F119" s="140">
        <v>50.0</v>
      </c>
      <c r="G119" s="140">
        <v>50.0</v>
      </c>
      <c r="H119" s="140">
        <v>10.0</v>
      </c>
      <c r="I119" s="137">
        <f t="shared" si="5"/>
        <v>500</v>
      </c>
      <c r="J119" s="141" t="s">
        <v>178</v>
      </c>
      <c r="K119" s="138" t="s">
        <v>65</v>
      </c>
      <c r="L119" s="140" t="s">
        <v>518</v>
      </c>
      <c r="M119" s="138" t="s">
        <v>1943</v>
      </c>
      <c r="N119" s="142" t="s">
        <v>535</v>
      </c>
      <c r="O119" s="137" t="str">
        <f t="shared" si="7"/>
        <v/>
      </c>
      <c r="P119" s="137" t="s">
        <v>1688</v>
      </c>
      <c r="Q119" s="137"/>
      <c r="R119" s="137"/>
      <c r="S119" s="137"/>
      <c r="T119" s="137"/>
      <c r="U119" s="137">
        <v>1.0</v>
      </c>
      <c r="V119" s="143"/>
      <c r="W119" s="144">
        <f t="shared" si="2"/>
        <v>2250</v>
      </c>
      <c r="X119" s="176"/>
    </row>
    <row r="120" ht="45.0" customHeight="1">
      <c r="A120" s="137">
        <v>119.0</v>
      </c>
      <c r="B120" s="137" t="s">
        <v>173</v>
      </c>
      <c r="C120" s="137" t="s">
        <v>537</v>
      </c>
      <c r="D120" s="138" t="s">
        <v>538</v>
      </c>
      <c r="E120" s="139" t="s">
        <v>489</v>
      </c>
      <c r="F120" s="140">
        <v>50.0</v>
      </c>
      <c r="G120" s="140">
        <v>50.0</v>
      </c>
      <c r="H120" s="140">
        <v>15.0</v>
      </c>
      <c r="I120" s="137">
        <f t="shared" si="5"/>
        <v>750</v>
      </c>
      <c r="J120" s="141" t="s">
        <v>178</v>
      </c>
      <c r="K120" s="138" t="s">
        <v>65</v>
      </c>
      <c r="L120" s="140" t="s">
        <v>518</v>
      </c>
      <c r="M120" s="138" t="s">
        <v>1943</v>
      </c>
      <c r="N120" s="142" t="s">
        <v>539</v>
      </c>
      <c r="O120" s="137" t="str">
        <f>IMAGE("https://new.sunrobotics.in/web/image/product.product/7775/image_1024/%5B10061%5D%2010uF%20Electrolytic%20Capacitor?unique=2e60387",1)</f>
        <v/>
      </c>
      <c r="P120" s="137" t="s">
        <v>1688</v>
      </c>
      <c r="Q120" s="137"/>
      <c r="R120" s="137"/>
      <c r="S120" s="137"/>
      <c r="T120" s="137"/>
      <c r="U120" s="137">
        <v>1.0</v>
      </c>
      <c r="V120" s="143"/>
      <c r="W120" s="144">
        <f t="shared" si="2"/>
        <v>2250</v>
      </c>
      <c r="X120" s="176"/>
    </row>
    <row r="121" ht="45.0" customHeight="1">
      <c r="A121" s="137">
        <v>120.0</v>
      </c>
      <c r="B121" s="137" t="s">
        <v>173</v>
      </c>
      <c r="C121" s="137" t="s">
        <v>541</v>
      </c>
      <c r="D121" s="138" t="s">
        <v>542</v>
      </c>
      <c r="E121" s="139" t="s">
        <v>489</v>
      </c>
      <c r="F121" s="140">
        <v>20.0</v>
      </c>
      <c r="G121" s="140">
        <v>20.0</v>
      </c>
      <c r="H121" s="140">
        <v>20.0</v>
      </c>
      <c r="I121" s="137">
        <f t="shared" si="5"/>
        <v>400</v>
      </c>
      <c r="J121" s="141" t="s">
        <v>178</v>
      </c>
      <c r="K121" s="138" t="s">
        <v>65</v>
      </c>
      <c r="L121" s="140" t="s">
        <v>518</v>
      </c>
      <c r="M121" s="138" t="s">
        <v>1943</v>
      </c>
      <c r="N121" s="142" t="s">
        <v>543</v>
      </c>
      <c r="O121" s="137" t="str">
        <f>IMAGE("https://www.sunrobotics.in/web/image/product.product/3164/image_1024/%5B10042%5D%201000UF-25V%20Electrolytic%20Capacitor?unique=acd9ab2",1)</f>
        <v/>
      </c>
      <c r="P121" s="137" t="s">
        <v>1688</v>
      </c>
      <c r="Q121" s="137"/>
      <c r="R121" s="137"/>
      <c r="S121" s="137"/>
      <c r="T121" s="137"/>
      <c r="U121" s="137">
        <v>1.0</v>
      </c>
      <c r="V121" s="143"/>
      <c r="W121" s="144">
        <f t="shared" si="2"/>
        <v>900</v>
      </c>
      <c r="X121" s="176"/>
    </row>
    <row r="122" ht="45.0" customHeight="1">
      <c r="A122" s="137">
        <v>121.0</v>
      </c>
      <c r="B122" s="137" t="s">
        <v>173</v>
      </c>
      <c r="C122" s="137" t="s">
        <v>545</v>
      </c>
      <c r="D122" s="138" t="s">
        <v>546</v>
      </c>
      <c r="E122" s="139" t="s">
        <v>489</v>
      </c>
      <c r="F122" s="140">
        <v>20.0</v>
      </c>
      <c r="G122" s="140">
        <v>20.0</v>
      </c>
      <c r="H122" s="140">
        <v>30.0</v>
      </c>
      <c r="I122" s="137">
        <f t="shared" si="5"/>
        <v>600</v>
      </c>
      <c r="J122" s="141" t="s">
        <v>178</v>
      </c>
      <c r="K122" s="138" t="s">
        <v>65</v>
      </c>
      <c r="L122" s="140" t="s">
        <v>518</v>
      </c>
      <c r="M122" s="138" t="s">
        <v>1943</v>
      </c>
      <c r="N122" s="142" t="s">
        <v>547</v>
      </c>
      <c r="O122" s="137" t="str">
        <f>IMAGE("https://res.cloudinary.com/rsc/image/upload/b_rgb:FFFFFF,c_pad,dpr_1.0,f_auto,q_auto,w_700/c_pad,w_700/F5201539-01",1)</f>
        <v/>
      </c>
      <c r="P122" s="137" t="s">
        <v>1688</v>
      </c>
      <c r="Q122" s="137"/>
      <c r="R122" s="137"/>
      <c r="S122" s="137"/>
      <c r="T122" s="137"/>
      <c r="U122" s="137">
        <v>1.0</v>
      </c>
      <c r="V122" s="143"/>
      <c r="W122" s="144">
        <f t="shared" si="2"/>
        <v>900</v>
      </c>
      <c r="X122" s="176"/>
    </row>
    <row r="123" ht="45.0" customHeight="1">
      <c r="A123" s="137">
        <v>122.0</v>
      </c>
      <c r="B123" s="137" t="s">
        <v>173</v>
      </c>
      <c r="C123" s="137" t="s">
        <v>549</v>
      </c>
      <c r="D123" s="138" t="s">
        <v>550</v>
      </c>
      <c r="E123" s="139" t="s">
        <v>489</v>
      </c>
      <c r="F123" s="140">
        <v>50.0</v>
      </c>
      <c r="G123" s="140">
        <v>50.0</v>
      </c>
      <c r="H123" s="140">
        <v>10.0</v>
      </c>
      <c r="I123" s="137">
        <f t="shared" si="5"/>
        <v>500</v>
      </c>
      <c r="J123" s="141" t="s">
        <v>178</v>
      </c>
      <c r="K123" s="138" t="s">
        <v>65</v>
      </c>
      <c r="L123" s="140" t="s">
        <v>518</v>
      </c>
      <c r="M123" s="138" t="s">
        <v>1943</v>
      </c>
      <c r="N123" s="142" t="s">
        <v>551</v>
      </c>
      <c r="O123" s="137" t="str">
        <f>IMAGE("https://sharvielectronics.com/wp-content/uploads/2020/02/2.2uF-50V-Electrolytic-Capacitor.jpg",1)</f>
        <v/>
      </c>
      <c r="P123" s="137" t="s">
        <v>1688</v>
      </c>
      <c r="Q123" s="137"/>
      <c r="R123" s="137"/>
      <c r="S123" s="137"/>
      <c r="T123" s="137"/>
      <c r="U123" s="137">
        <v>1.0</v>
      </c>
      <c r="V123" s="143"/>
      <c r="W123" s="144">
        <f t="shared" si="2"/>
        <v>2250</v>
      </c>
      <c r="X123" s="176"/>
    </row>
    <row r="124" ht="45.0" customHeight="1">
      <c r="A124" s="137">
        <v>123.0</v>
      </c>
      <c r="B124" s="137" t="s">
        <v>173</v>
      </c>
      <c r="C124" s="137" t="s">
        <v>553</v>
      </c>
      <c r="D124" s="138" t="s">
        <v>554</v>
      </c>
      <c r="E124" s="139" t="s">
        <v>489</v>
      </c>
      <c r="F124" s="140">
        <v>50.0</v>
      </c>
      <c r="G124" s="140">
        <v>50.0</v>
      </c>
      <c r="H124" s="140">
        <v>15.0</v>
      </c>
      <c r="I124" s="137">
        <f t="shared" si="5"/>
        <v>750</v>
      </c>
      <c r="J124" s="141" t="s">
        <v>178</v>
      </c>
      <c r="K124" s="138" t="s">
        <v>65</v>
      </c>
      <c r="L124" s="140" t="s">
        <v>518</v>
      </c>
      <c r="M124" s="138" t="s">
        <v>1943</v>
      </c>
      <c r="N124" s="142" t="s">
        <v>555</v>
      </c>
      <c r="O124" s="137" t="str">
        <f>IMAGE("https://projectpoint.in/image/cache/catalog/22uf-450v-672x504.jpg",1)</f>
        <v/>
      </c>
      <c r="P124" s="137" t="s">
        <v>1688</v>
      </c>
      <c r="Q124" s="147"/>
      <c r="R124" s="147"/>
      <c r="S124" s="137"/>
      <c r="T124" s="137"/>
      <c r="U124" s="137">
        <v>1.0</v>
      </c>
      <c r="V124" s="143"/>
      <c r="W124" s="144">
        <f t="shared" si="2"/>
        <v>2250</v>
      </c>
      <c r="X124" s="176"/>
    </row>
    <row r="125" ht="45.0" customHeight="1">
      <c r="A125" s="137">
        <v>124.0</v>
      </c>
      <c r="B125" s="137" t="s">
        <v>173</v>
      </c>
      <c r="C125" s="137" t="s">
        <v>557</v>
      </c>
      <c r="D125" s="138" t="s">
        <v>558</v>
      </c>
      <c r="E125" s="139" t="s">
        <v>489</v>
      </c>
      <c r="F125" s="140">
        <v>20.0</v>
      </c>
      <c r="G125" s="140">
        <v>20.0</v>
      </c>
      <c r="H125" s="140">
        <v>20.0</v>
      </c>
      <c r="I125" s="137">
        <f t="shared" si="5"/>
        <v>400</v>
      </c>
      <c r="J125" s="141" t="s">
        <v>178</v>
      </c>
      <c r="K125" s="138" t="s">
        <v>65</v>
      </c>
      <c r="L125" s="140" t="s">
        <v>518</v>
      </c>
      <c r="M125" s="138" t="s">
        <v>1943</v>
      </c>
      <c r="N125" s="142" t="s">
        <v>559</v>
      </c>
      <c r="O125" s="137" t="str">
        <f>IMAGE("https://5.imimg.com/data5/SP/GM/AD/SELLER-84581978/keltron-2200uf-35-v-electrolytic-capacitors-500x500.jpg",1)</f>
        <v/>
      </c>
      <c r="P125" s="137" t="s">
        <v>1688</v>
      </c>
      <c r="Q125" s="147"/>
      <c r="R125" s="147"/>
      <c r="S125" s="137"/>
      <c r="T125" s="137"/>
      <c r="U125" s="137">
        <v>1.0</v>
      </c>
      <c r="V125" s="143"/>
      <c r="W125" s="144">
        <f t="shared" si="2"/>
        <v>900</v>
      </c>
      <c r="X125" s="176"/>
    </row>
    <row r="126" ht="45.0" customHeight="1">
      <c r="A126" s="137">
        <v>125.0</v>
      </c>
      <c r="B126" s="137" t="s">
        <v>173</v>
      </c>
      <c r="C126" s="137" t="s">
        <v>561</v>
      </c>
      <c r="D126" s="138" t="s">
        <v>562</v>
      </c>
      <c r="E126" s="139" t="s">
        <v>489</v>
      </c>
      <c r="F126" s="140">
        <v>20.0</v>
      </c>
      <c r="G126" s="140">
        <v>20.0</v>
      </c>
      <c r="H126" s="140">
        <v>30.0</v>
      </c>
      <c r="I126" s="137">
        <f t="shared" si="5"/>
        <v>600</v>
      </c>
      <c r="J126" s="141" t="s">
        <v>178</v>
      </c>
      <c r="K126" s="138" t="s">
        <v>65</v>
      </c>
      <c r="L126" s="140" t="s">
        <v>518</v>
      </c>
      <c r="M126" s="138" t="s">
        <v>1943</v>
      </c>
      <c r="N126" s="142" t="s">
        <v>563</v>
      </c>
      <c r="O126" s="137" t="str">
        <f>IMAGE("https://5.imimg.com/data5/QO/AU/MY-77080729/uge-electrolytic-capacitors-500x375-500x500.jpg",1)</f>
        <v/>
      </c>
      <c r="P126" s="137" t="s">
        <v>1688</v>
      </c>
      <c r="Q126" s="137"/>
      <c r="R126" s="137"/>
      <c r="S126" s="137"/>
      <c r="T126" s="137"/>
      <c r="U126" s="137">
        <v>1.0</v>
      </c>
      <c r="V126" s="143"/>
      <c r="W126" s="144">
        <f t="shared" si="2"/>
        <v>900</v>
      </c>
      <c r="X126" s="176"/>
    </row>
    <row r="127" ht="45.0" customHeight="1">
      <c r="A127" s="137">
        <v>126.0</v>
      </c>
      <c r="B127" s="137" t="s">
        <v>173</v>
      </c>
      <c r="C127" s="137" t="s">
        <v>565</v>
      </c>
      <c r="D127" s="138" t="s">
        <v>566</v>
      </c>
      <c r="E127" s="139" t="s">
        <v>489</v>
      </c>
      <c r="F127" s="140">
        <v>100.0</v>
      </c>
      <c r="G127" s="140">
        <v>100.0</v>
      </c>
      <c r="H127" s="140">
        <v>5.0</v>
      </c>
      <c r="I127" s="137">
        <f t="shared" si="5"/>
        <v>500</v>
      </c>
      <c r="J127" s="141" t="s">
        <v>178</v>
      </c>
      <c r="K127" s="138" t="s">
        <v>65</v>
      </c>
      <c r="L127" s="140" t="s">
        <v>518</v>
      </c>
      <c r="M127" s="138" t="s">
        <v>1943</v>
      </c>
      <c r="N127" s="142" t="s">
        <v>567</v>
      </c>
      <c r="O127" s="137" t="str">
        <f t="shared" ref="O127:O128" si="8">IMAGE("https://5.imimg.com/data5/SP/GM/AD/SELLER-84581978/keltron-2200uf-35-v-electrolytic-capacitors-500x500.jpg",1)</f>
        <v/>
      </c>
      <c r="P127" s="137" t="s">
        <v>1688</v>
      </c>
      <c r="Q127" s="147"/>
      <c r="R127" s="147"/>
      <c r="S127" s="137"/>
      <c r="T127" s="137"/>
      <c r="U127" s="137">
        <v>1.0</v>
      </c>
      <c r="V127" s="143"/>
      <c r="W127" s="144">
        <f t="shared" si="2"/>
        <v>4500</v>
      </c>
      <c r="X127" s="176"/>
    </row>
    <row r="128" ht="45.0" customHeight="1">
      <c r="A128" s="137">
        <v>127.0</v>
      </c>
      <c r="B128" s="137" t="s">
        <v>173</v>
      </c>
      <c r="C128" s="137" t="s">
        <v>569</v>
      </c>
      <c r="D128" s="138" t="s">
        <v>570</v>
      </c>
      <c r="E128" s="139" t="s">
        <v>489</v>
      </c>
      <c r="F128" s="140">
        <v>100.0</v>
      </c>
      <c r="G128" s="140">
        <v>100.0</v>
      </c>
      <c r="H128" s="140">
        <v>5.0</v>
      </c>
      <c r="I128" s="137">
        <f t="shared" si="5"/>
        <v>500</v>
      </c>
      <c r="J128" s="141" t="s">
        <v>178</v>
      </c>
      <c r="K128" s="138" t="s">
        <v>65</v>
      </c>
      <c r="L128" s="140" t="s">
        <v>518</v>
      </c>
      <c r="M128" s="138" t="s">
        <v>1943</v>
      </c>
      <c r="N128" s="142" t="s">
        <v>571</v>
      </c>
      <c r="O128" s="137" t="str">
        <f t="shared" si="8"/>
        <v/>
      </c>
      <c r="P128" s="137" t="s">
        <v>1688</v>
      </c>
      <c r="Q128" s="147"/>
      <c r="R128" s="147"/>
      <c r="S128" s="137"/>
      <c r="T128" s="137"/>
      <c r="U128" s="137">
        <v>1.0</v>
      </c>
      <c r="V128" s="143"/>
      <c r="W128" s="144">
        <f t="shared" si="2"/>
        <v>4500</v>
      </c>
      <c r="X128" s="176"/>
    </row>
    <row r="129" ht="45.0" customHeight="1">
      <c r="A129" s="137">
        <v>128.0</v>
      </c>
      <c r="B129" s="137" t="s">
        <v>173</v>
      </c>
      <c r="C129" s="137" t="s">
        <v>573</v>
      </c>
      <c r="D129" s="138" t="s">
        <v>574</v>
      </c>
      <c r="E129" s="139" t="s">
        <v>489</v>
      </c>
      <c r="F129" s="140">
        <v>50.0</v>
      </c>
      <c r="G129" s="140">
        <v>50.0</v>
      </c>
      <c r="H129" s="140">
        <v>10.0</v>
      </c>
      <c r="I129" s="137">
        <f t="shared" si="5"/>
        <v>500</v>
      </c>
      <c r="J129" s="141" t="s">
        <v>178</v>
      </c>
      <c r="K129" s="138" t="s">
        <v>65</v>
      </c>
      <c r="L129" s="140" t="s">
        <v>518</v>
      </c>
      <c r="M129" s="138" t="s">
        <v>1943</v>
      </c>
      <c r="N129" s="142" t="s">
        <v>575</v>
      </c>
      <c r="O129" s="137" t="str">
        <f>IMAGE("https://5.imimg.com/data5/JL/JS/ZA/SELLER-21614932/4-7uf-400v-keltron-capacitor-500x500.jpg",1)</f>
        <v/>
      </c>
      <c r="P129" s="137" t="s">
        <v>1688</v>
      </c>
      <c r="Q129" s="147"/>
      <c r="R129" s="147"/>
      <c r="S129" s="137"/>
      <c r="T129" s="137"/>
      <c r="U129" s="137">
        <v>1.0</v>
      </c>
      <c r="V129" s="143"/>
      <c r="W129" s="144">
        <f t="shared" si="2"/>
        <v>2250</v>
      </c>
      <c r="X129" s="176"/>
    </row>
    <row r="130" ht="45.0" customHeight="1">
      <c r="A130" s="137">
        <v>129.0</v>
      </c>
      <c r="B130" s="137" t="s">
        <v>173</v>
      </c>
      <c r="C130" s="137" t="s">
        <v>577</v>
      </c>
      <c r="D130" s="138" t="s">
        <v>578</v>
      </c>
      <c r="E130" s="139" t="s">
        <v>489</v>
      </c>
      <c r="F130" s="140">
        <v>50.0</v>
      </c>
      <c r="G130" s="140">
        <v>50.0</v>
      </c>
      <c r="H130" s="140">
        <v>15.0</v>
      </c>
      <c r="I130" s="137">
        <f t="shared" si="5"/>
        <v>750</v>
      </c>
      <c r="J130" s="141" t="s">
        <v>178</v>
      </c>
      <c r="K130" s="138" t="s">
        <v>65</v>
      </c>
      <c r="L130" s="140" t="s">
        <v>518</v>
      </c>
      <c r="M130" s="138" t="s">
        <v>1943</v>
      </c>
      <c r="N130" s="142" t="s">
        <v>579</v>
      </c>
      <c r="O130" s="137" t="str">
        <f>IMAGE("https://projectpoint.in/image/cache/catalog/47uf-250v-672x504.jpg",1)</f>
        <v/>
      </c>
      <c r="P130" s="137" t="s">
        <v>1688</v>
      </c>
      <c r="Q130" s="137"/>
      <c r="R130" s="137"/>
      <c r="S130" s="137"/>
      <c r="T130" s="137"/>
      <c r="U130" s="137">
        <v>1.0</v>
      </c>
      <c r="V130" s="143"/>
      <c r="W130" s="144">
        <f t="shared" si="2"/>
        <v>2250</v>
      </c>
      <c r="X130" s="176"/>
    </row>
    <row r="131" ht="45.0" customHeight="1">
      <c r="A131" s="137">
        <v>130.0</v>
      </c>
      <c r="B131" s="137" t="s">
        <v>173</v>
      </c>
      <c r="C131" s="137" t="s">
        <v>581</v>
      </c>
      <c r="D131" s="138" t="s">
        <v>582</v>
      </c>
      <c r="E131" s="139" t="s">
        <v>489</v>
      </c>
      <c r="F131" s="140">
        <v>20.0</v>
      </c>
      <c r="G131" s="140">
        <v>20.0</v>
      </c>
      <c r="H131" s="140">
        <v>20.0</v>
      </c>
      <c r="I131" s="137">
        <f t="shared" si="5"/>
        <v>400</v>
      </c>
      <c r="J131" s="141" t="s">
        <v>178</v>
      </c>
      <c r="K131" s="138" t="s">
        <v>65</v>
      </c>
      <c r="L131" s="140" t="s">
        <v>518</v>
      </c>
      <c r="M131" s="138" t="s">
        <v>1943</v>
      </c>
      <c r="N131" s="142" t="s">
        <v>583</v>
      </c>
      <c r="O131" s="137" t="str">
        <f>IMAGE("https://5.imimg.com/data5/QO/AU/MY-77080729/uge-electrolytic-capacitors-500x375-500x500.jpg",1)</f>
        <v/>
      </c>
      <c r="P131" s="137" t="s">
        <v>1688</v>
      </c>
      <c r="Q131" s="137"/>
      <c r="R131" s="137"/>
      <c r="S131" s="137"/>
      <c r="T131" s="137"/>
      <c r="U131" s="137">
        <v>1.0</v>
      </c>
      <c r="V131" s="143"/>
      <c r="W131" s="144">
        <f t="shared" si="2"/>
        <v>900</v>
      </c>
      <c r="X131" s="176"/>
    </row>
    <row r="132" ht="45.0" customHeight="1">
      <c r="A132" s="137">
        <v>131.0</v>
      </c>
      <c r="B132" s="137" t="s">
        <v>173</v>
      </c>
      <c r="C132" s="137" t="s">
        <v>585</v>
      </c>
      <c r="D132" s="138" t="s">
        <v>1860</v>
      </c>
      <c r="E132" s="139" t="s">
        <v>489</v>
      </c>
      <c r="F132" s="140">
        <v>20.0</v>
      </c>
      <c r="G132" s="140">
        <v>20.0</v>
      </c>
      <c r="H132" s="140">
        <v>25.0</v>
      </c>
      <c r="I132" s="137">
        <f t="shared" si="5"/>
        <v>500</v>
      </c>
      <c r="J132" s="141" t="s">
        <v>178</v>
      </c>
      <c r="K132" s="138"/>
      <c r="L132" s="140" t="s">
        <v>193</v>
      </c>
      <c r="M132" s="138" t="s">
        <v>1944</v>
      </c>
      <c r="N132" s="142" t="s">
        <v>587</v>
      </c>
      <c r="O132" s="137" t="str">
        <f>IMAGE("https://www.electronicscomp.com/image/cache/catalog/cd4033-5-stage-johnson-decade-counter-ic-dip-16-800x800.jpg",1)</f>
        <v/>
      </c>
      <c r="P132" s="137" t="s">
        <v>1688</v>
      </c>
      <c r="Q132" s="137"/>
      <c r="R132" s="137"/>
      <c r="S132" s="137"/>
      <c r="T132" s="137"/>
      <c r="U132" s="137">
        <v>1.0</v>
      </c>
      <c r="V132" s="143"/>
      <c r="W132" s="144">
        <f t="shared" si="2"/>
        <v>900</v>
      </c>
      <c r="X132" s="176"/>
    </row>
    <row r="133" ht="45.0" customHeight="1">
      <c r="A133" s="137">
        <v>132.0</v>
      </c>
      <c r="B133" s="137" t="s">
        <v>173</v>
      </c>
      <c r="C133" s="137" t="s">
        <v>589</v>
      </c>
      <c r="D133" s="138" t="s">
        <v>590</v>
      </c>
      <c r="E133" s="139" t="s">
        <v>489</v>
      </c>
      <c r="F133" s="140">
        <v>20.0</v>
      </c>
      <c r="G133" s="140">
        <v>20.0</v>
      </c>
      <c r="H133" s="140">
        <v>5.0</v>
      </c>
      <c r="I133" s="137">
        <f t="shared" si="5"/>
        <v>100</v>
      </c>
      <c r="J133" s="141" t="s">
        <v>178</v>
      </c>
      <c r="K133" s="138"/>
      <c r="L133" s="140" t="s">
        <v>518</v>
      </c>
      <c r="M133" s="138" t="s">
        <v>1945</v>
      </c>
      <c r="N133" s="180" t="s">
        <v>591</v>
      </c>
      <c r="O133" s="137" t="str">
        <f t="shared" ref="O133:O134" si="9">IMAGE("https://m.media-amazon.com/images/W/MEDIAX_792452-T2/images/I/41A+MQfyyEL.jpg",1)</f>
        <v/>
      </c>
      <c r="P133" s="137" t="s">
        <v>1688</v>
      </c>
      <c r="Q133" s="137"/>
      <c r="R133" s="137"/>
      <c r="S133" s="137"/>
      <c r="T133" s="137"/>
      <c r="U133" s="137">
        <v>1.0</v>
      </c>
      <c r="V133" s="143"/>
      <c r="W133" s="144">
        <f t="shared" si="2"/>
        <v>900</v>
      </c>
      <c r="X133" s="176"/>
    </row>
    <row r="134" ht="45.0" customHeight="1">
      <c r="A134" s="137">
        <v>133.0</v>
      </c>
      <c r="B134" s="137" t="s">
        <v>173</v>
      </c>
      <c r="C134" s="137" t="s">
        <v>593</v>
      </c>
      <c r="D134" s="138" t="s">
        <v>594</v>
      </c>
      <c r="E134" s="139" t="s">
        <v>489</v>
      </c>
      <c r="F134" s="140">
        <v>20.0</v>
      </c>
      <c r="G134" s="140">
        <v>20.0</v>
      </c>
      <c r="H134" s="140">
        <v>5.0</v>
      </c>
      <c r="I134" s="137">
        <f t="shared" si="5"/>
        <v>100</v>
      </c>
      <c r="J134" s="141" t="s">
        <v>178</v>
      </c>
      <c r="K134" s="138"/>
      <c r="L134" s="140" t="s">
        <v>518</v>
      </c>
      <c r="M134" s="138" t="s">
        <v>1945</v>
      </c>
      <c r="N134" s="142" t="s">
        <v>595</v>
      </c>
      <c r="O134" s="137" t="str">
        <f t="shared" si="9"/>
        <v/>
      </c>
      <c r="P134" s="137" t="s">
        <v>1688</v>
      </c>
      <c r="Q134" s="137"/>
      <c r="R134" s="137"/>
      <c r="S134" s="137"/>
      <c r="T134" s="137"/>
      <c r="U134" s="137">
        <v>1.0</v>
      </c>
      <c r="V134" s="143"/>
      <c r="W134" s="144">
        <f t="shared" si="2"/>
        <v>900</v>
      </c>
      <c r="X134" s="176"/>
    </row>
    <row r="135" ht="45.0" customHeight="1">
      <c r="A135" s="137">
        <v>134.0</v>
      </c>
      <c r="B135" s="137" t="s">
        <v>173</v>
      </c>
      <c r="C135" s="137" t="s">
        <v>597</v>
      </c>
      <c r="D135" s="138" t="s">
        <v>1862</v>
      </c>
      <c r="E135" s="139" t="s">
        <v>489</v>
      </c>
      <c r="F135" s="140">
        <v>20.0</v>
      </c>
      <c r="G135" s="140">
        <v>20.0</v>
      </c>
      <c r="H135" s="140">
        <v>30.0</v>
      </c>
      <c r="I135" s="137">
        <f t="shared" si="5"/>
        <v>600</v>
      </c>
      <c r="J135" s="141" t="s">
        <v>178</v>
      </c>
      <c r="K135" s="138"/>
      <c r="L135" s="140" t="s">
        <v>599</v>
      </c>
      <c r="M135" s="138" t="s">
        <v>1944</v>
      </c>
      <c r="N135" s="142" t="s">
        <v>600</v>
      </c>
      <c r="O135" s="137" t="str">
        <f>IMAGE("https://robu.in/wp-content/uploads/2018/11/LM358P-PDIP-8-High-Gain-Operational-Amplifier-Pack-of-5-ICs-9.jpg",1)</f>
        <v/>
      </c>
      <c r="P135" s="137" t="s">
        <v>1688</v>
      </c>
      <c r="Q135" s="137"/>
      <c r="R135" s="137"/>
      <c r="S135" s="137"/>
      <c r="T135" s="137"/>
      <c r="U135" s="137">
        <v>1.0</v>
      </c>
      <c r="V135" s="143"/>
      <c r="W135" s="144">
        <f t="shared" si="2"/>
        <v>900</v>
      </c>
      <c r="X135" s="176"/>
    </row>
    <row r="136" ht="45.0" customHeight="1">
      <c r="A136" s="137">
        <v>135.0</v>
      </c>
      <c r="B136" s="137" t="s">
        <v>173</v>
      </c>
      <c r="C136" s="137" t="s">
        <v>602</v>
      </c>
      <c r="D136" s="138" t="s">
        <v>603</v>
      </c>
      <c r="E136" s="139" t="s">
        <v>489</v>
      </c>
      <c r="F136" s="140">
        <v>500.0</v>
      </c>
      <c r="G136" s="140">
        <v>500.0</v>
      </c>
      <c r="H136" s="140">
        <v>1.5</v>
      </c>
      <c r="I136" s="137">
        <f t="shared" si="5"/>
        <v>750</v>
      </c>
      <c r="J136" s="141" t="s">
        <v>178</v>
      </c>
      <c r="K136" s="138"/>
      <c r="L136" s="140" t="s">
        <v>518</v>
      </c>
      <c r="M136" s="138" t="s">
        <v>1946</v>
      </c>
      <c r="N136" s="142" t="s">
        <v>604</v>
      </c>
      <c r="O136" s="137" t="str">
        <f>IMAGE("https://rukminim2.flixcart.com/image/832/832/xif0q/electronic-hobby-kit/d/o/s/50-pcs-blue-led-5mm-kitsguru-original-imaghfqbjbn4hshz.jpeg?q=70",1)</f>
        <v/>
      </c>
      <c r="P136" s="137" t="s">
        <v>1688</v>
      </c>
      <c r="Q136" s="147"/>
      <c r="R136" s="147"/>
      <c r="S136" s="137"/>
      <c r="T136" s="137"/>
      <c r="U136" s="137">
        <v>1.0</v>
      </c>
      <c r="V136" s="143"/>
      <c r="W136" s="144">
        <f t="shared" si="2"/>
        <v>22500</v>
      </c>
      <c r="X136" s="176"/>
    </row>
    <row r="137" ht="45.0" customHeight="1">
      <c r="A137" s="137">
        <v>136.0</v>
      </c>
      <c r="B137" s="137" t="s">
        <v>173</v>
      </c>
      <c r="C137" s="137" t="s">
        <v>606</v>
      </c>
      <c r="D137" s="138" t="s">
        <v>607</v>
      </c>
      <c r="E137" s="139" t="s">
        <v>489</v>
      </c>
      <c r="F137" s="140">
        <v>500.0</v>
      </c>
      <c r="G137" s="140">
        <v>500.0</v>
      </c>
      <c r="H137" s="140">
        <v>1.5</v>
      </c>
      <c r="I137" s="137">
        <f t="shared" si="5"/>
        <v>750</v>
      </c>
      <c r="J137" s="141" t="s">
        <v>178</v>
      </c>
      <c r="K137" s="138"/>
      <c r="L137" s="140" t="s">
        <v>518</v>
      </c>
      <c r="M137" s="138" t="s">
        <v>1946</v>
      </c>
      <c r="N137" s="142"/>
      <c r="O137" s="137" t="str">
        <f>IMAGE("https://rukminim2.flixcart.com/image/832/832/krz97rk0/electronic-hobby-kit/r/p/r/5mm-green-led-light-emitting-diode-highlight-for-arduino-pack-of-original-imag5n63ad6pnxqe.jpeg?q=70", 1)</f>
        <v/>
      </c>
      <c r="P137" s="137" t="s">
        <v>1688</v>
      </c>
      <c r="Q137" s="147"/>
      <c r="R137" s="147"/>
      <c r="S137" s="137"/>
      <c r="T137" s="137"/>
      <c r="U137" s="137">
        <v>1.0</v>
      </c>
      <c r="V137" s="143"/>
      <c r="W137" s="144">
        <f t="shared" si="2"/>
        <v>22500</v>
      </c>
      <c r="X137" s="176"/>
    </row>
    <row r="138" ht="45.0" customHeight="1">
      <c r="A138" s="137">
        <v>137.0</v>
      </c>
      <c r="B138" s="137" t="s">
        <v>173</v>
      </c>
      <c r="C138" s="137" t="s">
        <v>609</v>
      </c>
      <c r="D138" s="138" t="s">
        <v>610</v>
      </c>
      <c r="E138" s="139" t="s">
        <v>489</v>
      </c>
      <c r="F138" s="140">
        <v>500.0</v>
      </c>
      <c r="G138" s="140">
        <v>500.0</v>
      </c>
      <c r="H138" s="140">
        <v>1.5</v>
      </c>
      <c r="I138" s="137">
        <f t="shared" si="5"/>
        <v>750</v>
      </c>
      <c r="J138" s="141" t="s">
        <v>178</v>
      </c>
      <c r="K138" s="138"/>
      <c r="L138" s="140" t="s">
        <v>518</v>
      </c>
      <c r="M138" s="138" t="s">
        <v>1946</v>
      </c>
      <c r="N138" s="142" t="s">
        <v>611</v>
      </c>
      <c r="O138" s="137" t="str">
        <f>IMAGE("https://rukminim2.flixcart.com/image/832/832/ktrk13k0/electronic-hobby-kit/u/f/w/10-pcs-5mm-round-diffused-red-color-led-light-bulb-lamp-light-original-imag7ff6rchccrbz.jpeg?q=70", 1)</f>
        <v/>
      </c>
      <c r="P138" s="137" t="s">
        <v>1688</v>
      </c>
      <c r="Q138" s="137"/>
      <c r="R138" s="137"/>
      <c r="S138" s="137"/>
      <c r="T138" s="137"/>
      <c r="U138" s="137">
        <v>1.0</v>
      </c>
      <c r="V138" s="143"/>
      <c r="W138" s="144">
        <f t="shared" si="2"/>
        <v>22500</v>
      </c>
      <c r="X138" s="176"/>
    </row>
    <row r="139" ht="45.0" customHeight="1">
      <c r="A139" s="137">
        <v>138.0</v>
      </c>
      <c r="B139" s="137" t="s">
        <v>173</v>
      </c>
      <c r="C139" s="137" t="s">
        <v>613</v>
      </c>
      <c r="D139" s="138" t="s">
        <v>614</v>
      </c>
      <c r="E139" s="139" t="s">
        <v>489</v>
      </c>
      <c r="F139" s="140">
        <v>500.0</v>
      </c>
      <c r="G139" s="140">
        <v>500.0</v>
      </c>
      <c r="H139" s="140">
        <v>1.5</v>
      </c>
      <c r="I139" s="137">
        <f t="shared" si="5"/>
        <v>750</v>
      </c>
      <c r="J139" s="141" t="s">
        <v>178</v>
      </c>
      <c r="K139" s="138"/>
      <c r="L139" s="140" t="s">
        <v>518</v>
      </c>
      <c r="M139" s="138" t="s">
        <v>1946</v>
      </c>
      <c r="N139" s="142" t="s">
        <v>615</v>
      </c>
      <c r="O139" s="137" t="str">
        <f>IMAGE("https://robu.in/wp-content/uploads/2020/10/5mm-DIP-Led-White.png", 1)</f>
        <v/>
      </c>
      <c r="P139" s="137" t="s">
        <v>1688</v>
      </c>
      <c r="Q139" s="137"/>
      <c r="R139" s="137"/>
      <c r="S139" s="137"/>
      <c r="T139" s="137"/>
      <c r="U139" s="137">
        <v>1.0</v>
      </c>
      <c r="V139" s="143"/>
      <c r="W139" s="144">
        <f t="shared" si="2"/>
        <v>22500</v>
      </c>
      <c r="X139" s="176"/>
    </row>
    <row r="140" ht="45.0" customHeight="1">
      <c r="A140" s="137">
        <v>139.0</v>
      </c>
      <c r="B140" s="137" t="s">
        <v>173</v>
      </c>
      <c r="C140" s="137" t="s">
        <v>617</v>
      </c>
      <c r="D140" s="138" t="s">
        <v>618</v>
      </c>
      <c r="E140" s="139" t="s">
        <v>489</v>
      </c>
      <c r="F140" s="140">
        <v>500.0</v>
      </c>
      <c r="G140" s="140">
        <v>500.0</v>
      </c>
      <c r="H140" s="140">
        <v>1.5</v>
      </c>
      <c r="I140" s="137">
        <f t="shared" si="5"/>
        <v>750</v>
      </c>
      <c r="J140" s="141" t="s">
        <v>178</v>
      </c>
      <c r="K140" s="138"/>
      <c r="L140" s="140" t="s">
        <v>518</v>
      </c>
      <c r="M140" s="138" t="s">
        <v>1946</v>
      </c>
      <c r="N140" s="162" t="s">
        <v>619</v>
      </c>
      <c r="O140" s="137" t="str">
        <f>IMAGE("https://robu.in/wp-content/uploads/2020/10/5-mm-DIP-Led-Yellow.png", 1)</f>
        <v/>
      </c>
      <c r="P140" s="137" t="s">
        <v>1688</v>
      </c>
      <c r="Q140" s="137"/>
      <c r="R140" s="137"/>
      <c r="S140" s="137"/>
      <c r="T140" s="137"/>
      <c r="U140" s="137">
        <v>1.0</v>
      </c>
      <c r="V140" s="143"/>
      <c r="W140" s="144">
        <f t="shared" si="2"/>
        <v>22500</v>
      </c>
      <c r="X140" s="176"/>
    </row>
    <row r="141" ht="45.0" customHeight="1">
      <c r="A141" s="137">
        <v>140.0</v>
      </c>
      <c r="B141" s="137" t="s">
        <v>173</v>
      </c>
      <c r="C141" s="137" t="s">
        <v>621</v>
      </c>
      <c r="D141" s="138" t="s">
        <v>622</v>
      </c>
      <c r="E141" s="139" t="s">
        <v>489</v>
      </c>
      <c r="F141" s="140">
        <v>100.0</v>
      </c>
      <c r="G141" s="140">
        <v>100.0</v>
      </c>
      <c r="H141" s="140">
        <v>20.0</v>
      </c>
      <c r="I141" s="137">
        <f t="shared" si="5"/>
        <v>2000</v>
      </c>
      <c r="J141" s="141" t="s">
        <v>178</v>
      </c>
      <c r="K141" s="138"/>
      <c r="L141" s="140" t="s">
        <v>518</v>
      </c>
      <c r="M141" s="138" t="s">
        <v>1946</v>
      </c>
      <c r="N141" s="142" t="s">
        <v>623</v>
      </c>
      <c r="O141" s="137" t="str">
        <f>IMAGE("https://image.robotistan.com/5mm-transparent-rgb-led-2633-11-O.jpg", 1)</f>
        <v/>
      </c>
      <c r="P141" s="137" t="s">
        <v>1688</v>
      </c>
      <c r="Q141" s="147"/>
      <c r="R141" s="147"/>
      <c r="S141" s="137"/>
      <c r="T141" s="137"/>
      <c r="U141" s="137">
        <v>1.0</v>
      </c>
      <c r="V141" s="143"/>
      <c r="W141" s="144">
        <f t="shared" si="2"/>
        <v>4500</v>
      </c>
      <c r="X141" s="176"/>
    </row>
    <row r="142" ht="45.0" customHeight="1">
      <c r="A142" s="137">
        <v>141.0</v>
      </c>
      <c r="B142" s="137" t="s">
        <v>173</v>
      </c>
      <c r="C142" s="137" t="s">
        <v>625</v>
      </c>
      <c r="D142" s="138" t="s">
        <v>626</v>
      </c>
      <c r="E142" s="139" t="s">
        <v>489</v>
      </c>
      <c r="F142" s="140">
        <v>20.0</v>
      </c>
      <c r="G142" s="140">
        <v>20.0</v>
      </c>
      <c r="H142" s="140">
        <v>15.0</v>
      </c>
      <c r="I142" s="137">
        <f t="shared" si="5"/>
        <v>300</v>
      </c>
      <c r="J142" s="141" t="s">
        <v>178</v>
      </c>
      <c r="K142" s="138"/>
      <c r="L142" s="140" t="s">
        <v>518</v>
      </c>
      <c r="M142" s="138" t="s">
        <v>1947</v>
      </c>
      <c r="N142" s="142" t="s">
        <v>627</v>
      </c>
      <c r="O142" s="137" t="str">
        <f>IMAGE("https://5.imimg.com/data5/AH/OG/AM/SELLER-5278310/mkc-27701-changeover-reed-switch-500x500.jpg",1)</f>
        <v/>
      </c>
      <c r="P142" s="137" t="s">
        <v>1688</v>
      </c>
      <c r="Q142" s="137"/>
      <c r="R142" s="137"/>
      <c r="S142" s="137"/>
      <c r="T142" s="137"/>
      <c r="U142" s="137">
        <v>1.0</v>
      </c>
      <c r="V142" s="143"/>
      <c r="W142" s="144">
        <f t="shared" si="2"/>
        <v>900</v>
      </c>
      <c r="X142" s="176"/>
    </row>
    <row r="143" ht="45.0" customHeight="1">
      <c r="A143" s="137">
        <v>142.0</v>
      </c>
      <c r="B143" s="137" t="s">
        <v>173</v>
      </c>
      <c r="C143" s="137" t="s">
        <v>629</v>
      </c>
      <c r="D143" s="138" t="s">
        <v>630</v>
      </c>
      <c r="E143" s="139" t="s">
        <v>489</v>
      </c>
      <c r="F143" s="140">
        <v>20.0</v>
      </c>
      <c r="G143" s="140">
        <v>20.0</v>
      </c>
      <c r="H143" s="140">
        <v>20.0</v>
      </c>
      <c r="I143" s="137">
        <f t="shared" si="5"/>
        <v>400</v>
      </c>
      <c r="J143" s="141" t="s">
        <v>178</v>
      </c>
      <c r="K143" s="138"/>
      <c r="L143" s="140" t="s">
        <v>518</v>
      </c>
      <c r="M143" s="138" t="s">
        <v>1948</v>
      </c>
      <c r="N143" s="142" t="s">
        <v>631</v>
      </c>
      <c r="O143" s="137" t="str">
        <f t="shared" ref="O143:O144" si="10">IMAGE("https://www.electronicscomp.com/image/cache/catalog/irfz44-n-channel-power-mosfet-1-800x800.JPG",1)</f>
        <v/>
      </c>
      <c r="P143" s="137" t="s">
        <v>1688</v>
      </c>
      <c r="Q143" s="137"/>
      <c r="R143" s="137"/>
      <c r="S143" s="137"/>
      <c r="T143" s="137"/>
      <c r="U143" s="137">
        <v>1.0</v>
      </c>
      <c r="V143" s="143"/>
      <c r="W143" s="144">
        <f t="shared" si="2"/>
        <v>900</v>
      </c>
      <c r="X143" s="176"/>
    </row>
    <row r="144" ht="45.0" customHeight="1">
      <c r="A144" s="137">
        <v>143.0</v>
      </c>
      <c r="B144" s="137" t="s">
        <v>173</v>
      </c>
      <c r="C144" s="137" t="s">
        <v>633</v>
      </c>
      <c r="D144" s="138" t="s">
        <v>634</v>
      </c>
      <c r="E144" s="139" t="s">
        <v>489</v>
      </c>
      <c r="F144" s="140">
        <v>20.0</v>
      </c>
      <c r="G144" s="140">
        <v>20.0</v>
      </c>
      <c r="H144" s="140">
        <v>30.0</v>
      </c>
      <c r="I144" s="137">
        <f t="shared" si="5"/>
        <v>600</v>
      </c>
      <c r="J144" s="141" t="s">
        <v>178</v>
      </c>
      <c r="K144" s="138"/>
      <c r="L144" s="140" t="s">
        <v>518</v>
      </c>
      <c r="M144" s="138" t="s">
        <v>1948</v>
      </c>
      <c r="N144" s="142" t="s">
        <v>635</v>
      </c>
      <c r="O144" s="137" t="str">
        <f t="shared" si="10"/>
        <v/>
      </c>
      <c r="P144" s="137" t="s">
        <v>1688</v>
      </c>
      <c r="Q144" s="137"/>
      <c r="R144" s="137"/>
      <c r="S144" s="137"/>
      <c r="T144" s="137"/>
      <c r="U144" s="137">
        <v>1.0</v>
      </c>
      <c r="V144" s="143"/>
      <c r="W144" s="144">
        <f t="shared" si="2"/>
        <v>900</v>
      </c>
      <c r="X144" s="176"/>
    </row>
    <row r="145" ht="45.0" customHeight="1">
      <c r="A145" s="137">
        <v>144.0</v>
      </c>
      <c r="B145" s="137" t="s">
        <v>173</v>
      </c>
      <c r="C145" s="137" t="s">
        <v>637</v>
      </c>
      <c r="D145" s="138" t="s">
        <v>1804</v>
      </c>
      <c r="E145" s="139" t="s">
        <v>489</v>
      </c>
      <c r="F145" s="140">
        <v>20.0</v>
      </c>
      <c r="G145" s="140">
        <v>20.0</v>
      </c>
      <c r="H145" s="140">
        <v>50.0</v>
      </c>
      <c r="I145" s="137">
        <f t="shared" si="5"/>
        <v>1000</v>
      </c>
      <c r="J145" s="141" t="s">
        <v>178</v>
      </c>
      <c r="K145" s="138"/>
      <c r="L145" s="140" t="s">
        <v>193</v>
      </c>
      <c r="M145" s="138" t="s">
        <v>1941</v>
      </c>
      <c r="N145" s="142" t="s">
        <v>639</v>
      </c>
      <c r="O145" s="137" t="str">
        <f>IMAGE("https://5.imimg.com/data5/FI/FV/DZ/SELLER-22718366/27-mm-3p-piezoelectric-buzzer-plate-500x500.jpg",1)</f>
        <v/>
      </c>
      <c r="P145" s="137" t="s">
        <v>1688</v>
      </c>
      <c r="Q145" s="137"/>
      <c r="R145" s="137"/>
      <c r="S145" s="137"/>
      <c r="T145" s="137"/>
      <c r="U145" s="137">
        <v>1.0</v>
      </c>
      <c r="V145" s="143"/>
      <c r="W145" s="144">
        <f t="shared" si="2"/>
        <v>900</v>
      </c>
      <c r="X145" s="176"/>
    </row>
    <row r="146" ht="45.0" customHeight="1">
      <c r="A146" s="137">
        <v>145.0</v>
      </c>
      <c r="B146" s="137" t="s">
        <v>173</v>
      </c>
      <c r="C146" s="137" t="s">
        <v>641</v>
      </c>
      <c r="D146" s="138" t="s">
        <v>642</v>
      </c>
      <c r="E146" s="139" t="s">
        <v>489</v>
      </c>
      <c r="F146" s="140">
        <v>20.0</v>
      </c>
      <c r="G146" s="140">
        <v>20.0</v>
      </c>
      <c r="H146" s="140">
        <v>20.0</v>
      </c>
      <c r="I146" s="137">
        <f t="shared" si="5"/>
        <v>400</v>
      </c>
      <c r="J146" s="141" t="s">
        <v>178</v>
      </c>
      <c r="K146" s="138"/>
      <c r="L146" s="140" t="s">
        <v>193</v>
      </c>
      <c r="M146" s="138" t="s">
        <v>1949</v>
      </c>
      <c r="N146" s="142" t="s">
        <v>643</v>
      </c>
      <c r="O146" s="137" t="str">
        <f t="shared" ref="O146:O149" si="11">IMAGE("https://m.media-amazon.com/images/I/31ALofIyvBL._SX466_.jpg",1)</f>
        <v/>
      </c>
      <c r="P146" s="137" t="s">
        <v>1688</v>
      </c>
      <c r="Q146" s="137"/>
      <c r="R146" s="137"/>
      <c r="S146" s="137"/>
      <c r="T146" s="137"/>
      <c r="U146" s="137">
        <v>1.0</v>
      </c>
      <c r="V146" s="143"/>
      <c r="W146" s="144">
        <f t="shared" si="2"/>
        <v>900</v>
      </c>
      <c r="X146" s="176"/>
    </row>
    <row r="147" ht="45.0" customHeight="1">
      <c r="A147" s="137">
        <v>146.0</v>
      </c>
      <c r="B147" s="137" t="s">
        <v>173</v>
      </c>
      <c r="C147" s="137" t="s">
        <v>645</v>
      </c>
      <c r="D147" s="138" t="s">
        <v>646</v>
      </c>
      <c r="E147" s="139" t="s">
        <v>489</v>
      </c>
      <c r="F147" s="140">
        <v>20.0</v>
      </c>
      <c r="G147" s="140">
        <v>20.0</v>
      </c>
      <c r="H147" s="140">
        <v>15.0</v>
      </c>
      <c r="I147" s="137">
        <f t="shared" si="5"/>
        <v>300</v>
      </c>
      <c r="J147" s="141" t="s">
        <v>178</v>
      </c>
      <c r="K147" s="138"/>
      <c r="L147" s="140" t="s">
        <v>193</v>
      </c>
      <c r="M147" s="138" t="s">
        <v>1949</v>
      </c>
      <c r="N147" s="142" t="s">
        <v>647</v>
      </c>
      <c r="O147" s="137" t="str">
        <f t="shared" si="11"/>
        <v/>
      </c>
      <c r="P147" s="137" t="s">
        <v>1688</v>
      </c>
      <c r="Q147" s="137"/>
      <c r="R147" s="137"/>
      <c r="S147" s="137"/>
      <c r="T147" s="137"/>
      <c r="U147" s="137">
        <v>1.0</v>
      </c>
      <c r="V147" s="143"/>
      <c r="W147" s="144">
        <f t="shared" si="2"/>
        <v>900</v>
      </c>
      <c r="X147" s="176"/>
    </row>
    <row r="148" ht="45.0" customHeight="1">
      <c r="A148" s="137">
        <v>147.0</v>
      </c>
      <c r="B148" s="137" t="s">
        <v>173</v>
      </c>
      <c r="C148" s="137" t="s">
        <v>649</v>
      </c>
      <c r="D148" s="138" t="s">
        <v>650</v>
      </c>
      <c r="E148" s="139" t="s">
        <v>489</v>
      </c>
      <c r="F148" s="140">
        <v>20.0</v>
      </c>
      <c r="G148" s="140">
        <v>20.0</v>
      </c>
      <c r="H148" s="140">
        <v>10.0</v>
      </c>
      <c r="I148" s="137">
        <f t="shared" si="5"/>
        <v>200</v>
      </c>
      <c r="J148" s="141" t="s">
        <v>178</v>
      </c>
      <c r="K148" s="138"/>
      <c r="L148" s="140" t="s">
        <v>193</v>
      </c>
      <c r="M148" s="138" t="s">
        <v>1949</v>
      </c>
      <c r="N148" s="142" t="s">
        <v>651</v>
      </c>
      <c r="O148" s="137" t="str">
        <f t="shared" si="11"/>
        <v/>
      </c>
      <c r="P148" s="137" t="s">
        <v>1688</v>
      </c>
      <c r="Q148" s="137"/>
      <c r="R148" s="137"/>
      <c r="S148" s="137"/>
      <c r="T148" s="137"/>
      <c r="U148" s="137">
        <v>1.0</v>
      </c>
      <c r="V148" s="143"/>
      <c r="W148" s="144">
        <f t="shared" si="2"/>
        <v>900</v>
      </c>
      <c r="X148" s="176"/>
    </row>
    <row r="149" ht="45.0" customHeight="1">
      <c r="A149" s="137">
        <v>148.0</v>
      </c>
      <c r="B149" s="137" t="s">
        <v>173</v>
      </c>
      <c r="C149" s="137" t="s">
        <v>653</v>
      </c>
      <c r="D149" s="138" t="s">
        <v>654</v>
      </c>
      <c r="E149" s="139" t="s">
        <v>489</v>
      </c>
      <c r="F149" s="140">
        <v>20.0</v>
      </c>
      <c r="G149" s="140">
        <v>20.0</v>
      </c>
      <c r="H149" s="140">
        <v>25.0</v>
      </c>
      <c r="I149" s="137">
        <f t="shared" si="5"/>
        <v>500</v>
      </c>
      <c r="J149" s="141" t="s">
        <v>178</v>
      </c>
      <c r="K149" s="138"/>
      <c r="L149" s="140" t="s">
        <v>193</v>
      </c>
      <c r="M149" s="138" t="s">
        <v>1949</v>
      </c>
      <c r="N149" s="142" t="s">
        <v>655</v>
      </c>
      <c r="O149" s="137" t="str">
        <f t="shared" si="11"/>
        <v/>
      </c>
      <c r="P149" s="137" t="s">
        <v>1688</v>
      </c>
      <c r="Q149" s="147"/>
      <c r="R149" s="147"/>
      <c r="S149" s="137"/>
      <c r="T149" s="137"/>
      <c r="U149" s="137">
        <v>1.0</v>
      </c>
      <c r="V149" s="143"/>
      <c r="W149" s="144">
        <f t="shared" si="2"/>
        <v>900</v>
      </c>
      <c r="X149" s="176"/>
    </row>
    <row r="150" ht="45.0" customHeight="1">
      <c r="A150" s="137">
        <v>149.0</v>
      </c>
      <c r="B150" s="137" t="s">
        <v>173</v>
      </c>
      <c r="C150" s="137" t="s">
        <v>657</v>
      </c>
      <c r="D150" s="138" t="s">
        <v>658</v>
      </c>
      <c r="E150" s="139" t="s">
        <v>489</v>
      </c>
      <c r="F150" s="140">
        <v>100.0</v>
      </c>
      <c r="G150" s="140">
        <v>100.0</v>
      </c>
      <c r="H150" s="140">
        <v>1.0</v>
      </c>
      <c r="I150" s="137">
        <f t="shared" si="5"/>
        <v>100</v>
      </c>
      <c r="J150" s="141" t="s">
        <v>178</v>
      </c>
      <c r="K150" s="138"/>
      <c r="L150" s="140" t="s">
        <v>518</v>
      </c>
      <c r="M150" s="138" t="s">
        <v>1950</v>
      </c>
      <c r="N150" s="142" t="s">
        <v>659</v>
      </c>
      <c r="O150" s="137" t="str">
        <f t="shared" ref="O150:O191" si="12">IMAGE("https://projectpoint.in/image/cache/catalog/CFR_Resistor_Kit-672x504.jpg",1)</f>
        <v/>
      </c>
      <c r="P150" s="137" t="s">
        <v>1688</v>
      </c>
      <c r="Q150" s="137"/>
      <c r="R150" s="137"/>
      <c r="S150" s="137"/>
      <c r="T150" s="137"/>
      <c r="U150" s="137">
        <v>1.0</v>
      </c>
      <c r="V150" s="143"/>
      <c r="W150" s="144">
        <f t="shared" si="2"/>
        <v>4500</v>
      </c>
      <c r="X150" s="176"/>
    </row>
    <row r="151" ht="45.0" customHeight="1">
      <c r="A151" s="137">
        <v>150.0</v>
      </c>
      <c r="B151" s="137" t="s">
        <v>173</v>
      </c>
      <c r="C151" s="137" t="s">
        <v>661</v>
      </c>
      <c r="D151" s="138" t="s">
        <v>662</v>
      </c>
      <c r="E151" s="139" t="s">
        <v>489</v>
      </c>
      <c r="F151" s="140">
        <v>100.0</v>
      </c>
      <c r="G151" s="140">
        <v>100.0</v>
      </c>
      <c r="H151" s="140">
        <v>1.0</v>
      </c>
      <c r="I151" s="137">
        <f t="shared" si="5"/>
        <v>100</v>
      </c>
      <c r="J151" s="141" t="s">
        <v>178</v>
      </c>
      <c r="K151" s="138"/>
      <c r="L151" s="140" t="s">
        <v>518</v>
      </c>
      <c r="M151" s="138" t="s">
        <v>1950</v>
      </c>
      <c r="N151" s="142" t="s">
        <v>663</v>
      </c>
      <c r="O151" s="137" t="str">
        <f t="shared" si="12"/>
        <v/>
      </c>
      <c r="P151" s="137" t="s">
        <v>1688</v>
      </c>
      <c r="Q151" s="137"/>
      <c r="R151" s="137"/>
      <c r="S151" s="137"/>
      <c r="T151" s="137"/>
      <c r="U151" s="137">
        <v>1.0</v>
      </c>
      <c r="V151" s="143"/>
      <c r="W151" s="144">
        <f t="shared" si="2"/>
        <v>4500</v>
      </c>
      <c r="X151" s="176"/>
    </row>
    <row r="152" ht="45.0" customHeight="1">
      <c r="A152" s="137">
        <v>151.0</v>
      </c>
      <c r="B152" s="137" t="s">
        <v>173</v>
      </c>
      <c r="C152" s="137" t="s">
        <v>665</v>
      </c>
      <c r="D152" s="138" t="s">
        <v>666</v>
      </c>
      <c r="E152" s="139" t="s">
        <v>489</v>
      </c>
      <c r="F152" s="140">
        <v>100.0</v>
      </c>
      <c r="G152" s="140">
        <v>100.0</v>
      </c>
      <c r="H152" s="140">
        <v>1.0</v>
      </c>
      <c r="I152" s="137">
        <f t="shared" si="5"/>
        <v>100</v>
      </c>
      <c r="J152" s="141" t="s">
        <v>178</v>
      </c>
      <c r="K152" s="138"/>
      <c r="L152" s="140" t="s">
        <v>518</v>
      </c>
      <c r="M152" s="138" t="s">
        <v>1950</v>
      </c>
      <c r="N152" s="142" t="s">
        <v>667</v>
      </c>
      <c r="O152" s="137" t="str">
        <f t="shared" si="12"/>
        <v/>
      </c>
      <c r="P152" s="137" t="s">
        <v>1688</v>
      </c>
      <c r="Q152" s="137"/>
      <c r="R152" s="137"/>
      <c r="S152" s="137"/>
      <c r="T152" s="137"/>
      <c r="U152" s="137">
        <v>1.0</v>
      </c>
      <c r="V152" s="143"/>
      <c r="W152" s="144">
        <f t="shared" si="2"/>
        <v>4500</v>
      </c>
      <c r="X152" s="176"/>
    </row>
    <row r="153" ht="45.0" customHeight="1">
      <c r="A153" s="137">
        <v>152.0</v>
      </c>
      <c r="B153" s="137" t="s">
        <v>173</v>
      </c>
      <c r="C153" s="137" t="s">
        <v>669</v>
      </c>
      <c r="D153" s="138" t="s">
        <v>670</v>
      </c>
      <c r="E153" s="139" t="s">
        <v>489</v>
      </c>
      <c r="F153" s="140">
        <v>100.0</v>
      </c>
      <c r="G153" s="140">
        <v>100.0</v>
      </c>
      <c r="H153" s="140">
        <v>1.0</v>
      </c>
      <c r="I153" s="137">
        <f t="shared" si="5"/>
        <v>100</v>
      </c>
      <c r="J153" s="141" t="s">
        <v>178</v>
      </c>
      <c r="K153" s="138"/>
      <c r="L153" s="140" t="s">
        <v>518</v>
      </c>
      <c r="M153" s="138" t="s">
        <v>1950</v>
      </c>
      <c r="N153" s="142" t="s">
        <v>671</v>
      </c>
      <c r="O153" s="137" t="str">
        <f t="shared" si="12"/>
        <v/>
      </c>
      <c r="P153" s="137" t="s">
        <v>1688</v>
      </c>
      <c r="Q153" s="137"/>
      <c r="R153" s="137"/>
      <c r="S153" s="137"/>
      <c r="T153" s="137"/>
      <c r="U153" s="137">
        <v>1.0</v>
      </c>
      <c r="V153" s="143"/>
      <c r="W153" s="144">
        <f t="shared" si="2"/>
        <v>4500</v>
      </c>
      <c r="X153" s="176"/>
    </row>
    <row r="154" ht="45.0" customHeight="1">
      <c r="A154" s="137">
        <v>153.0</v>
      </c>
      <c r="B154" s="137" t="s">
        <v>173</v>
      </c>
      <c r="C154" s="137" t="s">
        <v>673</v>
      </c>
      <c r="D154" s="138" t="s">
        <v>674</v>
      </c>
      <c r="E154" s="139" t="s">
        <v>489</v>
      </c>
      <c r="F154" s="140">
        <v>100.0</v>
      </c>
      <c r="G154" s="140">
        <v>100.0</v>
      </c>
      <c r="H154" s="140">
        <v>1.0</v>
      </c>
      <c r="I154" s="137">
        <f t="shared" si="5"/>
        <v>100</v>
      </c>
      <c r="J154" s="141" t="s">
        <v>178</v>
      </c>
      <c r="K154" s="138"/>
      <c r="L154" s="140" t="s">
        <v>518</v>
      </c>
      <c r="M154" s="138" t="s">
        <v>1950</v>
      </c>
      <c r="N154" s="142" t="s">
        <v>675</v>
      </c>
      <c r="O154" s="137" t="str">
        <f t="shared" si="12"/>
        <v/>
      </c>
      <c r="P154" s="137" t="s">
        <v>1688</v>
      </c>
      <c r="Q154" s="137"/>
      <c r="R154" s="137"/>
      <c r="S154" s="137"/>
      <c r="T154" s="137"/>
      <c r="U154" s="137">
        <v>1.0</v>
      </c>
      <c r="V154" s="143"/>
      <c r="W154" s="144">
        <f t="shared" si="2"/>
        <v>4500</v>
      </c>
      <c r="X154" s="176"/>
    </row>
    <row r="155" ht="45.0" customHeight="1">
      <c r="A155" s="137">
        <v>154.0</v>
      </c>
      <c r="B155" s="137" t="s">
        <v>173</v>
      </c>
      <c r="C155" s="137" t="s">
        <v>677</v>
      </c>
      <c r="D155" s="138" t="s">
        <v>678</v>
      </c>
      <c r="E155" s="139" t="s">
        <v>489</v>
      </c>
      <c r="F155" s="140">
        <v>100.0</v>
      </c>
      <c r="G155" s="140">
        <v>100.0</v>
      </c>
      <c r="H155" s="140">
        <v>1.0</v>
      </c>
      <c r="I155" s="137">
        <f t="shared" si="5"/>
        <v>100</v>
      </c>
      <c r="J155" s="141" t="s">
        <v>178</v>
      </c>
      <c r="K155" s="138"/>
      <c r="L155" s="140" t="s">
        <v>518</v>
      </c>
      <c r="M155" s="138" t="s">
        <v>1950</v>
      </c>
      <c r="N155" s="142" t="s">
        <v>679</v>
      </c>
      <c r="O155" s="137" t="str">
        <f t="shared" si="12"/>
        <v/>
      </c>
      <c r="P155" s="137" t="s">
        <v>1688</v>
      </c>
      <c r="Q155" s="137"/>
      <c r="R155" s="137"/>
      <c r="S155" s="137"/>
      <c r="T155" s="137"/>
      <c r="U155" s="137">
        <v>1.0</v>
      </c>
      <c r="V155" s="143"/>
      <c r="W155" s="144">
        <f t="shared" si="2"/>
        <v>4500</v>
      </c>
      <c r="X155" s="176"/>
    </row>
    <row r="156" ht="45.0" customHeight="1">
      <c r="A156" s="137">
        <v>155.0</v>
      </c>
      <c r="B156" s="137" t="s">
        <v>173</v>
      </c>
      <c r="C156" s="137" t="s">
        <v>681</v>
      </c>
      <c r="D156" s="138" t="s">
        <v>682</v>
      </c>
      <c r="E156" s="139" t="s">
        <v>489</v>
      </c>
      <c r="F156" s="140">
        <v>100.0</v>
      </c>
      <c r="G156" s="140">
        <v>100.0</v>
      </c>
      <c r="H156" s="140">
        <v>1.0</v>
      </c>
      <c r="I156" s="137">
        <f t="shared" si="5"/>
        <v>100</v>
      </c>
      <c r="J156" s="141" t="s">
        <v>178</v>
      </c>
      <c r="K156" s="138"/>
      <c r="L156" s="140" t="s">
        <v>518</v>
      </c>
      <c r="M156" s="138" t="s">
        <v>1950</v>
      </c>
      <c r="N156" s="142" t="s">
        <v>683</v>
      </c>
      <c r="O156" s="137" t="str">
        <f t="shared" si="12"/>
        <v/>
      </c>
      <c r="P156" s="137" t="s">
        <v>1688</v>
      </c>
      <c r="Q156" s="137"/>
      <c r="R156" s="137"/>
      <c r="S156" s="137"/>
      <c r="T156" s="137"/>
      <c r="U156" s="137">
        <v>1.0</v>
      </c>
      <c r="V156" s="143"/>
      <c r="W156" s="144">
        <f t="shared" si="2"/>
        <v>4500</v>
      </c>
      <c r="X156" s="176"/>
    </row>
    <row r="157" ht="45.0" customHeight="1">
      <c r="A157" s="137">
        <v>156.0</v>
      </c>
      <c r="B157" s="137" t="s">
        <v>173</v>
      </c>
      <c r="C157" s="137" t="s">
        <v>685</v>
      </c>
      <c r="D157" s="138" t="s">
        <v>686</v>
      </c>
      <c r="E157" s="139" t="s">
        <v>489</v>
      </c>
      <c r="F157" s="140">
        <v>100.0</v>
      </c>
      <c r="G157" s="140">
        <v>100.0</v>
      </c>
      <c r="H157" s="140">
        <v>1.0</v>
      </c>
      <c r="I157" s="137">
        <f t="shared" si="5"/>
        <v>100</v>
      </c>
      <c r="J157" s="141" t="s">
        <v>178</v>
      </c>
      <c r="K157" s="138"/>
      <c r="L157" s="140" t="s">
        <v>518</v>
      </c>
      <c r="M157" s="138" t="s">
        <v>1950</v>
      </c>
      <c r="N157" s="142" t="s">
        <v>687</v>
      </c>
      <c r="O157" s="137" t="str">
        <f t="shared" si="12"/>
        <v/>
      </c>
      <c r="P157" s="137" t="s">
        <v>1688</v>
      </c>
      <c r="Q157" s="137"/>
      <c r="R157" s="137"/>
      <c r="S157" s="137"/>
      <c r="T157" s="137"/>
      <c r="U157" s="137">
        <v>1.0</v>
      </c>
      <c r="V157" s="143"/>
      <c r="W157" s="144">
        <f t="shared" si="2"/>
        <v>4500</v>
      </c>
      <c r="X157" s="176"/>
    </row>
    <row r="158" ht="45.0" customHeight="1">
      <c r="A158" s="137">
        <v>157.0</v>
      </c>
      <c r="B158" s="137" t="s">
        <v>173</v>
      </c>
      <c r="C158" s="137" t="s">
        <v>689</v>
      </c>
      <c r="D158" s="138" t="s">
        <v>690</v>
      </c>
      <c r="E158" s="139" t="s">
        <v>489</v>
      </c>
      <c r="F158" s="140">
        <v>100.0</v>
      </c>
      <c r="G158" s="140">
        <v>100.0</v>
      </c>
      <c r="H158" s="140">
        <v>1.0</v>
      </c>
      <c r="I158" s="137">
        <f t="shared" si="5"/>
        <v>100</v>
      </c>
      <c r="J158" s="141" t="s">
        <v>178</v>
      </c>
      <c r="K158" s="138"/>
      <c r="L158" s="140" t="s">
        <v>518</v>
      </c>
      <c r="M158" s="138" t="s">
        <v>1950</v>
      </c>
      <c r="N158" s="142" t="s">
        <v>691</v>
      </c>
      <c r="O158" s="137" t="str">
        <f t="shared" si="12"/>
        <v/>
      </c>
      <c r="P158" s="137" t="s">
        <v>1688</v>
      </c>
      <c r="Q158" s="137"/>
      <c r="R158" s="137"/>
      <c r="S158" s="137"/>
      <c r="T158" s="137"/>
      <c r="U158" s="137">
        <v>1.0</v>
      </c>
      <c r="V158" s="143"/>
      <c r="W158" s="144">
        <f t="shared" si="2"/>
        <v>4500</v>
      </c>
      <c r="X158" s="176"/>
    </row>
    <row r="159" ht="45.0" customHeight="1">
      <c r="A159" s="137">
        <v>158.0</v>
      </c>
      <c r="B159" s="137" t="s">
        <v>173</v>
      </c>
      <c r="C159" s="137" t="s">
        <v>693</v>
      </c>
      <c r="D159" s="138" t="s">
        <v>694</v>
      </c>
      <c r="E159" s="139" t="s">
        <v>489</v>
      </c>
      <c r="F159" s="140">
        <v>100.0</v>
      </c>
      <c r="G159" s="140">
        <v>100.0</v>
      </c>
      <c r="H159" s="140">
        <v>1.0</v>
      </c>
      <c r="I159" s="137">
        <f t="shared" si="5"/>
        <v>100</v>
      </c>
      <c r="J159" s="141" t="s">
        <v>178</v>
      </c>
      <c r="K159" s="138"/>
      <c r="L159" s="140" t="s">
        <v>518</v>
      </c>
      <c r="M159" s="138" t="s">
        <v>1950</v>
      </c>
      <c r="N159" s="142" t="s">
        <v>695</v>
      </c>
      <c r="O159" s="137" t="str">
        <f t="shared" si="12"/>
        <v/>
      </c>
      <c r="P159" s="137" t="s">
        <v>1688</v>
      </c>
      <c r="Q159" s="137"/>
      <c r="R159" s="137"/>
      <c r="S159" s="137"/>
      <c r="T159" s="137"/>
      <c r="U159" s="137">
        <v>1.0</v>
      </c>
      <c r="V159" s="143"/>
      <c r="W159" s="144">
        <f t="shared" si="2"/>
        <v>4500</v>
      </c>
      <c r="X159" s="176"/>
    </row>
    <row r="160" ht="45.0" customHeight="1">
      <c r="A160" s="137">
        <v>159.0</v>
      </c>
      <c r="B160" s="137" t="s">
        <v>173</v>
      </c>
      <c r="C160" s="137" t="s">
        <v>697</v>
      </c>
      <c r="D160" s="138" t="s">
        <v>698</v>
      </c>
      <c r="E160" s="139" t="s">
        <v>489</v>
      </c>
      <c r="F160" s="140">
        <v>100.0</v>
      </c>
      <c r="G160" s="140">
        <v>100.0</v>
      </c>
      <c r="H160" s="140">
        <v>1.0</v>
      </c>
      <c r="I160" s="137">
        <f t="shared" si="5"/>
        <v>100</v>
      </c>
      <c r="J160" s="141" t="s">
        <v>178</v>
      </c>
      <c r="K160" s="138"/>
      <c r="L160" s="140" t="s">
        <v>518</v>
      </c>
      <c r="M160" s="138" t="s">
        <v>1950</v>
      </c>
      <c r="N160" s="142" t="s">
        <v>699</v>
      </c>
      <c r="O160" s="137" t="str">
        <f t="shared" si="12"/>
        <v/>
      </c>
      <c r="P160" s="137" t="s">
        <v>1688</v>
      </c>
      <c r="Q160" s="137"/>
      <c r="R160" s="137"/>
      <c r="S160" s="147"/>
      <c r="T160" s="147"/>
      <c r="U160" s="137">
        <v>1.0</v>
      </c>
      <c r="V160" s="143"/>
      <c r="W160" s="144">
        <f t="shared" si="2"/>
        <v>4500</v>
      </c>
      <c r="X160" s="176"/>
    </row>
    <row r="161" ht="45.0" customHeight="1">
      <c r="A161" s="137">
        <v>160.0</v>
      </c>
      <c r="B161" s="137" t="s">
        <v>173</v>
      </c>
      <c r="C161" s="137" t="s">
        <v>701</v>
      </c>
      <c r="D161" s="138" t="s">
        <v>702</v>
      </c>
      <c r="E161" s="139" t="s">
        <v>489</v>
      </c>
      <c r="F161" s="140">
        <v>100.0</v>
      </c>
      <c r="G161" s="140">
        <v>100.0</v>
      </c>
      <c r="H161" s="140">
        <v>1.0</v>
      </c>
      <c r="I161" s="137">
        <f t="shared" si="5"/>
        <v>100</v>
      </c>
      <c r="J161" s="141" t="s">
        <v>178</v>
      </c>
      <c r="K161" s="138"/>
      <c r="L161" s="140" t="s">
        <v>518</v>
      </c>
      <c r="M161" s="138" t="s">
        <v>1950</v>
      </c>
      <c r="N161" s="142" t="s">
        <v>703</v>
      </c>
      <c r="O161" s="137" t="str">
        <f t="shared" si="12"/>
        <v/>
      </c>
      <c r="P161" s="137" t="s">
        <v>1688</v>
      </c>
      <c r="Q161" s="137"/>
      <c r="R161" s="137"/>
      <c r="S161" s="137"/>
      <c r="T161" s="137"/>
      <c r="U161" s="137">
        <v>1.0</v>
      </c>
      <c r="V161" s="143"/>
      <c r="W161" s="144">
        <f t="shared" si="2"/>
        <v>4500</v>
      </c>
      <c r="X161" s="176"/>
    </row>
    <row r="162" ht="45.0" customHeight="1">
      <c r="A162" s="137">
        <v>161.0</v>
      </c>
      <c r="B162" s="137" t="s">
        <v>173</v>
      </c>
      <c r="C162" s="137" t="s">
        <v>705</v>
      </c>
      <c r="D162" s="138" t="s">
        <v>706</v>
      </c>
      <c r="E162" s="139" t="s">
        <v>489</v>
      </c>
      <c r="F162" s="140">
        <v>100.0</v>
      </c>
      <c r="G162" s="140">
        <v>100.0</v>
      </c>
      <c r="H162" s="140">
        <v>1.0</v>
      </c>
      <c r="I162" s="137">
        <f t="shared" si="5"/>
        <v>100</v>
      </c>
      <c r="J162" s="141" t="s">
        <v>178</v>
      </c>
      <c r="K162" s="138"/>
      <c r="L162" s="140" t="s">
        <v>518</v>
      </c>
      <c r="M162" s="138" t="s">
        <v>1950</v>
      </c>
      <c r="N162" s="142" t="s">
        <v>707</v>
      </c>
      <c r="O162" s="137" t="str">
        <f t="shared" si="12"/>
        <v/>
      </c>
      <c r="P162" s="137" t="s">
        <v>1688</v>
      </c>
      <c r="Q162" s="137"/>
      <c r="R162" s="137"/>
      <c r="S162" s="137"/>
      <c r="T162" s="137"/>
      <c r="U162" s="137">
        <v>1.0</v>
      </c>
      <c r="V162" s="143"/>
      <c r="W162" s="144">
        <f t="shared" si="2"/>
        <v>4500</v>
      </c>
      <c r="X162" s="176"/>
    </row>
    <row r="163" ht="45.0" customHeight="1">
      <c r="A163" s="137">
        <v>162.0</v>
      </c>
      <c r="B163" s="137" t="s">
        <v>173</v>
      </c>
      <c r="C163" s="137" t="s">
        <v>709</v>
      </c>
      <c r="D163" s="138" t="s">
        <v>710</v>
      </c>
      <c r="E163" s="139" t="s">
        <v>489</v>
      </c>
      <c r="F163" s="140">
        <v>100.0</v>
      </c>
      <c r="G163" s="140">
        <v>100.0</v>
      </c>
      <c r="H163" s="140">
        <v>1.0</v>
      </c>
      <c r="I163" s="137">
        <f t="shared" si="5"/>
        <v>100</v>
      </c>
      <c r="J163" s="141" t="s">
        <v>178</v>
      </c>
      <c r="K163" s="138"/>
      <c r="L163" s="140" t="s">
        <v>518</v>
      </c>
      <c r="M163" s="138" t="s">
        <v>1950</v>
      </c>
      <c r="N163" s="142" t="s">
        <v>711</v>
      </c>
      <c r="O163" s="137" t="str">
        <f t="shared" si="12"/>
        <v/>
      </c>
      <c r="P163" s="137" t="s">
        <v>1688</v>
      </c>
      <c r="Q163" s="137"/>
      <c r="R163" s="137"/>
      <c r="S163" s="137"/>
      <c r="T163" s="137"/>
      <c r="U163" s="137">
        <v>1.0</v>
      </c>
      <c r="V163" s="143"/>
      <c r="W163" s="144">
        <f t="shared" si="2"/>
        <v>4500</v>
      </c>
      <c r="X163" s="176"/>
    </row>
    <row r="164" ht="45.0" customHeight="1">
      <c r="A164" s="137">
        <v>163.0</v>
      </c>
      <c r="B164" s="137" t="s">
        <v>173</v>
      </c>
      <c r="C164" s="137" t="s">
        <v>713</v>
      </c>
      <c r="D164" s="138" t="s">
        <v>714</v>
      </c>
      <c r="E164" s="139" t="s">
        <v>489</v>
      </c>
      <c r="F164" s="140">
        <v>100.0</v>
      </c>
      <c r="G164" s="140">
        <v>100.0</v>
      </c>
      <c r="H164" s="140">
        <v>1.0</v>
      </c>
      <c r="I164" s="137">
        <f t="shared" si="5"/>
        <v>100</v>
      </c>
      <c r="J164" s="141" t="s">
        <v>178</v>
      </c>
      <c r="K164" s="138"/>
      <c r="L164" s="140" t="s">
        <v>518</v>
      </c>
      <c r="M164" s="138" t="s">
        <v>1950</v>
      </c>
      <c r="N164" s="142" t="s">
        <v>715</v>
      </c>
      <c r="O164" s="137" t="str">
        <f t="shared" si="12"/>
        <v/>
      </c>
      <c r="P164" s="137" t="s">
        <v>1688</v>
      </c>
      <c r="Q164" s="137"/>
      <c r="R164" s="137"/>
      <c r="S164" s="137"/>
      <c r="T164" s="137"/>
      <c r="U164" s="137">
        <v>1.0</v>
      </c>
      <c r="V164" s="143"/>
      <c r="W164" s="144">
        <f t="shared" si="2"/>
        <v>4500</v>
      </c>
      <c r="X164" s="176"/>
    </row>
    <row r="165" ht="45.0" customHeight="1">
      <c r="A165" s="137">
        <v>164.0</v>
      </c>
      <c r="B165" s="137" t="s">
        <v>173</v>
      </c>
      <c r="C165" s="137" t="s">
        <v>717</v>
      </c>
      <c r="D165" s="138" t="s">
        <v>718</v>
      </c>
      <c r="E165" s="139" t="s">
        <v>489</v>
      </c>
      <c r="F165" s="140">
        <v>100.0</v>
      </c>
      <c r="G165" s="140">
        <v>100.0</v>
      </c>
      <c r="H165" s="140">
        <v>1.0</v>
      </c>
      <c r="I165" s="137">
        <f t="shared" si="5"/>
        <v>100</v>
      </c>
      <c r="J165" s="141" t="s">
        <v>178</v>
      </c>
      <c r="K165" s="138"/>
      <c r="L165" s="140" t="s">
        <v>518</v>
      </c>
      <c r="M165" s="138" t="s">
        <v>1950</v>
      </c>
      <c r="N165" s="142" t="s">
        <v>719</v>
      </c>
      <c r="O165" s="137" t="str">
        <f t="shared" si="12"/>
        <v/>
      </c>
      <c r="P165" s="137" t="s">
        <v>1688</v>
      </c>
      <c r="Q165" s="137"/>
      <c r="R165" s="137"/>
      <c r="S165" s="137"/>
      <c r="T165" s="137"/>
      <c r="U165" s="137">
        <v>1.0</v>
      </c>
      <c r="V165" s="143"/>
      <c r="W165" s="144">
        <f t="shared" si="2"/>
        <v>4500</v>
      </c>
      <c r="X165" s="176"/>
    </row>
    <row r="166" ht="45.0" customHeight="1">
      <c r="A166" s="137">
        <v>165.0</v>
      </c>
      <c r="B166" s="137" t="s">
        <v>173</v>
      </c>
      <c r="C166" s="137" t="s">
        <v>721</v>
      </c>
      <c r="D166" s="138" t="s">
        <v>722</v>
      </c>
      <c r="E166" s="139" t="s">
        <v>489</v>
      </c>
      <c r="F166" s="140">
        <v>100.0</v>
      </c>
      <c r="G166" s="140">
        <v>100.0</v>
      </c>
      <c r="H166" s="140">
        <v>1.0</v>
      </c>
      <c r="I166" s="137">
        <f t="shared" si="5"/>
        <v>100</v>
      </c>
      <c r="J166" s="141" t="s">
        <v>178</v>
      </c>
      <c r="K166" s="138"/>
      <c r="L166" s="140" t="s">
        <v>518</v>
      </c>
      <c r="M166" s="138" t="s">
        <v>1950</v>
      </c>
      <c r="N166" s="142" t="s">
        <v>723</v>
      </c>
      <c r="O166" s="137" t="str">
        <f t="shared" si="12"/>
        <v/>
      </c>
      <c r="P166" s="137" t="s">
        <v>1688</v>
      </c>
      <c r="Q166" s="137"/>
      <c r="R166" s="137"/>
      <c r="S166" s="137"/>
      <c r="T166" s="137"/>
      <c r="U166" s="137">
        <v>1.0</v>
      </c>
      <c r="V166" s="143"/>
      <c r="W166" s="144">
        <f t="shared" si="2"/>
        <v>4500</v>
      </c>
      <c r="X166" s="176"/>
    </row>
    <row r="167" ht="45.0" customHeight="1">
      <c r="A167" s="137">
        <v>166.0</v>
      </c>
      <c r="B167" s="137" t="s">
        <v>173</v>
      </c>
      <c r="C167" s="137" t="s">
        <v>725</v>
      </c>
      <c r="D167" s="138" t="s">
        <v>726</v>
      </c>
      <c r="E167" s="139" t="s">
        <v>489</v>
      </c>
      <c r="F167" s="140">
        <v>100.0</v>
      </c>
      <c r="G167" s="140">
        <v>100.0</v>
      </c>
      <c r="H167" s="140">
        <v>1.0</v>
      </c>
      <c r="I167" s="137">
        <f t="shared" si="5"/>
        <v>100</v>
      </c>
      <c r="J167" s="141" t="s">
        <v>178</v>
      </c>
      <c r="K167" s="138"/>
      <c r="L167" s="140" t="s">
        <v>518</v>
      </c>
      <c r="M167" s="138" t="s">
        <v>1950</v>
      </c>
      <c r="N167" s="142" t="s">
        <v>727</v>
      </c>
      <c r="O167" s="137" t="str">
        <f t="shared" si="12"/>
        <v/>
      </c>
      <c r="P167" s="137" t="s">
        <v>1688</v>
      </c>
      <c r="Q167" s="137"/>
      <c r="R167" s="137"/>
      <c r="S167" s="137"/>
      <c r="T167" s="137"/>
      <c r="U167" s="137">
        <v>1.0</v>
      </c>
      <c r="V167" s="143"/>
      <c r="W167" s="144">
        <f t="shared" si="2"/>
        <v>4500</v>
      </c>
      <c r="X167" s="176"/>
    </row>
    <row r="168" ht="45.0" customHeight="1">
      <c r="A168" s="137">
        <v>167.0</v>
      </c>
      <c r="B168" s="137" t="s">
        <v>173</v>
      </c>
      <c r="C168" s="137" t="s">
        <v>729</v>
      </c>
      <c r="D168" s="138" t="s">
        <v>730</v>
      </c>
      <c r="E168" s="139" t="s">
        <v>489</v>
      </c>
      <c r="F168" s="140">
        <v>100.0</v>
      </c>
      <c r="G168" s="140">
        <v>100.0</v>
      </c>
      <c r="H168" s="140">
        <v>1.0</v>
      </c>
      <c r="I168" s="137">
        <f t="shared" si="5"/>
        <v>100</v>
      </c>
      <c r="J168" s="141" t="s">
        <v>178</v>
      </c>
      <c r="K168" s="138"/>
      <c r="L168" s="140" t="s">
        <v>518</v>
      </c>
      <c r="M168" s="138" t="s">
        <v>1950</v>
      </c>
      <c r="N168" s="142" t="s">
        <v>731</v>
      </c>
      <c r="O168" s="137" t="str">
        <f t="shared" si="12"/>
        <v/>
      </c>
      <c r="P168" s="137" t="s">
        <v>1688</v>
      </c>
      <c r="Q168" s="137"/>
      <c r="R168" s="137"/>
      <c r="S168" s="137"/>
      <c r="T168" s="137"/>
      <c r="U168" s="137">
        <v>1.0</v>
      </c>
      <c r="V168" s="143"/>
      <c r="W168" s="144">
        <f t="shared" si="2"/>
        <v>4500</v>
      </c>
      <c r="X168" s="176"/>
    </row>
    <row r="169" ht="45.0" customHeight="1">
      <c r="A169" s="137">
        <v>168.0</v>
      </c>
      <c r="B169" s="137" t="s">
        <v>173</v>
      </c>
      <c r="C169" s="137" t="s">
        <v>733</v>
      </c>
      <c r="D169" s="138" t="s">
        <v>734</v>
      </c>
      <c r="E169" s="139" t="s">
        <v>489</v>
      </c>
      <c r="F169" s="140">
        <v>100.0</v>
      </c>
      <c r="G169" s="140">
        <v>100.0</v>
      </c>
      <c r="H169" s="140">
        <v>1.0</v>
      </c>
      <c r="I169" s="137">
        <f t="shared" si="5"/>
        <v>100</v>
      </c>
      <c r="J169" s="141" t="s">
        <v>178</v>
      </c>
      <c r="K169" s="138"/>
      <c r="L169" s="140" t="s">
        <v>518</v>
      </c>
      <c r="M169" s="138" t="s">
        <v>1950</v>
      </c>
      <c r="N169" s="142" t="s">
        <v>735</v>
      </c>
      <c r="O169" s="137" t="str">
        <f t="shared" si="12"/>
        <v/>
      </c>
      <c r="P169" s="137" t="s">
        <v>1688</v>
      </c>
      <c r="Q169" s="137"/>
      <c r="R169" s="137"/>
      <c r="S169" s="147"/>
      <c r="T169" s="147"/>
      <c r="U169" s="137">
        <v>1.0</v>
      </c>
      <c r="V169" s="143"/>
      <c r="W169" s="144">
        <f t="shared" si="2"/>
        <v>4500</v>
      </c>
      <c r="X169" s="176"/>
    </row>
    <row r="170" ht="45.0" customHeight="1">
      <c r="A170" s="137">
        <v>169.0</v>
      </c>
      <c r="B170" s="137" t="s">
        <v>173</v>
      </c>
      <c r="C170" s="137" t="s">
        <v>737</v>
      </c>
      <c r="D170" s="138" t="s">
        <v>738</v>
      </c>
      <c r="E170" s="139" t="s">
        <v>489</v>
      </c>
      <c r="F170" s="140">
        <v>100.0</v>
      </c>
      <c r="G170" s="140">
        <v>100.0</v>
      </c>
      <c r="H170" s="140">
        <v>1.0</v>
      </c>
      <c r="I170" s="137">
        <f t="shared" si="5"/>
        <v>100</v>
      </c>
      <c r="J170" s="141" t="s">
        <v>178</v>
      </c>
      <c r="K170" s="138"/>
      <c r="L170" s="140" t="s">
        <v>518</v>
      </c>
      <c r="M170" s="138" t="s">
        <v>1950</v>
      </c>
      <c r="N170" s="142" t="s">
        <v>739</v>
      </c>
      <c r="O170" s="137" t="str">
        <f t="shared" si="12"/>
        <v/>
      </c>
      <c r="P170" s="137" t="s">
        <v>1688</v>
      </c>
      <c r="Q170" s="137"/>
      <c r="R170" s="137"/>
      <c r="S170" s="137"/>
      <c r="T170" s="137"/>
      <c r="U170" s="137">
        <v>1.0</v>
      </c>
      <c r="V170" s="143"/>
      <c r="W170" s="144">
        <f t="shared" si="2"/>
        <v>4500</v>
      </c>
      <c r="X170" s="176"/>
    </row>
    <row r="171" ht="45.0" customHeight="1">
      <c r="A171" s="137">
        <v>170.0</v>
      </c>
      <c r="B171" s="137" t="s">
        <v>173</v>
      </c>
      <c r="C171" s="137" t="s">
        <v>741</v>
      </c>
      <c r="D171" s="138" t="s">
        <v>742</v>
      </c>
      <c r="E171" s="139" t="s">
        <v>489</v>
      </c>
      <c r="F171" s="140">
        <v>100.0</v>
      </c>
      <c r="G171" s="140">
        <v>100.0</v>
      </c>
      <c r="H171" s="140">
        <v>1.0</v>
      </c>
      <c r="I171" s="137">
        <f t="shared" si="5"/>
        <v>100</v>
      </c>
      <c r="J171" s="141" t="s">
        <v>178</v>
      </c>
      <c r="K171" s="138"/>
      <c r="L171" s="140" t="s">
        <v>518</v>
      </c>
      <c r="M171" s="138" t="s">
        <v>1950</v>
      </c>
      <c r="N171" s="142" t="s">
        <v>743</v>
      </c>
      <c r="O171" s="137" t="str">
        <f t="shared" si="12"/>
        <v/>
      </c>
      <c r="P171" s="137" t="s">
        <v>1688</v>
      </c>
      <c r="Q171" s="137"/>
      <c r="R171" s="137"/>
      <c r="S171" s="137"/>
      <c r="T171" s="137"/>
      <c r="U171" s="137">
        <v>1.0</v>
      </c>
      <c r="V171" s="143"/>
      <c r="W171" s="144">
        <f t="shared" si="2"/>
        <v>4500</v>
      </c>
      <c r="X171" s="176"/>
    </row>
    <row r="172" ht="45.0" customHeight="1">
      <c r="A172" s="137">
        <v>171.0</v>
      </c>
      <c r="B172" s="137" t="s">
        <v>173</v>
      </c>
      <c r="C172" s="137" t="s">
        <v>745</v>
      </c>
      <c r="D172" s="138" t="s">
        <v>746</v>
      </c>
      <c r="E172" s="139" t="s">
        <v>489</v>
      </c>
      <c r="F172" s="140">
        <v>100.0</v>
      </c>
      <c r="G172" s="140">
        <v>100.0</v>
      </c>
      <c r="H172" s="140">
        <v>1.0</v>
      </c>
      <c r="I172" s="137">
        <f t="shared" si="5"/>
        <v>100</v>
      </c>
      <c r="J172" s="141" t="s">
        <v>178</v>
      </c>
      <c r="K172" s="138"/>
      <c r="L172" s="140" t="s">
        <v>518</v>
      </c>
      <c r="M172" s="138" t="s">
        <v>1950</v>
      </c>
      <c r="N172" s="142" t="s">
        <v>747</v>
      </c>
      <c r="O172" s="137" t="str">
        <f t="shared" si="12"/>
        <v/>
      </c>
      <c r="P172" s="137" t="s">
        <v>1688</v>
      </c>
      <c r="Q172" s="137"/>
      <c r="R172" s="137"/>
      <c r="S172" s="137"/>
      <c r="T172" s="137"/>
      <c r="U172" s="137">
        <v>1.0</v>
      </c>
      <c r="V172" s="143"/>
      <c r="W172" s="144">
        <f t="shared" si="2"/>
        <v>4500</v>
      </c>
      <c r="X172" s="176"/>
    </row>
    <row r="173" ht="45.0" customHeight="1">
      <c r="A173" s="137">
        <v>172.0</v>
      </c>
      <c r="B173" s="137" t="s">
        <v>173</v>
      </c>
      <c r="C173" s="137" t="s">
        <v>749</v>
      </c>
      <c r="D173" s="138" t="s">
        <v>750</v>
      </c>
      <c r="E173" s="139" t="s">
        <v>489</v>
      </c>
      <c r="F173" s="140">
        <v>100.0</v>
      </c>
      <c r="G173" s="140">
        <v>100.0</v>
      </c>
      <c r="H173" s="140">
        <v>1.0</v>
      </c>
      <c r="I173" s="137">
        <f t="shared" si="5"/>
        <v>100</v>
      </c>
      <c r="J173" s="141" t="s">
        <v>178</v>
      </c>
      <c r="K173" s="138"/>
      <c r="L173" s="140" t="s">
        <v>518</v>
      </c>
      <c r="M173" s="138" t="s">
        <v>1950</v>
      </c>
      <c r="N173" s="142" t="s">
        <v>751</v>
      </c>
      <c r="O173" s="137" t="str">
        <f t="shared" si="12"/>
        <v/>
      </c>
      <c r="P173" s="137" t="s">
        <v>1688</v>
      </c>
      <c r="Q173" s="137"/>
      <c r="R173" s="137"/>
      <c r="S173" s="137"/>
      <c r="T173" s="137"/>
      <c r="U173" s="137">
        <v>1.0</v>
      </c>
      <c r="V173" s="143"/>
      <c r="W173" s="144">
        <f t="shared" si="2"/>
        <v>4500</v>
      </c>
      <c r="X173" s="176"/>
    </row>
    <row r="174" ht="45.0" customHeight="1">
      <c r="A174" s="137">
        <v>173.0</v>
      </c>
      <c r="B174" s="137" t="s">
        <v>173</v>
      </c>
      <c r="C174" s="137" t="s">
        <v>753</v>
      </c>
      <c r="D174" s="138" t="s">
        <v>754</v>
      </c>
      <c r="E174" s="139" t="s">
        <v>489</v>
      </c>
      <c r="F174" s="140">
        <v>100.0</v>
      </c>
      <c r="G174" s="140">
        <v>100.0</v>
      </c>
      <c r="H174" s="140">
        <v>1.0</v>
      </c>
      <c r="I174" s="137">
        <f t="shared" si="5"/>
        <v>100</v>
      </c>
      <c r="J174" s="141" t="s">
        <v>178</v>
      </c>
      <c r="K174" s="138"/>
      <c r="L174" s="140" t="s">
        <v>518</v>
      </c>
      <c r="M174" s="138" t="s">
        <v>1950</v>
      </c>
      <c r="N174" s="142" t="s">
        <v>755</v>
      </c>
      <c r="O174" s="137" t="str">
        <f t="shared" si="12"/>
        <v/>
      </c>
      <c r="P174" s="137" t="s">
        <v>1688</v>
      </c>
      <c r="Q174" s="137"/>
      <c r="R174" s="137"/>
      <c r="S174" s="137"/>
      <c r="T174" s="137"/>
      <c r="U174" s="137">
        <v>1.0</v>
      </c>
      <c r="V174" s="143"/>
      <c r="W174" s="144">
        <f t="shared" si="2"/>
        <v>4500</v>
      </c>
      <c r="X174" s="176"/>
    </row>
    <row r="175" ht="45.0" customHeight="1">
      <c r="A175" s="137">
        <v>174.0</v>
      </c>
      <c r="B175" s="137" t="s">
        <v>173</v>
      </c>
      <c r="C175" s="137" t="s">
        <v>757</v>
      </c>
      <c r="D175" s="138" t="s">
        <v>758</v>
      </c>
      <c r="E175" s="139" t="s">
        <v>489</v>
      </c>
      <c r="F175" s="140">
        <v>100.0</v>
      </c>
      <c r="G175" s="140">
        <v>100.0</v>
      </c>
      <c r="H175" s="140">
        <v>1.0</v>
      </c>
      <c r="I175" s="137">
        <f t="shared" si="5"/>
        <v>100</v>
      </c>
      <c r="J175" s="141" t="s">
        <v>178</v>
      </c>
      <c r="K175" s="138"/>
      <c r="L175" s="140" t="s">
        <v>518</v>
      </c>
      <c r="M175" s="138" t="s">
        <v>1950</v>
      </c>
      <c r="N175" s="142" t="s">
        <v>759</v>
      </c>
      <c r="O175" s="137" t="str">
        <f t="shared" si="12"/>
        <v/>
      </c>
      <c r="P175" s="137" t="s">
        <v>1688</v>
      </c>
      <c r="Q175" s="137"/>
      <c r="R175" s="137"/>
      <c r="S175" s="137"/>
      <c r="T175" s="137"/>
      <c r="U175" s="137">
        <v>1.0</v>
      </c>
      <c r="V175" s="143"/>
      <c r="W175" s="144">
        <f t="shared" si="2"/>
        <v>4500</v>
      </c>
      <c r="X175" s="176"/>
    </row>
    <row r="176" ht="45.0" customHeight="1">
      <c r="A176" s="137">
        <v>175.0</v>
      </c>
      <c r="B176" s="137" t="s">
        <v>173</v>
      </c>
      <c r="C176" s="137" t="s">
        <v>761</v>
      </c>
      <c r="D176" s="138" t="s">
        <v>762</v>
      </c>
      <c r="E176" s="139" t="s">
        <v>489</v>
      </c>
      <c r="F176" s="140">
        <v>100.0</v>
      </c>
      <c r="G176" s="140">
        <v>100.0</v>
      </c>
      <c r="H176" s="140">
        <v>1.0</v>
      </c>
      <c r="I176" s="137">
        <f t="shared" si="5"/>
        <v>100</v>
      </c>
      <c r="J176" s="141" t="s">
        <v>178</v>
      </c>
      <c r="K176" s="138"/>
      <c r="L176" s="140" t="s">
        <v>518</v>
      </c>
      <c r="M176" s="138" t="s">
        <v>1950</v>
      </c>
      <c r="N176" s="142" t="s">
        <v>763</v>
      </c>
      <c r="O176" s="137" t="str">
        <f t="shared" si="12"/>
        <v/>
      </c>
      <c r="P176" s="137" t="s">
        <v>1688</v>
      </c>
      <c r="Q176" s="137"/>
      <c r="R176" s="137"/>
      <c r="S176" s="137"/>
      <c r="T176" s="137"/>
      <c r="U176" s="137">
        <v>1.0</v>
      </c>
      <c r="V176" s="143"/>
      <c r="W176" s="144">
        <f t="shared" si="2"/>
        <v>4500</v>
      </c>
      <c r="X176" s="176"/>
    </row>
    <row r="177" ht="45.0" customHeight="1">
      <c r="A177" s="137">
        <v>176.0</v>
      </c>
      <c r="B177" s="137" t="s">
        <v>173</v>
      </c>
      <c r="C177" s="137" t="s">
        <v>765</v>
      </c>
      <c r="D177" s="138" t="s">
        <v>766</v>
      </c>
      <c r="E177" s="139" t="s">
        <v>489</v>
      </c>
      <c r="F177" s="140">
        <v>100.0</v>
      </c>
      <c r="G177" s="140">
        <v>100.0</v>
      </c>
      <c r="H177" s="140">
        <v>1.0</v>
      </c>
      <c r="I177" s="137">
        <f t="shared" si="5"/>
        <v>100</v>
      </c>
      <c r="J177" s="141" t="s">
        <v>178</v>
      </c>
      <c r="K177" s="138"/>
      <c r="L177" s="140" t="s">
        <v>518</v>
      </c>
      <c r="M177" s="138" t="s">
        <v>1950</v>
      </c>
      <c r="N177" s="142" t="s">
        <v>767</v>
      </c>
      <c r="O177" s="137" t="str">
        <f t="shared" si="12"/>
        <v/>
      </c>
      <c r="P177" s="137" t="s">
        <v>1688</v>
      </c>
      <c r="Q177" s="137"/>
      <c r="R177" s="137"/>
      <c r="S177" s="137"/>
      <c r="T177" s="137"/>
      <c r="U177" s="137">
        <v>1.0</v>
      </c>
      <c r="V177" s="143"/>
      <c r="W177" s="144">
        <f t="shared" si="2"/>
        <v>4500</v>
      </c>
      <c r="X177" s="176"/>
    </row>
    <row r="178" ht="45.0" customHeight="1">
      <c r="A178" s="137">
        <v>177.0</v>
      </c>
      <c r="B178" s="137" t="s">
        <v>173</v>
      </c>
      <c r="C178" s="137" t="s">
        <v>769</v>
      </c>
      <c r="D178" s="138" t="s">
        <v>770</v>
      </c>
      <c r="E178" s="139" t="s">
        <v>489</v>
      </c>
      <c r="F178" s="140">
        <v>100.0</v>
      </c>
      <c r="G178" s="140">
        <v>100.0</v>
      </c>
      <c r="H178" s="140">
        <v>1.0</v>
      </c>
      <c r="I178" s="137">
        <f t="shared" si="5"/>
        <v>100</v>
      </c>
      <c r="J178" s="141" t="s">
        <v>178</v>
      </c>
      <c r="K178" s="138"/>
      <c r="L178" s="140" t="s">
        <v>518</v>
      </c>
      <c r="M178" s="138" t="s">
        <v>1950</v>
      </c>
      <c r="N178" s="142" t="s">
        <v>771</v>
      </c>
      <c r="O178" s="137" t="str">
        <f t="shared" si="12"/>
        <v/>
      </c>
      <c r="P178" s="137" t="s">
        <v>1688</v>
      </c>
      <c r="Q178" s="137"/>
      <c r="R178" s="137"/>
      <c r="S178" s="137"/>
      <c r="T178" s="137"/>
      <c r="U178" s="137">
        <v>1.0</v>
      </c>
      <c r="V178" s="143"/>
      <c r="W178" s="144">
        <f t="shared" si="2"/>
        <v>4500</v>
      </c>
      <c r="X178" s="176"/>
    </row>
    <row r="179" ht="45.0" customHeight="1">
      <c r="A179" s="137">
        <v>178.0</v>
      </c>
      <c r="B179" s="137" t="s">
        <v>173</v>
      </c>
      <c r="C179" s="137" t="s">
        <v>773</v>
      </c>
      <c r="D179" s="138" t="s">
        <v>774</v>
      </c>
      <c r="E179" s="139" t="s">
        <v>489</v>
      </c>
      <c r="F179" s="140">
        <v>100.0</v>
      </c>
      <c r="G179" s="140">
        <v>100.0</v>
      </c>
      <c r="H179" s="140">
        <v>1.0</v>
      </c>
      <c r="I179" s="137">
        <f t="shared" si="5"/>
        <v>100</v>
      </c>
      <c r="J179" s="141" t="s">
        <v>178</v>
      </c>
      <c r="K179" s="138"/>
      <c r="L179" s="140" t="s">
        <v>518</v>
      </c>
      <c r="M179" s="138" t="s">
        <v>1950</v>
      </c>
      <c r="N179" s="142" t="s">
        <v>775</v>
      </c>
      <c r="O179" s="137" t="str">
        <f t="shared" si="12"/>
        <v/>
      </c>
      <c r="P179" s="137" t="s">
        <v>1688</v>
      </c>
      <c r="Q179" s="137"/>
      <c r="R179" s="137"/>
      <c r="S179" s="137"/>
      <c r="T179" s="137"/>
      <c r="U179" s="137">
        <v>1.0</v>
      </c>
      <c r="V179" s="143"/>
      <c r="W179" s="144">
        <f t="shared" si="2"/>
        <v>4500</v>
      </c>
      <c r="X179" s="176"/>
    </row>
    <row r="180" ht="45.0" customHeight="1">
      <c r="A180" s="137">
        <v>179.0</v>
      </c>
      <c r="B180" s="137" t="s">
        <v>173</v>
      </c>
      <c r="C180" s="137" t="s">
        <v>777</v>
      </c>
      <c r="D180" s="138" t="s">
        <v>778</v>
      </c>
      <c r="E180" s="139" t="s">
        <v>489</v>
      </c>
      <c r="F180" s="140">
        <v>100.0</v>
      </c>
      <c r="G180" s="140">
        <v>100.0</v>
      </c>
      <c r="H180" s="140">
        <v>1.0</v>
      </c>
      <c r="I180" s="137">
        <f t="shared" si="5"/>
        <v>100</v>
      </c>
      <c r="J180" s="141" t="s">
        <v>178</v>
      </c>
      <c r="K180" s="138"/>
      <c r="L180" s="140" t="s">
        <v>518</v>
      </c>
      <c r="M180" s="138" t="s">
        <v>1950</v>
      </c>
      <c r="N180" s="142" t="s">
        <v>779</v>
      </c>
      <c r="O180" s="137" t="str">
        <f t="shared" si="12"/>
        <v/>
      </c>
      <c r="P180" s="137" t="s">
        <v>1688</v>
      </c>
      <c r="Q180" s="137"/>
      <c r="R180" s="137"/>
      <c r="S180" s="137"/>
      <c r="T180" s="137"/>
      <c r="U180" s="137">
        <v>1.0</v>
      </c>
      <c r="V180" s="143"/>
      <c r="W180" s="144">
        <f t="shared" si="2"/>
        <v>4500</v>
      </c>
      <c r="X180" s="176"/>
    </row>
    <row r="181" ht="45.0" customHeight="1">
      <c r="A181" s="137">
        <v>180.0</v>
      </c>
      <c r="B181" s="137" t="s">
        <v>173</v>
      </c>
      <c r="C181" s="137" t="s">
        <v>781</v>
      </c>
      <c r="D181" s="138" t="s">
        <v>782</v>
      </c>
      <c r="E181" s="139" t="s">
        <v>489</v>
      </c>
      <c r="F181" s="140">
        <v>100.0</v>
      </c>
      <c r="G181" s="140">
        <v>100.0</v>
      </c>
      <c r="H181" s="140">
        <v>1.0</v>
      </c>
      <c r="I181" s="137">
        <f t="shared" si="5"/>
        <v>100</v>
      </c>
      <c r="J181" s="141" t="s">
        <v>178</v>
      </c>
      <c r="K181" s="138"/>
      <c r="L181" s="140" t="s">
        <v>518</v>
      </c>
      <c r="M181" s="138" t="s">
        <v>1950</v>
      </c>
      <c r="N181" s="142" t="s">
        <v>783</v>
      </c>
      <c r="O181" s="137" t="str">
        <f t="shared" si="12"/>
        <v/>
      </c>
      <c r="P181" s="137" t="s">
        <v>1688</v>
      </c>
      <c r="Q181" s="137"/>
      <c r="R181" s="137"/>
      <c r="S181" s="137"/>
      <c r="T181" s="137"/>
      <c r="U181" s="137">
        <v>1.0</v>
      </c>
      <c r="V181" s="143"/>
      <c r="W181" s="144">
        <f t="shared" si="2"/>
        <v>4500</v>
      </c>
      <c r="X181" s="176"/>
    </row>
    <row r="182" ht="45.0" customHeight="1">
      <c r="A182" s="137">
        <v>181.0</v>
      </c>
      <c r="B182" s="137" t="s">
        <v>173</v>
      </c>
      <c r="C182" s="137" t="s">
        <v>785</v>
      </c>
      <c r="D182" s="138" t="s">
        <v>786</v>
      </c>
      <c r="E182" s="139" t="s">
        <v>489</v>
      </c>
      <c r="F182" s="140">
        <v>100.0</v>
      </c>
      <c r="G182" s="140">
        <v>100.0</v>
      </c>
      <c r="H182" s="140">
        <v>1.0</v>
      </c>
      <c r="I182" s="137">
        <f t="shared" si="5"/>
        <v>100</v>
      </c>
      <c r="J182" s="141" t="s">
        <v>178</v>
      </c>
      <c r="K182" s="138"/>
      <c r="L182" s="140" t="s">
        <v>518</v>
      </c>
      <c r="M182" s="138" t="s">
        <v>1950</v>
      </c>
      <c r="N182" s="142" t="s">
        <v>787</v>
      </c>
      <c r="O182" s="137" t="str">
        <f t="shared" si="12"/>
        <v/>
      </c>
      <c r="P182" s="137" t="s">
        <v>1688</v>
      </c>
      <c r="Q182" s="137"/>
      <c r="R182" s="137"/>
      <c r="S182" s="137"/>
      <c r="T182" s="137"/>
      <c r="U182" s="137">
        <v>1.0</v>
      </c>
      <c r="V182" s="143"/>
      <c r="W182" s="144">
        <f t="shared" si="2"/>
        <v>4500</v>
      </c>
      <c r="X182" s="176"/>
    </row>
    <row r="183" ht="45.0" customHeight="1">
      <c r="A183" s="137">
        <v>182.0</v>
      </c>
      <c r="B183" s="137" t="s">
        <v>173</v>
      </c>
      <c r="C183" s="137" t="s">
        <v>789</v>
      </c>
      <c r="D183" s="138" t="s">
        <v>790</v>
      </c>
      <c r="E183" s="139" t="s">
        <v>489</v>
      </c>
      <c r="F183" s="140">
        <v>100.0</v>
      </c>
      <c r="G183" s="140">
        <v>100.0</v>
      </c>
      <c r="H183" s="140">
        <v>1.0</v>
      </c>
      <c r="I183" s="137">
        <f t="shared" si="5"/>
        <v>100</v>
      </c>
      <c r="J183" s="141" t="s">
        <v>178</v>
      </c>
      <c r="K183" s="138"/>
      <c r="L183" s="140" t="s">
        <v>518</v>
      </c>
      <c r="M183" s="138" t="s">
        <v>1950</v>
      </c>
      <c r="N183" s="142" t="s">
        <v>791</v>
      </c>
      <c r="O183" s="137" t="str">
        <f t="shared" si="12"/>
        <v/>
      </c>
      <c r="P183" s="137" t="s">
        <v>1688</v>
      </c>
      <c r="Q183" s="137"/>
      <c r="R183" s="137"/>
      <c r="S183" s="137"/>
      <c r="T183" s="137"/>
      <c r="U183" s="137">
        <v>1.0</v>
      </c>
      <c r="V183" s="143"/>
      <c r="W183" s="144">
        <f t="shared" si="2"/>
        <v>4500</v>
      </c>
      <c r="X183" s="176"/>
    </row>
    <row r="184" ht="45.0" customHeight="1">
      <c r="A184" s="137">
        <v>183.0</v>
      </c>
      <c r="B184" s="137" t="s">
        <v>173</v>
      </c>
      <c r="C184" s="137" t="s">
        <v>793</v>
      </c>
      <c r="D184" s="138" t="s">
        <v>794</v>
      </c>
      <c r="E184" s="139" t="s">
        <v>489</v>
      </c>
      <c r="F184" s="140">
        <v>100.0</v>
      </c>
      <c r="G184" s="140">
        <v>100.0</v>
      </c>
      <c r="H184" s="140">
        <v>1.0</v>
      </c>
      <c r="I184" s="137">
        <f t="shared" si="5"/>
        <v>100</v>
      </c>
      <c r="J184" s="141" t="s">
        <v>178</v>
      </c>
      <c r="K184" s="138"/>
      <c r="L184" s="140" t="s">
        <v>518</v>
      </c>
      <c r="M184" s="138" t="s">
        <v>1950</v>
      </c>
      <c r="N184" s="142" t="s">
        <v>795</v>
      </c>
      <c r="O184" s="137" t="str">
        <f t="shared" si="12"/>
        <v/>
      </c>
      <c r="P184" s="137" t="s">
        <v>1688</v>
      </c>
      <c r="Q184" s="137"/>
      <c r="R184" s="137"/>
      <c r="S184" s="137"/>
      <c r="T184" s="137"/>
      <c r="U184" s="137">
        <v>1.0</v>
      </c>
      <c r="V184" s="143"/>
      <c r="W184" s="144">
        <f t="shared" si="2"/>
        <v>4500</v>
      </c>
      <c r="X184" s="176"/>
    </row>
    <row r="185" ht="45.0" customHeight="1">
      <c r="A185" s="137">
        <v>184.0</v>
      </c>
      <c r="B185" s="137" t="s">
        <v>173</v>
      </c>
      <c r="C185" s="137" t="s">
        <v>797</v>
      </c>
      <c r="D185" s="138" t="s">
        <v>798</v>
      </c>
      <c r="E185" s="139" t="s">
        <v>489</v>
      </c>
      <c r="F185" s="140">
        <v>100.0</v>
      </c>
      <c r="G185" s="140">
        <v>100.0</v>
      </c>
      <c r="H185" s="140">
        <v>1.0</v>
      </c>
      <c r="I185" s="137">
        <f t="shared" si="5"/>
        <v>100</v>
      </c>
      <c r="J185" s="141" t="s">
        <v>178</v>
      </c>
      <c r="K185" s="138"/>
      <c r="L185" s="140" t="s">
        <v>518</v>
      </c>
      <c r="M185" s="138" t="s">
        <v>1950</v>
      </c>
      <c r="N185" s="142" t="s">
        <v>799</v>
      </c>
      <c r="O185" s="137" t="str">
        <f t="shared" si="12"/>
        <v/>
      </c>
      <c r="P185" s="137" t="s">
        <v>1688</v>
      </c>
      <c r="Q185" s="137"/>
      <c r="R185" s="137"/>
      <c r="S185" s="137"/>
      <c r="T185" s="137"/>
      <c r="U185" s="137">
        <v>1.0</v>
      </c>
      <c r="V185" s="143"/>
      <c r="W185" s="144">
        <f t="shared" si="2"/>
        <v>4500</v>
      </c>
      <c r="X185" s="176"/>
    </row>
    <row r="186" ht="45.0" customHeight="1">
      <c r="A186" s="137">
        <v>185.0</v>
      </c>
      <c r="B186" s="137" t="s">
        <v>173</v>
      </c>
      <c r="C186" s="137" t="s">
        <v>801</v>
      </c>
      <c r="D186" s="138" t="s">
        <v>802</v>
      </c>
      <c r="E186" s="139" t="s">
        <v>489</v>
      </c>
      <c r="F186" s="140">
        <v>100.0</v>
      </c>
      <c r="G186" s="140">
        <v>100.0</v>
      </c>
      <c r="H186" s="140">
        <v>1.0</v>
      </c>
      <c r="I186" s="137">
        <f t="shared" si="5"/>
        <v>100</v>
      </c>
      <c r="J186" s="141" t="s">
        <v>178</v>
      </c>
      <c r="K186" s="138"/>
      <c r="L186" s="140" t="s">
        <v>518</v>
      </c>
      <c r="M186" s="138" t="s">
        <v>1950</v>
      </c>
      <c r="N186" s="142" t="s">
        <v>803</v>
      </c>
      <c r="O186" s="137" t="str">
        <f t="shared" si="12"/>
        <v/>
      </c>
      <c r="P186" s="137" t="s">
        <v>1688</v>
      </c>
      <c r="Q186" s="137"/>
      <c r="R186" s="137"/>
      <c r="S186" s="137"/>
      <c r="T186" s="137"/>
      <c r="U186" s="137">
        <v>1.0</v>
      </c>
      <c r="V186" s="143"/>
      <c r="W186" s="144">
        <f t="shared" si="2"/>
        <v>4500</v>
      </c>
      <c r="X186" s="176"/>
    </row>
    <row r="187" ht="45.0" customHeight="1">
      <c r="A187" s="137">
        <v>186.0</v>
      </c>
      <c r="B187" s="137" t="s">
        <v>173</v>
      </c>
      <c r="C187" s="137" t="s">
        <v>805</v>
      </c>
      <c r="D187" s="138" t="s">
        <v>806</v>
      </c>
      <c r="E187" s="139" t="s">
        <v>489</v>
      </c>
      <c r="F187" s="140">
        <v>100.0</v>
      </c>
      <c r="G187" s="140">
        <v>100.0</v>
      </c>
      <c r="H187" s="140">
        <v>1.0</v>
      </c>
      <c r="I187" s="137">
        <f t="shared" si="5"/>
        <v>100</v>
      </c>
      <c r="J187" s="141" t="s">
        <v>178</v>
      </c>
      <c r="K187" s="138"/>
      <c r="L187" s="140" t="s">
        <v>518</v>
      </c>
      <c r="M187" s="138" t="s">
        <v>1950</v>
      </c>
      <c r="N187" s="142" t="s">
        <v>807</v>
      </c>
      <c r="O187" s="137" t="str">
        <f t="shared" si="12"/>
        <v/>
      </c>
      <c r="P187" s="137" t="s">
        <v>1688</v>
      </c>
      <c r="Q187" s="137"/>
      <c r="R187" s="137"/>
      <c r="S187" s="137"/>
      <c r="T187" s="137"/>
      <c r="U187" s="137">
        <v>1.0</v>
      </c>
      <c r="V187" s="143"/>
      <c r="W187" s="144">
        <f t="shared" si="2"/>
        <v>4500</v>
      </c>
      <c r="X187" s="176"/>
    </row>
    <row r="188" ht="45.0" customHeight="1">
      <c r="A188" s="137">
        <v>187.0</v>
      </c>
      <c r="B188" s="137" t="s">
        <v>173</v>
      </c>
      <c r="C188" s="137" t="s">
        <v>809</v>
      </c>
      <c r="D188" s="138" t="s">
        <v>810</v>
      </c>
      <c r="E188" s="139" t="s">
        <v>489</v>
      </c>
      <c r="F188" s="140">
        <v>100.0</v>
      </c>
      <c r="G188" s="140">
        <v>100.0</v>
      </c>
      <c r="H188" s="140">
        <v>1.0</v>
      </c>
      <c r="I188" s="137">
        <f t="shared" si="5"/>
        <v>100</v>
      </c>
      <c r="J188" s="141" t="s">
        <v>178</v>
      </c>
      <c r="K188" s="138"/>
      <c r="L188" s="140" t="s">
        <v>518</v>
      </c>
      <c r="M188" s="138" t="s">
        <v>1950</v>
      </c>
      <c r="N188" s="142" t="s">
        <v>811</v>
      </c>
      <c r="O188" s="137" t="str">
        <f t="shared" si="12"/>
        <v/>
      </c>
      <c r="P188" s="137" t="s">
        <v>1688</v>
      </c>
      <c r="Q188" s="137"/>
      <c r="R188" s="137"/>
      <c r="S188" s="137"/>
      <c r="T188" s="137"/>
      <c r="U188" s="137">
        <v>1.0</v>
      </c>
      <c r="V188" s="143"/>
      <c r="W188" s="144">
        <f t="shared" si="2"/>
        <v>4500</v>
      </c>
      <c r="X188" s="176"/>
    </row>
    <row r="189" ht="45.0" customHeight="1">
      <c r="A189" s="137">
        <v>188.0</v>
      </c>
      <c r="B189" s="137" t="s">
        <v>173</v>
      </c>
      <c r="C189" s="137" t="s">
        <v>813</v>
      </c>
      <c r="D189" s="138" t="s">
        <v>814</v>
      </c>
      <c r="E189" s="139" t="s">
        <v>489</v>
      </c>
      <c r="F189" s="140">
        <v>100.0</v>
      </c>
      <c r="G189" s="140">
        <v>100.0</v>
      </c>
      <c r="H189" s="140">
        <v>1.0</v>
      </c>
      <c r="I189" s="137">
        <f t="shared" si="5"/>
        <v>100</v>
      </c>
      <c r="J189" s="141" t="s">
        <v>178</v>
      </c>
      <c r="K189" s="138"/>
      <c r="L189" s="140" t="s">
        <v>518</v>
      </c>
      <c r="M189" s="138" t="s">
        <v>1950</v>
      </c>
      <c r="N189" s="142" t="s">
        <v>815</v>
      </c>
      <c r="O189" s="137" t="str">
        <f t="shared" si="12"/>
        <v/>
      </c>
      <c r="P189" s="137" t="s">
        <v>1688</v>
      </c>
      <c r="Q189" s="137"/>
      <c r="R189" s="137"/>
      <c r="S189" s="137"/>
      <c r="T189" s="137"/>
      <c r="U189" s="137">
        <v>1.0</v>
      </c>
      <c r="V189" s="143"/>
      <c r="W189" s="144">
        <f t="shared" si="2"/>
        <v>4500</v>
      </c>
      <c r="X189" s="176"/>
    </row>
    <row r="190" ht="45.0" customHeight="1">
      <c r="A190" s="137">
        <v>189.0</v>
      </c>
      <c r="B190" s="137" t="s">
        <v>173</v>
      </c>
      <c r="C190" s="137" t="s">
        <v>817</v>
      </c>
      <c r="D190" s="138" t="s">
        <v>818</v>
      </c>
      <c r="E190" s="139" t="s">
        <v>489</v>
      </c>
      <c r="F190" s="140">
        <v>100.0</v>
      </c>
      <c r="G190" s="140">
        <v>100.0</v>
      </c>
      <c r="H190" s="140">
        <v>1.0</v>
      </c>
      <c r="I190" s="137">
        <f t="shared" si="5"/>
        <v>100</v>
      </c>
      <c r="J190" s="141" t="s">
        <v>178</v>
      </c>
      <c r="K190" s="138"/>
      <c r="L190" s="140" t="s">
        <v>518</v>
      </c>
      <c r="M190" s="138" t="s">
        <v>1950</v>
      </c>
      <c r="N190" s="142" t="s">
        <v>819</v>
      </c>
      <c r="O190" s="137" t="str">
        <f t="shared" si="12"/>
        <v/>
      </c>
      <c r="P190" s="137" t="s">
        <v>1688</v>
      </c>
      <c r="Q190" s="137"/>
      <c r="R190" s="137"/>
      <c r="S190" s="137"/>
      <c r="T190" s="137"/>
      <c r="U190" s="137">
        <v>1.0</v>
      </c>
      <c r="V190" s="143"/>
      <c r="W190" s="144">
        <f t="shared" si="2"/>
        <v>4500</v>
      </c>
      <c r="X190" s="176"/>
    </row>
    <row r="191" ht="45.0" customHeight="1">
      <c r="A191" s="137">
        <v>190.0</v>
      </c>
      <c r="B191" s="137" t="s">
        <v>173</v>
      </c>
      <c r="C191" s="137" t="s">
        <v>821</v>
      </c>
      <c r="D191" s="138" t="s">
        <v>822</v>
      </c>
      <c r="E191" s="139" t="s">
        <v>489</v>
      </c>
      <c r="F191" s="140">
        <v>100.0</v>
      </c>
      <c r="G191" s="140">
        <v>100.0</v>
      </c>
      <c r="H191" s="140">
        <v>1.0</v>
      </c>
      <c r="I191" s="137">
        <f t="shared" si="5"/>
        <v>100</v>
      </c>
      <c r="J191" s="141" t="s">
        <v>178</v>
      </c>
      <c r="K191" s="138"/>
      <c r="L191" s="140" t="s">
        <v>518</v>
      </c>
      <c r="M191" s="138" t="s">
        <v>1950</v>
      </c>
      <c r="N191" s="142" t="s">
        <v>823</v>
      </c>
      <c r="O191" s="137" t="str">
        <f t="shared" si="12"/>
        <v/>
      </c>
      <c r="P191" s="137" t="s">
        <v>1688</v>
      </c>
      <c r="Q191" s="137"/>
      <c r="R191" s="137"/>
      <c r="S191" s="137"/>
      <c r="T191" s="137"/>
      <c r="U191" s="137">
        <v>1.0</v>
      </c>
      <c r="V191" s="143"/>
      <c r="W191" s="144">
        <f t="shared" si="2"/>
        <v>4500</v>
      </c>
      <c r="X191" s="176"/>
    </row>
    <row r="192" ht="45.0" customHeight="1">
      <c r="A192" s="137">
        <v>191.0</v>
      </c>
      <c r="B192" s="137" t="s">
        <v>173</v>
      </c>
      <c r="C192" s="137" t="s">
        <v>825</v>
      </c>
      <c r="D192" s="138" t="s">
        <v>826</v>
      </c>
      <c r="E192" s="139" t="s">
        <v>489</v>
      </c>
      <c r="F192" s="140">
        <v>100.0</v>
      </c>
      <c r="G192" s="140">
        <v>100.0</v>
      </c>
      <c r="H192" s="140">
        <v>3.0</v>
      </c>
      <c r="I192" s="137">
        <f t="shared" si="5"/>
        <v>300</v>
      </c>
      <c r="J192" s="141" t="s">
        <v>178</v>
      </c>
      <c r="K192" s="138"/>
      <c r="L192" s="140" t="s">
        <v>193</v>
      </c>
      <c r="M192" s="138" t="s">
        <v>1951</v>
      </c>
      <c r="N192" s="142" t="s">
        <v>827</v>
      </c>
      <c r="O192" s="137" t="str">
        <f>IMAGE("https://encrypted-tbn0.gstatic.com/images?q=tbn:ANd9GcR-ur1Cl_3Rq82qZ9KbLtZX3U_7cevDQWdUVA&amp;usqp=CAU",1)</f>
        <v/>
      </c>
      <c r="P192" s="137" t="s">
        <v>1688</v>
      </c>
      <c r="Q192" s="137"/>
      <c r="R192" s="137"/>
      <c r="S192" s="137"/>
      <c r="T192" s="137"/>
      <c r="U192" s="137">
        <v>1.0</v>
      </c>
      <c r="V192" s="143"/>
      <c r="W192" s="144">
        <f t="shared" si="2"/>
        <v>4500</v>
      </c>
      <c r="X192" s="176"/>
    </row>
    <row r="193" ht="45.0" customHeight="1">
      <c r="A193" s="137">
        <v>192.0</v>
      </c>
      <c r="B193" s="137" t="s">
        <v>173</v>
      </c>
      <c r="C193" s="137" t="s">
        <v>829</v>
      </c>
      <c r="D193" s="138" t="s">
        <v>830</v>
      </c>
      <c r="E193" s="139" t="s">
        <v>489</v>
      </c>
      <c r="F193" s="140">
        <v>50.0</v>
      </c>
      <c r="G193" s="140">
        <v>50.0</v>
      </c>
      <c r="H193" s="140">
        <v>10.0</v>
      </c>
      <c r="I193" s="137">
        <f t="shared" si="5"/>
        <v>500</v>
      </c>
      <c r="J193" s="141" t="s">
        <v>178</v>
      </c>
      <c r="K193" s="138"/>
      <c r="L193" s="140" t="s">
        <v>193</v>
      </c>
      <c r="M193" s="138" t="s">
        <v>1951</v>
      </c>
      <c r="N193" s="142" t="s">
        <v>831</v>
      </c>
      <c r="O193" s="137" t="str">
        <f>IMAGE("https://m.media-amazon.com/images/I/51khY6g46VL._AC_SL1500_.jpg",1)</f>
        <v/>
      </c>
      <c r="P193" s="137" t="s">
        <v>1688</v>
      </c>
      <c r="Q193" s="137"/>
      <c r="R193" s="137"/>
      <c r="S193" s="137"/>
      <c r="T193" s="137"/>
      <c r="U193" s="137">
        <v>1.0</v>
      </c>
      <c r="V193" s="143"/>
      <c r="W193" s="144">
        <f t="shared" si="2"/>
        <v>2250</v>
      </c>
      <c r="X193" s="176"/>
    </row>
    <row r="194" ht="45.0" customHeight="1">
      <c r="A194" s="137">
        <v>193.0</v>
      </c>
      <c r="B194" s="137" t="s">
        <v>173</v>
      </c>
      <c r="C194" s="137" t="s">
        <v>833</v>
      </c>
      <c r="D194" s="138" t="s">
        <v>834</v>
      </c>
      <c r="E194" s="139" t="s">
        <v>489</v>
      </c>
      <c r="F194" s="140">
        <v>50.0</v>
      </c>
      <c r="G194" s="140">
        <v>50.0</v>
      </c>
      <c r="H194" s="140">
        <v>10.0</v>
      </c>
      <c r="I194" s="137">
        <f t="shared" si="5"/>
        <v>500</v>
      </c>
      <c r="J194" s="141" t="s">
        <v>178</v>
      </c>
      <c r="K194" s="138"/>
      <c r="L194" s="140" t="s">
        <v>193</v>
      </c>
      <c r="M194" s="138" t="s">
        <v>1951</v>
      </c>
      <c r="N194" s="142" t="s">
        <v>835</v>
      </c>
      <c r="O194" s="137" t="str">
        <f>IMAGE("https://etstore.in/wp-content/uploads/2021/12/IMG_20201130_100203.png",1)</f>
        <v/>
      </c>
      <c r="P194" s="137" t="s">
        <v>1688</v>
      </c>
      <c r="Q194" s="147"/>
      <c r="R194" s="147"/>
      <c r="S194" s="137"/>
      <c r="T194" s="137"/>
      <c r="U194" s="137">
        <v>1.0</v>
      </c>
      <c r="V194" s="143"/>
      <c r="W194" s="144">
        <f t="shared" si="2"/>
        <v>2250</v>
      </c>
      <c r="X194" s="176"/>
    </row>
    <row r="195" ht="45.0" customHeight="1">
      <c r="A195" s="137">
        <v>194.0</v>
      </c>
      <c r="B195" s="137" t="s">
        <v>173</v>
      </c>
      <c r="C195" s="137" t="s">
        <v>837</v>
      </c>
      <c r="D195" s="138" t="s">
        <v>838</v>
      </c>
      <c r="E195" s="139" t="s">
        <v>489</v>
      </c>
      <c r="F195" s="140">
        <v>50.0</v>
      </c>
      <c r="G195" s="140">
        <v>50.0</v>
      </c>
      <c r="H195" s="140">
        <v>10.0</v>
      </c>
      <c r="I195" s="137">
        <f t="shared" si="5"/>
        <v>500</v>
      </c>
      <c r="J195" s="141" t="s">
        <v>178</v>
      </c>
      <c r="K195" s="138"/>
      <c r="L195" s="140" t="s">
        <v>193</v>
      </c>
      <c r="M195" s="138" t="s">
        <v>1951</v>
      </c>
      <c r="N195" s="142" t="s">
        <v>839</v>
      </c>
      <c r="O195" s="137" t="str">
        <f>IMAGE("https://m.media-amazon.com/images/I/71UDXftBeaL._SX466_.jpg",1)</f>
        <v/>
      </c>
      <c r="P195" s="137" t="s">
        <v>1688</v>
      </c>
      <c r="Q195" s="137"/>
      <c r="R195" s="137"/>
      <c r="S195" s="137"/>
      <c r="T195" s="137"/>
      <c r="U195" s="137">
        <v>1.0</v>
      </c>
      <c r="V195" s="143"/>
      <c r="W195" s="144">
        <f t="shared" si="2"/>
        <v>2250</v>
      </c>
      <c r="X195" s="176"/>
    </row>
    <row r="196" ht="45.0" customHeight="1">
      <c r="A196" s="137">
        <v>195.0</v>
      </c>
      <c r="B196" s="137" t="s">
        <v>173</v>
      </c>
      <c r="C196" s="137" t="s">
        <v>841</v>
      </c>
      <c r="D196" s="138" t="s">
        <v>842</v>
      </c>
      <c r="E196" s="139" t="s">
        <v>489</v>
      </c>
      <c r="F196" s="140">
        <v>50.0</v>
      </c>
      <c r="G196" s="140">
        <v>50.0</v>
      </c>
      <c r="H196" s="140">
        <v>10.0</v>
      </c>
      <c r="I196" s="137">
        <f t="shared" si="5"/>
        <v>500</v>
      </c>
      <c r="J196" s="141" t="s">
        <v>178</v>
      </c>
      <c r="K196" s="138"/>
      <c r="L196" s="140" t="s">
        <v>193</v>
      </c>
      <c r="M196" s="138" t="s">
        <v>1951</v>
      </c>
      <c r="N196" s="142" t="s">
        <v>843</v>
      </c>
      <c r="O196" s="137" t="str">
        <f>IMAGE("https://m.media-amazon.com/images/I/4116hBQx0XL._SX425_.jpg",1)</f>
        <v/>
      </c>
      <c r="P196" s="137" t="s">
        <v>1688</v>
      </c>
      <c r="Q196" s="147"/>
      <c r="R196" s="147"/>
      <c r="S196" s="137"/>
      <c r="T196" s="137"/>
      <c r="U196" s="137">
        <v>1.0</v>
      </c>
      <c r="V196" s="143"/>
      <c r="W196" s="144">
        <f t="shared" si="2"/>
        <v>2250</v>
      </c>
      <c r="X196" s="176"/>
    </row>
    <row r="197" ht="45.0" customHeight="1">
      <c r="A197" s="137">
        <v>196.0</v>
      </c>
      <c r="B197" s="137" t="s">
        <v>173</v>
      </c>
      <c r="C197" s="137" t="s">
        <v>845</v>
      </c>
      <c r="D197" s="138" t="s">
        <v>1952</v>
      </c>
      <c r="E197" s="139" t="s">
        <v>489</v>
      </c>
      <c r="F197" s="140">
        <v>20.0</v>
      </c>
      <c r="G197" s="140">
        <v>20.0</v>
      </c>
      <c r="H197" s="140">
        <v>5.0</v>
      </c>
      <c r="I197" s="137">
        <f t="shared" si="5"/>
        <v>100</v>
      </c>
      <c r="J197" s="141" t="s">
        <v>178</v>
      </c>
      <c r="K197" s="138"/>
      <c r="L197" s="140" t="s">
        <v>193</v>
      </c>
      <c r="M197" s="138" t="s">
        <v>1944</v>
      </c>
      <c r="N197" s="142" t="s">
        <v>847</v>
      </c>
      <c r="O197" s="137" t="str">
        <f>IMAGE("https://potentiallabs.com/cart/image/cache/catalog/2021/555-timer-ic-400x400.jpeg",1)</f>
        <v/>
      </c>
      <c r="P197" s="137" t="s">
        <v>1688</v>
      </c>
      <c r="Q197" s="137"/>
      <c r="R197" s="137"/>
      <c r="S197" s="137"/>
      <c r="T197" s="137"/>
      <c r="U197" s="137">
        <v>1.0</v>
      </c>
      <c r="V197" s="143"/>
      <c r="W197" s="144">
        <f t="shared" si="2"/>
        <v>900</v>
      </c>
      <c r="X197" s="176"/>
    </row>
    <row r="198" ht="45.0" customHeight="1">
      <c r="A198" s="137">
        <v>197.0</v>
      </c>
      <c r="B198" s="137" t="s">
        <v>173</v>
      </c>
      <c r="C198" s="137" t="s">
        <v>849</v>
      </c>
      <c r="D198" s="138" t="s">
        <v>850</v>
      </c>
      <c r="E198" s="139" t="s">
        <v>489</v>
      </c>
      <c r="F198" s="140">
        <v>100.0</v>
      </c>
      <c r="G198" s="140">
        <v>100.0</v>
      </c>
      <c r="H198" s="140">
        <v>5.0</v>
      </c>
      <c r="I198" s="137">
        <f t="shared" si="5"/>
        <v>500</v>
      </c>
      <c r="J198" s="141" t="s">
        <v>178</v>
      </c>
      <c r="K198" s="138"/>
      <c r="L198" s="140" t="s">
        <v>518</v>
      </c>
      <c r="M198" s="138" t="s">
        <v>1953</v>
      </c>
      <c r="N198" s="142" t="s">
        <v>851</v>
      </c>
      <c r="O198" s="137" t="str">
        <f>IMAGE("https://5.imimg.com/data5/SELLER/Default/2020/8/IJ/BD/HA/84543611/2n3904-transistor-500x500.jpg",1)</f>
        <v/>
      </c>
      <c r="P198" s="137" t="s">
        <v>1688</v>
      </c>
      <c r="Q198" s="137"/>
      <c r="R198" s="137"/>
      <c r="S198" s="137"/>
      <c r="T198" s="137"/>
      <c r="U198" s="137">
        <v>1.0</v>
      </c>
      <c r="V198" s="143"/>
      <c r="W198" s="144">
        <f t="shared" si="2"/>
        <v>4500</v>
      </c>
      <c r="X198" s="176"/>
    </row>
    <row r="199" ht="45.0" customHeight="1">
      <c r="A199" s="137">
        <v>198.0</v>
      </c>
      <c r="B199" s="137" t="s">
        <v>173</v>
      </c>
      <c r="C199" s="137" t="s">
        <v>853</v>
      </c>
      <c r="D199" s="138" t="s">
        <v>854</v>
      </c>
      <c r="E199" s="139" t="s">
        <v>489</v>
      </c>
      <c r="F199" s="140">
        <v>100.0</v>
      </c>
      <c r="G199" s="140">
        <v>100.0</v>
      </c>
      <c r="H199" s="140">
        <v>5.0</v>
      </c>
      <c r="I199" s="137">
        <f t="shared" si="5"/>
        <v>500</v>
      </c>
      <c r="J199" s="141" t="s">
        <v>178</v>
      </c>
      <c r="K199" s="138"/>
      <c r="L199" s="140" t="s">
        <v>518</v>
      </c>
      <c r="M199" s="138" t="s">
        <v>1953</v>
      </c>
      <c r="N199" s="142" t="s">
        <v>855</v>
      </c>
      <c r="O199" s="137" t="str">
        <f>IMAGE("https://rukminim2.flixcart.com/image/832/832/k44hksw0/transistor/d/m/d/100-pics-bc547-npn-transistor-sme-original-imafn3dfw2fqwgxg.jpeg?q=70",1)</f>
        <v/>
      </c>
      <c r="P199" s="137" t="s">
        <v>1688</v>
      </c>
      <c r="Q199" s="137"/>
      <c r="R199" s="137"/>
      <c r="S199" s="137"/>
      <c r="T199" s="137"/>
      <c r="U199" s="137">
        <v>1.0</v>
      </c>
      <c r="V199" s="143"/>
      <c r="W199" s="144">
        <f t="shared" si="2"/>
        <v>4500</v>
      </c>
      <c r="X199" s="176"/>
    </row>
    <row r="200" ht="45.0" customHeight="1">
      <c r="A200" s="137">
        <v>199.0</v>
      </c>
      <c r="B200" s="137" t="s">
        <v>173</v>
      </c>
      <c r="C200" s="137" t="s">
        <v>857</v>
      </c>
      <c r="D200" s="138" t="s">
        <v>858</v>
      </c>
      <c r="E200" s="139" t="s">
        <v>489</v>
      </c>
      <c r="F200" s="140">
        <v>100.0</v>
      </c>
      <c r="G200" s="140">
        <v>100.0</v>
      </c>
      <c r="H200" s="140">
        <v>5.0</v>
      </c>
      <c r="I200" s="137">
        <f t="shared" si="5"/>
        <v>500</v>
      </c>
      <c r="J200" s="141" t="s">
        <v>178</v>
      </c>
      <c r="K200" s="138"/>
      <c r="L200" s="140" t="s">
        <v>518</v>
      </c>
      <c r="M200" s="138" t="s">
        <v>1953</v>
      </c>
      <c r="N200" s="142" t="s">
        <v>859</v>
      </c>
      <c r="O200" s="137" t="str">
        <f>IMAGE("https://m.media-amazon.com/images/W/MEDIAX_792452-T2/images/I/31po6g2eu+L.jpg",1)</f>
        <v/>
      </c>
      <c r="P200" s="137" t="s">
        <v>1688</v>
      </c>
      <c r="Q200" s="137"/>
      <c r="R200" s="137"/>
      <c r="S200" s="137"/>
      <c r="T200" s="137"/>
      <c r="U200" s="137">
        <v>1.0</v>
      </c>
      <c r="V200" s="143"/>
      <c r="W200" s="144">
        <f t="shared" si="2"/>
        <v>4500</v>
      </c>
      <c r="X200" s="176"/>
    </row>
    <row r="201" ht="45.0" customHeight="1">
      <c r="A201" s="137">
        <v>200.0</v>
      </c>
      <c r="B201" s="137" t="s">
        <v>173</v>
      </c>
      <c r="C201" s="137" t="s">
        <v>861</v>
      </c>
      <c r="D201" s="138" t="s">
        <v>862</v>
      </c>
      <c r="E201" s="139" t="s">
        <v>489</v>
      </c>
      <c r="F201" s="140">
        <v>100.0</v>
      </c>
      <c r="G201" s="140">
        <v>100.0</v>
      </c>
      <c r="H201" s="140">
        <v>5.0</v>
      </c>
      <c r="I201" s="137">
        <f t="shared" si="5"/>
        <v>500</v>
      </c>
      <c r="J201" s="141" t="s">
        <v>178</v>
      </c>
      <c r="K201" s="138"/>
      <c r="L201" s="140" t="s">
        <v>518</v>
      </c>
      <c r="M201" s="138" t="s">
        <v>1953</v>
      </c>
      <c r="N201" s="142" t="s">
        <v>863</v>
      </c>
      <c r="O201" s="137" t="str">
        <f>IMAGE("https://5.imimg.com/data5/MA/XW/GW/SELLER-84581978/cdil-transistor-bc557-500x500.jpg",1)</f>
        <v/>
      </c>
      <c r="P201" s="137" t="s">
        <v>1688</v>
      </c>
      <c r="Q201" s="137"/>
      <c r="R201" s="137"/>
      <c r="S201" s="137"/>
      <c r="T201" s="137"/>
      <c r="U201" s="137">
        <v>1.0</v>
      </c>
      <c r="V201" s="143"/>
      <c r="W201" s="144">
        <f t="shared" si="2"/>
        <v>4500</v>
      </c>
      <c r="X201" s="176"/>
    </row>
    <row r="202" ht="45.0" customHeight="1">
      <c r="A202" s="137">
        <v>201.0</v>
      </c>
      <c r="B202" s="137" t="s">
        <v>173</v>
      </c>
      <c r="C202" s="137" t="s">
        <v>865</v>
      </c>
      <c r="D202" s="138" t="s">
        <v>866</v>
      </c>
      <c r="E202" s="139" t="s">
        <v>489</v>
      </c>
      <c r="F202" s="140">
        <v>100.0</v>
      </c>
      <c r="G202" s="140">
        <v>100.0</v>
      </c>
      <c r="H202" s="140">
        <v>5.0</v>
      </c>
      <c r="I202" s="137">
        <f t="shared" si="5"/>
        <v>500</v>
      </c>
      <c r="J202" s="141" t="s">
        <v>178</v>
      </c>
      <c r="K202" s="138"/>
      <c r="L202" s="140" t="s">
        <v>518</v>
      </c>
      <c r="M202" s="138" t="s">
        <v>1953</v>
      </c>
      <c r="N202" s="142" t="s">
        <v>867</v>
      </c>
      <c r="O202" s="137" t="str">
        <f>IMAGE("https://www.chipmart.in/wp-content/uploads/2022/08/SL100-NPN-General-Purpose-Medium-Power-Transistor-50V-500mA.png",1)</f>
        <v/>
      </c>
      <c r="P202" s="137" t="s">
        <v>1688</v>
      </c>
      <c r="Q202" s="137"/>
      <c r="R202" s="137"/>
      <c r="S202" s="137"/>
      <c r="T202" s="137"/>
      <c r="U202" s="137">
        <v>1.0</v>
      </c>
      <c r="V202" s="143"/>
      <c r="W202" s="144">
        <f t="shared" si="2"/>
        <v>4500</v>
      </c>
      <c r="X202" s="176"/>
    </row>
    <row r="203" ht="45.0" customHeight="1">
      <c r="A203" s="137">
        <v>202.0</v>
      </c>
      <c r="B203" s="137" t="s">
        <v>173</v>
      </c>
      <c r="C203" s="137" t="s">
        <v>869</v>
      </c>
      <c r="D203" s="138" t="s">
        <v>870</v>
      </c>
      <c r="E203" s="139" t="s">
        <v>489</v>
      </c>
      <c r="F203" s="140">
        <v>100.0</v>
      </c>
      <c r="G203" s="140">
        <v>100.0</v>
      </c>
      <c r="H203" s="140">
        <v>5.0</v>
      </c>
      <c r="I203" s="137">
        <f t="shared" si="5"/>
        <v>500</v>
      </c>
      <c r="J203" s="141" t="s">
        <v>178</v>
      </c>
      <c r="K203" s="138"/>
      <c r="L203" s="140" t="s">
        <v>518</v>
      </c>
      <c r="M203" s="138" t="s">
        <v>1953</v>
      </c>
      <c r="N203" s="142" t="s">
        <v>871</v>
      </c>
      <c r="O203" s="137" t="str">
        <f>IMAGE("https://5.imimg.com/data5/WJ/EW/MY-25117786/2n2222-npn-transistors-500x500.jpg",1)</f>
        <v/>
      </c>
      <c r="P203" s="137" t="s">
        <v>1688</v>
      </c>
      <c r="Q203" s="137"/>
      <c r="R203" s="137"/>
      <c r="S203" s="137"/>
      <c r="T203" s="137"/>
      <c r="U203" s="137">
        <v>1.0</v>
      </c>
      <c r="V203" s="143"/>
      <c r="W203" s="144">
        <f t="shared" si="2"/>
        <v>4500</v>
      </c>
      <c r="X203" s="176"/>
    </row>
    <row r="204" ht="45.0" customHeight="1">
      <c r="A204" s="137">
        <v>203.0</v>
      </c>
      <c r="B204" s="137" t="s">
        <v>173</v>
      </c>
      <c r="C204" s="137" t="s">
        <v>873</v>
      </c>
      <c r="D204" s="138" t="s">
        <v>874</v>
      </c>
      <c r="E204" s="139" t="s">
        <v>489</v>
      </c>
      <c r="F204" s="140">
        <v>20.0</v>
      </c>
      <c r="G204" s="140">
        <v>20.0</v>
      </c>
      <c r="H204" s="140">
        <v>10.0</v>
      </c>
      <c r="I204" s="137">
        <f t="shared" si="5"/>
        <v>200</v>
      </c>
      <c r="J204" s="141" t="s">
        <v>178</v>
      </c>
      <c r="K204" s="138"/>
      <c r="L204" s="140" t="s">
        <v>518</v>
      </c>
      <c r="M204" s="138" t="s">
        <v>1949</v>
      </c>
      <c r="N204" s="142" t="s">
        <v>875</v>
      </c>
      <c r="O204" s="137" t="str">
        <f t="shared" ref="O204:O206" si="13">IMAGE("https://probots.co.in/pub/media/catalog/product/cache/d8ddd0f9b0cd008b57085cd218b48832/1/k/1k_ohm_variable_resistor_potentiometer1-1000x1000_12.jpg",1)</f>
        <v/>
      </c>
      <c r="P204" s="137" t="s">
        <v>1688</v>
      </c>
      <c r="Q204" s="137"/>
      <c r="R204" s="137"/>
      <c r="S204" s="137"/>
      <c r="T204" s="137"/>
      <c r="U204" s="137">
        <v>1.0</v>
      </c>
      <c r="V204" s="143"/>
      <c r="W204" s="144">
        <f t="shared" si="2"/>
        <v>900</v>
      </c>
      <c r="X204" s="176"/>
    </row>
    <row r="205" ht="45.0" customHeight="1">
      <c r="A205" s="137">
        <v>204.0</v>
      </c>
      <c r="B205" s="137" t="s">
        <v>173</v>
      </c>
      <c r="C205" s="137" t="s">
        <v>877</v>
      </c>
      <c r="D205" s="138" t="s">
        <v>878</v>
      </c>
      <c r="E205" s="139" t="s">
        <v>489</v>
      </c>
      <c r="F205" s="140">
        <v>20.0</v>
      </c>
      <c r="G205" s="140">
        <v>20.0</v>
      </c>
      <c r="H205" s="140">
        <v>10.0</v>
      </c>
      <c r="I205" s="137">
        <f t="shared" si="5"/>
        <v>200</v>
      </c>
      <c r="J205" s="141" t="s">
        <v>178</v>
      </c>
      <c r="K205" s="138"/>
      <c r="L205" s="140" t="s">
        <v>518</v>
      </c>
      <c r="M205" s="138" t="s">
        <v>1949</v>
      </c>
      <c r="N205" s="142" t="s">
        <v>879</v>
      </c>
      <c r="O205" s="137" t="str">
        <f t="shared" si="13"/>
        <v/>
      </c>
      <c r="P205" s="137" t="s">
        <v>1688</v>
      </c>
      <c r="Q205" s="137"/>
      <c r="R205" s="137"/>
      <c r="S205" s="137"/>
      <c r="T205" s="137"/>
      <c r="U205" s="137">
        <v>1.0</v>
      </c>
      <c r="V205" s="143"/>
      <c r="W205" s="144">
        <f t="shared" si="2"/>
        <v>900</v>
      </c>
      <c r="X205" s="176"/>
    </row>
    <row r="206" ht="45.0" customHeight="1">
      <c r="A206" s="137">
        <v>205.0</v>
      </c>
      <c r="B206" s="137" t="s">
        <v>173</v>
      </c>
      <c r="C206" s="137" t="s">
        <v>881</v>
      </c>
      <c r="D206" s="138" t="s">
        <v>882</v>
      </c>
      <c r="E206" s="139" t="s">
        <v>489</v>
      </c>
      <c r="F206" s="140">
        <v>20.0</v>
      </c>
      <c r="G206" s="140">
        <v>20.0</v>
      </c>
      <c r="H206" s="140">
        <v>10.0</v>
      </c>
      <c r="I206" s="137">
        <f t="shared" si="5"/>
        <v>200</v>
      </c>
      <c r="J206" s="141" t="s">
        <v>178</v>
      </c>
      <c r="K206" s="138"/>
      <c r="L206" s="140" t="s">
        <v>518</v>
      </c>
      <c r="M206" s="138" t="s">
        <v>1949</v>
      </c>
      <c r="N206" s="142" t="s">
        <v>883</v>
      </c>
      <c r="O206" s="137" t="str">
        <f t="shared" si="13"/>
        <v/>
      </c>
      <c r="P206" s="137" t="s">
        <v>1688</v>
      </c>
      <c r="Q206" s="137"/>
      <c r="R206" s="137"/>
      <c r="S206" s="137"/>
      <c r="T206" s="137"/>
      <c r="U206" s="137">
        <v>1.0</v>
      </c>
      <c r="V206" s="143"/>
      <c r="W206" s="144">
        <f t="shared" si="2"/>
        <v>900</v>
      </c>
      <c r="X206" s="176"/>
    </row>
    <row r="207" ht="45.0" customHeight="1">
      <c r="A207" s="137">
        <v>206.0</v>
      </c>
      <c r="B207" s="137" t="s">
        <v>173</v>
      </c>
      <c r="C207" s="137" t="s">
        <v>885</v>
      </c>
      <c r="D207" s="138" t="s">
        <v>886</v>
      </c>
      <c r="E207" s="139" t="s">
        <v>489</v>
      </c>
      <c r="F207" s="140">
        <v>20.0</v>
      </c>
      <c r="G207" s="140">
        <v>20.0</v>
      </c>
      <c r="H207" s="140">
        <v>20.0</v>
      </c>
      <c r="I207" s="137">
        <f t="shared" si="5"/>
        <v>400</v>
      </c>
      <c r="J207" s="141" t="s">
        <v>178</v>
      </c>
      <c r="K207" s="138"/>
      <c r="L207" s="140" t="s">
        <v>193</v>
      </c>
      <c r="M207" s="138" t="s">
        <v>1954</v>
      </c>
      <c r="N207" s="142" t="s">
        <v>887</v>
      </c>
      <c r="O207" s="137" t="str">
        <f>IMAGE("https://www.olelectronics.in/wp-content/uploads/Miniature-Vibration-Motor.png",1)</f>
        <v/>
      </c>
      <c r="P207" s="137" t="s">
        <v>1688</v>
      </c>
      <c r="Q207" s="137"/>
      <c r="R207" s="137"/>
      <c r="S207" s="137"/>
      <c r="T207" s="137"/>
      <c r="U207" s="137">
        <v>1.0</v>
      </c>
      <c r="V207" s="143"/>
      <c r="W207" s="144">
        <f t="shared" si="2"/>
        <v>900</v>
      </c>
      <c r="X207" s="176"/>
    </row>
    <row r="208" ht="45.0" customHeight="1">
      <c r="A208" s="137">
        <v>207.0</v>
      </c>
      <c r="B208" s="137" t="s">
        <v>173</v>
      </c>
      <c r="C208" s="137" t="s">
        <v>889</v>
      </c>
      <c r="D208" s="138" t="s">
        <v>1754</v>
      </c>
      <c r="E208" s="139" t="s">
        <v>891</v>
      </c>
      <c r="F208" s="140">
        <v>10.0</v>
      </c>
      <c r="G208" s="140">
        <v>10.0</v>
      </c>
      <c r="H208" s="140">
        <v>300.0</v>
      </c>
      <c r="I208" s="137">
        <f t="shared" si="5"/>
        <v>3000</v>
      </c>
      <c r="J208" s="141" t="s">
        <v>178</v>
      </c>
      <c r="K208" s="138"/>
      <c r="L208" s="140" t="s">
        <v>599</v>
      </c>
      <c r="M208" s="138" t="s">
        <v>1947</v>
      </c>
      <c r="N208" s="142" t="s">
        <v>892</v>
      </c>
      <c r="O208" s="137" t="str">
        <f>IMAGE("https://encrypted-tbn0.gstatic.com/images?q=tbn:ANd9GcQ9HdcUbkhENGQnNmIni640zFk33IAUdUx_x0uluq_AFf1Hud04FBhhZQFZXM2xrHw_7W4&amp;usqp=CAU",1)</f>
        <v/>
      </c>
      <c r="P208" s="137" t="s">
        <v>1688</v>
      </c>
      <c r="Q208" s="137"/>
      <c r="R208" s="137"/>
      <c r="S208" s="137"/>
      <c r="T208" s="137"/>
      <c r="U208" s="137">
        <v>1.0</v>
      </c>
      <c r="V208" s="143"/>
      <c r="W208" s="144">
        <f t="shared" si="2"/>
        <v>450</v>
      </c>
      <c r="X208" s="176"/>
    </row>
    <row r="209" ht="45.0" customHeight="1">
      <c r="A209" s="137">
        <v>208.0</v>
      </c>
      <c r="B209" s="137" t="s">
        <v>173</v>
      </c>
      <c r="C209" s="137" t="s">
        <v>894</v>
      </c>
      <c r="D209" s="138" t="s">
        <v>895</v>
      </c>
      <c r="E209" s="139" t="s">
        <v>891</v>
      </c>
      <c r="F209" s="140">
        <v>10.0</v>
      </c>
      <c r="G209" s="140">
        <v>10.0</v>
      </c>
      <c r="H209" s="140">
        <v>200.0</v>
      </c>
      <c r="I209" s="137">
        <f t="shared" si="5"/>
        <v>2000</v>
      </c>
      <c r="J209" s="141" t="s">
        <v>178</v>
      </c>
      <c r="K209" s="138"/>
      <c r="L209" s="140" t="s">
        <v>599</v>
      </c>
      <c r="M209" s="138" t="s">
        <v>1947</v>
      </c>
      <c r="N209" s="142" t="s">
        <v>896</v>
      </c>
      <c r="O209" s="137" t="str">
        <f>IMAGE("https://m.media-amazon.com/images/W/MEDIAX_792452-T2/images/I/612Fb4y5P6S._SL1100_.jpg",1)</f>
        <v/>
      </c>
      <c r="P209" s="137" t="s">
        <v>1688</v>
      </c>
      <c r="Q209" s="137"/>
      <c r="R209" s="137"/>
      <c r="S209" s="137"/>
      <c r="T209" s="137"/>
      <c r="U209" s="137">
        <v>1.0</v>
      </c>
      <c r="V209" s="143"/>
      <c r="W209" s="144">
        <f t="shared" si="2"/>
        <v>450</v>
      </c>
      <c r="X209" s="176"/>
    </row>
    <row r="210" ht="45.0" customHeight="1">
      <c r="A210" s="149">
        <v>209.0</v>
      </c>
      <c r="B210" s="149" t="s">
        <v>173</v>
      </c>
      <c r="C210" s="149" t="s">
        <v>898</v>
      </c>
      <c r="D210" s="150" t="s">
        <v>899</v>
      </c>
      <c r="E210" s="151" t="s">
        <v>891</v>
      </c>
      <c r="F210" s="149" t="s">
        <v>56</v>
      </c>
      <c r="G210" s="156">
        <v>10.0</v>
      </c>
      <c r="H210" s="149">
        <v>75.0</v>
      </c>
      <c r="I210" s="149">
        <f t="shared" si="5"/>
        <v>750</v>
      </c>
      <c r="J210" s="153" t="s">
        <v>178</v>
      </c>
      <c r="K210" s="150"/>
      <c r="L210" s="152" t="s">
        <v>599</v>
      </c>
      <c r="M210" s="150" t="s">
        <v>1947</v>
      </c>
      <c r="N210" s="154" t="s">
        <v>900</v>
      </c>
      <c r="O210" s="149" t="str">
        <f>IMAGE("https://robu.in/wp-content/uploads/2021/05/DC-DC-Boost-Module-0.9V5V-to-5V-600MA-USB-Step-up-Board-5V-Output-1.png",1)</f>
        <v/>
      </c>
      <c r="P210" s="149"/>
      <c r="Q210" s="149"/>
      <c r="R210" s="149"/>
      <c r="S210" s="149"/>
      <c r="T210" s="149"/>
      <c r="U210" s="156">
        <v>0.0</v>
      </c>
      <c r="V210" s="171" t="s">
        <v>1936</v>
      </c>
      <c r="W210" s="158">
        <f t="shared" si="2"/>
        <v>450</v>
      </c>
      <c r="X210" s="178"/>
    </row>
    <row r="211" ht="45.0" customHeight="1">
      <c r="A211" s="137">
        <v>210.0</v>
      </c>
      <c r="B211" s="137" t="s">
        <v>173</v>
      </c>
      <c r="C211" s="137" t="s">
        <v>902</v>
      </c>
      <c r="D211" s="138" t="s">
        <v>903</v>
      </c>
      <c r="E211" s="139" t="s">
        <v>891</v>
      </c>
      <c r="F211" s="140">
        <v>5.0</v>
      </c>
      <c r="G211" s="140">
        <v>5.0</v>
      </c>
      <c r="H211" s="140">
        <v>150.0</v>
      </c>
      <c r="I211" s="137">
        <f t="shared" si="5"/>
        <v>750</v>
      </c>
      <c r="J211" s="141" t="s">
        <v>178</v>
      </c>
      <c r="K211" s="138"/>
      <c r="L211" s="140" t="s">
        <v>66</v>
      </c>
      <c r="M211" s="138" t="s">
        <v>1954</v>
      </c>
      <c r="N211" s="142" t="s">
        <v>904</v>
      </c>
      <c r="O211" s="137" t="str">
        <f>IMAGE("https://makerbazar.in/cdn/shop/files/6015fanwithwire_600x.jpg?v=1695792315",1)</f>
        <v/>
      </c>
      <c r="P211" s="137" t="s">
        <v>1688</v>
      </c>
      <c r="Q211" s="137"/>
      <c r="R211" s="137"/>
      <c r="S211" s="137"/>
      <c r="T211" s="137"/>
      <c r="U211" s="137">
        <v>1.0</v>
      </c>
      <c r="V211" s="143"/>
      <c r="W211" s="144">
        <f t="shared" si="2"/>
        <v>225</v>
      </c>
      <c r="X211" s="176"/>
    </row>
    <row r="212" ht="45.0" customHeight="1">
      <c r="A212" s="137">
        <v>211.0</v>
      </c>
      <c r="B212" s="137" t="s">
        <v>173</v>
      </c>
      <c r="C212" s="137" t="s">
        <v>906</v>
      </c>
      <c r="D212" s="138" t="s">
        <v>1955</v>
      </c>
      <c r="E212" s="139" t="s">
        <v>891</v>
      </c>
      <c r="F212" s="140">
        <v>10.0</v>
      </c>
      <c r="G212" s="140">
        <v>10.0</v>
      </c>
      <c r="H212" s="140">
        <v>200.0</v>
      </c>
      <c r="I212" s="137">
        <f t="shared" si="5"/>
        <v>2000</v>
      </c>
      <c r="J212" s="141" t="s">
        <v>178</v>
      </c>
      <c r="K212" s="138"/>
      <c r="L212" s="140" t="s">
        <v>249</v>
      </c>
      <c r="M212" s="138" t="s">
        <v>1956</v>
      </c>
      <c r="N212" s="142" t="s">
        <v>908</v>
      </c>
      <c r="O212" s="137" t="str">
        <f>IMAGE("https://5.imimg.com/data5/II/UT/SO/SELLER-1968074/16x2-lcd-display-500x500.jpg",1)</f>
        <v/>
      </c>
      <c r="P212" s="137" t="s">
        <v>1688</v>
      </c>
      <c r="Q212" s="137"/>
      <c r="R212" s="137"/>
      <c r="S212" s="137"/>
      <c r="T212" s="137"/>
      <c r="U212" s="137">
        <v>1.0</v>
      </c>
      <c r="V212" s="143"/>
      <c r="W212" s="144">
        <f t="shared" si="2"/>
        <v>450</v>
      </c>
      <c r="X212" s="176"/>
    </row>
    <row r="213" ht="45.0" customHeight="1">
      <c r="A213" s="137">
        <v>212.0</v>
      </c>
      <c r="B213" s="137" t="s">
        <v>173</v>
      </c>
      <c r="C213" s="137" t="s">
        <v>910</v>
      </c>
      <c r="D213" s="138" t="s">
        <v>911</v>
      </c>
      <c r="E213" s="139" t="s">
        <v>891</v>
      </c>
      <c r="F213" s="140">
        <v>20.0</v>
      </c>
      <c r="G213" s="140">
        <v>20.0</v>
      </c>
      <c r="H213" s="140">
        <v>15.0</v>
      </c>
      <c r="I213" s="137">
        <f t="shared" si="5"/>
        <v>300</v>
      </c>
      <c r="J213" s="141" t="s">
        <v>178</v>
      </c>
      <c r="K213" s="138"/>
      <c r="L213" s="140" t="s">
        <v>193</v>
      </c>
      <c r="M213" s="138" t="s">
        <v>1903</v>
      </c>
      <c r="N213" s="142" t="s">
        <v>912</v>
      </c>
      <c r="O213" s="137" t="str">
        <f>IMAGE("https://ashokaonlineshop.in/wp-content/uploads/2022/11/650nm-Mini-Laser-Dot-Diode-Module1.jpeg",1)</f>
        <v/>
      </c>
      <c r="P213" s="137" t="s">
        <v>1688</v>
      </c>
      <c r="Q213" s="147"/>
      <c r="R213" s="147"/>
      <c r="S213" s="137"/>
      <c r="T213" s="137"/>
      <c r="U213" s="137">
        <v>1.0</v>
      </c>
      <c r="V213" s="143"/>
      <c r="W213" s="144">
        <f t="shared" si="2"/>
        <v>900</v>
      </c>
      <c r="X213" s="176"/>
    </row>
    <row r="214" ht="45.0" customHeight="1">
      <c r="A214" s="137">
        <v>213.0</v>
      </c>
      <c r="B214" s="137" t="s">
        <v>173</v>
      </c>
      <c r="C214" s="137" t="s">
        <v>914</v>
      </c>
      <c r="D214" s="138" t="s">
        <v>1811</v>
      </c>
      <c r="E214" s="139" t="s">
        <v>891</v>
      </c>
      <c r="F214" s="140">
        <v>10.0</v>
      </c>
      <c r="G214" s="140">
        <v>10.0</v>
      </c>
      <c r="H214" s="140">
        <v>300.0</v>
      </c>
      <c r="I214" s="137">
        <f t="shared" si="5"/>
        <v>3000</v>
      </c>
      <c r="J214" s="141" t="s">
        <v>178</v>
      </c>
      <c r="K214" s="138"/>
      <c r="L214" s="140" t="s">
        <v>179</v>
      </c>
      <c r="M214" s="138" t="s">
        <v>1956</v>
      </c>
      <c r="N214" s="142" t="s">
        <v>916</v>
      </c>
      <c r="O214" s="137" t="str">
        <f>IMAGE("https://m.media-amazon.com/images/I/51l+Qhaiu3L._SL1000_.jpg",1)</f>
        <v/>
      </c>
      <c r="P214" s="137" t="s">
        <v>1688</v>
      </c>
      <c r="Q214" s="137"/>
      <c r="R214" s="137"/>
      <c r="S214" s="137"/>
      <c r="T214" s="137"/>
      <c r="U214" s="137">
        <v>1.0</v>
      </c>
      <c r="V214" s="143"/>
      <c r="W214" s="144">
        <f t="shared" si="2"/>
        <v>450</v>
      </c>
      <c r="X214" s="176"/>
    </row>
    <row r="215" ht="45.0" customHeight="1">
      <c r="A215" s="137">
        <v>214.0</v>
      </c>
      <c r="B215" s="137" t="s">
        <v>173</v>
      </c>
      <c r="C215" s="137" t="s">
        <v>918</v>
      </c>
      <c r="D215" s="138" t="s">
        <v>1820</v>
      </c>
      <c r="E215" s="139" t="s">
        <v>891</v>
      </c>
      <c r="F215" s="140">
        <v>10.0</v>
      </c>
      <c r="G215" s="140">
        <v>10.0</v>
      </c>
      <c r="H215" s="140">
        <v>100.0</v>
      </c>
      <c r="I215" s="137">
        <f t="shared" si="5"/>
        <v>1000</v>
      </c>
      <c r="J215" s="141" t="s">
        <v>178</v>
      </c>
      <c r="K215" s="138"/>
      <c r="L215" s="140" t="s">
        <v>1957</v>
      </c>
      <c r="M215" s="138" t="s">
        <v>1905</v>
      </c>
      <c r="N215" s="142" t="s">
        <v>920</v>
      </c>
      <c r="O215" s="137" t="str">
        <f>IMAGE("https://rukminim1.flixcart.com/image/850/1000/k62i5jk0/solar-panel/7/g/q/diy-projects-6v-80ma-wire-attached-mini-power-solar-cells-for-original-imafzm93vcqqnsat.jpeg?q=20")</f>
        <v/>
      </c>
      <c r="P215" s="137" t="s">
        <v>1688</v>
      </c>
      <c r="Q215" s="137"/>
      <c r="R215" s="137"/>
      <c r="S215" s="137"/>
      <c r="T215" s="137"/>
      <c r="U215" s="137">
        <v>1.0</v>
      </c>
      <c r="V215" s="143"/>
      <c r="W215" s="144">
        <f t="shared" si="2"/>
        <v>450</v>
      </c>
      <c r="X215" s="176"/>
    </row>
    <row r="216" ht="45.0" customHeight="1">
      <c r="A216" s="137">
        <v>215.0</v>
      </c>
      <c r="B216" s="137" t="s">
        <v>173</v>
      </c>
      <c r="C216" s="137" t="s">
        <v>922</v>
      </c>
      <c r="D216" s="138" t="s">
        <v>923</v>
      </c>
      <c r="E216" s="139" t="s">
        <v>891</v>
      </c>
      <c r="F216" s="140">
        <v>5.0</v>
      </c>
      <c r="G216" s="140">
        <v>5.0</v>
      </c>
      <c r="H216" s="140">
        <v>250.0</v>
      </c>
      <c r="I216" s="137">
        <f t="shared" si="5"/>
        <v>1250</v>
      </c>
      <c r="J216" s="141" t="s">
        <v>178</v>
      </c>
      <c r="K216" s="138"/>
      <c r="L216" s="140" t="s">
        <v>249</v>
      </c>
      <c r="M216" s="138" t="s">
        <v>1947</v>
      </c>
      <c r="N216" s="142" t="s">
        <v>924</v>
      </c>
      <c r="O216" s="137" t="str">
        <f>IMAGE("https://robu.in/wp-content/uploads/2017/06/robu-3-13.jpg",1)</f>
        <v/>
      </c>
      <c r="P216" s="137" t="s">
        <v>1688</v>
      </c>
      <c r="Q216" s="137"/>
      <c r="R216" s="137"/>
      <c r="S216" s="137"/>
      <c r="T216" s="137"/>
      <c r="U216" s="137">
        <v>1.0</v>
      </c>
      <c r="V216" s="143"/>
      <c r="W216" s="144">
        <f t="shared" si="2"/>
        <v>225</v>
      </c>
      <c r="X216" s="176"/>
    </row>
    <row r="217" ht="45.0" customHeight="1">
      <c r="A217" s="137">
        <v>216.0</v>
      </c>
      <c r="B217" s="137" t="s">
        <v>173</v>
      </c>
      <c r="C217" s="137" t="s">
        <v>926</v>
      </c>
      <c r="D217" s="138" t="s">
        <v>927</v>
      </c>
      <c r="E217" s="139" t="s">
        <v>891</v>
      </c>
      <c r="F217" s="140">
        <v>10.0</v>
      </c>
      <c r="G217" s="140">
        <v>10.0</v>
      </c>
      <c r="H217" s="140">
        <v>50.0</v>
      </c>
      <c r="I217" s="137">
        <f t="shared" si="5"/>
        <v>500</v>
      </c>
      <c r="J217" s="141" t="s">
        <v>178</v>
      </c>
      <c r="K217" s="138"/>
      <c r="L217" s="140" t="s">
        <v>179</v>
      </c>
      <c r="M217" s="138" t="s">
        <v>1941</v>
      </c>
      <c r="N217" s="142"/>
      <c r="O217" s="137" t="str">
        <f>IMAGE("https://robu.in/wp-content/uploads/2021/05/0.5W-8OHM-Trumpet-Diameter-36mm-1.jpeg",1)</f>
        <v/>
      </c>
      <c r="P217" s="137" t="s">
        <v>1688</v>
      </c>
      <c r="Q217" s="137"/>
      <c r="R217" s="137"/>
      <c r="S217" s="137"/>
      <c r="T217" s="137"/>
      <c r="U217" s="137">
        <v>1.0</v>
      </c>
      <c r="V217" s="143"/>
      <c r="W217" s="144">
        <f t="shared" si="2"/>
        <v>450</v>
      </c>
      <c r="X217" s="176"/>
    </row>
    <row r="218" ht="45.0" customHeight="1">
      <c r="A218" s="137">
        <v>217.0</v>
      </c>
      <c r="B218" s="137" t="s">
        <v>173</v>
      </c>
      <c r="C218" s="137" t="s">
        <v>929</v>
      </c>
      <c r="D218" s="138" t="s">
        <v>930</v>
      </c>
      <c r="E218" s="139" t="s">
        <v>891</v>
      </c>
      <c r="F218" s="140">
        <v>10.0</v>
      </c>
      <c r="G218" s="140">
        <v>10.0</v>
      </c>
      <c r="H218" s="140">
        <v>40.0</v>
      </c>
      <c r="I218" s="137">
        <f t="shared" si="5"/>
        <v>400</v>
      </c>
      <c r="J218" s="141" t="s">
        <v>178</v>
      </c>
      <c r="K218" s="138"/>
      <c r="L218" s="140" t="s">
        <v>193</v>
      </c>
      <c r="M218" s="138" t="s">
        <v>1954</v>
      </c>
      <c r="N218" s="142" t="s">
        <v>931</v>
      </c>
      <c r="O218" s="137" t="str">
        <f>IMAGE("https://5.imimg.com/data5/SELLER/Default/2023/2/OP/GV/HH/182244990/water-pump-module-1000x1000.jpg",1)</f>
        <v/>
      </c>
      <c r="P218" s="137" t="s">
        <v>1688</v>
      </c>
      <c r="Q218" s="137"/>
      <c r="R218" s="137"/>
      <c r="S218" s="137"/>
      <c r="T218" s="137"/>
      <c r="U218" s="137">
        <v>1.0</v>
      </c>
      <c r="V218" s="143"/>
      <c r="W218" s="144">
        <f t="shared" si="2"/>
        <v>450</v>
      </c>
      <c r="X218" s="176"/>
    </row>
    <row r="219" ht="45.0" customHeight="1">
      <c r="A219" s="149">
        <v>218.0</v>
      </c>
      <c r="B219" s="149" t="s">
        <v>173</v>
      </c>
      <c r="C219" s="149" t="s">
        <v>933</v>
      </c>
      <c r="D219" s="150" t="s">
        <v>934</v>
      </c>
      <c r="E219" s="151" t="s">
        <v>891</v>
      </c>
      <c r="F219" s="149">
        <v>15.0</v>
      </c>
      <c r="G219" s="149">
        <v>15.0</v>
      </c>
      <c r="H219" s="149">
        <v>21.0</v>
      </c>
      <c r="I219" s="149">
        <f t="shared" si="5"/>
        <v>315</v>
      </c>
      <c r="J219" s="153" t="s">
        <v>178</v>
      </c>
      <c r="K219" s="150"/>
      <c r="L219" s="152" t="s">
        <v>935</v>
      </c>
      <c r="M219" s="150" t="s">
        <v>1909</v>
      </c>
      <c r="N219" s="154" t="s">
        <v>937</v>
      </c>
      <c r="O219" s="149" t="str">
        <f>IMAGE("https://robu.in/wp-content/uploads/2020/10/TP4056-1A-Li-ion-lithium-Battery-Charging-Module-With-Current-Protection-Type-C-2.png",1)</f>
        <v/>
      </c>
      <c r="P219" s="149"/>
      <c r="Q219" s="149"/>
      <c r="R219" s="149"/>
      <c r="S219" s="149"/>
      <c r="T219" s="149"/>
      <c r="U219" s="156">
        <v>0.0</v>
      </c>
      <c r="V219" s="171" t="s">
        <v>1936</v>
      </c>
      <c r="W219" s="158">
        <f t="shared" si="2"/>
        <v>675</v>
      </c>
      <c r="X219" s="178"/>
    </row>
    <row r="220" ht="45.0" customHeight="1">
      <c r="A220" s="137">
        <v>219.0</v>
      </c>
      <c r="B220" s="137" t="s">
        <v>173</v>
      </c>
      <c r="C220" s="137" t="s">
        <v>939</v>
      </c>
      <c r="D220" s="138" t="s">
        <v>940</v>
      </c>
      <c r="E220" s="139" t="s">
        <v>891</v>
      </c>
      <c r="F220" s="140">
        <v>5.0</v>
      </c>
      <c r="G220" s="140">
        <v>5.0</v>
      </c>
      <c r="H220" s="140">
        <v>250.0</v>
      </c>
      <c r="I220" s="137">
        <f t="shared" si="5"/>
        <v>1250</v>
      </c>
      <c r="J220" s="141" t="s">
        <v>178</v>
      </c>
      <c r="K220" s="138"/>
      <c r="L220" s="140" t="s">
        <v>599</v>
      </c>
      <c r="M220" s="138" t="s">
        <v>1947</v>
      </c>
      <c r="N220" s="142"/>
      <c r="O220" s="137" t="str">
        <f>IMAGE("https://robu.in/wp-content/uploads/2016/03/Ublox-Neo-6M-GPS.jpg",1)</f>
        <v/>
      </c>
      <c r="P220" s="137" t="s">
        <v>1688</v>
      </c>
      <c r="Q220" s="137"/>
      <c r="R220" s="137"/>
      <c r="S220" s="137"/>
      <c r="T220" s="137"/>
      <c r="U220" s="137">
        <v>1.0</v>
      </c>
      <c r="V220" s="143"/>
      <c r="W220" s="144">
        <f t="shared" si="2"/>
        <v>225</v>
      </c>
      <c r="X220" s="176"/>
    </row>
    <row r="221" ht="45.0" customHeight="1">
      <c r="A221" s="137">
        <v>220.0</v>
      </c>
      <c r="B221" s="137" t="s">
        <v>173</v>
      </c>
      <c r="C221" s="137" t="s">
        <v>942</v>
      </c>
      <c r="D221" s="138" t="s">
        <v>943</v>
      </c>
      <c r="E221" s="139" t="s">
        <v>891</v>
      </c>
      <c r="F221" s="140">
        <v>5.0</v>
      </c>
      <c r="G221" s="140">
        <v>5.0</v>
      </c>
      <c r="H221" s="140">
        <v>40.0</v>
      </c>
      <c r="I221" s="137">
        <f t="shared" si="5"/>
        <v>200</v>
      </c>
      <c r="J221" s="141" t="s">
        <v>178</v>
      </c>
      <c r="K221" s="138"/>
      <c r="L221" s="140" t="s">
        <v>599</v>
      </c>
      <c r="M221" s="138" t="s">
        <v>1947</v>
      </c>
      <c r="N221" s="142" t="s">
        <v>944</v>
      </c>
      <c r="O221" s="137" t="str">
        <f>IMAGE("https://m.media-amazon.com/images/W/MEDIAX_792452-T2/images/I/51cWZAAMiWL._SL1000_.jpg",1)</f>
        <v/>
      </c>
      <c r="P221" s="137" t="s">
        <v>1688</v>
      </c>
      <c r="Q221" s="137"/>
      <c r="R221" s="137"/>
      <c r="S221" s="137"/>
      <c r="T221" s="137"/>
      <c r="U221" s="137">
        <v>1.0</v>
      </c>
      <c r="V221" s="143"/>
      <c r="W221" s="144">
        <f t="shared" si="2"/>
        <v>225</v>
      </c>
      <c r="X221" s="176"/>
    </row>
    <row r="222" ht="45.0" customHeight="1">
      <c r="A222" s="137">
        <v>221.0</v>
      </c>
      <c r="B222" s="137" t="s">
        <v>173</v>
      </c>
      <c r="C222" s="137" t="s">
        <v>946</v>
      </c>
      <c r="D222" s="138" t="s">
        <v>947</v>
      </c>
      <c r="E222" s="139" t="s">
        <v>891</v>
      </c>
      <c r="F222" s="140">
        <v>5.0</v>
      </c>
      <c r="G222" s="140">
        <v>5.0</v>
      </c>
      <c r="H222" s="140">
        <v>40.0</v>
      </c>
      <c r="I222" s="137">
        <f t="shared" si="5"/>
        <v>200</v>
      </c>
      <c r="J222" s="141" t="s">
        <v>178</v>
      </c>
      <c r="K222" s="138"/>
      <c r="L222" s="140" t="s">
        <v>599</v>
      </c>
      <c r="M222" s="138" t="s">
        <v>1947</v>
      </c>
      <c r="N222" s="142"/>
      <c r="O222" s="137" t="str">
        <f>IMAGE("https://m.media-amazon.com/images/W/MEDIAX_792452-T2/images/I/61wbYlIdx0L._SL1500_.jpg",1)</f>
        <v/>
      </c>
      <c r="P222" s="137" t="s">
        <v>1688</v>
      </c>
      <c r="Q222" s="137"/>
      <c r="R222" s="137"/>
      <c r="S222" s="137"/>
      <c r="T222" s="137"/>
      <c r="U222" s="137">
        <v>1.0</v>
      </c>
      <c r="V222" s="143"/>
      <c r="W222" s="144">
        <f t="shared" si="2"/>
        <v>225</v>
      </c>
      <c r="X222" s="176"/>
    </row>
    <row r="223" ht="45.0" customHeight="1">
      <c r="A223" s="137">
        <v>222.0</v>
      </c>
      <c r="B223" s="137" t="s">
        <v>173</v>
      </c>
      <c r="C223" s="137" t="s">
        <v>949</v>
      </c>
      <c r="D223" s="138" t="s">
        <v>950</v>
      </c>
      <c r="E223" s="139" t="s">
        <v>891</v>
      </c>
      <c r="F223" s="140">
        <v>10.0</v>
      </c>
      <c r="G223" s="140">
        <v>10.0</v>
      </c>
      <c r="H223" s="140">
        <v>40.0</v>
      </c>
      <c r="I223" s="137">
        <f t="shared" si="5"/>
        <v>400</v>
      </c>
      <c r="J223" s="141" t="s">
        <v>178</v>
      </c>
      <c r="K223" s="138"/>
      <c r="L223" s="140" t="s">
        <v>599</v>
      </c>
      <c r="M223" s="138" t="s">
        <v>1947</v>
      </c>
      <c r="N223" s="142" t="s">
        <v>951</v>
      </c>
      <c r="O223" s="137" t="str">
        <f>IMAGE("https://5.imimg.com/data5/SELLER/Default/2022/9/HX/YZ/GJ/43948449/micro-sd-card-adapter-with-level-shifter-500x500.png",1)</f>
        <v/>
      </c>
      <c r="P223" s="137" t="s">
        <v>1688</v>
      </c>
      <c r="Q223" s="137"/>
      <c r="R223" s="137"/>
      <c r="S223" s="137"/>
      <c r="T223" s="137"/>
      <c r="U223" s="137">
        <v>1.0</v>
      </c>
      <c r="V223" s="143"/>
      <c r="W223" s="144">
        <f t="shared" si="2"/>
        <v>450</v>
      </c>
      <c r="X223" s="176"/>
    </row>
    <row r="224" ht="45.0" customHeight="1">
      <c r="A224" s="137">
        <v>223.0</v>
      </c>
      <c r="B224" s="137" t="s">
        <v>173</v>
      </c>
      <c r="C224" s="137" t="s">
        <v>953</v>
      </c>
      <c r="D224" s="138" t="s">
        <v>1958</v>
      </c>
      <c r="E224" s="139" t="s">
        <v>891</v>
      </c>
      <c r="F224" s="140">
        <v>10.0</v>
      </c>
      <c r="G224" s="140">
        <v>10.0</v>
      </c>
      <c r="H224" s="140">
        <v>200.0</v>
      </c>
      <c r="I224" s="137">
        <f t="shared" si="5"/>
        <v>2000</v>
      </c>
      <c r="J224" s="141" t="s">
        <v>178</v>
      </c>
      <c r="K224" s="138"/>
      <c r="L224" s="140" t="s">
        <v>66</v>
      </c>
      <c r="M224" s="138" t="s">
        <v>1947</v>
      </c>
      <c r="N224" s="162" t="s">
        <v>955</v>
      </c>
      <c r="O224" s="137" t="str">
        <f>IMAGE("https://robu.in/wp-content/uploads/2020/09/L298P-Motor-Driver-Shield-for-Arduino-3.jpg",1)</f>
        <v/>
      </c>
      <c r="P224" s="137" t="s">
        <v>1688</v>
      </c>
      <c r="Q224" s="137"/>
      <c r="R224" s="137"/>
      <c r="S224" s="137"/>
      <c r="T224" s="137"/>
      <c r="U224" s="137">
        <v>1.0</v>
      </c>
      <c r="V224" s="143"/>
      <c r="W224" s="144">
        <f t="shared" si="2"/>
        <v>450</v>
      </c>
      <c r="X224" s="176"/>
    </row>
    <row r="225" ht="45.0" customHeight="1">
      <c r="A225" s="137">
        <v>224.0</v>
      </c>
      <c r="B225" s="137" t="s">
        <v>173</v>
      </c>
      <c r="C225" s="137" t="s">
        <v>957</v>
      </c>
      <c r="D225" s="138" t="s">
        <v>1760</v>
      </c>
      <c r="E225" s="139" t="s">
        <v>891</v>
      </c>
      <c r="F225" s="140">
        <v>5.0</v>
      </c>
      <c r="G225" s="140">
        <v>5.0</v>
      </c>
      <c r="H225" s="140">
        <v>95.0</v>
      </c>
      <c r="I225" s="137">
        <f t="shared" si="5"/>
        <v>475</v>
      </c>
      <c r="J225" s="141" t="s">
        <v>178</v>
      </c>
      <c r="K225" s="138"/>
      <c r="L225" s="140" t="s">
        <v>599</v>
      </c>
      <c r="M225" s="138" t="s">
        <v>1947</v>
      </c>
      <c r="N225" s="142" t="s">
        <v>959</v>
      </c>
      <c r="O225" s="137" t="str">
        <f>IMAGE("https://m.media-amazon.com/images/I/41Y-5b4TQcL.jpg",1)</f>
        <v/>
      </c>
      <c r="P225" s="137" t="s">
        <v>1688</v>
      </c>
      <c r="Q225" s="137"/>
      <c r="R225" s="137"/>
      <c r="S225" s="137"/>
      <c r="T225" s="137"/>
      <c r="U225" s="137">
        <v>1.0</v>
      </c>
      <c r="V225" s="143"/>
      <c r="W225" s="144">
        <f t="shared" si="2"/>
        <v>225</v>
      </c>
      <c r="X225" s="176"/>
    </row>
    <row r="226" ht="45.0" customHeight="1">
      <c r="A226" s="137">
        <v>225.0</v>
      </c>
      <c r="B226" s="137" t="s">
        <v>173</v>
      </c>
      <c r="C226" s="137" t="s">
        <v>961</v>
      </c>
      <c r="D226" s="138" t="s">
        <v>962</v>
      </c>
      <c r="E226" s="139" t="s">
        <v>891</v>
      </c>
      <c r="F226" s="140">
        <v>10.0</v>
      </c>
      <c r="G226" s="140">
        <v>10.0</v>
      </c>
      <c r="H226" s="140">
        <v>500.0</v>
      </c>
      <c r="I226" s="137">
        <f t="shared" si="5"/>
        <v>5000</v>
      </c>
      <c r="J226" s="141" t="s">
        <v>178</v>
      </c>
      <c r="K226" s="138"/>
      <c r="L226" s="140" t="s">
        <v>599</v>
      </c>
      <c r="M226" s="138" t="s">
        <v>1947</v>
      </c>
      <c r="N226" s="142" t="s">
        <v>963</v>
      </c>
      <c r="O226" s="137" t="str">
        <f>IMAGE("https://robu.in/wp-content/uploads/2016/02/617hpF6cJbL._SL1000_.jpg",1)</f>
        <v/>
      </c>
      <c r="P226" s="137" t="s">
        <v>1688</v>
      </c>
      <c r="Q226" s="137"/>
      <c r="R226" s="137"/>
      <c r="S226" s="147"/>
      <c r="T226" s="147"/>
      <c r="U226" s="137">
        <v>1.0</v>
      </c>
      <c r="V226" s="143"/>
      <c r="W226" s="144">
        <f t="shared" si="2"/>
        <v>450</v>
      </c>
      <c r="X226" s="176"/>
    </row>
    <row r="227" ht="45.0" hidden="1" customHeight="1">
      <c r="A227" s="149">
        <v>226.0</v>
      </c>
      <c r="B227" s="149" t="s">
        <v>321</v>
      </c>
      <c r="C227" s="149" t="s">
        <v>965</v>
      </c>
      <c r="D227" s="150" t="s">
        <v>1959</v>
      </c>
      <c r="E227" s="151" t="s">
        <v>326</v>
      </c>
      <c r="F227" s="152">
        <v>6.0</v>
      </c>
      <c r="G227" s="152">
        <v>6.0</v>
      </c>
      <c r="H227" s="152">
        <v>600.0</v>
      </c>
      <c r="I227" s="149">
        <f t="shared" si="5"/>
        <v>3600</v>
      </c>
      <c r="J227" s="153" t="s">
        <v>326</v>
      </c>
      <c r="K227" s="151"/>
      <c r="L227" s="152" t="s">
        <v>1960</v>
      </c>
      <c r="M227" s="150" t="s">
        <v>1901</v>
      </c>
      <c r="N227" s="154" t="s">
        <v>967</v>
      </c>
      <c r="O227" s="149" t="str">
        <f>IMAGE("https://www.220converters.com/resize/Shared/images/Product/Seven-Star-ES5C-220-Volt-Universal-5-Outlet-Power-Strip-With-Surge-Protection-220V-240V/es5c.jpg?bw=500&amp;bh=500",1)</f>
        <v/>
      </c>
      <c r="P227" s="149"/>
      <c r="Q227" s="149"/>
      <c r="R227" s="149"/>
      <c r="S227" s="155"/>
      <c r="T227" s="149"/>
      <c r="U227" s="156">
        <v>0.0</v>
      </c>
      <c r="V227" s="171" t="s">
        <v>1961</v>
      </c>
      <c r="W227" s="158">
        <f t="shared" si="2"/>
        <v>270</v>
      </c>
      <c r="X227" s="175"/>
    </row>
    <row r="228" ht="45.0" hidden="1" customHeight="1">
      <c r="A228" s="149">
        <v>227.0</v>
      </c>
      <c r="B228" s="149" t="s">
        <v>321</v>
      </c>
      <c r="C228" s="149" t="s">
        <v>969</v>
      </c>
      <c r="D228" s="150" t="s">
        <v>970</v>
      </c>
      <c r="E228" s="151" t="s">
        <v>326</v>
      </c>
      <c r="F228" s="152">
        <v>1.0</v>
      </c>
      <c r="G228" s="152">
        <v>1.0</v>
      </c>
      <c r="H228" s="152">
        <v>2000.0</v>
      </c>
      <c r="I228" s="149">
        <f t="shared" si="5"/>
        <v>2000</v>
      </c>
      <c r="J228" s="153" t="s">
        <v>326</v>
      </c>
      <c r="K228" s="150"/>
      <c r="L228" s="152"/>
      <c r="M228" s="150" t="s">
        <v>1901</v>
      </c>
      <c r="N228" s="154" t="s">
        <v>971</v>
      </c>
      <c r="O228" s="149" t="str">
        <f>IMAGE("https://www.jiomart.com/images/product/original/491503417/mi-home-security-camera-digital-o491503417-p590045677-0-202010110622.jpeg")</f>
        <v/>
      </c>
      <c r="P228" s="159" t="s">
        <v>1684</v>
      </c>
      <c r="Q228" s="149">
        <v>55.0</v>
      </c>
      <c r="R228" s="149"/>
      <c r="S228" s="149"/>
      <c r="T228" s="149"/>
      <c r="U228" s="156">
        <v>0.0</v>
      </c>
      <c r="V228" s="171" t="s">
        <v>1962</v>
      </c>
      <c r="W228" s="158">
        <f t="shared" si="2"/>
        <v>45</v>
      </c>
      <c r="X228" s="175"/>
    </row>
    <row r="229" ht="45.0" hidden="1" customHeight="1">
      <c r="A229" s="137">
        <v>228.0</v>
      </c>
      <c r="B229" s="137" t="s">
        <v>137</v>
      </c>
      <c r="C229" s="137" t="s">
        <v>973</v>
      </c>
      <c r="D229" s="138" t="s">
        <v>974</v>
      </c>
      <c r="E229" s="139" t="s">
        <v>326</v>
      </c>
      <c r="F229" s="140">
        <v>1.0</v>
      </c>
      <c r="G229" s="140">
        <v>1.0</v>
      </c>
      <c r="H229" s="161">
        <v>35000.0</v>
      </c>
      <c r="I229" s="137">
        <f t="shared" si="5"/>
        <v>35000</v>
      </c>
      <c r="J229" s="141" t="s">
        <v>142</v>
      </c>
      <c r="K229" s="138"/>
      <c r="L229" s="140"/>
      <c r="M229" s="138" t="s">
        <v>1901</v>
      </c>
      <c r="N229" s="142"/>
      <c r="O229" s="137" t="str">
        <f>IMAGE("https://cdn.ttgtmedia.com/rms/onlineimages/hp_elitebook_mobile.jpg",1)</f>
        <v/>
      </c>
      <c r="P229" s="132"/>
      <c r="Q229" s="137"/>
      <c r="R229" s="137"/>
      <c r="S229" s="137"/>
      <c r="T229" s="137"/>
      <c r="U229" s="146">
        <v>1.0</v>
      </c>
      <c r="V229" s="143"/>
      <c r="W229" s="144">
        <f t="shared" si="2"/>
        <v>45</v>
      </c>
      <c r="X229" s="176"/>
    </row>
    <row r="230" ht="45.0" hidden="1" customHeight="1">
      <c r="A230" s="149">
        <v>229.0</v>
      </c>
      <c r="B230" s="149" t="s">
        <v>137</v>
      </c>
      <c r="C230" s="149" t="s">
        <v>976</v>
      </c>
      <c r="D230" s="150" t="s">
        <v>977</v>
      </c>
      <c r="E230" s="151" t="s">
        <v>326</v>
      </c>
      <c r="F230" s="152">
        <v>1.0</v>
      </c>
      <c r="G230" s="152">
        <v>1.0</v>
      </c>
      <c r="H230" s="152">
        <v>1500.0</v>
      </c>
      <c r="I230" s="149">
        <f t="shared" si="5"/>
        <v>1500</v>
      </c>
      <c r="J230" s="153" t="s">
        <v>142</v>
      </c>
      <c r="K230" s="150"/>
      <c r="L230" s="152"/>
      <c r="M230" s="150" t="s">
        <v>1901</v>
      </c>
      <c r="N230" s="154"/>
      <c r="O230" s="149" t="str">
        <f>IMAGE("https://5.imimg.com/data5/SELLER/Default/2021/8/TH/NM/RA/53008030/tp-link-tl-wr940n-450mbps-wifi-wireless-router-with-3-antennas.jpg")</f>
        <v/>
      </c>
      <c r="P230" s="159" t="s">
        <v>1700</v>
      </c>
      <c r="Q230" s="149"/>
      <c r="R230" s="149"/>
      <c r="S230" s="149"/>
      <c r="T230" s="149"/>
      <c r="U230" s="156">
        <v>0.0</v>
      </c>
      <c r="V230" s="171" t="s">
        <v>1962</v>
      </c>
      <c r="W230" s="158">
        <f t="shared" si="2"/>
        <v>45</v>
      </c>
      <c r="X230" s="175"/>
    </row>
    <row r="231" ht="45.0" hidden="1" customHeight="1">
      <c r="A231" s="137">
        <v>230.0</v>
      </c>
      <c r="B231" s="137" t="s">
        <v>15</v>
      </c>
      <c r="C231" s="137" t="s">
        <v>979</v>
      </c>
      <c r="D231" s="138" t="s">
        <v>980</v>
      </c>
      <c r="E231" s="139" t="s">
        <v>981</v>
      </c>
      <c r="F231" s="140">
        <v>5.0</v>
      </c>
      <c r="G231" s="140">
        <v>5.0</v>
      </c>
      <c r="H231" s="137">
        <v>20.0</v>
      </c>
      <c r="I231" s="137">
        <f t="shared" si="5"/>
        <v>100</v>
      </c>
      <c r="J231" s="141" t="s">
        <v>20</v>
      </c>
      <c r="K231" s="138" t="s">
        <v>77</v>
      </c>
      <c r="L231" s="140" t="s">
        <v>65</v>
      </c>
      <c r="M231" s="139" t="s">
        <v>981</v>
      </c>
      <c r="N231" s="142" t="s">
        <v>982</v>
      </c>
      <c r="O231" s="137" t="str">
        <f t="shared" ref="O231:O233" si="14">IMAGE("https://encrypted-tbn0.gstatic.com/=IMAGEs?q=tbn:ANd9GcSdcvov5296EXdnf0Fj0qF-G6iK-nu0n6Z4THAWosUzBx_wQ7GuJyrL0Rnbt1uBxLroiao&amp;usqp=CAU",1)</f>
        <v/>
      </c>
      <c r="P231" s="137"/>
      <c r="Q231" s="137"/>
      <c r="R231" s="137"/>
      <c r="S231" s="137"/>
      <c r="T231" s="137"/>
      <c r="U231" s="137">
        <v>1.0</v>
      </c>
      <c r="V231" s="143"/>
      <c r="W231" s="144">
        <f t="shared" si="2"/>
        <v>225</v>
      </c>
      <c r="X231" s="176"/>
    </row>
    <row r="232" ht="45.0" hidden="1" customHeight="1">
      <c r="A232" s="137">
        <v>231.0</v>
      </c>
      <c r="B232" s="137" t="s">
        <v>15</v>
      </c>
      <c r="C232" s="137" t="s">
        <v>984</v>
      </c>
      <c r="D232" s="138" t="s">
        <v>985</v>
      </c>
      <c r="E232" s="139" t="s">
        <v>981</v>
      </c>
      <c r="F232" s="140">
        <v>5.0</v>
      </c>
      <c r="G232" s="140">
        <v>5.0</v>
      </c>
      <c r="H232" s="137">
        <v>40.0</v>
      </c>
      <c r="I232" s="137">
        <f t="shared" si="5"/>
        <v>200</v>
      </c>
      <c r="J232" s="141" t="s">
        <v>20</v>
      </c>
      <c r="K232" s="138" t="s">
        <v>77</v>
      </c>
      <c r="L232" s="140" t="s">
        <v>65</v>
      </c>
      <c r="M232" s="139" t="s">
        <v>981</v>
      </c>
      <c r="N232" s="142" t="s">
        <v>986</v>
      </c>
      <c r="O232" s="137" t="str">
        <f t="shared" si="14"/>
        <v/>
      </c>
      <c r="P232" s="137"/>
      <c r="Q232" s="137"/>
      <c r="R232" s="137"/>
      <c r="S232" s="137"/>
      <c r="T232" s="137"/>
      <c r="U232" s="137">
        <v>1.0</v>
      </c>
      <c r="V232" s="143"/>
      <c r="W232" s="144">
        <f t="shared" si="2"/>
        <v>225</v>
      </c>
      <c r="X232" s="176"/>
    </row>
    <row r="233" ht="45.0" hidden="1" customHeight="1">
      <c r="A233" s="137">
        <v>232.0</v>
      </c>
      <c r="B233" s="137" t="s">
        <v>15</v>
      </c>
      <c r="C233" s="137" t="s">
        <v>988</v>
      </c>
      <c r="D233" s="138" t="s">
        <v>989</v>
      </c>
      <c r="E233" s="139" t="s">
        <v>981</v>
      </c>
      <c r="F233" s="140">
        <v>2.0</v>
      </c>
      <c r="G233" s="140">
        <v>2.0</v>
      </c>
      <c r="H233" s="137">
        <v>50.0</v>
      </c>
      <c r="I233" s="137">
        <f t="shared" si="5"/>
        <v>100</v>
      </c>
      <c r="J233" s="141" t="s">
        <v>20</v>
      </c>
      <c r="K233" s="138" t="s">
        <v>77</v>
      </c>
      <c r="L233" s="140" t="s">
        <v>65</v>
      </c>
      <c r="M233" s="138" t="s">
        <v>981</v>
      </c>
      <c r="N233" s="142" t="s">
        <v>990</v>
      </c>
      <c r="O233" s="137" t="str">
        <f t="shared" si="14"/>
        <v/>
      </c>
      <c r="P233" s="137"/>
      <c r="Q233" s="137"/>
      <c r="R233" s="137"/>
      <c r="S233" s="137"/>
      <c r="T233" s="137"/>
      <c r="U233" s="137">
        <v>1.0</v>
      </c>
      <c r="V233" s="143"/>
      <c r="W233" s="144">
        <f t="shared" si="2"/>
        <v>90</v>
      </c>
      <c r="X233" s="176"/>
    </row>
    <row r="234" ht="45.0" hidden="1" customHeight="1">
      <c r="A234" s="149">
        <v>233.0</v>
      </c>
      <c r="B234" s="149" t="s">
        <v>15</v>
      </c>
      <c r="C234" s="149" t="s">
        <v>992</v>
      </c>
      <c r="D234" s="150" t="s">
        <v>993</v>
      </c>
      <c r="E234" s="151" t="s">
        <v>981</v>
      </c>
      <c r="F234" s="152">
        <v>5.0</v>
      </c>
      <c r="G234" s="152">
        <v>5.0</v>
      </c>
      <c r="H234" s="149">
        <v>50.0</v>
      </c>
      <c r="I234" s="149">
        <f t="shared" si="5"/>
        <v>250</v>
      </c>
      <c r="J234" s="153" t="s">
        <v>20</v>
      </c>
      <c r="K234" s="150" t="s">
        <v>77</v>
      </c>
      <c r="L234" s="152" t="s">
        <v>65</v>
      </c>
      <c r="M234" s="151" t="s">
        <v>981</v>
      </c>
      <c r="N234" s="154" t="s">
        <v>994</v>
      </c>
      <c r="O234" s="149" t="str">
        <f t="shared" ref="O234:O236" si="15">IMAGE("https://encrypted-tbn0.gstatic.com/=IMAGEs?q=tbn:ANd9GcTv3YU2gmM00qoI79XpKhq-dV1wM5aPXrLsmrVwQWwEda0tuTarN0ncQ0DMg_JUYk4IBe4&amp;usqp=CAU",1)</f>
        <v/>
      </c>
      <c r="P234" s="149"/>
      <c r="Q234" s="149"/>
      <c r="R234" s="149"/>
      <c r="S234" s="149"/>
      <c r="T234" s="149"/>
      <c r="U234" s="156">
        <v>0.0</v>
      </c>
      <c r="V234" s="157"/>
      <c r="W234" s="158">
        <f t="shared" si="2"/>
        <v>225</v>
      </c>
      <c r="X234" s="175"/>
    </row>
    <row r="235" ht="45.0" hidden="1" customHeight="1">
      <c r="A235" s="149">
        <v>234.0</v>
      </c>
      <c r="B235" s="149" t="s">
        <v>15</v>
      </c>
      <c r="C235" s="149" t="s">
        <v>996</v>
      </c>
      <c r="D235" s="150" t="s">
        <v>997</v>
      </c>
      <c r="E235" s="151" t="s">
        <v>981</v>
      </c>
      <c r="F235" s="152">
        <v>5.0</v>
      </c>
      <c r="G235" s="152">
        <v>5.0</v>
      </c>
      <c r="H235" s="149">
        <v>130.0</v>
      </c>
      <c r="I235" s="149">
        <f t="shared" si="5"/>
        <v>650</v>
      </c>
      <c r="J235" s="153" t="s">
        <v>20</v>
      </c>
      <c r="K235" s="150" t="s">
        <v>77</v>
      </c>
      <c r="L235" s="152" t="s">
        <v>65</v>
      </c>
      <c r="M235" s="151" t="s">
        <v>981</v>
      </c>
      <c r="N235" s="154" t="s">
        <v>994</v>
      </c>
      <c r="O235" s="149" t="str">
        <f t="shared" si="15"/>
        <v/>
      </c>
      <c r="P235" s="149"/>
      <c r="Q235" s="155"/>
      <c r="R235" s="155"/>
      <c r="S235" s="149"/>
      <c r="T235" s="149"/>
      <c r="U235" s="156">
        <v>0.0</v>
      </c>
      <c r="V235" s="157"/>
      <c r="W235" s="158">
        <f t="shared" si="2"/>
        <v>225</v>
      </c>
      <c r="X235" s="175"/>
    </row>
    <row r="236" ht="45.0" hidden="1" customHeight="1">
      <c r="A236" s="149">
        <v>235.0</v>
      </c>
      <c r="B236" s="149" t="s">
        <v>15</v>
      </c>
      <c r="C236" s="149" t="s">
        <v>999</v>
      </c>
      <c r="D236" s="150" t="s">
        <v>1000</v>
      </c>
      <c r="E236" s="151" t="s">
        <v>981</v>
      </c>
      <c r="F236" s="152">
        <v>5.0</v>
      </c>
      <c r="G236" s="152">
        <v>5.0</v>
      </c>
      <c r="H236" s="149">
        <v>180.0</v>
      </c>
      <c r="I236" s="149">
        <f t="shared" si="5"/>
        <v>900</v>
      </c>
      <c r="J236" s="153" t="s">
        <v>20</v>
      </c>
      <c r="K236" s="150" t="s">
        <v>77</v>
      </c>
      <c r="L236" s="152" t="s">
        <v>65</v>
      </c>
      <c r="M236" s="151" t="s">
        <v>981</v>
      </c>
      <c r="N236" s="154" t="s">
        <v>1001</v>
      </c>
      <c r="O236" s="149" t="str">
        <f t="shared" si="15"/>
        <v/>
      </c>
      <c r="P236" s="149"/>
      <c r="Q236" s="149"/>
      <c r="R236" s="149"/>
      <c r="S236" s="149"/>
      <c r="T236" s="149"/>
      <c r="U236" s="156">
        <v>0.0</v>
      </c>
      <c r="V236" s="157"/>
      <c r="W236" s="158">
        <f t="shared" si="2"/>
        <v>225</v>
      </c>
      <c r="X236" s="175"/>
    </row>
    <row r="237" ht="45.0" hidden="1" customHeight="1">
      <c r="A237" s="149">
        <v>236.0</v>
      </c>
      <c r="B237" s="149" t="s">
        <v>15</v>
      </c>
      <c r="C237" s="149" t="s">
        <v>1003</v>
      </c>
      <c r="D237" s="150" t="s">
        <v>1004</v>
      </c>
      <c r="E237" s="151" t="s">
        <v>981</v>
      </c>
      <c r="F237" s="152">
        <v>1.0</v>
      </c>
      <c r="G237" s="152">
        <v>1.0</v>
      </c>
      <c r="H237" s="152">
        <v>250.0</v>
      </c>
      <c r="I237" s="149">
        <f t="shared" si="5"/>
        <v>250</v>
      </c>
      <c r="J237" s="153" t="s">
        <v>20</v>
      </c>
      <c r="K237" s="150" t="s">
        <v>77</v>
      </c>
      <c r="L237" s="152" t="s">
        <v>65</v>
      </c>
      <c r="M237" s="151" t="s">
        <v>981</v>
      </c>
      <c r="N237" s="154" t="s">
        <v>1005</v>
      </c>
      <c r="O237" s="149" t="str">
        <f>IMAGE("https://3.imimg.com/data3/QQ/JR/MY-2/plastic-twine-500x500.jpg",1)</f>
        <v/>
      </c>
      <c r="P237" s="149"/>
      <c r="Q237" s="149"/>
      <c r="R237" s="149"/>
      <c r="S237" s="149"/>
      <c r="T237" s="149"/>
      <c r="U237" s="156">
        <v>0.0</v>
      </c>
      <c r="V237" s="157"/>
      <c r="W237" s="158">
        <f t="shared" si="2"/>
        <v>45</v>
      </c>
      <c r="X237" s="175"/>
    </row>
    <row r="238" ht="45.0" hidden="1" customHeight="1">
      <c r="A238" s="137">
        <v>237.0</v>
      </c>
      <c r="B238" s="137" t="s">
        <v>15</v>
      </c>
      <c r="C238" s="137" t="s">
        <v>1007</v>
      </c>
      <c r="D238" s="138" t="s">
        <v>1008</v>
      </c>
      <c r="E238" s="139" t="s">
        <v>981</v>
      </c>
      <c r="F238" s="140">
        <v>1.0</v>
      </c>
      <c r="G238" s="140">
        <v>1.0</v>
      </c>
      <c r="H238" s="140">
        <v>200.0</v>
      </c>
      <c r="I238" s="137">
        <f t="shared" si="5"/>
        <v>200</v>
      </c>
      <c r="J238" s="141" t="s">
        <v>20</v>
      </c>
      <c r="K238" s="138" t="s">
        <v>77</v>
      </c>
      <c r="L238" s="140" t="s">
        <v>110</v>
      </c>
      <c r="M238" s="138" t="s">
        <v>111</v>
      </c>
      <c r="N238" s="142" t="s">
        <v>1009</v>
      </c>
      <c r="O238" s="137" t="str">
        <f>IMAGE("https://5.imimg.com/data5/KE/BV/MY-37063415/elastic-rubber-band-500x500.jpg",1)</f>
        <v/>
      </c>
      <c r="P238" s="137"/>
      <c r="Q238" s="137"/>
      <c r="R238" s="137"/>
      <c r="S238" s="137"/>
      <c r="T238" s="137"/>
      <c r="U238" s="137">
        <v>1.0</v>
      </c>
      <c r="V238" s="143"/>
      <c r="W238" s="144">
        <f t="shared" si="2"/>
        <v>45</v>
      </c>
      <c r="X238" s="176"/>
    </row>
    <row r="239" ht="45.0" hidden="1" customHeight="1">
      <c r="A239" s="137">
        <v>238.0</v>
      </c>
      <c r="B239" s="137" t="s">
        <v>15</v>
      </c>
      <c r="C239" s="137" t="s">
        <v>1011</v>
      </c>
      <c r="D239" s="138" t="s">
        <v>1012</v>
      </c>
      <c r="E239" s="139" t="s">
        <v>981</v>
      </c>
      <c r="F239" s="140">
        <v>1.0</v>
      </c>
      <c r="G239" s="140">
        <v>1.0</v>
      </c>
      <c r="H239" s="140">
        <v>200.0</v>
      </c>
      <c r="I239" s="137">
        <f t="shared" si="5"/>
        <v>200</v>
      </c>
      <c r="J239" s="141" t="s">
        <v>20</v>
      </c>
      <c r="K239" s="138" t="s">
        <v>77</v>
      </c>
      <c r="L239" s="140" t="s">
        <v>110</v>
      </c>
      <c r="M239" s="138" t="s">
        <v>111</v>
      </c>
      <c r="N239" s="142" t="s">
        <v>1013</v>
      </c>
      <c r="O239" s="137" t="str">
        <f>IMAGE("https://5.imimg.com/data5/BN/VV/MY-31202642/rubber-band-500x500.jpg",1)</f>
        <v/>
      </c>
      <c r="P239" s="137"/>
      <c r="Q239" s="137"/>
      <c r="R239" s="137"/>
      <c r="S239" s="137"/>
      <c r="T239" s="137"/>
      <c r="U239" s="137">
        <v>1.0</v>
      </c>
      <c r="V239" s="143"/>
      <c r="W239" s="144">
        <f t="shared" si="2"/>
        <v>45</v>
      </c>
      <c r="X239" s="176"/>
    </row>
    <row r="240" ht="45.0" hidden="1" customHeight="1">
      <c r="A240" s="137">
        <v>239.0</v>
      </c>
      <c r="B240" s="137" t="s">
        <v>15</v>
      </c>
      <c r="C240" s="137" t="s">
        <v>1015</v>
      </c>
      <c r="D240" s="138" t="s">
        <v>1016</v>
      </c>
      <c r="E240" s="139" t="s">
        <v>981</v>
      </c>
      <c r="F240" s="140">
        <v>1.0</v>
      </c>
      <c r="G240" s="140">
        <v>1.0</v>
      </c>
      <c r="H240" s="140">
        <v>200.0</v>
      </c>
      <c r="I240" s="137">
        <f t="shared" si="5"/>
        <v>200</v>
      </c>
      <c r="J240" s="141" t="s">
        <v>20</v>
      </c>
      <c r="K240" s="138" t="s">
        <v>77</v>
      </c>
      <c r="L240" s="140" t="s">
        <v>110</v>
      </c>
      <c r="M240" s="138" t="s">
        <v>111</v>
      </c>
      <c r="N240" s="142"/>
      <c r="O240" s="137" t="str">
        <f>IMAGE("https://5.imimg.com/data5/YV/DJ/MY-7514996/rubber-band-500x500.jpg",1)</f>
        <v/>
      </c>
      <c r="P240" s="137"/>
      <c r="Q240" s="137"/>
      <c r="R240" s="137"/>
      <c r="S240" s="137"/>
      <c r="T240" s="137"/>
      <c r="U240" s="137">
        <v>1.0</v>
      </c>
      <c r="V240" s="143"/>
      <c r="W240" s="144">
        <f t="shared" si="2"/>
        <v>45</v>
      </c>
      <c r="X240" s="176"/>
    </row>
    <row r="241" ht="45.0" hidden="1" customHeight="1">
      <c r="A241" s="149">
        <v>240.0</v>
      </c>
      <c r="B241" s="149" t="s">
        <v>15</v>
      </c>
      <c r="C241" s="149" t="s">
        <v>1018</v>
      </c>
      <c r="D241" s="150" t="s">
        <v>1019</v>
      </c>
      <c r="E241" s="151" t="s">
        <v>981</v>
      </c>
      <c r="F241" s="152">
        <v>1.0</v>
      </c>
      <c r="G241" s="152">
        <v>1.0</v>
      </c>
      <c r="H241" s="152">
        <v>200.0</v>
      </c>
      <c r="I241" s="149">
        <f t="shared" si="5"/>
        <v>200</v>
      </c>
      <c r="J241" s="153" t="s">
        <v>20</v>
      </c>
      <c r="K241" s="150" t="s">
        <v>77</v>
      </c>
      <c r="L241" s="152"/>
      <c r="M241" s="151" t="s">
        <v>981</v>
      </c>
      <c r="N241" s="154" t="s">
        <v>1020</v>
      </c>
      <c r="O241" s="149" t="str">
        <f>IMAGE("https://m.media-amazon.com/images/I/51XnX9DfiFL._SL1166_.jpg",1)</f>
        <v/>
      </c>
      <c r="P241" s="149"/>
      <c r="Q241" s="149"/>
      <c r="R241" s="149"/>
      <c r="S241" s="149"/>
      <c r="T241" s="149"/>
      <c r="U241" s="156">
        <v>0.0</v>
      </c>
      <c r="V241" s="157"/>
      <c r="W241" s="158">
        <f t="shared" si="2"/>
        <v>45</v>
      </c>
      <c r="X241" s="175"/>
    </row>
    <row r="242" ht="45.0" hidden="1" customHeight="1">
      <c r="A242" s="137">
        <v>241.0</v>
      </c>
      <c r="B242" s="137" t="s">
        <v>342</v>
      </c>
      <c r="C242" s="137" t="s">
        <v>1022</v>
      </c>
      <c r="D242" s="138" t="s">
        <v>1023</v>
      </c>
      <c r="E242" s="139" t="s">
        <v>981</v>
      </c>
      <c r="F242" s="140">
        <v>10.0</v>
      </c>
      <c r="G242" s="140">
        <v>10.0</v>
      </c>
      <c r="H242" s="140">
        <v>100.0</v>
      </c>
      <c r="I242" s="137">
        <f t="shared" si="5"/>
        <v>1000</v>
      </c>
      <c r="J242" s="141" t="s">
        <v>347</v>
      </c>
      <c r="K242" s="138" t="s">
        <v>77</v>
      </c>
      <c r="L242" s="140" t="s">
        <v>65</v>
      </c>
      <c r="M242" s="139" t="s">
        <v>981</v>
      </c>
      <c r="N242" s="142" t="s">
        <v>1024</v>
      </c>
      <c r="O242" s="137" t="str">
        <f>IMAGE("https://www.shaanstationery.com/image/cache/catalog/kangaro/kangaro-stapler-no-10-corner-view-1000x1000.jpg",1)</f>
        <v/>
      </c>
      <c r="P242" s="137"/>
      <c r="Q242" s="137"/>
      <c r="R242" s="137"/>
      <c r="S242" s="137"/>
      <c r="T242" s="137"/>
      <c r="U242" s="137">
        <v>1.0</v>
      </c>
      <c r="V242" s="143"/>
      <c r="W242" s="144">
        <f t="shared" si="2"/>
        <v>450</v>
      </c>
      <c r="X242" s="176"/>
    </row>
    <row r="243" ht="45.0" hidden="1" customHeight="1">
      <c r="A243" s="137">
        <v>242.0</v>
      </c>
      <c r="B243" s="137" t="s">
        <v>342</v>
      </c>
      <c r="C243" s="137" t="s">
        <v>1026</v>
      </c>
      <c r="D243" s="138" t="s">
        <v>1027</v>
      </c>
      <c r="E243" s="139" t="s">
        <v>981</v>
      </c>
      <c r="F243" s="140">
        <v>5.0</v>
      </c>
      <c r="G243" s="140">
        <v>10.0</v>
      </c>
      <c r="H243" s="140">
        <v>50.0</v>
      </c>
      <c r="I243" s="137">
        <f t="shared" si="5"/>
        <v>500</v>
      </c>
      <c r="J243" s="141" t="s">
        <v>347</v>
      </c>
      <c r="K243" s="138" t="s">
        <v>77</v>
      </c>
      <c r="L243" s="140" t="s">
        <v>65</v>
      </c>
      <c r="M243" s="139" t="s">
        <v>981</v>
      </c>
      <c r="N243" s="142" t="s">
        <v>1028</v>
      </c>
      <c r="O243" s="137" t="str">
        <f>IMAGE("https://sc04.alicdn.com/kf/HTB1f9mqOZbpK1RjSZFyq6x_qFXaz.jpg",1)</f>
        <v/>
      </c>
      <c r="P243" s="137"/>
      <c r="Q243" s="137"/>
      <c r="R243" s="137"/>
      <c r="S243" s="137"/>
      <c r="T243" s="137"/>
      <c r="U243" s="137">
        <v>1.0</v>
      </c>
      <c r="V243" s="143"/>
      <c r="W243" s="144">
        <f t="shared" si="2"/>
        <v>450</v>
      </c>
      <c r="X243" s="176"/>
    </row>
    <row r="244" ht="45.0" hidden="1" customHeight="1">
      <c r="A244" s="149">
        <v>243.0</v>
      </c>
      <c r="B244" s="149" t="s">
        <v>342</v>
      </c>
      <c r="C244" s="149" t="s">
        <v>1030</v>
      </c>
      <c r="D244" s="150" t="s">
        <v>1031</v>
      </c>
      <c r="E244" s="151" t="s">
        <v>1032</v>
      </c>
      <c r="F244" s="149">
        <v>1.0</v>
      </c>
      <c r="G244" s="149">
        <v>1.0</v>
      </c>
      <c r="H244" s="149">
        <v>350.0</v>
      </c>
      <c r="I244" s="149">
        <f t="shared" si="5"/>
        <v>350</v>
      </c>
      <c r="J244" s="153" t="s">
        <v>347</v>
      </c>
      <c r="K244" s="150"/>
      <c r="L244" s="152"/>
      <c r="M244" s="151" t="s">
        <v>1032</v>
      </c>
      <c r="N244" s="154" t="s">
        <v>1033</v>
      </c>
      <c r="O244" s="149" t="str">
        <f>IMAGE("https://m.media-amazon.com/images/I/61+L7sYwiBL._SL1500_.jpg",1)</f>
        <v/>
      </c>
      <c r="P244" s="159" t="s">
        <v>1689</v>
      </c>
      <c r="Q244" s="149"/>
      <c r="R244" s="149"/>
      <c r="S244" s="149"/>
      <c r="T244" s="149"/>
      <c r="U244" s="156">
        <v>0.0</v>
      </c>
      <c r="V244" s="171" t="s">
        <v>1689</v>
      </c>
      <c r="W244" s="158">
        <f t="shared" si="2"/>
        <v>45</v>
      </c>
      <c r="X244" s="175"/>
    </row>
    <row r="245" ht="45.0" hidden="1" customHeight="1">
      <c r="A245" s="149">
        <v>244.0</v>
      </c>
      <c r="B245" s="149" t="s">
        <v>342</v>
      </c>
      <c r="C245" s="149" t="s">
        <v>1035</v>
      </c>
      <c r="D245" s="150" t="s">
        <v>1036</v>
      </c>
      <c r="E245" s="151" t="s">
        <v>1032</v>
      </c>
      <c r="F245" s="152"/>
      <c r="G245" s="152">
        <v>2.0</v>
      </c>
      <c r="H245" s="152">
        <v>250.0</v>
      </c>
      <c r="I245" s="149">
        <f t="shared" si="5"/>
        <v>500</v>
      </c>
      <c r="J245" s="153" t="s">
        <v>347</v>
      </c>
      <c r="K245" s="150"/>
      <c r="L245" s="152"/>
      <c r="M245" s="151" t="s">
        <v>1032</v>
      </c>
      <c r="N245" s="154"/>
      <c r="O245" s="149" t="str">
        <f>IMAGE("https://5.imimg.com/data5/WB/HJ/UT/SELLER-5801075/allen-key-set.jpg",1)</f>
        <v/>
      </c>
      <c r="P245" s="149"/>
      <c r="Q245" s="149"/>
      <c r="R245" s="149"/>
      <c r="S245" s="149"/>
      <c r="T245" s="149"/>
      <c r="U245" s="156">
        <v>0.0</v>
      </c>
      <c r="V245" s="171" t="s">
        <v>1689</v>
      </c>
      <c r="W245" s="158">
        <f t="shared" si="2"/>
        <v>90</v>
      </c>
      <c r="X245" s="175"/>
    </row>
    <row r="246" ht="45.0" hidden="1" customHeight="1">
      <c r="A246" s="137">
        <v>245.0</v>
      </c>
      <c r="B246" s="137" t="s">
        <v>342</v>
      </c>
      <c r="C246" s="137" t="s">
        <v>1038</v>
      </c>
      <c r="D246" s="138" t="s">
        <v>1039</v>
      </c>
      <c r="E246" s="139" t="s">
        <v>1032</v>
      </c>
      <c r="F246" s="140">
        <v>1.0</v>
      </c>
      <c r="G246" s="140">
        <v>1.0</v>
      </c>
      <c r="H246" s="140">
        <v>100.0</v>
      </c>
      <c r="I246" s="137">
        <f t="shared" si="5"/>
        <v>100</v>
      </c>
      <c r="J246" s="141" t="s">
        <v>347</v>
      </c>
      <c r="K246" s="138"/>
      <c r="L246" s="140"/>
      <c r="M246" s="139" t="s">
        <v>1032</v>
      </c>
      <c r="N246" s="142" t="s">
        <v>1040</v>
      </c>
      <c r="O246" s="137" t="str">
        <f>IMAGE("https://m.media-amazon.com/images/I/71qyUXJ5i6L._AC_UF1000,1000_QL80_.jpg",1)</f>
        <v/>
      </c>
      <c r="P246" s="137" t="s">
        <v>1689</v>
      </c>
      <c r="Q246" s="137" t="s">
        <v>1703</v>
      </c>
      <c r="R246" s="137"/>
      <c r="S246" s="137"/>
      <c r="T246" s="137"/>
      <c r="U246" s="146">
        <v>1.0</v>
      </c>
      <c r="V246" s="143"/>
      <c r="W246" s="144">
        <f t="shared" si="2"/>
        <v>45</v>
      </c>
      <c r="X246" s="176"/>
    </row>
    <row r="247" ht="45.0" hidden="1" customHeight="1">
      <c r="A247" s="137">
        <v>246.0</v>
      </c>
      <c r="B247" s="137" t="s">
        <v>342</v>
      </c>
      <c r="C247" s="137" t="s">
        <v>1042</v>
      </c>
      <c r="D247" s="138" t="s">
        <v>1043</v>
      </c>
      <c r="E247" s="139" t="s">
        <v>1032</v>
      </c>
      <c r="F247" s="140">
        <v>1.0</v>
      </c>
      <c r="G247" s="140">
        <v>1.0</v>
      </c>
      <c r="H247" s="140">
        <v>200.0</v>
      </c>
      <c r="I247" s="137">
        <f t="shared" si="5"/>
        <v>200</v>
      </c>
      <c r="J247" s="141" t="s">
        <v>347</v>
      </c>
      <c r="K247" s="138"/>
      <c r="L247" s="140"/>
      <c r="M247" s="139" t="s">
        <v>1032</v>
      </c>
      <c r="N247" s="162" t="s">
        <v>1044</v>
      </c>
      <c r="O247" s="137" t="str">
        <f>IMAGE("https://5.imimg.com/data5/TS/AU/MY-11200044/steel-shaft-claw-hammer-500x500.jpg",1)</f>
        <v/>
      </c>
      <c r="P247" s="132" t="s">
        <v>1689</v>
      </c>
      <c r="Q247" s="137" t="s">
        <v>1704</v>
      </c>
      <c r="R247" s="137"/>
      <c r="S247" s="137"/>
      <c r="T247" s="137"/>
      <c r="U247" s="146">
        <v>1.0</v>
      </c>
      <c r="V247" s="143"/>
      <c r="W247" s="144">
        <f t="shared" si="2"/>
        <v>45</v>
      </c>
      <c r="X247" s="176"/>
    </row>
    <row r="248" ht="45.0" hidden="1" customHeight="1">
      <c r="A248" s="149">
        <v>247.0</v>
      </c>
      <c r="B248" s="149" t="s">
        <v>342</v>
      </c>
      <c r="C248" s="149" t="s">
        <v>1046</v>
      </c>
      <c r="D248" s="150" t="s">
        <v>1047</v>
      </c>
      <c r="E248" s="151" t="s">
        <v>1032</v>
      </c>
      <c r="F248" s="152">
        <v>1.0</v>
      </c>
      <c r="G248" s="152">
        <v>1.0</v>
      </c>
      <c r="H248" s="152">
        <v>500.0</v>
      </c>
      <c r="I248" s="149">
        <f t="shared" si="5"/>
        <v>500</v>
      </c>
      <c r="J248" s="153" t="s">
        <v>347</v>
      </c>
      <c r="K248" s="150"/>
      <c r="L248" s="152"/>
      <c r="M248" s="151" t="s">
        <v>1032</v>
      </c>
      <c r="N248" s="154" t="s">
        <v>1048</v>
      </c>
      <c r="O248" s="149" t="str">
        <f>IMAGE("https://5.imimg.com/data5/GU/RT/MY-2970994/bench-clamp.jpg",1)</f>
        <v/>
      </c>
      <c r="P248" s="159" t="s">
        <v>1689</v>
      </c>
      <c r="Q248" s="149"/>
      <c r="R248" s="149"/>
      <c r="S248" s="149"/>
      <c r="T248" s="149"/>
      <c r="U248" s="156">
        <v>0.0</v>
      </c>
      <c r="V248" s="171" t="s">
        <v>1689</v>
      </c>
      <c r="W248" s="158">
        <f t="shared" si="2"/>
        <v>45</v>
      </c>
      <c r="X248" s="175"/>
    </row>
    <row r="249" ht="45.0" hidden="1" customHeight="1">
      <c r="A249" s="137">
        <v>248.0</v>
      </c>
      <c r="B249" s="137" t="s">
        <v>342</v>
      </c>
      <c r="C249" s="137" t="s">
        <v>1050</v>
      </c>
      <c r="D249" s="138" t="s">
        <v>1051</v>
      </c>
      <c r="E249" s="139" t="s">
        <v>1032</v>
      </c>
      <c r="F249" s="140">
        <v>1.0</v>
      </c>
      <c r="G249" s="140">
        <v>1.0</v>
      </c>
      <c r="H249" s="140">
        <v>100.0</v>
      </c>
      <c r="I249" s="137">
        <f t="shared" si="5"/>
        <v>100</v>
      </c>
      <c r="J249" s="141" t="s">
        <v>347</v>
      </c>
      <c r="K249" s="138"/>
      <c r="L249" s="140"/>
      <c r="M249" s="139" t="s">
        <v>1032</v>
      </c>
      <c r="N249" s="142" t="s">
        <v>1052</v>
      </c>
      <c r="O249" s="137" t="str">
        <f>IMAGE("https://images.jdmagicbox.com/quickquotes/images_main/plier-381885296-5n4zf.jpg",1)</f>
        <v/>
      </c>
      <c r="P249" s="132" t="s">
        <v>1689</v>
      </c>
      <c r="Q249" s="137" t="s">
        <v>1705</v>
      </c>
      <c r="R249" s="137"/>
      <c r="S249" s="137"/>
      <c r="T249" s="137"/>
      <c r="U249" s="146">
        <v>3.0</v>
      </c>
      <c r="V249" s="134" t="s">
        <v>1963</v>
      </c>
      <c r="W249" s="144">
        <f t="shared" si="2"/>
        <v>45</v>
      </c>
      <c r="X249" s="136"/>
    </row>
    <row r="250" ht="45.0" hidden="1" customHeight="1">
      <c r="A250" s="137">
        <v>249.0</v>
      </c>
      <c r="B250" s="137" t="s">
        <v>342</v>
      </c>
      <c r="C250" s="137" t="s">
        <v>1054</v>
      </c>
      <c r="D250" s="138" t="s">
        <v>1055</v>
      </c>
      <c r="E250" s="139" t="s">
        <v>1032</v>
      </c>
      <c r="F250" s="140">
        <v>1.0</v>
      </c>
      <c r="G250" s="140">
        <v>1.0</v>
      </c>
      <c r="H250" s="140">
        <v>150.0</v>
      </c>
      <c r="I250" s="137">
        <f t="shared" si="5"/>
        <v>150</v>
      </c>
      <c r="J250" s="141" t="s">
        <v>347</v>
      </c>
      <c r="K250" s="138"/>
      <c r="L250" s="140"/>
      <c r="M250" s="139" t="s">
        <v>1032</v>
      </c>
      <c r="N250" s="142" t="s">
        <v>1056</v>
      </c>
      <c r="O250" s="137" t="str">
        <f>IMAGE("https://m.media-amazon.com/images/I/613WSFIoSjL._SL1500_.jpg",1)</f>
        <v/>
      </c>
      <c r="P250" s="132" t="s">
        <v>1689</v>
      </c>
      <c r="Q250" s="137" t="s">
        <v>1706</v>
      </c>
      <c r="R250" s="137"/>
      <c r="S250" s="137"/>
      <c r="T250" s="137"/>
      <c r="U250" s="146">
        <v>3.0</v>
      </c>
      <c r="V250" s="134" t="s">
        <v>1963</v>
      </c>
      <c r="W250" s="144">
        <f t="shared" si="2"/>
        <v>45</v>
      </c>
      <c r="X250" s="136"/>
    </row>
    <row r="251" ht="45.0" hidden="1" customHeight="1">
      <c r="A251" s="137">
        <v>250.0</v>
      </c>
      <c r="B251" s="137" t="s">
        <v>342</v>
      </c>
      <c r="C251" s="137" t="s">
        <v>1058</v>
      </c>
      <c r="D251" s="138" t="s">
        <v>1059</v>
      </c>
      <c r="E251" s="139" t="s">
        <v>1032</v>
      </c>
      <c r="F251" s="140">
        <v>1.0</v>
      </c>
      <c r="G251" s="140">
        <v>1.0</v>
      </c>
      <c r="H251" s="140">
        <v>100.0</v>
      </c>
      <c r="I251" s="137">
        <f t="shared" si="5"/>
        <v>100</v>
      </c>
      <c r="J251" s="141" t="s">
        <v>347</v>
      </c>
      <c r="K251" s="138"/>
      <c r="L251" s="140"/>
      <c r="M251" s="139" t="s">
        <v>1032</v>
      </c>
      <c r="N251" s="142" t="s">
        <v>1060</v>
      </c>
      <c r="O251" s="137" t="str">
        <f>IMAGE("https://in.misumi-ec.com/linked/material/fs/FUJ1/PHOTO/223000817171_001.jpg?$product_main$",1)</f>
        <v/>
      </c>
      <c r="P251" s="132" t="s">
        <v>1689</v>
      </c>
      <c r="Q251" s="137" t="s">
        <v>1707</v>
      </c>
      <c r="R251" s="137"/>
      <c r="S251" s="147"/>
      <c r="T251" s="147"/>
      <c r="U251" s="146">
        <v>3.0</v>
      </c>
      <c r="V251" s="134" t="s">
        <v>1963</v>
      </c>
      <c r="W251" s="144">
        <f t="shared" si="2"/>
        <v>45</v>
      </c>
      <c r="X251" s="136"/>
    </row>
    <row r="252" ht="45.0" hidden="1" customHeight="1">
      <c r="A252" s="149">
        <v>251.0</v>
      </c>
      <c r="B252" s="149" t="s">
        <v>342</v>
      </c>
      <c r="C252" s="149" t="s">
        <v>1062</v>
      </c>
      <c r="D252" s="150" t="s">
        <v>1063</v>
      </c>
      <c r="E252" s="151" t="s">
        <v>1032</v>
      </c>
      <c r="F252" s="152">
        <v>2.0</v>
      </c>
      <c r="G252" s="152">
        <v>2.0</v>
      </c>
      <c r="H252" s="152">
        <v>500.0</v>
      </c>
      <c r="I252" s="149">
        <f t="shared" si="5"/>
        <v>1000</v>
      </c>
      <c r="J252" s="153" t="s">
        <v>347</v>
      </c>
      <c r="K252" s="150"/>
      <c r="L252" s="152"/>
      <c r="M252" s="151" t="s">
        <v>1032</v>
      </c>
      <c r="N252" s="154" t="s">
        <v>1064</v>
      </c>
      <c r="O252" s="149" t="str">
        <f>IMAGE("https://i.ebayimg.com/images/g/QLMAAOSwETxj4~0j/s-l1600.jpg",1)</f>
        <v/>
      </c>
      <c r="P252" s="149"/>
      <c r="Q252" s="149"/>
      <c r="R252" s="149"/>
      <c r="S252" s="149"/>
      <c r="T252" s="149"/>
      <c r="U252" s="156">
        <v>0.0</v>
      </c>
      <c r="V252" s="157"/>
      <c r="W252" s="158">
        <f t="shared" si="2"/>
        <v>90</v>
      </c>
      <c r="X252" s="175"/>
    </row>
    <row r="253" ht="45.0" hidden="1" customHeight="1">
      <c r="A253" s="137">
        <v>252.0</v>
      </c>
      <c r="B253" s="137" t="s">
        <v>342</v>
      </c>
      <c r="C253" s="137" t="s">
        <v>1066</v>
      </c>
      <c r="D253" s="138" t="s">
        <v>1067</v>
      </c>
      <c r="E253" s="139" t="s">
        <v>1032</v>
      </c>
      <c r="F253" s="140">
        <v>1.0</v>
      </c>
      <c r="G253" s="140">
        <v>1.0</v>
      </c>
      <c r="H253" s="140">
        <v>200.0</v>
      </c>
      <c r="I253" s="137">
        <f t="shared" si="5"/>
        <v>200</v>
      </c>
      <c r="J253" s="141" t="s">
        <v>347</v>
      </c>
      <c r="K253" s="138"/>
      <c r="L253" s="140"/>
      <c r="M253" s="139" t="s">
        <v>1032</v>
      </c>
      <c r="N253" s="142" t="s">
        <v>1068</v>
      </c>
      <c r="O253" s="137" t="str">
        <f>IMAGE("https://res.cloudinary.com/rsc/image/upload/b_rgb:FFFFFF,c_pad,dpr_1.0,f_auto,q_auto,w_700/c_pad,w_700/C1985249-01",1)</f>
        <v/>
      </c>
      <c r="P253" s="132" t="s">
        <v>1689</v>
      </c>
      <c r="Q253" s="137" t="s">
        <v>1708</v>
      </c>
      <c r="R253" s="137"/>
      <c r="S253" s="137"/>
      <c r="T253" s="137"/>
      <c r="U253" s="146">
        <v>1.0</v>
      </c>
      <c r="V253" s="143"/>
      <c r="W253" s="144">
        <f t="shared" si="2"/>
        <v>45</v>
      </c>
      <c r="X253" s="176"/>
    </row>
    <row r="254" ht="45.0" hidden="1" customHeight="1">
      <c r="A254" s="149">
        <v>253.0</v>
      </c>
      <c r="B254" s="149" t="s">
        <v>342</v>
      </c>
      <c r="C254" s="149" t="s">
        <v>1070</v>
      </c>
      <c r="D254" s="150" t="s">
        <v>1071</v>
      </c>
      <c r="E254" s="151" t="s">
        <v>1032</v>
      </c>
      <c r="F254" s="152">
        <v>10.0</v>
      </c>
      <c r="G254" s="152">
        <v>10.0</v>
      </c>
      <c r="H254" s="152">
        <v>200.0</v>
      </c>
      <c r="I254" s="149">
        <f t="shared" si="5"/>
        <v>2000</v>
      </c>
      <c r="J254" s="153" t="s">
        <v>347</v>
      </c>
      <c r="K254" s="150" t="s">
        <v>47</v>
      </c>
      <c r="L254" s="152" t="s">
        <v>65</v>
      </c>
      <c r="M254" s="151" t="s">
        <v>1032</v>
      </c>
      <c r="N254" s="154" t="s">
        <v>1072</v>
      </c>
      <c r="O254" s="149" t="str">
        <f>IMAGE("https://cdn.shopify.com/s/files/1/0064/3412/7939/products/71vpWrfPgFL._SL1000_9c7ae600-0e17-44f0-97b0-7a8fa32a55cc_2048x.jpg?v=1540199513",1)</f>
        <v/>
      </c>
      <c r="P254" s="155"/>
      <c r="Q254" s="149"/>
      <c r="R254" s="149"/>
      <c r="S254" s="149"/>
      <c r="T254" s="149"/>
      <c r="U254" s="156">
        <v>0.0</v>
      </c>
      <c r="V254" s="157"/>
      <c r="W254" s="158">
        <f t="shared" si="2"/>
        <v>450</v>
      </c>
      <c r="X254" s="175"/>
    </row>
    <row r="255" ht="45.0" hidden="1" customHeight="1">
      <c r="A255" s="137">
        <v>254.0</v>
      </c>
      <c r="B255" s="137" t="s">
        <v>342</v>
      </c>
      <c r="C255" s="137" t="s">
        <v>1074</v>
      </c>
      <c r="D255" s="138" t="s">
        <v>1075</v>
      </c>
      <c r="E255" s="139" t="s">
        <v>1032</v>
      </c>
      <c r="F255" s="140">
        <v>4.0</v>
      </c>
      <c r="G255" s="140">
        <v>4.0</v>
      </c>
      <c r="H255" s="140">
        <v>500.0</v>
      </c>
      <c r="I255" s="137">
        <f t="shared" si="5"/>
        <v>2000</v>
      </c>
      <c r="J255" s="141" t="s">
        <v>347</v>
      </c>
      <c r="K255" s="138"/>
      <c r="L255" s="140"/>
      <c r="M255" s="139" t="s">
        <v>1032</v>
      </c>
      <c r="N255" s="142" t="s">
        <v>284</v>
      </c>
      <c r="O255" s="137" t="str">
        <f>IMAGE("https://cdn.shopify.com/s/files/1/0088/0056/7392/products/71GahpQFYhL._SL1500_1024x.jpg?v=1634034762",1)</f>
        <v/>
      </c>
      <c r="P255" s="132" t="s">
        <v>1689</v>
      </c>
      <c r="Q255" s="137" t="s">
        <v>1709</v>
      </c>
      <c r="R255" s="137"/>
      <c r="S255" s="137"/>
      <c r="T255" s="137"/>
      <c r="U255" s="146">
        <v>1.0</v>
      </c>
      <c r="V255" s="143"/>
      <c r="W255" s="144">
        <f t="shared" si="2"/>
        <v>180</v>
      </c>
      <c r="X255" s="176"/>
    </row>
    <row r="256" ht="45.0" hidden="1" customHeight="1">
      <c r="A256" s="149">
        <v>255.0</v>
      </c>
      <c r="B256" s="149" t="s">
        <v>342</v>
      </c>
      <c r="C256" s="149" t="s">
        <v>1077</v>
      </c>
      <c r="D256" s="150" t="s">
        <v>1078</v>
      </c>
      <c r="E256" s="151" t="s">
        <v>1032</v>
      </c>
      <c r="F256" s="152">
        <v>50.0</v>
      </c>
      <c r="G256" s="152">
        <v>50.0</v>
      </c>
      <c r="H256" s="152">
        <v>8.0</v>
      </c>
      <c r="I256" s="149">
        <f t="shared" si="5"/>
        <v>400</v>
      </c>
      <c r="J256" s="153" t="s">
        <v>347</v>
      </c>
      <c r="K256" s="150" t="s">
        <v>47</v>
      </c>
      <c r="L256" s="152" t="s">
        <v>22</v>
      </c>
      <c r="M256" s="150" t="s">
        <v>23</v>
      </c>
      <c r="N256" s="154" t="s">
        <v>1079</v>
      </c>
      <c r="O256" s="149" t="str">
        <f>IMAGE("https://m.media-amazon.com/images/I/51OTKanSUXL._SL1024_.jpg",1)</f>
        <v/>
      </c>
      <c r="P256" s="149"/>
      <c r="Q256" s="149"/>
      <c r="R256" s="149"/>
      <c r="S256" s="149"/>
      <c r="T256" s="149"/>
      <c r="U256" s="156">
        <v>0.0</v>
      </c>
      <c r="V256" s="171" t="s">
        <v>1689</v>
      </c>
      <c r="W256" s="158">
        <f t="shared" si="2"/>
        <v>2250</v>
      </c>
      <c r="X256" s="175"/>
    </row>
    <row r="257" ht="45.0" hidden="1" customHeight="1">
      <c r="A257" s="137">
        <v>256.0</v>
      </c>
      <c r="B257" s="137" t="s">
        <v>342</v>
      </c>
      <c r="C257" s="137" t="s">
        <v>1081</v>
      </c>
      <c r="D257" s="138" t="s">
        <v>1082</v>
      </c>
      <c r="E257" s="139" t="s">
        <v>1032</v>
      </c>
      <c r="F257" s="140">
        <v>1.0</v>
      </c>
      <c r="G257" s="140">
        <v>1.0</v>
      </c>
      <c r="H257" s="140">
        <v>200.0</v>
      </c>
      <c r="I257" s="137">
        <f t="shared" si="5"/>
        <v>200</v>
      </c>
      <c r="J257" s="141" t="s">
        <v>347</v>
      </c>
      <c r="K257" s="138"/>
      <c r="L257" s="140"/>
      <c r="M257" s="139" t="s">
        <v>1032</v>
      </c>
      <c r="N257" s="142" t="s">
        <v>1083</v>
      </c>
      <c r="O257" s="137" t="str">
        <f>IMAGE("https://m.media-amazon.com/images/I/41XSpNsGoiL._SL1024_.jpg",1)</f>
        <v/>
      </c>
      <c r="P257" s="132" t="s">
        <v>1689</v>
      </c>
      <c r="Q257" s="137" t="s">
        <v>1710</v>
      </c>
      <c r="R257" s="137"/>
      <c r="S257" s="137"/>
      <c r="T257" s="137"/>
      <c r="U257" s="146">
        <v>1.0</v>
      </c>
      <c r="V257" s="143"/>
      <c r="W257" s="144">
        <f t="shared" si="2"/>
        <v>45</v>
      </c>
      <c r="X257" s="176"/>
    </row>
    <row r="258" ht="45.0" hidden="1" customHeight="1">
      <c r="A258" s="149">
        <v>257.0</v>
      </c>
      <c r="B258" s="149" t="s">
        <v>342</v>
      </c>
      <c r="C258" s="149" t="s">
        <v>1085</v>
      </c>
      <c r="D258" s="150" t="s">
        <v>1086</v>
      </c>
      <c r="E258" s="151" t="s">
        <v>1032</v>
      </c>
      <c r="F258" s="152">
        <v>2.0</v>
      </c>
      <c r="G258" s="152">
        <v>2.0</v>
      </c>
      <c r="H258" s="152">
        <v>100.0</v>
      </c>
      <c r="I258" s="149">
        <f t="shared" si="5"/>
        <v>200</v>
      </c>
      <c r="J258" s="153" t="s">
        <v>347</v>
      </c>
      <c r="K258" s="150"/>
      <c r="L258" s="152"/>
      <c r="M258" s="150" t="s">
        <v>1964</v>
      </c>
      <c r="N258" s="154" t="s">
        <v>1087</v>
      </c>
      <c r="O258" s="149" t="str">
        <f>IMAGE("https://m.media-amazon.com/images/I/513ZkVzGbdL._AC_.jpg", 1)</f>
        <v/>
      </c>
      <c r="P258" s="149"/>
      <c r="Q258" s="149"/>
      <c r="R258" s="149"/>
      <c r="S258" s="149"/>
      <c r="T258" s="149"/>
      <c r="U258" s="156">
        <v>0.0</v>
      </c>
      <c r="V258" s="157"/>
      <c r="W258" s="158">
        <f t="shared" si="2"/>
        <v>90</v>
      </c>
      <c r="X258" s="175"/>
    </row>
    <row r="259" ht="45.0" hidden="1" customHeight="1">
      <c r="A259" s="137">
        <v>258.0</v>
      </c>
      <c r="B259" s="137" t="s">
        <v>342</v>
      </c>
      <c r="C259" s="137" t="s">
        <v>1089</v>
      </c>
      <c r="D259" s="138" t="s">
        <v>1090</v>
      </c>
      <c r="E259" s="139" t="s">
        <v>1032</v>
      </c>
      <c r="F259" s="140">
        <v>1.0</v>
      </c>
      <c r="G259" s="140">
        <v>2.0</v>
      </c>
      <c r="H259" s="140">
        <v>200.0</v>
      </c>
      <c r="I259" s="137">
        <f t="shared" si="5"/>
        <v>400</v>
      </c>
      <c r="J259" s="141" t="s">
        <v>347</v>
      </c>
      <c r="K259" s="138"/>
      <c r="L259" s="140"/>
      <c r="M259" s="138" t="s">
        <v>1964</v>
      </c>
      <c r="N259" s="142" t="s">
        <v>1091</v>
      </c>
      <c r="O259" s="137" t="str">
        <f>IMAGE("https://m.media-amazon.com/images/I/41V47za3aNL.jpg",1)</f>
        <v/>
      </c>
      <c r="P259" s="132" t="s">
        <v>1689</v>
      </c>
      <c r="Q259" s="137" t="s">
        <v>1711</v>
      </c>
      <c r="R259" s="137"/>
      <c r="S259" s="137"/>
      <c r="T259" s="137"/>
      <c r="U259" s="146">
        <v>1.0</v>
      </c>
      <c r="V259" s="143"/>
      <c r="W259" s="144">
        <f t="shared" si="2"/>
        <v>90</v>
      </c>
      <c r="X259" s="176"/>
    </row>
    <row r="260" ht="45.0" hidden="1" customHeight="1">
      <c r="A260" s="137">
        <v>259.0</v>
      </c>
      <c r="B260" s="137" t="s">
        <v>342</v>
      </c>
      <c r="C260" s="137" t="s">
        <v>1093</v>
      </c>
      <c r="D260" s="138" t="s">
        <v>1094</v>
      </c>
      <c r="E260" s="139" t="s">
        <v>1032</v>
      </c>
      <c r="F260" s="140" t="s">
        <v>56</v>
      </c>
      <c r="G260" s="140">
        <v>2.0</v>
      </c>
      <c r="H260" s="140">
        <v>350.0</v>
      </c>
      <c r="I260" s="137">
        <f t="shared" si="5"/>
        <v>700</v>
      </c>
      <c r="J260" s="141" t="s">
        <v>347</v>
      </c>
      <c r="K260" s="138"/>
      <c r="L260" s="140"/>
      <c r="M260" s="139" t="s">
        <v>1032</v>
      </c>
      <c r="N260" s="142" t="s">
        <v>1095</v>
      </c>
      <c r="O260" s="137" t="str">
        <f>IMAGE("https://m.media-amazon.com/images/I/41pgJCdOd0L._AC_SX522_.jpg", 1)</f>
        <v/>
      </c>
      <c r="P260" s="132" t="s">
        <v>1689</v>
      </c>
      <c r="Q260" s="137" t="s">
        <v>1712</v>
      </c>
      <c r="R260" s="137"/>
      <c r="S260" s="137"/>
      <c r="T260" s="137"/>
      <c r="U260" s="146">
        <v>2.0</v>
      </c>
      <c r="V260" s="134" t="s">
        <v>1965</v>
      </c>
      <c r="W260" s="135"/>
      <c r="X260" s="136"/>
    </row>
    <row r="261" ht="45.0" hidden="1" customHeight="1">
      <c r="A261" s="149">
        <v>260.0</v>
      </c>
      <c r="B261" s="149" t="s">
        <v>342</v>
      </c>
      <c r="C261" s="149" t="s">
        <v>1097</v>
      </c>
      <c r="D261" s="150" t="s">
        <v>1098</v>
      </c>
      <c r="E261" s="151" t="s">
        <v>1032</v>
      </c>
      <c r="F261" s="152">
        <v>25.0</v>
      </c>
      <c r="G261" s="152">
        <v>25.0</v>
      </c>
      <c r="H261" s="152">
        <v>20.0</v>
      </c>
      <c r="I261" s="149">
        <f t="shared" si="5"/>
        <v>500</v>
      </c>
      <c r="J261" s="153" t="s">
        <v>347</v>
      </c>
      <c r="K261" s="150"/>
      <c r="L261" s="152"/>
      <c r="M261" s="151" t="s">
        <v>1032</v>
      </c>
      <c r="N261" s="154" t="s">
        <v>481</v>
      </c>
      <c r="O261" s="149" t="str">
        <f>IMAGE("https://5.imimg.com/data5/UF/DF/MY-45635244/sand-paper-500x500.jpg",1)</f>
        <v/>
      </c>
      <c r="P261" s="149"/>
      <c r="Q261" s="149"/>
      <c r="R261" s="149"/>
      <c r="S261" s="149"/>
      <c r="T261" s="149"/>
      <c r="U261" s="156">
        <v>0.0</v>
      </c>
      <c r="V261" s="171" t="s">
        <v>1689</v>
      </c>
      <c r="W261" s="158">
        <f t="shared" ref="W261:W305" si="16">G261*45</f>
        <v>1125</v>
      </c>
      <c r="X261" s="175"/>
    </row>
    <row r="262" ht="45.0" hidden="1" customHeight="1">
      <c r="A262" s="137">
        <v>261.0</v>
      </c>
      <c r="B262" s="137" t="s">
        <v>342</v>
      </c>
      <c r="C262" s="137" t="s">
        <v>1100</v>
      </c>
      <c r="D262" s="138" t="s">
        <v>1101</v>
      </c>
      <c r="E262" s="139" t="s">
        <v>1032</v>
      </c>
      <c r="F262" s="140" t="s">
        <v>56</v>
      </c>
      <c r="G262" s="140" t="s">
        <v>56</v>
      </c>
      <c r="H262" s="140" t="s">
        <v>56</v>
      </c>
      <c r="I262" s="140" t="s">
        <v>56</v>
      </c>
      <c r="J262" s="141" t="s">
        <v>347</v>
      </c>
      <c r="K262" s="138"/>
      <c r="L262" s="140"/>
      <c r="M262" s="139" t="s">
        <v>1032</v>
      </c>
      <c r="N262" s="140" t="s">
        <v>56</v>
      </c>
      <c r="O262" s="137" t="e">
        <v>#VALUE!</v>
      </c>
      <c r="P262" s="132" t="s">
        <v>1689</v>
      </c>
      <c r="Q262" s="137" t="s">
        <v>1713</v>
      </c>
      <c r="R262" s="137"/>
      <c r="S262" s="137"/>
      <c r="T262" s="137"/>
      <c r="U262" s="146">
        <v>1.0</v>
      </c>
      <c r="V262" s="143"/>
      <c r="W262" s="144" t="str">
        <f t="shared" si="16"/>
        <v>#VALUE!</v>
      </c>
      <c r="X262" s="176"/>
    </row>
    <row r="263" ht="45.0" hidden="1" customHeight="1">
      <c r="A263" s="137">
        <v>262.0</v>
      </c>
      <c r="B263" s="137" t="s">
        <v>342</v>
      </c>
      <c r="C263" s="137" t="s">
        <v>1103</v>
      </c>
      <c r="D263" s="138" t="s">
        <v>1104</v>
      </c>
      <c r="E263" s="139" t="s">
        <v>1032</v>
      </c>
      <c r="F263" s="140" t="s">
        <v>56</v>
      </c>
      <c r="G263" s="140" t="s">
        <v>56</v>
      </c>
      <c r="H263" s="140" t="s">
        <v>56</v>
      </c>
      <c r="I263" s="140" t="s">
        <v>56</v>
      </c>
      <c r="J263" s="141" t="s">
        <v>347</v>
      </c>
      <c r="K263" s="138"/>
      <c r="L263" s="140"/>
      <c r="M263" s="139" t="s">
        <v>1032</v>
      </c>
      <c r="N263" s="140" t="s">
        <v>56</v>
      </c>
      <c r="O263" s="137" t="e">
        <v>#VALUE!</v>
      </c>
      <c r="P263" s="132" t="s">
        <v>1689</v>
      </c>
      <c r="Q263" s="137" t="s">
        <v>1714</v>
      </c>
      <c r="R263" s="137"/>
      <c r="S263" s="137"/>
      <c r="T263" s="137"/>
      <c r="U263" s="146">
        <v>1.0</v>
      </c>
      <c r="V263" s="143"/>
      <c r="W263" s="144" t="str">
        <f t="shared" si="16"/>
        <v>#VALUE!</v>
      </c>
      <c r="X263" s="176"/>
    </row>
    <row r="264" ht="45.0" hidden="1" customHeight="1">
      <c r="A264" s="137">
        <v>263.0</v>
      </c>
      <c r="B264" s="137" t="s">
        <v>342</v>
      </c>
      <c r="C264" s="137" t="s">
        <v>1106</v>
      </c>
      <c r="D264" s="139" t="s">
        <v>1107</v>
      </c>
      <c r="E264" s="139" t="s">
        <v>1032</v>
      </c>
      <c r="F264" s="140" t="s">
        <v>56</v>
      </c>
      <c r="G264" s="140" t="s">
        <v>56</v>
      </c>
      <c r="H264" s="140" t="s">
        <v>56</v>
      </c>
      <c r="I264" s="140" t="s">
        <v>56</v>
      </c>
      <c r="J264" s="141" t="s">
        <v>347</v>
      </c>
      <c r="K264" s="138"/>
      <c r="L264" s="140"/>
      <c r="M264" s="139" t="s">
        <v>1032</v>
      </c>
      <c r="N264" s="140" t="s">
        <v>56</v>
      </c>
      <c r="O264" s="137" t="e">
        <v>#VALUE!</v>
      </c>
      <c r="P264" s="132" t="s">
        <v>1689</v>
      </c>
      <c r="Q264" s="137" t="s">
        <v>1715</v>
      </c>
      <c r="R264" s="137"/>
      <c r="S264" s="137"/>
      <c r="T264" s="137"/>
      <c r="U264" s="146">
        <v>1.0</v>
      </c>
      <c r="V264" s="143"/>
      <c r="W264" s="144" t="str">
        <f t="shared" si="16"/>
        <v>#VALUE!</v>
      </c>
      <c r="X264" s="176"/>
    </row>
    <row r="265" ht="45.0" hidden="1" customHeight="1">
      <c r="A265" s="137">
        <v>264.0</v>
      </c>
      <c r="B265" s="137" t="s">
        <v>342</v>
      </c>
      <c r="C265" s="137" t="s">
        <v>1109</v>
      </c>
      <c r="D265" s="139" t="s">
        <v>1110</v>
      </c>
      <c r="E265" s="139" t="s">
        <v>1032</v>
      </c>
      <c r="F265" s="140" t="s">
        <v>56</v>
      </c>
      <c r="G265" s="161" t="s">
        <v>1966</v>
      </c>
      <c r="H265" s="140" t="s">
        <v>56</v>
      </c>
      <c r="I265" s="140" t="s">
        <v>56</v>
      </c>
      <c r="J265" s="141" t="s">
        <v>347</v>
      </c>
      <c r="K265" s="138"/>
      <c r="L265" s="140"/>
      <c r="M265" s="139" t="s">
        <v>1032</v>
      </c>
      <c r="N265" s="142" t="s">
        <v>1111</v>
      </c>
      <c r="O265" s="140" t="e">
        <v>#VALUE!</v>
      </c>
      <c r="P265" s="132" t="s">
        <v>1689</v>
      </c>
      <c r="Q265" s="137" t="s">
        <v>1716</v>
      </c>
      <c r="R265" s="137"/>
      <c r="S265" s="137"/>
      <c r="T265" s="137"/>
      <c r="U265" s="146">
        <v>1.0</v>
      </c>
      <c r="V265" s="143"/>
      <c r="W265" s="144" t="str">
        <f t="shared" si="16"/>
        <v>#VALUE!</v>
      </c>
      <c r="X265" s="176"/>
    </row>
    <row r="266" ht="45.0" hidden="1" customHeight="1">
      <c r="A266" s="137">
        <v>265.0</v>
      </c>
      <c r="B266" s="137" t="s">
        <v>342</v>
      </c>
      <c r="C266" s="137" t="s">
        <v>1113</v>
      </c>
      <c r="D266" s="138" t="s">
        <v>1114</v>
      </c>
      <c r="E266" s="139" t="s">
        <v>1032</v>
      </c>
      <c r="F266" s="140" t="s">
        <v>56</v>
      </c>
      <c r="G266" s="140" t="s">
        <v>56</v>
      </c>
      <c r="H266" s="140" t="s">
        <v>56</v>
      </c>
      <c r="I266" s="140" t="s">
        <v>56</v>
      </c>
      <c r="J266" s="141" t="s">
        <v>347</v>
      </c>
      <c r="K266" s="138"/>
      <c r="L266" s="140"/>
      <c r="M266" s="139" t="s">
        <v>1032</v>
      </c>
      <c r="N266" s="140" t="s">
        <v>56</v>
      </c>
      <c r="O266" s="140" t="e">
        <v>#VALUE!</v>
      </c>
      <c r="P266" s="132" t="s">
        <v>1689</v>
      </c>
      <c r="Q266" s="137">
        <v>60449.0</v>
      </c>
      <c r="R266" s="137"/>
      <c r="S266" s="137"/>
      <c r="T266" s="137"/>
      <c r="U266" s="146">
        <v>1.0</v>
      </c>
      <c r="V266" s="143"/>
      <c r="W266" s="144" t="str">
        <f t="shared" si="16"/>
        <v>#VALUE!</v>
      </c>
      <c r="X266" s="176"/>
    </row>
    <row r="267" ht="45.0" hidden="1" customHeight="1">
      <c r="A267" s="137">
        <v>266.0</v>
      </c>
      <c r="B267" s="137" t="s">
        <v>342</v>
      </c>
      <c r="C267" s="137" t="s">
        <v>1116</v>
      </c>
      <c r="D267" s="138" t="s">
        <v>1117</v>
      </c>
      <c r="E267" s="139" t="s">
        <v>1032</v>
      </c>
      <c r="F267" s="140" t="s">
        <v>56</v>
      </c>
      <c r="G267" s="140" t="s">
        <v>56</v>
      </c>
      <c r="H267" s="140" t="s">
        <v>56</v>
      </c>
      <c r="I267" s="140" t="s">
        <v>56</v>
      </c>
      <c r="J267" s="141" t="s">
        <v>347</v>
      </c>
      <c r="K267" s="138"/>
      <c r="L267" s="140"/>
      <c r="M267" s="139" t="s">
        <v>1032</v>
      </c>
      <c r="N267" s="142" t="s">
        <v>1118</v>
      </c>
      <c r="O267" s="140" t="e">
        <v>#VALUE!</v>
      </c>
      <c r="P267" s="132" t="s">
        <v>1689</v>
      </c>
      <c r="Q267" s="137" t="s">
        <v>1717</v>
      </c>
      <c r="R267" s="137"/>
      <c r="S267" s="137"/>
      <c r="T267" s="137"/>
      <c r="U267" s="146">
        <v>1.0</v>
      </c>
      <c r="V267" s="143"/>
      <c r="W267" s="144" t="str">
        <f t="shared" si="16"/>
        <v>#VALUE!</v>
      </c>
      <c r="X267" s="176"/>
    </row>
    <row r="268" ht="45.0" hidden="1" customHeight="1">
      <c r="A268" s="137">
        <v>267.0</v>
      </c>
      <c r="B268" s="137" t="s">
        <v>342</v>
      </c>
      <c r="C268" s="137" t="s">
        <v>1120</v>
      </c>
      <c r="D268" s="138" t="s">
        <v>1121</v>
      </c>
      <c r="E268" s="139" t="s">
        <v>1032</v>
      </c>
      <c r="F268" s="140">
        <v>1.0</v>
      </c>
      <c r="G268" s="140">
        <v>1.0</v>
      </c>
      <c r="H268" s="140">
        <v>300.0</v>
      </c>
      <c r="I268" s="137">
        <f t="shared" ref="I268:I359" si="17">H268*G268</f>
        <v>300</v>
      </c>
      <c r="J268" s="141" t="s">
        <v>347</v>
      </c>
      <c r="K268" s="138"/>
      <c r="L268" s="140"/>
      <c r="M268" s="139" t="s">
        <v>1032</v>
      </c>
      <c r="N268" s="142" t="s">
        <v>1122</v>
      </c>
      <c r="O268" s="137" t="str">
        <f>IMAGE("https://5.imimg.com/data5/DH/NE/PV/SELLER-4135781/6-pc-precision-screwdriver-set-500x500.jpg",1)</f>
        <v/>
      </c>
      <c r="P268" s="132" t="s">
        <v>1689</v>
      </c>
      <c r="Q268" s="137" t="s">
        <v>1718</v>
      </c>
      <c r="R268" s="137"/>
      <c r="S268" s="137"/>
      <c r="T268" s="137"/>
      <c r="U268" s="146">
        <v>1.0</v>
      </c>
      <c r="V268" s="143"/>
      <c r="W268" s="144">
        <f t="shared" si="16"/>
        <v>45</v>
      </c>
      <c r="X268" s="176"/>
    </row>
    <row r="269" ht="45.0" hidden="1" customHeight="1">
      <c r="A269" s="149">
        <v>268.0</v>
      </c>
      <c r="B269" s="149" t="s">
        <v>342</v>
      </c>
      <c r="C269" s="149" t="s">
        <v>1124</v>
      </c>
      <c r="D269" s="150" t="s">
        <v>1125</v>
      </c>
      <c r="E269" s="151" t="s">
        <v>1032</v>
      </c>
      <c r="F269" s="152">
        <v>1.0</v>
      </c>
      <c r="G269" s="152">
        <v>1.0</v>
      </c>
      <c r="H269" s="152">
        <v>100.0</v>
      </c>
      <c r="I269" s="149">
        <f t="shared" si="17"/>
        <v>100</v>
      </c>
      <c r="J269" s="153" t="s">
        <v>466</v>
      </c>
      <c r="K269" s="150"/>
      <c r="L269" s="152"/>
      <c r="M269" s="151" t="s">
        <v>1032</v>
      </c>
      <c r="N269" s="154"/>
      <c r="O269" s="149" t="str">
        <f>IMAGE("https://cdn.shopify.com/s/files/1/0276/7382/1286/products/57_1a2e82a1-0306-49dc-8a29-0c0b2110ddb8_600x.jpg?v=1632245164",1)</f>
        <v/>
      </c>
      <c r="P269" s="149"/>
      <c r="Q269" s="155"/>
      <c r="R269" s="155"/>
      <c r="S269" s="149"/>
      <c r="T269" s="149"/>
      <c r="U269" s="156">
        <v>0.0</v>
      </c>
      <c r="V269" s="171" t="s">
        <v>1689</v>
      </c>
      <c r="W269" s="158">
        <f t="shared" si="16"/>
        <v>45</v>
      </c>
      <c r="X269" s="175"/>
    </row>
    <row r="270" ht="45.0" hidden="1" customHeight="1">
      <c r="A270" s="137">
        <v>269.0</v>
      </c>
      <c r="B270" s="137" t="s">
        <v>342</v>
      </c>
      <c r="C270" s="137" t="s">
        <v>1127</v>
      </c>
      <c r="D270" s="138" t="s">
        <v>1128</v>
      </c>
      <c r="E270" s="139" t="s">
        <v>1032</v>
      </c>
      <c r="F270" s="140">
        <v>1.0</v>
      </c>
      <c r="G270" s="140">
        <v>1.0</v>
      </c>
      <c r="H270" s="140">
        <v>200.0</v>
      </c>
      <c r="I270" s="137">
        <f t="shared" si="17"/>
        <v>200</v>
      </c>
      <c r="J270" s="141" t="s">
        <v>347</v>
      </c>
      <c r="K270" s="138"/>
      <c r="L270" s="140"/>
      <c r="M270" s="138" t="s">
        <v>23</v>
      </c>
      <c r="N270" s="142" t="s">
        <v>1129</v>
      </c>
      <c r="O270" s="137" t="str">
        <f>IMAGE("https://cdn.bmstores.co.uk/images/hpcProductImage/imgFull/369783-stanley-sealant-gun-diy.jpg",1)</f>
        <v/>
      </c>
      <c r="P270" s="132" t="s">
        <v>1689</v>
      </c>
      <c r="Q270" s="137" t="s">
        <v>1719</v>
      </c>
      <c r="R270" s="137"/>
      <c r="S270" s="137"/>
      <c r="T270" s="137"/>
      <c r="U270" s="146">
        <v>1.0</v>
      </c>
      <c r="V270" s="143"/>
      <c r="W270" s="144">
        <f t="shared" si="16"/>
        <v>45</v>
      </c>
      <c r="X270" s="176"/>
    </row>
    <row r="271" ht="45.0" hidden="1" customHeight="1">
      <c r="A271" s="149">
        <v>270.0</v>
      </c>
      <c r="B271" s="149" t="s">
        <v>342</v>
      </c>
      <c r="C271" s="149" t="s">
        <v>1131</v>
      </c>
      <c r="D271" s="150" t="s">
        <v>1132</v>
      </c>
      <c r="E271" s="151" t="s">
        <v>1032</v>
      </c>
      <c r="F271" s="152">
        <v>1.0</v>
      </c>
      <c r="G271" s="152">
        <v>1.0</v>
      </c>
      <c r="H271" s="152">
        <v>300.0</v>
      </c>
      <c r="I271" s="149">
        <f t="shared" si="17"/>
        <v>300</v>
      </c>
      <c r="J271" s="153" t="s">
        <v>347</v>
      </c>
      <c r="K271" s="150"/>
      <c r="L271" s="152"/>
      <c r="M271" s="150" t="s">
        <v>23</v>
      </c>
      <c r="N271" s="154" t="s">
        <v>1133</v>
      </c>
      <c r="O271" s="149" t="str">
        <f>IMAGE("https://5.imimg.com/data5/SELLER/Default/2020/12/RU/ZP/SZ/45671901/alstone-silicone-sealant-500x500.jpeg",1)</f>
        <v/>
      </c>
      <c r="P271" s="159" t="s">
        <v>1689</v>
      </c>
      <c r="Q271" s="149"/>
      <c r="R271" s="149"/>
      <c r="S271" s="149"/>
      <c r="T271" s="149"/>
      <c r="U271" s="156">
        <v>0.0</v>
      </c>
      <c r="V271" s="171" t="s">
        <v>1689</v>
      </c>
      <c r="W271" s="158">
        <f t="shared" si="16"/>
        <v>45</v>
      </c>
      <c r="X271" s="175"/>
    </row>
    <row r="272" ht="45.0" hidden="1" customHeight="1">
      <c r="A272" s="137">
        <v>271.0</v>
      </c>
      <c r="B272" s="137" t="s">
        <v>342</v>
      </c>
      <c r="C272" s="137" t="s">
        <v>1135</v>
      </c>
      <c r="D272" s="138" t="s">
        <v>1136</v>
      </c>
      <c r="E272" s="139" t="s">
        <v>1032</v>
      </c>
      <c r="F272" s="140">
        <v>1.0</v>
      </c>
      <c r="G272" s="140">
        <v>1.0</v>
      </c>
      <c r="H272" s="140">
        <v>180.0</v>
      </c>
      <c r="I272" s="137">
        <f t="shared" si="17"/>
        <v>180</v>
      </c>
      <c r="J272" s="141" t="s">
        <v>347</v>
      </c>
      <c r="K272" s="138"/>
      <c r="L272" s="140"/>
      <c r="M272" s="139" t="s">
        <v>1032</v>
      </c>
      <c r="N272" s="179" t="s">
        <v>1137</v>
      </c>
      <c r="O272" s="137" t="str">
        <f>IMAGE("https://ravimachines.com/wp-content/uploads/2016/07/full_13.jpg",1)</f>
        <v/>
      </c>
      <c r="P272" s="132" t="s">
        <v>1689</v>
      </c>
      <c r="Q272" s="137" t="s">
        <v>1720</v>
      </c>
      <c r="R272" s="137"/>
      <c r="S272" s="137"/>
      <c r="T272" s="137"/>
      <c r="U272" s="146">
        <v>1.0</v>
      </c>
      <c r="V272" s="143"/>
      <c r="W272" s="144">
        <f t="shared" si="16"/>
        <v>45</v>
      </c>
      <c r="X272" s="176"/>
    </row>
    <row r="273" ht="45.0" hidden="1" customHeight="1">
      <c r="A273" s="149">
        <v>272.0</v>
      </c>
      <c r="B273" s="149" t="s">
        <v>342</v>
      </c>
      <c r="C273" s="149" t="s">
        <v>1139</v>
      </c>
      <c r="D273" s="154" t="s">
        <v>1140</v>
      </c>
      <c r="E273" s="151" t="s">
        <v>1032</v>
      </c>
      <c r="F273" s="149">
        <v>10.0</v>
      </c>
      <c r="G273" s="149">
        <v>10.0</v>
      </c>
      <c r="H273" s="149">
        <v>100.0</v>
      </c>
      <c r="I273" s="149">
        <f t="shared" si="17"/>
        <v>1000</v>
      </c>
      <c r="J273" s="153" t="s">
        <v>347</v>
      </c>
      <c r="K273" s="150"/>
      <c r="L273" s="152" t="s">
        <v>66</v>
      </c>
      <c r="M273" s="151" t="s">
        <v>1032</v>
      </c>
      <c r="N273" s="154" t="s">
        <v>1141</v>
      </c>
      <c r="O273" s="149" t="str">
        <f>IMAGE("https://m.media-amazon.com/images/I/61O+7azby+L.jpg",1)</f>
        <v/>
      </c>
      <c r="P273" s="149"/>
      <c r="Q273" s="149"/>
      <c r="R273" s="149"/>
      <c r="S273" s="149"/>
      <c r="T273" s="149"/>
      <c r="U273" s="156">
        <v>0.0</v>
      </c>
      <c r="V273" s="157"/>
      <c r="W273" s="158">
        <f t="shared" si="16"/>
        <v>450</v>
      </c>
      <c r="X273" s="175"/>
    </row>
    <row r="274" ht="45.0" hidden="1" customHeight="1">
      <c r="A274" s="137">
        <v>273.0</v>
      </c>
      <c r="B274" s="181" t="s">
        <v>342</v>
      </c>
      <c r="C274" s="181" t="s">
        <v>1143</v>
      </c>
      <c r="D274" s="182" t="s">
        <v>1144</v>
      </c>
      <c r="E274" s="183" t="s">
        <v>1032</v>
      </c>
      <c r="F274" s="184">
        <v>1.0</v>
      </c>
      <c r="G274" s="184">
        <v>1.0</v>
      </c>
      <c r="H274" s="184">
        <v>1500.0</v>
      </c>
      <c r="I274" s="181">
        <f t="shared" si="17"/>
        <v>1500</v>
      </c>
      <c r="J274" s="185" t="s">
        <v>347</v>
      </c>
      <c r="K274" s="182"/>
      <c r="L274" s="184"/>
      <c r="M274" s="183" t="s">
        <v>1032</v>
      </c>
      <c r="N274" s="186" t="s">
        <v>1145</v>
      </c>
      <c r="O274" s="181" t="str">
        <f>IMAGE("https://5.imimg.com/data5/SELLER/Default/2021/4/UH/ZY/EE/41301440/machine.jpeg",1)</f>
        <v/>
      </c>
      <c r="P274" s="187" t="s">
        <v>1689</v>
      </c>
      <c r="Q274" s="181" t="s">
        <v>1721</v>
      </c>
      <c r="R274" s="181"/>
      <c r="S274" s="181"/>
      <c r="T274" s="181"/>
      <c r="U274" s="188">
        <v>1.0</v>
      </c>
      <c r="V274" s="143"/>
      <c r="W274" s="144">
        <f t="shared" si="16"/>
        <v>45</v>
      </c>
      <c r="X274" s="176"/>
    </row>
    <row r="275" ht="45.0" hidden="1" customHeight="1">
      <c r="A275" s="149">
        <v>274.0</v>
      </c>
      <c r="B275" s="149" t="s">
        <v>342</v>
      </c>
      <c r="C275" s="149" t="s">
        <v>1147</v>
      </c>
      <c r="D275" s="150" t="s">
        <v>1148</v>
      </c>
      <c r="E275" s="151" t="s">
        <v>1032</v>
      </c>
      <c r="F275" s="152">
        <v>2.0</v>
      </c>
      <c r="G275" s="152">
        <v>2.0</v>
      </c>
      <c r="H275" s="152">
        <v>250.0</v>
      </c>
      <c r="I275" s="149">
        <f t="shared" si="17"/>
        <v>500</v>
      </c>
      <c r="J275" s="153" t="s">
        <v>347</v>
      </c>
      <c r="K275" s="150"/>
      <c r="L275" s="152"/>
      <c r="M275" s="151" t="s">
        <v>1032</v>
      </c>
      <c r="N275" s="154"/>
      <c r="O275" s="149" t="str">
        <f>IMAGE("https://rukminim2.flixcart.com/image/850/1000/kjabs7k0-0/tweezer-plucker/k/y/z/5pc-tweezer-set-for-mobile-gadget-laptop-jewellery-repair-black-original-imafyw2gx23mpanh.jpeg?q=90&amp;crop=false",1)</f>
        <v/>
      </c>
      <c r="P275" s="159"/>
      <c r="Q275" s="149"/>
      <c r="R275" s="149"/>
      <c r="S275" s="149"/>
      <c r="T275" s="149"/>
      <c r="U275" s="156">
        <v>0.0</v>
      </c>
      <c r="V275" s="157"/>
      <c r="W275" s="158">
        <f t="shared" si="16"/>
        <v>90</v>
      </c>
      <c r="X275" s="175"/>
    </row>
    <row r="276" ht="45.0" hidden="1" customHeight="1">
      <c r="A276" s="149">
        <v>275.0</v>
      </c>
      <c r="B276" s="149" t="s">
        <v>342</v>
      </c>
      <c r="C276" s="149" t="s">
        <v>1150</v>
      </c>
      <c r="D276" s="150" t="s">
        <v>1151</v>
      </c>
      <c r="E276" s="151" t="s">
        <v>1032</v>
      </c>
      <c r="F276" s="152">
        <v>10.0</v>
      </c>
      <c r="G276" s="152">
        <v>10.0</v>
      </c>
      <c r="H276" s="152">
        <v>100.0</v>
      </c>
      <c r="I276" s="149">
        <f t="shared" si="17"/>
        <v>1000</v>
      </c>
      <c r="J276" s="153" t="s">
        <v>347</v>
      </c>
      <c r="K276" s="150" t="s">
        <v>21</v>
      </c>
      <c r="L276" s="152"/>
      <c r="M276" s="151" t="s">
        <v>1032</v>
      </c>
      <c r="N276" s="154"/>
      <c r="O276" s="149" t="str">
        <f>IMAGE("https://5.imimg.com/data5/SELLER/Default/2020/10/KC/AV/BY/25174136/150b-cutter-stripper-250x250.jpg",1)</f>
        <v/>
      </c>
      <c r="P276" s="159" t="s">
        <v>1689</v>
      </c>
      <c r="Q276" s="149"/>
      <c r="R276" s="149"/>
      <c r="S276" s="149"/>
      <c r="T276" s="149"/>
      <c r="U276" s="156">
        <v>0.0</v>
      </c>
      <c r="V276" s="171" t="s">
        <v>1967</v>
      </c>
      <c r="W276" s="158">
        <f t="shared" si="16"/>
        <v>450</v>
      </c>
      <c r="X276" s="175"/>
    </row>
    <row r="277" ht="45.0" hidden="1" customHeight="1">
      <c r="A277" s="137">
        <v>276.0</v>
      </c>
      <c r="B277" s="137" t="s">
        <v>1152</v>
      </c>
      <c r="C277" s="137" t="s">
        <v>1154</v>
      </c>
      <c r="D277" s="138" t="s">
        <v>1155</v>
      </c>
      <c r="E277" s="139" t="s">
        <v>1156</v>
      </c>
      <c r="F277" s="140">
        <v>10.0</v>
      </c>
      <c r="G277" s="140">
        <v>10.0</v>
      </c>
      <c r="H277" s="140">
        <v>100.0</v>
      </c>
      <c r="I277" s="137">
        <f t="shared" si="17"/>
        <v>1000</v>
      </c>
      <c r="J277" s="141" t="s">
        <v>1157</v>
      </c>
      <c r="K277" s="138"/>
      <c r="L277" s="140"/>
      <c r="M277" s="138" t="s">
        <v>1968</v>
      </c>
      <c r="N277" s="142"/>
      <c r="O277" s="137" t="str">
        <f>IMAGE("https://5.imimg.com/data5/SB/TW/SA/SELLER-91497159/glass-beaker-500x500.jpg",1)</f>
        <v/>
      </c>
      <c r="P277" s="137"/>
      <c r="Q277" s="137"/>
      <c r="R277" s="137"/>
      <c r="S277" s="137"/>
      <c r="T277" s="137"/>
      <c r="U277" s="146">
        <v>1.0</v>
      </c>
      <c r="V277" s="143"/>
      <c r="W277" s="144">
        <f t="shared" si="16"/>
        <v>450</v>
      </c>
      <c r="X277" s="176"/>
    </row>
    <row r="278" ht="45.0" hidden="1" customHeight="1">
      <c r="A278" s="137">
        <v>277.0</v>
      </c>
      <c r="B278" s="137" t="s">
        <v>1152</v>
      </c>
      <c r="C278" s="137" t="s">
        <v>1159</v>
      </c>
      <c r="D278" s="138" t="s">
        <v>1160</v>
      </c>
      <c r="E278" s="139" t="s">
        <v>1156</v>
      </c>
      <c r="F278" s="137">
        <v>5.0</v>
      </c>
      <c r="G278" s="137">
        <v>5.0</v>
      </c>
      <c r="H278" s="137">
        <v>300.0</v>
      </c>
      <c r="I278" s="137">
        <f t="shared" si="17"/>
        <v>1500</v>
      </c>
      <c r="J278" s="141" t="s">
        <v>1157</v>
      </c>
      <c r="K278" s="138"/>
      <c r="L278" s="140"/>
      <c r="M278" s="138" t="s">
        <v>1968</v>
      </c>
      <c r="N278" s="162" t="s">
        <v>1161</v>
      </c>
      <c r="O278" s="137" t="str">
        <f>IMAGE("https://m.media-amazon.com/images/I/41vGxqzVasL.jpg",1)</f>
        <v/>
      </c>
      <c r="P278" s="137"/>
      <c r="Q278" s="137"/>
      <c r="R278" s="137"/>
      <c r="S278" s="137"/>
      <c r="T278" s="137"/>
      <c r="U278" s="146">
        <v>1.0</v>
      </c>
      <c r="V278" s="143"/>
      <c r="W278" s="144">
        <f t="shared" si="16"/>
        <v>225</v>
      </c>
      <c r="X278" s="176"/>
    </row>
    <row r="279" ht="45.0" hidden="1" customHeight="1">
      <c r="A279" s="137">
        <v>278.0</v>
      </c>
      <c r="B279" s="137" t="s">
        <v>1152</v>
      </c>
      <c r="C279" s="137" t="s">
        <v>1163</v>
      </c>
      <c r="D279" s="138" t="s">
        <v>1164</v>
      </c>
      <c r="E279" s="139" t="s">
        <v>1156</v>
      </c>
      <c r="F279" s="140">
        <v>10.0</v>
      </c>
      <c r="G279" s="140">
        <v>8.0</v>
      </c>
      <c r="H279" s="140">
        <v>100.0</v>
      </c>
      <c r="I279" s="137">
        <f t="shared" si="17"/>
        <v>800</v>
      </c>
      <c r="J279" s="141" t="s">
        <v>1157</v>
      </c>
      <c r="K279" s="138"/>
      <c r="L279" s="140"/>
      <c r="M279" s="138" t="s">
        <v>1968</v>
      </c>
      <c r="N279" s="142" t="s">
        <v>1165</v>
      </c>
      <c r="O279" s="137" t="str">
        <f>IMAGE("https://m.media-amazon.com/images/I/31b1KCUwqyL.jpg", 1)</f>
        <v/>
      </c>
      <c r="P279" s="137" t="s">
        <v>56</v>
      </c>
      <c r="Q279" s="137"/>
      <c r="R279" s="137"/>
      <c r="S279" s="137"/>
      <c r="T279" s="137"/>
      <c r="U279" s="146">
        <v>1.0</v>
      </c>
      <c r="V279" s="143"/>
      <c r="W279" s="144">
        <f t="shared" si="16"/>
        <v>360</v>
      </c>
      <c r="X279" s="176"/>
    </row>
    <row r="280" ht="45.0" hidden="1" customHeight="1">
      <c r="A280" s="137">
        <v>279.0</v>
      </c>
      <c r="B280" s="137" t="s">
        <v>1152</v>
      </c>
      <c r="C280" s="137" t="s">
        <v>1167</v>
      </c>
      <c r="D280" s="138" t="s">
        <v>1168</v>
      </c>
      <c r="E280" s="139" t="s">
        <v>1156</v>
      </c>
      <c r="F280" s="137">
        <v>2.0</v>
      </c>
      <c r="G280" s="137">
        <v>2.0</v>
      </c>
      <c r="H280" s="137">
        <v>200.0</v>
      </c>
      <c r="I280" s="137">
        <f t="shared" si="17"/>
        <v>400</v>
      </c>
      <c r="J280" s="141" t="s">
        <v>1157</v>
      </c>
      <c r="K280" s="138" t="s">
        <v>77</v>
      </c>
      <c r="L280" s="140"/>
      <c r="M280" s="138" t="s">
        <v>1969</v>
      </c>
      <c r="N280" s="142" t="s">
        <v>1169</v>
      </c>
      <c r="O280" s="137" t="str">
        <f>IMAGE("https://m.media-amazon.com/images/W/MEDIAX_792452-T2/images/I/71veIL4opPL.jpg",1)</f>
        <v/>
      </c>
      <c r="P280" s="137"/>
      <c r="Q280" s="137"/>
      <c r="R280" s="137"/>
      <c r="S280" s="137"/>
      <c r="T280" s="137"/>
      <c r="U280" s="146">
        <v>1.0</v>
      </c>
      <c r="V280" s="143"/>
      <c r="W280" s="144">
        <f t="shared" si="16"/>
        <v>90</v>
      </c>
      <c r="X280" s="176"/>
    </row>
    <row r="281" ht="45.0" hidden="1" customHeight="1">
      <c r="A281" s="137">
        <v>280.0</v>
      </c>
      <c r="B281" s="137" t="s">
        <v>1152</v>
      </c>
      <c r="C281" s="137" t="s">
        <v>1171</v>
      </c>
      <c r="D281" s="138" t="s">
        <v>1172</v>
      </c>
      <c r="E281" s="139" t="s">
        <v>1156</v>
      </c>
      <c r="F281" s="189">
        <v>1.0</v>
      </c>
      <c r="G281" s="189">
        <v>1.0</v>
      </c>
      <c r="H281" s="189">
        <v>200.0</v>
      </c>
      <c r="I281" s="137">
        <f t="shared" si="17"/>
        <v>200</v>
      </c>
      <c r="J281" s="141" t="s">
        <v>1157</v>
      </c>
      <c r="K281" s="138" t="s">
        <v>77</v>
      </c>
      <c r="L281" s="140" t="s">
        <v>179</v>
      </c>
      <c r="M281" s="139" t="s">
        <v>111</v>
      </c>
      <c r="N281" s="142" t="s">
        <v>1173</v>
      </c>
      <c r="O281" s="137" t="str">
        <f>IMAGE("https://www.sigmaaldrich.com/deepweb/content/dam/sigma-aldrich/product2/017/wha2200110.tif/_jcr_content/renditions/wha2200110-large.jpg", 1)</f>
        <v/>
      </c>
      <c r="P281" s="137"/>
      <c r="Q281" s="137"/>
      <c r="R281" s="137"/>
      <c r="S281" s="137"/>
      <c r="T281" s="137"/>
      <c r="U281" s="146">
        <v>1.0</v>
      </c>
      <c r="V281" s="143"/>
      <c r="W281" s="144">
        <f t="shared" si="16"/>
        <v>45</v>
      </c>
      <c r="X281" s="176"/>
    </row>
    <row r="282" ht="45.0" hidden="1" customHeight="1">
      <c r="A282" s="137">
        <v>281.0</v>
      </c>
      <c r="B282" s="137" t="s">
        <v>1152</v>
      </c>
      <c r="C282" s="137" t="s">
        <v>1175</v>
      </c>
      <c r="D282" s="138" t="s">
        <v>1176</v>
      </c>
      <c r="E282" s="139" t="s">
        <v>1156</v>
      </c>
      <c r="F282" s="140">
        <v>1.0</v>
      </c>
      <c r="G282" s="140">
        <v>1.0</v>
      </c>
      <c r="H282" s="140">
        <v>150.0</v>
      </c>
      <c r="I282" s="137">
        <f t="shared" si="17"/>
        <v>150</v>
      </c>
      <c r="J282" s="141" t="s">
        <v>1157</v>
      </c>
      <c r="K282" s="138"/>
      <c r="L282" s="140" t="s">
        <v>179</v>
      </c>
      <c r="M282" s="138" t="s">
        <v>1968</v>
      </c>
      <c r="N282" s="142" t="s">
        <v>1177</v>
      </c>
      <c r="O282" s="137" t="str">
        <f>IMAGE("https://m.media-amazon.com/images/I/A1PFWcAysAL.jpg", 1)</f>
        <v/>
      </c>
      <c r="P282" s="137"/>
      <c r="Q282" s="137"/>
      <c r="R282" s="137"/>
      <c r="S282" s="137"/>
      <c r="T282" s="137"/>
      <c r="U282" s="146">
        <v>1.0</v>
      </c>
      <c r="V282" s="143"/>
      <c r="W282" s="144">
        <f t="shared" si="16"/>
        <v>45</v>
      </c>
      <c r="X282" s="176"/>
    </row>
    <row r="283" ht="45.0" hidden="1" customHeight="1">
      <c r="A283" s="149">
        <v>282.0</v>
      </c>
      <c r="B283" s="149" t="s">
        <v>1152</v>
      </c>
      <c r="C283" s="149" t="s">
        <v>1179</v>
      </c>
      <c r="D283" s="150" t="s">
        <v>1180</v>
      </c>
      <c r="E283" s="151" t="s">
        <v>1156</v>
      </c>
      <c r="F283" s="152">
        <v>20.0</v>
      </c>
      <c r="G283" s="152">
        <v>20.0</v>
      </c>
      <c r="H283" s="152">
        <v>100.0</v>
      </c>
      <c r="I283" s="149">
        <f t="shared" si="17"/>
        <v>2000</v>
      </c>
      <c r="J283" s="153" t="s">
        <v>1157</v>
      </c>
      <c r="K283" s="150"/>
      <c r="L283" s="152" t="s">
        <v>249</v>
      </c>
      <c r="M283" s="150" t="s">
        <v>1970</v>
      </c>
      <c r="N283" s="154" t="s">
        <v>1181</v>
      </c>
      <c r="O283" s="149" t="str">
        <f>IMAGE("https://www.domo.in/image/cache/catalog/nHance/LNSS4201/Display-228x228.jpg")</f>
        <v/>
      </c>
      <c r="P283" s="149" t="s">
        <v>56</v>
      </c>
      <c r="Q283" s="149"/>
      <c r="R283" s="149"/>
      <c r="S283" s="149"/>
      <c r="T283" s="149"/>
      <c r="U283" s="156">
        <v>0.0</v>
      </c>
      <c r="V283" s="157"/>
      <c r="W283" s="158">
        <f t="shared" si="16"/>
        <v>900</v>
      </c>
      <c r="X283" s="175"/>
    </row>
    <row r="284" ht="45.0" hidden="1" customHeight="1">
      <c r="A284" s="137">
        <v>283.0</v>
      </c>
      <c r="B284" s="137" t="s">
        <v>1152</v>
      </c>
      <c r="C284" s="137" t="s">
        <v>1183</v>
      </c>
      <c r="D284" s="138" t="s">
        <v>1184</v>
      </c>
      <c r="E284" s="139" t="s">
        <v>1156</v>
      </c>
      <c r="F284" s="137">
        <v>1.0</v>
      </c>
      <c r="G284" s="137">
        <v>1.0</v>
      </c>
      <c r="H284" s="137">
        <v>100.0</v>
      </c>
      <c r="I284" s="137">
        <f t="shared" si="17"/>
        <v>100</v>
      </c>
      <c r="J284" s="141" t="s">
        <v>1157</v>
      </c>
      <c r="K284" s="138"/>
      <c r="L284" s="140"/>
      <c r="M284" s="138" t="s">
        <v>1968</v>
      </c>
      <c r="N284" s="142" t="s">
        <v>1185</v>
      </c>
      <c r="O284" s="137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P284" s="137" t="s">
        <v>56</v>
      </c>
      <c r="Q284" s="137"/>
      <c r="R284" s="137"/>
      <c r="S284" s="137"/>
      <c r="T284" s="137"/>
      <c r="U284" s="146">
        <v>1.0</v>
      </c>
      <c r="V284" s="143"/>
      <c r="W284" s="144">
        <f t="shared" si="16"/>
        <v>45</v>
      </c>
      <c r="X284" s="176"/>
    </row>
    <row r="285" ht="45.0" hidden="1" customHeight="1">
      <c r="A285" s="137">
        <v>284.0</v>
      </c>
      <c r="B285" s="137" t="s">
        <v>1152</v>
      </c>
      <c r="C285" s="137" t="s">
        <v>1187</v>
      </c>
      <c r="D285" s="138" t="s">
        <v>1188</v>
      </c>
      <c r="E285" s="139" t="s">
        <v>1156</v>
      </c>
      <c r="F285" s="140">
        <v>1.0</v>
      </c>
      <c r="G285" s="140">
        <v>1.0</v>
      </c>
      <c r="H285" s="140">
        <v>350.0</v>
      </c>
      <c r="I285" s="137">
        <f t="shared" si="17"/>
        <v>350</v>
      </c>
      <c r="J285" s="141" t="s">
        <v>1157</v>
      </c>
      <c r="K285" s="138"/>
      <c r="L285" s="140"/>
      <c r="M285" s="138" t="s">
        <v>1968</v>
      </c>
      <c r="N285" s="142" t="s">
        <v>1189</v>
      </c>
      <c r="O285" s="137" t="str">
        <f>IMAGE("https://m.media-amazon.com/images/I/61ra1C535pL._SL1500_.jpg", 1)</f>
        <v/>
      </c>
      <c r="P285" s="137"/>
      <c r="Q285" s="137"/>
      <c r="R285" s="137"/>
      <c r="S285" s="137"/>
      <c r="T285" s="137"/>
      <c r="U285" s="146">
        <v>1.0</v>
      </c>
      <c r="V285" s="143"/>
      <c r="W285" s="144">
        <f t="shared" si="16"/>
        <v>45</v>
      </c>
      <c r="X285" s="176"/>
    </row>
    <row r="286" ht="45.0" hidden="1" customHeight="1">
      <c r="A286" s="149">
        <v>285.0</v>
      </c>
      <c r="B286" s="149" t="s">
        <v>1152</v>
      </c>
      <c r="C286" s="149" t="s">
        <v>1191</v>
      </c>
      <c r="D286" s="150" t="s">
        <v>1192</v>
      </c>
      <c r="E286" s="151" t="s">
        <v>1156</v>
      </c>
      <c r="F286" s="149">
        <v>1.0</v>
      </c>
      <c r="G286" s="149">
        <v>1.0</v>
      </c>
      <c r="H286" s="149">
        <v>1000.0</v>
      </c>
      <c r="I286" s="149">
        <f t="shared" si="17"/>
        <v>1000</v>
      </c>
      <c r="J286" s="153" t="s">
        <v>1157</v>
      </c>
      <c r="K286" s="150"/>
      <c r="L286" s="152"/>
      <c r="M286" s="150" t="s">
        <v>1971</v>
      </c>
      <c r="N286" s="154" t="s">
        <v>1193</v>
      </c>
      <c r="O286" s="149" t="str">
        <f>IMAGE("https://5.imimg.com/data5/SI/VL/MY-6819814/multi-volume-adjustable-micropipette.jpg",1)</f>
        <v/>
      </c>
      <c r="P286" s="159"/>
      <c r="Q286" s="149"/>
      <c r="R286" s="149"/>
      <c r="S286" s="149"/>
      <c r="T286" s="149"/>
      <c r="U286" s="156">
        <v>0.0</v>
      </c>
      <c r="V286" s="157"/>
      <c r="W286" s="158">
        <f t="shared" si="16"/>
        <v>45</v>
      </c>
      <c r="X286" s="175"/>
    </row>
    <row r="287" ht="45.0" hidden="1" customHeight="1">
      <c r="A287" s="137">
        <v>286.0</v>
      </c>
      <c r="B287" s="137" t="s">
        <v>1152</v>
      </c>
      <c r="C287" s="137" t="s">
        <v>1195</v>
      </c>
      <c r="D287" s="138" t="s">
        <v>1196</v>
      </c>
      <c r="E287" s="139" t="s">
        <v>1156</v>
      </c>
      <c r="F287" s="140">
        <v>2.0</v>
      </c>
      <c r="G287" s="140">
        <v>1.0</v>
      </c>
      <c r="H287" s="140">
        <v>200.0</v>
      </c>
      <c r="I287" s="137">
        <f t="shared" si="17"/>
        <v>200</v>
      </c>
      <c r="J287" s="141" t="s">
        <v>1157</v>
      </c>
      <c r="K287" s="138"/>
      <c r="L287" s="140" t="s">
        <v>179</v>
      </c>
      <c r="M287" s="138" t="s">
        <v>1971</v>
      </c>
      <c r="N287" s="142" t="s">
        <v>1198</v>
      </c>
      <c r="O287" s="137" t="str">
        <f>IMAGE("https://5.imimg.com/data5/SELLER/Default/2021/7/IF/DT/PV/116258883/microscope-cover-glass-250x250.JPG",1)</f>
        <v/>
      </c>
      <c r="P287" s="137"/>
      <c r="Q287" s="137"/>
      <c r="R287" s="137"/>
      <c r="S287" s="137"/>
      <c r="T287" s="137"/>
      <c r="U287" s="137">
        <v>1.0</v>
      </c>
      <c r="V287" s="143"/>
      <c r="W287" s="144">
        <f t="shared" si="16"/>
        <v>45</v>
      </c>
      <c r="X287" s="176"/>
    </row>
    <row r="288" ht="45.0" hidden="1" customHeight="1">
      <c r="A288" s="137">
        <v>287.0</v>
      </c>
      <c r="B288" s="137" t="s">
        <v>1152</v>
      </c>
      <c r="C288" s="137" t="s">
        <v>1200</v>
      </c>
      <c r="D288" s="138" t="s">
        <v>1201</v>
      </c>
      <c r="E288" s="139" t="s">
        <v>1156</v>
      </c>
      <c r="F288" s="140">
        <v>2.0</v>
      </c>
      <c r="G288" s="140">
        <v>1.0</v>
      </c>
      <c r="H288" s="137">
        <v>100.0</v>
      </c>
      <c r="I288" s="137">
        <f t="shared" si="17"/>
        <v>100</v>
      </c>
      <c r="J288" s="141" t="s">
        <v>1157</v>
      </c>
      <c r="K288" s="138"/>
      <c r="L288" s="140" t="s">
        <v>179</v>
      </c>
      <c r="M288" s="138" t="s">
        <v>1971</v>
      </c>
      <c r="N288" s="142" t="s">
        <v>1202</v>
      </c>
      <c r="O288" s="137" t="str">
        <f>IMAGE("https://5.imimg.com/data5/AZ/OD/EC/SELLER-20177713/laboratory-slides-500x500.jpg",1)</f>
        <v/>
      </c>
      <c r="P288" s="137"/>
      <c r="Q288" s="137"/>
      <c r="R288" s="137"/>
      <c r="S288" s="137"/>
      <c r="T288" s="137"/>
      <c r="U288" s="137">
        <v>1.0</v>
      </c>
      <c r="V288" s="143"/>
      <c r="W288" s="144">
        <f t="shared" si="16"/>
        <v>45</v>
      </c>
      <c r="X288" s="176"/>
    </row>
    <row r="289" ht="45.0" hidden="1" customHeight="1">
      <c r="A289" s="149">
        <v>288.0</v>
      </c>
      <c r="B289" s="149" t="s">
        <v>1152</v>
      </c>
      <c r="C289" s="149" t="s">
        <v>1204</v>
      </c>
      <c r="D289" s="150" t="s">
        <v>1205</v>
      </c>
      <c r="E289" s="151" t="s">
        <v>1156</v>
      </c>
      <c r="F289" s="152">
        <v>30.0</v>
      </c>
      <c r="G289" s="152">
        <v>30.0</v>
      </c>
      <c r="H289" s="152">
        <v>15.0</v>
      </c>
      <c r="I289" s="149">
        <f t="shared" si="17"/>
        <v>450</v>
      </c>
      <c r="J289" s="153" t="s">
        <v>1157</v>
      </c>
      <c r="K289" s="150"/>
      <c r="L289" s="152" t="s">
        <v>22</v>
      </c>
      <c r="M289" s="150" t="s">
        <v>1968</v>
      </c>
      <c r="N289" s="154" t="s">
        <v>1206</v>
      </c>
      <c r="O289" s="149" t="str">
        <f>IMAGE("https://www.abdoslifesciences.com/wp-content/uploads/Abdos_Delhi2-107_P10911-to-P10918-2.png",1)</f>
        <v/>
      </c>
      <c r="P289" s="149" t="s">
        <v>56</v>
      </c>
      <c r="Q289" s="149"/>
      <c r="R289" s="149"/>
      <c r="S289" s="149"/>
      <c r="T289" s="149"/>
      <c r="U289" s="156">
        <v>0.0</v>
      </c>
      <c r="V289" s="157"/>
      <c r="W289" s="158">
        <f t="shared" si="16"/>
        <v>1350</v>
      </c>
      <c r="X289" s="175"/>
    </row>
    <row r="290" ht="45.0" hidden="1" customHeight="1">
      <c r="A290" s="137">
        <v>289.0</v>
      </c>
      <c r="B290" s="137" t="s">
        <v>1152</v>
      </c>
      <c r="C290" s="137" t="s">
        <v>1208</v>
      </c>
      <c r="D290" s="138" t="s">
        <v>1209</v>
      </c>
      <c r="E290" s="139" t="s">
        <v>1156</v>
      </c>
      <c r="F290" s="137">
        <v>2.0</v>
      </c>
      <c r="G290" s="137">
        <v>2.0</v>
      </c>
      <c r="H290" s="137">
        <v>500.0</v>
      </c>
      <c r="I290" s="137">
        <f t="shared" si="17"/>
        <v>1000</v>
      </c>
      <c r="J290" s="141" t="s">
        <v>1157</v>
      </c>
      <c r="K290" s="138"/>
      <c r="L290" s="140"/>
      <c r="M290" s="138" t="s">
        <v>1968</v>
      </c>
      <c r="N290" s="142" t="s">
        <v>1210</v>
      </c>
      <c r="O290" s="137" t="str">
        <f>IMAGE("https://pim-resources.coleparmer.com/product/l/dwk-life-sciences-kimble-dwk-kimble-babcock-pipettes-14663.jpg",1)</f>
        <v/>
      </c>
      <c r="P290" s="137"/>
      <c r="Q290" s="137"/>
      <c r="R290" s="137"/>
      <c r="S290" s="137"/>
      <c r="T290" s="137"/>
      <c r="U290" s="146">
        <v>1.0</v>
      </c>
      <c r="V290" s="143"/>
      <c r="W290" s="144">
        <f t="shared" si="16"/>
        <v>90</v>
      </c>
      <c r="X290" s="176"/>
    </row>
    <row r="291" ht="45.0" hidden="1" customHeight="1">
      <c r="A291" s="137">
        <v>290.0</v>
      </c>
      <c r="B291" s="137" t="s">
        <v>1152</v>
      </c>
      <c r="C291" s="137" t="s">
        <v>1212</v>
      </c>
      <c r="D291" s="138" t="s">
        <v>1213</v>
      </c>
      <c r="E291" s="139" t="s">
        <v>1156</v>
      </c>
      <c r="F291" s="140">
        <v>10.0</v>
      </c>
      <c r="G291" s="140">
        <v>10.0</v>
      </c>
      <c r="H291" s="140">
        <v>20.0</v>
      </c>
      <c r="I291" s="137">
        <f t="shared" si="17"/>
        <v>200</v>
      </c>
      <c r="J291" s="141" t="s">
        <v>1157</v>
      </c>
      <c r="K291" s="138"/>
      <c r="L291" s="140" t="s">
        <v>1972</v>
      </c>
      <c r="M291" s="138" t="s">
        <v>1969</v>
      </c>
      <c r="N291" s="142" t="s">
        <v>1214</v>
      </c>
      <c r="O291" s="137" t="str">
        <f>IMAGE("https://5.imimg.com/data5/QC/NX/MY-932240/clear-plastic-funnel-250x250.jpg", 1)</f>
        <v/>
      </c>
      <c r="P291" s="137"/>
      <c r="Q291" s="137"/>
      <c r="R291" s="137"/>
      <c r="S291" s="137"/>
      <c r="T291" s="137"/>
      <c r="U291" s="137">
        <v>1.0</v>
      </c>
      <c r="V291" s="143"/>
      <c r="W291" s="144">
        <f t="shared" si="16"/>
        <v>450</v>
      </c>
      <c r="X291" s="176"/>
    </row>
    <row r="292" ht="45.0" hidden="1" customHeight="1">
      <c r="A292" s="137">
        <v>291.0</v>
      </c>
      <c r="B292" s="137" t="s">
        <v>1152</v>
      </c>
      <c r="C292" s="137" t="s">
        <v>1216</v>
      </c>
      <c r="D292" s="138" t="s">
        <v>1217</v>
      </c>
      <c r="E292" s="139" t="s">
        <v>1156</v>
      </c>
      <c r="F292" s="140">
        <v>10.0</v>
      </c>
      <c r="G292" s="140">
        <v>10.0</v>
      </c>
      <c r="H292" s="140">
        <v>20.0</v>
      </c>
      <c r="I292" s="137">
        <f t="shared" si="17"/>
        <v>200</v>
      </c>
      <c r="J292" s="141" t="s">
        <v>1157</v>
      </c>
      <c r="K292" s="138"/>
      <c r="L292" s="140" t="s">
        <v>179</v>
      </c>
      <c r="M292" s="138" t="s">
        <v>1969</v>
      </c>
      <c r="N292" s="142" t="s">
        <v>1218</v>
      </c>
      <c r="O292" s="137" t="str">
        <f>IMAGE("https://www.reagecon.com/product/image/medium/6267270_1.jpg",1)</f>
        <v/>
      </c>
      <c r="P292" s="137"/>
      <c r="Q292" s="137"/>
      <c r="R292" s="137"/>
      <c r="S292" s="137"/>
      <c r="T292" s="137"/>
      <c r="U292" s="137">
        <v>1.0</v>
      </c>
      <c r="V292" s="143"/>
      <c r="W292" s="144">
        <f t="shared" si="16"/>
        <v>450</v>
      </c>
      <c r="X292" s="176"/>
    </row>
    <row r="293" ht="45.0" hidden="1" customHeight="1">
      <c r="A293" s="149">
        <v>292.0</v>
      </c>
      <c r="B293" s="149" t="s">
        <v>1152</v>
      </c>
      <c r="C293" s="149" t="s">
        <v>1220</v>
      </c>
      <c r="D293" s="150" t="s">
        <v>1221</v>
      </c>
      <c r="E293" s="151" t="s">
        <v>1156</v>
      </c>
      <c r="F293" s="149">
        <v>1.0</v>
      </c>
      <c r="G293" s="149">
        <v>1.0</v>
      </c>
      <c r="H293" s="149">
        <v>4000.0</v>
      </c>
      <c r="I293" s="149">
        <f t="shared" si="17"/>
        <v>4000</v>
      </c>
      <c r="J293" s="153" t="s">
        <v>1157</v>
      </c>
      <c r="K293" s="150"/>
      <c r="L293" s="152"/>
      <c r="M293" s="150" t="s">
        <v>1969</v>
      </c>
      <c r="N293" s="154" t="s">
        <v>1222</v>
      </c>
      <c r="O293" s="149" t="str">
        <f>IMAGE("https://5.imimg.com/data5/SELLER/Default/2021/3/XX/WV/MR/4080247/lab-sinks-500x500.jpeg",1)</f>
        <v/>
      </c>
      <c r="P293" s="149"/>
      <c r="Q293" s="149"/>
      <c r="R293" s="149"/>
      <c r="S293" s="149"/>
      <c r="T293" s="149"/>
      <c r="U293" s="156">
        <v>0.0</v>
      </c>
      <c r="V293" s="157"/>
      <c r="W293" s="158">
        <f t="shared" si="16"/>
        <v>45</v>
      </c>
      <c r="X293" s="175"/>
    </row>
    <row r="294" ht="45.0" hidden="1" customHeight="1">
      <c r="A294" s="149">
        <v>293.0</v>
      </c>
      <c r="B294" s="149" t="s">
        <v>1152</v>
      </c>
      <c r="C294" s="149" t="s">
        <v>1224</v>
      </c>
      <c r="D294" s="150" t="s">
        <v>1225</v>
      </c>
      <c r="E294" s="151" t="s">
        <v>1156</v>
      </c>
      <c r="F294" s="152">
        <v>100.0</v>
      </c>
      <c r="G294" s="152">
        <v>100.0</v>
      </c>
      <c r="H294" s="152">
        <v>20.0</v>
      </c>
      <c r="I294" s="149">
        <f t="shared" si="17"/>
        <v>2000</v>
      </c>
      <c r="J294" s="153" t="s">
        <v>1157</v>
      </c>
      <c r="K294" s="150"/>
      <c r="L294" s="152" t="s">
        <v>22</v>
      </c>
      <c r="M294" s="150" t="s">
        <v>1969</v>
      </c>
      <c r="N294" s="154" t="s">
        <v>1226</v>
      </c>
      <c r="O294" s="149" t="str">
        <f>IMAGE("https://5.imimg.com/data5/GX/OE/MY-972879/30ml-specimen-container-500x500.jpg", 1)</f>
        <v/>
      </c>
      <c r="P294" s="149"/>
      <c r="Q294" s="149"/>
      <c r="R294" s="149"/>
      <c r="S294" s="149"/>
      <c r="T294" s="149"/>
      <c r="U294" s="156">
        <v>0.0</v>
      </c>
      <c r="V294" s="157"/>
      <c r="W294" s="158">
        <f t="shared" si="16"/>
        <v>4500</v>
      </c>
      <c r="X294" s="175"/>
    </row>
    <row r="295" ht="45.0" hidden="1" customHeight="1">
      <c r="A295" s="137">
        <v>294.0</v>
      </c>
      <c r="B295" s="137" t="s">
        <v>1152</v>
      </c>
      <c r="C295" s="137" t="s">
        <v>1228</v>
      </c>
      <c r="D295" s="138" t="s">
        <v>1229</v>
      </c>
      <c r="E295" s="139" t="s">
        <v>1156</v>
      </c>
      <c r="F295" s="137">
        <v>1.0</v>
      </c>
      <c r="G295" s="137">
        <v>1.0</v>
      </c>
      <c r="H295" s="137">
        <v>150.0</v>
      </c>
      <c r="I295" s="137">
        <f t="shared" si="17"/>
        <v>150</v>
      </c>
      <c r="J295" s="141" t="s">
        <v>1157</v>
      </c>
      <c r="K295" s="138"/>
      <c r="L295" s="140"/>
      <c r="M295" s="138" t="s">
        <v>1968</v>
      </c>
      <c r="N295" s="142" t="s">
        <v>1230</v>
      </c>
      <c r="O295" s="137" t="str">
        <f>IMAGE("https://m.media-amazon.com/images/I/51+vdFGMMML._SL1001_.jpg",1)</f>
        <v/>
      </c>
      <c r="P295" s="137"/>
      <c r="Q295" s="137"/>
      <c r="R295" s="137"/>
      <c r="S295" s="137"/>
      <c r="T295" s="137"/>
      <c r="U295" s="146">
        <v>1.0</v>
      </c>
      <c r="V295" s="143"/>
      <c r="W295" s="144">
        <f t="shared" si="16"/>
        <v>45</v>
      </c>
      <c r="X295" s="176"/>
    </row>
    <row r="296" ht="45.0" hidden="1" customHeight="1">
      <c r="A296" s="137">
        <v>295.0</v>
      </c>
      <c r="B296" s="137" t="s">
        <v>1152</v>
      </c>
      <c r="C296" s="137" t="s">
        <v>1232</v>
      </c>
      <c r="D296" s="138" t="s">
        <v>1233</v>
      </c>
      <c r="E296" s="139" t="s">
        <v>1156</v>
      </c>
      <c r="F296" s="140">
        <v>10.0</v>
      </c>
      <c r="G296" s="140">
        <v>10.0</v>
      </c>
      <c r="H296" s="140">
        <v>15.0</v>
      </c>
      <c r="I296" s="137">
        <f t="shared" si="17"/>
        <v>150</v>
      </c>
      <c r="J296" s="141" t="s">
        <v>1157</v>
      </c>
      <c r="K296" s="138"/>
      <c r="L296" s="140"/>
      <c r="M296" s="138" t="s">
        <v>1968</v>
      </c>
      <c r="N296" s="142" t="s">
        <v>1234</v>
      </c>
      <c r="O296" s="137" t="str">
        <f>IMAGE("https://5.imimg.com/data5/SELLER/Default/2022/10/RF/ME/PW/7444604/12x100mm-glass-test-tube-500x500.jpg", 1)</f>
        <v/>
      </c>
      <c r="P296" s="137"/>
      <c r="Q296" s="137"/>
      <c r="R296" s="137"/>
      <c r="S296" s="137"/>
      <c r="T296" s="137"/>
      <c r="U296" s="137">
        <v>1.0</v>
      </c>
      <c r="V296" s="143"/>
      <c r="W296" s="144">
        <f t="shared" si="16"/>
        <v>450</v>
      </c>
      <c r="X296" s="176"/>
    </row>
    <row r="297" ht="45.0" hidden="1" customHeight="1">
      <c r="A297" s="137">
        <v>296.0</v>
      </c>
      <c r="B297" s="137" t="s">
        <v>1152</v>
      </c>
      <c r="C297" s="137" t="s">
        <v>1236</v>
      </c>
      <c r="D297" s="138" t="s">
        <v>1237</v>
      </c>
      <c r="E297" s="139" t="s">
        <v>1156</v>
      </c>
      <c r="F297" s="140">
        <v>1.0</v>
      </c>
      <c r="G297" s="140">
        <v>1.0</v>
      </c>
      <c r="H297" s="140">
        <v>150.0</v>
      </c>
      <c r="I297" s="137">
        <f t="shared" si="17"/>
        <v>150</v>
      </c>
      <c r="J297" s="141" t="s">
        <v>1157</v>
      </c>
      <c r="K297" s="138"/>
      <c r="L297" s="140"/>
      <c r="M297" s="138" t="s">
        <v>1968</v>
      </c>
      <c r="N297" s="142" t="s">
        <v>1238</v>
      </c>
      <c r="O297" s="137" t="str">
        <f>IMAGE("https://www.abdoslifesciences.com/wp-content/uploads/p10.jpg", 1)</f>
        <v/>
      </c>
      <c r="P297" s="137"/>
      <c r="Q297" s="137"/>
      <c r="R297" s="137"/>
      <c r="S297" s="137"/>
      <c r="T297" s="137"/>
      <c r="U297" s="146">
        <v>1.0</v>
      </c>
      <c r="V297" s="143"/>
      <c r="W297" s="144">
        <f t="shared" si="16"/>
        <v>45</v>
      </c>
      <c r="X297" s="176"/>
    </row>
    <row r="298" ht="45.0" hidden="1" customHeight="1">
      <c r="A298" s="137">
        <v>297.0</v>
      </c>
      <c r="B298" s="137" t="s">
        <v>1152</v>
      </c>
      <c r="C298" s="137" t="s">
        <v>1240</v>
      </c>
      <c r="D298" s="138" t="s">
        <v>1241</v>
      </c>
      <c r="E298" s="139" t="s">
        <v>1156</v>
      </c>
      <c r="F298" s="140">
        <v>2.0</v>
      </c>
      <c r="G298" s="140">
        <v>2.0</v>
      </c>
      <c r="H298" s="140">
        <v>100.0</v>
      </c>
      <c r="I298" s="137">
        <f t="shared" si="17"/>
        <v>200</v>
      </c>
      <c r="J298" s="141" t="s">
        <v>1157</v>
      </c>
      <c r="K298" s="138"/>
      <c r="L298" s="140"/>
      <c r="M298" s="138" t="s">
        <v>1969</v>
      </c>
      <c r="N298" s="179" t="s">
        <v>1242</v>
      </c>
      <c r="O298" s="137" t="str">
        <f>IMAGE("https://www.abdoslifesciences.com/wp-content/uploads/Wash-Bottle-LDPE-day-20376.jpg", 1)</f>
        <v/>
      </c>
      <c r="P298" s="137"/>
      <c r="Q298" s="137"/>
      <c r="R298" s="137"/>
      <c r="S298" s="137"/>
      <c r="T298" s="137"/>
      <c r="U298" s="146">
        <v>1.0</v>
      </c>
      <c r="V298" s="143"/>
      <c r="W298" s="144">
        <f t="shared" si="16"/>
        <v>90</v>
      </c>
      <c r="X298" s="176"/>
    </row>
    <row r="299" ht="45.0" hidden="1" customHeight="1">
      <c r="A299" s="137">
        <v>298.0</v>
      </c>
      <c r="B299" s="137" t="s">
        <v>1152</v>
      </c>
      <c r="C299" s="137" t="s">
        <v>1244</v>
      </c>
      <c r="D299" s="138" t="s">
        <v>1245</v>
      </c>
      <c r="E299" s="139" t="s">
        <v>1156</v>
      </c>
      <c r="F299" s="137">
        <v>10.0</v>
      </c>
      <c r="G299" s="137">
        <v>10.0</v>
      </c>
      <c r="H299" s="137">
        <v>10.0</v>
      </c>
      <c r="I299" s="137">
        <f t="shared" si="17"/>
        <v>100</v>
      </c>
      <c r="J299" s="141" t="s">
        <v>1157</v>
      </c>
      <c r="K299" s="138"/>
      <c r="L299" s="140" t="s">
        <v>179</v>
      </c>
      <c r="M299" s="138" t="s">
        <v>1968</v>
      </c>
      <c r="N299" s="142" t="s">
        <v>1246</v>
      </c>
      <c r="O299" s="137" t="str">
        <f>IMAGE("https://m.media-amazon.com/images/I/31U00ndDv2L._SX679_.jpg",1)</f>
        <v/>
      </c>
      <c r="P299" s="137"/>
      <c r="Q299" s="137"/>
      <c r="R299" s="137"/>
      <c r="S299" s="137"/>
      <c r="T299" s="137"/>
      <c r="U299" s="137">
        <v>1.0</v>
      </c>
      <c r="V299" s="143"/>
      <c r="W299" s="144">
        <f t="shared" si="16"/>
        <v>450</v>
      </c>
      <c r="X299" s="176"/>
    </row>
    <row r="300" ht="45.0" hidden="1" customHeight="1">
      <c r="A300" s="137">
        <v>299.0</v>
      </c>
      <c r="B300" s="137" t="s">
        <v>173</v>
      </c>
      <c r="C300" s="137" t="s">
        <v>1248</v>
      </c>
      <c r="D300" s="138" t="s">
        <v>1249</v>
      </c>
      <c r="E300" s="139" t="s">
        <v>1250</v>
      </c>
      <c r="F300" s="140">
        <v>7.0</v>
      </c>
      <c r="G300" s="140">
        <v>7.0</v>
      </c>
      <c r="H300" s="140">
        <v>500.0</v>
      </c>
      <c r="I300" s="137">
        <f t="shared" si="17"/>
        <v>3500</v>
      </c>
      <c r="J300" s="141" t="s">
        <v>178</v>
      </c>
      <c r="K300" s="138" t="s">
        <v>47</v>
      </c>
      <c r="L300" s="140" t="s">
        <v>1973</v>
      </c>
      <c r="M300" s="138" t="s">
        <v>1964</v>
      </c>
      <c r="N300" s="142" t="s">
        <v>1251</v>
      </c>
      <c r="O300" s="137" t="str">
        <f>IMAGE("https://www.atel-electronics.eu/pic_cache/10/06158.jpg",1)</f>
        <v/>
      </c>
      <c r="P300" s="132" t="s">
        <v>1724</v>
      </c>
      <c r="Q300" s="137"/>
      <c r="R300" s="137"/>
      <c r="S300" s="137"/>
      <c r="T300" s="137"/>
      <c r="U300" s="137">
        <v>1.0</v>
      </c>
      <c r="V300" s="143"/>
      <c r="W300" s="144">
        <f t="shared" si="16"/>
        <v>315</v>
      </c>
      <c r="X300" s="176"/>
    </row>
    <row r="301" ht="45.0" hidden="1" customHeight="1">
      <c r="A301" s="137">
        <v>300.0</v>
      </c>
      <c r="B301" s="137" t="s">
        <v>173</v>
      </c>
      <c r="C301" s="137" t="s">
        <v>1253</v>
      </c>
      <c r="D301" s="138" t="s">
        <v>1254</v>
      </c>
      <c r="E301" s="139" t="s">
        <v>1250</v>
      </c>
      <c r="F301" s="140">
        <v>1.0</v>
      </c>
      <c r="G301" s="140">
        <v>1.0</v>
      </c>
      <c r="H301" s="140">
        <v>1000.0</v>
      </c>
      <c r="I301" s="137">
        <f t="shared" si="17"/>
        <v>1000</v>
      </c>
      <c r="J301" s="141" t="s">
        <v>178</v>
      </c>
      <c r="K301" s="138" t="s">
        <v>47</v>
      </c>
      <c r="L301" s="140" t="s">
        <v>1973</v>
      </c>
      <c r="M301" s="138" t="s">
        <v>1964</v>
      </c>
      <c r="N301" s="142" t="s">
        <v>1255</v>
      </c>
      <c r="O301" s="137" t="str">
        <f>IMAGE("https://in.element14.com/productimages/large/en_GB/IN07444-40.jpg",1)</f>
        <v/>
      </c>
      <c r="P301" s="132" t="s">
        <v>1724</v>
      </c>
      <c r="Q301" s="137"/>
      <c r="R301" s="137"/>
      <c r="S301" s="137"/>
      <c r="T301" s="137"/>
      <c r="U301" s="137">
        <v>1.0</v>
      </c>
      <c r="V301" s="143"/>
      <c r="W301" s="144">
        <f t="shared" si="16"/>
        <v>45</v>
      </c>
      <c r="X301" s="176"/>
    </row>
    <row r="302" ht="45.0" hidden="1" customHeight="1">
      <c r="A302" s="137">
        <v>301.0</v>
      </c>
      <c r="B302" s="137" t="s">
        <v>173</v>
      </c>
      <c r="C302" s="137" t="s">
        <v>1257</v>
      </c>
      <c r="D302" s="138" t="s">
        <v>1258</v>
      </c>
      <c r="E302" s="139" t="s">
        <v>1250</v>
      </c>
      <c r="F302" s="140">
        <v>1.0</v>
      </c>
      <c r="G302" s="140">
        <v>1.0</v>
      </c>
      <c r="H302" s="140">
        <v>25000.0</v>
      </c>
      <c r="I302" s="137">
        <f t="shared" si="17"/>
        <v>25000</v>
      </c>
      <c r="J302" s="141" t="s">
        <v>178</v>
      </c>
      <c r="K302" s="138" t="s">
        <v>47</v>
      </c>
      <c r="L302" s="140"/>
      <c r="M302" s="138" t="s">
        <v>1964</v>
      </c>
      <c r="N302" s="142" t="s">
        <v>1259</v>
      </c>
      <c r="O302" s="137" t="str">
        <f>IMAGE("https://m.media-amazon.com/images/I/51LxodXCiyS._SL1000_.jpg",1)</f>
        <v/>
      </c>
      <c r="P302" s="132" t="s">
        <v>1724</v>
      </c>
      <c r="Q302" s="137"/>
      <c r="R302" s="137"/>
      <c r="S302" s="137"/>
      <c r="T302" s="137"/>
      <c r="U302" s="146">
        <v>1.0</v>
      </c>
      <c r="V302" s="143"/>
      <c r="W302" s="144">
        <f t="shared" si="16"/>
        <v>45</v>
      </c>
      <c r="X302" s="176"/>
    </row>
    <row r="303" ht="45.0" hidden="1" customHeight="1">
      <c r="A303" s="149">
        <v>302.0</v>
      </c>
      <c r="B303" s="149" t="s">
        <v>173</v>
      </c>
      <c r="C303" s="149" t="s">
        <v>1261</v>
      </c>
      <c r="D303" s="177" t="s">
        <v>1974</v>
      </c>
      <c r="E303" s="151" t="s">
        <v>1250</v>
      </c>
      <c r="F303" s="152">
        <v>1.0</v>
      </c>
      <c r="G303" s="152">
        <v>1.0</v>
      </c>
      <c r="H303" s="152">
        <v>2500.0</v>
      </c>
      <c r="I303" s="149">
        <f t="shared" si="17"/>
        <v>2500</v>
      </c>
      <c r="J303" s="153" t="s">
        <v>178</v>
      </c>
      <c r="K303" s="150" t="s">
        <v>47</v>
      </c>
      <c r="L303" s="152"/>
      <c r="M303" s="150" t="s">
        <v>1907</v>
      </c>
      <c r="N303" s="154" t="s">
        <v>1263</v>
      </c>
      <c r="O303" s="149" t="str">
        <f>IMAGE("https://m.media-amazon.com/images/I/61WLNOGJ4JS.jpg")</f>
        <v/>
      </c>
      <c r="P303" s="159" t="s">
        <v>1724</v>
      </c>
      <c r="Q303" s="149"/>
      <c r="R303" s="149"/>
      <c r="S303" s="149"/>
      <c r="T303" s="149"/>
      <c r="U303" s="156">
        <v>0.0</v>
      </c>
      <c r="V303" s="171" t="s">
        <v>1936</v>
      </c>
      <c r="W303" s="158">
        <f t="shared" si="16"/>
        <v>45</v>
      </c>
      <c r="X303" s="178"/>
    </row>
    <row r="304" ht="45.0" hidden="1" customHeight="1">
      <c r="A304" s="137">
        <v>303.0</v>
      </c>
      <c r="B304" s="137" t="s">
        <v>173</v>
      </c>
      <c r="C304" s="137" t="s">
        <v>1265</v>
      </c>
      <c r="D304" s="138" t="s">
        <v>1266</v>
      </c>
      <c r="E304" s="139" t="s">
        <v>1250</v>
      </c>
      <c r="F304" s="140">
        <v>1.0</v>
      </c>
      <c r="G304" s="140">
        <v>1.0</v>
      </c>
      <c r="H304" s="140">
        <v>2500.0</v>
      </c>
      <c r="I304" s="137">
        <f t="shared" si="17"/>
        <v>2500</v>
      </c>
      <c r="J304" s="141" t="s">
        <v>178</v>
      </c>
      <c r="K304" s="138"/>
      <c r="L304" s="140"/>
      <c r="M304" s="138" t="s">
        <v>1628</v>
      </c>
      <c r="N304" s="142" t="s">
        <v>1267</v>
      </c>
      <c r="O304" s="137" t="str">
        <f>IMAGE("https://cdn.shopify.com/s/files/1/0559/1970/6265/products/4_61325b1b-840f-41dd-a6d9-0ddb00c5c7bc_1024x1024@2x.png?v=1670588177",1)</f>
        <v/>
      </c>
      <c r="P304" s="137" t="s">
        <v>1725</v>
      </c>
      <c r="Q304" s="137"/>
      <c r="R304" s="137"/>
      <c r="S304" s="137"/>
      <c r="T304" s="137"/>
      <c r="U304" s="146">
        <v>1.0</v>
      </c>
      <c r="V304" s="143"/>
      <c r="W304" s="144">
        <f t="shared" si="16"/>
        <v>45</v>
      </c>
      <c r="X304" s="176"/>
    </row>
    <row r="305" ht="45.0" hidden="1" customHeight="1">
      <c r="A305" s="137">
        <v>304.0</v>
      </c>
      <c r="B305" s="137" t="s">
        <v>1152</v>
      </c>
      <c r="C305" s="137" t="s">
        <v>1269</v>
      </c>
      <c r="D305" s="138" t="s">
        <v>1270</v>
      </c>
      <c r="E305" s="139" t="s">
        <v>1250</v>
      </c>
      <c r="F305" s="137">
        <v>1.0</v>
      </c>
      <c r="G305" s="137">
        <v>1.0</v>
      </c>
      <c r="H305" s="137">
        <v>2000.0</v>
      </c>
      <c r="I305" s="137">
        <f t="shared" si="17"/>
        <v>2000</v>
      </c>
      <c r="J305" s="141" t="s">
        <v>1157</v>
      </c>
      <c r="K305" s="138"/>
      <c r="L305" s="140"/>
      <c r="M305" s="138" t="s">
        <v>1975</v>
      </c>
      <c r="N305" s="142" t="s">
        <v>1271</v>
      </c>
      <c r="O305" s="137" t="str">
        <f>IMAGE("https://m.media-amazon.com/images/I/61USTYJ+OPL._SL1500_.jpg",1)</f>
        <v/>
      </c>
      <c r="P305" s="137"/>
      <c r="Q305" s="137"/>
      <c r="R305" s="137"/>
      <c r="S305" s="137"/>
      <c r="T305" s="137"/>
      <c r="U305" s="146">
        <v>1.0</v>
      </c>
      <c r="V305" s="143"/>
      <c r="W305" s="144">
        <f t="shared" si="16"/>
        <v>45</v>
      </c>
      <c r="X305" s="176"/>
    </row>
    <row r="306" ht="45.0" hidden="1" customHeight="1">
      <c r="A306" s="149">
        <v>305.0</v>
      </c>
      <c r="B306" s="149" t="s">
        <v>1152</v>
      </c>
      <c r="C306" s="149" t="s">
        <v>1273</v>
      </c>
      <c r="D306" s="150" t="s">
        <v>1274</v>
      </c>
      <c r="E306" s="151" t="s">
        <v>1250</v>
      </c>
      <c r="F306" s="149">
        <v>1.0</v>
      </c>
      <c r="G306" s="149">
        <v>1.0</v>
      </c>
      <c r="H306" s="149">
        <v>1700.0</v>
      </c>
      <c r="I306" s="149">
        <f t="shared" si="17"/>
        <v>1700</v>
      </c>
      <c r="J306" s="153" t="s">
        <v>1157</v>
      </c>
      <c r="K306" s="150" t="s">
        <v>47</v>
      </c>
      <c r="L306" s="152"/>
      <c r="M306" s="150" t="s">
        <v>1964</v>
      </c>
      <c r="N306" s="154" t="s">
        <v>1275</v>
      </c>
      <c r="O306" s="149" t="str">
        <f>IMAGE("https://htcinstrument.com/wp-content/uploads/2021/05/AVM-06L.jpg",1)</f>
        <v/>
      </c>
      <c r="P306" s="149" t="s">
        <v>1724</v>
      </c>
      <c r="Q306" s="149"/>
      <c r="R306" s="149"/>
      <c r="S306" s="149"/>
      <c r="T306" s="149"/>
      <c r="U306" s="156">
        <v>0.0</v>
      </c>
      <c r="V306" s="171" t="s">
        <v>1936</v>
      </c>
      <c r="W306" s="158">
        <f t="shared" ref="W306:W308" si="18">G306*55</f>
        <v>55</v>
      </c>
      <c r="X306" s="178"/>
    </row>
    <row r="307" ht="45.0" hidden="1" customHeight="1">
      <c r="A307" s="149">
        <v>306.0</v>
      </c>
      <c r="B307" s="149" t="s">
        <v>1152</v>
      </c>
      <c r="C307" s="149" t="s">
        <v>1277</v>
      </c>
      <c r="D307" s="150" t="s">
        <v>1278</v>
      </c>
      <c r="E307" s="151" t="s">
        <v>1032</v>
      </c>
      <c r="F307" s="149">
        <v>1.0</v>
      </c>
      <c r="G307" s="149">
        <v>1.0</v>
      </c>
      <c r="H307" s="149">
        <v>3000.0</v>
      </c>
      <c r="I307" s="149">
        <f t="shared" si="17"/>
        <v>3000</v>
      </c>
      <c r="J307" s="153" t="s">
        <v>347</v>
      </c>
      <c r="K307" s="150"/>
      <c r="L307" s="152"/>
      <c r="M307" s="150" t="s">
        <v>1964</v>
      </c>
      <c r="N307" s="154"/>
      <c r="O307" s="149" t="str">
        <f>IMAGE("https://www.toolworld.in/storage/media/product/1696831532.jpg",1)</f>
        <v/>
      </c>
      <c r="P307" s="149" t="s">
        <v>1724</v>
      </c>
      <c r="Q307" s="149"/>
      <c r="R307" s="149"/>
      <c r="S307" s="149"/>
      <c r="T307" s="149"/>
      <c r="U307" s="156">
        <v>0.0</v>
      </c>
      <c r="V307" s="171" t="s">
        <v>1936</v>
      </c>
      <c r="W307" s="158">
        <f t="shared" si="18"/>
        <v>55</v>
      </c>
      <c r="X307" s="178"/>
    </row>
    <row r="308" ht="45.0" hidden="1" customHeight="1">
      <c r="A308" s="149">
        <v>307.0</v>
      </c>
      <c r="B308" s="149" t="s">
        <v>1152</v>
      </c>
      <c r="C308" s="149" t="s">
        <v>1280</v>
      </c>
      <c r="D308" s="150" t="s">
        <v>1281</v>
      </c>
      <c r="E308" s="151" t="s">
        <v>1250</v>
      </c>
      <c r="F308" s="149">
        <v>1.0</v>
      </c>
      <c r="G308" s="149">
        <v>1.0</v>
      </c>
      <c r="H308" s="149">
        <v>1700.0</v>
      </c>
      <c r="I308" s="149">
        <f t="shared" si="17"/>
        <v>1700</v>
      </c>
      <c r="J308" s="153" t="s">
        <v>1157</v>
      </c>
      <c r="K308" s="150" t="s">
        <v>47</v>
      </c>
      <c r="L308" s="152"/>
      <c r="M308" s="150" t="s">
        <v>1964</v>
      </c>
      <c r="N308" s="154" t="s">
        <v>1282</v>
      </c>
      <c r="O308" s="149" t="str">
        <f>IMAGE("https://www.toolworld.in/storage/media/product/UT382-1.jpg",1)</f>
        <v/>
      </c>
      <c r="P308" s="149" t="s">
        <v>1724</v>
      </c>
      <c r="Q308" s="149"/>
      <c r="R308" s="149"/>
      <c r="S308" s="149"/>
      <c r="T308" s="149"/>
      <c r="U308" s="156">
        <v>0.0</v>
      </c>
      <c r="V308" s="171" t="s">
        <v>1936</v>
      </c>
      <c r="W308" s="158">
        <f t="shared" si="18"/>
        <v>55</v>
      </c>
      <c r="X308" s="178"/>
    </row>
    <row r="309" ht="45.0" hidden="1" customHeight="1">
      <c r="A309" s="137">
        <v>308.0</v>
      </c>
      <c r="B309" s="137" t="s">
        <v>1152</v>
      </c>
      <c r="C309" s="137" t="s">
        <v>1284</v>
      </c>
      <c r="D309" s="138" t="s">
        <v>1285</v>
      </c>
      <c r="E309" s="139" t="s">
        <v>1250</v>
      </c>
      <c r="F309" s="137">
        <v>1.0</v>
      </c>
      <c r="G309" s="137">
        <v>1.0</v>
      </c>
      <c r="H309" s="137">
        <v>3000.0</v>
      </c>
      <c r="I309" s="137">
        <f t="shared" si="17"/>
        <v>3000</v>
      </c>
      <c r="J309" s="141" t="s">
        <v>1157</v>
      </c>
      <c r="K309" s="138"/>
      <c r="L309" s="140"/>
      <c r="M309" s="138" t="s">
        <v>1964</v>
      </c>
      <c r="N309" s="142"/>
      <c r="O309" s="137"/>
      <c r="P309" s="137" t="s">
        <v>1726</v>
      </c>
      <c r="Q309" s="137"/>
      <c r="R309" s="137"/>
      <c r="S309" s="137"/>
      <c r="T309" s="137"/>
      <c r="U309" s="146">
        <v>1.0</v>
      </c>
      <c r="V309" s="143"/>
      <c r="W309" s="144">
        <f>G309*45</f>
        <v>45</v>
      </c>
      <c r="X309" s="176"/>
    </row>
    <row r="310" ht="45.0" hidden="1" customHeight="1">
      <c r="A310" s="149">
        <v>309.0</v>
      </c>
      <c r="B310" s="149" t="s">
        <v>1152</v>
      </c>
      <c r="C310" s="149" t="s">
        <v>1287</v>
      </c>
      <c r="D310" s="150" t="s">
        <v>1288</v>
      </c>
      <c r="E310" s="151" t="s">
        <v>1250</v>
      </c>
      <c r="F310" s="149">
        <v>1.0</v>
      </c>
      <c r="G310" s="149">
        <v>1.0</v>
      </c>
      <c r="H310" s="149">
        <v>1000.0</v>
      </c>
      <c r="I310" s="149">
        <f t="shared" si="17"/>
        <v>1000</v>
      </c>
      <c r="J310" s="153" t="s">
        <v>1157</v>
      </c>
      <c r="K310" s="150"/>
      <c r="L310" s="152"/>
      <c r="M310" s="150" t="s">
        <v>1964</v>
      </c>
      <c r="N310" s="154"/>
      <c r="O310" s="149" t="str">
        <f>IMAGE("https://m.media-amazon.com/images/I/41d6N8TdSTL._SL1001_.jpg",1)</f>
        <v/>
      </c>
      <c r="P310" s="149"/>
      <c r="Q310" s="149"/>
      <c r="R310" s="149"/>
      <c r="S310" s="149"/>
      <c r="T310" s="149"/>
      <c r="U310" s="156">
        <v>0.0</v>
      </c>
      <c r="V310" s="171" t="s">
        <v>1936</v>
      </c>
      <c r="W310" s="158">
        <f t="shared" ref="W310:W312" si="19">G310*55</f>
        <v>55</v>
      </c>
      <c r="X310" s="178"/>
    </row>
    <row r="311" ht="45.0" hidden="1" customHeight="1">
      <c r="A311" s="149">
        <v>310.0</v>
      </c>
      <c r="B311" s="149" t="s">
        <v>1152</v>
      </c>
      <c r="C311" s="149" t="s">
        <v>1290</v>
      </c>
      <c r="D311" s="150" t="s">
        <v>1291</v>
      </c>
      <c r="E311" s="151" t="s">
        <v>1250</v>
      </c>
      <c r="F311" s="149">
        <v>1.0</v>
      </c>
      <c r="G311" s="149">
        <v>1.0</v>
      </c>
      <c r="H311" s="149">
        <v>1500.0</v>
      </c>
      <c r="I311" s="149">
        <f t="shared" si="17"/>
        <v>1500</v>
      </c>
      <c r="J311" s="153" t="s">
        <v>1157</v>
      </c>
      <c r="K311" s="150" t="s">
        <v>47</v>
      </c>
      <c r="L311" s="152"/>
      <c r="M311" s="150" t="s">
        <v>1964</v>
      </c>
      <c r="N311" s="154"/>
      <c r="O311" s="149" t="str">
        <f>IMAGE("https://htcinstrument.com/wp-content/uploads/2021/06/SL-1350L.jpg",1)</f>
        <v/>
      </c>
      <c r="P311" s="149" t="s">
        <v>1724</v>
      </c>
      <c r="Q311" s="149"/>
      <c r="R311" s="149"/>
      <c r="S311" s="149"/>
      <c r="T311" s="149"/>
      <c r="U311" s="156">
        <v>0.0</v>
      </c>
      <c r="V311" s="171" t="s">
        <v>1936</v>
      </c>
      <c r="W311" s="158">
        <f t="shared" si="19"/>
        <v>55</v>
      </c>
      <c r="X311" s="178"/>
    </row>
    <row r="312" ht="45.0" hidden="1" customHeight="1">
      <c r="A312" s="149">
        <v>311.0</v>
      </c>
      <c r="B312" s="149" t="s">
        <v>1152</v>
      </c>
      <c r="C312" s="149" t="s">
        <v>1293</v>
      </c>
      <c r="D312" s="150" t="s">
        <v>1294</v>
      </c>
      <c r="E312" s="151" t="s">
        <v>1250</v>
      </c>
      <c r="F312" s="149">
        <v>1.0</v>
      </c>
      <c r="G312" s="149">
        <v>1.0</v>
      </c>
      <c r="H312" s="149">
        <v>2000.0</v>
      </c>
      <c r="I312" s="149">
        <f t="shared" si="17"/>
        <v>2000</v>
      </c>
      <c r="J312" s="153" t="s">
        <v>1157</v>
      </c>
      <c r="K312" s="150" t="s">
        <v>47</v>
      </c>
      <c r="L312" s="152"/>
      <c r="M312" s="150" t="s">
        <v>1964</v>
      </c>
      <c r="N312" s="154" t="s">
        <v>1295</v>
      </c>
      <c r="O312" s="149" t="str">
        <f>IMAGE("https://htcinstrument.com/wp-content/uploads/2021/04/HT-306L.jpg",1)</f>
        <v/>
      </c>
      <c r="P312" s="149" t="s">
        <v>1724</v>
      </c>
      <c r="Q312" s="149"/>
      <c r="R312" s="149"/>
      <c r="S312" s="149"/>
      <c r="T312" s="149"/>
      <c r="U312" s="156">
        <v>0.0</v>
      </c>
      <c r="V312" s="171" t="s">
        <v>1936</v>
      </c>
      <c r="W312" s="158">
        <f t="shared" si="19"/>
        <v>55</v>
      </c>
      <c r="X312" s="178"/>
    </row>
    <row r="313" ht="45.0" hidden="1" customHeight="1">
      <c r="A313" s="137">
        <v>312.0</v>
      </c>
      <c r="B313" s="137" t="s">
        <v>1152</v>
      </c>
      <c r="C313" s="137" t="s">
        <v>1297</v>
      </c>
      <c r="D313" s="138" t="s">
        <v>1976</v>
      </c>
      <c r="E313" s="139" t="s">
        <v>1250</v>
      </c>
      <c r="F313" s="140">
        <v>20.0</v>
      </c>
      <c r="G313" s="140">
        <v>20.0</v>
      </c>
      <c r="H313" s="161">
        <v>350.0</v>
      </c>
      <c r="I313" s="137">
        <f t="shared" si="17"/>
        <v>7000</v>
      </c>
      <c r="J313" s="141" t="s">
        <v>1157</v>
      </c>
      <c r="K313" s="138"/>
      <c r="L313" s="140" t="s">
        <v>1977</v>
      </c>
      <c r="M313" s="138" t="s">
        <v>1971</v>
      </c>
      <c r="N313" s="142" t="s">
        <v>1299</v>
      </c>
      <c r="O313" s="137" t="str">
        <f>IMAGE("https://m.media-amazon.com/images/I/71O3EMayekL.jpg",1)</f>
        <v/>
      </c>
      <c r="P313" s="132" t="s">
        <v>1684</v>
      </c>
      <c r="Q313" s="137">
        <v>1200.0</v>
      </c>
      <c r="R313" s="137"/>
      <c r="S313" s="137"/>
      <c r="T313" s="137"/>
      <c r="U313" s="137">
        <v>1.0</v>
      </c>
      <c r="V313" s="143"/>
      <c r="W313" s="144">
        <f t="shared" ref="W313:W315" si="20">G313*45</f>
        <v>900</v>
      </c>
      <c r="X313" s="176"/>
    </row>
    <row r="314" ht="45.0" hidden="1" customHeight="1">
      <c r="A314" s="137">
        <v>313.0</v>
      </c>
      <c r="B314" s="137" t="s">
        <v>1152</v>
      </c>
      <c r="C314" s="137" t="s">
        <v>1301</v>
      </c>
      <c r="D314" s="138" t="s">
        <v>1302</v>
      </c>
      <c r="E314" s="139" t="s">
        <v>1250</v>
      </c>
      <c r="F314" s="140">
        <v>1.0</v>
      </c>
      <c r="G314" s="140">
        <v>1.0</v>
      </c>
      <c r="H314" s="140">
        <v>1500.0</v>
      </c>
      <c r="I314" s="137">
        <f t="shared" si="17"/>
        <v>1500</v>
      </c>
      <c r="J314" s="141" t="s">
        <v>1157</v>
      </c>
      <c r="K314" s="138" t="s">
        <v>47</v>
      </c>
      <c r="L314" s="140"/>
      <c r="M314" s="138" t="s">
        <v>1975</v>
      </c>
      <c r="N314" s="142" t="s">
        <v>1303</v>
      </c>
      <c r="O314" s="137" t="str">
        <f>IMAGE("https://5.imimg.com/data5/XG/YW/VV/SELLER-219478/hot-plate-round-250x250.jpg",1)</f>
        <v/>
      </c>
      <c r="P314" s="132" t="s">
        <v>1684</v>
      </c>
      <c r="Q314" s="137">
        <v>60.0</v>
      </c>
      <c r="R314" s="137"/>
      <c r="S314" s="137"/>
      <c r="T314" s="137"/>
      <c r="U314" s="146">
        <v>1.0</v>
      </c>
      <c r="V314" s="143"/>
      <c r="W314" s="144">
        <f t="shared" si="20"/>
        <v>45</v>
      </c>
      <c r="X314" s="176"/>
    </row>
    <row r="315" ht="45.0" hidden="1" customHeight="1">
      <c r="A315" s="137">
        <v>314.0</v>
      </c>
      <c r="B315" s="137" t="s">
        <v>1152</v>
      </c>
      <c r="C315" s="137" t="s">
        <v>1305</v>
      </c>
      <c r="D315" s="138" t="s">
        <v>1306</v>
      </c>
      <c r="E315" s="139" t="s">
        <v>1250</v>
      </c>
      <c r="F315" s="140">
        <v>1.0</v>
      </c>
      <c r="G315" s="140">
        <v>1.0</v>
      </c>
      <c r="H315" s="140">
        <v>500.0</v>
      </c>
      <c r="I315" s="137">
        <f t="shared" si="17"/>
        <v>500</v>
      </c>
      <c r="J315" s="141" t="s">
        <v>1157</v>
      </c>
      <c r="K315" s="138"/>
      <c r="L315" s="140"/>
      <c r="M315" s="138" t="s">
        <v>1964</v>
      </c>
      <c r="N315" s="142" t="s">
        <v>1307</v>
      </c>
      <c r="O315" s="137" t="str">
        <f>IMAGE("https://image.made-in-china.com/202f0j00DeSTmvGBnZpR/Electronic-Weighing-Scale-Digital-Scale-of-High-Precision-HWA-.jpg",1)</f>
        <v/>
      </c>
      <c r="P315" s="132" t="s">
        <v>1684</v>
      </c>
      <c r="Q315" s="137"/>
      <c r="R315" s="137"/>
      <c r="S315" s="137"/>
      <c r="T315" s="137"/>
      <c r="U315" s="146">
        <v>1.0</v>
      </c>
      <c r="V315" s="143"/>
      <c r="W315" s="144">
        <f t="shared" si="20"/>
        <v>45</v>
      </c>
      <c r="X315" s="176"/>
    </row>
    <row r="316" ht="45.0" hidden="1" customHeight="1">
      <c r="A316" s="149">
        <v>315.0</v>
      </c>
      <c r="B316" s="149" t="s">
        <v>1152</v>
      </c>
      <c r="C316" s="149" t="s">
        <v>1309</v>
      </c>
      <c r="D316" s="150" t="s">
        <v>1310</v>
      </c>
      <c r="E316" s="151" t="s">
        <v>1250</v>
      </c>
      <c r="F316" s="152">
        <v>1.0</v>
      </c>
      <c r="G316" s="152">
        <v>1.0</v>
      </c>
      <c r="H316" s="152">
        <v>500.0</v>
      </c>
      <c r="I316" s="149">
        <f t="shared" si="17"/>
        <v>500</v>
      </c>
      <c r="J316" s="153" t="s">
        <v>1157</v>
      </c>
      <c r="K316" s="150" t="s">
        <v>47</v>
      </c>
      <c r="L316" s="152"/>
      <c r="M316" s="150" t="s">
        <v>1964</v>
      </c>
      <c r="N316" s="154" t="s">
        <v>1311</v>
      </c>
      <c r="O316" s="149" t="str">
        <f>IMAGE("https://m.media-amazon.com/images/I/71-uBViGV+L._SX522_.jpg",1)</f>
        <v/>
      </c>
      <c r="P316" s="159" t="s">
        <v>1724</v>
      </c>
      <c r="Q316" s="149"/>
      <c r="R316" s="149"/>
      <c r="S316" s="149"/>
      <c r="T316" s="149"/>
      <c r="U316" s="156">
        <v>0.0</v>
      </c>
      <c r="V316" s="171" t="s">
        <v>1936</v>
      </c>
      <c r="W316" s="158">
        <f>G316*55</f>
        <v>55</v>
      </c>
      <c r="X316" s="178"/>
    </row>
    <row r="317" ht="45.0" hidden="1" customHeight="1">
      <c r="A317" s="137">
        <v>316.0</v>
      </c>
      <c r="B317" s="137" t="s">
        <v>1152</v>
      </c>
      <c r="C317" s="137" t="s">
        <v>1313</v>
      </c>
      <c r="D317" s="138" t="s">
        <v>1314</v>
      </c>
      <c r="E317" s="139" t="s">
        <v>1250</v>
      </c>
      <c r="F317" s="137">
        <v>1.0</v>
      </c>
      <c r="G317" s="137">
        <v>1.0</v>
      </c>
      <c r="H317" s="137">
        <v>12500.0</v>
      </c>
      <c r="I317" s="137">
        <f t="shared" si="17"/>
        <v>12500</v>
      </c>
      <c r="J317" s="141" t="s">
        <v>1157</v>
      </c>
      <c r="K317" s="138"/>
      <c r="L317" s="140"/>
      <c r="M317" s="138" t="s">
        <v>1971</v>
      </c>
      <c r="N317" s="142" t="s">
        <v>1315</v>
      </c>
      <c r="O317" s="137" t="str">
        <f>IMAGE("https://m.media-amazon.com/images/I/61MstERkLZL._SL1500_.jpg",1)</f>
        <v/>
      </c>
      <c r="P317" s="137"/>
      <c r="Q317" s="137"/>
      <c r="R317" s="137"/>
      <c r="S317" s="137"/>
      <c r="T317" s="137"/>
      <c r="U317" s="146">
        <v>1.0</v>
      </c>
      <c r="V317" s="143"/>
      <c r="W317" s="144">
        <f t="shared" ref="W317:W400" si="21">G317*45</f>
        <v>45</v>
      </c>
      <c r="X317" s="176"/>
    </row>
    <row r="318" ht="45.0" hidden="1" customHeight="1">
      <c r="A318" s="149">
        <v>317.0</v>
      </c>
      <c r="B318" s="149" t="s">
        <v>1152</v>
      </c>
      <c r="C318" s="149" t="s">
        <v>1317</v>
      </c>
      <c r="D318" s="150" t="s">
        <v>1318</v>
      </c>
      <c r="E318" s="151" t="s">
        <v>1250</v>
      </c>
      <c r="F318" s="152">
        <v>2.0</v>
      </c>
      <c r="G318" s="152">
        <v>2.0</v>
      </c>
      <c r="H318" s="152">
        <v>160.0</v>
      </c>
      <c r="I318" s="149">
        <f t="shared" si="17"/>
        <v>320</v>
      </c>
      <c r="J318" s="153" t="s">
        <v>347</v>
      </c>
      <c r="K318" s="150"/>
      <c r="L318" s="152"/>
      <c r="M318" s="150" t="s">
        <v>1964</v>
      </c>
      <c r="N318" s="154" t="s">
        <v>1319</v>
      </c>
      <c r="O318" s="149" t="str">
        <f>IMAGE("https://5.imimg.com/data5/UM/JA/MY-39609002/screw-gauge-500x500.jpg",1)</f>
        <v/>
      </c>
      <c r="P318" s="149"/>
      <c r="Q318" s="149"/>
      <c r="R318" s="149"/>
      <c r="S318" s="149"/>
      <c r="T318" s="149"/>
      <c r="U318" s="156">
        <v>0.0</v>
      </c>
      <c r="V318" s="157"/>
      <c r="W318" s="158">
        <f t="shared" si="21"/>
        <v>90</v>
      </c>
      <c r="X318" s="175"/>
    </row>
    <row r="319" ht="45.0" hidden="1" customHeight="1">
      <c r="A319" s="149">
        <v>318.0</v>
      </c>
      <c r="B319" s="149" t="s">
        <v>1152</v>
      </c>
      <c r="C319" s="149" t="s">
        <v>1321</v>
      </c>
      <c r="D319" s="150" t="s">
        <v>1322</v>
      </c>
      <c r="E319" s="151" t="s">
        <v>1250</v>
      </c>
      <c r="F319" s="152">
        <v>1.0</v>
      </c>
      <c r="G319" s="152">
        <v>1.0</v>
      </c>
      <c r="H319" s="152">
        <v>1000.0</v>
      </c>
      <c r="I319" s="149">
        <f t="shared" si="17"/>
        <v>1000</v>
      </c>
      <c r="J319" s="153" t="s">
        <v>1157</v>
      </c>
      <c r="K319" s="150"/>
      <c r="L319" s="152"/>
      <c r="M319" s="150" t="s">
        <v>1971</v>
      </c>
      <c r="N319" s="154"/>
      <c r="O319" s="149" t="str">
        <f>IMAGE("https://m.media-amazon.com/images/I/61yYBr4qxBL._SL1276_.jpg",1)</f>
        <v/>
      </c>
      <c r="P319" s="159" t="s">
        <v>1684</v>
      </c>
      <c r="Q319" s="149">
        <v>120.0</v>
      </c>
      <c r="R319" s="149"/>
      <c r="S319" s="149"/>
      <c r="T319" s="149"/>
      <c r="U319" s="156">
        <v>0.0</v>
      </c>
      <c r="V319" s="171" t="s">
        <v>1936</v>
      </c>
      <c r="W319" s="158">
        <f t="shared" si="21"/>
        <v>45</v>
      </c>
      <c r="X319" s="178"/>
    </row>
    <row r="320" ht="45.0" hidden="1" customHeight="1">
      <c r="A320" s="137">
        <v>319.0</v>
      </c>
      <c r="B320" s="137" t="s">
        <v>342</v>
      </c>
      <c r="C320" s="137" t="s">
        <v>1324</v>
      </c>
      <c r="D320" s="138" t="s">
        <v>1325</v>
      </c>
      <c r="E320" s="139" t="s">
        <v>1250</v>
      </c>
      <c r="F320" s="140">
        <v>1.0</v>
      </c>
      <c r="G320" s="140">
        <v>1.0</v>
      </c>
      <c r="H320" s="140">
        <v>2000.0</v>
      </c>
      <c r="I320" s="137">
        <f t="shared" si="17"/>
        <v>2000</v>
      </c>
      <c r="J320" s="141" t="s">
        <v>347</v>
      </c>
      <c r="K320" s="138"/>
      <c r="L320" s="140"/>
      <c r="M320" s="138" t="s">
        <v>1964</v>
      </c>
      <c r="N320" s="142" t="s">
        <v>1326</v>
      </c>
      <c r="O320" s="137" t="e">
        <v>#VALUE!</v>
      </c>
      <c r="P320" s="132" t="s">
        <v>1684</v>
      </c>
      <c r="Q320" s="137">
        <v>60.0</v>
      </c>
      <c r="R320" s="137"/>
      <c r="S320" s="137"/>
      <c r="T320" s="137"/>
      <c r="U320" s="146">
        <v>1.0</v>
      </c>
      <c r="V320" s="143"/>
      <c r="W320" s="144">
        <f t="shared" si="21"/>
        <v>45</v>
      </c>
      <c r="X320" s="176"/>
    </row>
    <row r="321" ht="45.0" hidden="1" customHeight="1">
      <c r="A321" s="137">
        <v>320.0</v>
      </c>
      <c r="B321" s="137" t="s">
        <v>173</v>
      </c>
      <c r="C321" s="137" t="s">
        <v>1328</v>
      </c>
      <c r="D321" s="138" t="s">
        <v>1329</v>
      </c>
      <c r="E321" s="139" t="s">
        <v>1330</v>
      </c>
      <c r="F321" s="137">
        <v>100.0</v>
      </c>
      <c r="G321" s="137">
        <v>100.0</v>
      </c>
      <c r="H321" s="137">
        <v>10.0</v>
      </c>
      <c r="I321" s="137">
        <f t="shared" si="17"/>
        <v>1000</v>
      </c>
      <c r="J321" s="141" t="s">
        <v>178</v>
      </c>
      <c r="K321" s="138" t="s">
        <v>65</v>
      </c>
      <c r="L321" s="140" t="s">
        <v>1345</v>
      </c>
      <c r="M321" s="138" t="s">
        <v>1331</v>
      </c>
      <c r="N321" s="142" t="s">
        <v>1332</v>
      </c>
      <c r="O321" s="137" t="str">
        <f>IMAGE("https://m.media-amazon.com/images/I/61vUDUTouNL._SL1500_.jpg",1)</f>
        <v/>
      </c>
      <c r="P321" s="137" t="s">
        <v>56</v>
      </c>
      <c r="Q321" s="137"/>
      <c r="R321" s="137"/>
      <c r="S321" s="137"/>
      <c r="T321" s="137"/>
      <c r="U321" s="146">
        <v>1.0</v>
      </c>
      <c r="V321" s="143"/>
      <c r="W321" s="144">
        <f t="shared" si="21"/>
        <v>4500</v>
      </c>
      <c r="X321" s="176"/>
    </row>
    <row r="322" ht="45.0" hidden="1" customHeight="1">
      <c r="A322" s="137">
        <v>321.0</v>
      </c>
      <c r="B322" s="137" t="s">
        <v>173</v>
      </c>
      <c r="C322" s="137" t="s">
        <v>1334</v>
      </c>
      <c r="D322" s="138" t="s">
        <v>1335</v>
      </c>
      <c r="E322" s="139" t="s">
        <v>1330</v>
      </c>
      <c r="F322" s="137">
        <v>100.0</v>
      </c>
      <c r="G322" s="137">
        <v>100.0</v>
      </c>
      <c r="H322" s="137">
        <v>35.0</v>
      </c>
      <c r="I322" s="137">
        <f t="shared" si="17"/>
        <v>3500</v>
      </c>
      <c r="J322" s="141" t="s">
        <v>178</v>
      </c>
      <c r="K322" s="138"/>
      <c r="L322" s="140" t="s">
        <v>1345</v>
      </c>
      <c r="M322" s="138" t="s">
        <v>1331</v>
      </c>
      <c r="N322" s="142" t="s">
        <v>1336</v>
      </c>
      <c r="O322" s="137" t="str">
        <f>IMAGE("https://m.media-amazon.com/images/I/31ye7Xw2PpL.jpg",1)</f>
        <v/>
      </c>
      <c r="P322" s="137"/>
      <c r="Q322" s="137"/>
      <c r="R322" s="137"/>
      <c r="S322" s="137"/>
      <c r="T322" s="137"/>
      <c r="U322" s="146">
        <v>1.0</v>
      </c>
      <c r="V322" s="143"/>
      <c r="W322" s="144">
        <f t="shared" si="21"/>
        <v>4500</v>
      </c>
      <c r="X322" s="176"/>
    </row>
    <row r="323" ht="45.0" hidden="1" customHeight="1">
      <c r="A323" s="149">
        <v>322.0</v>
      </c>
      <c r="B323" s="149" t="s">
        <v>173</v>
      </c>
      <c r="C323" s="149" t="s">
        <v>1338</v>
      </c>
      <c r="D323" s="150" t="s">
        <v>1339</v>
      </c>
      <c r="E323" s="151" t="s">
        <v>1330</v>
      </c>
      <c r="F323" s="149">
        <v>10.0</v>
      </c>
      <c r="G323" s="149">
        <v>10.0</v>
      </c>
      <c r="H323" s="149">
        <v>100.0</v>
      </c>
      <c r="I323" s="149">
        <f t="shared" si="17"/>
        <v>1000</v>
      </c>
      <c r="J323" s="153" t="s">
        <v>178</v>
      </c>
      <c r="K323" s="150" t="s">
        <v>65</v>
      </c>
      <c r="L323" s="152" t="s">
        <v>1978</v>
      </c>
      <c r="M323" s="150" t="s">
        <v>1331</v>
      </c>
      <c r="N323" s="154" t="s">
        <v>1341</v>
      </c>
      <c r="O323" s="149" t="str">
        <f>IMAGE("https://m.media-amazon.com/images/I/414cC-M+nlL._SL1000_.jpg",1)</f>
        <v/>
      </c>
      <c r="P323" s="149"/>
      <c r="Q323" s="149"/>
      <c r="R323" s="149"/>
      <c r="S323" s="149"/>
      <c r="T323" s="149"/>
      <c r="U323" s="156">
        <v>0.0</v>
      </c>
      <c r="V323" s="157"/>
      <c r="W323" s="158">
        <f t="shared" si="21"/>
        <v>450</v>
      </c>
      <c r="X323" s="175"/>
    </row>
    <row r="324" ht="45.0" hidden="1" customHeight="1">
      <c r="A324" s="137">
        <v>323.0</v>
      </c>
      <c r="B324" s="137" t="s">
        <v>173</v>
      </c>
      <c r="C324" s="137" t="s">
        <v>1343</v>
      </c>
      <c r="D324" s="138" t="s">
        <v>1344</v>
      </c>
      <c r="E324" s="139" t="s">
        <v>1330</v>
      </c>
      <c r="F324" s="137">
        <v>100.0</v>
      </c>
      <c r="G324" s="137">
        <v>100.0</v>
      </c>
      <c r="H324" s="137">
        <v>20.0</v>
      </c>
      <c r="I324" s="137">
        <f t="shared" si="17"/>
        <v>2000</v>
      </c>
      <c r="J324" s="141" t="s">
        <v>178</v>
      </c>
      <c r="K324" s="138" t="s">
        <v>65</v>
      </c>
      <c r="L324" s="140" t="s">
        <v>1345</v>
      </c>
      <c r="M324" s="138" t="s">
        <v>1331</v>
      </c>
      <c r="N324" s="142" t="s">
        <v>1347</v>
      </c>
      <c r="O324" s="137" t="str">
        <f>IMAGE("https://m.media-amazon.com/images/I/31nb9BadkoL.jpg",1)</f>
        <v/>
      </c>
      <c r="P324" s="137"/>
      <c r="Q324" s="137"/>
      <c r="R324" s="137"/>
      <c r="S324" s="137"/>
      <c r="T324" s="137"/>
      <c r="U324" s="146">
        <v>1.0</v>
      </c>
      <c r="V324" s="143"/>
      <c r="W324" s="144">
        <f t="shared" si="21"/>
        <v>4500</v>
      </c>
      <c r="X324" s="176"/>
    </row>
    <row r="325" ht="45.0" hidden="1" customHeight="1">
      <c r="A325" s="137">
        <v>324.0</v>
      </c>
      <c r="B325" s="137" t="s">
        <v>342</v>
      </c>
      <c r="C325" s="137" t="s">
        <v>1349</v>
      </c>
      <c r="D325" s="138" t="s">
        <v>1350</v>
      </c>
      <c r="E325" s="139" t="s">
        <v>1330</v>
      </c>
      <c r="F325" s="137">
        <v>1.0</v>
      </c>
      <c r="G325" s="137">
        <v>1.0</v>
      </c>
      <c r="H325" s="137">
        <v>1000.0</v>
      </c>
      <c r="I325" s="137">
        <f t="shared" si="17"/>
        <v>1000</v>
      </c>
      <c r="J325" s="141" t="s">
        <v>347</v>
      </c>
      <c r="K325" s="138" t="s">
        <v>47</v>
      </c>
      <c r="L325" s="140" t="s">
        <v>65</v>
      </c>
      <c r="M325" s="138" t="s">
        <v>1331</v>
      </c>
      <c r="N325" s="142" t="s">
        <v>1351</v>
      </c>
      <c r="O325" s="137" t="str">
        <f>IMAGE("https://5.imimg.com/data5/SELLER/Default/2023/1/CR/QN/CU/119456209/b22-cap-punching-tool-1000x1000.jpg",1)</f>
        <v/>
      </c>
      <c r="P325" s="137"/>
      <c r="Q325" s="137"/>
      <c r="R325" s="137"/>
      <c r="S325" s="137"/>
      <c r="T325" s="137"/>
      <c r="U325" s="146">
        <v>1.0</v>
      </c>
      <c r="V325" s="143"/>
      <c r="W325" s="144">
        <f t="shared" si="21"/>
        <v>45</v>
      </c>
      <c r="X325" s="176"/>
    </row>
    <row r="326" ht="45.0" hidden="1" customHeight="1">
      <c r="A326" s="137">
        <v>325.0</v>
      </c>
      <c r="B326" s="137" t="s">
        <v>342</v>
      </c>
      <c r="C326" s="137" t="s">
        <v>1353</v>
      </c>
      <c r="D326" s="138" t="s">
        <v>1354</v>
      </c>
      <c r="E326" s="139" t="s">
        <v>1330</v>
      </c>
      <c r="F326" s="137">
        <v>1.0</v>
      </c>
      <c r="G326" s="137">
        <v>1.0</v>
      </c>
      <c r="H326" s="137">
        <v>1800.0</v>
      </c>
      <c r="I326" s="137">
        <f t="shared" si="17"/>
        <v>1800</v>
      </c>
      <c r="J326" s="141" t="s">
        <v>347</v>
      </c>
      <c r="K326" s="138" t="s">
        <v>47</v>
      </c>
      <c r="L326" s="140"/>
      <c r="M326" s="138" t="s">
        <v>1331</v>
      </c>
      <c r="N326" s="142" t="s">
        <v>1355</v>
      </c>
      <c r="O326" s="137" t="str">
        <f>IMAGE("https://m.media-amazon.com/images/I/31xTdt3sfiL.jpg",1)</f>
        <v/>
      </c>
      <c r="P326" s="137"/>
      <c r="Q326" s="137"/>
      <c r="R326" s="137"/>
      <c r="S326" s="137"/>
      <c r="T326" s="137"/>
      <c r="U326" s="146">
        <v>1.0</v>
      </c>
      <c r="V326" s="143"/>
      <c r="W326" s="144">
        <f t="shared" si="21"/>
        <v>45</v>
      </c>
      <c r="X326" s="176"/>
    </row>
    <row r="327" ht="45.0" customHeight="1">
      <c r="A327" s="137">
        <v>326.0</v>
      </c>
      <c r="B327" s="137" t="s">
        <v>173</v>
      </c>
      <c r="C327" s="137" t="s">
        <v>1357</v>
      </c>
      <c r="D327" s="138" t="s">
        <v>1358</v>
      </c>
      <c r="E327" s="139" t="s">
        <v>1359</v>
      </c>
      <c r="F327" s="140">
        <v>15.0</v>
      </c>
      <c r="G327" s="140">
        <v>15.0</v>
      </c>
      <c r="H327" s="140">
        <v>250.0</v>
      </c>
      <c r="I327" s="137">
        <f t="shared" si="17"/>
        <v>3750</v>
      </c>
      <c r="J327" s="141" t="s">
        <v>178</v>
      </c>
      <c r="K327" s="138"/>
      <c r="L327" s="140" t="s">
        <v>22</v>
      </c>
      <c r="M327" s="138" t="s">
        <v>1954</v>
      </c>
      <c r="N327" s="142" t="s">
        <v>1360</v>
      </c>
      <c r="O327" s="137" t="str">
        <f>IMAGE("https://robu.in/wp-content/uploads/2017/11/mg995-high-speed-digital-metal-gear-2bb-torque-rc-for-servo-hpi-savage-xl-2.jpg",1)</f>
        <v/>
      </c>
      <c r="P327" s="137" t="s">
        <v>1688</v>
      </c>
      <c r="Q327" s="137"/>
      <c r="R327" s="137"/>
      <c r="S327" s="137"/>
      <c r="T327" s="137"/>
      <c r="U327" s="137">
        <v>1.0</v>
      </c>
      <c r="V327" s="143"/>
      <c r="W327" s="144">
        <f t="shared" si="21"/>
        <v>675</v>
      </c>
      <c r="X327" s="176"/>
    </row>
    <row r="328" ht="45.0" customHeight="1">
      <c r="A328" s="137">
        <v>327.0</v>
      </c>
      <c r="B328" s="137" t="s">
        <v>173</v>
      </c>
      <c r="C328" s="137" t="s">
        <v>1362</v>
      </c>
      <c r="D328" s="138" t="s">
        <v>1363</v>
      </c>
      <c r="E328" s="139" t="s">
        <v>1359</v>
      </c>
      <c r="F328" s="140">
        <v>30.0</v>
      </c>
      <c r="G328" s="140">
        <v>30.0</v>
      </c>
      <c r="H328" s="140">
        <v>55.0</v>
      </c>
      <c r="I328" s="137">
        <f t="shared" si="17"/>
        <v>1650</v>
      </c>
      <c r="J328" s="141" t="s">
        <v>178</v>
      </c>
      <c r="K328" s="138"/>
      <c r="L328" s="140" t="s">
        <v>249</v>
      </c>
      <c r="M328" s="138" t="s">
        <v>1954</v>
      </c>
      <c r="N328" s="142" t="s">
        <v>1364</v>
      </c>
      <c r="O328" s="137" t="str">
        <f t="shared" ref="O328:O329" si="22">IMAGE("https://m.media-amazon.com/images/W/MEDIAX_792452-T2/images/I/21bgQSzvxLL.jpg",1)</f>
        <v/>
      </c>
      <c r="P328" s="137" t="s">
        <v>1688</v>
      </c>
      <c r="Q328" s="137"/>
      <c r="R328" s="137"/>
      <c r="S328" s="137"/>
      <c r="T328" s="137"/>
      <c r="U328" s="137">
        <v>1.0</v>
      </c>
      <c r="V328" s="143"/>
      <c r="W328" s="144">
        <f t="shared" si="21"/>
        <v>1350</v>
      </c>
      <c r="X328" s="176"/>
    </row>
    <row r="329" ht="45.0" customHeight="1">
      <c r="A329" s="137">
        <v>328.0</v>
      </c>
      <c r="B329" s="137" t="s">
        <v>173</v>
      </c>
      <c r="C329" s="137" t="s">
        <v>1366</v>
      </c>
      <c r="D329" s="138" t="s">
        <v>1367</v>
      </c>
      <c r="E329" s="139" t="s">
        <v>1359</v>
      </c>
      <c r="F329" s="140">
        <v>30.0</v>
      </c>
      <c r="G329" s="140">
        <v>30.0</v>
      </c>
      <c r="H329" s="140">
        <v>55.0</v>
      </c>
      <c r="I329" s="137">
        <f t="shared" si="17"/>
        <v>1650</v>
      </c>
      <c r="J329" s="141" t="s">
        <v>178</v>
      </c>
      <c r="K329" s="138"/>
      <c r="L329" s="140" t="s">
        <v>249</v>
      </c>
      <c r="M329" s="138" t="s">
        <v>1954</v>
      </c>
      <c r="N329" s="142" t="s">
        <v>1369</v>
      </c>
      <c r="O329" s="137" t="str">
        <f t="shared" si="22"/>
        <v/>
      </c>
      <c r="P329" s="137" t="s">
        <v>1688</v>
      </c>
      <c r="Q329" s="137"/>
      <c r="R329" s="137"/>
      <c r="S329" s="137"/>
      <c r="T329" s="137"/>
      <c r="U329" s="137">
        <v>1.0</v>
      </c>
      <c r="V329" s="143"/>
      <c r="W329" s="144">
        <f t="shared" si="21"/>
        <v>1350</v>
      </c>
      <c r="X329" s="176"/>
    </row>
    <row r="330" ht="45.0" customHeight="1">
      <c r="A330" s="137">
        <v>329.0</v>
      </c>
      <c r="B330" s="137" t="s">
        <v>173</v>
      </c>
      <c r="C330" s="137" t="s">
        <v>1371</v>
      </c>
      <c r="D330" s="138" t="s">
        <v>1372</v>
      </c>
      <c r="E330" s="139" t="s">
        <v>1359</v>
      </c>
      <c r="F330" s="140">
        <v>30.0</v>
      </c>
      <c r="G330" s="140">
        <v>30.0</v>
      </c>
      <c r="H330" s="140">
        <v>30.0</v>
      </c>
      <c r="I330" s="137">
        <f t="shared" si="17"/>
        <v>900</v>
      </c>
      <c r="J330" s="141" t="s">
        <v>178</v>
      </c>
      <c r="K330" s="138"/>
      <c r="L330" s="140" t="s">
        <v>22</v>
      </c>
      <c r="M330" s="138" t="s">
        <v>1954</v>
      </c>
      <c r="N330" s="142" t="s">
        <v>1373</v>
      </c>
      <c r="O330" s="137" t="str">
        <f>IMAGE("https://5.imimg.com/data5/DJ/PF/TV/SELLER-95692783/bo-wheel-500x500.jpg",1)</f>
        <v/>
      </c>
      <c r="P330" s="137" t="s">
        <v>1688</v>
      </c>
      <c r="Q330" s="137"/>
      <c r="R330" s="137"/>
      <c r="S330" s="137"/>
      <c r="T330" s="137"/>
      <c r="U330" s="137">
        <v>1.0</v>
      </c>
      <c r="V330" s="143"/>
      <c r="W330" s="144">
        <f t="shared" si="21"/>
        <v>1350</v>
      </c>
      <c r="X330" s="176"/>
    </row>
    <row r="331" ht="45.0" customHeight="1">
      <c r="A331" s="137">
        <v>330.0</v>
      </c>
      <c r="B331" s="137" t="s">
        <v>173</v>
      </c>
      <c r="C331" s="137" t="s">
        <v>1375</v>
      </c>
      <c r="D331" s="138" t="s">
        <v>1376</v>
      </c>
      <c r="E331" s="139" t="s">
        <v>1359</v>
      </c>
      <c r="F331" s="140">
        <v>20.0</v>
      </c>
      <c r="G331" s="140">
        <v>20.0</v>
      </c>
      <c r="H331" s="140">
        <v>50.0</v>
      </c>
      <c r="I331" s="137">
        <f t="shared" si="17"/>
        <v>1000</v>
      </c>
      <c r="J331" s="141" t="s">
        <v>178</v>
      </c>
      <c r="K331" s="138"/>
      <c r="L331" s="140" t="s">
        <v>193</v>
      </c>
      <c r="M331" s="138" t="s">
        <v>1954</v>
      </c>
      <c r="N331" s="142" t="s">
        <v>1377</v>
      </c>
      <c r="O331" s="137" t="str">
        <f>IMAGE("https://aryabot.in/wp-content/uploads/2023/10/castor-wheel-big-550x550w.webp",1)</f>
        <v/>
      </c>
      <c r="P331" s="137" t="s">
        <v>1688</v>
      </c>
      <c r="Q331" s="137"/>
      <c r="R331" s="137"/>
      <c r="S331" s="137"/>
      <c r="T331" s="137"/>
      <c r="U331" s="137">
        <v>1.0</v>
      </c>
      <c r="V331" s="143"/>
      <c r="W331" s="144">
        <f t="shared" si="21"/>
        <v>900</v>
      </c>
      <c r="X331" s="176"/>
    </row>
    <row r="332" ht="45.0" customHeight="1">
      <c r="A332" s="137">
        <v>331.0</v>
      </c>
      <c r="B332" s="137" t="s">
        <v>173</v>
      </c>
      <c r="C332" s="137" t="s">
        <v>1379</v>
      </c>
      <c r="D332" s="138" t="s">
        <v>1380</v>
      </c>
      <c r="E332" s="139" t="s">
        <v>1359</v>
      </c>
      <c r="F332" s="140">
        <v>10.0</v>
      </c>
      <c r="G332" s="140">
        <v>10.0</v>
      </c>
      <c r="H332" s="140">
        <v>20.0</v>
      </c>
      <c r="I332" s="137">
        <f t="shared" si="17"/>
        <v>200</v>
      </c>
      <c r="J332" s="141" t="s">
        <v>178</v>
      </c>
      <c r="K332" s="138"/>
      <c r="L332" s="140" t="s">
        <v>193</v>
      </c>
      <c r="M332" s="138" t="s">
        <v>1954</v>
      </c>
      <c r="N332" s="142" t="s">
        <v>1381</v>
      </c>
      <c r="O332" s="137" t="str">
        <f>IMAGE("https://robu.in/wp-content/uploads/2020/09/DC3-6V-130-DIY-Toy-Motor-2-Pcs.-1.png",1)</f>
        <v/>
      </c>
      <c r="P332" s="137" t="s">
        <v>1688</v>
      </c>
      <c r="Q332" s="147"/>
      <c r="R332" s="147"/>
      <c r="S332" s="137"/>
      <c r="T332" s="137"/>
      <c r="U332" s="137">
        <v>1.0</v>
      </c>
      <c r="V332" s="143"/>
      <c r="W332" s="144">
        <f t="shared" si="21"/>
        <v>450</v>
      </c>
      <c r="X332" s="176"/>
    </row>
    <row r="333" ht="45.0" customHeight="1">
      <c r="A333" s="137">
        <v>332.0</v>
      </c>
      <c r="B333" s="137" t="s">
        <v>173</v>
      </c>
      <c r="C333" s="137" t="s">
        <v>1383</v>
      </c>
      <c r="D333" s="138" t="s">
        <v>1384</v>
      </c>
      <c r="E333" s="139" t="s">
        <v>1359</v>
      </c>
      <c r="F333" s="140">
        <v>30.0</v>
      </c>
      <c r="G333" s="140">
        <v>30.0</v>
      </c>
      <c r="H333" s="140">
        <v>250.0</v>
      </c>
      <c r="I333" s="137">
        <f t="shared" si="17"/>
        <v>7500</v>
      </c>
      <c r="J333" s="141" t="s">
        <v>178</v>
      </c>
      <c r="K333" s="138"/>
      <c r="L333" s="140"/>
      <c r="M333" s="138" t="s">
        <v>1954</v>
      </c>
      <c r="N333" s="142" t="s">
        <v>1385</v>
      </c>
      <c r="O333" s="137" t="str">
        <f>IMAGE("https://i0.wp.com/www.circuituncle.com/wp-content/uploads/2019/10/mg90s.png?fit=1001%2C1001&amp;ssl=1",1)</f>
        <v/>
      </c>
      <c r="P333" s="137" t="s">
        <v>1688</v>
      </c>
      <c r="Q333" s="137"/>
      <c r="R333" s="137"/>
      <c r="S333" s="137"/>
      <c r="T333" s="137"/>
      <c r="U333" s="137">
        <v>1.0</v>
      </c>
      <c r="V333" s="143"/>
      <c r="W333" s="144">
        <f t="shared" si="21"/>
        <v>1350</v>
      </c>
      <c r="X333" s="176"/>
    </row>
    <row r="334" ht="45.0" customHeight="1">
      <c r="A334" s="137">
        <v>333.0</v>
      </c>
      <c r="B334" s="137" t="s">
        <v>173</v>
      </c>
      <c r="C334" s="137" t="s">
        <v>1387</v>
      </c>
      <c r="D334" s="138" t="s">
        <v>1388</v>
      </c>
      <c r="E334" s="139" t="s">
        <v>1359</v>
      </c>
      <c r="F334" s="140">
        <v>5.0</v>
      </c>
      <c r="G334" s="140">
        <v>5.0</v>
      </c>
      <c r="H334" s="140">
        <v>90.0</v>
      </c>
      <c r="I334" s="137">
        <f t="shared" si="17"/>
        <v>450</v>
      </c>
      <c r="J334" s="141" t="s">
        <v>178</v>
      </c>
      <c r="K334" s="138"/>
      <c r="L334" s="140" t="s">
        <v>599</v>
      </c>
      <c r="M334" s="138" t="s">
        <v>1954</v>
      </c>
      <c r="N334" s="142"/>
      <c r="O334" s="137" t="str">
        <f>IMAGE("https://robu.in/wp-content/uploads/2016/04/61nEdk-NxSL._SY355_.jpg",1)</f>
        <v/>
      </c>
      <c r="P334" s="137" t="s">
        <v>1688</v>
      </c>
      <c r="Q334" s="137"/>
      <c r="R334" s="137"/>
      <c r="S334" s="137"/>
      <c r="T334" s="137"/>
      <c r="U334" s="137">
        <v>1.0</v>
      </c>
      <c r="V334" s="143"/>
      <c r="W334" s="144">
        <f t="shared" si="21"/>
        <v>225</v>
      </c>
      <c r="X334" s="176"/>
    </row>
    <row r="335" ht="45.0" customHeight="1">
      <c r="A335" s="149">
        <v>334.0</v>
      </c>
      <c r="B335" s="149" t="s">
        <v>173</v>
      </c>
      <c r="C335" s="149" t="s">
        <v>1390</v>
      </c>
      <c r="D335" s="177" t="s">
        <v>1979</v>
      </c>
      <c r="E335" s="151" t="s">
        <v>1359</v>
      </c>
      <c r="F335" s="172">
        <v>26.0</v>
      </c>
      <c r="G335" s="173">
        <v>21.0</v>
      </c>
      <c r="H335" s="149">
        <v>750.0</v>
      </c>
      <c r="I335" s="149">
        <f t="shared" si="17"/>
        <v>15750</v>
      </c>
      <c r="J335" s="153" t="s">
        <v>178</v>
      </c>
      <c r="K335" s="150"/>
      <c r="L335" s="152" t="s">
        <v>249</v>
      </c>
      <c r="M335" s="150" t="s">
        <v>1954</v>
      </c>
      <c r="N335" s="154" t="s">
        <v>1392</v>
      </c>
      <c r="O335" s="149" t="str">
        <f>IMAGE("https://robu.in/wp-content/uploads/2023/09/34.jpg",1)</f>
        <v/>
      </c>
      <c r="P335" s="149"/>
      <c r="Q335" s="149"/>
      <c r="R335" s="149"/>
      <c r="S335" s="149"/>
      <c r="T335" s="149"/>
      <c r="U335" s="156">
        <v>0.0</v>
      </c>
      <c r="V335" s="171" t="s">
        <v>1936</v>
      </c>
      <c r="W335" s="158">
        <f t="shared" si="21"/>
        <v>945</v>
      </c>
      <c r="X335" s="178"/>
    </row>
    <row r="336" ht="45.0" customHeight="1">
      <c r="A336" s="137">
        <v>335.0</v>
      </c>
      <c r="B336" s="137" t="s">
        <v>173</v>
      </c>
      <c r="C336" s="137" t="s">
        <v>1394</v>
      </c>
      <c r="D336" s="138" t="s">
        <v>1395</v>
      </c>
      <c r="E336" s="139" t="s">
        <v>1359</v>
      </c>
      <c r="F336" s="140">
        <v>15.0</v>
      </c>
      <c r="G336" s="140">
        <v>15.0</v>
      </c>
      <c r="H336" s="140">
        <v>400.0</v>
      </c>
      <c r="I336" s="137">
        <f t="shared" si="17"/>
        <v>6000</v>
      </c>
      <c r="J336" s="141" t="s">
        <v>178</v>
      </c>
      <c r="K336" s="138"/>
      <c r="L336" s="140" t="s">
        <v>249</v>
      </c>
      <c r="M336" s="138" t="s">
        <v>1954</v>
      </c>
      <c r="N336" s="142" t="s">
        <v>1396</v>
      </c>
      <c r="O336" s="137" t="str">
        <f>IMAGE("https://cdn.shopify.com/s/files/1/0088/0056/7392/products/Stepper_motor_with_Driver_board.jpg?v=1552579276",1)</f>
        <v/>
      </c>
      <c r="P336" s="137" t="s">
        <v>1688</v>
      </c>
      <c r="Q336" s="137"/>
      <c r="R336" s="137"/>
      <c r="S336" s="137"/>
      <c r="T336" s="137"/>
      <c r="U336" s="137">
        <v>1.0</v>
      </c>
      <c r="V336" s="143"/>
      <c r="W336" s="144">
        <f t="shared" si="21"/>
        <v>675</v>
      </c>
      <c r="X336" s="176"/>
    </row>
    <row r="337" ht="45.0" hidden="1" customHeight="1">
      <c r="A337" s="149">
        <v>336.0</v>
      </c>
      <c r="B337" s="149" t="s">
        <v>342</v>
      </c>
      <c r="C337" s="149" t="s">
        <v>1398</v>
      </c>
      <c r="D337" s="150" t="s">
        <v>1399</v>
      </c>
      <c r="E337" s="151" t="s">
        <v>1400</v>
      </c>
      <c r="F337" s="149">
        <v>1.0</v>
      </c>
      <c r="G337" s="149">
        <v>1.0</v>
      </c>
      <c r="H337" s="149"/>
      <c r="I337" s="149">
        <f t="shared" si="17"/>
        <v>0</v>
      </c>
      <c r="J337" s="153" t="s">
        <v>347</v>
      </c>
      <c r="K337" s="150"/>
      <c r="L337" s="152"/>
      <c r="M337" s="150" t="s">
        <v>1980</v>
      </c>
      <c r="N337" s="154" t="s">
        <v>1401</v>
      </c>
      <c r="O337" s="149" t="str">
        <f>IMAGE("https://m.media-amazon.com/images/I/41giw5t2ycL.jpg",1)</f>
        <v/>
      </c>
      <c r="P337" s="159" t="s">
        <v>1689</v>
      </c>
      <c r="Q337" s="149"/>
      <c r="R337" s="149"/>
      <c r="S337" s="149"/>
      <c r="T337" s="149"/>
      <c r="U337" s="156">
        <v>0.0</v>
      </c>
      <c r="V337" s="171" t="s">
        <v>1689</v>
      </c>
      <c r="W337" s="158">
        <f t="shared" si="21"/>
        <v>45</v>
      </c>
      <c r="X337" s="175"/>
    </row>
    <row r="338" ht="45.0" hidden="1" customHeight="1">
      <c r="A338" s="149">
        <v>337.0</v>
      </c>
      <c r="B338" s="149" t="s">
        <v>342</v>
      </c>
      <c r="C338" s="149" t="s">
        <v>1403</v>
      </c>
      <c r="D338" s="150" t="s">
        <v>1404</v>
      </c>
      <c r="E338" s="151" t="s">
        <v>1400</v>
      </c>
      <c r="F338" s="149">
        <v>1.0</v>
      </c>
      <c r="G338" s="149">
        <v>1.0</v>
      </c>
      <c r="H338" s="149">
        <v>700.0</v>
      </c>
      <c r="I338" s="149">
        <f t="shared" si="17"/>
        <v>700</v>
      </c>
      <c r="J338" s="153" t="s">
        <v>347</v>
      </c>
      <c r="K338" s="150"/>
      <c r="L338" s="152"/>
      <c r="M338" s="150" t="s">
        <v>1980</v>
      </c>
      <c r="N338" s="154"/>
      <c r="O338" s="149" t="str">
        <f>IMAGE("https://m.media-amazon.com/images/I/71vAZkeQh9L._SL1500_.jpg",1)</f>
        <v/>
      </c>
      <c r="P338" s="159" t="s">
        <v>1689</v>
      </c>
      <c r="Q338" s="149"/>
      <c r="R338" s="149"/>
      <c r="S338" s="149"/>
      <c r="T338" s="149"/>
      <c r="U338" s="156">
        <v>0.0</v>
      </c>
      <c r="V338" s="171" t="s">
        <v>1689</v>
      </c>
      <c r="W338" s="158">
        <f t="shared" si="21"/>
        <v>45</v>
      </c>
      <c r="X338" s="175"/>
    </row>
    <row r="339" ht="45.0" hidden="1" customHeight="1">
      <c r="A339" s="149">
        <v>338.0</v>
      </c>
      <c r="B339" s="149" t="s">
        <v>342</v>
      </c>
      <c r="C339" s="149" t="s">
        <v>1406</v>
      </c>
      <c r="D339" s="150" t="s">
        <v>1407</v>
      </c>
      <c r="E339" s="151" t="s">
        <v>1400</v>
      </c>
      <c r="F339" s="149"/>
      <c r="G339" s="149">
        <v>2.0</v>
      </c>
      <c r="H339" s="149"/>
      <c r="I339" s="149">
        <f t="shared" si="17"/>
        <v>0</v>
      </c>
      <c r="J339" s="153" t="s">
        <v>347</v>
      </c>
      <c r="K339" s="150" t="s">
        <v>65</v>
      </c>
      <c r="L339" s="152" t="s">
        <v>249</v>
      </c>
      <c r="M339" s="150" t="s">
        <v>1980</v>
      </c>
      <c r="N339" s="154" t="s">
        <v>1409</v>
      </c>
      <c r="O339" s="149" t="str">
        <f>IMAGE("https://www.racknsell.com/public/thumbs/products/1138/pvc-solvent7_500_500.jpg",1)</f>
        <v/>
      </c>
      <c r="P339" s="149"/>
      <c r="Q339" s="149"/>
      <c r="R339" s="149"/>
      <c r="S339" s="149"/>
      <c r="T339" s="149"/>
      <c r="U339" s="156">
        <v>0.0</v>
      </c>
      <c r="V339" s="171" t="s">
        <v>1689</v>
      </c>
      <c r="W339" s="158">
        <f t="shared" si="21"/>
        <v>90</v>
      </c>
      <c r="X339" s="175"/>
    </row>
    <row r="340" ht="45.0" hidden="1" customHeight="1">
      <c r="A340" s="149">
        <v>339.0</v>
      </c>
      <c r="B340" s="149" t="s">
        <v>342</v>
      </c>
      <c r="C340" s="149" t="s">
        <v>1411</v>
      </c>
      <c r="D340" s="150" t="s">
        <v>1412</v>
      </c>
      <c r="E340" s="151" t="s">
        <v>1400</v>
      </c>
      <c r="F340" s="149">
        <v>5.0</v>
      </c>
      <c r="G340" s="149">
        <v>5.0</v>
      </c>
      <c r="H340" s="149">
        <v>20.0</v>
      </c>
      <c r="I340" s="149">
        <f t="shared" si="17"/>
        <v>100</v>
      </c>
      <c r="J340" s="153" t="s">
        <v>347</v>
      </c>
      <c r="K340" s="150"/>
      <c r="L340" s="152" t="s">
        <v>249</v>
      </c>
      <c r="M340" s="150" t="s">
        <v>1980</v>
      </c>
      <c r="N340" s="190" t="s">
        <v>1413</v>
      </c>
      <c r="O340" s="149" t="str">
        <f>IMAGE("https://m.media-amazon.com/images/I/61saUYFEn9L._SL1500_.jpg",1)</f>
        <v/>
      </c>
      <c r="P340" s="149"/>
      <c r="Q340" s="149"/>
      <c r="R340" s="149"/>
      <c r="S340" s="149"/>
      <c r="T340" s="149"/>
      <c r="U340" s="156">
        <v>0.0</v>
      </c>
      <c r="V340" s="171" t="s">
        <v>1689</v>
      </c>
      <c r="W340" s="158">
        <f t="shared" si="21"/>
        <v>225</v>
      </c>
      <c r="X340" s="175"/>
    </row>
    <row r="341" ht="45.0" hidden="1" customHeight="1">
      <c r="A341" s="149">
        <v>340.0</v>
      </c>
      <c r="B341" s="149" t="s">
        <v>342</v>
      </c>
      <c r="C341" s="149" t="s">
        <v>1415</v>
      </c>
      <c r="D341" s="150" t="s">
        <v>1416</v>
      </c>
      <c r="E341" s="151" t="s">
        <v>1400</v>
      </c>
      <c r="F341" s="149">
        <v>1.0</v>
      </c>
      <c r="G341" s="149">
        <v>1.0</v>
      </c>
      <c r="H341" s="149"/>
      <c r="I341" s="149">
        <f t="shared" si="17"/>
        <v>0</v>
      </c>
      <c r="J341" s="153" t="s">
        <v>347</v>
      </c>
      <c r="K341" s="150"/>
      <c r="L341" s="152"/>
      <c r="M341" s="150" t="s">
        <v>1980</v>
      </c>
      <c r="N341" s="154" t="s">
        <v>1417</v>
      </c>
      <c r="O341" s="149" t="str">
        <f>IMAGE("https://m.media-amazon.com/images/I/61zRix8Lt0L._SL1500_.jpg",1)</f>
        <v/>
      </c>
      <c r="P341" s="159" t="s">
        <v>1689</v>
      </c>
      <c r="Q341" s="149"/>
      <c r="R341" s="149" t="s">
        <v>1729</v>
      </c>
      <c r="S341" s="149"/>
      <c r="T341" s="149"/>
      <c r="U341" s="156">
        <v>0.0</v>
      </c>
      <c r="V341" s="171" t="s">
        <v>1689</v>
      </c>
      <c r="W341" s="158">
        <f t="shared" si="21"/>
        <v>45</v>
      </c>
      <c r="X341" s="175"/>
    </row>
    <row r="342" ht="45.0" hidden="1" customHeight="1">
      <c r="A342" s="149">
        <v>341.0</v>
      </c>
      <c r="B342" s="149" t="s">
        <v>15</v>
      </c>
      <c r="C342" s="149" t="s">
        <v>1419</v>
      </c>
      <c r="D342" s="150" t="s">
        <v>1420</v>
      </c>
      <c r="E342" s="151" t="s">
        <v>1421</v>
      </c>
      <c r="F342" s="149">
        <v>10.0</v>
      </c>
      <c r="G342" s="149">
        <v>10.0</v>
      </c>
      <c r="H342" s="149">
        <v>150.0</v>
      </c>
      <c r="I342" s="149">
        <f t="shared" si="17"/>
        <v>1500</v>
      </c>
      <c r="J342" s="153" t="s">
        <v>20</v>
      </c>
      <c r="K342" s="150" t="s">
        <v>65</v>
      </c>
      <c r="L342" s="152"/>
      <c r="M342" s="150" t="s">
        <v>1899</v>
      </c>
      <c r="N342" s="154" t="s">
        <v>1422</v>
      </c>
      <c r="O342" s="149" t="str">
        <f>IMAGE("https://5.imimg.com/data5/AC/TD/VT/SELLER-14930302/milky-white-acrylic-sheet.jpg",1)</f>
        <v/>
      </c>
      <c r="P342" s="155"/>
      <c r="Q342" s="149"/>
      <c r="R342" s="149"/>
      <c r="S342" s="149"/>
      <c r="T342" s="149"/>
      <c r="U342" s="156">
        <v>0.0</v>
      </c>
      <c r="V342" s="157"/>
      <c r="W342" s="158">
        <f t="shared" si="21"/>
        <v>450</v>
      </c>
      <c r="X342" s="175"/>
    </row>
    <row r="343" ht="45.0" hidden="1" customHeight="1">
      <c r="A343" s="137">
        <v>342.0</v>
      </c>
      <c r="B343" s="137" t="s">
        <v>15</v>
      </c>
      <c r="C343" s="137" t="s">
        <v>1424</v>
      </c>
      <c r="D343" s="138" t="s">
        <v>1425</v>
      </c>
      <c r="E343" s="139" t="s">
        <v>1421</v>
      </c>
      <c r="F343" s="137">
        <v>5.0</v>
      </c>
      <c r="G343" s="137">
        <v>5.0</v>
      </c>
      <c r="H343" s="137">
        <v>300.0</v>
      </c>
      <c r="I343" s="137">
        <f t="shared" si="17"/>
        <v>1500</v>
      </c>
      <c r="J343" s="141" t="s">
        <v>20</v>
      </c>
      <c r="K343" s="138" t="s">
        <v>65</v>
      </c>
      <c r="L343" s="140" t="s">
        <v>66</v>
      </c>
      <c r="M343" s="138" t="s">
        <v>1892</v>
      </c>
      <c r="N343" s="142" t="s">
        <v>1427</v>
      </c>
      <c r="O343" s="137" t="str">
        <f>IMAGE("https://imgs.michaels.com/MAM/assets/1/5E3C12034D34434F8A9BAAFDDF0F8E1B/img/5CDBB82051B44720A8F8901B4AABD77C/10446567_2.jpg",1)</f>
        <v/>
      </c>
      <c r="P343" s="147"/>
      <c r="Q343" s="137"/>
      <c r="R343" s="137"/>
      <c r="S343" s="137"/>
      <c r="T343" s="137"/>
      <c r="U343" s="137">
        <v>1.0</v>
      </c>
      <c r="V343" s="143"/>
      <c r="W343" s="144">
        <f t="shared" si="21"/>
        <v>225</v>
      </c>
      <c r="X343" s="176"/>
    </row>
    <row r="344" ht="45.0" hidden="1" customHeight="1">
      <c r="A344" s="137">
        <v>343.0</v>
      </c>
      <c r="B344" s="137" t="s">
        <v>15</v>
      </c>
      <c r="C344" s="137" t="s">
        <v>1429</v>
      </c>
      <c r="D344" s="138" t="s">
        <v>1981</v>
      </c>
      <c r="E344" s="139" t="s">
        <v>1421</v>
      </c>
      <c r="F344" s="137">
        <v>5.0</v>
      </c>
      <c r="G344" s="137">
        <v>5.0</v>
      </c>
      <c r="H344" s="137">
        <v>200.0</v>
      </c>
      <c r="I344" s="137">
        <f t="shared" si="17"/>
        <v>1000</v>
      </c>
      <c r="J344" s="141" t="s">
        <v>20</v>
      </c>
      <c r="K344" s="138" t="s">
        <v>65</v>
      </c>
      <c r="L344" s="140" t="s">
        <v>66</v>
      </c>
      <c r="M344" s="138" t="s">
        <v>1892</v>
      </c>
      <c r="N344" s="142"/>
      <c r="O344" s="137" t="str">
        <f>IMAGE("https://upload.wikimedia.org/wikipedia/commons/7/79/Polymer_clay_examples.jpg",1)</f>
        <v/>
      </c>
      <c r="P344" s="137"/>
      <c r="Q344" s="137"/>
      <c r="R344" s="137"/>
      <c r="S344" s="137"/>
      <c r="T344" s="137"/>
      <c r="U344" s="137">
        <v>1.0</v>
      </c>
      <c r="V344" s="143"/>
      <c r="W344" s="144">
        <f t="shared" si="21"/>
        <v>225</v>
      </c>
      <c r="X344" s="176"/>
    </row>
    <row r="345" ht="45.0" hidden="1" customHeight="1">
      <c r="A345" s="149">
        <v>344.0</v>
      </c>
      <c r="B345" s="149" t="s">
        <v>15</v>
      </c>
      <c r="C345" s="149" t="s">
        <v>1433</v>
      </c>
      <c r="D345" s="150" t="s">
        <v>1982</v>
      </c>
      <c r="E345" s="151" t="s">
        <v>1421</v>
      </c>
      <c r="F345" s="152">
        <v>1.0</v>
      </c>
      <c r="G345" s="152">
        <v>1.0</v>
      </c>
      <c r="H345" s="152">
        <v>200.0</v>
      </c>
      <c r="I345" s="149">
        <f t="shared" si="17"/>
        <v>200</v>
      </c>
      <c r="J345" s="153" t="s">
        <v>20</v>
      </c>
      <c r="K345" s="150" t="s">
        <v>21</v>
      </c>
      <c r="L345" s="152" t="s">
        <v>65</v>
      </c>
      <c r="M345" s="150" t="s">
        <v>1983</v>
      </c>
      <c r="N345" s="154" t="s">
        <v>1436</v>
      </c>
      <c r="O345" s="149" t="str">
        <f>IMAGE("https://m.media-amazon.com/images/I/81PowerIGsL._SL1500_.jpg")</f>
        <v/>
      </c>
      <c r="P345" s="149"/>
      <c r="Q345" s="149"/>
      <c r="R345" s="149"/>
      <c r="S345" s="149"/>
      <c r="T345" s="149"/>
      <c r="U345" s="156">
        <v>0.0</v>
      </c>
      <c r="V345" s="157"/>
      <c r="W345" s="158">
        <f t="shared" si="21"/>
        <v>45</v>
      </c>
      <c r="X345" s="175"/>
    </row>
    <row r="346" ht="45.0" hidden="1" customHeight="1">
      <c r="A346" s="137">
        <v>345.0</v>
      </c>
      <c r="B346" s="137" t="s">
        <v>15</v>
      </c>
      <c r="C346" s="137" t="s">
        <v>1438</v>
      </c>
      <c r="D346" s="138" t="s">
        <v>1439</v>
      </c>
      <c r="E346" s="139" t="s">
        <v>1421</v>
      </c>
      <c r="F346" s="140">
        <v>5.0</v>
      </c>
      <c r="G346" s="140">
        <v>5.0</v>
      </c>
      <c r="H346" s="140">
        <v>50.0</v>
      </c>
      <c r="I346" s="137">
        <f t="shared" si="17"/>
        <v>250</v>
      </c>
      <c r="J346" s="141" t="s">
        <v>20</v>
      </c>
      <c r="K346" s="138" t="s">
        <v>1984</v>
      </c>
      <c r="L346" s="140" t="s">
        <v>65</v>
      </c>
      <c r="M346" s="138" t="s">
        <v>1983</v>
      </c>
      <c r="N346" s="142" t="s">
        <v>1440</v>
      </c>
      <c r="O346" s="137" t="str">
        <f>IMAGE("https://cdn.shopify.com/s/files/1/0032/5448/5037/products/suvidha-aluminium-foil-72-meters-pack-of-12_800x.jpg?v=1562920856",1)</f>
        <v/>
      </c>
      <c r="P346" s="137"/>
      <c r="Q346" s="137"/>
      <c r="R346" s="137"/>
      <c r="S346" s="137"/>
      <c r="T346" s="137"/>
      <c r="U346" s="146">
        <v>1.0</v>
      </c>
      <c r="V346" s="143"/>
      <c r="W346" s="144">
        <f t="shared" si="21"/>
        <v>225</v>
      </c>
      <c r="X346" s="176"/>
    </row>
    <row r="347" ht="45.0" hidden="1" customHeight="1">
      <c r="A347" s="149">
        <v>346.0</v>
      </c>
      <c r="B347" s="149" t="s">
        <v>15</v>
      </c>
      <c r="C347" s="149" t="s">
        <v>1442</v>
      </c>
      <c r="D347" s="150" t="s">
        <v>936</v>
      </c>
      <c r="E347" s="151" t="s">
        <v>1421</v>
      </c>
      <c r="F347" s="152">
        <v>4.0</v>
      </c>
      <c r="G347" s="152">
        <v>4.0</v>
      </c>
      <c r="H347" s="152">
        <v>20.0</v>
      </c>
      <c r="I347" s="149">
        <f t="shared" si="17"/>
        <v>80</v>
      </c>
      <c r="J347" s="153" t="s">
        <v>20</v>
      </c>
      <c r="K347" s="149"/>
      <c r="L347" s="152" t="s">
        <v>66</v>
      </c>
      <c r="M347" s="150" t="s">
        <v>111</v>
      </c>
      <c r="N347" s="154" t="s">
        <v>1443</v>
      </c>
      <c r="O347" s="149" t="str">
        <f>IMAGE("https://m.media-amazon.com/images/I/61ywjiydpbS._SL1500_.jpg",1)</f>
        <v/>
      </c>
      <c r="P347" s="149"/>
      <c r="Q347" s="149"/>
      <c r="R347" s="149"/>
      <c r="S347" s="149"/>
      <c r="T347" s="149"/>
      <c r="U347" s="156">
        <v>0.0</v>
      </c>
      <c r="V347" s="157"/>
      <c r="W347" s="158">
        <f t="shared" si="21"/>
        <v>180</v>
      </c>
      <c r="X347" s="175"/>
    </row>
    <row r="348" ht="45.0" hidden="1" customHeight="1">
      <c r="A348" s="149">
        <v>347.0</v>
      </c>
      <c r="B348" s="149" t="s">
        <v>15</v>
      </c>
      <c r="C348" s="149" t="s">
        <v>1453</v>
      </c>
      <c r="D348" s="150" t="s">
        <v>1454</v>
      </c>
      <c r="E348" s="151" t="s">
        <v>1421</v>
      </c>
      <c r="F348" s="152">
        <v>50.0</v>
      </c>
      <c r="G348" s="152">
        <v>50.0</v>
      </c>
      <c r="H348" s="152">
        <v>50.0</v>
      </c>
      <c r="I348" s="149">
        <f t="shared" si="17"/>
        <v>2500</v>
      </c>
      <c r="J348" s="153" t="s">
        <v>20</v>
      </c>
      <c r="K348" s="150" t="s">
        <v>65</v>
      </c>
      <c r="L348" s="152" t="s">
        <v>82</v>
      </c>
      <c r="M348" s="150" t="s">
        <v>111</v>
      </c>
      <c r="N348" s="154" t="s">
        <v>1455</v>
      </c>
      <c r="O348" s="149" t="str">
        <f>IMAGE("https://cdn11.bigcommerce.com/s-33iv1gdknl/images/stencil/1280x1280/products/115465/70691/prd_32014_5797121027228__12010.1559545680.jpg?c=2",1)</f>
        <v/>
      </c>
      <c r="P348" s="149"/>
      <c r="Q348" s="149"/>
      <c r="R348" s="149"/>
      <c r="S348" s="155"/>
      <c r="T348" s="155"/>
      <c r="U348" s="156">
        <v>1.0</v>
      </c>
      <c r="V348" s="171" t="s">
        <v>65</v>
      </c>
      <c r="W348" s="158">
        <f t="shared" si="21"/>
        <v>2250</v>
      </c>
      <c r="X348" s="175"/>
    </row>
    <row r="349" ht="45.0" hidden="1" customHeight="1">
      <c r="A349" s="149">
        <v>348.0</v>
      </c>
      <c r="B349" s="149" t="s">
        <v>15</v>
      </c>
      <c r="C349" s="149" t="s">
        <v>1457</v>
      </c>
      <c r="D349" s="150" t="s">
        <v>1458</v>
      </c>
      <c r="E349" s="151" t="s">
        <v>1421</v>
      </c>
      <c r="F349" s="152">
        <v>10.0</v>
      </c>
      <c r="G349" s="152">
        <v>10.0</v>
      </c>
      <c r="H349" s="152">
        <v>280.0</v>
      </c>
      <c r="I349" s="149">
        <f t="shared" si="17"/>
        <v>2800</v>
      </c>
      <c r="J349" s="153" t="s">
        <v>20</v>
      </c>
      <c r="K349" s="150" t="s">
        <v>65</v>
      </c>
      <c r="L349" s="152" t="s">
        <v>82</v>
      </c>
      <c r="M349" s="150" t="s">
        <v>1985</v>
      </c>
      <c r="N349" s="154"/>
      <c r="O349" s="149" t="str">
        <f>IMAGE("https://assetscdn1.paytm.com/images/catalog/product/S/ST/STAEVA-FOAM-SHEKAPI63599336D8CB51/1563562065545_0..jpg?imwidth=320&amp;impolicy=hq",1)</f>
        <v/>
      </c>
      <c r="P349" s="149"/>
      <c r="Q349" s="149"/>
      <c r="R349" s="149"/>
      <c r="S349" s="149"/>
      <c r="T349" s="149"/>
      <c r="U349" s="156">
        <v>0.0</v>
      </c>
      <c r="V349" s="157"/>
      <c r="W349" s="158">
        <f t="shared" si="21"/>
        <v>450</v>
      </c>
      <c r="X349" s="175"/>
    </row>
    <row r="350" ht="45.0" hidden="1" customHeight="1">
      <c r="A350" s="149">
        <v>349.0</v>
      </c>
      <c r="B350" s="149" t="s">
        <v>15</v>
      </c>
      <c r="C350" s="149" t="s">
        <v>1445</v>
      </c>
      <c r="D350" s="150" t="s">
        <v>1446</v>
      </c>
      <c r="E350" s="151" t="s">
        <v>1421</v>
      </c>
      <c r="F350" s="152">
        <v>5.0</v>
      </c>
      <c r="G350" s="152">
        <v>5.0</v>
      </c>
      <c r="H350" s="152">
        <v>100.0</v>
      </c>
      <c r="I350" s="149">
        <f t="shared" si="17"/>
        <v>500</v>
      </c>
      <c r="J350" s="153" t="s">
        <v>20</v>
      </c>
      <c r="K350" s="150" t="s">
        <v>65</v>
      </c>
      <c r="L350" s="152" t="s">
        <v>65</v>
      </c>
      <c r="M350" s="150" t="s">
        <v>1985</v>
      </c>
      <c r="N350" s="154" t="s">
        <v>1447</v>
      </c>
      <c r="O350" s="149" t="str">
        <f t="shared" ref="O350:O351" si="23">IMAGE("https://m.media-amazon.com/images/I/51FB8cHTJyL._SL1500_.jpg",1)</f>
        <v/>
      </c>
      <c r="P350" s="149"/>
      <c r="Q350" s="149"/>
      <c r="R350" s="149"/>
      <c r="S350" s="149"/>
      <c r="T350" s="149"/>
      <c r="U350" s="156">
        <v>0.0</v>
      </c>
      <c r="V350" s="157"/>
      <c r="W350" s="158">
        <f t="shared" si="21"/>
        <v>225</v>
      </c>
      <c r="X350" s="175"/>
    </row>
    <row r="351" ht="45.0" hidden="1" customHeight="1">
      <c r="A351" s="149">
        <v>350.0</v>
      </c>
      <c r="B351" s="149" t="s">
        <v>15</v>
      </c>
      <c r="C351" s="149" t="s">
        <v>1449</v>
      </c>
      <c r="D351" s="150" t="s">
        <v>1450</v>
      </c>
      <c r="E351" s="151" t="s">
        <v>1421</v>
      </c>
      <c r="F351" s="152">
        <v>5.0</v>
      </c>
      <c r="G351" s="152">
        <v>5.0</v>
      </c>
      <c r="H351" s="152">
        <v>200.0</v>
      </c>
      <c r="I351" s="149">
        <f t="shared" si="17"/>
        <v>1000</v>
      </c>
      <c r="J351" s="153" t="s">
        <v>20</v>
      </c>
      <c r="K351" s="150" t="s">
        <v>65</v>
      </c>
      <c r="L351" s="152" t="s">
        <v>65</v>
      </c>
      <c r="M351" s="150" t="s">
        <v>1985</v>
      </c>
      <c r="N351" s="154" t="s">
        <v>1451</v>
      </c>
      <c r="O351" s="149" t="str">
        <f t="shared" si="23"/>
        <v/>
      </c>
      <c r="P351" s="149"/>
      <c r="Q351" s="149"/>
      <c r="R351" s="149"/>
      <c r="S351" s="149"/>
      <c r="T351" s="149"/>
      <c r="U351" s="156">
        <v>0.0</v>
      </c>
      <c r="V351" s="157"/>
      <c r="W351" s="158">
        <f t="shared" si="21"/>
        <v>225</v>
      </c>
      <c r="X351" s="175"/>
    </row>
    <row r="352" ht="45.0" hidden="1" customHeight="1">
      <c r="A352" s="137">
        <v>351.0</v>
      </c>
      <c r="B352" s="137" t="s">
        <v>15</v>
      </c>
      <c r="C352" s="137" t="s">
        <v>1460</v>
      </c>
      <c r="D352" s="138" t="s">
        <v>1461</v>
      </c>
      <c r="E352" s="139" t="s">
        <v>1421</v>
      </c>
      <c r="F352" s="140">
        <v>1.0</v>
      </c>
      <c r="G352" s="140">
        <v>1.0</v>
      </c>
      <c r="H352" s="140">
        <v>400.0</v>
      </c>
      <c r="I352" s="137">
        <f t="shared" si="17"/>
        <v>400</v>
      </c>
      <c r="J352" s="141" t="s">
        <v>20</v>
      </c>
      <c r="K352" s="138" t="s">
        <v>65</v>
      </c>
      <c r="L352" s="140" t="s">
        <v>82</v>
      </c>
      <c r="M352" s="138" t="s">
        <v>1899</v>
      </c>
      <c r="N352" s="142" t="s">
        <v>1463</v>
      </c>
      <c r="O352" s="137" t="str">
        <f>IMAGE("https://5.imimg.com/data5/NA/SV/MA/SELLER-5806248/transparent-ohp-sheet-1000x1000.jpg",1)</f>
        <v/>
      </c>
      <c r="P352" s="137"/>
      <c r="Q352" s="137"/>
      <c r="R352" s="137"/>
      <c r="S352" s="137"/>
      <c r="T352" s="137"/>
      <c r="U352" s="146">
        <v>1.0</v>
      </c>
      <c r="V352" s="143"/>
      <c r="W352" s="144">
        <f t="shared" si="21"/>
        <v>45</v>
      </c>
      <c r="X352" s="176"/>
    </row>
    <row r="353" ht="45.0" hidden="1" customHeight="1">
      <c r="A353" s="149">
        <v>352.0</v>
      </c>
      <c r="B353" s="149" t="s">
        <v>15</v>
      </c>
      <c r="C353" s="149" t="s">
        <v>1465</v>
      </c>
      <c r="D353" s="150" t="s">
        <v>1466</v>
      </c>
      <c r="E353" s="151" t="s">
        <v>1421</v>
      </c>
      <c r="F353" s="152">
        <v>10.0</v>
      </c>
      <c r="G353" s="152">
        <v>10.0</v>
      </c>
      <c r="H353" s="152">
        <v>72.0</v>
      </c>
      <c r="I353" s="149">
        <f t="shared" si="17"/>
        <v>720</v>
      </c>
      <c r="J353" s="153" t="s">
        <v>20</v>
      </c>
      <c r="K353" s="150" t="s">
        <v>65</v>
      </c>
      <c r="L353" s="152" t="s">
        <v>82</v>
      </c>
      <c r="M353" s="150" t="s">
        <v>1985</v>
      </c>
      <c r="N353" s="190" t="s">
        <v>1467</v>
      </c>
      <c r="O353" s="149" t="str">
        <f>IMAGE("https://www.ramsayrubber.com/wp-content/uploads/2020/01/Rolls-Sheeting-Polyurethane-Foam-Rolls2-1.jpg",1)</f>
        <v/>
      </c>
      <c r="P353" s="149"/>
      <c r="Q353" s="149"/>
      <c r="R353" s="149"/>
      <c r="S353" s="149"/>
      <c r="T353" s="149"/>
      <c r="U353" s="156">
        <v>0.0</v>
      </c>
      <c r="V353" s="157"/>
      <c r="W353" s="158">
        <f t="shared" si="21"/>
        <v>450</v>
      </c>
      <c r="X353" s="175"/>
    </row>
    <row r="354" ht="45.0" hidden="1" customHeight="1">
      <c r="A354" s="149">
        <v>353.0</v>
      </c>
      <c r="B354" s="149" t="s">
        <v>15</v>
      </c>
      <c r="C354" s="149" t="s">
        <v>1469</v>
      </c>
      <c r="D354" s="150" t="s">
        <v>1470</v>
      </c>
      <c r="E354" s="151" t="s">
        <v>1421</v>
      </c>
      <c r="F354" s="152">
        <v>1.0</v>
      </c>
      <c r="G354" s="152">
        <v>1.0</v>
      </c>
      <c r="H354" s="152">
        <v>400.0</v>
      </c>
      <c r="I354" s="149">
        <f t="shared" si="17"/>
        <v>400</v>
      </c>
      <c r="J354" s="153" t="s">
        <v>20</v>
      </c>
      <c r="K354" s="150" t="s">
        <v>21</v>
      </c>
      <c r="L354" s="152" t="s">
        <v>110</v>
      </c>
      <c r="M354" s="150" t="s">
        <v>111</v>
      </c>
      <c r="N354" s="154" t="s">
        <v>1471</v>
      </c>
      <c r="O354" s="149" t="str">
        <f>IMAGE("https://www.wpiinc.com/media/catalog/product/cache/57a65487c9a4c9d3ba2482ad45cfc757/5/0/503023.jpg",1)</f>
        <v/>
      </c>
      <c r="P354" s="149"/>
      <c r="Q354" s="149"/>
      <c r="R354" s="149"/>
      <c r="S354" s="149"/>
      <c r="T354" s="149"/>
      <c r="U354" s="156">
        <v>0.0</v>
      </c>
      <c r="V354" s="157"/>
      <c r="W354" s="158">
        <f t="shared" si="21"/>
        <v>45</v>
      </c>
      <c r="X354" s="175"/>
    </row>
    <row r="355" ht="45.0" hidden="1" customHeight="1">
      <c r="A355" s="149">
        <v>354.0</v>
      </c>
      <c r="B355" s="149" t="s">
        <v>1472</v>
      </c>
      <c r="C355" s="149" t="s">
        <v>1474</v>
      </c>
      <c r="D355" s="150" t="s">
        <v>1475</v>
      </c>
      <c r="E355" s="151" t="s">
        <v>1476</v>
      </c>
      <c r="F355" s="152">
        <v>1.0</v>
      </c>
      <c r="G355" s="152">
        <v>1.0</v>
      </c>
      <c r="H355" s="152">
        <v>500.0</v>
      </c>
      <c r="I355" s="149">
        <f t="shared" si="17"/>
        <v>500</v>
      </c>
      <c r="J355" s="153" t="s">
        <v>1477</v>
      </c>
      <c r="K355" s="150"/>
      <c r="L355" s="152"/>
      <c r="M355" s="150" t="s">
        <v>1986</v>
      </c>
      <c r="N355" s="154" t="s">
        <v>1478</v>
      </c>
      <c r="O355" s="149" t="str">
        <f>IMAGE("https://rukminim1.flixcart.com/image/416/416/jj367bk0/fire-extinguisher-mount/w/s/y/2-kg-abc-type-fire-extinguisher-safepro-original-imaf6h7fkdngmbqd.jpeg?q=70",1)</f>
        <v/>
      </c>
      <c r="P355" s="149"/>
      <c r="Q355" s="149"/>
      <c r="R355" s="149"/>
      <c r="S355" s="149"/>
      <c r="T355" s="149"/>
      <c r="U355" s="156">
        <v>0.0</v>
      </c>
      <c r="V355" s="157"/>
      <c r="W355" s="158">
        <f t="shared" si="21"/>
        <v>45</v>
      </c>
      <c r="X355" s="175"/>
    </row>
    <row r="356" ht="45.0" hidden="1" customHeight="1">
      <c r="A356" s="149">
        <v>355.0</v>
      </c>
      <c r="B356" s="149" t="s">
        <v>1472</v>
      </c>
      <c r="C356" s="149" t="s">
        <v>1480</v>
      </c>
      <c r="D356" s="150" t="s">
        <v>1481</v>
      </c>
      <c r="E356" s="151" t="s">
        <v>1476</v>
      </c>
      <c r="F356" s="152">
        <v>1.0</v>
      </c>
      <c r="G356" s="152">
        <v>1.0</v>
      </c>
      <c r="H356" s="152">
        <v>850.0</v>
      </c>
      <c r="I356" s="149">
        <f t="shared" si="17"/>
        <v>850</v>
      </c>
      <c r="J356" s="153" t="s">
        <v>1477</v>
      </c>
      <c r="K356" s="150"/>
      <c r="L356" s="152"/>
      <c r="M356" s="150" t="s">
        <v>1986</v>
      </c>
      <c r="N356" s="154" t="s">
        <v>1482</v>
      </c>
      <c r="O356" s="149" t="str">
        <f>IMAGE("https://m.media-amazon.com/images/I/61UHX6mp+wL._AC_UF894,1000_QL80_.jpg",1)</f>
        <v/>
      </c>
      <c r="P356" s="149" t="s">
        <v>56</v>
      </c>
      <c r="Q356" s="149"/>
      <c r="R356" s="149"/>
      <c r="S356" s="191"/>
      <c r="T356" s="149"/>
      <c r="U356" s="156">
        <v>0.0</v>
      </c>
      <c r="V356" s="157"/>
      <c r="W356" s="158">
        <f t="shared" si="21"/>
        <v>45</v>
      </c>
      <c r="X356" s="175"/>
    </row>
    <row r="357" ht="45.0" hidden="1" customHeight="1">
      <c r="A357" s="149">
        <v>356.0</v>
      </c>
      <c r="B357" s="149" t="s">
        <v>1472</v>
      </c>
      <c r="C357" s="149" t="s">
        <v>1484</v>
      </c>
      <c r="D357" s="150" t="s">
        <v>1485</v>
      </c>
      <c r="E357" s="151" t="s">
        <v>1476</v>
      </c>
      <c r="F357" s="152">
        <v>1.0</v>
      </c>
      <c r="G357" s="152">
        <v>1.0</v>
      </c>
      <c r="H357" s="152">
        <v>500.0</v>
      </c>
      <c r="I357" s="149">
        <f t="shared" si="17"/>
        <v>500</v>
      </c>
      <c r="J357" s="153" t="s">
        <v>1477</v>
      </c>
      <c r="K357" s="150"/>
      <c r="L357" s="152"/>
      <c r="M357" s="150" t="s">
        <v>1986</v>
      </c>
      <c r="N357" s="154" t="s">
        <v>1486</v>
      </c>
      <c r="O357" s="149" t="str">
        <f>IMAGE("https://m.media-amazon.com/images/I/41yRsXk89rS._SX355_.jpg",1)</f>
        <v/>
      </c>
      <c r="P357" s="149"/>
      <c r="Q357" s="149"/>
      <c r="R357" s="149"/>
      <c r="S357" s="191"/>
      <c r="T357" s="149"/>
      <c r="U357" s="156">
        <v>0.0</v>
      </c>
      <c r="V357" s="157"/>
      <c r="W357" s="158">
        <f t="shared" si="21"/>
        <v>45</v>
      </c>
      <c r="X357" s="175"/>
    </row>
    <row r="358" ht="45.0" hidden="1" customHeight="1">
      <c r="A358" s="137">
        <v>357.0</v>
      </c>
      <c r="B358" s="137" t="s">
        <v>1472</v>
      </c>
      <c r="C358" s="137" t="s">
        <v>1488</v>
      </c>
      <c r="D358" s="138" t="s">
        <v>1489</v>
      </c>
      <c r="E358" s="139" t="s">
        <v>1476</v>
      </c>
      <c r="F358" s="137">
        <v>5.0</v>
      </c>
      <c r="G358" s="137">
        <v>5.0</v>
      </c>
      <c r="H358" s="137">
        <v>500.0</v>
      </c>
      <c r="I358" s="137">
        <f t="shared" si="17"/>
        <v>2500</v>
      </c>
      <c r="J358" s="141" t="s">
        <v>1477</v>
      </c>
      <c r="K358" s="138"/>
      <c r="L358" s="140"/>
      <c r="M358" s="138" t="s">
        <v>1986</v>
      </c>
      <c r="N358" s="142" t="s">
        <v>1490</v>
      </c>
      <c r="O358" s="137" t="str">
        <f>IMAGE("https://5.imimg.com/data5/AR/LM/NG/SELLER-21409398/lab-uniform-500x500.jpg",1)</f>
        <v/>
      </c>
      <c r="P358" s="137"/>
      <c r="Q358" s="137"/>
      <c r="R358" s="137"/>
      <c r="S358" s="192"/>
      <c r="T358" s="137"/>
      <c r="U358" s="146">
        <v>1.0</v>
      </c>
      <c r="V358" s="143"/>
      <c r="W358" s="144">
        <f t="shared" si="21"/>
        <v>225</v>
      </c>
      <c r="X358" s="176"/>
    </row>
    <row r="359" ht="45.0" hidden="1" customHeight="1">
      <c r="A359" s="137">
        <v>358.0</v>
      </c>
      <c r="B359" s="137" t="s">
        <v>1472</v>
      </c>
      <c r="C359" s="137" t="s">
        <v>1492</v>
      </c>
      <c r="D359" s="138" t="s">
        <v>1493</v>
      </c>
      <c r="E359" s="139" t="s">
        <v>1476</v>
      </c>
      <c r="F359" s="140">
        <v>2.0</v>
      </c>
      <c r="G359" s="140">
        <v>2.0</v>
      </c>
      <c r="H359" s="140">
        <v>100.0</v>
      </c>
      <c r="I359" s="137">
        <f t="shared" si="17"/>
        <v>200</v>
      </c>
      <c r="J359" s="141" t="s">
        <v>1477</v>
      </c>
      <c r="K359" s="138"/>
      <c r="L359" s="140"/>
      <c r="M359" s="138" t="s">
        <v>1986</v>
      </c>
      <c r="N359" s="142" t="s">
        <v>1494</v>
      </c>
      <c r="O359" s="137" t="str">
        <f>IMAGE("https://cdn.moglix.com/p/oBWcDtePyNEFP.jpg",1)</f>
        <v/>
      </c>
      <c r="P359" s="137"/>
      <c r="Q359" s="137"/>
      <c r="R359" s="137"/>
      <c r="S359" s="192"/>
      <c r="T359" s="137"/>
      <c r="U359" s="146">
        <v>1.0</v>
      </c>
      <c r="V359" s="143"/>
      <c r="W359" s="144">
        <f t="shared" si="21"/>
        <v>90</v>
      </c>
      <c r="X359" s="176"/>
    </row>
    <row r="360" ht="45.0" hidden="1" customHeight="1">
      <c r="A360" s="149">
        <v>359.0</v>
      </c>
      <c r="B360" s="149" t="s">
        <v>1472</v>
      </c>
      <c r="C360" s="149" t="s">
        <v>1496</v>
      </c>
      <c r="D360" s="150" t="s">
        <v>1497</v>
      </c>
      <c r="E360" s="151" t="s">
        <v>1476</v>
      </c>
      <c r="F360" s="149">
        <v>5.0</v>
      </c>
      <c r="G360" s="149">
        <v>5.0</v>
      </c>
      <c r="H360" s="149"/>
      <c r="I360" s="149">
        <v>100.0</v>
      </c>
      <c r="J360" s="153" t="s">
        <v>1477</v>
      </c>
      <c r="K360" s="150"/>
      <c r="L360" s="152" t="s">
        <v>249</v>
      </c>
      <c r="M360" s="150" t="s">
        <v>1986</v>
      </c>
      <c r="N360" s="154" t="s">
        <v>1498</v>
      </c>
      <c r="O360" s="149" t="str">
        <f>IMAGE("https://5.imimg.com/data5/SELLER/Default/2023/5/311302937/IM/IY/MO/34533827/safety-rubber-apron-1000x1000.jpg", 1)</f>
        <v/>
      </c>
      <c r="P360" s="149"/>
      <c r="Q360" s="149"/>
      <c r="R360" s="149"/>
      <c r="S360" s="191"/>
      <c r="T360" s="149"/>
      <c r="U360" s="156">
        <v>0.0</v>
      </c>
      <c r="V360" s="157"/>
      <c r="W360" s="158">
        <f t="shared" si="21"/>
        <v>225</v>
      </c>
      <c r="X360" s="175"/>
    </row>
    <row r="361" ht="45.0" hidden="1" customHeight="1">
      <c r="A361" s="149">
        <v>360.0</v>
      </c>
      <c r="B361" s="149" t="s">
        <v>1472</v>
      </c>
      <c r="C361" s="149" t="s">
        <v>1500</v>
      </c>
      <c r="D361" s="150" t="s">
        <v>1501</v>
      </c>
      <c r="E361" s="151" t="s">
        <v>1476</v>
      </c>
      <c r="F361" s="152">
        <v>15.0</v>
      </c>
      <c r="G361" s="152">
        <v>15.0</v>
      </c>
      <c r="H361" s="152">
        <v>70.0</v>
      </c>
      <c r="I361" s="149">
        <f t="shared" ref="I361:I406" si="24">H361*G361</f>
        <v>1050</v>
      </c>
      <c r="J361" s="153" t="s">
        <v>1477</v>
      </c>
      <c r="K361" s="150"/>
      <c r="L361" s="152" t="s">
        <v>66</v>
      </c>
      <c r="M361" s="150" t="s">
        <v>1986</v>
      </c>
      <c r="N361" s="154" t="s">
        <v>1502</v>
      </c>
      <c r="O361" s="149" t="str">
        <f>IMAGE("https://5.imimg.com/data5/DM/UP/MY-3422722/latex-coated-gloves-500x500.jpg",1)</f>
        <v/>
      </c>
      <c r="P361" s="149"/>
      <c r="Q361" s="149"/>
      <c r="R361" s="149"/>
      <c r="S361" s="191"/>
      <c r="T361" s="149"/>
      <c r="U361" s="156">
        <v>0.0</v>
      </c>
      <c r="V361" s="157"/>
      <c r="W361" s="158">
        <f t="shared" si="21"/>
        <v>675</v>
      </c>
      <c r="X361" s="175"/>
    </row>
    <row r="362" ht="45.0" hidden="1" customHeight="1">
      <c r="A362" s="149">
        <v>361.0</v>
      </c>
      <c r="B362" s="149" t="s">
        <v>1472</v>
      </c>
      <c r="C362" s="149" t="s">
        <v>1504</v>
      </c>
      <c r="D362" s="150" t="s">
        <v>1505</v>
      </c>
      <c r="E362" s="151" t="s">
        <v>1476</v>
      </c>
      <c r="F362" s="152">
        <v>30.0</v>
      </c>
      <c r="G362" s="152">
        <v>30.0</v>
      </c>
      <c r="H362" s="152">
        <v>20.0</v>
      </c>
      <c r="I362" s="149">
        <f t="shared" si="24"/>
        <v>600</v>
      </c>
      <c r="J362" s="153" t="s">
        <v>1477</v>
      </c>
      <c r="K362" s="150"/>
      <c r="L362" s="152" t="s">
        <v>22</v>
      </c>
      <c r="M362" s="150" t="s">
        <v>1986</v>
      </c>
      <c r="N362" s="154" t="s">
        <v>1506</v>
      </c>
      <c r="O362" s="149" t="str">
        <f>IMAGE("https://5.imimg.com/data5/RD/NQ/ZF/SELLER-67911650/safety-goggles.jpg")</f>
        <v/>
      </c>
      <c r="P362" s="155"/>
      <c r="Q362" s="149"/>
      <c r="R362" s="149"/>
      <c r="S362" s="191"/>
      <c r="T362" s="149"/>
      <c r="U362" s="156">
        <v>0.0</v>
      </c>
      <c r="V362" s="157"/>
      <c r="W362" s="158">
        <f t="shared" si="21"/>
        <v>1350</v>
      </c>
      <c r="X362" s="175"/>
    </row>
    <row r="363" ht="45.0" hidden="1" customHeight="1">
      <c r="A363" s="149">
        <v>362.0</v>
      </c>
      <c r="B363" s="149" t="s">
        <v>1472</v>
      </c>
      <c r="C363" s="149" t="s">
        <v>1508</v>
      </c>
      <c r="D363" s="150" t="s">
        <v>1509</v>
      </c>
      <c r="E363" s="151" t="s">
        <v>1476</v>
      </c>
      <c r="F363" s="152">
        <v>60.0</v>
      </c>
      <c r="G363" s="152">
        <v>60.0</v>
      </c>
      <c r="H363" s="152">
        <v>150.0</v>
      </c>
      <c r="I363" s="149">
        <f t="shared" si="24"/>
        <v>9000</v>
      </c>
      <c r="J363" s="153" t="s">
        <v>1477</v>
      </c>
      <c r="K363" s="150"/>
      <c r="L363" s="152" t="s">
        <v>66</v>
      </c>
      <c r="M363" s="150" t="s">
        <v>1986</v>
      </c>
      <c r="N363" s="154" t="s">
        <v>1510</v>
      </c>
      <c r="O363" s="149" t="str">
        <f>IMAGE("https://img2.exportersindia.com/product_images/bc-full/dir_151/4514764/dust-masks-1499837104-3125900.jpg",1)</f>
        <v/>
      </c>
      <c r="P363" s="149"/>
      <c r="Q363" s="149"/>
      <c r="R363" s="149"/>
      <c r="S363" s="191"/>
      <c r="T363" s="149"/>
      <c r="U363" s="156">
        <v>0.0</v>
      </c>
      <c r="V363" s="157"/>
      <c r="W363" s="158">
        <f t="shared" si="21"/>
        <v>2700</v>
      </c>
      <c r="X363" s="175"/>
    </row>
    <row r="364" ht="45.0" customHeight="1">
      <c r="A364" s="137">
        <v>363.0</v>
      </c>
      <c r="B364" s="137" t="s">
        <v>173</v>
      </c>
      <c r="C364" s="137" t="s">
        <v>1512</v>
      </c>
      <c r="D364" s="138" t="s">
        <v>1767</v>
      </c>
      <c r="E364" s="139" t="s">
        <v>1514</v>
      </c>
      <c r="F364" s="140">
        <v>10.0</v>
      </c>
      <c r="G364" s="140">
        <v>10.0</v>
      </c>
      <c r="H364" s="140">
        <v>300.0</v>
      </c>
      <c r="I364" s="137">
        <f t="shared" si="24"/>
        <v>3000</v>
      </c>
      <c r="J364" s="141" t="s">
        <v>178</v>
      </c>
      <c r="K364" s="138"/>
      <c r="L364" s="140" t="s">
        <v>599</v>
      </c>
      <c r="M364" s="139" t="s">
        <v>1514</v>
      </c>
      <c r="N364" s="142" t="s">
        <v>1515</v>
      </c>
      <c r="O364" s="137" t="str">
        <f>IMAGE("https://m.media-amazon.com/images/I/61PFvg8BbeL._SL1500_.jpg",1)</f>
        <v/>
      </c>
      <c r="P364" s="137" t="s">
        <v>1688</v>
      </c>
      <c r="Q364" s="137"/>
      <c r="R364" s="137"/>
      <c r="S364" s="137"/>
      <c r="T364" s="137"/>
      <c r="U364" s="137">
        <v>1.0</v>
      </c>
      <c r="V364" s="143"/>
      <c r="W364" s="144">
        <f t="shared" si="21"/>
        <v>450</v>
      </c>
      <c r="X364" s="176"/>
    </row>
    <row r="365" ht="45.0" customHeight="1">
      <c r="A365" s="137">
        <v>364.0</v>
      </c>
      <c r="B365" s="137" t="s">
        <v>173</v>
      </c>
      <c r="C365" s="137" t="s">
        <v>1517</v>
      </c>
      <c r="D365" s="138" t="s">
        <v>1824</v>
      </c>
      <c r="E365" s="139" t="s">
        <v>1514</v>
      </c>
      <c r="F365" s="140">
        <v>5.0</v>
      </c>
      <c r="G365" s="140">
        <v>5.0</v>
      </c>
      <c r="H365" s="140">
        <v>30.0</v>
      </c>
      <c r="I365" s="137">
        <f t="shared" si="24"/>
        <v>150</v>
      </c>
      <c r="J365" s="141" t="s">
        <v>178</v>
      </c>
      <c r="K365" s="138"/>
      <c r="L365" s="140" t="s">
        <v>599</v>
      </c>
      <c r="M365" s="139" t="s">
        <v>1514</v>
      </c>
      <c r="N365" s="142" t="s">
        <v>1519</v>
      </c>
      <c r="O365" s="137" t="str">
        <f>IMAGE("https://robu.in/wp-content/uploads/2017/06/31100-2.jpg",1)</f>
        <v/>
      </c>
      <c r="P365" s="137" t="s">
        <v>1688</v>
      </c>
      <c r="Q365" s="137"/>
      <c r="R365" s="137"/>
      <c r="S365" s="137"/>
      <c r="T365" s="137"/>
      <c r="U365" s="137">
        <v>1.0</v>
      </c>
      <c r="V365" s="143"/>
      <c r="W365" s="144">
        <f t="shared" si="21"/>
        <v>225</v>
      </c>
      <c r="X365" s="176"/>
    </row>
    <row r="366" ht="45.0" customHeight="1">
      <c r="A366" s="137">
        <v>365.0</v>
      </c>
      <c r="B366" s="137" t="s">
        <v>173</v>
      </c>
      <c r="C366" s="137" t="s">
        <v>1521</v>
      </c>
      <c r="D366" s="138" t="s">
        <v>1744</v>
      </c>
      <c r="E366" s="139" t="s">
        <v>1514</v>
      </c>
      <c r="F366" s="140">
        <v>5.0</v>
      </c>
      <c r="G366" s="140">
        <v>5.0</v>
      </c>
      <c r="H366" s="140">
        <v>200.0</v>
      </c>
      <c r="I366" s="137">
        <f t="shared" si="24"/>
        <v>1000</v>
      </c>
      <c r="J366" s="141" t="s">
        <v>178</v>
      </c>
      <c r="K366" s="138"/>
      <c r="L366" s="140" t="s">
        <v>599</v>
      </c>
      <c r="M366" s="139" t="s">
        <v>1514</v>
      </c>
      <c r="N366" s="142" t="s">
        <v>1523</v>
      </c>
      <c r="O366" s="137" t="str">
        <f>IMAGE("https://m.media-amazon.com/images/W/MEDIAX_792452-T2/images/I/71PSVpNRPuL._SL1500_.jpg",1)</f>
        <v/>
      </c>
      <c r="P366" s="137" t="s">
        <v>1688</v>
      </c>
      <c r="Q366" s="137"/>
      <c r="R366" s="137"/>
      <c r="S366" s="137"/>
      <c r="T366" s="137"/>
      <c r="U366" s="137">
        <v>1.0</v>
      </c>
      <c r="V366" s="143"/>
      <c r="W366" s="144">
        <f t="shared" si="21"/>
        <v>225</v>
      </c>
      <c r="X366" s="176"/>
    </row>
    <row r="367" ht="45.0" customHeight="1">
      <c r="A367" s="137">
        <v>366.0</v>
      </c>
      <c r="B367" s="137" t="s">
        <v>173</v>
      </c>
      <c r="C367" s="137" t="s">
        <v>1525</v>
      </c>
      <c r="D367" s="138" t="s">
        <v>1526</v>
      </c>
      <c r="E367" s="139" t="s">
        <v>1514</v>
      </c>
      <c r="F367" s="140">
        <v>5.0</v>
      </c>
      <c r="G367" s="140">
        <v>5.0</v>
      </c>
      <c r="H367" s="140">
        <v>250.0</v>
      </c>
      <c r="I367" s="137">
        <f t="shared" si="24"/>
        <v>1250</v>
      </c>
      <c r="J367" s="141" t="s">
        <v>178</v>
      </c>
      <c r="K367" s="138"/>
      <c r="L367" s="140" t="s">
        <v>179</v>
      </c>
      <c r="M367" s="139" t="s">
        <v>1514</v>
      </c>
      <c r="N367" s="142" t="s">
        <v>1527</v>
      </c>
      <c r="O367" s="137" t="str">
        <f>IMAGE("https://robu.in/wp-content/uploads/2016/08/2-1.jpg",1)</f>
        <v/>
      </c>
      <c r="P367" s="137" t="s">
        <v>1688</v>
      </c>
      <c r="Q367" s="137"/>
      <c r="R367" s="137"/>
      <c r="S367" s="137"/>
      <c r="T367" s="137"/>
      <c r="U367" s="137">
        <v>1.0</v>
      </c>
      <c r="V367" s="143"/>
      <c r="W367" s="144">
        <f t="shared" si="21"/>
        <v>225</v>
      </c>
      <c r="X367" s="176"/>
    </row>
    <row r="368" ht="45.0" customHeight="1">
      <c r="A368" s="137">
        <v>367.0</v>
      </c>
      <c r="B368" s="137" t="s">
        <v>173</v>
      </c>
      <c r="C368" s="137" t="s">
        <v>1529</v>
      </c>
      <c r="D368" s="138" t="s">
        <v>1530</v>
      </c>
      <c r="E368" s="139" t="s">
        <v>1514</v>
      </c>
      <c r="F368" s="140">
        <v>5.0</v>
      </c>
      <c r="G368" s="140">
        <v>5.0</v>
      </c>
      <c r="H368" s="140">
        <v>250.0</v>
      </c>
      <c r="I368" s="137">
        <f t="shared" si="24"/>
        <v>1250</v>
      </c>
      <c r="J368" s="141" t="s">
        <v>178</v>
      </c>
      <c r="K368" s="138"/>
      <c r="L368" s="140" t="s">
        <v>599</v>
      </c>
      <c r="M368" s="139" t="s">
        <v>1514</v>
      </c>
      <c r="N368" s="142" t="s">
        <v>1531</v>
      </c>
      <c r="O368" s="137" t="str">
        <f>IMAGE("https://5.imimg.com/data5/SELLER/Default/2023/1/KQ/RE/WN/37611021/unique-india-force-pressure-sensor-square-500x500.jpg",1)</f>
        <v/>
      </c>
      <c r="P368" s="137" t="s">
        <v>1688</v>
      </c>
      <c r="Q368" s="137"/>
      <c r="R368" s="137"/>
      <c r="S368" s="137"/>
      <c r="T368" s="137"/>
      <c r="U368" s="137">
        <v>1.0</v>
      </c>
      <c r="V368" s="143"/>
      <c r="W368" s="144">
        <f t="shared" si="21"/>
        <v>225</v>
      </c>
      <c r="X368" s="176"/>
    </row>
    <row r="369" ht="45.0" customHeight="1">
      <c r="A369" s="137">
        <v>368.0</v>
      </c>
      <c r="B369" s="137" t="s">
        <v>173</v>
      </c>
      <c r="C369" s="137" t="s">
        <v>1533</v>
      </c>
      <c r="D369" s="138" t="s">
        <v>1781</v>
      </c>
      <c r="E369" s="139" t="s">
        <v>1514</v>
      </c>
      <c r="F369" s="140">
        <v>10.0</v>
      </c>
      <c r="G369" s="140">
        <v>10.0</v>
      </c>
      <c r="H369" s="140">
        <v>300.0</v>
      </c>
      <c r="I369" s="137">
        <f t="shared" si="24"/>
        <v>3000</v>
      </c>
      <c r="J369" s="141" t="s">
        <v>178</v>
      </c>
      <c r="K369" s="138"/>
      <c r="L369" s="140" t="s">
        <v>599</v>
      </c>
      <c r="M369" s="139" t="s">
        <v>1514</v>
      </c>
      <c r="N369" s="142" t="s">
        <v>1535</v>
      </c>
      <c r="O369" s="137" t="str">
        <f>IMAGE("https://m.media-amazon.com/images/W/MEDIAX_792452-T2/images/I/61e+2rew8OL._SL1011_.jpg",1)</f>
        <v/>
      </c>
      <c r="P369" s="137" t="s">
        <v>1688</v>
      </c>
      <c r="Q369" s="137"/>
      <c r="R369" s="137"/>
      <c r="S369" s="137"/>
      <c r="T369" s="137"/>
      <c r="U369" s="137">
        <v>1.0</v>
      </c>
      <c r="V369" s="143"/>
      <c r="W369" s="144">
        <f t="shared" si="21"/>
        <v>450</v>
      </c>
      <c r="X369" s="176"/>
    </row>
    <row r="370" ht="45.0" customHeight="1">
      <c r="A370" s="137">
        <v>369.0</v>
      </c>
      <c r="B370" s="137" t="s">
        <v>173</v>
      </c>
      <c r="C370" s="137" t="s">
        <v>1537</v>
      </c>
      <c r="D370" s="138" t="s">
        <v>1791</v>
      </c>
      <c r="E370" s="139" t="s">
        <v>1514</v>
      </c>
      <c r="F370" s="140">
        <v>5.0</v>
      </c>
      <c r="G370" s="140">
        <v>5.0</v>
      </c>
      <c r="H370" s="140">
        <v>30.0</v>
      </c>
      <c r="I370" s="137">
        <f t="shared" si="24"/>
        <v>150</v>
      </c>
      <c r="J370" s="141" t="s">
        <v>178</v>
      </c>
      <c r="K370" s="138"/>
      <c r="L370" s="140" t="s">
        <v>599</v>
      </c>
      <c r="M370" s="139" t="s">
        <v>1514</v>
      </c>
      <c r="N370" s="142" t="s">
        <v>1539</v>
      </c>
      <c r="O370" s="137" t="str">
        <f>IMAGE("https://makerbazar.in/cdn/shop/products/IR_transmitter-receiver_-_TSOP_1738_600x.jpg?v=1582114496",1)</f>
        <v/>
      </c>
      <c r="P370" s="137" t="s">
        <v>1688</v>
      </c>
      <c r="Q370" s="137"/>
      <c r="R370" s="137"/>
      <c r="S370" s="137"/>
      <c r="T370" s="137"/>
      <c r="U370" s="137">
        <v>1.0</v>
      </c>
      <c r="V370" s="143"/>
      <c r="W370" s="144">
        <f t="shared" si="21"/>
        <v>225</v>
      </c>
      <c r="X370" s="176"/>
    </row>
    <row r="371" ht="45.0" customHeight="1">
      <c r="A371" s="137">
        <v>370.0</v>
      </c>
      <c r="B371" s="137" t="s">
        <v>173</v>
      </c>
      <c r="C371" s="137" t="s">
        <v>1541</v>
      </c>
      <c r="D371" s="138" t="s">
        <v>1786</v>
      </c>
      <c r="E371" s="139" t="s">
        <v>1514</v>
      </c>
      <c r="F371" s="140">
        <v>5.0</v>
      </c>
      <c r="G371" s="140">
        <v>5.0</v>
      </c>
      <c r="H371" s="140">
        <v>250.0</v>
      </c>
      <c r="I371" s="137">
        <f t="shared" si="24"/>
        <v>1250</v>
      </c>
      <c r="J371" s="141" t="s">
        <v>178</v>
      </c>
      <c r="K371" s="138"/>
      <c r="L371" s="140" t="s">
        <v>599</v>
      </c>
      <c r="M371" s="139" t="s">
        <v>1514</v>
      </c>
      <c r="N371" s="142" t="s">
        <v>1543</v>
      </c>
      <c r="O371" s="137" t="str">
        <f>IMAGE("https://makerbazar.in/cdn/shop/products/IR-Array_2048x2048_29f53719-c65f-4f67-a7f9-06b99966bf49_400x.jpg?v=1628014848",1)</f>
        <v/>
      </c>
      <c r="P371" s="137" t="s">
        <v>1688</v>
      </c>
      <c r="Q371" s="137"/>
      <c r="R371" s="137"/>
      <c r="S371" s="137"/>
      <c r="T371" s="137"/>
      <c r="U371" s="137">
        <v>1.0</v>
      </c>
      <c r="V371" s="143"/>
      <c r="W371" s="144">
        <f t="shared" si="21"/>
        <v>225</v>
      </c>
      <c r="X371" s="176"/>
    </row>
    <row r="372" ht="45.0" customHeight="1">
      <c r="A372" s="137">
        <v>371.0</v>
      </c>
      <c r="B372" s="137" t="s">
        <v>173</v>
      </c>
      <c r="C372" s="137" t="s">
        <v>1545</v>
      </c>
      <c r="D372" s="138" t="s">
        <v>1546</v>
      </c>
      <c r="E372" s="139" t="s">
        <v>1514</v>
      </c>
      <c r="F372" s="140">
        <v>10.0</v>
      </c>
      <c r="G372" s="140">
        <v>10.0</v>
      </c>
      <c r="H372" s="140">
        <v>30.0</v>
      </c>
      <c r="I372" s="137">
        <f t="shared" si="24"/>
        <v>300</v>
      </c>
      <c r="J372" s="141" t="s">
        <v>178</v>
      </c>
      <c r="K372" s="138"/>
      <c r="L372" s="140" t="s">
        <v>599</v>
      </c>
      <c r="M372" s="139" t="s">
        <v>1514</v>
      </c>
      <c r="N372" s="142" t="s">
        <v>1547</v>
      </c>
      <c r="O372" s="137" t="str">
        <f>IMAGE("https://robu.in/wp-content/uploads/2017/05/LDR-module-1.png",1)</f>
        <v/>
      </c>
      <c r="P372" s="137" t="s">
        <v>1688</v>
      </c>
      <c r="Q372" s="137"/>
      <c r="R372" s="137"/>
      <c r="S372" s="137"/>
      <c r="T372" s="137"/>
      <c r="U372" s="137">
        <v>1.0</v>
      </c>
      <c r="V372" s="143"/>
      <c r="W372" s="144">
        <f t="shared" si="21"/>
        <v>450</v>
      </c>
      <c r="X372" s="176"/>
    </row>
    <row r="373" ht="45.0" customHeight="1">
      <c r="A373" s="137">
        <v>372.0</v>
      </c>
      <c r="B373" s="137" t="s">
        <v>173</v>
      </c>
      <c r="C373" s="137" t="s">
        <v>1549</v>
      </c>
      <c r="D373" s="138" t="s">
        <v>1775</v>
      </c>
      <c r="E373" s="139" t="s">
        <v>1514</v>
      </c>
      <c r="F373" s="140">
        <v>5.0</v>
      </c>
      <c r="G373" s="140">
        <v>5.0</v>
      </c>
      <c r="H373" s="140">
        <v>90.0</v>
      </c>
      <c r="I373" s="137">
        <f t="shared" si="24"/>
        <v>450</v>
      </c>
      <c r="J373" s="141" t="s">
        <v>178</v>
      </c>
      <c r="K373" s="138"/>
      <c r="L373" s="140" t="s">
        <v>599</v>
      </c>
      <c r="M373" s="139" t="s">
        <v>1514</v>
      </c>
      <c r="N373" s="142" t="s">
        <v>1551</v>
      </c>
      <c r="O373" s="137" t="str">
        <f>IMAGE("https://m.media-amazon.com/images/W/MEDIAX_792452-T2/images/I/7158I82c4bL._SL1500_.jpg",1)</f>
        <v/>
      </c>
      <c r="P373" s="137" t="s">
        <v>1688</v>
      </c>
      <c r="Q373" s="137"/>
      <c r="R373" s="137"/>
      <c r="S373" s="137"/>
      <c r="T373" s="137"/>
      <c r="U373" s="137">
        <v>1.0</v>
      </c>
      <c r="V373" s="143"/>
      <c r="W373" s="144">
        <f t="shared" si="21"/>
        <v>225</v>
      </c>
      <c r="X373" s="176"/>
    </row>
    <row r="374" ht="45.0" customHeight="1">
      <c r="A374" s="137">
        <v>373.0</v>
      </c>
      <c r="B374" s="137" t="s">
        <v>173</v>
      </c>
      <c r="C374" s="137" t="s">
        <v>1553</v>
      </c>
      <c r="D374" s="138" t="s">
        <v>1822</v>
      </c>
      <c r="E374" s="139" t="s">
        <v>1514</v>
      </c>
      <c r="F374" s="140">
        <v>5.0</v>
      </c>
      <c r="G374" s="140">
        <v>5.0</v>
      </c>
      <c r="H374" s="140">
        <v>150.0</v>
      </c>
      <c r="I374" s="137">
        <f t="shared" si="24"/>
        <v>750</v>
      </c>
      <c r="J374" s="141" t="s">
        <v>178</v>
      </c>
      <c r="K374" s="138"/>
      <c r="L374" s="140" t="s">
        <v>599</v>
      </c>
      <c r="M374" s="139" t="s">
        <v>1514</v>
      </c>
      <c r="N374" s="142" t="s">
        <v>1555</v>
      </c>
      <c r="O374" s="137" t="str">
        <f>IMAGE("https://robu.in/wp-content/uploads/2017/09/download-1-2.jpg",1)</f>
        <v/>
      </c>
      <c r="P374" s="137" t="s">
        <v>1688</v>
      </c>
      <c r="Q374" s="137"/>
      <c r="R374" s="137"/>
      <c r="S374" s="137"/>
      <c r="T374" s="137"/>
      <c r="U374" s="137">
        <v>1.0</v>
      </c>
      <c r="V374" s="143"/>
      <c r="W374" s="144">
        <f t="shared" si="21"/>
        <v>225</v>
      </c>
      <c r="X374" s="176"/>
    </row>
    <row r="375" ht="45.0" customHeight="1">
      <c r="A375" s="137">
        <v>374.0</v>
      </c>
      <c r="B375" s="137" t="s">
        <v>173</v>
      </c>
      <c r="C375" s="137" t="s">
        <v>1557</v>
      </c>
      <c r="D375" s="138" t="s">
        <v>1758</v>
      </c>
      <c r="E375" s="139" t="s">
        <v>1514</v>
      </c>
      <c r="F375" s="140">
        <v>10.0</v>
      </c>
      <c r="G375" s="140">
        <v>10.0</v>
      </c>
      <c r="H375" s="140">
        <v>40.0</v>
      </c>
      <c r="I375" s="137">
        <f t="shared" si="24"/>
        <v>400</v>
      </c>
      <c r="J375" s="141" t="s">
        <v>178</v>
      </c>
      <c r="K375" s="138"/>
      <c r="L375" s="140" t="s">
        <v>599</v>
      </c>
      <c r="M375" s="139" t="s">
        <v>1514</v>
      </c>
      <c r="N375" s="142"/>
      <c r="O375" s="137" t="str">
        <f>IMAGE("https://cdn.shopify.com/s/files/1/0088/0056/7392/products/Sound_Detector_Module.jpg?v=1566646449",1)</f>
        <v/>
      </c>
      <c r="P375" s="137" t="s">
        <v>1688</v>
      </c>
      <c r="Q375" s="137"/>
      <c r="R375" s="137"/>
      <c r="S375" s="137"/>
      <c r="T375" s="137"/>
      <c r="U375" s="137">
        <v>1.0</v>
      </c>
      <c r="V375" s="143"/>
      <c r="W375" s="144">
        <f t="shared" si="21"/>
        <v>450</v>
      </c>
      <c r="X375" s="176"/>
    </row>
    <row r="376" ht="45.0" customHeight="1">
      <c r="A376" s="137">
        <v>375.0</v>
      </c>
      <c r="B376" s="137" t="s">
        <v>173</v>
      </c>
      <c r="C376" s="137" t="s">
        <v>1560</v>
      </c>
      <c r="D376" s="138" t="s">
        <v>1789</v>
      </c>
      <c r="E376" s="139" t="s">
        <v>1514</v>
      </c>
      <c r="F376" s="140">
        <v>10.0</v>
      </c>
      <c r="G376" s="140">
        <v>10.0</v>
      </c>
      <c r="H376" s="140">
        <v>200.0</v>
      </c>
      <c r="I376" s="137">
        <f t="shared" si="24"/>
        <v>2000</v>
      </c>
      <c r="J376" s="141" t="s">
        <v>178</v>
      </c>
      <c r="K376" s="138"/>
      <c r="L376" s="140" t="s">
        <v>599</v>
      </c>
      <c r="M376" s="139" t="s">
        <v>1514</v>
      </c>
      <c r="N376" s="142" t="s">
        <v>1562</v>
      </c>
      <c r="O376" s="137" t="str">
        <f>IMAGE("https://encrypted-tbn0.gstatic.com/images?q=tbn:ANd9GcRrIyUWjQ1rnIJDwYms78skSv9zbdkdml4sTR1WfoKl6GFD5OWnZULG8H98AB-i394c3VQ&amp;usqp=CAU",1)</f>
        <v/>
      </c>
      <c r="P376" s="137" t="s">
        <v>1688</v>
      </c>
      <c r="Q376" s="137"/>
      <c r="R376" s="137"/>
      <c r="S376" s="137"/>
      <c r="T376" s="137"/>
      <c r="U376" s="137">
        <v>1.0</v>
      </c>
      <c r="V376" s="143"/>
      <c r="W376" s="144">
        <f t="shared" si="21"/>
        <v>450</v>
      </c>
      <c r="X376" s="176"/>
    </row>
    <row r="377" ht="45.0" customHeight="1">
      <c r="A377" s="137">
        <v>376.0</v>
      </c>
      <c r="B377" s="137" t="s">
        <v>173</v>
      </c>
      <c r="C377" s="137" t="s">
        <v>1564</v>
      </c>
      <c r="D377" s="138" t="s">
        <v>1565</v>
      </c>
      <c r="E377" s="139" t="s">
        <v>1514</v>
      </c>
      <c r="F377" s="140">
        <v>5.0</v>
      </c>
      <c r="G377" s="140">
        <v>5.0</v>
      </c>
      <c r="H377" s="140">
        <v>95.0</v>
      </c>
      <c r="I377" s="137">
        <f t="shared" si="24"/>
        <v>475</v>
      </c>
      <c r="J377" s="141" t="s">
        <v>178</v>
      </c>
      <c r="K377" s="138"/>
      <c r="L377" s="140" t="s">
        <v>599</v>
      </c>
      <c r="M377" s="139" t="s">
        <v>1514</v>
      </c>
      <c r="N377" s="142" t="s">
        <v>1566</v>
      </c>
      <c r="O377" s="137" t="str">
        <f>IMAGE("https://robu.in/wp-content/uploads/2019/05/MAX30100-Pulse-Oximeter-Heart-Rate-Sensor-Module-2.jpg",1)</f>
        <v/>
      </c>
      <c r="P377" s="137" t="s">
        <v>1688</v>
      </c>
      <c r="Q377" s="137"/>
      <c r="R377" s="137"/>
      <c r="S377" s="137"/>
      <c r="T377" s="137"/>
      <c r="U377" s="137">
        <v>1.0</v>
      </c>
      <c r="V377" s="143"/>
      <c r="W377" s="144">
        <f t="shared" si="21"/>
        <v>225</v>
      </c>
      <c r="X377" s="176"/>
    </row>
    <row r="378" ht="45.0" customHeight="1">
      <c r="A378" s="137">
        <v>377.0</v>
      </c>
      <c r="B378" s="137" t="s">
        <v>173</v>
      </c>
      <c r="C378" s="137" t="s">
        <v>1568</v>
      </c>
      <c r="D378" s="138" t="s">
        <v>1769</v>
      </c>
      <c r="E378" s="139" t="s">
        <v>1514</v>
      </c>
      <c r="F378" s="140">
        <v>5.0</v>
      </c>
      <c r="G378" s="140">
        <v>5.0</v>
      </c>
      <c r="H378" s="140">
        <v>125.0</v>
      </c>
      <c r="I378" s="137">
        <f t="shared" si="24"/>
        <v>625</v>
      </c>
      <c r="J378" s="141" t="s">
        <v>178</v>
      </c>
      <c r="K378" s="138"/>
      <c r="L378" s="140" t="s">
        <v>599</v>
      </c>
      <c r="M378" s="139" t="s">
        <v>1514</v>
      </c>
      <c r="N378" s="142"/>
      <c r="O378" s="137" t="str">
        <f>IMAGE("https://makerbazar.in/cdn/shop/products/Untitled-1_39_1_60x.jpg?v=1637233670",1)</f>
        <v/>
      </c>
      <c r="P378" s="137" t="s">
        <v>1688</v>
      </c>
      <c r="Q378" s="137"/>
      <c r="R378" s="137"/>
      <c r="S378" s="137"/>
      <c r="T378" s="137"/>
      <c r="U378" s="137">
        <v>1.0</v>
      </c>
      <c r="V378" s="143"/>
      <c r="W378" s="144">
        <f t="shared" si="21"/>
        <v>225</v>
      </c>
      <c r="X378" s="176"/>
    </row>
    <row r="379" ht="45.0" customHeight="1">
      <c r="A379" s="137">
        <v>378.0</v>
      </c>
      <c r="B379" s="137" t="s">
        <v>173</v>
      </c>
      <c r="C379" s="137" t="s">
        <v>1571</v>
      </c>
      <c r="D379" s="138" t="s">
        <v>1772</v>
      </c>
      <c r="E379" s="139" t="s">
        <v>1514</v>
      </c>
      <c r="F379" s="140">
        <v>5.0</v>
      </c>
      <c r="G379" s="140">
        <v>5.0</v>
      </c>
      <c r="H379" s="140">
        <v>75.0</v>
      </c>
      <c r="I379" s="137">
        <f t="shared" si="24"/>
        <v>375</v>
      </c>
      <c r="J379" s="141" t="s">
        <v>178</v>
      </c>
      <c r="K379" s="138"/>
      <c r="L379" s="140" t="s">
        <v>599</v>
      </c>
      <c r="M379" s="139" t="s">
        <v>1514</v>
      </c>
      <c r="N379" s="142" t="s">
        <v>1573</v>
      </c>
      <c r="O379" s="137" t="str">
        <f>IMAGE("https://5.imimg.com/data5/SELLER/Default/2021/6/XN/UI/NS/84973740/mq2-flammable-gas-and-smoke-sensor-module-500x500.jpg",1)</f>
        <v/>
      </c>
      <c r="P379" s="137" t="s">
        <v>1688</v>
      </c>
      <c r="Q379" s="137"/>
      <c r="R379" s="137"/>
      <c r="S379" s="137"/>
      <c r="T379" s="137"/>
      <c r="U379" s="137">
        <v>1.0</v>
      </c>
      <c r="V379" s="143"/>
      <c r="W379" s="144">
        <f t="shared" si="21"/>
        <v>225</v>
      </c>
      <c r="X379" s="176"/>
    </row>
    <row r="380" ht="45.0" customHeight="1">
      <c r="A380" s="137">
        <v>379.0</v>
      </c>
      <c r="B380" s="137" t="s">
        <v>173</v>
      </c>
      <c r="C380" s="137" t="s">
        <v>1575</v>
      </c>
      <c r="D380" s="138" t="s">
        <v>1576</v>
      </c>
      <c r="E380" s="139" t="s">
        <v>1514</v>
      </c>
      <c r="F380" s="140">
        <v>10.0</v>
      </c>
      <c r="G380" s="140">
        <v>10.0</v>
      </c>
      <c r="H380" s="140">
        <v>40.0</v>
      </c>
      <c r="I380" s="137">
        <f t="shared" si="24"/>
        <v>400</v>
      </c>
      <c r="J380" s="141" t="s">
        <v>178</v>
      </c>
      <c r="K380" s="138"/>
      <c r="L380" s="140" t="s">
        <v>599</v>
      </c>
      <c r="M380" s="139" t="s">
        <v>1514</v>
      </c>
      <c r="N380" s="142" t="s">
        <v>1577</v>
      </c>
      <c r="O380" s="137" t="str">
        <f>IMAGE("https://robu.in/wp-content/uploads/2016/03/12251.jpg",1)</f>
        <v/>
      </c>
      <c r="P380" s="137" t="s">
        <v>1688</v>
      </c>
      <c r="Q380" s="137"/>
      <c r="R380" s="137"/>
      <c r="S380" s="137"/>
      <c r="T380" s="137"/>
      <c r="U380" s="137">
        <v>1.0</v>
      </c>
      <c r="V380" s="143"/>
      <c r="W380" s="144">
        <f t="shared" si="21"/>
        <v>450</v>
      </c>
      <c r="X380" s="176"/>
    </row>
    <row r="381" ht="45.0" customHeight="1">
      <c r="A381" s="137">
        <v>380.0</v>
      </c>
      <c r="B381" s="137" t="s">
        <v>173</v>
      </c>
      <c r="C381" s="137" t="s">
        <v>1579</v>
      </c>
      <c r="D381" s="193" t="s">
        <v>1763</v>
      </c>
      <c r="E381" s="139" t="s">
        <v>1514</v>
      </c>
      <c r="F381" s="140">
        <v>5.0</v>
      </c>
      <c r="G381" s="140">
        <v>5.0</v>
      </c>
      <c r="H381" s="140">
        <v>130.0</v>
      </c>
      <c r="I381" s="137">
        <f t="shared" si="24"/>
        <v>650</v>
      </c>
      <c r="J381" s="141" t="s">
        <v>178</v>
      </c>
      <c r="K381" s="138"/>
      <c r="L381" s="140" t="s">
        <v>599</v>
      </c>
      <c r="M381" s="139" t="s">
        <v>1514</v>
      </c>
      <c r="N381" s="142" t="s">
        <v>1581</v>
      </c>
      <c r="O381" s="137" t="str">
        <f>IMAGE("https://m.media-amazon.com/images/W/MEDIAX_792452-T2/images/I/61QNSpIV-GL._SL1000_.jpg",1)</f>
        <v/>
      </c>
      <c r="P381" s="137" t="s">
        <v>1688</v>
      </c>
      <c r="Q381" s="137"/>
      <c r="R381" s="137"/>
      <c r="S381" s="137"/>
      <c r="T381" s="137"/>
      <c r="U381" s="137">
        <v>1.0</v>
      </c>
      <c r="V381" s="143"/>
      <c r="W381" s="144">
        <f t="shared" si="21"/>
        <v>225</v>
      </c>
      <c r="X381" s="176"/>
    </row>
    <row r="382" ht="45.0" customHeight="1">
      <c r="A382" s="137">
        <v>381.0</v>
      </c>
      <c r="B382" s="137" t="s">
        <v>173</v>
      </c>
      <c r="C382" s="137" t="s">
        <v>1583</v>
      </c>
      <c r="D382" s="138" t="s">
        <v>1584</v>
      </c>
      <c r="E382" s="139" t="s">
        <v>1514</v>
      </c>
      <c r="F382" s="140">
        <v>10.0</v>
      </c>
      <c r="G382" s="140">
        <v>10.0</v>
      </c>
      <c r="H382" s="140">
        <v>60.0</v>
      </c>
      <c r="I382" s="137">
        <f t="shared" si="24"/>
        <v>600</v>
      </c>
      <c r="J382" s="141" t="s">
        <v>178</v>
      </c>
      <c r="K382" s="138"/>
      <c r="L382" s="140" t="s">
        <v>599</v>
      </c>
      <c r="M382" s="139" t="s">
        <v>1514</v>
      </c>
      <c r="N382" s="142" t="s">
        <v>1585</v>
      </c>
      <c r="O382" s="137" t="str">
        <f>IMAGE("https://projecthubbharat.com/wp-content/uploads/2022/02/dht-11-sensor-module-india-800x800-1.jpg",1)</f>
        <v/>
      </c>
      <c r="P382" s="137" t="s">
        <v>1688</v>
      </c>
      <c r="Q382" s="137"/>
      <c r="R382" s="137"/>
      <c r="S382" s="137"/>
      <c r="T382" s="137"/>
      <c r="U382" s="137">
        <v>1.0</v>
      </c>
      <c r="V382" s="143"/>
      <c r="W382" s="144">
        <f t="shared" si="21"/>
        <v>450</v>
      </c>
      <c r="X382" s="176"/>
    </row>
    <row r="383" ht="45.0" customHeight="1">
      <c r="A383" s="137">
        <v>382.0</v>
      </c>
      <c r="B383" s="137" t="s">
        <v>173</v>
      </c>
      <c r="C383" s="137" t="s">
        <v>1587</v>
      </c>
      <c r="D383" s="138" t="s">
        <v>1795</v>
      </c>
      <c r="E383" s="139" t="s">
        <v>1514</v>
      </c>
      <c r="F383" s="140">
        <v>10.0</v>
      </c>
      <c r="G383" s="140">
        <v>10.0</v>
      </c>
      <c r="H383" s="140">
        <v>50.0</v>
      </c>
      <c r="I383" s="137">
        <f t="shared" si="24"/>
        <v>500</v>
      </c>
      <c r="J383" s="141" t="s">
        <v>178</v>
      </c>
      <c r="K383" s="138"/>
      <c r="L383" s="140" t="s">
        <v>518</v>
      </c>
      <c r="M383" s="139" t="s">
        <v>1514</v>
      </c>
      <c r="N383" s="142" t="s">
        <v>1589</v>
      </c>
      <c r="O383" s="137" t="str">
        <f>IMAGE("https://potentiallabs.com/cart/image/cache/catalog/nov-dec/DS18B20-500x500-500x500.jpg",1)</f>
        <v/>
      </c>
      <c r="P383" s="137" t="s">
        <v>1688</v>
      </c>
      <c r="Q383" s="137"/>
      <c r="R383" s="137"/>
      <c r="S383" s="137"/>
      <c r="T383" s="137"/>
      <c r="U383" s="137">
        <v>1.0</v>
      </c>
      <c r="V383" s="143"/>
      <c r="W383" s="144">
        <f t="shared" si="21"/>
        <v>450</v>
      </c>
      <c r="X383" s="176"/>
    </row>
    <row r="384" ht="45.0" customHeight="1">
      <c r="A384" s="137">
        <v>383.0</v>
      </c>
      <c r="B384" s="137" t="s">
        <v>173</v>
      </c>
      <c r="C384" s="137" t="s">
        <v>1591</v>
      </c>
      <c r="D384" s="138" t="s">
        <v>1798</v>
      </c>
      <c r="E384" s="139" t="s">
        <v>1514</v>
      </c>
      <c r="F384" s="140">
        <v>20.0</v>
      </c>
      <c r="G384" s="140">
        <v>20.0</v>
      </c>
      <c r="H384" s="140">
        <v>5.0</v>
      </c>
      <c r="I384" s="137">
        <f t="shared" si="24"/>
        <v>100</v>
      </c>
      <c r="J384" s="141" t="s">
        <v>178</v>
      </c>
      <c r="K384" s="138"/>
      <c r="L384" s="140" t="s">
        <v>518</v>
      </c>
      <c r="M384" s="139" t="s">
        <v>1514</v>
      </c>
      <c r="N384" s="142" t="s">
        <v>1593</v>
      </c>
      <c r="O384" s="140" t="str">
        <f>IMAGE("https://5.imimg.com/data5/SELLER/Default/2021/9/HF/RK/UF/37611021/10k-ohm-ntc-thermistor-500x500.jpg",1)</f>
        <v/>
      </c>
      <c r="P384" s="137" t="s">
        <v>1688</v>
      </c>
      <c r="Q384" s="137"/>
      <c r="R384" s="137"/>
      <c r="S384" s="137"/>
      <c r="T384" s="137"/>
      <c r="U384" s="137">
        <v>1.0</v>
      </c>
      <c r="V384" s="143"/>
      <c r="W384" s="144">
        <f t="shared" si="21"/>
        <v>900</v>
      </c>
      <c r="X384" s="176"/>
    </row>
    <row r="385" ht="45.0" customHeight="1">
      <c r="A385" s="137">
        <v>384.0</v>
      </c>
      <c r="B385" s="137" t="s">
        <v>173</v>
      </c>
      <c r="C385" s="137" t="s">
        <v>1595</v>
      </c>
      <c r="D385" s="138" t="s">
        <v>1777</v>
      </c>
      <c r="E385" s="139" t="s">
        <v>1514</v>
      </c>
      <c r="F385" s="140">
        <v>5.0</v>
      </c>
      <c r="G385" s="140">
        <v>5.0</v>
      </c>
      <c r="H385" s="140">
        <v>150.0</v>
      </c>
      <c r="I385" s="137">
        <f t="shared" si="24"/>
        <v>750</v>
      </c>
      <c r="J385" s="141" t="s">
        <v>178</v>
      </c>
      <c r="K385" s="138"/>
      <c r="L385" s="140" t="s">
        <v>599</v>
      </c>
      <c r="M385" s="139" t="s">
        <v>1514</v>
      </c>
      <c r="N385" s="142" t="s">
        <v>1597</v>
      </c>
      <c r="O385" s="137" t="str">
        <f>IMAGE("https://media.distrelec.com/Web/WebShopImages/landscape_large/7-/01/Adafruit_163_30129187-01.jpg",1)</f>
        <v/>
      </c>
      <c r="P385" s="137" t="s">
        <v>1688</v>
      </c>
      <c r="Q385" s="137"/>
      <c r="R385" s="137"/>
      <c r="S385" s="137"/>
      <c r="T385" s="137"/>
      <c r="U385" s="137">
        <v>1.0</v>
      </c>
      <c r="V385" s="143"/>
      <c r="W385" s="144">
        <f t="shared" si="21"/>
        <v>225</v>
      </c>
      <c r="X385" s="176"/>
    </row>
    <row r="386" ht="45.0" customHeight="1">
      <c r="A386" s="137">
        <v>385.0</v>
      </c>
      <c r="B386" s="137" t="s">
        <v>173</v>
      </c>
      <c r="C386" s="137" t="s">
        <v>1618</v>
      </c>
      <c r="D386" s="138" t="s">
        <v>1619</v>
      </c>
      <c r="E386" s="139" t="s">
        <v>1514</v>
      </c>
      <c r="F386" s="140">
        <v>10.0</v>
      </c>
      <c r="G386" s="140">
        <v>10.0</v>
      </c>
      <c r="H386" s="140">
        <v>50.0</v>
      </c>
      <c r="I386" s="137">
        <f t="shared" si="24"/>
        <v>500</v>
      </c>
      <c r="J386" s="141" t="s">
        <v>178</v>
      </c>
      <c r="K386" s="138"/>
      <c r="L386" s="140" t="s">
        <v>599</v>
      </c>
      <c r="M386" s="139" t="s">
        <v>1514</v>
      </c>
      <c r="N386" s="142" t="s">
        <v>1620</v>
      </c>
      <c r="O386" s="137" t="str">
        <f>IMAGE("https://i0.wp.com/superbtech.in/wp-content/uploads/2020/07/2-60.jpg?fit=500%2C500&amp;ssl=1",1)</f>
        <v/>
      </c>
      <c r="P386" s="137" t="s">
        <v>1688</v>
      </c>
      <c r="Q386" s="137"/>
      <c r="R386" s="137"/>
      <c r="S386" s="137"/>
      <c r="T386" s="137"/>
      <c r="U386" s="137">
        <v>1.0</v>
      </c>
      <c r="V386" s="143"/>
      <c r="W386" s="144">
        <f t="shared" si="21"/>
        <v>450</v>
      </c>
      <c r="X386" s="176"/>
    </row>
    <row r="387" ht="45.0" customHeight="1">
      <c r="A387" s="137">
        <v>386.0</v>
      </c>
      <c r="B387" s="137" t="s">
        <v>173</v>
      </c>
      <c r="C387" s="137" t="s">
        <v>1622</v>
      </c>
      <c r="D387" s="138" t="s">
        <v>1623</v>
      </c>
      <c r="E387" s="139" t="s">
        <v>1514</v>
      </c>
      <c r="F387" s="140">
        <v>5.0</v>
      </c>
      <c r="G387" s="140">
        <v>5.0</v>
      </c>
      <c r="H387" s="140">
        <v>150.0</v>
      </c>
      <c r="I387" s="137">
        <f t="shared" si="24"/>
        <v>750</v>
      </c>
      <c r="J387" s="141" t="s">
        <v>178</v>
      </c>
      <c r="K387" s="138"/>
      <c r="L387" s="140" t="s">
        <v>249</v>
      </c>
      <c r="M387" s="139" t="s">
        <v>1514</v>
      </c>
      <c r="N387" s="142" t="s">
        <v>1624</v>
      </c>
      <c r="O387" s="137" t="str">
        <f>IMAGE("https://cdn.shopify.com/s/files/1/0559/1970/6265/products/1_9713a8db-db1e-42d0-a3e7-eebb7f66c4e9.jpg?v=1670581925",1)</f>
        <v/>
      </c>
      <c r="P387" s="137" t="s">
        <v>1688</v>
      </c>
      <c r="Q387" s="137"/>
      <c r="R387" s="137"/>
      <c r="S387" s="137"/>
      <c r="T387" s="137"/>
      <c r="U387" s="137">
        <v>1.0</v>
      </c>
      <c r="V387" s="143"/>
      <c r="W387" s="144">
        <f t="shared" si="21"/>
        <v>225</v>
      </c>
      <c r="X387" s="176"/>
    </row>
    <row r="388" ht="45.0" hidden="1" customHeight="1">
      <c r="A388" s="137">
        <v>387.0</v>
      </c>
      <c r="B388" s="163" t="s">
        <v>15</v>
      </c>
      <c r="C388" s="163" t="s">
        <v>1599</v>
      </c>
      <c r="D388" s="164" t="s">
        <v>1600</v>
      </c>
      <c r="E388" s="165" t="s">
        <v>1601</v>
      </c>
      <c r="F388" s="163">
        <v>1.0</v>
      </c>
      <c r="G388" s="163">
        <v>1.0</v>
      </c>
      <c r="H388" s="163"/>
      <c r="I388" s="163">
        <f t="shared" si="24"/>
        <v>0</v>
      </c>
      <c r="J388" s="167" t="s">
        <v>20</v>
      </c>
      <c r="K388" s="164" t="s">
        <v>65</v>
      </c>
      <c r="L388" s="166" t="s">
        <v>65</v>
      </c>
      <c r="M388" s="164" t="s">
        <v>1987</v>
      </c>
      <c r="N388" s="168"/>
      <c r="O388" s="163" t="str">
        <f>IMAGE("https://5.imimg.com/data5/SELLER/Default/2022/10/QQ/KR/IQ/23162102/singer-s0303-sewing-machine.png",1)</f>
        <v/>
      </c>
      <c r="P388" s="163"/>
      <c r="Q388" s="163"/>
      <c r="R388" s="163"/>
      <c r="S388" s="163"/>
      <c r="T388" s="163"/>
      <c r="U388" s="169">
        <v>4.0</v>
      </c>
      <c r="V388" s="134" t="s">
        <v>1923</v>
      </c>
      <c r="W388" s="144">
        <f t="shared" si="21"/>
        <v>45</v>
      </c>
      <c r="X388" s="136"/>
    </row>
    <row r="389" ht="45.0" hidden="1" customHeight="1">
      <c r="A389" s="149">
        <v>388.0</v>
      </c>
      <c r="B389" s="149" t="s">
        <v>15</v>
      </c>
      <c r="C389" s="149" t="s">
        <v>1603</v>
      </c>
      <c r="D389" s="150" t="s">
        <v>1604</v>
      </c>
      <c r="E389" s="151" t="s">
        <v>1601</v>
      </c>
      <c r="F389" s="149">
        <v>1.0</v>
      </c>
      <c r="G389" s="149">
        <v>1.0</v>
      </c>
      <c r="H389" s="149">
        <v>90.0</v>
      </c>
      <c r="I389" s="149">
        <f t="shared" si="24"/>
        <v>90</v>
      </c>
      <c r="J389" s="153" t="s">
        <v>20</v>
      </c>
      <c r="K389" s="150" t="s">
        <v>65</v>
      </c>
      <c r="L389" s="152" t="s">
        <v>1605</v>
      </c>
      <c r="M389" s="150" t="s">
        <v>1987</v>
      </c>
      <c r="N389" s="154"/>
      <c r="O389" s="149" t="str">
        <f>IMAGE("https://3.imimg.com/data3/HA/PB/MY-3231014/sewing-needle.jpg",1)</f>
        <v/>
      </c>
      <c r="P389" s="149"/>
      <c r="Q389" s="155"/>
      <c r="R389" s="155"/>
      <c r="S389" s="149"/>
      <c r="T389" s="149"/>
      <c r="U389" s="156">
        <v>0.0</v>
      </c>
      <c r="V389" s="157"/>
      <c r="W389" s="158">
        <f t="shared" si="21"/>
        <v>45</v>
      </c>
      <c r="X389" s="175"/>
    </row>
    <row r="390" ht="45.0" hidden="1" customHeight="1">
      <c r="A390" s="149">
        <v>389.0</v>
      </c>
      <c r="B390" s="149" t="s">
        <v>15</v>
      </c>
      <c r="C390" s="149" t="s">
        <v>1607</v>
      </c>
      <c r="D390" s="150" t="s">
        <v>1608</v>
      </c>
      <c r="E390" s="151" t="s">
        <v>1601</v>
      </c>
      <c r="F390" s="149">
        <v>2.0</v>
      </c>
      <c r="G390" s="149">
        <v>2.0</v>
      </c>
      <c r="H390" s="149">
        <v>300.0</v>
      </c>
      <c r="I390" s="149">
        <f t="shared" si="24"/>
        <v>600</v>
      </c>
      <c r="J390" s="153" t="s">
        <v>20</v>
      </c>
      <c r="K390" s="150" t="s">
        <v>65</v>
      </c>
      <c r="L390" s="152" t="s">
        <v>1605</v>
      </c>
      <c r="M390" s="150" t="s">
        <v>1987</v>
      </c>
      <c r="N390" s="154"/>
      <c r="O390" s="149" t="str">
        <f>IMAGE("https://m.media-amazon.com/images/W/MEDIAX_792452-T2/images/I/71vxqqo9r7L.jpg",1)</f>
        <v/>
      </c>
      <c r="P390" s="149"/>
      <c r="Q390" s="149"/>
      <c r="R390" s="149"/>
      <c r="S390" s="149"/>
      <c r="T390" s="149"/>
      <c r="U390" s="156">
        <v>0.0</v>
      </c>
      <c r="V390" s="157"/>
      <c r="W390" s="158">
        <f t="shared" si="21"/>
        <v>90</v>
      </c>
      <c r="X390" s="175"/>
    </row>
    <row r="391" ht="45.0" hidden="1" customHeight="1">
      <c r="A391" s="149">
        <v>390.0</v>
      </c>
      <c r="B391" s="149" t="s">
        <v>342</v>
      </c>
      <c r="C391" s="149" t="s">
        <v>1610</v>
      </c>
      <c r="D391" s="150" t="s">
        <v>1611</v>
      </c>
      <c r="E391" s="151" t="s">
        <v>1601</v>
      </c>
      <c r="F391" s="149">
        <v>5.0</v>
      </c>
      <c r="G391" s="149">
        <v>5.0</v>
      </c>
      <c r="H391" s="149">
        <v>10.0</v>
      </c>
      <c r="I391" s="149">
        <f t="shared" si="24"/>
        <v>50</v>
      </c>
      <c r="J391" s="153" t="s">
        <v>347</v>
      </c>
      <c r="K391" s="150" t="s">
        <v>65</v>
      </c>
      <c r="L391" s="152" t="s">
        <v>1605</v>
      </c>
      <c r="M391" s="150" t="s">
        <v>1987</v>
      </c>
      <c r="N391" s="154" t="s">
        <v>1612</v>
      </c>
      <c r="O391" s="149" t="str">
        <f>IMAGE("https://delhi6online.in/cdn/shop/products/S1_800x.jpg?v=1545883083.jpg",1)</f>
        <v/>
      </c>
      <c r="P391" s="149"/>
      <c r="Q391" s="149" t="s">
        <v>1719</v>
      </c>
      <c r="R391" s="149"/>
      <c r="S391" s="149"/>
      <c r="T391" s="149"/>
      <c r="U391" s="156">
        <v>0.0</v>
      </c>
      <c r="V391" s="157"/>
      <c r="W391" s="158">
        <f t="shared" si="21"/>
        <v>225</v>
      </c>
      <c r="X391" s="175"/>
    </row>
    <row r="392" ht="45.0" hidden="1" customHeight="1">
      <c r="A392" s="149">
        <v>391.0</v>
      </c>
      <c r="B392" s="149" t="s">
        <v>342</v>
      </c>
      <c r="C392" s="149" t="s">
        <v>1614</v>
      </c>
      <c r="D392" s="150" t="s">
        <v>1615</v>
      </c>
      <c r="E392" s="151" t="s">
        <v>1601</v>
      </c>
      <c r="F392" s="149">
        <v>5.0</v>
      </c>
      <c r="G392" s="149">
        <v>5.0</v>
      </c>
      <c r="H392" s="149">
        <v>30.0</v>
      </c>
      <c r="I392" s="149">
        <f t="shared" si="24"/>
        <v>150</v>
      </c>
      <c r="J392" s="153" t="s">
        <v>347</v>
      </c>
      <c r="K392" s="150" t="s">
        <v>65</v>
      </c>
      <c r="L392" s="152" t="s">
        <v>1605</v>
      </c>
      <c r="M392" s="150" t="s">
        <v>1987</v>
      </c>
      <c r="N392" s="154" t="s">
        <v>1616</v>
      </c>
      <c r="O392" s="149" t="str">
        <f>IMAGE("https://4.imimg.com/data4/JF/WX/MY-2704359/thread-cutter-1000x1000.jpg",1)</f>
        <v/>
      </c>
      <c r="P392" s="149"/>
      <c r="Q392" s="149"/>
      <c r="R392" s="149"/>
      <c r="S392" s="149"/>
      <c r="T392" s="149"/>
      <c r="U392" s="156">
        <v>0.0</v>
      </c>
      <c r="V392" s="157"/>
      <c r="W392" s="158">
        <f t="shared" si="21"/>
        <v>225</v>
      </c>
      <c r="X392" s="175"/>
    </row>
    <row r="393" ht="45.0" hidden="1" customHeight="1">
      <c r="A393" s="137">
        <v>392.0</v>
      </c>
      <c r="B393" s="137" t="s">
        <v>173</v>
      </c>
      <c r="C393" s="137" t="s">
        <v>1626</v>
      </c>
      <c r="D393" s="138" t="s">
        <v>1627</v>
      </c>
      <c r="E393" s="139" t="s">
        <v>1628</v>
      </c>
      <c r="F393" s="140">
        <v>10.0</v>
      </c>
      <c r="G393" s="140">
        <v>10.0</v>
      </c>
      <c r="H393" s="140">
        <v>20.0</v>
      </c>
      <c r="I393" s="137">
        <f t="shared" si="24"/>
        <v>200</v>
      </c>
      <c r="J393" s="141" t="s">
        <v>178</v>
      </c>
      <c r="K393" s="138"/>
      <c r="L393" s="140" t="s">
        <v>110</v>
      </c>
      <c r="M393" s="138" t="s">
        <v>1628</v>
      </c>
      <c r="N393" s="142" t="s">
        <v>1630</v>
      </c>
      <c r="O393" s="137" t="str">
        <f>IMAGE("https://m.media-amazon.com/images/W/MEDIAX_792452-T2/images/I/419leG1YjXL.jpg",1)</f>
        <v/>
      </c>
      <c r="P393" s="137" t="s">
        <v>1688</v>
      </c>
      <c r="Q393" s="137"/>
      <c r="R393" s="137"/>
      <c r="S393" s="137"/>
      <c r="T393" s="137"/>
      <c r="U393" s="137">
        <v>1.0</v>
      </c>
      <c r="V393" s="143"/>
      <c r="W393" s="144">
        <f t="shared" si="21"/>
        <v>450</v>
      </c>
      <c r="X393" s="176"/>
    </row>
    <row r="394" ht="45.0" hidden="1" customHeight="1">
      <c r="A394" s="137">
        <v>393.0</v>
      </c>
      <c r="B394" s="137" t="s">
        <v>173</v>
      </c>
      <c r="C394" s="137" t="s">
        <v>1632</v>
      </c>
      <c r="D394" s="138" t="s">
        <v>1633</v>
      </c>
      <c r="E394" s="139" t="s">
        <v>1628</v>
      </c>
      <c r="F394" s="140">
        <v>10.0</v>
      </c>
      <c r="G394" s="140">
        <v>10.0</v>
      </c>
      <c r="H394" s="140">
        <v>100.0</v>
      </c>
      <c r="I394" s="137">
        <f t="shared" si="24"/>
        <v>1000</v>
      </c>
      <c r="J394" s="141" t="s">
        <v>178</v>
      </c>
      <c r="K394" s="138"/>
      <c r="L394" s="140" t="s">
        <v>110</v>
      </c>
      <c r="M394" s="138" t="s">
        <v>1628</v>
      </c>
      <c r="N394" s="142" t="s">
        <v>1634</v>
      </c>
      <c r="O394" s="137" t="str">
        <f>IMAGE("https://i0.wp.com/armsol.in/wp-content/uploads/2021/08/1-5-rotated.jpg?fit=600%2C600&amp;ssl=1",1)</f>
        <v/>
      </c>
      <c r="P394" s="137" t="s">
        <v>1688</v>
      </c>
      <c r="Q394" s="137"/>
      <c r="R394" s="137"/>
      <c r="S394" s="137"/>
      <c r="T394" s="137"/>
      <c r="U394" s="137">
        <v>1.0</v>
      </c>
      <c r="V394" s="143"/>
      <c r="W394" s="144">
        <f t="shared" si="21"/>
        <v>450</v>
      </c>
      <c r="X394" s="176"/>
    </row>
    <row r="395" ht="45.0" hidden="1" customHeight="1">
      <c r="A395" s="137">
        <v>394.0</v>
      </c>
      <c r="B395" s="137" t="s">
        <v>173</v>
      </c>
      <c r="C395" s="137" t="s">
        <v>1636</v>
      </c>
      <c r="D395" s="138" t="s">
        <v>1988</v>
      </c>
      <c r="E395" s="139" t="s">
        <v>1628</v>
      </c>
      <c r="F395" s="140">
        <v>30.0</v>
      </c>
      <c r="G395" s="140">
        <v>30.0</v>
      </c>
      <c r="H395" s="140">
        <v>20.0</v>
      </c>
      <c r="I395" s="137">
        <f t="shared" si="24"/>
        <v>600</v>
      </c>
      <c r="J395" s="141" t="s">
        <v>178</v>
      </c>
      <c r="K395" s="138"/>
      <c r="L395" s="140" t="s">
        <v>179</v>
      </c>
      <c r="M395" s="138" t="s">
        <v>1628</v>
      </c>
      <c r="N395" s="142" t="s">
        <v>1639</v>
      </c>
      <c r="O395" s="137" t="str">
        <f>IMAGE("https://www.voltaat.com/cdn/shop/products/voltaat-soldering-board-5cm-x-7cm-10728457568358_1024x1024.jpg?v=1628445244")</f>
        <v/>
      </c>
      <c r="P395" s="137" t="s">
        <v>1688</v>
      </c>
      <c r="Q395" s="137"/>
      <c r="R395" s="137"/>
      <c r="S395" s="137"/>
      <c r="T395" s="137"/>
      <c r="U395" s="137">
        <v>1.0</v>
      </c>
      <c r="V395" s="143"/>
      <c r="W395" s="144">
        <f t="shared" si="21"/>
        <v>1350</v>
      </c>
      <c r="X395" s="176"/>
    </row>
    <row r="396" ht="45.0" hidden="1" customHeight="1">
      <c r="A396" s="137">
        <v>395.0</v>
      </c>
      <c r="B396" s="137" t="s">
        <v>173</v>
      </c>
      <c r="C396" s="137" t="s">
        <v>1641</v>
      </c>
      <c r="D396" s="138" t="s">
        <v>1989</v>
      </c>
      <c r="E396" s="139" t="s">
        <v>1628</v>
      </c>
      <c r="F396" s="140">
        <v>10.0</v>
      </c>
      <c r="G396" s="140">
        <v>10.0</v>
      </c>
      <c r="H396" s="140">
        <v>30.0</v>
      </c>
      <c r="I396" s="137">
        <f t="shared" si="24"/>
        <v>300</v>
      </c>
      <c r="J396" s="141" t="s">
        <v>178</v>
      </c>
      <c r="K396" s="138"/>
      <c r="L396" s="140" t="s">
        <v>179</v>
      </c>
      <c r="M396" s="138" t="s">
        <v>1628</v>
      </c>
      <c r="N396" s="142" t="s">
        <v>1643</v>
      </c>
      <c r="O396" s="137" t="str">
        <f>IMAGE("https://m.media-amazon.com/images/W/MEDIAX_792452-T2/images/I/91hMIBtDtPS._SL1500_.jpg")</f>
        <v/>
      </c>
      <c r="P396" s="137" t="s">
        <v>1688</v>
      </c>
      <c r="Q396" s="137"/>
      <c r="R396" s="137"/>
      <c r="S396" s="137"/>
      <c r="T396" s="137"/>
      <c r="U396" s="137">
        <v>1.0</v>
      </c>
      <c r="V396" s="143"/>
      <c r="W396" s="144">
        <f t="shared" si="21"/>
        <v>450</v>
      </c>
      <c r="X396" s="176"/>
    </row>
    <row r="397" ht="45.0" hidden="1" customHeight="1">
      <c r="A397" s="137">
        <v>396.0</v>
      </c>
      <c r="B397" s="194" t="s">
        <v>173</v>
      </c>
      <c r="C397" s="194" t="s">
        <v>1645</v>
      </c>
      <c r="D397" s="195" t="s">
        <v>1646</v>
      </c>
      <c r="E397" s="196" t="s">
        <v>1628</v>
      </c>
      <c r="F397" s="197">
        <v>5.0</v>
      </c>
      <c r="G397" s="197">
        <v>5.0</v>
      </c>
      <c r="H397" s="197">
        <v>20.0</v>
      </c>
      <c r="I397" s="194">
        <f t="shared" si="24"/>
        <v>100</v>
      </c>
      <c r="J397" s="198" t="s">
        <v>178</v>
      </c>
      <c r="K397" s="195"/>
      <c r="L397" s="197" t="s">
        <v>110</v>
      </c>
      <c r="M397" s="195" t="s">
        <v>1628</v>
      </c>
      <c r="N397" s="199" t="s">
        <v>1647</v>
      </c>
      <c r="O397" s="194" t="str">
        <f>IMAGE("https://5.imimg.com/data5/SELLER/Default/2022/1/IK/KY/AC/131638211/31tvrpe7ijl-500x500.jpg")</f>
        <v/>
      </c>
      <c r="P397" s="194" t="s">
        <v>1725</v>
      </c>
      <c r="Q397" s="194"/>
      <c r="R397" s="194"/>
      <c r="S397" s="194"/>
      <c r="T397" s="194"/>
      <c r="U397" s="146">
        <v>1.0</v>
      </c>
      <c r="V397" s="143"/>
      <c r="W397" s="144">
        <f t="shared" si="21"/>
        <v>225</v>
      </c>
      <c r="X397" s="176"/>
    </row>
    <row r="398" ht="45.0" hidden="1" customHeight="1">
      <c r="A398" s="137">
        <v>397.0</v>
      </c>
      <c r="B398" s="194" t="s">
        <v>173</v>
      </c>
      <c r="C398" s="194" t="s">
        <v>1649</v>
      </c>
      <c r="D398" s="195" t="s">
        <v>1650</v>
      </c>
      <c r="E398" s="196" t="s">
        <v>1628</v>
      </c>
      <c r="F398" s="197">
        <v>10.0</v>
      </c>
      <c r="G398" s="197">
        <v>10.0</v>
      </c>
      <c r="H398" s="197">
        <v>20.0</v>
      </c>
      <c r="I398" s="194">
        <f t="shared" si="24"/>
        <v>200</v>
      </c>
      <c r="J398" s="198" t="s">
        <v>178</v>
      </c>
      <c r="K398" s="195"/>
      <c r="L398" s="197" t="s">
        <v>110</v>
      </c>
      <c r="M398" s="195" t="s">
        <v>1628</v>
      </c>
      <c r="N398" s="199" t="s">
        <v>1651</v>
      </c>
      <c r="O398" s="194" t="str">
        <f>IMAGE("https://i0.wp.com/roboticsdna.in/wp-content/uploads/2020/11/IRON-TIP-1.png?fit=1000%2C1000&amp;ssl=1",1)</f>
        <v/>
      </c>
      <c r="P398" s="194" t="s">
        <v>1725</v>
      </c>
      <c r="Q398" s="194"/>
      <c r="R398" s="194"/>
      <c r="S398" s="194"/>
      <c r="T398" s="194"/>
      <c r="U398" s="146">
        <v>1.0</v>
      </c>
      <c r="V398" s="143"/>
      <c r="W398" s="144">
        <f t="shared" si="21"/>
        <v>450</v>
      </c>
      <c r="X398" s="176"/>
    </row>
    <row r="399" ht="45.0" hidden="1" customHeight="1">
      <c r="A399" s="137">
        <v>398.0</v>
      </c>
      <c r="B399" s="194" t="s">
        <v>173</v>
      </c>
      <c r="C399" s="194" t="s">
        <v>1653</v>
      </c>
      <c r="D399" s="195" t="s">
        <v>1654</v>
      </c>
      <c r="E399" s="196" t="s">
        <v>1628</v>
      </c>
      <c r="F399" s="197">
        <v>10.0</v>
      </c>
      <c r="G399" s="197">
        <v>10.0</v>
      </c>
      <c r="H399" s="197">
        <v>20.0</v>
      </c>
      <c r="I399" s="194">
        <f t="shared" si="24"/>
        <v>200</v>
      </c>
      <c r="J399" s="198" t="s">
        <v>178</v>
      </c>
      <c r="K399" s="195"/>
      <c r="L399" s="197" t="s">
        <v>110</v>
      </c>
      <c r="M399" s="195" t="s">
        <v>1628</v>
      </c>
      <c r="N399" s="199" t="s">
        <v>1655</v>
      </c>
      <c r="O399" s="194" t="str">
        <f>IMAGE("https://www.toolworld.in/storage/media/product/1656317774.jpg",1)</f>
        <v/>
      </c>
      <c r="P399" s="194" t="s">
        <v>1725</v>
      </c>
      <c r="Q399" s="194"/>
      <c r="R399" s="194"/>
      <c r="S399" s="194"/>
      <c r="T399" s="194"/>
      <c r="U399" s="146">
        <v>1.0</v>
      </c>
      <c r="V399" s="143"/>
      <c r="W399" s="144">
        <f t="shared" si="21"/>
        <v>450</v>
      </c>
      <c r="X399" s="176"/>
    </row>
    <row r="400" ht="45.0" hidden="1" customHeight="1">
      <c r="A400" s="137">
        <v>399.0</v>
      </c>
      <c r="B400" s="137" t="s">
        <v>173</v>
      </c>
      <c r="C400" s="137" t="s">
        <v>1657</v>
      </c>
      <c r="D400" s="138" t="s">
        <v>1658</v>
      </c>
      <c r="E400" s="139" t="s">
        <v>1628</v>
      </c>
      <c r="F400" s="140">
        <v>10.0</v>
      </c>
      <c r="G400" s="140">
        <v>10.0</v>
      </c>
      <c r="H400" s="140">
        <v>50.0</v>
      </c>
      <c r="I400" s="137">
        <f t="shared" si="24"/>
        <v>500</v>
      </c>
      <c r="J400" s="141" t="s">
        <v>178</v>
      </c>
      <c r="K400" s="138"/>
      <c r="L400" s="140" t="s">
        <v>110</v>
      </c>
      <c r="M400" s="138" t="s">
        <v>1628</v>
      </c>
      <c r="N400" s="142" t="s">
        <v>1659</v>
      </c>
      <c r="O400" s="137" t="str">
        <f>IMAGE("https://m.media-amazon.com/images/W/MEDIAX_792452-T2/images/I/41OjS3jnL4L.jpg",1)</f>
        <v/>
      </c>
      <c r="P400" s="137" t="s">
        <v>1688</v>
      </c>
      <c r="Q400" s="137"/>
      <c r="R400" s="137"/>
      <c r="S400" s="137"/>
      <c r="T400" s="137"/>
      <c r="U400" s="137">
        <v>1.0</v>
      </c>
      <c r="V400" s="143"/>
      <c r="W400" s="144">
        <f t="shared" si="21"/>
        <v>450</v>
      </c>
      <c r="X400" s="176"/>
    </row>
    <row r="401" ht="45.0" hidden="1" customHeight="1">
      <c r="A401" s="137">
        <v>400.0</v>
      </c>
      <c r="B401" s="194" t="s">
        <v>173</v>
      </c>
      <c r="C401" s="194" t="s">
        <v>1661</v>
      </c>
      <c r="D401" s="195" t="s">
        <v>1662</v>
      </c>
      <c r="E401" s="196" t="s">
        <v>1628</v>
      </c>
      <c r="F401" s="197">
        <v>2.0</v>
      </c>
      <c r="G401" s="197">
        <v>2.0</v>
      </c>
      <c r="H401" s="197">
        <v>500.0</v>
      </c>
      <c r="I401" s="194">
        <f t="shared" si="24"/>
        <v>1000</v>
      </c>
      <c r="J401" s="198" t="s">
        <v>178</v>
      </c>
      <c r="K401" s="195" t="s">
        <v>47</v>
      </c>
      <c r="L401" s="197"/>
      <c r="M401" s="195" t="s">
        <v>1628</v>
      </c>
      <c r="N401" s="199" t="s">
        <v>1663</v>
      </c>
      <c r="O401" s="137" t="str">
        <f>IMAGE("https://m.media-amazon.com/images/I/61W+Ar0Fe6L.jpg", 1)</f>
        <v/>
      </c>
      <c r="P401" s="200" t="s">
        <v>1684</v>
      </c>
      <c r="Q401" s="194">
        <v>120.0</v>
      </c>
      <c r="R401" s="194"/>
      <c r="S401" s="194"/>
      <c r="T401" s="194"/>
      <c r="U401" s="146">
        <v>2.0</v>
      </c>
      <c r="V401" s="134" t="s">
        <v>1965</v>
      </c>
      <c r="W401" s="135"/>
      <c r="X401" s="136"/>
    </row>
    <row r="402" ht="45.0" hidden="1" customHeight="1">
      <c r="A402" s="137">
        <v>401.0</v>
      </c>
      <c r="B402" s="137" t="s">
        <v>173</v>
      </c>
      <c r="C402" s="137" t="s">
        <v>1665</v>
      </c>
      <c r="D402" s="138" t="s">
        <v>1666</v>
      </c>
      <c r="E402" s="139" t="s">
        <v>1628</v>
      </c>
      <c r="F402" s="140">
        <v>10.0</v>
      </c>
      <c r="G402" s="140">
        <v>10.0</v>
      </c>
      <c r="H402" s="140">
        <v>300.0</v>
      </c>
      <c r="I402" s="137">
        <f t="shared" si="24"/>
        <v>3000</v>
      </c>
      <c r="J402" s="141" t="s">
        <v>178</v>
      </c>
      <c r="K402" s="138"/>
      <c r="L402" s="140" t="s">
        <v>110</v>
      </c>
      <c r="M402" s="138" t="s">
        <v>1628</v>
      </c>
      <c r="N402" s="142" t="s">
        <v>1667</v>
      </c>
      <c r="O402" s="137" t="str">
        <f>IMAGE("https://robu.in/wp-content/uploads/2015/10/Soldron-25-Watt-Iron-Soldering-Gun-5.jpg")</f>
        <v/>
      </c>
      <c r="P402" s="137" t="s">
        <v>1725</v>
      </c>
      <c r="Q402" s="137"/>
      <c r="R402" s="137"/>
      <c r="S402" s="137"/>
      <c r="T402" s="137"/>
      <c r="U402" s="137">
        <v>1.0</v>
      </c>
      <c r="V402" s="143"/>
      <c r="W402" s="144">
        <f t="shared" ref="W402:W405" si="25">G402*45</f>
        <v>450</v>
      </c>
      <c r="X402" s="176"/>
    </row>
    <row r="403" ht="45.0" hidden="1" customHeight="1">
      <c r="A403" s="149">
        <v>402.0</v>
      </c>
      <c r="B403" s="149" t="s">
        <v>173</v>
      </c>
      <c r="C403" s="149" t="s">
        <v>1669</v>
      </c>
      <c r="D403" s="150" t="s">
        <v>1670</v>
      </c>
      <c r="E403" s="151" t="s">
        <v>1628</v>
      </c>
      <c r="F403" s="152">
        <v>1.0</v>
      </c>
      <c r="G403" s="152">
        <v>1.0</v>
      </c>
      <c r="H403" s="152">
        <v>200.0</v>
      </c>
      <c r="I403" s="149">
        <f t="shared" si="24"/>
        <v>200</v>
      </c>
      <c r="J403" s="153" t="s">
        <v>178</v>
      </c>
      <c r="K403" s="150" t="s">
        <v>47</v>
      </c>
      <c r="L403" s="152"/>
      <c r="M403" s="150" t="s">
        <v>1628</v>
      </c>
      <c r="N403" s="154" t="s">
        <v>1671</v>
      </c>
      <c r="O403" s="149" t="str">
        <f>IMAGE("https://m.media-amazon.com/images/I/71Nb2wKaZgS._SL1500_.jpg", 1)</f>
        <v/>
      </c>
      <c r="P403" s="159" t="s">
        <v>1684</v>
      </c>
      <c r="Q403" s="149">
        <v>60.0</v>
      </c>
      <c r="R403" s="149"/>
      <c r="S403" s="149"/>
      <c r="T403" s="149"/>
      <c r="U403" s="156">
        <v>0.0</v>
      </c>
      <c r="V403" s="171" t="s">
        <v>1936</v>
      </c>
      <c r="W403" s="158">
        <f t="shared" si="25"/>
        <v>45</v>
      </c>
      <c r="X403" s="178"/>
    </row>
    <row r="404" ht="45.0" hidden="1" customHeight="1">
      <c r="A404" s="149">
        <v>403.0</v>
      </c>
      <c r="B404" s="149" t="s">
        <v>173</v>
      </c>
      <c r="C404" s="149" t="s">
        <v>1673</v>
      </c>
      <c r="D404" s="150" t="s">
        <v>1674</v>
      </c>
      <c r="E404" s="151" t="s">
        <v>1628</v>
      </c>
      <c r="F404" s="152">
        <v>10.0</v>
      </c>
      <c r="G404" s="152">
        <v>10.0</v>
      </c>
      <c r="H404" s="152">
        <v>65.0</v>
      </c>
      <c r="I404" s="149">
        <f t="shared" si="24"/>
        <v>650</v>
      </c>
      <c r="J404" s="153" t="s">
        <v>178</v>
      </c>
      <c r="K404" s="150"/>
      <c r="L404" s="152" t="s">
        <v>110</v>
      </c>
      <c r="M404" s="150" t="s">
        <v>1628</v>
      </c>
      <c r="N404" s="154" t="s">
        <v>1675</v>
      </c>
      <c r="O404" s="149" t="str">
        <f>IMAGE("https://5.imimg.com/data5/SELLER/Default/2023/2/NI/NX/RN/104755894/soldering-iron-stand-with-sponge-and-outer-protection-sharvielectronics-1.jpg", 1)</f>
        <v/>
      </c>
      <c r="P404" s="149" t="s">
        <v>1725</v>
      </c>
      <c r="Q404" s="149"/>
      <c r="R404" s="149"/>
      <c r="S404" s="149"/>
      <c r="T404" s="149"/>
      <c r="U404" s="156">
        <v>0.0</v>
      </c>
      <c r="V404" s="171" t="s">
        <v>1936</v>
      </c>
      <c r="W404" s="158">
        <f t="shared" si="25"/>
        <v>450</v>
      </c>
      <c r="X404" s="178"/>
    </row>
    <row r="405" ht="45.0" hidden="1" customHeight="1">
      <c r="A405" s="137">
        <v>404.0</v>
      </c>
      <c r="B405" s="137" t="s">
        <v>173</v>
      </c>
      <c r="C405" s="137" t="s">
        <v>1677</v>
      </c>
      <c r="D405" s="138" t="s">
        <v>1678</v>
      </c>
      <c r="E405" s="139" t="s">
        <v>1628</v>
      </c>
      <c r="F405" s="140">
        <v>10.0</v>
      </c>
      <c r="G405" s="140">
        <v>10.0</v>
      </c>
      <c r="H405" s="140">
        <v>100.0</v>
      </c>
      <c r="I405" s="137">
        <f t="shared" si="24"/>
        <v>1000</v>
      </c>
      <c r="J405" s="141" t="s">
        <v>178</v>
      </c>
      <c r="K405" s="138"/>
      <c r="L405" s="140" t="s">
        <v>110</v>
      </c>
      <c r="M405" s="138" t="s">
        <v>1628</v>
      </c>
      <c r="N405" s="142" t="s">
        <v>1679</v>
      </c>
      <c r="O405" s="137" t="str">
        <f>IMAGE("https://5.imimg.com/data5/FT/MG/MY-9316309/soldering-wire-500x500.jpg",1)</f>
        <v/>
      </c>
      <c r="P405" s="137" t="s">
        <v>1688</v>
      </c>
      <c r="Q405" s="147"/>
      <c r="R405" s="147"/>
      <c r="S405" s="137"/>
      <c r="T405" s="137"/>
      <c r="U405" s="137">
        <v>1.0</v>
      </c>
      <c r="V405" s="143"/>
      <c r="W405" s="144">
        <f t="shared" si="25"/>
        <v>450</v>
      </c>
      <c r="X405" s="176"/>
    </row>
    <row r="406" ht="45.0" hidden="1" customHeight="1">
      <c r="A406" s="149">
        <v>405.0</v>
      </c>
      <c r="B406" s="149" t="s">
        <v>461</v>
      </c>
      <c r="C406" s="149" t="s">
        <v>482</v>
      </c>
      <c r="D406" s="177" t="s">
        <v>1990</v>
      </c>
      <c r="E406" s="151" t="s">
        <v>465</v>
      </c>
      <c r="F406" s="152">
        <v>1.0</v>
      </c>
      <c r="G406" s="152">
        <v>1.0</v>
      </c>
      <c r="H406" s="160">
        <v>32000.0</v>
      </c>
      <c r="I406" s="149">
        <f t="shared" si="24"/>
        <v>32000</v>
      </c>
      <c r="J406" s="153" t="s">
        <v>466</v>
      </c>
      <c r="K406" s="150" t="s">
        <v>47</v>
      </c>
      <c r="L406" s="152" t="s">
        <v>65</v>
      </c>
      <c r="M406" s="150" t="s">
        <v>1991</v>
      </c>
      <c r="N406" s="154" t="s">
        <v>484</v>
      </c>
      <c r="O406" s="149" t="str">
        <f>IMAGE("https://robu.in/wp-content/uploads/2022/12/Creality-X-Ender-CR-Laser-Falcon-Laser-Engraver-10W-1.jpg",1)</f>
        <v/>
      </c>
      <c r="P406" s="159" t="s">
        <v>1684</v>
      </c>
      <c r="Q406" s="149">
        <v>55.0</v>
      </c>
      <c r="R406" s="149"/>
      <c r="S406" s="149"/>
      <c r="T406" s="149"/>
      <c r="U406" s="156">
        <v>0.0</v>
      </c>
      <c r="V406" s="171" t="s">
        <v>1936</v>
      </c>
      <c r="W406" s="201">
        <v>44.0</v>
      </c>
      <c r="X406" s="178"/>
    </row>
    <row r="407" ht="45.0" hidden="1" customHeight="1">
      <c r="A407" s="149">
        <v>406.0</v>
      </c>
      <c r="B407" s="149"/>
      <c r="C407" s="152" t="s">
        <v>1992</v>
      </c>
      <c r="D407" s="150" t="s">
        <v>1993</v>
      </c>
      <c r="E407" s="151" t="s">
        <v>465</v>
      </c>
      <c r="F407" s="152"/>
      <c r="G407" s="152">
        <v>1.0</v>
      </c>
      <c r="H407" s="152"/>
      <c r="I407" s="149"/>
      <c r="J407" s="153" t="s">
        <v>466</v>
      </c>
      <c r="K407" s="150"/>
      <c r="L407" s="152"/>
      <c r="M407" s="150" t="s">
        <v>1991</v>
      </c>
      <c r="N407" s="154"/>
      <c r="O407" s="149"/>
      <c r="P407" s="159"/>
      <c r="Q407" s="149"/>
      <c r="R407" s="149"/>
      <c r="S407" s="149"/>
      <c r="T407" s="149"/>
      <c r="U407" s="156">
        <v>0.0</v>
      </c>
      <c r="V407" s="157"/>
      <c r="W407" s="158">
        <f t="shared" ref="W407:W411" si="26">G407*45</f>
        <v>45</v>
      </c>
      <c r="X407" s="175"/>
    </row>
    <row r="408" ht="45.0" hidden="1" customHeight="1">
      <c r="A408" s="137">
        <v>407.0</v>
      </c>
      <c r="B408" s="137"/>
      <c r="C408" s="140" t="s">
        <v>1994</v>
      </c>
      <c r="D408" s="138" t="s">
        <v>1995</v>
      </c>
      <c r="E408" s="139" t="s">
        <v>465</v>
      </c>
      <c r="F408" s="140"/>
      <c r="G408" s="140">
        <v>1.0</v>
      </c>
      <c r="H408" s="140"/>
      <c r="I408" s="137"/>
      <c r="J408" s="141" t="s">
        <v>466</v>
      </c>
      <c r="K408" s="138" t="s">
        <v>47</v>
      </c>
      <c r="L408" s="140"/>
      <c r="M408" s="138" t="s">
        <v>1991</v>
      </c>
      <c r="N408" s="142"/>
      <c r="O408" s="137"/>
      <c r="P408" s="132"/>
      <c r="Q408" s="137"/>
      <c r="R408" s="137"/>
      <c r="S408" s="137"/>
      <c r="T408" s="137"/>
      <c r="U408" s="146">
        <v>1.0</v>
      </c>
      <c r="V408" s="143"/>
      <c r="W408" s="144">
        <f t="shared" si="26"/>
        <v>45</v>
      </c>
      <c r="X408" s="176"/>
    </row>
    <row r="409" ht="45.0" hidden="1" customHeight="1">
      <c r="A409" s="153">
        <v>408.0</v>
      </c>
      <c r="B409" s="153"/>
      <c r="C409" s="152" t="s">
        <v>1996</v>
      </c>
      <c r="D409" s="154" t="s">
        <v>1997</v>
      </c>
      <c r="E409" s="153" t="s">
        <v>465</v>
      </c>
      <c r="F409" s="154"/>
      <c r="G409" s="152">
        <v>1.0</v>
      </c>
      <c r="H409" s="154"/>
      <c r="I409" s="153"/>
      <c r="J409" s="153" t="s">
        <v>466</v>
      </c>
      <c r="K409" s="154"/>
      <c r="L409" s="154"/>
      <c r="M409" s="154" t="s">
        <v>1991</v>
      </c>
      <c r="N409" s="154"/>
      <c r="O409" s="153"/>
      <c r="P409" s="202"/>
      <c r="Q409" s="153"/>
      <c r="R409" s="153"/>
      <c r="S409" s="153"/>
      <c r="T409" s="153"/>
      <c r="U409" s="156">
        <v>0.0</v>
      </c>
      <c r="V409" s="157"/>
      <c r="W409" s="158">
        <f t="shared" si="26"/>
        <v>45</v>
      </c>
      <c r="X409" s="175"/>
    </row>
    <row r="410" ht="38.25" hidden="1" customHeight="1">
      <c r="A410" s="137">
        <v>409.0</v>
      </c>
      <c r="B410" s="137"/>
      <c r="C410" s="140" t="s">
        <v>1998</v>
      </c>
      <c r="D410" s="138" t="s">
        <v>1999</v>
      </c>
      <c r="E410" s="139" t="s">
        <v>1250</v>
      </c>
      <c r="F410" s="140"/>
      <c r="G410" s="140"/>
      <c r="H410" s="140"/>
      <c r="I410" s="137"/>
      <c r="J410" s="141" t="s">
        <v>1157</v>
      </c>
      <c r="K410" s="138"/>
      <c r="L410" s="140"/>
      <c r="M410" s="138"/>
      <c r="N410" s="142"/>
      <c r="O410" s="137"/>
      <c r="P410" s="132"/>
      <c r="Q410" s="137"/>
      <c r="R410" s="137"/>
      <c r="S410" s="137"/>
      <c r="T410" s="137"/>
      <c r="U410" s="146">
        <v>1.0</v>
      </c>
      <c r="V410" s="143"/>
      <c r="W410" s="144">
        <f t="shared" si="26"/>
        <v>0</v>
      </c>
      <c r="X410" s="176"/>
    </row>
    <row r="411" ht="45.0" hidden="1" customHeight="1">
      <c r="A411" s="137">
        <v>410.0</v>
      </c>
      <c r="B411" s="203"/>
      <c r="C411" s="140" t="s">
        <v>2000</v>
      </c>
      <c r="D411" s="142" t="s">
        <v>2001</v>
      </c>
      <c r="E411" s="141"/>
      <c r="F411" s="142"/>
      <c r="G411" s="140">
        <v>5.0</v>
      </c>
      <c r="H411" s="142"/>
      <c r="I411" s="141"/>
      <c r="J411" s="141"/>
      <c r="K411" s="142"/>
      <c r="L411" s="142" t="s">
        <v>2002</v>
      </c>
      <c r="M411" s="142"/>
      <c r="N411" s="142"/>
      <c r="O411" s="141"/>
      <c r="P411" s="204"/>
      <c r="Q411" s="203"/>
      <c r="R411" s="203"/>
      <c r="S411" s="203"/>
      <c r="T411" s="203"/>
      <c r="U411" s="205">
        <v>1.0</v>
      </c>
      <c r="V411" s="206"/>
      <c r="W411" s="144">
        <f t="shared" si="26"/>
        <v>225</v>
      </c>
      <c r="X411" s="207"/>
    </row>
    <row r="412" ht="45.0" customHeight="1">
      <c r="A412" s="146">
        <v>411.0</v>
      </c>
      <c r="B412" s="141"/>
      <c r="C412" s="140"/>
      <c r="D412" s="208" t="s">
        <v>2003</v>
      </c>
      <c r="E412" s="135" t="s">
        <v>489</v>
      </c>
      <c r="F412" s="142"/>
      <c r="G412" s="161">
        <v>21.0</v>
      </c>
      <c r="H412" s="142"/>
      <c r="I412" s="141"/>
      <c r="J412" s="141"/>
      <c r="K412" s="142"/>
      <c r="L412" s="142"/>
      <c r="M412" s="142"/>
      <c r="N412" s="142"/>
      <c r="O412" s="141"/>
      <c r="P412" s="209"/>
      <c r="Q412" s="141"/>
      <c r="R412" s="141"/>
      <c r="S412" s="141"/>
      <c r="T412" s="141"/>
      <c r="U412" s="146"/>
      <c r="V412" s="206"/>
      <c r="W412" s="206"/>
      <c r="X412" s="207"/>
    </row>
  </sheetData>
  <autoFilter ref="$A$1:$W$412">
    <filterColumn colId="4">
      <filters>
        <filter val="Electronic components"/>
        <filter val="Sensor modules"/>
        <filter val="Motors and wheels"/>
        <filter val="Electronic modules"/>
      </filters>
    </filterColumn>
    <filterColumn colId="3">
      <colorFilter dxfId="2"/>
    </filterColumn>
    <sortState ref="A1:W412">
      <sortCondition ref="A1:A412"/>
      <sortCondition descending="1" ref="I1:I412"/>
      <sortCondition ref="U1:U412"/>
      <sortCondition ref="V1:V412"/>
    </sortState>
  </autoFilter>
  <conditionalFormatting sqref="U1:U412 T411:T412">
    <cfRule type="cellIs" dxfId="3" priority="1" operator="equal">
      <formula>1</formula>
    </cfRule>
  </conditionalFormatting>
  <conditionalFormatting sqref="U1:U412">
    <cfRule type="cellIs" dxfId="4" priority="2" operator="equal">
      <formula>0</formula>
    </cfRule>
  </conditionalFormatting>
  <conditionalFormatting sqref="U1:U412">
    <cfRule type="cellIs" dxfId="5" priority="3" operator="equal">
      <formula>3</formula>
    </cfRule>
  </conditionalFormatting>
  <conditionalFormatting sqref="U1:U412">
    <cfRule type="cellIs" dxfId="6" priority="4" operator="equal">
      <formula>2</formula>
    </cfRule>
  </conditionalFormatting>
  <conditionalFormatting sqref="T1:T412">
    <cfRule type="cellIs" dxfId="3" priority="5" operator="equal">
      <formula>1</formula>
    </cfRule>
  </conditionalFormatting>
  <conditionalFormatting sqref="U1:U412">
    <cfRule type="cellIs" dxfId="7" priority="6" operator="equal">
      <formula>4</formula>
    </cfRule>
  </conditionalFormatting>
  <dataValidations>
    <dataValidation type="list" allowBlank="1" showErrorMessage="1" sqref="J1:J103 J105:J412">
      <formula1>Sheet1!$C$1:$C$8</formula1>
    </dataValidation>
    <dataValidation type="list" allowBlank="1" showErrorMessage="1" sqref="M13 M15:M17 M20:M21 M25 M28 M33:M36 M70:M74 M126:M131 M143 M147 M207 M227:M230 M286:M288 M304 M310:M311 M313 M317:M320 M327:M338 M342 M344 M352 M389:M405 E1:E412">
      <formula1>Sheet1!$A$1:$A$24</formula1>
    </dataValidation>
  </dataValidations>
  <printOptions horizontalCentered="1"/>
  <pageMargins bottom="0.6" footer="0.0" header="0.0" left="0.38504242597100985" right="0.5240855242383189" top="0.7480314960629921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14"/>
    <col customWidth="1" min="2" max="2" width="6.57"/>
    <col customWidth="1" min="3" max="3" width="11.86"/>
    <col customWidth="1" min="4" max="4" width="29.14"/>
    <col customWidth="1" min="5" max="5" width="22.29"/>
    <col customWidth="1" hidden="1" min="6" max="6" width="5.86"/>
    <col customWidth="1" min="7" max="7" width="9.14"/>
    <col customWidth="1" hidden="1" min="8" max="8" width="10.71"/>
    <col customWidth="1" hidden="1" min="9" max="9" width="11.29"/>
    <col customWidth="1" min="11" max="11" width="7.86"/>
    <col customWidth="1" min="12" max="12" width="8.57"/>
    <col customWidth="1" min="13" max="13" width="23.57"/>
    <col customWidth="1" min="14" max="14" width="62.86"/>
    <col customWidth="1" min="15" max="15" width="20.86"/>
    <col customWidth="1" min="16" max="16" width="24.14"/>
    <col hidden="1" min="17" max="17" width="14.43"/>
  </cols>
  <sheetData>
    <row r="1" ht="45.0" customHeight="1">
      <c r="A1" s="210" t="s">
        <v>0</v>
      </c>
      <c r="B1" s="210"/>
      <c r="C1" s="210" t="s">
        <v>1</v>
      </c>
      <c r="D1" s="211" t="s">
        <v>2</v>
      </c>
      <c r="E1" s="210" t="s">
        <v>3</v>
      </c>
      <c r="F1" s="210" t="s">
        <v>4</v>
      </c>
      <c r="G1" s="210" t="s">
        <v>2004</v>
      </c>
      <c r="H1" s="210" t="s">
        <v>6</v>
      </c>
      <c r="I1" s="210" t="s">
        <v>7</v>
      </c>
      <c r="J1" s="210" t="s">
        <v>8</v>
      </c>
      <c r="K1" s="211" t="s">
        <v>9</v>
      </c>
      <c r="L1" s="211" t="s">
        <v>10</v>
      </c>
      <c r="M1" s="212" t="s">
        <v>11</v>
      </c>
      <c r="N1" s="210" t="s">
        <v>12</v>
      </c>
      <c r="O1" s="213" t="s">
        <v>13</v>
      </c>
      <c r="P1" s="214" t="s">
        <v>2005</v>
      </c>
    </row>
    <row r="2" ht="44.25" customHeight="1">
      <c r="A2" s="11">
        <v>1.0</v>
      </c>
      <c r="B2" s="11" t="s">
        <v>15</v>
      </c>
      <c r="C2" s="11" t="s">
        <v>17</v>
      </c>
      <c r="D2" s="93" t="s">
        <v>18</v>
      </c>
      <c r="E2" s="215" t="s">
        <v>19</v>
      </c>
      <c r="F2" s="216">
        <v>5.0</v>
      </c>
      <c r="G2" s="216">
        <v>6.0</v>
      </c>
      <c r="H2" s="216">
        <v>75.0</v>
      </c>
      <c r="I2" s="11">
        <f t="shared" ref="I2:I84" si="1">H2*G2</f>
        <v>450</v>
      </c>
      <c r="J2" s="11" t="s">
        <v>20</v>
      </c>
      <c r="K2" s="93" t="s">
        <v>21</v>
      </c>
      <c r="L2" s="93" t="s">
        <v>1902</v>
      </c>
      <c r="M2" s="93" t="s">
        <v>23</v>
      </c>
      <c r="N2" s="217" t="s">
        <v>24</v>
      </c>
      <c r="O2" s="11" t="str">
        <f>IMAGE("https://m.media-amazon.com/images/I/61ZBVWoGgCL._SL1500_.jpg",1)</f>
        <v/>
      </c>
      <c r="P2" s="11" t="s">
        <v>2006</v>
      </c>
    </row>
    <row r="3" ht="45.0" customHeight="1">
      <c r="A3" s="11">
        <v>2.0</v>
      </c>
      <c r="B3" s="11" t="s">
        <v>15</v>
      </c>
      <c r="C3" s="11" t="s">
        <v>26</v>
      </c>
      <c r="D3" s="93" t="s">
        <v>27</v>
      </c>
      <c r="E3" s="215" t="s">
        <v>19</v>
      </c>
      <c r="F3" s="216">
        <v>1.0</v>
      </c>
      <c r="G3" s="216">
        <v>2.0</v>
      </c>
      <c r="H3" s="216">
        <v>150.0</v>
      </c>
      <c r="I3" s="11">
        <f t="shared" si="1"/>
        <v>300</v>
      </c>
      <c r="J3" s="11" t="s">
        <v>20</v>
      </c>
      <c r="K3" s="93" t="s">
        <v>21</v>
      </c>
      <c r="L3" s="93"/>
      <c r="M3" s="93" t="s">
        <v>23</v>
      </c>
      <c r="N3" s="217" t="s">
        <v>28</v>
      </c>
      <c r="O3" s="11" t="str">
        <f>IMAGE("https://5.imimg.com/data5/BN/FC/MY-25588345/omega-cell-tape-dispenser-500x500.jpg",1)</f>
        <v/>
      </c>
      <c r="P3" s="11" t="s">
        <v>2007</v>
      </c>
    </row>
    <row r="4" ht="45.0" customHeight="1">
      <c r="A4" s="11">
        <v>3.0</v>
      </c>
      <c r="B4" s="11" t="s">
        <v>15</v>
      </c>
      <c r="C4" s="11" t="s">
        <v>30</v>
      </c>
      <c r="D4" s="93" t="s">
        <v>31</v>
      </c>
      <c r="E4" s="215" t="s">
        <v>19</v>
      </c>
      <c r="F4" s="216">
        <v>5.0</v>
      </c>
      <c r="G4" s="216">
        <v>6.0</v>
      </c>
      <c r="H4" s="218">
        <v>25.0</v>
      </c>
      <c r="I4" s="11">
        <f t="shared" si="1"/>
        <v>150</v>
      </c>
      <c r="J4" s="11" t="s">
        <v>20</v>
      </c>
      <c r="K4" s="93" t="s">
        <v>21</v>
      </c>
      <c r="L4" s="93" t="s">
        <v>2008</v>
      </c>
      <c r="M4" s="93" t="s">
        <v>23</v>
      </c>
      <c r="N4" s="217" t="s">
        <v>32</v>
      </c>
      <c r="O4" s="11" t="str">
        <f>IMAGE("https://m.media-amazon.com/images/I/21wXjA1iP5L.jpg",1)</f>
        <v/>
      </c>
      <c r="P4" s="11" t="s">
        <v>2009</v>
      </c>
    </row>
    <row r="5" ht="45.0" customHeight="1">
      <c r="A5" s="11">
        <v>4.0</v>
      </c>
      <c r="B5" s="11" t="s">
        <v>15</v>
      </c>
      <c r="C5" s="11" t="s">
        <v>34</v>
      </c>
      <c r="D5" s="93" t="s">
        <v>35</v>
      </c>
      <c r="E5" s="215" t="s">
        <v>19</v>
      </c>
      <c r="F5" s="216">
        <v>5.0</v>
      </c>
      <c r="G5" s="216">
        <v>6.0</v>
      </c>
      <c r="H5" s="216">
        <v>80.0</v>
      </c>
      <c r="I5" s="11">
        <f t="shared" si="1"/>
        <v>480</v>
      </c>
      <c r="J5" s="11" t="s">
        <v>20</v>
      </c>
      <c r="K5" s="93" t="s">
        <v>21</v>
      </c>
      <c r="L5" s="93" t="s">
        <v>1902</v>
      </c>
      <c r="M5" s="93" t="s">
        <v>23</v>
      </c>
      <c r="N5" s="217"/>
      <c r="O5" s="11" t="str">
        <f>IMAGE("https://5.imimg.com/data5/YG/CD/MY-4112616/transparent-tape-500x500.jpg",1)</f>
        <v/>
      </c>
      <c r="P5" s="11" t="s">
        <v>2006</v>
      </c>
    </row>
    <row r="6" ht="45.0" customHeight="1">
      <c r="A6" s="11">
        <v>5.0</v>
      </c>
      <c r="B6" s="11" t="s">
        <v>15</v>
      </c>
      <c r="C6" s="11" t="s">
        <v>37</v>
      </c>
      <c r="D6" s="93" t="s">
        <v>1886</v>
      </c>
      <c r="E6" s="215" t="s">
        <v>19</v>
      </c>
      <c r="F6" s="216">
        <v>5.0</v>
      </c>
      <c r="G6" s="216">
        <v>6.0</v>
      </c>
      <c r="H6" s="216">
        <v>80.0</v>
      </c>
      <c r="I6" s="11">
        <f t="shared" si="1"/>
        <v>480</v>
      </c>
      <c r="J6" s="11" t="s">
        <v>20</v>
      </c>
      <c r="K6" s="93" t="s">
        <v>21</v>
      </c>
      <c r="L6" s="93" t="s">
        <v>2008</v>
      </c>
      <c r="M6" s="93" t="s">
        <v>23</v>
      </c>
      <c r="N6" s="217" t="s">
        <v>39</v>
      </c>
      <c r="O6" s="11" t="str">
        <f>IMAGE("https://m.media-amazon.com/images/I/61JiUrBk2-L._SL1082_.jpg",1)</f>
        <v/>
      </c>
      <c r="P6" s="11" t="s">
        <v>2009</v>
      </c>
    </row>
    <row r="7" ht="45.0" customHeight="1">
      <c r="A7" s="11">
        <v>6.0</v>
      </c>
      <c r="B7" s="11" t="s">
        <v>15</v>
      </c>
      <c r="C7" s="11" t="s">
        <v>41</v>
      </c>
      <c r="D7" s="93" t="s">
        <v>42</v>
      </c>
      <c r="E7" s="215" t="s">
        <v>19</v>
      </c>
      <c r="F7" s="216">
        <v>5.0</v>
      </c>
      <c r="G7" s="216">
        <v>6.0</v>
      </c>
      <c r="H7" s="216">
        <v>80.0</v>
      </c>
      <c r="I7" s="11">
        <f t="shared" si="1"/>
        <v>480</v>
      </c>
      <c r="J7" s="11" t="s">
        <v>20</v>
      </c>
      <c r="K7" s="93" t="s">
        <v>21</v>
      </c>
      <c r="L7" s="93" t="s">
        <v>2002</v>
      </c>
      <c r="M7" s="93" t="s">
        <v>23</v>
      </c>
      <c r="N7" s="217" t="s">
        <v>43</v>
      </c>
      <c r="O7" s="11" t="str">
        <f>IMAGE("https://m.media-amazon.com/images/I/51JAsOuirxL._SL1000_.jpg",1)</f>
        <v/>
      </c>
      <c r="P7" s="11" t="s">
        <v>2010</v>
      </c>
    </row>
    <row r="8" ht="45.0" customHeight="1">
      <c r="A8" s="11">
        <v>7.0</v>
      </c>
      <c r="B8" s="11" t="s">
        <v>15</v>
      </c>
      <c r="C8" s="11" t="s">
        <v>45</v>
      </c>
      <c r="D8" s="93" t="s">
        <v>46</v>
      </c>
      <c r="E8" s="215" t="s">
        <v>19</v>
      </c>
      <c r="F8" s="11">
        <v>10.0</v>
      </c>
      <c r="G8" s="11">
        <v>10.0</v>
      </c>
      <c r="H8" s="11">
        <v>35.0</v>
      </c>
      <c r="I8" s="11">
        <f t="shared" si="1"/>
        <v>350</v>
      </c>
      <c r="J8" s="11" t="s">
        <v>20</v>
      </c>
      <c r="K8" s="93" t="s">
        <v>47</v>
      </c>
      <c r="L8" s="93" t="s">
        <v>2008</v>
      </c>
      <c r="M8" s="93" t="s">
        <v>23</v>
      </c>
      <c r="N8" s="217" t="s">
        <v>48</v>
      </c>
      <c r="O8" s="11" t="str">
        <f>IMAGE("https://m.media-amazon.com/images/I/81zdeTxqkLL._SL1500_.jpg",1)</f>
        <v/>
      </c>
      <c r="P8" s="11" t="s">
        <v>2011</v>
      </c>
    </row>
    <row r="9" ht="45.0" customHeight="1">
      <c r="A9" s="11">
        <v>8.0</v>
      </c>
      <c r="B9" s="11" t="s">
        <v>15</v>
      </c>
      <c r="C9" s="11" t="s">
        <v>50</v>
      </c>
      <c r="D9" s="93" t="s">
        <v>51</v>
      </c>
      <c r="E9" s="215" t="s">
        <v>19</v>
      </c>
      <c r="F9" s="216">
        <v>5.0</v>
      </c>
      <c r="G9" s="216">
        <v>5.0</v>
      </c>
      <c r="H9" s="216">
        <v>80.0</v>
      </c>
      <c r="I9" s="11">
        <f t="shared" si="1"/>
        <v>400</v>
      </c>
      <c r="J9" s="11" t="s">
        <v>20</v>
      </c>
      <c r="K9" s="93" t="s">
        <v>21</v>
      </c>
      <c r="L9" s="93" t="s">
        <v>2012</v>
      </c>
      <c r="M9" s="93" t="s">
        <v>23</v>
      </c>
      <c r="N9" s="217" t="s">
        <v>52</v>
      </c>
      <c r="O9" s="11" t="str">
        <f>IMAGE("https://megahardwarett.com/wp-content/uploads/2022/03/71TQZaRi6yL._AC_SX425_.jpg",1)</f>
        <v/>
      </c>
      <c r="P9" s="11" t="s">
        <v>2013</v>
      </c>
    </row>
    <row r="10" ht="45.0" customHeight="1">
      <c r="A10" s="11">
        <v>9.0</v>
      </c>
      <c r="B10" s="11" t="s">
        <v>15</v>
      </c>
      <c r="C10" s="11" t="s">
        <v>54</v>
      </c>
      <c r="D10" s="93" t="s">
        <v>1887</v>
      </c>
      <c r="E10" s="215" t="s">
        <v>19</v>
      </c>
      <c r="F10" s="216">
        <v>5.0</v>
      </c>
      <c r="G10" s="216">
        <v>10.0</v>
      </c>
      <c r="H10" s="216">
        <v>60.0</v>
      </c>
      <c r="I10" s="11">
        <f t="shared" si="1"/>
        <v>600</v>
      </c>
      <c r="J10" s="11" t="s">
        <v>20</v>
      </c>
      <c r="K10" s="93" t="s">
        <v>47</v>
      </c>
      <c r="L10" s="93" t="s">
        <v>2008</v>
      </c>
      <c r="M10" s="93" t="s">
        <v>23</v>
      </c>
      <c r="N10" s="216" t="s">
        <v>56</v>
      </c>
      <c r="O10" s="11" t="str">
        <f>IMAGE("https://m.media-amazon.com/images/I/51xkFZnkVFL._SX466_.jpg",1)</f>
        <v/>
      </c>
      <c r="P10" s="11" t="s">
        <v>2011</v>
      </c>
    </row>
    <row r="11" ht="45.0" customHeight="1">
      <c r="A11" s="11">
        <v>10.0</v>
      </c>
      <c r="B11" s="11" t="s">
        <v>15</v>
      </c>
      <c r="C11" s="11" t="s">
        <v>58</v>
      </c>
      <c r="D11" s="93" t="s">
        <v>1888</v>
      </c>
      <c r="E11" s="215" t="s">
        <v>19</v>
      </c>
      <c r="F11" s="216">
        <v>5.0</v>
      </c>
      <c r="G11" s="216">
        <v>10.0</v>
      </c>
      <c r="H11" s="216">
        <v>70.0</v>
      </c>
      <c r="I11" s="11">
        <f t="shared" si="1"/>
        <v>700</v>
      </c>
      <c r="J11" s="11" t="s">
        <v>20</v>
      </c>
      <c r="K11" s="93" t="s">
        <v>47</v>
      </c>
      <c r="L11" s="93" t="s">
        <v>2008</v>
      </c>
      <c r="M11" s="93" t="s">
        <v>23</v>
      </c>
      <c r="N11" s="217" t="s">
        <v>60</v>
      </c>
      <c r="O11" s="11" t="str">
        <f>IMAGE("https://5.imimg.com/data5/LJ/PW/MY-3849711/loctite-401-super-glue-500x500.jpg",1)</f>
        <v/>
      </c>
      <c r="P11" s="11" t="s">
        <v>2011</v>
      </c>
    </row>
    <row r="12" ht="45.0" customHeight="1">
      <c r="A12" s="11">
        <v>11.0</v>
      </c>
      <c r="B12" s="11" t="s">
        <v>15</v>
      </c>
      <c r="C12" s="11" t="s">
        <v>62</v>
      </c>
      <c r="D12" s="93" t="s">
        <v>1889</v>
      </c>
      <c r="E12" s="215" t="s">
        <v>64</v>
      </c>
      <c r="F12" s="216">
        <v>20.0</v>
      </c>
      <c r="G12" s="216">
        <v>60.0</v>
      </c>
      <c r="H12" s="216">
        <v>300.0</v>
      </c>
      <c r="I12" s="11">
        <f t="shared" si="1"/>
        <v>18000</v>
      </c>
      <c r="J12" s="11" t="s">
        <v>20</v>
      </c>
      <c r="K12" s="93" t="s">
        <v>65</v>
      </c>
      <c r="L12" s="93" t="s">
        <v>2012</v>
      </c>
      <c r="M12" s="93" t="s">
        <v>1890</v>
      </c>
      <c r="N12" s="217" t="s">
        <v>68</v>
      </c>
      <c r="O12" s="11" t="str">
        <f>IMAGE("https://5.imimg.com/data5/SELLER/Default/2020/9/EF/FR/SW/13763930/fevicryte-acrylic-colors-500x500.jpg",1)</f>
        <v/>
      </c>
      <c r="P12" s="11" t="s">
        <v>2014</v>
      </c>
    </row>
    <row r="13" ht="45.0" customHeight="1">
      <c r="A13" s="11">
        <v>12.0</v>
      </c>
      <c r="B13" s="11" t="s">
        <v>15</v>
      </c>
      <c r="C13" s="11" t="s">
        <v>70</v>
      </c>
      <c r="D13" s="93" t="s">
        <v>71</v>
      </c>
      <c r="E13" s="215" t="s">
        <v>64</v>
      </c>
      <c r="F13" s="216">
        <v>1.0</v>
      </c>
      <c r="G13" s="216">
        <v>25.0</v>
      </c>
      <c r="H13" s="218">
        <v>1000.0</v>
      </c>
      <c r="I13" s="11">
        <f t="shared" si="1"/>
        <v>25000</v>
      </c>
      <c r="J13" s="11" t="s">
        <v>20</v>
      </c>
      <c r="K13" s="93" t="s">
        <v>72</v>
      </c>
      <c r="L13" s="93" t="s">
        <v>65</v>
      </c>
      <c r="M13" s="93" t="s">
        <v>111</v>
      </c>
      <c r="N13" s="219" t="s">
        <v>73</v>
      </c>
      <c r="O13" s="11" t="str">
        <f>IMAGE("https://helloaugust.in/wp-content/uploads/2020/04/dark-colour-chart-paper-full-size-300x300.jpg",1)</f>
        <v/>
      </c>
      <c r="P13" s="11" t="s">
        <v>1984</v>
      </c>
    </row>
    <row r="14" ht="45.0" customHeight="1">
      <c r="A14" s="11">
        <v>13.0</v>
      </c>
      <c r="B14" s="11" t="s">
        <v>15</v>
      </c>
      <c r="C14" s="11" t="s">
        <v>75</v>
      </c>
      <c r="D14" s="93" t="s">
        <v>1891</v>
      </c>
      <c r="E14" s="215" t="s">
        <v>64</v>
      </c>
      <c r="F14" s="11">
        <v>10.0</v>
      </c>
      <c r="G14" s="11">
        <v>10.0</v>
      </c>
      <c r="H14" s="11">
        <v>50.0</v>
      </c>
      <c r="I14" s="11">
        <f t="shared" si="1"/>
        <v>500</v>
      </c>
      <c r="J14" s="11" t="s">
        <v>20</v>
      </c>
      <c r="K14" s="93" t="s">
        <v>77</v>
      </c>
      <c r="L14" s="123" t="s">
        <v>1594</v>
      </c>
      <c r="M14" s="93" t="s">
        <v>1892</v>
      </c>
      <c r="N14" s="217" t="s">
        <v>78</v>
      </c>
      <c r="O14" s="11" t="str">
        <f>IMAGE("https://m.media-amazon.com/images/W/MEDIAX_792452-T2/images/I/611Q9E31rML._SL1500_.jpg",1)</f>
        <v/>
      </c>
      <c r="P14" s="11" t="s">
        <v>2015</v>
      </c>
    </row>
    <row r="15" ht="45.0" customHeight="1">
      <c r="A15" s="11">
        <v>14.0</v>
      </c>
      <c r="B15" s="11" t="s">
        <v>15</v>
      </c>
      <c r="C15" s="11" t="s">
        <v>80</v>
      </c>
      <c r="D15" s="93" t="s">
        <v>352</v>
      </c>
      <c r="E15" s="215" t="s">
        <v>64</v>
      </c>
      <c r="F15" s="216">
        <v>5.0</v>
      </c>
      <c r="G15" s="216">
        <v>5.0</v>
      </c>
      <c r="H15" s="218">
        <v>100.0</v>
      </c>
      <c r="I15" s="11">
        <f t="shared" si="1"/>
        <v>500</v>
      </c>
      <c r="J15" s="11" t="s">
        <v>20</v>
      </c>
      <c r="K15" s="93" t="s">
        <v>65</v>
      </c>
      <c r="L15" s="93"/>
      <c r="M15" s="93" t="s">
        <v>111</v>
      </c>
      <c r="N15" s="217" t="s">
        <v>84</v>
      </c>
      <c r="O15" s="11" t="str">
        <f>IMAGE("https://4.imimg.com/data4/TN/NP/MY-32886991/a4-colour-paper-500x500.jpg",1)</f>
        <v/>
      </c>
      <c r="P15" s="11" t="s">
        <v>1984</v>
      </c>
    </row>
    <row r="16" ht="45.0" customHeight="1">
      <c r="A16" s="11">
        <v>15.0</v>
      </c>
      <c r="B16" s="11" t="s">
        <v>15</v>
      </c>
      <c r="C16" s="11" t="s">
        <v>86</v>
      </c>
      <c r="D16" s="93" t="s">
        <v>1893</v>
      </c>
      <c r="E16" s="215" t="s">
        <v>64</v>
      </c>
      <c r="F16" s="216">
        <v>5.0</v>
      </c>
      <c r="G16" s="216">
        <v>5.0</v>
      </c>
      <c r="H16" s="216">
        <v>70.0</v>
      </c>
      <c r="I16" s="11">
        <f t="shared" si="1"/>
        <v>350</v>
      </c>
      <c r="J16" s="11" t="s">
        <v>20</v>
      </c>
      <c r="K16" s="93" t="s">
        <v>77</v>
      </c>
      <c r="L16" s="123" t="s">
        <v>1594</v>
      </c>
      <c r="M16" s="93" t="s">
        <v>111</v>
      </c>
      <c r="N16" s="217" t="s">
        <v>88</v>
      </c>
      <c r="O16" s="11" t="str">
        <f>IMAGE("https://www.htconline.in/images/thumbs/0019821_camlin-drawing-pencils-set-of-6.jpeg",1)</f>
        <v/>
      </c>
      <c r="P16" s="11" t="s">
        <v>2016</v>
      </c>
    </row>
    <row r="17" ht="45.0" customHeight="1">
      <c r="A17" s="11">
        <v>16.0</v>
      </c>
      <c r="B17" s="11" t="s">
        <v>15</v>
      </c>
      <c r="C17" s="11" t="s">
        <v>90</v>
      </c>
      <c r="D17" s="93" t="s">
        <v>91</v>
      </c>
      <c r="E17" s="215" t="s">
        <v>64</v>
      </c>
      <c r="F17" s="216">
        <v>10.0</v>
      </c>
      <c r="G17" s="216">
        <v>20.0</v>
      </c>
      <c r="H17" s="216">
        <v>10.0</v>
      </c>
      <c r="I17" s="11">
        <f t="shared" si="1"/>
        <v>200</v>
      </c>
      <c r="J17" s="11" t="s">
        <v>20</v>
      </c>
      <c r="K17" s="93" t="s">
        <v>77</v>
      </c>
      <c r="L17" s="123" t="s">
        <v>1594</v>
      </c>
      <c r="M17" s="93" t="s">
        <v>111</v>
      </c>
      <c r="N17" s="217" t="s">
        <v>92</v>
      </c>
      <c r="O17" s="11" t="str">
        <f>IMAGE("https://upload.wikimedia.org/wikipedia/commons/e/e8/Office-pink-erasers.jpg",1)</f>
        <v/>
      </c>
      <c r="P17" s="11" t="s">
        <v>2016</v>
      </c>
    </row>
    <row r="18" ht="45.0" customHeight="1">
      <c r="A18" s="11">
        <v>17.0</v>
      </c>
      <c r="B18" s="11" t="s">
        <v>15</v>
      </c>
      <c r="C18" s="11" t="s">
        <v>94</v>
      </c>
      <c r="D18" s="93" t="s">
        <v>95</v>
      </c>
      <c r="E18" s="215" t="s">
        <v>64</v>
      </c>
      <c r="F18" s="216">
        <v>10.0</v>
      </c>
      <c r="G18" s="216">
        <v>10.0</v>
      </c>
      <c r="H18" s="216">
        <v>35.0</v>
      </c>
      <c r="I18" s="11">
        <f t="shared" si="1"/>
        <v>350</v>
      </c>
      <c r="J18" s="11" t="s">
        <v>20</v>
      </c>
      <c r="K18" s="93" t="s">
        <v>77</v>
      </c>
      <c r="L18" s="123" t="s">
        <v>1594</v>
      </c>
      <c r="M18" s="93" t="s">
        <v>111</v>
      </c>
      <c r="N18" s="220" t="s">
        <v>96</v>
      </c>
      <c r="O18" s="11" t="str">
        <f>IMAGE("https://cdn.shopify.com/s/files/1/0064/3412/7939/products/Main-2_2baab3ae-c700-4dd7-acd2-e9442aee0358_2048x.jpg?v=1669799264",1)</f>
        <v/>
      </c>
      <c r="P18" s="11" t="s">
        <v>2016</v>
      </c>
    </row>
    <row r="19" ht="45.0" customHeight="1">
      <c r="A19" s="11">
        <v>18.0</v>
      </c>
      <c r="B19" s="221" t="s">
        <v>15</v>
      </c>
      <c r="C19" s="11" t="s">
        <v>97</v>
      </c>
      <c r="D19" s="93" t="s">
        <v>1894</v>
      </c>
      <c r="E19" s="215" t="s">
        <v>64</v>
      </c>
      <c r="F19" s="216" t="s">
        <v>56</v>
      </c>
      <c r="G19" s="216">
        <v>10.0</v>
      </c>
      <c r="H19" s="216">
        <v>10.0</v>
      </c>
      <c r="I19" s="11">
        <f t="shared" si="1"/>
        <v>100</v>
      </c>
      <c r="J19" s="11" t="s">
        <v>20</v>
      </c>
      <c r="K19" s="93" t="s">
        <v>77</v>
      </c>
      <c r="L19" s="123" t="s">
        <v>1594</v>
      </c>
      <c r="M19" s="93" t="s">
        <v>111</v>
      </c>
      <c r="N19" s="220"/>
      <c r="O19" s="11" t="e">
        <v>#VALUE!</v>
      </c>
      <c r="P19" s="11" t="s">
        <v>2016</v>
      </c>
    </row>
    <row r="20" ht="45.0" customHeight="1">
      <c r="A20" s="11">
        <v>19.0</v>
      </c>
      <c r="B20" s="11" t="s">
        <v>15</v>
      </c>
      <c r="C20" s="11" t="s">
        <v>100</v>
      </c>
      <c r="D20" s="93" t="s">
        <v>101</v>
      </c>
      <c r="E20" s="215" t="s">
        <v>64</v>
      </c>
      <c r="F20" s="216">
        <v>5.0</v>
      </c>
      <c r="G20" s="216">
        <v>10.0</v>
      </c>
      <c r="H20" s="216">
        <v>200.0</v>
      </c>
      <c r="I20" s="11">
        <f t="shared" si="1"/>
        <v>2000</v>
      </c>
      <c r="J20" s="11" t="s">
        <v>20</v>
      </c>
      <c r="K20" s="93" t="s">
        <v>77</v>
      </c>
      <c r="L20" s="123" t="s">
        <v>2012</v>
      </c>
      <c r="M20" s="93" t="s">
        <v>1890</v>
      </c>
      <c r="N20" s="217" t="s">
        <v>102</v>
      </c>
      <c r="O20" s="11" t="str">
        <f>IMAGE("https://i5.walmartimages.com/asr/2f51619b-ee1e-4e7f-9717-927459ae38b6.1308a61cc28d473c3122e46595affb79.jpeg",1)</f>
        <v/>
      </c>
      <c r="P20" s="11" t="s">
        <v>2017</v>
      </c>
    </row>
    <row r="21" ht="45.0" customHeight="1">
      <c r="A21" s="11">
        <v>20.0</v>
      </c>
      <c r="B21" s="11" t="s">
        <v>15</v>
      </c>
      <c r="C21" s="11" t="s">
        <v>104</v>
      </c>
      <c r="D21" s="93" t="s">
        <v>105</v>
      </c>
      <c r="E21" s="215" t="s">
        <v>64</v>
      </c>
      <c r="F21" s="216">
        <v>5.0</v>
      </c>
      <c r="G21" s="216">
        <v>5.0</v>
      </c>
      <c r="H21" s="216">
        <v>50.0</v>
      </c>
      <c r="I21" s="11">
        <f t="shared" si="1"/>
        <v>250</v>
      </c>
      <c r="J21" s="11" t="s">
        <v>20</v>
      </c>
      <c r="K21" s="93" t="s">
        <v>21</v>
      </c>
      <c r="L21" s="123" t="s">
        <v>1895</v>
      </c>
      <c r="M21" s="93" t="s">
        <v>1890</v>
      </c>
      <c r="N21" s="217" t="s">
        <v>106</v>
      </c>
      <c r="O21" s="11" t="str">
        <f>IMAGE("https://c8.alamy.com/comp/R7TP32/paint-palette-with-various-acrylic-paints-and-a-brush-R7TP32.jpg",1)</f>
        <v/>
      </c>
      <c r="P21" s="11" t="s">
        <v>2018</v>
      </c>
    </row>
    <row r="22" ht="45.0" customHeight="1">
      <c r="A22" s="11">
        <v>21.0</v>
      </c>
      <c r="B22" s="11" t="s">
        <v>15</v>
      </c>
      <c r="C22" s="11" t="s">
        <v>108</v>
      </c>
      <c r="D22" s="93" t="s">
        <v>1896</v>
      </c>
      <c r="E22" s="215" t="s">
        <v>64</v>
      </c>
      <c r="F22" s="216">
        <v>10.0</v>
      </c>
      <c r="G22" s="216">
        <v>1.0</v>
      </c>
      <c r="H22" s="218">
        <v>20.0</v>
      </c>
      <c r="I22" s="11">
        <f t="shared" si="1"/>
        <v>20</v>
      </c>
      <c r="J22" s="11" t="s">
        <v>20</v>
      </c>
      <c r="K22" s="93" t="s">
        <v>77</v>
      </c>
      <c r="L22" s="93" t="s">
        <v>1902</v>
      </c>
      <c r="M22" s="93" t="s">
        <v>111</v>
      </c>
      <c r="N22" s="217" t="s">
        <v>112</v>
      </c>
      <c r="O22" s="11" t="str">
        <f>IMAGE("https://i5.walmartimages.com/asr/093150f9-deec-44c1-a07d-a6985f3f45c7.dad44d94862d81eed55b6d8aef2937c1.jpeg?odnHeight=612&amp;odnWidth=612&amp;odnBg=FFFFFF",1)</f>
        <v/>
      </c>
      <c r="P22" s="11" t="s">
        <v>2019</v>
      </c>
    </row>
    <row r="23" ht="45.0" customHeight="1">
      <c r="A23" s="11">
        <v>22.0</v>
      </c>
      <c r="B23" s="11" t="s">
        <v>15</v>
      </c>
      <c r="C23" s="11" t="s">
        <v>114</v>
      </c>
      <c r="D23" s="93" t="s">
        <v>115</v>
      </c>
      <c r="E23" s="215" t="s">
        <v>64</v>
      </c>
      <c r="F23" s="216">
        <v>5.0</v>
      </c>
      <c r="G23" s="216">
        <v>10.0</v>
      </c>
      <c r="H23" s="216">
        <v>40.0</v>
      </c>
      <c r="I23" s="11">
        <f t="shared" si="1"/>
        <v>400</v>
      </c>
      <c r="J23" s="11" t="s">
        <v>20</v>
      </c>
      <c r="K23" s="93" t="s">
        <v>77</v>
      </c>
      <c r="L23" s="93" t="s">
        <v>1895</v>
      </c>
      <c r="M23" s="93" t="s">
        <v>111</v>
      </c>
      <c r="N23" s="11" t="s">
        <v>56</v>
      </c>
      <c r="O23" s="11" t="str">
        <f>IMAGE("https://m.media-amazon.com/images/I/81XeaSXczEL._SL1500_.jpg",1)</f>
        <v/>
      </c>
      <c r="P23" s="11" t="s">
        <v>2020</v>
      </c>
    </row>
    <row r="24" ht="45.0" customHeight="1">
      <c r="A24" s="11">
        <v>23.0</v>
      </c>
      <c r="B24" s="11" t="s">
        <v>15</v>
      </c>
      <c r="C24" s="11" t="s">
        <v>118</v>
      </c>
      <c r="D24" s="93" t="s">
        <v>1897</v>
      </c>
      <c r="E24" s="215" t="s">
        <v>64</v>
      </c>
      <c r="F24" s="216">
        <v>10.0</v>
      </c>
      <c r="G24" s="216">
        <v>10.0</v>
      </c>
      <c r="H24" s="216">
        <v>100.0</v>
      </c>
      <c r="I24" s="11">
        <f t="shared" si="1"/>
        <v>1000</v>
      </c>
      <c r="J24" s="11" t="s">
        <v>20</v>
      </c>
      <c r="K24" s="93" t="s">
        <v>21</v>
      </c>
      <c r="L24" s="123" t="s">
        <v>1594</v>
      </c>
      <c r="M24" s="93" t="s">
        <v>1898</v>
      </c>
      <c r="N24" s="217" t="s">
        <v>120</v>
      </c>
      <c r="O24" s="11" t="str">
        <f>IMAGE("https://www.faithfulltools.com/images/xxlarge/FAIRULE150SS.jpg",1)</f>
        <v/>
      </c>
      <c r="P24" s="11" t="s">
        <v>2021</v>
      </c>
    </row>
    <row r="25" ht="45.0" customHeight="1">
      <c r="A25" s="11">
        <v>24.0</v>
      </c>
      <c r="B25" s="11" t="s">
        <v>15</v>
      </c>
      <c r="C25" s="11" t="s">
        <v>122</v>
      </c>
      <c r="D25" s="93" t="s">
        <v>123</v>
      </c>
      <c r="E25" s="215" t="s">
        <v>64</v>
      </c>
      <c r="F25" s="216">
        <v>10.0</v>
      </c>
      <c r="G25" s="216">
        <v>10.0</v>
      </c>
      <c r="H25" s="216">
        <v>25.0</v>
      </c>
      <c r="I25" s="11">
        <f t="shared" si="1"/>
        <v>250</v>
      </c>
      <c r="J25" s="11" t="s">
        <v>20</v>
      </c>
      <c r="K25" s="93" t="s">
        <v>77</v>
      </c>
      <c r="L25" s="123" t="s">
        <v>2022</v>
      </c>
      <c r="M25" s="93" t="s">
        <v>1899</v>
      </c>
      <c r="N25" s="217" t="s">
        <v>124</v>
      </c>
      <c r="O25" s="11" t="str">
        <f>IMAGE("https://images.meesho.com/images/products/60299132/dranx_512.jpg",1)</f>
        <v/>
      </c>
      <c r="P25" s="11" t="s">
        <v>2023</v>
      </c>
    </row>
    <row r="26" ht="45.0" customHeight="1">
      <c r="A26" s="11">
        <v>25.0</v>
      </c>
      <c r="B26" s="11" t="s">
        <v>15</v>
      </c>
      <c r="C26" s="11" t="s">
        <v>126</v>
      </c>
      <c r="D26" s="93" t="s">
        <v>127</v>
      </c>
      <c r="E26" s="215" t="s">
        <v>64</v>
      </c>
      <c r="F26" s="216">
        <v>5.0</v>
      </c>
      <c r="G26" s="216">
        <v>5.0</v>
      </c>
      <c r="H26" s="216">
        <v>25.0</v>
      </c>
      <c r="I26" s="11">
        <f t="shared" si="1"/>
        <v>125</v>
      </c>
      <c r="J26" s="11" t="s">
        <v>20</v>
      </c>
      <c r="K26" s="93" t="s">
        <v>65</v>
      </c>
      <c r="L26" s="123"/>
      <c r="M26" s="93" t="s">
        <v>111</v>
      </c>
      <c r="N26" s="217" t="s">
        <v>128</v>
      </c>
      <c r="O26" s="11" t="e">
        <v>#VALUE!</v>
      </c>
      <c r="P26" s="11" t="s">
        <v>1900</v>
      </c>
    </row>
    <row r="27" ht="45.0" customHeight="1">
      <c r="A27" s="11">
        <v>26.0</v>
      </c>
      <c r="B27" s="11" t="s">
        <v>15</v>
      </c>
      <c r="C27" s="11" t="s">
        <v>130</v>
      </c>
      <c r="D27" s="93" t="s">
        <v>131</v>
      </c>
      <c r="E27" s="215" t="s">
        <v>64</v>
      </c>
      <c r="F27" s="216">
        <v>10.0</v>
      </c>
      <c r="G27" s="216">
        <v>10.0</v>
      </c>
      <c r="H27" s="216">
        <v>50.0</v>
      </c>
      <c r="I27" s="11">
        <f t="shared" si="1"/>
        <v>500</v>
      </c>
      <c r="J27" s="11" t="s">
        <v>20</v>
      </c>
      <c r="K27" s="93"/>
      <c r="L27" s="93" t="s">
        <v>1594</v>
      </c>
      <c r="M27" s="93" t="s">
        <v>1898</v>
      </c>
      <c r="N27" s="217" t="s">
        <v>132</v>
      </c>
      <c r="O27" s="11" t="str">
        <f>IMAGE("https://5.imimg.com/data5/AO/GN/AU/SELLER-10873750/floppy-disk-1000x1000.jpg",1)</f>
        <v/>
      </c>
      <c r="P27" s="11" t="s">
        <v>2016</v>
      </c>
    </row>
    <row r="28" ht="45.0" customHeight="1">
      <c r="A28" s="11">
        <v>27.0</v>
      </c>
      <c r="B28" s="221" t="s">
        <v>15</v>
      </c>
      <c r="C28" s="11" t="s">
        <v>134</v>
      </c>
      <c r="D28" s="93" t="s">
        <v>135</v>
      </c>
      <c r="E28" s="215" t="s">
        <v>64</v>
      </c>
      <c r="F28" s="216">
        <v>10.0</v>
      </c>
      <c r="G28" s="216">
        <v>10.0</v>
      </c>
      <c r="H28" s="216">
        <v>20.0</v>
      </c>
      <c r="I28" s="11">
        <f t="shared" si="1"/>
        <v>200</v>
      </c>
      <c r="J28" s="11" t="s">
        <v>20</v>
      </c>
      <c r="K28" s="93" t="s">
        <v>77</v>
      </c>
      <c r="L28" s="123" t="s">
        <v>1594</v>
      </c>
      <c r="M28" s="93" t="s">
        <v>1890</v>
      </c>
      <c r="N28" s="217" t="s">
        <v>136</v>
      </c>
      <c r="O28" s="11" t="str">
        <f>IMAGE("https://m.media-amazon.com/images/I/717edTeWYZL._SL1500_.jpg",1)</f>
        <v/>
      </c>
      <c r="P28" s="11" t="s">
        <v>2024</v>
      </c>
    </row>
    <row r="29" ht="45.0" customHeight="1">
      <c r="A29" s="11">
        <v>28.0</v>
      </c>
      <c r="B29" s="11" t="s">
        <v>137</v>
      </c>
      <c r="C29" s="11" t="s">
        <v>139</v>
      </c>
      <c r="D29" s="93" t="s">
        <v>140</v>
      </c>
      <c r="E29" s="215" t="s">
        <v>141</v>
      </c>
      <c r="F29" s="11">
        <v>1.0</v>
      </c>
      <c r="G29" s="11">
        <v>1.0</v>
      </c>
      <c r="H29" s="11">
        <v>2500.0</v>
      </c>
      <c r="I29" s="11">
        <f t="shared" si="1"/>
        <v>2500</v>
      </c>
      <c r="J29" s="11" t="s">
        <v>142</v>
      </c>
      <c r="K29" s="93"/>
      <c r="L29" s="93"/>
      <c r="M29" s="93" t="s">
        <v>1901</v>
      </c>
      <c r="N29" s="217" t="s">
        <v>143</v>
      </c>
      <c r="O29" s="11" t="e">
        <v>#VALUE!</v>
      </c>
      <c r="P29" s="11" t="s">
        <v>2025</v>
      </c>
    </row>
    <row r="30" ht="45.0" customHeight="1">
      <c r="A30" s="11">
        <v>29.0</v>
      </c>
      <c r="B30" s="11" t="s">
        <v>137</v>
      </c>
      <c r="C30" s="11" t="s">
        <v>146</v>
      </c>
      <c r="D30" s="93" t="s">
        <v>147</v>
      </c>
      <c r="E30" s="215" t="s">
        <v>141</v>
      </c>
      <c r="F30" s="216">
        <v>1.0</v>
      </c>
      <c r="G30" s="216">
        <v>1.0</v>
      </c>
      <c r="H30" s="216">
        <v>1000.0</v>
      </c>
      <c r="I30" s="11">
        <f t="shared" si="1"/>
        <v>1000</v>
      </c>
      <c r="J30" s="11" t="s">
        <v>142</v>
      </c>
      <c r="K30" s="93"/>
      <c r="L30" s="93" t="s">
        <v>1902</v>
      </c>
      <c r="M30" s="93" t="s">
        <v>1901</v>
      </c>
      <c r="N30" s="217" t="s">
        <v>148</v>
      </c>
      <c r="O30" s="11" t="str">
        <f>IMAGE("https://i0.wp.com/www.deltastore.in/wp-content/uploads/2021/05/Untitled-design-95.png?fit=1080%2C1080&amp;ssl=1",1)</f>
        <v/>
      </c>
      <c r="P30" s="11" t="s">
        <v>2026</v>
      </c>
    </row>
    <row r="31" ht="45.0" customHeight="1">
      <c r="A31" s="11">
        <v>30.0</v>
      </c>
      <c r="B31" s="221" t="s">
        <v>1152</v>
      </c>
      <c r="C31" s="11" t="s">
        <v>150</v>
      </c>
      <c r="D31" s="93" t="s">
        <v>151</v>
      </c>
      <c r="E31" s="215" t="s">
        <v>141</v>
      </c>
      <c r="F31" s="216">
        <v>2.0</v>
      </c>
      <c r="G31" s="216">
        <v>2.0</v>
      </c>
      <c r="H31" s="216">
        <v>250.0</v>
      </c>
      <c r="I31" s="11">
        <f t="shared" si="1"/>
        <v>500</v>
      </c>
      <c r="J31" s="11" t="s">
        <v>1157</v>
      </c>
      <c r="K31" s="93"/>
      <c r="L31" s="93"/>
      <c r="M31" s="93" t="s">
        <v>1903</v>
      </c>
      <c r="N31" s="217" t="s">
        <v>152</v>
      </c>
      <c r="O31" s="11" t="str">
        <f>IMAGE("https://m.media-amazon.com/images/I/51KO2QtXE8L._SL1000_.jpg", 1)</f>
        <v/>
      </c>
      <c r="P31" s="222" t="s">
        <v>2027</v>
      </c>
    </row>
    <row r="32" ht="45.0" customHeight="1">
      <c r="A32" s="11">
        <v>31.0</v>
      </c>
      <c r="B32" s="11" t="s">
        <v>137</v>
      </c>
      <c r="C32" s="11" t="s">
        <v>154</v>
      </c>
      <c r="D32" s="93" t="s">
        <v>155</v>
      </c>
      <c r="E32" s="215" t="s">
        <v>141</v>
      </c>
      <c r="F32" s="216">
        <v>1.0</v>
      </c>
      <c r="G32" s="216">
        <v>1.0</v>
      </c>
      <c r="H32" s="216">
        <v>2000.0</v>
      </c>
      <c r="I32" s="11">
        <f t="shared" si="1"/>
        <v>2000</v>
      </c>
      <c r="J32" s="11" t="s">
        <v>142</v>
      </c>
      <c r="K32" s="93"/>
      <c r="L32" s="93"/>
      <c r="M32" s="93" t="s">
        <v>1901</v>
      </c>
      <c r="N32" s="217" t="s">
        <v>156</v>
      </c>
      <c r="O32" s="11" t="str">
        <f>IMAGE("https://m.media-amazon.com/images/I/61Zlcg+2mNL.jpg")</f>
        <v/>
      </c>
      <c r="P32" s="11" t="s">
        <v>2028</v>
      </c>
    </row>
    <row r="33" ht="45.0" customHeight="1">
      <c r="A33" s="11">
        <v>32.0</v>
      </c>
      <c r="B33" s="11" t="s">
        <v>137</v>
      </c>
      <c r="C33" s="11" t="s">
        <v>158</v>
      </c>
      <c r="D33" s="93" t="s">
        <v>159</v>
      </c>
      <c r="E33" s="215" t="s">
        <v>141</v>
      </c>
      <c r="F33" s="216">
        <v>1.0</v>
      </c>
      <c r="G33" s="216">
        <v>1.0</v>
      </c>
      <c r="H33" s="216">
        <v>35000.0</v>
      </c>
      <c r="I33" s="11">
        <f t="shared" si="1"/>
        <v>35000</v>
      </c>
      <c r="J33" s="11" t="s">
        <v>142</v>
      </c>
      <c r="K33" s="93"/>
      <c r="L33" s="93"/>
      <c r="M33" s="93" t="s">
        <v>1901</v>
      </c>
      <c r="N33" s="217" t="s">
        <v>160</v>
      </c>
      <c r="O33" s="11" t="str">
        <f>IMAGE("https://c1.neweggimages.com/Productimage/24-001-864-04.jpg",1)</f>
        <v/>
      </c>
      <c r="P33" s="11" t="s">
        <v>2029</v>
      </c>
    </row>
    <row r="34" ht="45.0" customHeight="1">
      <c r="A34" s="11">
        <v>33.0</v>
      </c>
      <c r="B34" s="11" t="s">
        <v>137</v>
      </c>
      <c r="C34" s="11" t="s">
        <v>162</v>
      </c>
      <c r="D34" s="93" t="s">
        <v>163</v>
      </c>
      <c r="E34" s="215" t="s">
        <v>141</v>
      </c>
      <c r="F34" s="216">
        <v>1.0</v>
      </c>
      <c r="G34" s="216">
        <v>1.0</v>
      </c>
      <c r="H34" s="216">
        <v>1000.0</v>
      </c>
      <c r="I34" s="11">
        <f t="shared" si="1"/>
        <v>1000</v>
      </c>
      <c r="J34" s="11" t="s">
        <v>142</v>
      </c>
      <c r="K34" s="93"/>
      <c r="L34" s="93"/>
      <c r="M34" s="93" t="s">
        <v>1901</v>
      </c>
      <c r="N34" s="217" t="s">
        <v>164</v>
      </c>
      <c r="O34" s="11" t="str">
        <f>IMAGE("https://m.media-amazon.com/images/I/6100FnINmsL._SL1468_.jpg",1)</f>
        <v/>
      </c>
      <c r="P34" s="11" t="s">
        <v>2030</v>
      </c>
    </row>
    <row r="35" ht="45.0" customHeight="1">
      <c r="A35" s="11">
        <v>34.0</v>
      </c>
      <c r="B35" s="11" t="s">
        <v>137</v>
      </c>
      <c r="C35" s="11" t="s">
        <v>166</v>
      </c>
      <c r="D35" s="93" t="s">
        <v>167</v>
      </c>
      <c r="E35" s="215" t="s">
        <v>141</v>
      </c>
      <c r="F35" s="216">
        <v>1.0</v>
      </c>
      <c r="G35" s="216">
        <v>1.0</v>
      </c>
      <c r="H35" s="216">
        <v>1500.0</v>
      </c>
      <c r="I35" s="11">
        <f t="shared" si="1"/>
        <v>1500</v>
      </c>
      <c r="J35" s="11" t="s">
        <v>142</v>
      </c>
      <c r="K35" s="93"/>
      <c r="L35" s="93"/>
      <c r="M35" s="93" t="s">
        <v>1901</v>
      </c>
      <c r="N35" s="217" t="s">
        <v>168</v>
      </c>
      <c r="O35" s="11" t="str">
        <f>IMAGE("https://encrypted-tbn1.gstatic.com/shopping?q=tbn:ANd9GcSwk1vUmWwFhmXgluT27_kpt_1XbFeMGM9voPktN2V8FycBha0_9qycLyoE5G3LsPm9IAaz9ZK9JsFmIAo5gwJtywrUheHD9Zzv6NIaMNLbw1go2XSC6Z0l&amp;usqp=CAE",1)</f>
        <v/>
      </c>
      <c r="P35" s="11" t="s">
        <v>2031</v>
      </c>
    </row>
    <row r="36" ht="45.0" customHeight="1">
      <c r="A36" s="11">
        <v>35.0</v>
      </c>
      <c r="B36" s="11" t="s">
        <v>137</v>
      </c>
      <c r="C36" s="11" t="s">
        <v>170</v>
      </c>
      <c r="D36" s="93" t="s">
        <v>171</v>
      </c>
      <c r="E36" s="215" t="s">
        <v>141</v>
      </c>
      <c r="F36" s="216">
        <v>1.0</v>
      </c>
      <c r="G36" s="216">
        <v>1.0</v>
      </c>
      <c r="H36" s="216">
        <v>35000.0</v>
      </c>
      <c r="I36" s="11">
        <f t="shared" si="1"/>
        <v>35000</v>
      </c>
      <c r="J36" s="11" t="s">
        <v>142</v>
      </c>
      <c r="K36" s="93"/>
      <c r="L36" s="123" t="s">
        <v>2008</v>
      </c>
      <c r="M36" s="93" t="s">
        <v>1901</v>
      </c>
      <c r="N36" s="217" t="s">
        <v>172</v>
      </c>
      <c r="O36" s="11" t="str">
        <f>IMAGE("https://www.designinfo.in/wp-content/uploads/nc/p/5/1/4/9/0/51490-485x485.jpg",1)</f>
        <v/>
      </c>
      <c r="P36" s="11" t="s">
        <v>2032</v>
      </c>
    </row>
    <row r="37" ht="45.0" customHeight="1">
      <c r="A37" s="11">
        <v>36.0</v>
      </c>
      <c r="B37" s="11" t="s">
        <v>173</v>
      </c>
      <c r="C37" s="11" t="s">
        <v>175</v>
      </c>
      <c r="D37" s="93" t="s">
        <v>176</v>
      </c>
      <c r="E37" s="215" t="s">
        <v>177</v>
      </c>
      <c r="F37" s="216">
        <v>5.0</v>
      </c>
      <c r="G37" s="216">
        <v>5.0</v>
      </c>
      <c r="H37" s="216">
        <v>250.0</v>
      </c>
      <c r="I37" s="11">
        <f t="shared" si="1"/>
        <v>1250</v>
      </c>
      <c r="J37" s="11" t="s">
        <v>178</v>
      </c>
      <c r="K37" s="93"/>
      <c r="L37" s="93" t="s">
        <v>1895</v>
      </c>
      <c r="M37" s="93" t="s">
        <v>1905</v>
      </c>
      <c r="N37" s="217" t="s">
        <v>180</v>
      </c>
      <c r="O37" s="11" t="str">
        <f>IMAGE("https://robu.in/wp-content/uploads/2021/05/EU-Plug-Universal-Battery-Charger-For-18650-16340-14500-Li-ion-Rechargeable-Battery-Charger-3.jpg",1)</f>
        <v/>
      </c>
      <c r="P37" s="11" t="s">
        <v>2033</v>
      </c>
    </row>
    <row r="38" ht="45.0" customHeight="1">
      <c r="A38" s="11">
        <v>37.0</v>
      </c>
      <c r="B38" s="11" t="s">
        <v>173</v>
      </c>
      <c r="C38" s="11" t="s">
        <v>182</v>
      </c>
      <c r="D38" s="93" t="s">
        <v>1906</v>
      </c>
      <c r="E38" s="215" t="s">
        <v>177</v>
      </c>
      <c r="F38" s="216">
        <v>5.0</v>
      </c>
      <c r="G38" s="216">
        <v>5.0</v>
      </c>
      <c r="H38" s="216">
        <v>100.0</v>
      </c>
      <c r="I38" s="11">
        <f t="shared" si="1"/>
        <v>500</v>
      </c>
      <c r="J38" s="11" t="s">
        <v>178</v>
      </c>
      <c r="K38" s="93"/>
      <c r="L38" s="93" t="s">
        <v>1594</v>
      </c>
      <c r="M38" s="93" t="s">
        <v>1907</v>
      </c>
      <c r="N38" s="223" t="s">
        <v>185</v>
      </c>
      <c r="O38" s="11" t="str">
        <f>IMAGE("https://rukminim2.flixcart.com/image/832/832/krs40i80/worldwide-adaptor/f/7/g/pack-of-1-power-adapter-12v-2-amp-dual-pin-for-charger-with-original-imag5hmbvgzazbzz.jpeg?q=70",1)</f>
        <v/>
      </c>
      <c r="P38" s="11" t="s">
        <v>2034</v>
      </c>
    </row>
    <row r="39" ht="45.0" customHeight="1">
      <c r="A39" s="11">
        <v>38.0</v>
      </c>
      <c r="B39" s="11" t="s">
        <v>173</v>
      </c>
      <c r="C39" s="11" t="s">
        <v>187</v>
      </c>
      <c r="D39" s="93" t="s">
        <v>1908</v>
      </c>
      <c r="E39" s="215" t="s">
        <v>177</v>
      </c>
      <c r="F39" s="216">
        <v>5.0</v>
      </c>
      <c r="G39" s="216">
        <v>5.0</v>
      </c>
      <c r="H39" s="216">
        <v>300.0</v>
      </c>
      <c r="I39" s="11">
        <f t="shared" si="1"/>
        <v>1500</v>
      </c>
      <c r="J39" s="11" t="s">
        <v>178</v>
      </c>
      <c r="K39" s="93"/>
      <c r="L39" s="93" t="s">
        <v>1594</v>
      </c>
      <c r="M39" s="93" t="s">
        <v>1909</v>
      </c>
      <c r="N39" s="217" t="s">
        <v>189</v>
      </c>
      <c r="O39" s="11" t="str">
        <f>IMAGE("https://m.media-amazon.com/images/I/6161NXWtz-L._SL1500_.jpg",1)</f>
        <v/>
      </c>
      <c r="P39" s="11" t="s">
        <v>2035</v>
      </c>
    </row>
    <row r="40" ht="45.0" customHeight="1">
      <c r="A40" s="11">
        <v>39.0</v>
      </c>
      <c r="B40" s="11" t="s">
        <v>173</v>
      </c>
      <c r="C40" s="11" t="s">
        <v>191</v>
      </c>
      <c r="D40" s="93" t="s">
        <v>1910</v>
      </c>
      <c r="E40" s="215" t="s">
        <v>177</v>
      </c>
      <c r="F40" s="216">
        <v>20.0</v>
      </c>
      <c r="G40" s="216">
        <v>20.0</v>
      </c>
      <c r="H40" s="216">
        <v>6.0</v>
      </c>
      <c r="I40" s="11">
        <f t="shared" si="1"/>
        <v>120</v>
      </c>
      <c r="J40" s="11" t="s">
        <v>178</v>
      </c>
      <c r="K40" s="93"/>
      <c r="L40" s="93" t="s">
        <v>1895</v>
      </c>
      <c r="M40" s="93" t="s">
        <v>1909</v>
      </c>
      <c r="N40" s="217" t="s">
        <v>195</v>
      </c>
      <c r="O40" s="11" t="str">
        <f>IMAGE("https://i0.wp.com/www.rytronics.in/wp-content/uploads/2021/09/9v-batter-connector-snap-connector02.jpg?fit=1000%2C1000&amp;ssl=1",1)</f>
        <v/>
      </c>
      <c r="P40" s="221" t="s">
        <v>2036</v>
      </c>
    </row>
    <row r="41" ht="45.0" customHeight="1">
      <c r="A41" s="11">
        <v>40.0</v>
      </c>
      <c r="B41" s="11" t="s">
        <v>173</v>
      </c>
      <c r="C41" s="11" t="s">
        <v>197</v>
      </c>
      <c r="D41" s="93" t="s">
        <v>1911</v>
      </c>
      <c r="E41" s="215" t="s">
        <v>177</v>
      </c>
      <c r="F41" s="216">
        <v>15.0</v>
      </c>
      <c r="G41" s="216">
        <v>15.0</v>
      </c>
      <c r="H41" s="216">
        <v>20.0</v>
      </c>
      <c r="I41" s="11">
        <f t="shared" si="1"/>
        <v>300</v>
      </c>
      <c r="J41" s="11" t="s">
        <v>178</v>
      </c>
      <c r="K41" s="93"/>
      <c r="L41" s="93" t="s">
        <v>1895</v>
      </c>
      <c r="M41" s="93" t="s">
        <v>1909</v>
      </c>
      <c r="N41" s="217" t="s">
        <v>199</v>
      </c>
      <c r="O41" s="11" t="str">
        <f>IMAGE("https://m.media-amazon.com/images/W/MEDIAX_792452-T2/images/I/61UPqH4BXuL.SS700.jpg",1)</f>
        <v/>
      </c>
      <c r="P41" s="221" t="s">
        <v>2036</v>
      </c>
    </row>
    <row r="42" ht="45.0" customHeight="1">
      <c r="A42" s="11">
        <v>41.0</v>
      </c>
      <c r="B42" s="11" t="s">
        <v>173</v>
      </c>
      <c r="C42" s="11" t="s">
        <v>201</v>
      </c>
      <c r="D42" s="93" t="s">
        <v>1912</v>
      </c>
      <c r="E42" s="215" t="s">
        <v>177</v>
      </c>
      <c r="F42" s="216">
        <v>10.0</v>
      </c>
      <c r="G42" s="216">
        <v>10.0</v>
      </c>
      <c r="H42" s="216">
        <v>50.0</v>
      </c>
      <c r="I42" s="11">
        <f t="shared" si="1"/>
        <v>500</v>
      </c>
      <c r="J42" s="11" t="s">
        <v>178</v>
      </c>
      <c r="K42" s="93"/>
      <c r="L42" s="93" t="s">
        <v>2008</v>
      </c>
      <c r="M42" s="93" t="s">
        <v>1909</v>
      </c>
      <c r="N42" s="217" t="s">
        <v>204</v>
      </c>
      <c r="O42" s="11" t="str">
        <f>IMAGE("https://robotools.in/wp-content/uploads/2022/09/18650-x-2-battery-holder-with-cover-and-OnOff-Switch-5.jpg",1)</f>
        <v/>
      </c>
      <c r="P42" s="11" t="s">
        <v>2037</v>
      </c>
    </row>
    <row r="43" ht="45.0" customHeight="1">
      <c r="A43" s="11">
        <v>42.0</v>
      </c>
      <c r="B43" s="11" t="s">
        <v>173</v>
      </c>
      <c r="C43" s="11" t="s">
        <v>206</v>
      </c>
      <c r="D43" s="93" t="s">
        <v>1913</v>
      </c>
      <c r="E43" s="215" t="s">
        <v>177</v>
      </c>
      <c r="F43" s="216">
        <v>30.0</v>
      </c>
      <c r="G43" s="216">
        <v>30.0</v>
      </c>
      <c r="H43" s="216">
        <v>20.0</v>
      </c>
      <c r="I43" s="11">
        <f t="shared" si="1"/>
        <v>600</v>
      </c>
      <c r="J43" s="11" t="s">
        <v>178</v>
      </c>
      <c r="K43" s="93"/>
      <c r="L43" s="93" t="s">
        <v>2008</v>
      </c>
      <c r="M43" s="93" t="s">
        <v>1909</v>
      </c>
      <c r="N43" s="217" t="s">
        <v>208</v>
      </c>
      <c r="O43" s="11" t="str">
        <f>IMAGE("https://robu.in/wp-content/uploads/2019/03/2-x-1.5V-AA-battery-holder-with-cover-and-OnOff-Switch-6.jpg",1)</f>
        <v/>
      </c>
      <c r="P43" s="11" t="s">
        <v>2037</v>
      </c>
    </row>
    <row r="44" ht="45.0" customHeight="1">
      <c r="A44" s="11">
        <v>43.0</v>
      </c>
      <c r="B44" s="11" t="s">
        <v>173</v>
      </c>
      <c r="C44" s="11" t="s">
        <v>210</v>
      </c>
      <c r="D44" s="93" t="s">
        <v>1914</v>
      </c>
      <c r="E44" s="215" t="s">
        <v>177</v>
      </c>
      <c r="F44" s="216">
        <v>20.0</v>
      </c>
      <c r="G44" s="216">
        <v>20.0</v>
      </c>
      <c r="H44" s="216">
        <v>40.0</v>
      </c>
      <c r="I44" s="11">
        <f t="shared" si="1"/>
        <v>800</v>
      </c>
      <c r="J44" s="11" t="s">
        <v>178</v>
      </c>
      <c r="K44" s="93"/>
      <c r="L44" s="93" t="s">
        <v>2008</v>
      </c>
      <c r="M44" s="93" t="s">
        <v>1909</v>
      </c>
      <c r="N44" s="217" t="s">
        <v>212</v>
      </c>
      <c r="O44" s="11" t="str">
        <f>IMAGE("https://probots.co.in/pub/media/catalog/product/cache/d8ddd0f9b0cd008b57085cd218b48832/4/-/4-x-1.5v-aa-battery-holder01.jpg",1)</f>
        <v/>
      </c>
      <c r="P44" s="11" t="s">
        <v>2037</v>
      </c>
    </row>
    <row r="45" ht="45.0" customHeight="1">
      <c r="A45" s="11">
        <v>44.0</v>
      </c>
      <c r="B45" s="11" t="s">
        <v>173</v>
      </c>
      <c r="C45" s="11" t="s">
        <v>214</v>
      </c>
      <c r="D45" s="93" t="s">
        <v>1915</v>
      </c>
      <c r="E45" s="215" t="s">
        <v>177</v>
      </c>
      <c r="F45" s="216">
        <v>20.0</v>
      </c>
      <c r="G45" s="216">
        <v>20.0</v>
      </c>
      <c r="H45" s="216">
        <v>30.0</v>
      </c>
      <c r="I45" s="11">
        <f t="shared" si="1"/>
        <v>600</v>
      </c>
      <c r="J45" s="11" t="s">
        <v>178</v>
      </c>
      <c r="K45" s="93"/>
      <c r="L45" s="93" t="s">
        <v>1895</v>
      </c>
      <c r="M45" s="93" t="s">
        <v>1909</v>
      </c>
      <c r="N45" s="217" t="s">
        <v>217</v>
      </c>
      <c r="O45" s="11" t="str">
        <f>IMAGE("https://robu.in/wp-content/uploads/2022/06/510c1Z93PDL._SX679_.jpg",1)</f>
        <v/>
      </c>
      <c r="P45" s="11" t="s">
        <v>2038</v>
      </c>
    </row>
    <row r="46" ht="45.0" customHeight="1">
      <c r="A46" s="11">
        <v>45.0</v>
      </c>
      <c r="B46" s="11" t="s">
        <v>173</v>
      </c>
      <c r="C46" s="11" t="s">
        <v>219</v>
      </c>
      <c r="D46" s="93" t="s">
        <v>220</v>
      </c>
      <c r="E46" s="215" t="s">
        <v>177</v>
      </c>
      <c r="F46" s="216">
        <v>5.0</v>
      </c>
      <c r="G46" s="216">
        <v>5.0</v>
      </c>
      <c r="H46" s="216">
        <v>500.0</v>
      </c>
      <c r="I46" s="11">
        <f t="shared" si="1"/>
        <v>2500</v>
      </c>
      <c r="J46" s="11" t="s">
        <v>178</v>
      </c>
      <c r="K46" s="93"/>
      <c r="L46" s="93" t="s">
        <v>1594</v>
      </c>
      <c r="M46" s="93" t="s">
        <v>1905</v>
      </c>
      <c r="N46" s="217" t="s">
        <v>221</v>
      </c>
      <c r="O46" s="11" t="str">
        <f>IMAGE("https://i02.psgsm.net/gsm.com/p/887576/480/power-bank-hoco-j26-10000-mah-micro-usb-type-b-input-5v-2a-2-usb-outputs-5-v-2-1-a-139-70-16-mm-with-micro-usb-cable-type-b-black.jpg",1)</f>
        <v/>
      </c>
      <c r="P46" s="221" t="s">
        <v>2039</v>
      </c>
    </row>
    <row r="47" ht="45.0" customHeight="1">
      <c r="A47" s="11">
        <v>46.0</v>
      </c>
      <c r="B47" s="11" t="s">
        <v>173</v>
      </c>
      <c r="C47" s="11" t="s">
        <v>223</v>
      </c>
      <c r="D47" s="93" t="s">
        <v>1741</v>
      </c>
      <c r="E47" s="215" t="s">
        <v>177</v>
      </c>
      <c r="F47" s="216">
        <v>10.0</v>
      </c>
      <c r="G47" s="216">
        <v>10.0</v>
      </c>
      <c r="H47" s="216">
        <v>150.0</v>
      </c>
      <c r="I47" s="11">
        <f t="shared" si="1"/>
        <v>1500</v>
      </c>
      <c r="J47" s="11" t="s">
        <v>178</v>
      </c>
      <c r="K47" s="93"/>
      <c r="L47" s="93" t="s">
        <v>1895</v>
      </c>
      <c r="M47" s="93" t="s">
        <v>1905</v>
      </c>
      <c r="N47" s="217" t="s">
        <v>225</v>
      </c>
      <c r="O47" s="11" t="str">
        <f>IMAGE("https://images-na.ssl-images-amazon.com/images/I/51p4KPR9o1L.SS700.jpg",1)</f>
        <v/>
      </c>
      <c r="P47" s="11" t="s">
        <v>2040</v>
      </c>
    </row>
    <row r="48" ht="45.0" customHeight="1">
      <c r="A48" s="11">
        <v>47.0</v>
      </c>
      <c r="B48" s="11" t="s">
        <v>173</v>
      </c>
      <c r="C48" s="11" t="s">
        <v>227</v>
      </c>
      <c r="D48" s="93" t="s">
        <v>228</v>
      </c>
      <c r="E48" s="215" t="s">
        <v>177</v>
      </c>
      <c r="F48" s="216">
        <v>10.0</v>
      </c>
      <c r="G48" s="216">
        <v>10.0</v>
      </c>
      <c r="H48" s="216">
        <v>200.0</v>
      </c>
      <c r="I48" s="11">
        <f t="shared" si="1"/>
        <v>2000</v>
      </c>
      <c r="J48" s="11" t="s">
        <v>178</v>
      </c>
      <c r="K48" s="93"/>
      <c r="L48" s="93" t="s">
        <v>1895</v>
      </c>
      <c r="M48" s="93" t="s">
        <v>1905</v>
      </c>
      <c r="N48" s="217" t="s">
        <v>229</v>
      </c>
      <c r="O48" s="11" t="str">
        <f>IMAGE("https://5.imimg.com/data5/SELLER/Default/2021/7/XA/OZ/BW/6610292/9v-power-plus-nimh-rechargeable-battery-500x500.jpg",1)</f>
        <v/>
      </c>
      <c r="P48" s="11" t="s">
        <v>2038</v>
      </c>
    </row>
    <row r="49" ht="45.0" customHeight="1">
      <c r="A49" s="11">
        <v>48.0</v>
      </c>
      <c r="B49" s="11" t="s">
        <v>173</v>
      </c>
      <c r="C49" s="11" t="s">
        <v>231</v>
      </c>
      <c r="D49" s="93" t="s">
        <v>232</v>
      </c>
      <c r="E49" s="215" t="s">
        <v>177</v>
      </c>
      <c r="F49" s="216">
        <v>20.0</v>
      </c>
      <c r="G49" s="216">
        <v>20.0</v>
      </c>
      <c r="H49" s="216">
        <v>100.0</v>
      </c>
      <c r="I49" s="11">
        <f t="shared" si="1"/>
        <v>2000</v>
      </c>
      <c r="J49" s="11" t="s">
        <v>178</v>
      </c>
      <c r="K49" s="93"/>
      <c r="L49" s="93" t="s">
        <v>1895</v>
      </c>
      <c r="M49" s="93" t="s">
        <v>1905</v>
      </c>
      <c r="N49" s="217" t="s">
        <v>233</v>
      </c>
      <c r="O49" s="11" t="str">
        <f>IMAGE("https://images-cdn.ubuy.co.in/6578382306deda07ed788ca4-rechargeable-aa-batteries-aa.jpg",1)</f>
        <v/>
      </c>
      <c r="P49" s="11" t="s">
        <v>2041</v>
      </c>
    </row>
    <row r="50" ht="45.0" customHeight="1">
      <c r="A50" s="11">
        <v>49.0</v>
      </c>
      <c r="B50" s="11" t="s">
        <v>173</v>
      </c>
      <c r="C50" s="11" t="s">
        <v>235</v>
      </c>
      <c r="D50" s="93" t="s">
        <v>1916</v>
      </c>
      <c r="E50" s="215" t="s">
        <v>237</v>
      </c>
      <c r="F50" s="216">
        <v>20.0</v>
      </c>
      <c r="G50" s="216">
        <v>20.0</v>
      </c>
      <c r="H50" s="216">
        <v>7.5</v>
      </c>
      <c r="I50" s="11">
        <f t="shared" si="1"/>
        <v>150</v>
      </c>
      <c r="J50" s="11" t="s">
        <v>178</v>
      </c>
      <c r="K50" s="93"/>
      <c r="L50" s="93" t="s">
        <v>1594</v>
      </c>
      <c r="M50" s="93" t="s">
        <v>237</v>
      </c>
      <c r="N50" s="217" t="s">
        <v>238</v>
      </c>
      <c r="O50" s="11" t="str">
        <f>IMAGE("https://robu.in/wp-content/uploads/2017/04/Alligator-Clips-Electrical-DIY-Test-Leads-10pcs-For-Test-Leads-Double-ended-Crocodile-Clips-Roach-Clip-2.jpg",1)</f>
        <v/>
      </c>
      <c r="P50" s="11" t="s">
        <v>2042</v>
      </c>
    </row>
    <row r="51" ht="45.0" customHeight="1">
      <c r="A51" s="11">
        <v>50.0</v>
      </c>
      <c r="B51" s="11" t="s">
        <v>173</v>
      </c>
      <c r="C51" s="11" t="s">
        <v>240</v>
      </c>
      <c r="D51" s="93" t="s">
        <v>241</v>
      </c>
      <c r="E51" s="215" t="s">
        <v>237</v>
      </c>
      <c r="F51" s="216">
        <v>20.0</v>
      </c>
      <c r="G51" s="216">
        <v>20.0</v>
      </c>
      <c r="H51" s="216">
        <v>20.0</v>
      </c>
      <c r="I51" s="11">
        <f t="shared" si="1"/>
        <v>400</v>
      </c>
      <c r="J51" s="11" t="s">
        <v>178</v>
      </c>
      <c r="K51" s="93"/>
      <c r="L51" s="93" t="s">
        <v>1895</v>
      </c>
      <c r="M51" s="93" t="s">
        <v>237</v>
      </c>
      <c r="N51" s="217" t="s">
        <v>242</v>
      </c>
      <c r="O51" s="11" t="str">
        <f>IMAGE("https://makerbazar.in/cdn/shop/products/dcmalejackwithwire2_600x.jpg?v=1642675074",1)</f>
        <v/>
      </c>
      <c r="P51" s="221" t="s">
        <v>2036</v>
      </c>
    </row>
    <row r="52" ht="45.0" customHeight="1">
      <c r="A52" s="11">
        <v>51.0</v>
      </c>
      <c r="B52" s="221" t="s">
        <v>137</v>
      </c>
      <c r="C52" s="11" t="s">
        <v>244</v>
      </c>
      <c r="D52" s="93" t="s">
        <v>245</v>
      </c>
      <c r="E52" s="215" t="s">
        <v>237</v>
      </c>
      <c r="F52" s="11">
        <v>1.0</v>
      </c>
      <c r="G52" s="11">
        <v>1.0</v>
      </c>
      <c r="H52" s="11">
        <v>200.0</v>
      </c>
      <c r="I52" s="11">
        <f t="shared" si="1"/>
        <v>200</v>
      </c>
      <c r="J52" s="11" t="s">
        <v>142</v>
      </c>
      <c r="K52" s="93"/>
      <c r="L52" s="93" t="s">
        <v>1902</v>
      </c>
      <c r="M52" s="93" t="s">
        <v>237</v>
      </c>
      <c r="N52" s="217"/>
      <c r="O52" s="11" t="str">
        <f>IMAGE("https://m.media-amazon.com/images/I/61YPX7I4aSL._SL1500_.jpg",1)</f>
        <v/>
      </c>
      <c r="P52" s="11" t="s">
        <v>2026</v>
      </c>
    </row>
    <row r="53" ht="45.0" customHeight="1">
      <c r="A53" s="11">
        <v>52.0</v>
      </c>
      <c r="B53" s="11" t="s">
        <v>173</v>
      </c>
      <c r="C53" s="11" t="s">
        <v>247</v>
      </c>
      <c r="D53" s="93" t="s">
        <v>1918</v>
      </c>
      <c r="E53" s="215" t="s">
        <v>237</v>
      </c>
      <c r="F53" s="216">
        <v>1.0</v>
      </c>
      <c r="G53" s="216">
        <v>1.0</v>
      </c>
      <c r="H53" s="216">
        <v>150.0</v>
      </c>
      <c r="I53" s="11">
        <f t="shared" si="1"/>
        <v>150</v>
      </c>
      <c r="J53" s="11" t="s">
        <v>178</v>
      </c>
      <c r="K53" s="93"/>
      <c r="L53" s="93" t="s">
        <v>2012</v>
      </c>
      <c r="M53" s="93" t="s">
        <v>250</v>
      </c>
      <c r="N53" s="217" t="s">
        <v>251</v>
      </c>
      <c r="O53" s="11" t="str">
        <f>IMAGE("https://rukminim2.flixcart.com/image/832/832/k8t3jbk0/cable-sleeve/j/c/q/black-2mm-polyolefin-heat-shrink-tube-sleeve-for-wrap-60-meter-original-imafqq3y2g2v9vzz.jpeg?q=70",1)</f>
        <v/>
      </c>
      <c r="P53" s="11" t="s">
        <v>2043</v>
      </c>
    </row>
    <row r="54" ht="45.0" customHeight="1">
      <c r="A54" s="11">
        <v>53.0</v>
      </c>
      <c r="B54" s="11" t="s">
        <v>173</v>
      </c>
      <c r="C54" s="11" t="s">
        <v>253</v>
      </c>
      <c r="D54" s="93" t="s">
        <v>1919</v>
      </c>
      <c r="E54" s="215" t="s">
        <v>237</v>
      </c>
      <c r="F54" s="216">
        <v>1.0</v>
      </c>
      <c r="G54" s="216">
        <v>1.0</v>
      </c>
      <c r="H54" s="216">
        <v>150.0</v>
      </c>
      <c r="I54" s="11">
        <f t="shared" si="1"/>
        <v>150</v>
      </c>
      <c r="J54" s="11" t="s">
        <v>178</v>
      </c>
      <c r="K54" s="93"/>
      <c r="L54" s="93" t="s">
        <v>2012</v>
      </c>
      <c r="M54" s="93" t="s">
        <v>250</v>
      </c>
      <c r="N54" s="217" t="s">
        <v>255</v>
      </c>
      <c r="O54" s="11" t="str">
        <f>IMAGE("https://m.media-amazon.com/images/I/61zJ0n1EqGS._AC_SL1500_.jpg",1)</f>
        <v/>
      </c>
      <c r="P54" s="11" t="s">
        <v>2043</v>
      </c>
    </row>
    <row r="55" ht="45.0" customHeight="1">
      <c r="A55" s="11">
        <v>54.0</v>
      </c>
      <c r="B55" s="11" t="s">
        <v>173</v>
      </c>
      <c r="C55" s="11" t="s">
        <v>257</v>
      </c>
      <c r="D55" s="93" t="s">
        <v>1920</v>
      </c>
      <c r="E55" s="215" t="s">
        <v>237</v>
      </c>
      <c r="F55" s="216">
        <v>1.0</v>
      </c>
      <c r="G55" s="216">
        <v>1.0</v>
      </c>
      <c r="H55" s="216">
        <v>150.0</v>
      </c>
      <c r="I55" s="11">
        <f t="shared" si="1"/>
        <v>150</v>
      </c>
      <c r="J55" s="11" t="s">
        <v>178</v>
      </c>
      <c r="K55" s="93"/>
      <c r="L55" s="93" t="s">
        <v>2012</v>
      </c>
      <c r="M55" s="93" t="s">
        <v>250</v>
      </c>
      <c r="N55" s="217" t="s">
        <v>259</v>
      </c>
      <c r="O55" s="11" t="str">
        <f>IMAGE("https://m.media-amazon.com/images/W/MEDIAX_792452-T2/images/I/417I5BCQPSL.jpg",1)</f>
        <v/>
      </c>
      <c r="P55" s="11" t="s">
        <v>2043</v>
      </c>
    </row>
    <row r="56" ht="45.0" customHeight="1">
      <c r="A56" s="11">
        <v>55.0</v>
      </c>
      <c r="B56" s="11" t="s">
        <v>173</v>
      </c>
      <c r="C56" s="11" t="s">
        <v>261</v>
      </c>
      <c r="D56" s="93" t="s">
        <v>1921</v>
      </c>
      <c r="E56" s="215" t="s">
        <v>237</v>
      </c>
      <c r="F56" s="216">
        <v>1.0</v>
      </c>
      <c r="G56" s="216">
        <v>1.0</v>
      </c>
      <c r="H56" s="216">
        <v>150.0</v>
      </c>
      <c r="I56" s="11">
        <f t="shared" si="1"/>
        <v>150</v>
      </c>
      <c r="J56" s="11" t="s">
        <v>178</v>
      </c>
      <c r="K56" s="93"/>
      <c r="L56" s="93" t="s">
        <v>2012</v>
      </c>
      <c r="M56" s="93" t="s">
        <v>250</v>
      </c>
      <c r="N56" s="217" t="s">
        <v>263</v>
      </c>
      <c r="O56" s="11" t="str">
        <f>IMAGE("https://m.media-amazon.com/images/I/61zJ0n1EqGS._AC_SL1500_.jpg",1)</f>
        <v/>
      </c>
      <c r="P56" s="11" t="s">
        <v>2043</v>
      </c>
    </row>
    <row r="57" ht="45.0" customHeight="1">
      <c r="A57" s="11">
        <v>56.0</v>
      </c>
      <c r="B57" s="11" t="s">
        <v>173</v>
      </c>
      <c r="C57" s="11" t="s">
        <v>265</v>
      </c>
      <c r="D57" s="93" t="s">
        <v>266</v>
      </c>
      <c r="E57" s="215" t="s">
        <v>237</v>
      </c>
      <c r="F57" s="216">
        <v>20.0</v>
      </c>
      <c r="G57" s="216">
        <v>20.0</v>
      </c>
      <c r="H57" s="216">
        <v>20.0</v>
      </c>
      <c r="I57" s="11">
        <f t="shared" si="1"/>
        <v>400</v>
      </c>
      <c r="J57" s="11" t="s">
        <v>178</v>
      </c>
      <c r="K57" s="93"/>
      <c r="L57" s="93" t="s">
        <v>2012</v>
      </c>
      <c r="M57" s="93" t="s">
        <v>267</v>
      </c>
      <c r="N57" s="217" t="s">
        <v>268</v>
      </c>
      <c r="O57" s="11" t="str">
        <f t="shared" ref="O57:O61" si="2">IMAGE("https://i.ebayimg.com/images/g/xCYAAOSwjvJlEQU8/s-l1600.jpg",1)</f>
        <v/>
      </c>
      <c r="P57" s="11" t="s">
        <v>2044</v>
      </c>
    </row>
    <row r="58" ht="45.0" customHeight="1">
      <c r="A58" s="11">
        <v>57.0</v>
      </c>
      <c r="B58" s="11" t="s">
        <v>173</v>
      </c>
      <c r="C58" s="11" t="s">
        <v>270</v>
      </c>
      <c r="D58" s="93" t="s">
        <v>271</v>
      </c>
      <c r="E58" s="215" t="s">
        <v>237</v>
      </c>
      <c r="F58" s="216">
        <v>20.0</v>
      </c>
      <c r="G58" s="216">
        <v>20.0</v>
      </c>
      <c r="H58" s="216">
        <v>20.0</v>
      </c>
      <c r="I58" s="11">
        <f t="shared" si="1"/>
        <v>400</v>
      </c>
      <c r="J58" s="11" t="s">
        <v>178</v>
      </c>
      <c r="K58" s="93"/>
      <c r="L58" s="93" t="s">
        <v>2012</v>
      </c>
      <c r="M58" s="93" t="s">
        <v>267</v>
      </c>
      <c r="N58" s="217" t="s">
        <v>272</v>
      </c>
      <c r="O58" s="11" t="str">
        <f t="shared" si="2"/>
        <v/>
      </c>
      <c r="P58" s="11" t="s">
        <v>2044</v>
      </c>
    </row>
    <row r="59" ht="45.0" customHeight="1">
      <c r="A59" s="11">
        <v>58.0</v>
      </c>
      <c r="B59" s="11" t="s">
        <v>173</v>
      </c>
      <c r="C59" s="11" t="s">
        <v>274</v>
      </c>
      <c r="D59" s="93" t="s">
        <v>275</v>
      </c>
      <c r="E59" s="215" t="s">
        <v>237</v>
      </c>
      <c r="F59" s="216">
        <v>20.0</v>
      </c>
      <c r="G59" s="216">
        <v>20.0</v>
      </c>
      <c r="H59" s="216">
        <v>20.0</v>
      </c>
      <c r="I59" s="11">
        <f t="shared" si="1"/>
        <v>400</v>
      </c>
      <c r="J59" s="11" t="s">
        <v>178</v>
      </c>
      <c r="K59" s="93"/>
      <c r="L59" s="93" t="s">
        <v>2012</v>
      </c>
      <c r="M59" s="93" t="s">
        <v>267</v>
      </c>
      <c r="N59" s="217" t="s">
        <v>276</v>
      </c>
      <c r="O59" s="11" t="str">
        <f t="shared" si="2"/>
        <v/>
      </c>
      <c r="P59" s="11" t="s">
        <v>2044</v>
      </c>
    </row>
    <row r="60" ht="45.0" customHeight="1">
      <c r="A60" s="11">
        <v>59.0</v>
      </c>
      <c r="B60" s="11" t="s">
        <v>173</v>
      </c>
      <c r="C60" s="11" t="s">
        <v>278</v>
      </c>
      <c r="D60" s="93" t="s">
        <v>279</v>
      </c>
      <c r="E60" s="215" t="s">
        <v>237</v>
      </c>
      <c r="F60" s="216">
        <v>20.0</v>
      </c>
      <c r="G60" s="216">
        <v>20.0</v>
      </c>
      <c r="H60" s="216">
        <v>20.0</v>
      </c>
      <c r="I60" s="11">
        <f t="shared" si="1"/>
        <v>400</v>
      </c>
      <c r="J60" s="11" t="s">
        <v>178</v>
      </c>
      <c r="K60" s="93"/>
      <c r="L60" s="93" t="s">
        <v>2012</v>
      </c>
      <c r="M60" s="93" t="s">
        <v>267</v>
      </c>
      <c r="N60" s="217" t="s">
        <v>280</v>
      </c>
      <c r="O60" s="11" t="str">
        <f t="shared" si="2"/>
        <v/>
      </c>
      <c r="P60" s="11" t="s">
        <v>2044</v>
      </c>
    </row>
    <row r="61" ht="45.0" customHeight="1">
      <c r="A61" s="11">
        <v>60.0</v>
      </c>
      <c r="B61" s="11" t="s">
        <v>173</v>
      </c>
      <c r="C61" s="11" t="s">
        <v>282</v>
      </c>
      <c r="D61" s="93" t="s">
        <v>283</v>
      </c>
      <c r="E61" s="215" t="s">
        <v>237</v>
      </c>
      <c r="F61" s="216">
        <v>20.0</v>
      </c>
      <c r="G61" s="216">
        <v>20.0</v>
      </c>
      <c r="H61" s="216">
        <v>20.0</v>
      </c>
      <c r="I61" s="11">
        <f t="shared" si="1"/>
        <v>400</v>
      </c>
      <c r="J61" s="11" t="s">
        <v>178</v>
      </c>
      <c r="K61" s="93"/>
      <c r="L61" s="93" t="s">
        <v>2012</v>
      </c>
      <c r="M61" s="93" t="s">
        <v>267</v>
      </c>
      <c r="N61" s="217" t="s">
        <v>284</v>
      </c>
      <c r="O61" s="11" t="str">
        <f t="shared" si="2"/>
        <v/>
      </c>
      <c r="P61" s="11" t="s">
        <v>2044</v>
      </c>
    </row>
    <row r="62" ht="45.0" customHeight="1">
      <c r="A62" s="11">
        <v>61.0</v>
      </c>
      <c r="B62" s="11" t="s">
        <v>173</v>
      </c>
      <c r="C62" s="11" t="s">
        <v>286</v>
      </c>
      <c r="D62" s="93" t="s">
        <v>287</v>
      </c>
      <c r="E62" s="215" t="s">
        <v>237</v>
      </c>
      <c r="F62" s="216">
        <v>20.0</v>
      </c>
      <c r="G62" s="216">
        <v>20.0</v>
      </c>
      <c r="H62" s="216">
        <v>40.0</v>
      </c>
      <c r="I62" s="11">
        <f t="shared" si="1"/>
        <v>800</v>
      </c>
      <c r="J62" s="11" t="s">
        <v>178</v>
      </c>
      <c r="K62" s="93"/>
      <c r="L62" s="93" t="s">
        <v>2008</v>
      </c>
      <c r="M62" s="93" t="s">
        <v>1922</v>
      </c>
      <c r="N62" s="217" t="s">
        <v>289</v>
      </c>
      <c r="O62" s="11" t="str">
        <f t="shared" ref="O62:O64" si="3">IMAGE("https://cdn.shopify.com/s/files/1/0527/2692/3444/products/M-M10CM_800x.jpg?v=1620840829",1)</f>
        <v/>
      </c>
      <c r="P62" s="221" t="s">
        <v>2045</v>
      </c>
    </row>
    <row r="63" ht="45.0" customHeight="1">
      <c r="A63" s="11">
        <v>62.0</v>
      </c>
      <c r="B63" s="11" t="s">
        <v>173</v>
      </c>
      <c r="C63" s="11" t="s">
        <v>291</v>
      </c>
      <c r="D63" s="93" t="s">
        <v>292</v>
      </c>
      <c r="E63" s="215" t="s">
        <v>237</v>
      </c>
      <c r="F63" s="216">
        <v>20.0</v>
      </c>
      <c r="G63" s="216">
        <v>20.0</v>
      </c>
      <c r="H63" s="216">
        <v>40.0</v>
      </c>
      <c r="I63" s="11">
        <f t="shared" si="1"/>
        <v>800</v>
      </c>
      <c r="J63" s="11" t="s">
        <v>178</v>
      </c>
      <c r="K63" s="93"/>
      <c r="L63" s="93" t="s">
        <v>2008</v>
      </c>
      <c r="M63" s="93" t="s">
        <v>1922</v>
      </c>
      <c r="N63" s="217" t="s">
        <v>293</v>
      </c>
      <c r="O63" s="11" t="str">
        <f t="shared" si="3"/>
        <v/>
      </c>
      <c r="P63" s="221" t="s">
        <v>2045</v>
      </c>
    </row>
    <row r="64" ht="45.0" customHeight="1">
      <c r="A64" s="11">
        <v>63.0</v>
      </c>
      <c r="B64" s="11" t="s">
        <v>173</v>
      </c>
      <c r="C64" s="11" t="s">
        <v>295</v>
      </c>
      <c r="D64" s="93" t="s">
        <v>296</v>
      </c>
      <c r="E64" s="215" t="s">
        <v>237</v>
      </c>
      <c r="F64" s="216">
        <v>20.0</v>
      </c>
      <c r="G64" s="216">
        <v>20.0</v>
      </c>
      <c r="H64" s="216">
        <v>40.0</v>
      </c>
      <c r="I64" s="11">
        <f t="shared" si="1"/>
        <v>800</v>
      </c>
      <c r="J64" s="11" t="s">
        <v>178</v>
      </c>
      <c r="K64" s="93"/>
      <c r="L64" s="93" t="s">
        <v>2008</v>
      </c>
      <c r="M64" s="93" t="s">
        <v>1922</v>
      </c>
      <c r="N64" s="217" t="s">
        <v>297</v>
      </c>
      <c r="O64" s="11" t="str">
        <f t="shared" si="3"/>
        <v/>
      </c>
      <c r="P64" s="221" t="s">
        <v>2045</v>
      </c>
    </row>
    <row r="65" ht="45.0" customHeight="1">
      <c r="A65" s="11">
        <v>64.0</v>
      </c>
      <c r="B65" s="11" t="s">
        <v>173</v>
      </c>
      <c r="C65" s="11" t="s">
        <v>299</v>
      </c>
      <c r="D65" s="93" t="s">
        <v>300</v>
      </c>
      <c r="E65" s="215" t="s">
        <v>237</v>
      </c>
      <c r="F65" s="216">
        <v>10.0</v>
      </c>
      <c r="G65" s="216">
        <v>10.0</v>
      </c>
      <c r="H65" s="216">
        <v>50.0</v>
      </c>
      <c r="I65" s="11">
        <f t="shared" si="1"/>
        <v>500</v>
      </c>
      <c r="J65" s="11" t="s">
        <v>178</v>
      </c>
      <c r="K65" s="93"/>
      <c r="L65" s="93" t="s">
        <v>1594</v>
      </c>
      <c r="M65" s="93" t="s">
        <v>300</v>
      </c>
      <c r="N65" s="217" t="s">
        <v>301</v>
      </c>
      <c r="O65" s="11" t="str">
        <f>IMAGE("https://encrypted-tbn0.gstatic.com/images?q=tbn:ANd9GcR4A79FMiemvwjtYU3z1SGV0ayCZPtc8oNMobr5AuvlhGOJoeuq78aTh7JjRPQlfFrsXfE&amp;usqp=CAU",1)</f>
        <v/>
      </c>
      <c r="P65" s="11" t="s">
        <v>2046</v>
      </c>
    </row>
    <row r="66" ht="45.0" customHeight="1">
      <c r="A66" s="11">
        <v>65.0</v>
      </c>
      <c r="B66" s="11" t="s">
        <v>173</v>
      </c>
      <c r="C66" s="11" t="s">
        <v>303</v>
      </c>
      <c r="D66" s="93" t="s">
        <v>304</v>
      </c>
      <c r="E66" s="215" t="s">
        <v>237</v>
      </c>
      <c r="F66" s="216">
        <v>10.0</v>
      </c>
      <c r="G66" s="216">
        <v>10.0</v>
      </c>
      <c r="H66" s="216">
        <v>50.0</v>
      </c>
      <c r="I66" s="11">
        <f t="shared" si="1"/>
        <v>500</v>
      </c>
      <c r="J66" s="11" t="s">
        <v>178</v>
      </c>
      <c r="K66" s="93"/>
      <c r="L66" s="93" t="s">
        <v>2012</v>
      </c>
      <c r="M66" s="93" t="s">
        <v>304</v>
      </c>
      <c r="N66" s="217" t="s">
        <v>306</v>
      </c>
      <c r="O66" s="11" t="str">
        <f>IMAGE("https://robu.in/wp-content/uploads/2018/07/50-CM-Micro-USB-Cable-1.jpg",1)</f>
        <v/>
      </c>
      <c r="P66" s="221" t="s">
        <v>2047</v>
      </c>
    </row>
    <row r="67" ht="45.0" customHeight="1">
      <c r="A67" s="11">
        <v>66.0</v>
      </c>
      <c r="B67" s="224" t="s">
        <v>173</v>
      </c>
      <c r="C67" s="224" t="s">
        <v>308</v>
      </c>
      <c r="D67" s="225" t="s">
        <v>309</v>
      </c>
      <c r="E67" s="226" t="s">
        <v>237</v>
      </c>
      <c r="F67" s="227">
        <v>10.0</v>
      </c>
      <c r="G67" s="227">
        <v>10.0</v>
      </c>
      <c r="H67" s="227">
        <v>50.0</v>
      </c>
      <c r="I67" s="224">
        <f t="shared" si="1"/>
        <v>500</v>
      </c>
      <c r="J67" s="228" t="s">
        <v>178</v>
      </c>
      <c r="K67" s="225"/>
      <c r="L67" s="229"/>
      <c r="M67" s="225" t="s">
        <v>309</v>
      </c>
      <c r="N67" s="230" t="s">
        <v>311</v>
      </c>
      <c r="O67" s="224" t="str">
        <f>IMAGE("https://m.media-amazon.com/images/I/618b8Xq+hXL._SL1500_.jpg",1)</f>
        <v/>
      </c>
      <c r="P67" s="222"/>
    </row>
    <row r="68" ht="45.0" customHeight="1">
      <c r="A68" s="11">
        <v>67.0</v>
      </c>
      <c r="B68" s="11" t="s">
        <v>173</v>
      </c>
      <c r="C68" s="11" t="s">
        <v>313</v>
      </c>
      <c r="D68" s="93" t="s">
        <v>314</v>
      </c>
      <c r="E68" s="215" t="s">
        <v>237</v>
      </c>
      <c r="F68" s="11">
        <v>1.0</v>
      </c>
      <c r="G68" s="11">
        <v>1.0</v>
      </c>
      <c r="H68" s="11">
        <v>300.0</v>
      </c>
      <c r="I68" s="11">
        <f t="shared" si="1"/>
        <v>300</v>
      </c>
      <c r="J68" s="11" t="s">
        <v>142</v>
      </c>
      <c r="K68" s="93"/>
      <c r="L68" s="93" t="s">
        <v>1902</v>
      </c>
      <c r="M68" s="93" t="s">
        <v>237</v>
      </c>
      <c r="N68" s="217" t="s">
        <v>315</v>
      </c>
      <c r="O68" s="11" t="str">
        <f>IMAGE("https://m.media-amazon.com/images/I/41ajXEZ8zhL._SL1200_.jpg",1)</f>
        <v/>
      </c>
      <c r="P68" s="11" t="s">
        <v>2026</v>
      </c>
    </row>
    <row r="69" ht="45.0" customHeight="1">
      <c r="A69" s="11">
        <v>68.0</v>
      </c>
      <c r="B69" s="11" t="s">
        <v>173</v>
      </c>
      <c r="C69" s="11" t="s">
        <v>317</v>
      </c>
      <c r="D69" s="93" t="s">
        <v>1924</v>
      </c>
      <c r="E69" s="215" t="s">
        <v>237</v>
      </c>
      <c r="F69" s="216">
        <v>10.0</v>
      </c>
      <c r="G69" s="216">
        <v>10.0</v>
      </c>
      <c r="H69" s="216">
        <v>50.0</v>
      </c>
      <c r="I69" s="11">
        <f t="shared" si="1"/>
        <v>500</v>
      </c>
      <c r="J69" s="11" t="s">
        <v>178</v>
      </c>
      <c r="K69" s="93"/>
      <c r="L69" s="93" t="s">
        <v>1895</v>
      </c>
      <c r="M69" s="93" t="s">
        <v>237</v>
      </c>
      <c r="N69" s="217" t="s">
        <v>320</v>
      </c>
      <c r="O69" s="11" t="str">
        <f>IMAGE("https://robu.in/wp-content/uploads/2019/06/3.5mm-Audio-Plug-3-Pole-Gold-plated-Earphone-Adapter-For-DIY-Stereo-Headset-5.jpg",1)</f>
        <v/>
      </c>
      <c r="P69" s="221" t="s">
        <v>2036</v>
      </c>
    </row>
    <row r="70" ht="45.0" customHeight="1">
      <c r="A70" s="11">
        <v>69.0</v>
      </c>
      <c r="B70" s="221" t="s">
        <v>2048</v>
      </c>
      <c r="C70" s="11" t="s">
        <v>323</v>
      </c>
      <c r="D70" s="93" t="s">
        <v>324</v>
      </c>
      <c r="E70" s="215" t="s">
        <v>325</v>
      </c>
      <c r="F70" s="11">
        <v>1.0</v>
      </c>
      <c r="G70" s="11">
        <v>1.0</v>
      </c>
      <c r="H70" s="11">
        <v>200.0</v>
      </c>
      <c r="I70" s="11">
        <f t="shared" si="1"/>
        <v>200</v>
      </c>
      <c r="J70" s="11" t="s">
        <v>326</v>
      </c>
      <c r="K70" s="93"/>
      <c r="L70" s="93"/>
      <c r="M70" s="93" t="s">
        <v>1925</v>
      </c>
      <c r="N70" s="217" t="s">
        <v>78</v>
      </c>
      <c r="O70" s="11" t="str">
        <f>IMAGE("https://5.imimg.com/data5/PL/FV/MY-11916319/synthetic-angle-broom-500x500.jpg",1)</f>
        <v/>
      </c>
      <c r="P70" s="11" t="s">
        <v>2049</v>
      </c>
    </row>
    <row r="71" ht="45.0" customHeight="1">
      <c r="A71" s="11">
        <v>70.0</v>
      </c>
      <c r="B71" s="221" t="s">
        <v>2048</v>
      </c>
      <c r="C71" s="11" t="s">
        <v>328</v>
      </c>
      <c r="D71" s="93" t="s">
        <v>329</v>
      </c>
      <c r="E71" s="215" t="s">
        <v>325</v>
      </c>
      <c r="F71" s="11">
        <v>1.0</v>
      </c>
      <c r="G71" s="11">
        <v>1.0</v>
      </c>
      <c r="H71" s="11">
        <v>100.0</v>
      </c>
      <c r="I71" s="11">
        <f t="shared" si="1"/>
        <v>100</v>
      </c>
      <c r="J71" s="11" t="s">
        <v>326</v>
      </c>
      <c r="K71" s="93"/>
      <c r="L71" s="93"/>
      <c r="M71" s="93" t="s">
        <v>1925</v>
      </c>
      <c r="N71" s="217" t="s">
        <v>330</v>
      </c>
      <c r="O71" s="11" t="str">
        <f>IMAGE("https://m.media-amazon.com/images/W/MEDIAX_792452-T2/images/I/61z4uqZdmPL._AC_UF1000,1000_QL80_.jpg",1)</f>
        <v/>
      </c>
      <c r="P71" s="11" t="s">
        <v>2049</v>
      </c>
    </row>
    <row r="72" ht="45.0" customHeight="1">
      <c r="A72" s="11">
        <v>71.0</v>
      </c>
      <c r="B72" s="221" t="s">
        <v>2048</v>
      </c>
      <c r="C72" s="11" t="s">
        <v>332</v>
      </c>
      <c r="D72" s="93" t="s">
        <v>333</v>
      </c>
      <c r="E72" s="215" t="s">
        <v>325</v>
      </c>
      <c r="F72" s="11">
        <v>5.0</v>
      </c>
      <c r="G72" s="11">
        <v>5.0</v>
      </c>
      <c r="H72" s="11">
        <v>100.0</v>
      </c>
      <c r="I72" s="11">
        <f t="shared" si="1"/>
        <v>500</v>
      </c>
      <c r="J72" s="11" t="s">
        <v>326</v>
      </c>
      <c r="K72" s="93"/>
      <c r="L72" s="93"/>
      <c r="M72" s="93" t="s">
        <v>1925</v>
      </c>
      <c r="N72" s="217" t="s">
        <v>334</v>
      </c>
      <c r="O72" s="11" t="str">
        <f>IMAGE("https://m.media-amazon.com/images/W/MEDIAX_792452-T2/images/I/61Njm4X2d2L._AC_UF1000,1000_QL80_.jpg",1)</f>
        <v/>
      </c>
      <c r="P72" s="11" t="s">
        <v>2049</v>
      </c>
    </row>
    <row r="73" ht="45.0" customHeight="1">
      <c r="A73" s="11">
        <v>72.0</v>
      </c>
      <c r="B73" s="221" t="s">
        <v>2048</v>
      </c>
      <c r="C73" s="11" t="s">
        <v>336</v>
      </c>
      <c r="D73" s="93" t="s">
        <v>337</v>
      </c>
      <c r="E73" s="215" t="s">
        <v>325</v>
      </c>
      <c r="F73" s="11">
        <v>1.0</v>
      </c>
      <c r="G73" s="11">
        <v>1.0</v>
      </c>
      <c r="H73" s="11">
        <v>3600.0</v>
      </c>
      <c r="I73" s="11">
        <f t="shared" si="1"/>
        <v>3600</v>
      </c>
      <c r="J73" s="11" t="s">
        <v>326</v>
      </c>
      <c r="K73" s="93" t="s">
        <v>65</v>
      </c>
      <c r="L73" s="123" t="s">
        <v>65</v>
      </c>
      <c r="M73" s="93" t="s">
        <v>1925</v>
      </c>
      <c r="N73" s="217" t="s">
        <v>338</v>
      </c>
      <c r="O73" s="11" t="str">
        <f>IMAGE("https://m.media-amazon.com/images/I/61HelF+y3YL._SL1500_.jpg",1)</f>
        <v/>
      </c>
      <c r="P73" s="11" t="s">
        <v>2049</v>
      </c>
    </row>
    <row r="74" ht="45.0" customHeight="1">
      <c r="A74" s="11">
        <v>73.0</v>
      </c>
      <c r="B74" s="221" t="s">
        <v>2048</v>
      </c>
      <c r="C74" s="11" t="s">
        <v>340</v>
      </c>
      <c r="D74" s="93" t="s">
        <v>341</v>
      </c>
      <c r="E74" s="215" t="s">
        <v>325</v>
      </c>
      <c r="F74" s="11">
        <v>3.0</v>
      </c>
      <c r="G74" s="11">
        <v>3.0</v>
      </c>
      <c r="H74" s="11">
        <v>800.0</v>
      </c>
      <c r="I74" s="11">
        <f t="shared" si="1"/>
        <v>2400</v>
      </c>
      <c r="J74" s="11" t="s">
        <v>326</v>
      </c>
      <c r="K74" s="93"/>
      <c r="L74" s="93"/>
      <c r="M74" s="93" t="s">
        <v>1925</v>
      </c>
      <c r="N74" s="217"/>
      <c r="O74" s="11" t="str">
        <f>IMAGE("https://rukminim2.flixcart.com/image/850/1000/kshtxu80/dustbin/p/l/y/swaccha-bharat-champaign-dry-and-wet-waste-bins-small-11ltr-original-imag6fnfj6pqmsba.jpeg?q=20",1)</f>
        <v/>
      </c>
      <c r="P74" s="11" t="s">
        <v>2049</v>
      </c>
    </row>
    <row r="75" ht="45.0" customHeight="1">
      <c r="A75" s="11">
        <v>74.0</v>
      </c>
      <c r="B75" s="11" t="s">
        <v>342</v>
      </c>
      <c r="C75" s="11" t="s">
        <v>344</v>
      </c>
      <c r="D75" s="93" t="s">
        <v>345</v>
      </c>
      <c r="E75" s="215" t="s">
        <v>346</v>
      </c>
      <c r="F75" s="216">
        <v>1.0</v>
      </c>
      <c r="G75" s="216">
        <v>2.0</v>
      </c>
      <c r="H75" s="216">
        <v>200.0</v>
      </c>
      <c r="I75" s="11">
        <f t="shared" si="1"/>
        <v>400</v>
      </c>
      <c r="J75" s="11" t="s">
        <v>347</v>
      </c>
      <c r="K75" s="93" t="s">
        <v>21</v>
      </c>
      <c r="L75" s="11"/>
      <c r="M75" s="215" t="s">
        <v>346</v>
      </c>
      <c r="N75" s="217" t="s">
        <v>348</v>
      </c>
      <c r="O75" s="11" t="str">
        <f>IMAGE("https://m.media-amazon.com/images/I/71NdWJD1LKL._SL1500_.jpg",1)</f>
        <v/>
      </c>
      <c r="P75" s="11" t="s">
        <v>2050</v>
      </c>
    </row>
    <row r="76" ht="45.0" customHeight="1">
      <c r="A76" s="11">
        <v>75.0</v>
      </c>
      <c r="B76" s="11" t="s">
        <v>342</v>
      </c>
      <c r="C76" s="11" t="s">
        <v>350</v>
      </c>
      <c r="D76" s="93" t="s">
        <v>351</v>
      </c>
      <c r="E76" s="215" t="s">
        <v>346</v>
      </c>
      <c r="F76" s="216">
        <v>1.0</v>
      </c>
      <c r="G76" s="216">
        <v>2.0</v>
      </c>
      <c r="H76" s="216">
        <v>180.0</v>
      </c>
      <c r="I76" s="11">
        <f t="shared" si="1"/>
        <v>360</v>
      </c>
      <c r="J76" s="11" t="s">
        <v>347</v>
      </c>
      <c r="K76" s="93"/>
      <c r="L76" s="93"/>
      <c r="M76" s="215" t="s">
        <v>346</v>
      </c>
      <c r="N76" s="217" t="s">
        <v>353</v>
      </c>
      <c r="O76" s="11" t="str">
        <f>IMAGE("https://m.media-amazon.com/images/I/41GBeFsg3kL.jpg",1)</f>
        <v/>
      </c>
      <c r="P76" s="11" t="s">
        <v>2051</v>
      </c>
    </row>
    <row r="77" ht="45.0" customHeight="1">
      <c r="A77" s="11">
        <v>76.0</v>
      </c>
      <c r="B77" s="11" t="s">
        <v>342</v>
      </c>
      <c r="C77" s="11" t="s">
        <v>355</v>
      </c>
      <c r="D77" s="93" t="s">
        <v>356</v>
      </c>
      <c r="E77" s="215" t="s">
        <v>346</v>
      </c>
      <c r="F77" s="216">
        <v>1.0</v>
      </c>
      <c r="G77" s="216">
        <v>1.0</v>
      </c>
      <c r="H77" s="216">
        <v>300.0</v>
      </c>
      <c r="I77" s="11">
        <f t="shared" si="1"/>
        <v>300</v>
      </c>
      <c r="J77" s="11" t="s">
        <v>347</v>
      </c>
      <c r="K77" s="93" t="s">
        <v>77</v>
      </c>
      <c r="L77" s="93" t="s">
        <v>2052</v>
      </c>
      <c r="M77" s="215" t="s">
        <v>346</v>
      </c>
      <c r="N77" s="217" t="s">
        <v>357</v>
      </c>
      <c r="O77" s="11" t="str">
        <f>IMAGE("https://services.ibo.com/media/v1/products/images/db78032d-e5ba-4c4c-bc8f-110fa0021b77/stanley-sta7221xjin-16-pc-drilling-and-screwdriving-set-1.jpeg",1)</f>
        <v/>
      </c>
      <c r="P77" s="11" t="s">
        <v>2050</v>
      </c>
    </row>
    <row r="78" ht="45.0" customHeight="1">
      <c r="A78" s="11">
        <v>77.0</v>
      </c>
      <c r="B78" s="11" t="s">
        <v>342</v>
      </c>
      <c r="C78" s="11" t="s">
        <v>359</v>
      </c>
      <c r="D78" s="93" t="s">
        <v>360</v>
      </c>
      <c r="E78" s="215" t="s">
        <v>346</v>
      </c>
      <c r="F78" s="216">
        <v>1.0</v>
      </c>
      <c r="G78" s="216">
        <v>1.0</v>
      </c>
      <c r="H78" s="216">
        <v>2500.0</v>
      </c>
      <c r="I78" s="11">
        <f t="shared" si="1"/>
        <v>2500</v>
      </c>
      <c r="J78" s="11" t="s">
        <v>347</v>
      </c>
      <c r="K78" s="93" t="s">
        <v>21</v>
      </c>
      <c r="L78" s="93"/>
      <c r="M78" s="215" t="s">
        <v>346</v>
      </c>
      <c r="N78" s="217" t="s">
        <v>361</v>
      </c>
      <c r="O78" s="11" t="str">
        <f>IMAGE("https://cdn.moglix.com/p/Rn8lZopeAizs5-xxlarge.jpg",1)</f>
        <v/>
      </c>
      <c r="P78" s="11" t="s">
        <v>2050</v>
      </c>
    </row>
    <row r="79" ht="45.0" customHeight="1">
      <c r="A79" s="11">
        <v>78.0</v>
      </c>
      <c r="B79" s="11" t="s">
        <v>342</v>
      </c>
      <c r="C79" s="11" t="s">
        <v>363</v>
      </c>
      <c r="D79" s="93" t="s">
        <v>364</v>
      </c>
      <c r="E79" s="215" t="s">
        <v>346</v>
      </c>
      <c r="F79" s="216">
        <v>1.0</v>
      </c>
      <c r="G79" s="216">
        <v>1.0</v>
      </c>
      <c r="H79" s="216">
        <v>500.0</v>
      </c>
      <c r="I79" s="11">
        <f t="shared" si="1"/>
        <v>500</v>
      </c>
      <c r="J79" s="11" t="s">
        <v>347</v>
      </c>
      <c r="K79" s="93"/>
      <c r="L79" s="93"/>
      <c r="M79" s="215" t="s">
        <v>346</v>
      </c>
      <c r="N79" s="217" t="s">
        <v>365</v>
      </c>
      <c r="O79" s="11" t="str">
        <f>IMAGE("https://m.media-amazon.com/images/I/51wli9aWH9S._SL1000_.jpg",1)</f>
        <v/>
      </c>
      <c r="P79" s="11" t="s">
        <v>2050</v>
      </c>
    </row>
    <row r="80" ht="45.0" customHeight="1">
      <c r="A80" s="11">
        <v>79.0</v>
      </c>
      <c r="B80" s="11" t="s">
        <v>342</v>
      </c>
      <c r="C80" s="11" t="s">
        <v>367</v>
      </c>
      <c r="D80" s="93" t="s">
        <v>368</v>
      </c>
      <c r="E80" s="215" t="s">
        <v>346</v>
      </c>
      <c r="F80" s="216">
        <v>20.0</v>
      </c>
      <c r="G80" s="216">
        <v>20.0</v>
      </c>
      <c r="H80" s="216">
        <v>5.0</v>
      </c>
      <c r="I80" s="11">
        <f t="shared" si="1"/>
        <v>100</v>
      </c>
      <c r="J80" s="11" t="s">
        <v>347</v>
      </c>
      <c r="K80" s="93"/>
      <c r="L80" s="93"/>
      <c r="M80" s="215" t="s">
        <v>346</v>
      </c>
      <c r="N80" s="217" t="s">
        <v>369</v>
      </c>
      <c r="O80" s="11" t="str">
        <f>IMAGE("https://res.cloudinary.com/rsc/image/upload/b_rgb:FFFFFF,c_pad,dpr_1.0,f_auto,q_auto,w_700/c_pad,w_700/C4847566-05",1)</f>
        <v/>
      </c>
      <c r="P80" s="11" t="s">
        <v>2051</v>
      </c>
    </row>
    <row r="81" ht="45.0" customHeight="1">
      <c r="A81" s="11">
        <v>80.0</v>
      </c>
      <c r="B81" s="11" t="s">
        <v>342</v>
      </c>
      <c r="C81" s="11" t="s">
        <v>371</v>
      </c>
      <c r="D81" s="93" t="s">
        <v>372</v>
      </c>
      <c r="E81" s="215" t="s">
        <v>346</v>
      </c>
      <c r="F81" s="216">
        <v>1.0</v>
      </c>
      <c r="G81" s="216">
        <v>2.0</v>
      </c>
      <c r="H81" s="216">
        <v>150.0</v>
      </c>
      <c r="I81" s="11">
        <f t="shared" si="1"/>
        <v>300</v>
      </c>
      <c r="J81" s="11" t="s">
        <v>347</v>
      </c>
      <c r="K81" s="93"/>
      <c r="L81" s="93"/>
      <c r="M81" s="215" t="s">
        <v>346</v>
      </c>
      <c r="N81" s="217"/>
      <c r="O81" s="11" t="str">
        <f>IMAGE("https://5.imimg.com/data5/JR/LF/GK/SELLER-30390418/hacksaw-500x500.png",1)</f>
        <v/>
      </c>
      <c r="P81" s="11" t="s">
        <v>2053</v>
      </c>
    </row>
    <row r="82" ht="45.0" customHeight="1">
      <c r="A82" s="11">
        <v>81.0</v>
      </c>
      <c r="B82" s="11" t="s">
        <v>342</v>
      </c>
      <c r="C82" s="11" t="s">
        <v>374</v>
      </c>
      <c r="D82" s="93" t="s">
        <v>375</v>
      </c>
      <c r="E82" s="215" t="s">
        <v>346</v>
      </c>
      <c r="F82" s="216">
        <v>5.0</v>
      </c>
      <c r="G82" s="216">
        <v>5.0</v>
      </c>
      <c r="H82" s="216">
        <v>170.0</v>
      </c>
      <c r="I82" s="11">
        <f t="shared" si="1"/>
        <v>850</v>
      </c>
      <c r="J82" s="11" t="s">
        <v>347</v>
      </c>
      <c r="K82" s="93"/>
      <c r="L82" s="93"/>
      <c r="M82" s="215" t="s">
        <v>346</v>
      </c>
      <c r="N82" s="217" t="s">
        <v>376</v>
      </c>
      <c r="O82" s="11" t="str">
        <f>IMAGE("https://encrypted-tbn0.gstatic.com/images?q=tbn:ANd9GcRnlFGDkPLnXJSjTXFe7fzQ2kj51brspxAcjVtkmgU5NgUWN5-EbmbNTptE-Y3t4g8lr84&amp;usqp=CAU",1)</f>
        <v/>
      </c>
      <c r="P82" s="11" t="s">
        <v>2053</v>
      </c>
    </row>
    <row r="83" ht="45.0" customHeight="1">
      <c r="A83" s="11">
        <v>82.0</v>
      </c>
      <c r="B83" s="11" t="s">
        <v>342</v>
      </c>
      <c r="C83" s="11" t="s">
        <v>378</v>
      </c>
      <c r="D83" s="93" t="s">
        <v>379</v>
      </c>
      <c r="E83" s="215" t="s">
        <v>346</v>
      </c>
      <c r="F83" s="216">
        <v>2.0</v>
      </c>
      <c r="G83" s="216">
        <v>2.0</v>
      </c>
      <c r="H83" s="216">
        <v>500.0</v>
      </c>
      <c r="I83" s="11">
        <f t="shared" si="1"/>
        <v>1000</v>
      </c>
      <c r="J83" s="11" t="s">
        <v>347</v>
      </c>
      <c r="K83" s="93"/>
      <c r="L83" s="93"/>
      <c r="M83" s="215" t="s">
        <v>346</v>
      </c>
      <c r="N83" s="217" t="s">
        <v>156</v>
      </c>
      <c r="O83" s="11" t="str">
        <f>IMAGE("https://www.stanleytools.me/EMEA/PRODUCT/IMAGES/HIRES/STHT0-10194/STHT0-10194_1.jpg?resize=530x530",1)</f>
        <v/>
      </c>
      <c r="P83" s="11" t="s">
        <v>2050</v>
      </c>
    </row>
    <row r="84" ht="45.0" customHeight="1">
      <c r="A84" s="11">
        <v>83.0</v>
      </c>
      <c r="B84" s="11" t="s">
        <v>342</v>
      </c>
      <c r="C84" s="11" t="s">
        <v>381</v>
      </c>
      <c r="D84" s="93" t="s">
        <v>382</v>
      </c>
      <c r="E84" s="215" t="s">
        <v>346</v>
      </c>
      <c r="F84" s="216">
        <v>10.0</v>
      </c>
      <c r="G84" s="216">
        <v>10.0</v>
      </c>
      <c r="H84" s="216">
        <v>80.0</v>
      </c>
      <c r="I84" s="11">
        <f t="shared" si="1"/>
        <v>800</v>
      </c>
      <c r="J84" s="11" t="s">
        <v>347</v>
      </c>
      <c r="K84" s="93"/>
      <c r="L84" s="93" t="s">
        <v>2022</v>
      </c>
      <c r="M84" s="215" t="s">
        <v>346</v>
      </c>
      <c r="N84" s="217" t="s">
        <v>383</v>
      </c>
      <c r="O84" s="11" t="str">
        <f>IMAGE("https://sc04.alicdn.com/kf/HTB1fK8lXPvuK1Rjy0Faq6x2aVXa5.jpg",1)</f>
        <v/>
      </c>
      <c r="P84" s="11" t="s">
        <v>2054</v>
      </c>
    </row>
    <row r="85" ht="45.0" customHeight="1">
      <c r="A85" s="11">
        <v>84.0</v>
      </c>
      <c r="B85" s="11" t="s">
        <v>342</v>
      </c>
      <c r="C85" s="11" t="s">
        <v>385</v>
      </c>
      <c r="D85" s="93" t="s">
        <v>1926</v>
      </c>
      <c r="E85" s="215" t="s">
        <v>346</v>
      </c>
      <c r="F85" s="11">
        <v>1.0</v>
      </c>
      <c r="G85" s="11">
        <v>1.0</v>
      </c>
      <c r="H85" s="11">
        <v>3500.0</v>
      </c>
      <c r="I85" s="11">
        <v>3500.0</v>
      </c>
      <c r="J85" s="11" t="s">
        <v>347</v>
      </c>
      <c r="K85" s="93"/>
      <c r="L85" s="93"/>
      <c r="M85" s="215" t="s">
        <v>346</v>
      </c>
      <c r="N85" s="217"/>
      <c r="O85" s="11" t="str">
        <f>IMAGE("https://asia.blackanddecker.global/ASIA/PRODUCT/IMAGES/HIRES/RT18KA-B1/RT18KA_1.jpg?resize=530x530", 1)</f>
        <v/>
      </c>
      <c r="P85" s="11" t="s">
        <v>2050</v>
      </c>
    </row>
    <row r="86" ht="45.0" customHeight="1">
      <c r="A86" s="11">
        <v>85.0</v>
      </c>
      <c r="B86" s="221" t="s">
        <v>15</v>
      </c>
      <c r="C86" s="11" t="s">
        <v>388</v>
      </c>
      <c r="D86" s="93" t="s">
        <v>1927</v>
      </c>
      <c r="E86" s="215" t="s">
        <v>346</v>
      </c>
      <c r="F86" s="216">
        <v>5.0</v>
      </c>
      <c r="G86" s="216">
        <v>5.0</v>
      </c>
      <c r="H86" s="216">
        <v>50.0</v>
      </c>
      <c r="I86" s="11">
        <f t="shared" ref="I86:I259" si="4">H86*G86</f>
        <v>250</v>
      </c>
      <c r="J86" s="11" t="s">
        <v>347</v>
      </c>
      <c r="K86" s="93" t="s">
        <v>77</v>
      </c>
      <c r="L86" s="123" t="s">
        <v>2012</v>
      </c>
      <c r="M86" s="215" t="s">
        <v>346</v>
      </c>
      <c r="N86" s="217" t="s">
        <v>390</v>
      </c>
      <c r="O86" s="11" t="str">
        <f>IMAGE("https://m.media-amazon.com/images/I/518vUksgebL._SL1100_.jpg",1)</f>
        <v/>
      </c>
      <c r="P86" s="11" t="s">
        <v>2055</v>
      </c>
    </row>
    <row r="87" ht="45.0" customHeight="1">
      <c r="A87" s="11">
        <v>86.0</v>
      </c>
      <c r="B87" s="221" t="s">
        <v>15</v>
      </c>
      <c r="C87" s="11" t="s">
        <v>392</v>
      </c>
      <c r="D87" s="93" t="s">
        <v>1928</v>
      </c>
      <c r="E87" s="215" t="s">
        <v>346</v>
      </c>
      <c r="F87" s="216">
        <v>5.0</v>
      </c>
      <c r="G87" s="216">
        <v>5.0</v>
      </c>
      <c r="H87" s="216">
        <v>50.0</v>
      </c>
      <c r="I87" s="11">
        <f t="shared" si="4"/>
        <v>250</v>
      </c>
      <c r="J87" s="11" t="s">
        <v>347</v>
      </c>
      <c r="K87" s="93" t="s">
        <v>77</v>
      </c>
      <c r="L87" s="123" t="s">
        <v>2012</v>
      </c>
      <c r="M87" s="215" t="s">
        <v>346</v>
      </c>
      <c r="N87" s="217" t="s">
        <v>394</v>
      </c>
      <c r="O87" s="11" t="str">
        <f>IMAGE("https://rukminim1.flixcart.com/image/416/416/jidg9zk0/art-craft-kit/f/g/a/9mm-snap-off-precision-blades-30-degree-blades-100-blade-pack-1-original-imaf66g6ahvgzem3.jpeg?q=70",1)</f>
        <v/>
      </c>
      <c r="P87" s="11" t="s">
        <v>2055</v>
      </c>
    </row>
    <row r="88" ht="45.0" customHeight="1">
      <c r="A88" s="11">
        <v>87.0</v>
      </c>
      <c r="B88" s="221" t="s">
        <v>15</v>
      </c>
      <c r="C88" s="11" t="s">
        <v>396</v>
      </c>
      <c r="D88" s="93" t="s">
        <v>1929</v>
      </c>
      <c r="E88" s="215" t="s">
        <v>346</v>
      </c>
      <c r="F88" s="216">
        <v>5.0</v>
      </c>
      <c r="G88" s="216">
        <v>5.0</v>
      </c>
      <c r="H88" s="216">
        <v>100.0</v>
      </c>
      <c r="I88" s="11">
        <f t="shared" si="4"/>
        <v>500</v>
      </c>
      <c r="J88" s="11" t="s">
        <v>347</v>
      </c>
      <c r="K88" s="93" t="s">
        <v>77</v>
      </c>
      <c r="L88" s="123" t="s">
        <v>2012</v>
      </c>
      <c r="M88" s="215" t="s">
        <v>346</v>
      </c>
      <c r="N88" s="217" t="s">
        <v>398</v>
      </c>
      <c r="O88" s="11" t="str">
        <f>IMAGE("https://m.media-amazon.com/images/I/31u15vg7r0L._SX342_.jpg",1)</f>
        <v/>
      </c>
      <c r="P88" s="11" t="s">
        <v>2056</v>
      </c>
    </row>
    <row r="89" ht="45.0" customHeight="1">
      <c r="A89" s="11">
        <v>88.0</v>
      </c>
      <c r="B89" s="221" t="s">
        <v>15</v>
      </c>
      <c r="C89" s="11" t="s">
        <v>400</v>
      </c>
      <c r="D89" s="93" t="s">
        <v>1930</v>
      </c>
      <c r="E89" s="215" t="s">
        <v>346</v>
      </c>
      <c r="F89" s="216">
        <v>10.0</v>
      </c>
      <c r="G89" s="216">
        <v>10.0</v>
      </c>
      <c r="H89" s="216">
        <v>100.0</v>
      </c>
      <c r="I89" s="11">
        <f t="shared" si="4"/>
        <v>1000</v>
      </c>
      <c r="J89" s="11" t="s">
        <v>347</v>
      </c>
      <c r="K89" s="93" t="s">
        <v>77</v>
      </c>
      <c r="L89" s="11" t="s">
        <v>2012</v>
      </c>
      <c r="M89" s="215" t="s">
        <v>346</v>
      </c>
      <c r="N89" s="217" t="s">
        <v>402</v>
      </c>
      <c r="O89" s="11" t="str">
        <f>IMAGE("https://hydetools.com/wp-content/uploads/2019/09/42046b.jpg",1)</f>
        <v/>
      </c>
      <c r="P89" s="11" t="s">
        <v>2056</v>
      </c>
    </row>
    <row r="90" ht="45.0" customHeight="1">
      <c r="A90" s="11">
        <v>89.0</v>
      </c>
      <c r="B90" s="221" t="s">
        <v>15</v>
      </c>
      <c r="C90" s="11" t="s">
        <v>404</v>
      </c>
      <c r="D90" s="93" t="s">
        <v>405</v>
      </c>
      <c r="E90" s="215" t="s">
        <v>346</v>
      </c>
      <c r="F90" s="216">
        <v>10.0</v>
      </c>
      <c r="G90" s="216">
        <v>10.0</v>
      </c>
      <c r="H90" s="216">
        <v>100.0</v>
      </c>
      <c r="I90" s="11">
        <f t="shared" si="4"/>
        <v>1000</v>
      </c>
      <c r="J90" s="11" t="s">
        <v>347</v>
      </c>
      <c r="K90" s="93" t="s">
        <v>21</v>
      </c>
      <c r="L90" s="11" t="s">
        <v>1594</v>
      </c>
      <c r="M90" s="215" t="s">
        <v>346</v>
      </c>
      <c r="N90" s="217" t="s">
        <v>406</v>
      </c>
      <c r="O90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P90" s="11" t="s">
        <v>2057</v>
      </c>
    </row>
    <row r="91" ht="45.0" customHeight="1">
      <c r="A91" s="11">
        <v>90.0</v>
      </c>
      <c r="B91" s="221" t="s">
        <v>15</v>
      </c>
      <c r="C91" s="11" t="s">
        <v>407</v>
      </c>
      <c r="D91" s="93" t="s">
        <v>408</v>
      </c>
      <c r="E91" s="215" t="s">
        <v>346</v>
      </c>
      <c r="F91" s="216">
        <v>10.0</v>
      </c>
      <c r="G91" s="216">
        <v>10.0</v>
      </c>
      <c r="H91" s="216">
        <v>80.0</v>
      </c>
      <c r="I91" s="11">
        <f t="shared" si="4"/>
        <v>800</v>
      </c>
      <c r="J91" s="11" t="s">
        <v>347</v>
      </c>
      <c r="K91" s="93" t="s">
        <v>77</v>
      </c>
      <c r="L91" s="11" t="s">
        <v>1594</v>
      </c>
      <c r="M91" s="215" t="s">
        <v>346</v>
      </c>
      <c r="N91" s="217"/>
      <c r="O91" s="11" t="str">
        <f>IMAGE("https://cdn-reichelt.de/bilder/web/xxl_ws/I210/LEITZ_54166095.png",1)</f>
        <v/>
      </c>
      <c r="P91" s="11" t="s">
        <v>2057</v>
      </c>
    </row>
    <row r="92" ht="45.0" customHeight="1">
      <c r="A92" s="11">
        <v>91.0</v>
      </c>
      <c r="B92" s="231" t="s">
        <v>15</v>
      </c>
      <c r="C92" s="222" t="s">
        <v>410</v>
      </c>
      <c r="D92" s="232" t="s">
        <v>411</v>
      </c>
      <c r="E92" s="233" t="s">
        <v>346</v>
      </c>
      <c r="F92" s="234">
        <v>10.0</v>
      </c>
      <c r="G92" s="234">
        <v>10.0</v>
      </c>
      <c r="H92" s="234">
        <v>150.0</v>
      </c>
      <c r="I92" s="222">
        <f t="shared" si="4"/>
        <v>1500</v>
      </c>
      <c r="J92" s="222" t="s">
        <v>347</v>
      </c>
      <c r="K92" s="232" t="s">
        <v>21</v>
      </c>
      <c r="L92" s="232" t="s">
        <v>1594</v>
      </c>
      <c r="M92" s="233" t="s">
        <v>346</v>
      </c>
      <c r="N92" s="235"/>
      <c r="O92" s="222"/>
      <c r="P92" s="11" t="s">
        <v>2058</v>
      </c>
    </row>
    <row r="93" ht="45.0" customHeight="1">
      <c r="A93" s="11">
        <v>92.0</v>
      </c>
      <c r="B93" s="222" t="s">
        <v>173</v>
      </c>
      <c r="C93" s="11" t="s">
        <v>413</v>
      </c>
      <c r="D93" s="93" t="s">
        <v>1931</v>
      </c>
      <c r="E93" s="215" t="s">
        <v>415</v>
      </c>
      <c r="F93" s="236">
        <v>12.0</v>
      </c>
      <c r="G93" s="237">
        <v>7.0</v>
      </c>
      <c r="H93" s="11">
        <v>150.0</v>
      </c>
      <c r="I93" s="11">
        <f t="shared" si="4"/>
        <v>1050</v>
      </c>
      <c r="J93" s="11" t="s">
        <v>178</v>
      </c>
      <c r="K93" s="93"/>
      <c r="L93" s="93"/>
      <c r="M93" s="93" t="s">
        <v>1932</v>
      </c>
      <c r="N93" s="217" t="s">
        <v>417</v>
      </c>
      <c r="O93" s="11" t="str">
        <f>IMAGE("https://www.electronicscomp.com/image/cache/catalog/cnc-shield-v3-400x400.jpg",1)</f>
        <v/>
      </c>
      <c r="P93" s="222" t="s">
        <v>2059</v>
      </c>
    </row>
    <row r="94" ht="45.0" customHeight="1">
      <c r="A94" s="11">
        <v>93.0</v>
      </c>
      <c r="B94" s="11" t="s">
        <v>173</v>
      </c>
      <c r="C94" s="11" t="s">
        <v>419</v>
      </c>
      <c r="D94" s="93" t="s">
        <v>420</v>
      </c>
      <c r="E94" s="215" t="s">
        <v>415</v>
      </c>
      <c r="F94" s="216">
        <v>15.0</v>
      </c>
      <c r="G94" s="216">
        <v>15.0</v>
      </c>
      <c r="H94" s="216">
        <v>400.0</v>
      </c>
      <c r="I94" s="11">
        <f t="shared" si="4"/>
        <v>6000</v>
      </c>
      <c r="J94" s="11" t="s">
        <v>178</v>
      </c>
      <c r="K94" s="93"/>
      <c r="L94" s="93" t="s">
        <v>1594</v>
      </c>
      <c r="M94" s="93" t="s">
        <v>1932</v>
      </c>
      <c r="N94" s="217" t="s">
        <v>422</v>
      </c>
      <c r="O94" s="11" t="str">
        <f>IMAGE("https://5.imimg.com/data5/VS/XC/MY-4167793/arduino-nano-500x500.jpg",1)</f>
        <v/>
      </c>
      <c r="P94" s="11" t="s">
        <v>2060</v>
      </c>
    </row>
    <row r="95" ht="45.0" customHeight="1">
      <c r="A95" s="11">
        <v>94.0</v>
      </c>
      <c r="B95" s="11" t="s">
        <v>173</v>
      </c>
      <c r="C95" s="11" t="s">
        <v>424</v>
      </c>
      <c r="D95" s="93" t="s">
        <v>1933</v>
      </c>
      <c r="E95" s="215" t="s">
        <v>415</v>
      </c>
      <c r="F95" s="216">
        <v>10.0</v>
      </c>
      <c r="G95" s="216">
        <v>10.0</v>
      </c>
      <c r="H95" s="216">
        <v>500.0</v>
      </c>
      <c r="I95" s="11">
        <f t="shared" si="4"/>
        <v>5000</v>
      </c>
      <c r="J95" s="11" t="s">
        <v>178</v>
      </c>
      <c r="K95" s="93"/>
      <c r="L95" s="93" t="s">
        <v>1594</v>
      </c>
      <c r="M95" s="93" t="s">
        <v>1932</v>
      </c>
      <c r="N95" s="217" t="s">
        <v>426</v>
      </c>
      <c r="O95" s="11" t="str">
        <f>IMAGE("https://robu.in/wp-content/uploads/2017/04/Arduino_NANO_expansion1.jpg",1)</f>
        <v/>
      </c>
      <c r="P95" s="221" t="s">
        <v>2061</v>
      </c>
    </row>
    <row r="96" ht="45.0" customHeight="1">
      <c r="A96" s="11">
        <v>95.0</v>
      </c>
      <c r="B96" s="11" t="s">
        <v>173</v>
      </c>
      <c r="C96" s="11" t="s">
        <v>428</v>
      </c>
      <c r="D96" s="93" t="s">
        <v>1934</v>
      </c>
      <c r="E96" s="215" t="s">
        <v>415</v>
      </c>
      <c r="F96" s="216">
        <v>15.0</v>
      </c>
      <c r="G96" s="216">
        <v>15.0</v>
      </c>
      <c r="H96" s="216">
        <v>450.0</v>
      </c>
      <c r="I96" s="11">
        <f t="shared" si="4"/>
        <v>6750</v>
      </c>
      <c r="J96" s="11" t="s">
        <v>178</v>
      </c>
      <c r="K96" s="93"/>
      <c r="L96" s="93" t="s">
        <v>1594</v>
      </c>
      <c r="M96" s="93" t="s">
        <v>1932</v>
      </c>
      <c r="N96" s="217" t="s">
        <v>431</v>
      </c>
      <c r="O96" s="11" t="str">
        <f>IMAGE("https://robu.in/wp-content/uploads/2017/10/Uno-R3-CH340G-ATmega328p-Development-Board-Compatible-with-Arduino2.png",1)</f>
        <v/>
      </c>
      <c r="P96" s="11" t="s">
        <v>2060</v>
      </c>
    </row>
    <row r="97" ht="45.0" customHeight="1">
      <c r="A97" s="11">
        <v>97.0</v>
      </c>
      <c r="B97" s="11" t="s">
        <v>173</v>
      </c>
      <c r="C97" s="11" t="s">
        <v>437</v>
      </c>
      <c r="D97" s="93" t="s">
        <v>438</v>
      </c>
      <c r="E97" s="215" t="s">
        <v>415</v>
      </c>
      <c r="F97" s="216">
        <v>10.0</v>
      </c>
      <c r="G97" s="216">
        <v>10.0</v>
      </c>
      <c r="H97" s="216">
        <v>150.0</v>
      </c>
      <c r="I97" s="11">
        <f t="shared" si="4"/>
        <v>1500</v>
      </c>
      <c r="J97" s="11" t="s">
        <v>178</v>
      </c>
      <c r="K97" s="93"/>
      <c r="L97" s="93" t="s">
        <v>2062</v>
      </c>
      <c r="M97" s="93" t="s">
        <v>1937</v>
      </c>
      <c r="N97" s="217" t="s">
        <v>439</v>
      </c>
      <c r="O97" s="11" t="str">
        <f>IMAGE("https://www.electronicscomp.com/image/cache/catalog/esp8266-esp01-wifi-module-india-800x800.jpg",1)</f>
        <v/>
      </c>
      <c r="P97" s="106" t="s">
        <v>1806</v>
      </c>
    </row>
    <row r="98" ht="45.0" customHeight="1">
      <c r="A98" s="11">
        <v>98.0</v>
      </c>
      <c r="B98" s="11" t="s">
        <v>173</v>
      </c>
      <c r="C98" s="11" t="s">
        <v>440</v>
      </c>
      <c r="D98" s="93" t="s">
        <v>441</v>
      </c>
      <c r="E98" s="215" t="s">
        <v>415</v>
      </c>
      <c r="F98" s="216">
        <v>10.0</v>
      </c>
      <c r="G98" s="216">
        <v>10.0</v>
      </c>
      <c r="H98" s="216">
        <v>300.0</v>
      </c>
      <c r="I98" s="11">
        <f t="shared" si="4"/>
        <v>3000</v>
      </c>
      <c r="J98" s="11" t="s">
        <v>178</v>
      </c>
      <c r="K98" s="93"/>
      <c r="L98" s="93" t="s">
        <v>2062</v>
      </c>
      <c r="M98" s="93" t="s">
        <v>1937</v>
      </c>
      <c r="N98" s="217" t="s">
        <v>443</v>
      </c>
      <c r="O98" s="11" t="str">
        <f>IMAGE("https://makerselectronics.com/wp-content/uploads/2020/07/ESP32-CAM-2.jpg",1)</f>
        <v/>
      </c>
      <c r="P98" s="11" t="s">
        <v>2063</v>
      </c>
    </row>
    <row r="99" ht="45.0" customHeight="1">
      <c r="A99" s="11">
        <v>99.0</v>
      </c>
      <c r="B99" s="11" t="s">
        <v>173</v>
      </c>
      <c r="C99" s="11" t="s">
        <v>445</v>
      </c>
      <c r="D99" s="93" t="s">
        <v>446</v>
      </c>
      <c r="E99" s="215" t="s">
        <v>415</v>
      </c>
      <c r="F99" s="216">
        <v>10.0</v>
      </c>
      <c r="G99" s="216">
        <v>10.0</v>
      </c>
      <c r="H99" s="216">
        <v>200.0</v>
      </c>
      <c r="I99" s="11">
        <f t="shared" si="4"/>
        <v>2000</v>
      </c>
      <c r="J99" s="11" t="s">
        <v>178</v>
      </c>
      <c r="K99" s="93"/>
      <c r="L99" s="93" t="s">
        <v>1594</v>
      </c>
      <c r="M99" s="93" t="s">
        <v>1937</v>
      </c>
      <c r="N99" s="217" t="s">
        <v>447</v>
      </c>
      <c r="O99" s="11" t="str">
        <f>IMAGE("https://www.berrybase.de/media/image/c5/26/b6/ID_186599_orig_600x600.jpg",1)</f>
        <v/>
      </c>
      <c r="P99" s="11" t="s">
        <v>2063</v>
      </c>
    </row>
    <row r="100" ht="45.0" customHeight="1">
      <c r="A100" s="11">
        <v>100.0</v>
      </c>
      <c r="B100" s="11" t="s">
        <v>173</v>
      </c>
      <c r="C100" s="11" t="s">
        <v>449</v>
      </c>
      <c r="D100" s="93" t="s">
        <v>450</v>
      </c>
      <c r="E100" s="215" t="s">
        <v>415</v>
      </c>
      <c r="F100" s="216">
        <v>15.0</v>
      </c>
      <c r="G100" s="216">
        <v>15.0</v>
      </c>
      <c r="H100" s="216">
        <v>250.0</v>
      </c>
      <c r="I100" s="11">
        <f t="shared" si="4"/>
        <v>3750</v>
      </c>
      <c r="J100" s="11" t="s">
        <v>178</v>
      </c>
      <c r="K100" s="93"/>
      <c r="L100" s="93" t="s">
        <v>1594</v>
      </c>
      <c r="M100" s="93" t="s">
        <v>1937</v>
      </c>
      <c r="N100" s="217" t="s">
        <v>451</v>
      </c>
      <c r="O100" s="11" t="str">
        <f>IMAGE("https://m.media-amazon.com/images/I/61rcnccrByL._SL1238_.jpg",1)</f>
        <v/>
      </c>
      <c r="P100" s="11" t="s">
        <v>2063</v>
      </c>
    </row>
    <row r="101" ht="45.0" customHeight="1">
      <c r="A101" s="11">
        <v>101.0</v>
      </c>
      <c r="B101" s="11" t="s">
        <v>173</v>
      </c>
      <c r="C101" s="11" t="s">
        <v>453</v>
      </c>
      <c r="D101" s="93" t="s">
        <v>454</v>
      </c>
      <c r="E101" s="215" t="s">
        <v>415</v>
      </c>
      <c r="F101" s="216">
        <v>15.0</v>
      </c>
      <c r="G101" s="216">
        <v>15.0</v>
      </c>
      <c r="H101" s="216">
        <v>400.0</v>
      </c>
      <c r="I101" s="11">
        <f t="shared" si="4"/>
        <v>6000</v>
      </c>
      <c r="J101" s="11" t="s">
        <v>178</v>
      </c>
      <c r="K101" s="93"/>
      <c r="L101" s="93" t="s">
        <v>1594</v>
      </c>
      <c r="M101" s="93" t="s">
        <v>455</v>
      </c>
      <c r="N101" s="217" t="s">
        <v>456</v>
      </c>
      <c r="O101" s="11" t="str">
        <f>IMAGE("https://m.media-amazon.com/images/W/MEDIAX_792452-T2/images/I/61t+lNeiChL._SL1443_.jpg",1)</f>
        <v/>
      </c>
      <c r="P101" s="11" t="s">
        <v>2064</v>
      </c>
    </row>
    <row r="102" ht="45.0" customHeight="1">
      <c r="A102" s="11">
        <v>102.0</v>
      </c>
      <c r="B102" s="11" t="s">
        <v>173</v>
      </c>
      <c r="C102" s="11" t="s">
        <v>458</v>
      </c>
      <c r="D102" s="107" t="s">
        <v>459</v>
      </c>
      <c r="E102" s="215" t="s">
        <v>415</v>
      </c>
      <c r="F102" s="216">
        <v>10.0</v>
      </c>
      <c r="G102" s="216">
        <v>10.0</v>
      </c>
      <c r="H102" s="216">
        <v>500.0</v>
      </c>
      <c r="I102" s="11">
        <f t="shared" si="4"/>
        <v>5000</v>
      </c>
      <c r="J102" s="11" t="s">
        <v>178</v>
      </c>
      <c r="K102" s="93"/>
      <c r="L102" s="93" t="s">
        <v>1594</v>
      </c>
      <c r="M102" s="93" t="s">
        <v>455</v>
      </c>
      <c r="N102" s="217" t="s">
        <v>460</v>
      </c>
      <c r="O102" s="11" t="str">
        <f>IMAGE("https://m.media-amazon.com/images/W/MEDIAX_792452-T2/images/I/61xb9SMx4AL._SL1440_.jpg",1)</f>
        <v/>
      </c>
      <c r="P102" s="11" t="s">
        <v>2064</v>
      </c>
    </row>
    <row r="103" ht="45.0" customHeight="1">
      <c r="A103" s="11">
        <v>103.0</v>
      </c>
      <c r="B103" s="222" t="s">
        <v>461</v>
      </c>
      <c r="C103" s="11" t="s">
        <v>463</v>
      </c>
      <c r="D103" s="93" t="s">
        <v>464</v>
      </c>
      <c r="E103" s="215" t="s">
        <v>465</v>
      </c>
      <c r="F103" s="216">
        <v>5.0</v>
      </c>
      <c r="G103" s="216">
        <v>5.0</v>
      </c>
      <c r="H103" s="216">
        <v>1200.0</v>
      </c>
      <c r="I103" s="11">
        <f t="shared" si="4"/>
        <v>6000</v>
      </c>
      <c r="J103" s="11" t="s">
        <v>466</v>
      </c>
      <c r="K103" s="93" t="s">
        <v>47</v>
      </c>
      <c r="L103" s="93" t="s">
        <v>1895</v>
      </c>
      <c r="M103" s="93" t="s">
        <v>1938</v>
      </c>
      <c r="N103" s="217" t="s">
        <v>468</v>
      </c>
      <c r="O103" s="11" t="str">
        <f>IMAGE("https://5.imimg.com/data5/SELLER/Default/2020/10/MN/BG/IF/24066098/sunlu-sl-300-3d-pen-green-500x500.jpg",1)</f>
        <v/>
      </c>
      <c r="P103" s="11" t="s">
        <v>2065</v>
      </c>
    </row>
    <row r="104" ht="45.0" customHeight="1">
      <c r="A104" s="11">
        <v>104.0</v>
      </c>
      <c r="B104" s="11" t="s">
        <v>461</v>
      </c>
      <c r="C104" s="11" t="s">
        <v>470</v>
      </c>
      <c r="D104" s="93" t="s">
        <v>471</v>
      </c>
      <c r="E104" s="215" t="s">
        <v>465</v>
      </c>
      <c r="F104" s="216">
        <v>1.0</v>
      </c>
      <c r="G104" s="216">
        <v>1.0</v>
      </c>
      <c r="H104" s="216">
        <v>50000.0</v>
      </c>
      <c r="I104" s="11">
        <f t="shared" si="4"/>
        <v>50000</v>
      </c>
      <c r="J104" s="11" t="s">
        <v>466</v>
      </c>
      <c r="K104" s="93" t="s">
        <v>47</v>
      </c>
      <c r="L104" s="123" t="s">
        <v>65</v>
      </c>
      <c r="M104" s="93" t="s">
        <v>1938</v>
      </c>
      <c r="N104" s="217" t="s">
        <v>472</v>
      </c>
      <c r="O104" s="11" t="str">
        <f>IMAGE("https://m.media-amazon.com/images/I/61UtNlSmPaL._SX342_.jpg",1)</f>
        <v/>
      </c>
      <c r="P104" s="11" t="s">
        <v>2066</v>
      </c>
    </row>
    <row r="105" ht="45.0" customHeight="1">
      <c r="A105" s="11">
        <v>105.0</v>
      </c>
      <c r="B105" s="11" t="s">
        <v>461</v>
      </c>
      <c r="C105" s="11" t="s">
        <v>474</v>
      </c>
      <c r="D105" s="93" t="s">
        <v>475</v>
      </c>
      <c r="E105" s="215" t="s">
        <v>465</v>
      </c>
      <c r="F105" s="216" t="s">
        <v>56</v>
      </c>
      <c r="G105" s="216">
        <v>1.0</v>
      </c>
      <c r="H105" s="216">
        <v>500.0</v>
      </c>
      <c r="I105" s="11">
        <f t="shared" si="4"/>
        <v>500</v>
      </c>
      <c r="J105" s="11" t="s">
        <v>466</v>
      </c>
      <c r="K105" s="12"/>
      <c r="L105" s="93" t="s">
        <v>1594</v>
      </c>
      <c r="M105" s="93" t="s">
        <v>1938</v>
      </c>
      <c r="N105" s="217"/>
      <c r="O105" s="11"/>
      <c r="P105" s="11" t="s">
        <v>2067</v>
      </c>
    </row>
    <row r="106" ht="45.0" customHeight="1">
      <c r="A106" s="11">
        <v>106.0</v>
      </c>
      <c r="B106" s="222" t="s">
        <v>461</v>
      </c>
      <c r="C106" s="11" t="s">
        <v>478</v>
      </c>
      <c r="D106" s="93" t="s">
        <v>479</v>
      </c>
      <c r="E106" s="215" t="s">
        <v>465</v>
      </c>
      <c r="F106" s="216">
        <v>3.0</v>
      </c>
      <c r="G106" s="216">
        <v>3.0</v>
      </c>
      <c r="H106" s="216">
        <v>500.0</v>
      </c>
      <c r="I106" s="11">
        <f t="shared" si="4"/>
        <v>1500</v>
      </c>
      <c r="J106" s="11" t="s">
        <v>466</v>
      </c>
      <c r="K106" s="93"/>
      <c r="L106" s="93" t="s">
        <v>2068</v>
      </c>
      <c r="M106" s="93" t="s">
        <v>1938</v>
      </c>
      <c r="N106" s="217" t="s">
        <v>481</v>
      </c>
      <c r="O106" s="11" t="str">
        <f>IMAGE("https://5.imimg.com/data5/LA/TM/JO/SELLER-79394111/3d-printer-nylon-filament-500x500.jpg",1)</f>
        <v/>
      </c>
      <c r="P106" s="222" t="s">
        <v>2069</v>
      </c>
    </row>
    <row r="107" ht="45.0" customHeight="1">
      <c r="A107" s="11">
        <v>107.0</v>
      </c>
      <c r="B107" s="11" t="s">
        <v>173</v>
      </c>
      <c r="C107" s="11" t="s">
        <v>487</v>
      </c>
      <c r="D107" s="93" t="s">
        <v>488</v>
      </c>
      <c r="E107" s="215" t="s">
        <v>489</v>
      </c>
      <c r="F107" s="216">
        <v>20.0</v>
      </c>
      <c r="G107" s="216">
        <v>20.0</v>
      </c>
      <c r="H107" s="216">
        <v>40.0</v>
      </c>
      <c r="I107" s="11">
        <f t="shared" si="4"/>
        <v>800</v>
      </c>
      <c r="J107" s="11" t="s">
        <v>178</v>
      </c>
      <c r="K107" s="93"/>
      <c r="L107" s="93" t="s">
        <v>2070</v>
      </c>
      <c r="M107" s="93" t="s">
        <v>1941</v>
      </c>
      <c r="N107" s="217" t="s">
        <v>490</v>
      </c>
      <c r="O107" s="11" t="str">
        <f>IMAGE("https://m.media-amazon.com/images/I/51BByYhTjOL._SX425_.jpg",1)</f>
        <v/>
      </c>
      <c r="P107" s="11" t="s">
        <v>1802</v>
      </c>
    </row>
    <row r="108" ht="45.0" customHeight="1">
      <c r="A108" s="11">
        <v>108.0</v>
      </c>
      <c r="B108" s="11" t="s">
        <v>173</v>
      </c>
      <c r="C108" s="11" t="s">
        <v>492</v>
      </c>
      <c r="D108" s="93" t="s">
        <v>1942</v>
      </c>
      <c r="E108" s="215" t="s">
        <v>489</v>
      </c>
      <c r="F108" s="216">
        <v>10.0</v>
      </c>
      <c r="G108" s="216">
        <v>10.0</v>
      </c>
      <c r="H108" s="216">
        <v>60.0</v>
      </c>
      <c r="I108" s="11">
        <f t="shared" si="4"/>
        <v>600</v>
      </c>
      <c r="J108" s="11" t="s">
        <v>178</v>
      </c>
      <c r="K108" s="93"/>
      <c r="L108" s="93" t="s">
        <v>2012</v>
      </c>
      <c r="M108" s="93" t="s">
        <v>493</v>
      </c>
      <c r="N108" s="217" t="s">
        <v>494</v>
      </c>
      <c r="O108" s="11" t="str">
        <f>IMAGE("https://5.imimg.com/data5/SR/JZ/RD/SELLER-80355495/large-breadboard-800-points--500x500.jpg",1)</f>
        <v/>
      </c>
      <c r="P108" s="11" t="s">
        <v>2071</v>
      </c>
    </row>
    <row r="109" ht="45.0" customHeight="1">
      <c r="A109" s="11">
        <v>109.0</v>
      </c>
      <c r="B109" s="11" t="s">
        <v>173</v>
      </c>
      <c r="C109" s="11" t="s">
        <v>496</v>
      </c>
      <c r="D109" s="93" t="s">
        <v>497</v>
      </c>
      <c r="E109" s="215" t="s">
        <v>489</v>
      </c>
      <c r="F109" s="216">
        <v>10.0</v>
      </c>
      <c r="G109" s="216">
        <v>10.0</v>
      </c>
      <c r="H109" s="216">
        <v>40.0</v>
      </c>
      <c r="I109" s="11">
        <f t="shared" si="4"/>
        <v>400</v>
      </c>
      <c r="J109" s="11" t="s">
        <v>178</v>
      </c>
      <c r="K109" s="93"/>
      <c r="L109" s="93" t="s">
        <v>2012</v>
      </c>
      <c r="M109" s="93" t="s">
        <v>493</v>
      </c>
      <c r="N109" s="217" t="s">
        <v>498</v>
      </c>
      <c r="O109" s="11" t="str">
        <f>IMAGE("https://5.imimg.com/data5/SELLER/Default/2020/12/GY/DK/LM/59387089/400-point-solderless-breadboard-500x500.jpg",1)</f>
        <v/>
      </c>
      <c r="P109" s="11" t="s">
        <v>2072</v>
      </c>
    </row>
    <row r="110" ht="45.0" customHeight="1">
      <c r="A110" s="11">
        <v>110.0</v>
      </c>
      <c r="B110" s="11" t="s">
        <v>173</v>
      </c>
      <c r="C110" s="11" t="s">
        <v>500</v>
      </c>
      <c r="D110" s="93" t="s">
        <v>501</v>
      </c>
      <c r="E110" s="215" t="s">
        <v>489</v>
      </c>
      <c r="F110" s="216">
        <v>10.0</v>
      </c>
      <c r="G110" s="216">
        <v>10.0</v>
      </c>
      <c r="H110" s="216">
        <v>200.0</v>
      </c>
      <c r="I110" s="11">
        <f t="shared" si="4"/>
        <v>2000</v>
      </c>
      <c r="J110" s="11" t="s">
        <v>178</v>
      </c>
      <c r="K110" s="93"/>
      <c r="L110" s="93" t="s">
        <v>1895</v>
      </c>
      <c r="M110" s="93" t="s">
        <v>493</v>
      </c>
      <c r="N110" s="238" t="s">
        <v>502</v>
      </c>
      <c r="O110" s="11" t="str">
        <f>IMAGE("https://1ohm.in/wp-content/uploads/2021/07/MB102-3.3V5V-Breadboard-Power-Supply-Module.png",1)</f>
        <v/>
      </c>
      <c r="P110" s="11" t="s">
        <v>2073</v>
      </c>
    </row>
    <row r="111" ht="45.0" customHeight="1">
      <c r="A111" s="11">
        <v>111.0</v>
      </c>
      <c r="B111" s="11" t="s">
        <v>173</v>
      </c>
      <c r="C111" s="11" t="s">
        <v>504</v>
      </c>
      <c r="D111" s="93" t="s">
        <v>505</v>
      </c>
      <c r="E111" s="215" t="s">
        <v>489</v>
      </c>
      <c r="F111" s="216">
        <v>100.0</v>
      </c>
      <c r="G111" s="216">
        <v>100.0</v>
      </c>
      <c r="H111" s="216">
        <v>10.0</v>
      </c>
      <c r="I111" s="11">
        <f t="shared" si="4"/>
        <v>1000</v>
      </c>
      <c r="J111" s="11" t="s">
        <v>178</v>
      </c>
      <c r="K111" s="93"/>
      <c r="L111" s="93" t="s">
        <v>2074</v>
      </c>
      <c r="M111" s="93" t="s">
        <v>23</v>
      </c>
      <c r="N111" s="217" t="s">
        <v>506</v>
      </c>
      <c r="O111" s="11" t="str">
        <f>IMAGE("https://rukminim2.flixcart.com/image/832/832/ks243gw0/electronic-hobby-kit/x/f/2/2mm-pitch-female-burg-strip-40-pin-5-pcs-prime-intact-original-imag5pxpqjxcdsgh.jpeg?q=70",1)</f>
        <v/>
      </c>
      <c r="P111" s="221" t="s">
        <v>2075</v>
      </c>
    </row>
    <row r="112" ht="45.0" customHeight="1">
      <c r="A112" s="11">
        <v>112.0</v>
      </c>
      <c r="B112" s="11" t="s">
        <v>173</v>
      </c>
      <c r="C112" s="11" t="s">
        <v>508</v>
      </c>
      <c r="D112" s="93" t="s">
        <v>509</v>
      </c>
      <c r="E112" s="215" t="s">
        <v>489</v>
      </c>
      <c r="F112" s="216">
        <v>50.0</v>
      </c>
      <c r="G112" s="216">
        <v>50.0</v>
      </c>
      <c r="H112" s="216">
        <v>15.0</v>
      </c>
      <c r="I112" s="11">
        <f t="shared" si="4"/>
        <v>750</v>
      </c>
      <c r="J112" s="11" t="s">
        <v>178</v>
      </c>
      <c r="K112" s="93"/>
      <c r="L112" s="93" t="s">
        <v>2074</v>
      </c>
      <c r="M112" s="93" t="s">
        <v>237</v>
      </c>
      <c r="N112" s="217" t="s">
        <v>510</v>
      </c>
      <c r="O112" s="11" t="str">
        <f>IMAGE("https://5.imimg.com/data5/OF/VW/IL/SELLER-9316309/burg-strips-500x500.jpg",1)</f>
        <v/>
      </c>
      <c r="P112" s="221" t="s">
        <v>2076</v>
      </c>
    </row>
    <row r="113" ht="45.0" customHeight="1">
      <c r="A113" s="11">
        <v>113.0</v>
      </c>
      <c r="B113" s="11" t="s">
        <v>173</v>
      </c>
      <c r="C113" s="11" t="s">
        <v>512</v>
      </c>
      <c r="D113" s="93" t="s">
        <v>513</v>
      </c>
      <c r="E113" s="215" t="s">
        <v>489</v>
      </c>
      <c r="F113" s="216">
        <v>50.0</v>
      </c>
      <c r="G113" s="216">
        <v>50.0</v>
      </c>
      <c r="H113" s="216">
        <v>20.0</v>
      </c>
      <c r="I113" s="11">
        <f t="shared" si="4"/>
        <v>1000</v>
      </c>
      <c r="J113" s="11" t="s">
        <v>178</v>
      </c>
      <c r="K113" s="93"/>
      <c r="L113" s="93" t="s">
        <v>2074</v>
      </c>
      <c r="M113" s="93" t="s">
        <v>237</v>
      </c>
      <c r="N113" s="217" t="s">
        <v>514</v>
      </c>
      <c r="O113" s="11" t="str">
        <f>IMAGE("https://www.tomsonelectronics.com/cdn/shop/products/40X1MALERAI_2048x2048.jpg?v=1602835171",1)</f>
        <v/>
      </c>
      <c r="P113" s="221" t="s">
        <v>2077</v>
      </c>
    </row>
    <row r="114" ht="45.0" customHeight="1">
      <c r="A114" s="11">
        <v>114.0</v>
      </c>
      <c r="B114" s="11" t="s">
        <v>173</v>
      </c>
      <c r="C114" s="116" t="s">
        <v>521</v>
      </c>
      <c r="D114" s="115" t="s">
        <v>522</v>
      </c>
      <c r="E114" s="215" t="s">
        <v>489</v>
      </c>
      <c r="F114" s="216">
        <v>100.0</v>
      </c>
      <c r="G114" s="216">
        <v>100.0</v>
      </c>
      <c r="H114" s="216">
        <v>5.0</v>
      </c>
      <c r="I114" s="11">
        <f t="shared" si="4"/>
        <v>500</v>
      </c>
      <c r="J114" s="11" t="s">
        <v>178</v>
      </c>
      <c r="K114" s="93" t="s">
        <v>65</v>
      </c>
      <c r="L114" s="93" t="s">
        <v>2078</v>
      </c>
      <c r="M114" s="93" t="s">
        <v>1943</v>
      </c>
      <c r="N114" s="217" t="s">
        <v>519</v>
      </c>
      <c r="O114" s="11" t="str">
        <f>IMAGE("https://projectpoint.in/image/cache/catalog/102-672x504.jpg",1)</f>
        <v/>
      </c>
      <c r="P114" s="11" t="s">
        <v>1844</v>
      </c>
    </row>
    <row r="115" ht="45.0" customHeight="1">
      <c r="A115" s="11">
        <v>115.0</v>
      </c>
      <c r="B115" s="11" t="s">
        <v>173</v>
      </c>
      <c r="C115" s="116" t="s">
        <v>516</v>
      </c>
      <c r="D115" s="115" t="s">
        <v>517</v>
      </c>
      <c r="E115" s="215" t="s">
        <v>489</v>
      </c>
      <c r="F115" s="216">
        <v>100.0</v>
      </c>
      <c r="G115" s="216">
        <v>100.0</v>
      </c>
      <c r="H115" s="216">
        <v>5.0</v>
      </c>
      <c r="I115" s="11">
        <f t="shared" si="4"/>
        <v>500</v>
      </c>
      <c r="J115" s="11" t="s">
        <v>178</v>
      </c>
      <c r="K115" s="93" t="s">
        <v>65</v>
      </c>
      <c r="L115" s="93" t="s">
        <v>2078</v>
      </c>
      <c r="M115" s="93" t="s">
        <v>1943</v>
      </c>
      <c r="N115" s="217" t="s">
        <v>523</v>
      </c>
      <c r="O115" s="11" t="str">
        <f t="shared" ref="O115:O116" si="5">IMAGE("https://projectpoint.in/image/cache/catalog/103-672x504.jpg",1)</f>
        <v/>
      </c>
      <c r="P115" s="11" t="s">
        <v>1844</v>
      </c>
    </row>
    <row r="116" ht="45.0" customHeight="1">
      <c r="A116" s="11">
        <v>116.0</v>
      </c>
      <c r="B116" s="11" t="s">
        <v>173</v>
      </c>
      <c r="C116" s="239" t="s">
        <v>529</v>
      </c>
      <c r="D116" s="240" t="s">
        <v>530</v>
      </c>
      <c r="E116" s="215" t="s">
        <v>489</v>
      </c>
      <c r="F116" s="216">
        <v>100.0</v>
      </c>
      <c r="G116" s="216">
        <v>100.0</v>
      </c>
      <c r="H116" s="216">
        <v>5.0</v>
      </c>
      <c r="I116" s="11">
        <f t="shared" si="4"/>
        <v>500</v>
      </c>
      <c r="J116" s="11" t="s">
        <v>178</v>
      </c>
      <c r="K116" s="93" t="s">
        <v>65</v>
      </c>
      <c r="L116" s="93" t="s">
        <v>2078</v>
      </c>
      <c r="M116" s="93" t="s">
        <v>1943</v>
      </c>
      <c r="N116" s="217" t="s">
        <v>527</v>
      </c>
      <c r="O116" s="11" t="str">
        <f t="shared" si="5"/>
        <v/>
      </c>
      <c r="P116" s="11" t="s">
        <v>1845</v>
      </c>
    </row>
    <row r="117" ht="45.0" customHeight="1">
      <c r="A117" s="11">
        <v>117.0</v>
      </c>
      <c r="B117" s="11" t="s">
        <v>173</v>
      </c>
      <c r="C117" s="239" t="s">
        <v>525</v>
      </c>
      <c r="D117" s="240" t="s">
        <v>526</v>
      </c>
      <c r="E117" s="215" t="s">
        <v>489</v>
      </c>
      <c r="F117" s="216">
        <v>100.0</v>
      </c>
      <c r="G117" s="216">
        <v>100.0</v>
      </c>
      <c r="H117" s="216">
        <v>5.0</v>
      </c>
      <c r="I117" s="11">
        <f t="shared" si="4"/>
        <v>500</v>
      </c>
      <c r="J117" s="11" t="s">
        <v>178</v>
      </c>
      <c r="K117" s="93" t="s">
        <v>65</v>
      </c>
      <c r="L117" s="93" t="s">
        <v>2078</v>
      </c>
      <c r="M117" s="93" t="s">
        <v>1943</v>
      </c>
      <c r="N117" s="217" t="s">
        <v>531</v>
      </c>
      <c r="O117" s="11" t="str">
        <f t="shared" ref="O117:O119" si="6">IMAGE("https://www.ato.com/content/images/thumbs/0011952_01f-50v-disc-ceramic-capacitor_550.jpeg",1)</f>
        <v/>
      </c>
      <c r="P117" s="11" t="s">
        <v>1845</v>
      </c>
    </row>
    <row r="118" ht="45.0" customHeight="1">
      <c r="A118" s="11">
        <v>118.0</v>
      </c>
      <c r="B118" s="11" t="s">
        <v>173</v>
      </c>
      <c r="C118" s="239" t="s">
        <v>565</v>
      </c>
      <c r="D118" s="240" t="s">
        <v>566</v>
      </c>
      <c r="E118" s="215" t="s">
        <v>489</v>
      </c>
      <c r="F118" s="216">
        <v>50.0</v>
      </c>
      <c r="G118" s="216">
        <v>50.0</v>
      </c>
      <c r="H118" s="216">
        <v>10.0</v>
      </c>
      <c r="I118" s="11">
        <f t="shared" si="4"/>
        <v>500</v>
      </c>
      <c r="J118" s="11" t="s">
        <v>178</v>
      </c>
      <c r="K118" s="93" t="s">
        <v>65</v>
      </c>
      <c r="L118" s="93" t="s">
        <v>2078</v>
      </c>
      <c r="M118" s="93" t="s">
        <v>1943</v>
      </c>
      <c r="N118" s="217" t="s">
        <v>535</v>
      </c>
      <c r="O118" s="11" t="str">
        <f t="shared" si="6"/>
        <v/>
      </c>
      <c r="P118" s="11" t="s">
        <v>1846</v>
      </c>
    </row>
    <row r="119" ht="45.0" customHeight="1">
      <c r="A119" s="11">
        <v>119.0</v>
      </c>
      <c r="B119" s="11" t="s">
        <v>173</v>
      </c>
      <c r="C119" s="239" t="s">
        <v>573</v>
      </c>
      <c r="D119" s="240" t="s">
        <v>574</v>
      </c>
      <c r="E119" s="215" t="s">
        <v>489</v>
      </c>
      <c r="F119" s="216">
        <v>50.0</v>
      </c>
      <c r="G119" s="216">
        <v>50.0</v>
      </c>
      <c r="H119" s="216">
        <v>15.0</v>
      </c>
      <c r="I119" s="11">
        <f t="shared" si="4"/>
        <v>750</v>
      </c>
      <c r="J119" s="11" t="s">
        <v>178</v>
      </c>
      <c r="K119" s="93" t="s">
        <v>65</v>
      </c>
      <c r="L119" s="93" t="s">
        <v>2078</v>
      </c>
      <c r="M119" s="93" t="s">
        <v>1943</v>
      </c>
      <c r="N119" s="217" t="s">
        <v>539</v>
      </c>
      <c r="O119" s="11" t="str">
        <f t="shared" si="6"/>
        <v/>
      </c>
      <c r="P119" s="11" t="s">
        <v>1846</v>
      </c>
    </row>
    <row r="120" ht="45.0" customHeight="1">
      <c r="A120" s="11">
        <v>120.0</v>
      </c>
      <c r="B120" s="11" t="s">
        <v>173</v>
      </c>
      <c r="C120" s="239" t="s">
        <v>533</v>
      </c>
      <c r="D120" s="240" t="s">
        <v>534</v>
      </c>
      <c r="E120" s="215" t="s">
        <v>489</v>
      </c>
      <c r="F120" s="216">
        <v>20.0</v>
      </c>
      <c r="G120" s="216">
        <v>20.0</v>
      </c>
      <c r="H120" s="216">
        <v>20.0</v>
      </c>
      <c r="I120" s="11">
        <f t="shared" si="4"/>
        <v>400</v>
      </c>
      <c r="J120" s="11" t="s">
        <v>178</v>
      </c>
      <c r="K120" s="93" t="s">
        <v>65</v>
      </c>
      <c r="L120" s="93" t="s">
        <v>2078</v>
      </c>
      <c r="M120" s="93" t="s">
        <v>1943</v>
      </c>
      <c r="N120" s="217" t="s">
        <v>543</v>
      </c>
      <c r="O120" s="11" t="str">
        <f>IMAGE("https://projectpoint.in/image/cache/catalog/22uf-450v-672x504.jpg",1)</f>
        <v/>
      </c>
      <c r="P120" s="11" t="s">
        <v>1850</v>
      </c>
    </row>
    <row r="121" ht="45.0" customHeight="1">
      <c r="A121" s="11">
        <v>121.0</v>
      </c>
      <c r="B121" s="11" t="s">
        <v>173</v>
      </c>
      <c r="C121" s="239" t="s">
        <v>549</v>
      </c>
      <c r="D121" s="240" t="s">
        <v>550</v>
      </c>
      <c r="E121" s="215" t="s">
        <v>489</v>
      </c>
      <c r="F121" s="216">
        <v>20.0</v>
      </c>
      <c r="G121" s="216">
        <v>20.0</v>
      </c>
      <c r="H121" s="216">
        <v>30.0</v>
      </c>
      <c r="I121" s="11">
        <f t="shared" si="4"/>
        <v>600</v>
      </c>
      <c r="J121" s="11" t="s">
        <v>178</v>
      </c>
      <c r="K121" s="93" t="s">
        <v>65</v>
      </c>
      <c r="L121" s="93" t="s">
        <v>2078</v>
      </c>
      <c r="M121" s="93" t="s">
        <v>1943</v>
      </c>
      <c r="N121" s="217" t="s">
        <v>547</v>
      </c>
      <c r="O121" s="11" t="str">
        <f>IMAGE("https://res.cloudinary.com/rsc/image/upload/b_rgb:FFFFFF,c_pad,dpr_1.0,f_auto,q_auto,w_700/c_pad,w_700/F5201539-01",1)</f>
        <v/>
      </c>
      <c r="P121" s="11" t="s">
        <v>1850</v>
      </c>
    </row>
    <row r="122" ht="45.0" customHeight="1">
      <c r="A122" s="11">
        <v>122.0</v>
      </c>
      <c r="B122" s="11" t="s">
        <v>173</v>
      </c>
      <c r="C122" s="239" t="s">
        <v>569</v>
      </c>
      <c r="D122" s="240" t="s">
        <v>570</v>
      </c>
      <c r="E122" s="215" t="s">
        <v>489</v>
      </c>
      <c r="F122" s="216">
        <v>50.0</v>
      </c>
      <c r="G122" s="216">
        <v>50.0</v>
      </c>
      <c r="H122" s="216">
        <v>10.0</v>
      </c>
      <c r="I122" s="11">
        <f t="shared" si="4"/>
        <v>500</v>
      </c>
      <c r="J122" s="11" t="s">
        <v>178</v>
      </c>
      <c r="K122" s="93" t="s">
        <v>65</v>
      </c>
      <c r="L122" s="93" t="s">
        <v>2078</v>
      </c>
      <c r="M122" s="93" t="s">
        <v>1943</v>
      </c>
      <c r="N122" s="217" t="s">
        <v>551</v>
      </c>
      <c r="O122" s="11" t="str">
        <f>IMAGE("https://sharvielectronics.com/wp-content/uploads/2020/02/2.2uF-50V-Electrolytic-Capacitor.jpg",1)</f>
        <v/>
      </c>
      <c r="P122" s="11" t="s">
        <v>1851</v>
      </c>
    </row>
    <row r="123" ht="45.0" customHeight="1">
      <c r="A123" s="11">
        <v>123.0</v>
      </c>
      <c r="B123" s="11" t="s">
        <v>173</v>
      </c>
      <c r="C123" s="239" t="s">
        <v>537</v>
      </c>
      <c r="D123" s="240" t="s">
        <v>538</v>
      </c>
      <c r="E123" s="215" t="s">
        <v>489</v>
      </c>
      <c r="F123" s="216">
        <v>50.0</v>
      </c>
      <c r="G123" s="216">
        <v>50.0</v>
      </c>
      <c r="H123" s="216">
        <v>15.0</v>
      </c>
      <c r="I123" s="11">
        <f t="shared" si="4"/>
        <v>750</v>
      </c>
      <c r="J123" s="11" t="s">
        <v>178</v>
      </c>
      <c r="K123" s="93" t="s">
        <v>65</v>
      </c>
      <c r="L123" s="93" t="s">
        <v>2078</v>
      </c>
      <c r="M123" s="93" t="s">
        <v>1943</v>
      </c>
      <c r="N123" s="217" t="s">
        <v>555</v>
      </c>
      <c r="O123" s="11" t="str">
        <f>IMAGE("https://projectpoint.in/image/cache/catalog/22uf-450v-672x504.jpg",1)</f>
        <v/>
      </c>
      <c r="P123" s="11" t="s">
        <v>1851</v>
      </c>
    </row>
    <row r="124" ht="45.0" customHeight="1">
      <c r="A124" s="11">
        <v>124.0</v>
      </c>
      <c r="B124" s="11" t="s">
        <v>173</v>
      </c>
      <c r="C124" s="239" t="s">
        <v>553</v>
      </c>
      <c r="D124" s="240" t="s">
        <v>554</v>
      </c>
      <c r="E124" s="215" t="s">
        <v>489</v>
      </c>
      <c r="F124" s="216">
        <v>20.0</v>
      </c>
      <c r="G124" s="216">
        <v>20.0</v>
      </c>
      <c r="H124" s="216">
        <v>20.0</v>
      </c>
      <c r="I124" s="11">
        <f t="shared" si="4"/>
        <v>400</v>
      </c>
      <c r="J124" s="11" t="s">
        <v>178</v>
      </c>
      <c r="K124" s="93" t="s">
        <v>65</v>
      </c>
      <c r="L124" s="93" t="s">
        <v>2078</v>
      </c>
      <c r="M124" s="93" t="s">
        <v>1943</v>
      </c>
      <c r="N124" s="217" t="s">
        <v>559</v>
      </c>
      <c r="O124" s="11" t="str">
        <f>IMAGE("https://5.imimg.com/data5/SP/GM/AD/SELLER-84581978/keltron-2200uf-35-v-electrolytic-capacitors-500x500.jpg",1)</f>
        <v/>
      </c>
      <c r="P124" s="11" t="s">
        <v>1852</v>
      </c>
    </row>
    <row r="125" ht="45.0" customHeight="1">
      <c r="A125" s="11">
        <v>125.0</v>
      </c>
      <c r="B125" s="11" t="s">
        <v>173</v>
      </c>
      <c r="C125" s="239" t="s">
        <v>577</v>
      </c>
      <c r="D125" s="240" t="s">
        <v>578</v>
      </c>
      <c r="E125" s="215" t="s">
        <v>489</v>
      </c>
      <c r="F125" s="216">
        <v>20.0</v>
      </c>
      <c r="G125" s="216">
        <v>20.0</v>
      </c>
      <c r="H125" s="216">
        <v>30.0</v>
      </c>
      <c r="I125" s="11">
        <f t="shared" si="4"/>
        <v>600</v>
      </c>
      <c r="J125" s="11" t="s">
        <v>178</v>
      </c>
      <c r="K125" s="93" t="s">
        <v>65</v>
      </c>
      <c r="L125" s="93" t="s">
        <v>2078</v>
      </c>
      <c r="M125" s="93" t="s">
        <v>1943</v>
      </c>
      <c r="N125" s="217" t="s">
        <v>563</v>
      </c>
      <c r="O125" s="11" t="str">
        <f>IMAGE("https://5.imimg.com/data5/QO/AU/MY-77080729/uge-electrolytic-capacitors-500x375-500x500.jpg",1)</f>
        <v/>
      </c>
      <c r="P125" s="11" t="s">
        <v>1852</v>
      </c>
    </row>
    <row r="126" ht="45.0" customHeight="1">
      <c r="A126" s="11">
        <v>126.0</v>
      </c>
      <c r="B126" s="11" t="s">
        <v>173</v>
      </c>
      <c r="C126" s="239" t="s">
        <v>541</v>
      </c>
      <c r="D126" s="240" t="s">
        <v>542</v>
      </c>
      <c r="E126" s="215" t="s">
        <v>489</v>
      </c>
      <c r="F126" s="216">
        <v>100.0</v>
      </c>
      <c r="G126" s="216">
        <v>100.0</v>
      </c>
      <c r="H126" s="216">
        <v>5.0</v>
      </c>
      <c r="I126" s="11">
        <f t="shared" si="4"/>
        <v>500</v>
      </c>
      <c r="J126" s="11" t="s">
        <v>178</v>
      </c>
      <c r="K126" s="93" t="s">
        <v>65</v>
      </c>
      <c r="L126" s="93" t="s">
        <v>2078</v>
      </c>
      <c r="M126" s="93" t="s">
        <v>1943</v>
      </c>
      <c r="N126" s="217" t="s">
        <v>567</v>
      </c>
      <c r="O126" s="11"/>
      <c r="P126" s="11" t="s">
        <v>1853</v>
      </c>
    </row>
    <row r="127" ht="45.0" customHeight="1">
      <c r="A127" s="11">
        <v>127.0</v>
      </c>
      <c r="B127" s="11" t="s">
        <v>173</v>
      </c>
      <c r="C127" s="239" t="s">
        <v>557</v>
      </c>
      <c r="D127" s="240" t="s">
        <v>558</v>
      </c>
      <c r="E127" s="215" t="s">
        <v>489</v>
      </c>
      <c r="F127" s="216">
        <v>100.0</v>
      </c>
      <c r="G127" s="216">
        <v>100.0</v>
      </c>
      <c r="H127" s="216">
        <v>5.0</v>
      </c>
      <c r="I127" s="11">
        <f t="shared" si="4"/>
        <v>500</v>
      </c>
      <c r="J127" s="11" t="s">
        <v>178</v>
      </c>
      <c r="K127" s="93" t="s">
        <v>65</v>
      </c>
      <c r="L127" s="93" t="s">
        <v>2078</v>
      </c>
      <c r="M127" s="93" t="s">
        <v>1943</v>
      </c>
      <c r="N127" s="217" t="s">
        <v>571</v>
      </c>
      <c r="O127" s="11" t="str">
        <f>IMAGE("https://5.imimg.com/data5/SP/GM/AD/SELLER-84581978/keltron-2200uf-35-v-electrolytic-capacitors-500x500.jpg",1)</f>
        <v/>
      </c>
      <c r="P127" s="11" t="s">
        <v>1853</v>
      </c>
    </row>
    <row r="128" ht="45.0" customHeight="1">
      <c r="A128" s="11">
        <v>128.0</v>
      </c>
      <c r="B128" s="11" t="s">
        <v>173</v>
      </c>
      <c r="C128" s="239" t="s">
        <v>581</v>
      </c>
      <c r="D128" s="240" t="s">
        <v>582</v>
      </c>
      <c r="E128" s="215" t="s">
        <v>489</v>
      </c>
      <c r="F128" s="216">
        <v>50.0</v>
      </c>
      <c r="G128" s="216">
        <v>50.0</v>
      </c>
      <c r="H128" s="216">
        <v>10.0</v>
      </c>
      <c r="I128" s="11">
        <f t="shared" si="4"/>
        <v>500</v>
      </c>
      <c r="J128" s="11" t="s">
        <v>178</v>
      </c>
      <c r="K128" s="93" t="s">
        <v>65</v>
      </c>
      <c r="L128" s="93" t="s">
        <v>2078</v>
      </c>
      <c r="M128" s="93" t="s">
        <v>1943</v>
      </c>
      <c r="N128" s="217" t="s">
        <v>575</v>
      </c>
      <c r="O128" s="11" t="str">
        <f>IMAGE("https://5.imimg.com/data5/JL/JS/ZA/SELLER-21614932/4-7uf-400v-keltron-capacitor-500x500.jpg",1)</f>
        <v/>
      </c>
      <c r="P128" s="11" t="s">
        <v>1854</v>
      </c>
    </row>
    <row r="129" ht="45.0" customHeight="1">
      <c r="A129" s="11">
        <v>129.0</v>
      </c>
      <c r="B129" s="11" t="s">
        <v>173</v>
      </c>
      <c r="C129" s="239" t="s">
        <v>545</v>
      </c>
      <c r="D129" s="240" t="s">
        <v>546</v>
      </c>
      <c r="E129" s="215" t="s">
        <v>489</v>
      </c>
      <c r="F129" s="216">
        <v>50.0</v>
      </c>
      <c r="G129" s="216">
        <v>50.0</v>
      </c>
      <c r="H129" s="216">
        <v>15.0</v>
      </c>
      <c r="I129" s="11">
        <f t="shared" si="4"/>
        <v>750</v>
      </c>
      <c r="J129" s="11" t="s">
        <v>178</v>
      </c>
      <c r="K129" s="93" t="s">
        <v>65</v>
      </c>
      <c r="L129" s="93" t="s">
        <v>2078</v>
      </c>
      <c r="M129" s="93" t="s">
        <v>1943</v>
      </c>
      <c r="N129" s="217" t="s">
        <v>579</v>
      </c>
      <c r="O129" s="11" t="str">
        <f>IMAGE("https://projectpoint.in/image/cache/catalog/47uf-250v-672x504.jpg",1)</f>
        <v/>
      </c>
      <c r="P129" s="11" t="s">
        <v>1854</v>
      </c>
    </row>
    <row r="130" ht="45.0" customHeight="1">
      <c r="A130" s="11">
        <v>130.0</v>
      </c>
      <c r="B130" s="11" t="s">
        <v>173</v>
      </c>
      <c r="C130" s="239" t="s">
        <v>561</v>
      </c>
      <c r="D130" s="240" t="s">
        <v>562</v>
      </c>
      <c r="E130" s="215" t="s">
        <v>489</v>
      </c>
      <c r="F130" s="216">
        <v>20.0</v>
      </c>
      <c r="G130" s="216">
        <v>20.0</v>
      </c>
      <c r="H130" s="216">
        <v>20.0</v>
      </c>
      <c r="I130" s="11">
        <f t="shared" si="4"/>
        <v>400</v>
      </c>
      <c r="J130" s="11" t="s">
        <v>178</v>
      </c>
      <c r="K130" s="93" t="s">
        <v>65</v>
      </c>
      <c r="L130" s="93" t="s">
        <v>2078</v>
      </c>
      <c r="M130" s="93" t="s">
        <v>1943</v>
      </c>
      <c r="N130" s="217" t="s">
        <v>583</v>
      </c>
      <c r="O130" s="11" t="str">
        <f>IMAGE("https://5.imimg.com/data5/QO/AU/MY-77080729/uge-electrolytic-capacitors-500x375-500x500.jpg",1)</f>
        <v/>
      </c>
      <c r="P130" s="11" t="s">
        <v>1855</v>
      </c>
    </row>
    <row r="131" ht="45.0" customHeight="1">
      <c r="A131" s="11">
        <v>131.0</v>
      </c>
      <c r="B131" s="11" t="s">
        <v>173</v>
      </c>
      <c r="C131" s="241" t="s">
        <v>585</v>
      </c>
      <c r="D131" s="242" t="s">
        <v>1860</v>
      </c>
      <c r="E131" s="215" t="s">
        <v>489</v>
      </c>
      <c r="F131" s="216">
        <v>20.0</v>
      </c>
      <c r="G131" s="216">
        <v>20.0</v>
      </c>
      <c r="H131" s="216">
        <v>25.0</v>
      </c>
      <c r="I131" s="11">
        <f t="shared" si="4"/>
        <v>500</v>
      </c>
      <c r="J131" s="11" t="s">
        <v>178</v>
      </c>
      <c r="K131" s="93"/>
      <c r="L131" s="93" t="s">
        <v>2078</v>
      </c>
      <c r="M131" s="93" t="s">
        <v>1944</v>
      </c>
      <c r="N131" s="217" t="s">
        <v>587</v>
      </c>
      <c r="O131" s="11" t="str">
        <f>IMAGE("https://www.electronicscomp.com/image/cache/catalog/cd4033-5-stage-johnson-decade-counter-ic-dip-16-800x800.jpg",1)</f>
        <v/>
      </c>
      <c r="P131" s="221" t="s">
        <v>1863</v>
      </c>
    </row>
    <row r="132" ht="45.0" customHeight="1">
      <c r="A132" s="11">
        <v>132.0</v>
      </c>
      <c r="B132" s="11" t="s">
        <v>173</v>
      </c>
      <c r="C132" s="241" t="s">
        <v>589</v>
      </c>
      <c r="D132" s="242" t="s">
        <v>590</v>
      </c>
      <c r="E132" s="215" t="s">
        <v>489</v>
      </c>
      <c r="F132" s="216">
        <v>20.0</v>
      </c>
      <c r="G132" s="216">
        <v>20.0</v>
      </c>
      <c r="H132" s="216">
        <v>5.0</v>
      </c>
      <c r="I132" s="11">
        <f t="shared" si="4"/>
        <v>100</v>
      </c>
      <c r="J132" s="11" t="s">
        <v>178</v>
      </c>
      <c r="K132" s="93"/>
      <c r="L132" s="93" t="s">
        <v>2078</v>
      </c>
      <c r="M132" s="93" t="s">
        <v>1945</v>
      </c>
      <c r="N132" s="243" t="s">
        <v>591</v>
      </c>
      <c r="O132" s="11" t="str">
        <f t="shared" ref="O132:O133" si="7">IMAGE("https://m.media-amazon.com/images/W/MEDIAX_792452-T2/images/I/41A+MQfyyEL.jpg",1)</f>
        <v/>
      </c>
      <c r="P132" s="11" t="s">
        <v>1842</v>
      </c>
    </row>
    <row r="133" ht="45.0" customHeight="1">
      <c r="A133" s="11">
        <v>133.0</v>
      </c>
      <c r="B133" s="11" t="s">
        <v>173</v>
      </c>
      <c r="C133" s="11" t="s">
        <v>593</v>
      </c>
      <c r="D133" s="93" t="s">
        <v>594</v>
      </c>
      <c r="E133" s="215" t="s">
        <v>489</v>
      </c>
      <c r="F133" s="216">
        <v>20.0</v>
      </c>
      <c r="G133" s="216">
        <v>20.0</v>
      </c>
      <c r="H133" s="216">
        <v>5.0</v>
      </c>
      <c r="I133" s="11">
        <f t="shared" si="4"/>
        <v>100</v>
      </c>
      <c r="J133" s="11" t="s">
        <v>178</v>
      </c>
      <c r="K133" s="93"/>
      <c r="L133" s="93" t="s">
        <v>2078</v>
      </c>
      <c r="M133" s="93" t="s">
        <v>1945</v>
      </c>
      <c r="N133" s="217" t="s">
        <v>595</v>
      </c>
      <c r="O133" s="11" t="str">
        <f t="shared" si="7"/>
        <v/>
      </c>
      <c r="P133" s="11" t="s">
        <v>1842</v>
      </c>
    </row>
    <row r="134" ht="45.0" customHeight="1">
      <c r="A134" s="11">
        <v>134.0</v>
      </c>
      <c r="B134" s="11" t="s">
        <v>173</v>
      </c>
      <c r="C134" s="11" t="s">
        <v>597</v>
      </c>
      <c r="D134" s="93" t="s">
        <v>1862</v>
      </c>
      <c r="E134" s="215" t="s">
        <v>489</v>
      </c>
      <c r="F134" s="216">
        <v>20.0</v>
      </c>
      <c r="G134" s="216">
        <v>20.0</v>
      </c>
      <c r="H134" s="216">
        <v>30.0</v>
      </c>
      <c r="I134" s="11">
        <f t="shared" si="4"/>
        <v>600</v>
      </c>
      <c r="J134" s="11" t="s">
        <v>178</v>
      </c>
      <c r="K134" s="93"/>
      <c r="L134" s="93" t="s">
        <v>2078</v>
      </c>
      <c r="M134" s="93" t="s">
        <v>1944</v>
      </c>
      <c r="N134" s="217" t="s">
        <v>600</v>
      </c>
      <c r="O134" s="11" t="str">
        <f>IMAGE("https://robu.in/wp-content/uploads/2018/11/LM358P-PDIP-8-High-Gain-Operational-Amplifier-Pack-of-5-ICs-9.jpg",1)</f>
        <v/>
      </c>
      <c r="P134" s="221" t="s">
        <v>1864</v>
      </c>
    </row>
    <row r="135" ht="45.0" customHeight="1">
      <c r="A135" s="11">
        <v>135.0</v>
      </c>
      <c r="B135" s="11" t="s">
        <v>173</v>
      </c>
      <c r="C135" s="11" t="s">
        <v>602</v>
      </c>
      <c r="D135" s="93" t="s">
        <v>603</v>
      </c>
      <c r="E135" s="215" t="s">
        <v>489</v>
      </c>
      <c r="F135" s="216">
        <v>500.0</v>
      </c>
      <c r="G135" s="216">
        <v>500.0</v>
      </c>
      <c r="H135" s="216">
        <v>1.5</v>
      </c>
      <c r="I135" s="11">
        <f t="shared" si="4"/>
        <v>750</v>
      </c>
      <c r="J135" s="11" t="s">
        <v>178</v>
      </c>
      <c r="K135" s="93"/>
      <c r="L135" s="93" t="s">
        <v>2078</v>
      </c>
      <c r="M135" s="93" t="s">
        <v>1946</v>
      </c>
      <c r="N135" s="217" t="s">
        <v>604</v>
      </c>
      <c r="O135" s="11" t="str">
        <f>IMAGE("https://rukminim2.flixcart.com/image/832/832/xif0q/electronic-hobby-kit/d/o/s/50-pcs-blue-led-5mm-kitsguru-original-imaghfqbjbn4hshz.jpeg?q=70",1)</f>
        <v/>
      </c>
      <c r="P135" s="244" t="s">
        <v>2079</v>
      </c>
    </row>
    <row r="136" ht="45.0" customHeight="1">
      <c r="A136" s="11">
        <v>136.0</v>
      </c>
      <c r="B136" s="11" t="s">
        <v>173</v>
      </c>
      <c r="C136" s="11" t="s">
        <v>606</v>
      </c>
      <c r="D136" s="93" t="s">
        <v>607</v>
      </c>
      <c r="E136" s="215" t="s">
        <v>489</v>
      </c>
      <c r="F136" s="216">
        <v>500.0</v>
      </c>
      <c r="G136" s="216">
        <v>500.0</v>
      </c>
      <c r="H136" s="216">
        <v>1.5</v>
      </c>
      <c r="I136" s="11">
        <f t="shared" si="4"/>
        <v>750</v>
      </c>
      <c r="J136" s="11" t="s">
        <v>178</v>
      </c>
      <c r="K136" s="93"/>
      <c r="L136" s="93" t="s">
        <v>2078</v>
      </c>
      <c r="M136" s="93" t="s">
        <v>1946</v>
      </c>
      <c r="N136" s="217"/>
      <c r="O136" s="11" t="str">
        <f>IMAGE("https://rukminim2.flixcart.com/image/832/832/krz97rk0/electronic-hobby-kit/r/p/r/5mm-green-led-light-emitting-diode-highlight-for-arduino-pack-of-original-imag5n63ad6pnxqe.jpeg?q=70", 1)</f>
        <v/>
      </c>
      <c r="P136" s="244" t="s">
        <v>2080</v>
      </c>
    </row>
    <row r="137" ht="45.0" customHeight="1">
      <c r="A137" s="11">
        <v>137.0</v>
      </c>
      <c r="B137" s="11" t="s">
        <v>173</v>
      </c>
      <c r="C137" s="11" t="s">
        <v>609</v>
      </c>
      <c r="D137" s="93" t="s">
        <v>610</v>
      </c>
      <c r="E137" s="215" t="s">
        <v>489</v>
      </c>
      <c r="F137" s="216">
        <v>500.0</v>
      </c>
      <c r="G137" s="216">
        <v>500.0</v>
      </c>
      <c r="H137" s="216">
        <v>1.5</v>
      </c>
      <c r="I137" s="11">
        <f t="shared" si="4"/>
        <v>750</v>
      </c>
      <c r="J137" s="11" t="s">
        <v>178</v>
      </c>
      <c r="K137" s="93"/>
      <c r="L137" s="93" t="s">
        <v>2078</v>
      </c>
      <c r="M137" s="93" t="s">
        <v>1946</v>
      </c>
      <c r="N137" s="217" t="s">
        <v>611</v>
      </c>
      <c r="O137" s="11" t="str">
        <f>IMAGE("https://rukminim2.flixcart.com/image/832/832/ktrk13k0/electronic-hobby-kit/u/f/w/10-pcs-5mm-round-diffused-red-color-led-light-bulb-lamp-light-original-imag7ff6rchccrbz.jpeg?q=70", 1)</f>
        <v/>
      </c>
      <c r="P137" s="244" t="s">
        <v>2081</v>
      </c>
    </row>
    <row r="138" ht="45.0" customHeight="1">
      <c r="A138" s="11">
        <v>138.0</v>
      </c>
      <c r="B138" s="11" t="s">
        <v>173</v>
      </c>
      <c r="C138" s="11" t="s">
        <v>613</v>
      </c>
      <c r="D138" s="93" t="s">
        <v>614</v>
      </c>
      <c r="E138" s="215" t="s">
        <v>489</v>
      </c>
      <c r="F138" s="216">
        <v>500.0</v>
      </c>
      <c r="G138" s="216">
        <v>500.0</v>
      </c>
      <c r="H138" s="216">
        <v>1.5</v>
      </c>
      <c r="I138" s="11">
        <f t="shared" si="4"/>
        <v>750</v>
      </c>
      <c r="J138" s="11" t="s">
        <v>178</v>
      </c>
      <c r="K138" s="93"/>
      <c r="L138" s="93" t="s">
        <v>2078</v>
      </c>
      <c r="M138" s="93" t="s">
        <v>1946</v>
      </c>
      <c r="N138" s="217" t="s">
        <v>615</v>
      </c>
      <c r="O138" s="11" t="str">
        <f>IMAGE("https://robu.in/wp-content/uploads/2020/10/5mm-DIP-Led-White.png", 1)</f>
        <v/>
      </c>
      <c r="P138" s="244" t="s">
        <v>2082</v>
      </c>
    </row>
    <row r="139" ht="45.0" customHeight="1">
      <c r="A139" s="11">
        <v>139.0</v>
      </c>
      <c r="B139" s="11" t="s">
        <v>173</v>
      </c>
      <c r="C139" s="11" t="s">
        <v>617</v>
      </c>
      <c r="D139" s="93" t="s">
        <v>618</v>
      </c>
      <c r="E139" s="215" t="s">
        <v>489</v>
      </c>
      <c r="F139" s="216">
        <v>500.0</v>
      </c>
      <c r="G139" s="216">
        <v>500.0</v>
      </c>
      <c r="H139" s="216">
        <v>1.5</v>
      </c>
      <c r="I139" s="11">
        <f t="shared" si="4"/>
        <v>750</v>
      </c>
      <c r="J139" s="11" t="s">
        <v>178</v>
      </c>
      <c r="K139" s="93"/>
      <c r="L139" s="93" t="s">
        <v>2078</v>
      </c>
      <c r="M139" s="93" t="s">
        <v>1946</v>
      </c>
      <c r="N139" s="223" t="s">
        <v>619</v>
      </c>
      <c r="O139" s="11" t="str">
        <f>IMAGE("https://robu.in/wp-content/uploads/2020/10/5-mm-DIP-Led-Yellow.png", 1)</f>
        <v/>
      </c>
      <c r="P139" s="244" t="s">
        <v>2083</v>
      </c>
    </row>
    <row r="140" ht="45.0" customHeight="1">
      <c r="A140" s="11">
        <v>140.0</v>
      </c>
      <c r="B140" s="11" t="s">
        <v>173</v>
      </c>
      <c r="C140" s="11" t="s">
        <v>621</v>
      </c>
      <c r="D140" s="93" t="s">
        <v>622</v>
      </c>
      <c r="E140" s="215" t="s">
        <v>489</v>
      </c>
      <c r="F140" s="216">
        <v>100.0</v>
      </c>
      <c r="G140" s="216">
        <v>100.0</v>
      </c>
      <c r="H140" s="216">
        <v>20.0</v>
      </c>
      <c r="I140" s="11">
        <f t="shared" si="4"/>
        <v>2000</v>
      </c>
      <c r="J140" s="11" t="s">
        <v>178</v>
      </c>
      <c r="K140" s="93"/>
      <c r="L140" s="93" t="s">
        <v>2078</v>
      </c>
      <c r="M140" s="93" t="s">
        <v>1946</v>
      </c>
      <c r="N140" s="217" t="s">
        <v>623</v>
      </c>
      <c r="O140" s="11" t="str">
        <f>IMAGE("https://image.robotistan.com/5mm-transparent-rgb-led-2633-11-O.jpg", 1)</f>
        <v/>
      </c>
      <c r="P140" s="244" t="s">
        <v>2084</v>
      </c>
    </row>
    <row r="141" ht="45.0" customHeight="1">
      <c r="A141" s="11">
        <v>141.0</v>
      </c>
      <c r="B141" s="11" t="s">
        <v>173</v>
      </c>
      <c r="C141" s="11" t="s">
        <v>625</v>
      </c>
      <c r="D141" s="93" t="s">
        <v>626</v>
      </c>
      <c r="E141" s="215" t="s">
        <v>489</v>
      </c>
      <c r="F141" s="216">
        <v>20.0</v>
      </c>
      <c r="G141" s="216">
        <v>20.0</v>
      </c>
      <c r="H141" s="216">
        <v>15.0</v>
      </c>
      <c r="I141" s="11">
        <f t="shared" si="4"/>
        <v>300</v>
      </c>
      <c r="J141" s="11" t="s">
        <v>178</v>
      </c>
      <c r="K141" s="93"/>
      <c r="L141" s="93" t="s">
        <v>2070</v>
      </c>
      <c r="M141" s="93" t="s">
        <v>1947</v>
      </c>
      <c r="N141" s="217" t="s">
        <v>627</v>
      </c>
      <c r="O141" s="11" t="str">
        <f>IMAGE("https://5.imimg.com/data5/AH/OG/AM/SELLER-5278310/mkc-27701-changeover-reed-switch-500x500.jpg",1)</f>
        <v/>
      </c>
      <c r="P141" s="11" t="s">
        <v>1788</v>
      </c>
    </row>
    <row r="142" ht="45.0" customHeight="1">
      <c r="A142" s="11">
        <v>142.0</v>
      </c>
      <c r="B142" s="11" t="s">
        <v>173</v>
      </c>
      <c r="C142" s="11" t="s">
        <v>629</v>
      </c>
      <c r="D142" s="93" t="s">
        <v>630</v>
      </c>
      <c r="E142" s="215" t="s">
        <v>489</v>
      </c>
      <c r="F142" s="216">
        <v>20.0</v>
      </c>
      <c r="G142" s="216">
        <v>20.0</v>
      </c>
      <c r="H142" s="216">
        <v>20.0</v>
      </c>
      <c r="I142" s="11">
        <f t="shared" si="4"/>
        <v>400</v>
      </c>
      <c r="J142" s="11" t="s">
        <v>178</v>
      </c>
      <c r="K142" s="93"/>
      <c r="L142" s="93" t="s">
        <v>2078</v>
      </c>
      <c r="M142" s="93" t="s">
        <v>1948</v>
      </c>
      <c r="N142" s="217" t="s">
        <v>631</v>
      </c>
      <c r="O142" s="11" t="str">
        <f t="shared" ref="O142:O143" si="8">IMAGE("https://www.electronicscomp.com/image/cache/catalog/irfz44-n-channel-power-mosfet-1-800x800.JPG",1)</f>
        <v/>
      </c>
      <c r="P142" s="11" t="s">
        <v>1843</v>
      </c>
    </row>
    <row r="143" ht="45.0" customHeight="1">
      <c r="A143" s="11">
        <v>143.0</v>
      </c>
      <c r="B143" s="11" t="s">
        <v>173</v>
      </c>
      <c r="C143" s="11" t="s">
        <v>633</v>
      </c>
      <c r="D143" s="93" t="s">
        <v>634</v>
      </c>
      <c r="E143" s="215" t="s">
        <v>489</v>
      </c>
      <c r="F143" s="216">
        <v>20.0</v>
      </c>
      <c r="G143" s="216">
        <v>20.0</v>
      </c>
      <c r="H143" s="216">
        <v>30.0</v>
      </c>
      <c r="I143" s="11">
        <f t="shared" si="4"/>
        <v>600</v>
      </c>
      <c r="J143" s="11" t="s">
        <v>178</v>
      </c>
      <c r="K143" s="93"/>
      <c r="L143" s="93" t="s">
        <v>2078</v>
      </c>
      <c r="M143" s="93" t="s">
        <v>1948</v>
      </c>
      <c r="N143" s="217" t="s">
        <v>635</v>
      </c>
      <c r="O143" s="11" t="str">
        <f t="shared" si="8"/>
        <v/>
      </c>
      <c r="P143" s="11" t="s">
        <v>1843</v>
      </c>
    </row>
    <row r="144" ht="45.0" customHeight="1">
      <c r="A144" s="11">
        <v>144.0</v>
      </c>
      <c r="B144" s="11" t="s">
        <v>173</v>
      </c>
      <c r="C144" s="11" t="s">
        <v>637</v>
      </c>
      <c r="D144" s="93" t="s">
        <v>1804</v>
      </c>
      <c r="E144" s="215" t="s">
        <v>489</v>
      </c>
      <c r="F144" s="216">
        <v>20.0</v>
      </c>
      <c r="G144" s="216">
        <v>20.0</v>
      </c>
      <c r="H144" s="216">
        <v>50.0</v>
      </c>
      <c r="I144" s="11">
        <f t="shared" si="4"/>
        <v>1000</v>
      </c>
      <c r="J144" s="11" t="s">
        <v>178</v>
      </c>
      <c r="K144" s="93"/>
      <c r="L144" s="93" t="s">
        <v>2070</v>
      </c>
      <c r="M144" s="93" t="s">
        <v>1941</v>
      </c>
      <c r="N144" s="217" t="s">
        <v>639</v>
      </c>
      <c r="O144" s="11" t="str">
        <f>IMAGE("https://5.imimg.com/data5/FI/FV/DZ/SELLER-22718366/27-mm-3p-piezoelectric-buzzer-plate-500x500.jpg",1)</f>
        <v/>
      </c>
      <c r="P144" s="11" t="s">
        <v>1802</v>
      </c>
    </row>
    <row r="145" ht="45.0" customHeight="1">
      <c r="A145" s="11">
        <v>145.0</v>
      </c>
      <c r="B145" s="11" t="s">
        <v>173</v>
      </c>
      <c r="C145" s="11" t="s">
        <v>641</v>
      </c>
      <c r="D145" s="93" t="s">
        <v>642</v>
      </c>
      <c r="E145" s="215" t="s">
        <v>489</v>
      </c>
      <c r="F145" s="216">
        <v>20.0</v>
      </c>
      <c r="G145" s="216">
        <v>20.0</v>
      </c>
      <c r="H145" s="216">
        <v>20.0</v>
      </c>
      <c r="I145" s="11">
        <f t="shared" si="4"/>
        <v>400</v>
      </c>
      <c r="J145" s="11" t="s">
        <v>178</v>
      </c>
      <c r="K145" s="93"/>
      <c r="L145" s="93" t="s">
        <v>2070</v>
      </c>
      <c r="M145" s="93" t="s">
        <v>1949</v>
      </c>
      <c r="N145" s="217" t="s">
        <v>643</v>
      </c>
      <c r="O145" s="11" t="str">
        <f t="shared" ref="O145:O148" si="9">IMAGE("https://m.media-amazon.com/images/I/31ALofIyvBL._SX466_.jpg",1)</f>
        <v/>
      </c>
      <c r="P145" s="11" t="s">
        <v>1828</v>
      </c>
    </row>
    <row r="146" ht="45.0" customHeight="1">
      <c r="A146" s="11">
        <v>146.0</v>
      </c>
      <c r="B146" s="11" t="s">
        <v>173</v>
      </c>
      <c r="C146" s="11" t="s">
        <v>645</v>
      </c>
      <c r="D146" s="93" t="s">
        <v>646</v>
      </c>
      <c r="E146" s="215" t="s">
        <v>489</v>
      </c>
      <c r="F146" s="216">
        <v>20.0</v>
      </c>
      <c r="G146" s="216">
        <v>20.0</v>
      </c>
      <c r="H146" s="216">
        <v>15.0</v>
      </c>
      <c r="I146" s="11">
        <f t="shared" si="4"/>
        <v>300</v>
      </c>
      <c r="J146" s="11" t="s">
        <v>178</v>
      </c>
      <c r="K146" s="93"/>
      <c r="L146" s="93" t="s">
        <v>2070</v>
      </c>
      <c r="M146" s="93" t="s">
        <v>1949</v>
      </c>
      <c r="N146" s="217" t="s">
        <v>647</v>
      </c>
      <c r="O146" s="11" t="str">
        <f t="shared" si="9"/>
        <v/>
      </c>
      <c r="P146" s="245" t="s">
        <v>1826</v>
      </c>
    </row>
    <row r="147" ht="45.0" customHeight="1">
      <c r="A147" s="11">
        <v>147.0</v>
      </c>
      <c r="B147" s="11" t="s">
        <v>173</v>
      </c>
      <c r="C147" s="11" t="s">
        <v>649</v>
      </c>
      <c r="D147" s="93" t="s">
        <v>650</v>
      </c>
      <c r="E147" s="215" t="s">
        <v>489</v>
      </c>
      <c r="F147" s="216">
        <v>20.0</v>
      </c>
      <c r="G147" s="216">
        <v>20.0</v>
      </c>
      <c r="H147" s="216">
        <v>10.0</v>
      </c>
      <c r="I147" s="11">
        <f t="shared" si="4"/>
        <v>200</v>
      </c>
      <c r="J147" s="11" t="s">
        <v>178</v>
      </c>
      <c r="K147" s="93"/>
      <c r="L147" s="93" t="s">
        <v>2070</v>
      </c>
      <c r="M147" s="93" t="s">
        <v>1949</v>
      </c>
      <c r="N147" s="217" t="s">
        <v>651</v>
      </c>
      <c r="O147" s="11" t="str">
        <f t="shared" si="9"/>
        <v/>
      </c>
      <c r="P147" s="245" t="s">
        <v>1826</v>
      </c>
    </row>
    <row r="148" ht="45.0" customHeight="1">
      <c r="A148" s="11">
        <v>148.0</v>
      </c>
      <c r="B148" s="11" t="s">
        <v>173</v>
      </c>
      <c r="C148" s="11" t="s">
        <v>653</v>
      </c>
      <c r="D148" s="93" t="s">
        <v>654</v>
      </c>
      <c r="E148" s="215" t="s">
        <v>489</v>
      </c>
      <c r="F148" s="216">
        <v>20.0</v>
      </c>
      <c r="G148" s="216">
        <v>20.0</v>
      </c>
      <c r="H148" s="216">
        <v>25.0</v>
      </c>
      <c r="I148" s="11">
        <f t="shared" si="4"/>
        <v>500</v>
      </c>
      <c r="J148" s="11" t="s">
        <v>178</v>
      </c>
      <c r="K148" s="93"/>
      <c r="L148" s="93" t="s">
        <v>2070</v>
      </c>
      <c r="M148" s="93" t="s">
        <v>1949</v>
      </c>
      <c r="N148" s="217" t="s">
        <v>655</v>
      </c>
      <c r="O148" s="11" t="str">
        <f t="shared" si="9"/>
        <v/>
      </c>
      <c r="P148" s="11" t="s">
        <v>1828</v>
      </c>
    </row>
    <row r="149" ht="45.0" customHeight="1">
      <c r="A149" s="11">
        <v>149.0</v>
      </c>
      <c r="B149" s="11" t="s">
        <v>173</v>
      </c>
      <c r="C149" s="116" t="s">
        <v>661</v>
      </c>
      <c r="D149" s="115" t="s">
        <v>662</v>
      </c>
      <c r="E149" s="215" t="s">
        <v>489</v>
      </c>
      <c r="F149" s="216">
        <v>100.0</v>
      </c>
      <c r="G149" s="216">
        <v>100.0</v>
      </c>
      <c r="H149" s="216">
        <v>1.0</v>
      </c>
      <c r="I149" s="11">
        <f t="shared" si="4"/>
        <v>100</v>
      </c>
      <c r="J149" s="11" t="s">
        <v>178</v>
      </c>
      <c r="K149" s="93"/>
      <c r="L149" s="93" t="s">
        <v>2078</v>
      </c>
      <c r="M149" s="93" t="s">
        <v>1950</v>
      </c>
      <c r="N149" s="217" t="s">
        <v>659</v>
      </c>
      <c r="O149" s="11" t="str">
        <f t="shared" ref="O149:O190" si="10">IMAGE("https://projectpoint.in/image/cache/catalog/CFR_Resistor_Kit-672x504.jpg",1)</f>
        <v/>
      </c>
      <c r="P149" s="11" t="s">
        <v>1753</v>
      </c>
    </row>
    <row r="150" ht="45.0" customHeight="1">
      <c r="A150" s="11">
        <v>150.0</v>
      </c>
      <c r="B150" s="11" t="s">
        <v>173</v>
      </c>
      <c r="C150" s="116" t="s">
        <v>789</v>
      </c>
      <c r="D150" s="115" t="s">
        <v>1757</v>
      </c>
      <c r="E150" s="215" t="s">
        <v>489</v>
      </c>
      <c r="F150" s="216">
        <v>100.0</v>
      </c>
      <c r="G150" s="216">
        <v>100.0</v>
      </c>
      <c r="H150" s="216">
        <v>1.0</v>
      </c>
      <c r="I150" s="11">
        <f t="shared" si="4"/>
        <v>100</v>
      </c>
      <c r="J150" s="11" t="s">
        <v>178</v>
      </c>
      <c r="K150" s="93"/>
      <c r="L150" s="93" t="s">
        <v>2078</v>
      </c>
      <c r="M150" s="93" t="s">
        <v>1950</v>
      </c>
      <c r="N150" s="217" t="s">
        <v>663</v>
      </c>
      <c r="O150" s="11" t="str">
        <f t="shared" si="10"/>
        <v/>
      </c>
      <c r="P150" s="11" t="s">
        <v>1753</v>
      </c>
    </row>
    <row r="151" ht="45.0" customHeight="1">
      <c r="A151" s="11">
        <v>151.0</v>
      </c>
      <c r="B151" s="11" t="s">
        <v>173</v>
      </c>
      <c r="C151" s="116" t="s">
        <v>697</v>
      </c>
      <c r="D151" s="115" t="s">
        <v>698</v>
      </c>
      <c r="E151" s="215" t="s">
        <v>489</v>
      </c>
      <c r="F151" s="216">
        <v>100.0</v>
      </c>
      <c r="G151" s="216">
        <v>100.0</v>
      </c>
      <c r="H151" s="216">
        <v>1.0</v>
      </c>
      <c r="I151" s="11">
        <f t="shared" si="4"/>
        <v>100</v>
      </c>
      <c r="J151" s="11" t="s">
        <v>178</v>
      </c>
      <c r="K151" s="93"/>
      <c r="L151" s="93" t="s">
        <v>2078</v>
      </c>
      <c r="M151" s="93" t="s">
        <v>1950</v>
      </c>
      <c r="N151" s="217" t="s">
        <v>667</v>
      </c>
      <c r="O151" s="11" t="str">
        <f t="shared" si="10"/>
        <v/>
      </c>
      <c r="P151" s="11" t="s">
        <v>1762</v>
      </c>
    </row>
    <row r="152" ht="45.0" customHeight="1">
      <c r="A152" s="11">
        <v>152.0</v>
      </c>
      <c r="B152" s="11" t="s">
        <v>173</v>
      </c>
      <c r="C152" s="239" t="s">
        <v>705</v>
      </c>
      <c r="D152" s="240" t="s">
        <v>706</v>
      </c>
      <c r="E152" s="215" t="s">
        <v>489</v>
      </c>
      <c r="F152" s="216">
        <v>100.0</v>
      </c>
      <c r="G152" s="216">
        <v>100.0</v>
      </c>
      <c r="H152" s="216">
        <v>1.0</v>
      </c>
      <c r="I152" s="11">
        <f t="shared" si="4"/>
        <v>100</v>
      </c>
      <c r="J152" s="11" t="s">
        <v>178</v>
      </c>
      <c r="K152" s="93"/>
      <c r="L152" s="93" t="s">
        <v>2078</v>
      </c>
      <c r="M152" s="93" t="s">
        <v>1950</v>
      </c>
      <c r="N152" s="217" t="s">
        <v>671</v>
      </c>
      <c r="O152" s="11" t="str">
        <f t="shared" si="10"/>
        <v/>
      </c>
      <c r="P152" s="11" t="s">
        <v>1762</v>
      </c>
    </row>
    <row r="153" ht="45.0" customHeight="1">
      <c r="A153" s="11">
        <v>153.0</v>
      </c>
      <c r="B153" s="11" t="s">
        <v>173</v>
      </c>
      <c r="C153" s="239" t="s">
        <v>717</v>
      </c>
      <c r="D153" s="240" t="s">
        <v>718</v>
      </c>
      <c r="E153" s="215" t="s">
        <v>489</v>
      </c>
      <c r="F153" s="216">
        <v>100.0</v>
      </c>
      <c r="G153" s="216">
        <v>100.0</v>
      </c>
      <c r="H153" s="216">
        <v>1.0</v>
      </c>
      <c r="I153" s="11">
        <f t="shared" si="4"/>
        <v>100</v>
      </c>
      <c r="J153" s="11" t="s">
        <v>178</v>
      </c>
      <c r="K153" s="93"/>
      <c r="L153" s="93" t="s">
        <v>2078</v>
      </c>
      <c r="M153" s="93" t="s">
        <v>1950</v>
      </c>
      <c r="N153" s="217" t="s">
        <v>675</v>
      </c>
      <c r="O153" s="11" t="str">
        <f t="shared" si="10"/>
        <v/>
      </c>
      <c r="P153" s="11" t="s">
        <v>1771</v>
      </c>
    </row>
    <row r="154" ht="45.0" customHeight="1">
      <c r="A154" s="11">
        <v>154.0</v>
      </c>
      <c r="B154" s="11" t="s">
        <v>173</v>
      </c>
      <c r="C154" s="239" t="s">
        <v>733</v>
      </c>
      <c r="D154" s="240" t="s">
        <v>734</v>
      </c>
      <c r="E154" s="215" t="s">
        <v>489</v>
      </c>
      <c r="F154" s="216">
        <v>100.0</v>
      </c>
      <c r="G154" s="216">
        <v>100.0</v>
      </c>
      <c r="H154" s="216">
        <v>1.0</v>
      </c>
      <c r="I154" s="11">
        <f t="shared" si="4"/>
        <v>100</v>
      </c>
      <c r="J154" s="11" t="s">
        <v>178</v>
      </c>
      <c r="K154" s="93"/>
      <c r="L154" s="93" t="s">
        <v>2078</v>
      </c>
      <c r="M154" s="93" t="s">
        <v>1950</v>
      </c>
      <c r="N154" s="217" t="s">
        <v>679</v>
      </c>
      <c r="O154" s="11" t="str">
        <f t="shared" si="10"/>
        <v/>
      </c>
      <c r="P154" s="11" t="s">
        <v>1771</v>
      </c>
    </row>
    <row r="155" ht="45.0" customHeight="1">
      <c r="A155" s="11">
        <v>155.0</v>
      </c>
      <c r="B155" s="11" t="s">
        <v>173</v>
      </c>
      <c r="C155" s="239" t="s">
        <v>817</v>
      </c>
      <c r="D155" s="240" t="s">
        <v>1779</v>
      </c>
      <c r="E155" s="215" t="s">
        <v>489</v>
      </c>
      <c r="F155" s="216">
        <v>100.0</v>
      </c>
      <c r="G155" s="216">
        <v>100.0</v>
      </c>
      <c r="H155" s="216">
        <v>1.0</v>
      </c>
      <c r="I155" s="11">
        <f t="shared" si="4"/>
        <v>100</v>
      </c>
      <c r="J155" s="11" t="s">
        <v>178</v>
      </c>
      <c r="K155" s="93"/>
      <c r="L155" s="93" t="s">
        <v>2078</v>
      </c>
      <c r="M155" s="93" t="s">
        <v>1950</v>
      </c>
      <c r="N155" s="217" t="s">
        <v>683</v>
      </c>
      <c r="O155" s="11" t="str">
        <f t="shared" si="10"/>
        <v/>
      </c>
      <c r="P155" s="246" t="s">
        <v>1780</v>
      </c>
    </row>
    <row r="156" ht="45.0" customHeight="1">
      <c r="A156" s="11">
        <v>156.0</v>
      </c>
      <c r="B156" s="11" t="s">
        <v>173</v>
      </c>
      <c r="C156" s="239" t="s">
        <v>753</v>
      </c>
      <c r="D156" s="240" t="s">
        <v>754</v>
      </c>
      <c r="E156" s="215" t="s">
        <v>489</v>
      </c>
      <c r="F156" s="216">
        <v>100.0</v>
      </c>
      <c r="G156" s="216">
        <v>100.0</v>
      </c>
      <c r="H156" s="216">
        <v>1.0</v>
      </c>
      <c r="I156" s="11">
        <f t="shared" si="4"/>
        <v>100</v>
      </c>
      <c r="J156" s="11" t="s">
        <v>178</v>
      </c>
      <c r="K156" s="93"/>
      <c r="L156" s="93" t="s">
        <v>2078</v>
      </c>
      <c r="M156" s="93" t="s">
        <v>1950</v>
      </c>
      <c r="N156" s="217" t="s">
        <v>687</v>
      </c>
      <c r="O156" s="11" t="str">
        <f t="shared" si="10"/>
        <v/>
      </c>
      <c r="P156" s="246" t="s">
        <v>1780</v>
      </c>
    </row>
    <row r="157" ht="45.0" customHeight="1">
      <c r="A157" s="11">
        <v>157.0</v>
      </c>
      <c r="B157" s="11" t="s">
        <v>173</v>
      </c>
      <c r="C157" s="239" t="s">
        <v>773</v>
      </c>
      <c r="D157" s="240" t="s">
        <v>774</v>
      </c>
      <c r="E157" s="215" t="s">
        <v>489</v>
      </c>
      <c r="F157" s="216">
        <v>100.0</v>
      </c>
      <c r="G157" s="216">
        <v>100.0</v>
      </c>
      <c r="H157" s="216">
        <v>1.0</v>
      </c>
      <c r="I157" s="11">
        <f t="shared" si="4"/>
        <v>100</v>
      </c>
      <c r="J157" s="11" t="s">
        <v>178</v>
      </c>
      <c r="K157" s="93"/>
      <c r="L157" s="93" t="s">
        <v>2078</v>
      </c>
      <c r="M157" s="93" t="s">
        <v>1950</v>
      </c>
      <c r="N157" s="217" t="s">
        <v>691</v>
      </c>
      <c r="O157" s="11" t="str">
        <f t="shared" si="10"/>
        <v/>
      </c>
      <c r="P157" s="246" t="s">
        <v>1785</v>
      </c>
    </row>
    <row r="158" ht="45.0" customHeight="1">
      <c r="A158" s="11">
        <v>158.0</v>
      </c>
      <c r="B158" s="11" t="s">
        <v>173</v>
      </c>
      <c r="C158" s="239" t="s">
        <v>657</v>
      </c>
      <c r="D158" s="240" t="s">
        <v>658</v>
      </c>
      <c r="E158" s="215" t="s">
        <v>489</v>
      </c>
      <c r="F158" s="216">
        <v>100.0</v>
      </c>
      <c r="G158" s="216">
        <v>100.0</v>
      </c>
      <c r="H158" s="216">
        <v>1.0</v>
      </c>
      <c r="I158" s="11">
        <f t="shared" si="4"/>
        <v>100</v>
      </c>
      <c r="J158" s="11" t="s">
        <v>178</v>
      </c>
      <c r="K158" s="93"/>
      <c r="L158" s="93" t="s">
        <v>2078</v>
      </c>
      <c r="M158" s="93" t="s">
        <v>1950</v>
      </c>
      <c r="N158" s="217" t="s">
        <v>695</v>
      </c>
      <c r="O158" s="11" t="str">
        <f t="shared" si="10"/>
        <v/>
      </c>
      <c r="P158" s="246" t="s">
        <v>1785</v>
      </c>
    </row>
    <row r="159" ht="45.0" customHeight="1">
      <c r="A159" s="11">
        <v>159.0</v>
      </c>
      <c r="B159" s="11" t="s">
        <v>173</v>
      </c>
      <c r="C159" s="239" t="s">
        <v>781</v>
      </c>
      <c r="D159" s="240" t="s">
        <v>1792</v>
      </c>
      <c r="E159" s="215" t="s">
        <v>489</v>
      </c>
      <c r="F159" s="216">
        <v>100.0</v>
      </c>
      <c r="G159" s="216">
        <v>100.0</v>
      </c>
      <c r="H159" s="216">
        <v>1.0</v>
      </c>
      <c r="I159" s="11">
        <f t="shared" si="4"/>
        <v>100</v>
      </c>
      <c r="J159" s="11" t="s">
        <v>178</v>
      </c>
      <c r="K159" s="93"/>
      <c r="L159" s="93" t="s">
        <v>2078</v>
      </c>
      <c r="M159" s="93" t="s">
        <v>1950</v>
      </c>
      <c r="N159" s="217" t="s">
        <v>699</v>
      </c>
      <c r="O159" s="11" t="str">
        <f t="shared" si="10"/>
        <v/>
      </c>
      <c r="P159" s="246" t="s">
        <v>1793</v>
      </c>
    </row>
    <row r="160" ht="45.0" customHeight="1">
      <c r="A160" s="11">
        <v>160.0</v>
      </c>
      <c r="B160" s="11" t="s">
        <v>173</v>
      </c>
      <c r="C160" s="239" t="s">
        <v>689</v>
      </c>
      <c r="D160" s="240" t="s">
        <v>690</v>
      </c>
      <c r="E160" s="215" t="s">
        <v>489</v>
      </c>
      <c r="F160" s="216">
        <v>100.0</v>
      </c>
      <c r="G160" s="216">
        <v>100.0</v>
      </c>
      <c r="H160" s="216">
        <v>1.0</v>
      </c>
      <c r="I160" s="11">
        <f t="shared" si="4"/>
        <v>100</v>
      </c>
      <c r="J160" s="11" t="s">
        <v>178</v>
      </c>
      <c r="K160" s="93"/>
      <c r="L160" s="93" t="s">
        <v>2078</v>
      </c>
      <c r="M160" s="93" t="s">
        <v>1950</v>
      </c>
      <c r="N160" s="217" t="s">
        <v>703</v>
      </c>
      <c r="O160" s="11" t="str">
        <f t="shared" si="10"/>
        <v/>
      </c>
      <c r="P160" s="246" t="s">
        <v>1793</v>
      </c>
    </row>
    <row r="161" ht="45.0" customHeight="1">
      <c r="A161" s="11">
        <v>161.0</v>
      </c>
      <c r="B161" s="11" t="s">
        <v>173</v>
      </c>
      <c r="C161" s="239" t="s">
        <v>797</v>
      </c>
      <c r="D161" s="240" t="s">
        <v>1799</v>
      </c>
      <c r="E161" s="215" t="s">
        <v>489</v>
      </c>
      <c r="F161" s="216">
        <v>100.0</v>
      </c>
      <c r="G161" s="216">
        <v>100.0</v>
      </c>
      <c r="H161" s="216">
        <v>1.0</v>
      </c>
      <c r="I161" s="11">
        <f t="shared" si="4"/>
        <v>100</v>
      </c>
      <c r="J161" s="11" t="s">
        <v>178</v>
      </c>
      <c r="K161" s="93"/>
      <c r="L161" s="93" t="s">
        <v>2078</v>
      </c>
      <c r="M161" s="93" t="s">
        <v>1950</v>
      </c>
      <c r="N161" s="217" t="s">
        <v>707</v>
      </c>
      <c r="O161" s="11" t="str">
        <f t="shared" si="10"/>
        <v/>
      </c>
      <c r="P161" s="246" t="s">
        <v>1800</v>
      </c>
    </row>
    <row r="162" ht="45.0" customHeight="1">
      <c r="A162" s="11">
        <v>162.0</v>
      </c>
      <c r="B162" s="11" t="s">
        <v>173</v>
      </c>
      <c r="C162" s="239" t="s">
        <v>709</v>
      </c>
      <c r="D162" s="240" t="s">
        <v>710</v>
      </c>
      <c r="E162" s="215" t="s">
        <v>489</v>
      </c>
      <c r="F162" s="216">
        <v>100.0</v>
      </c>
      <c r="G162" s="216">
        <v>100.0</v>
      </c>
      <c r="H162" s="216">
        <v>1.0</v>
      </c>
      <c r="I162" s="11">
        <f t="shared" si="4"/>
        <v>100</v>
      </c>
      <c r="J162" s="11" t="s">
        <v>178</v>
      </c>
      <c r="K162" s="93"/>
      <c r="L162" s="93" t="s">
        <v>2078</v>
      </c>
      <c r="M162" s="93" t="s">
        <v>1950</v>
      </c>
      <c r="N162" s="217" t="s">
        <v>711</v>
      </c>
      <c r="O162" s="11" t="str">
        <f t="shared" si="10"/>
        <v/>
      </c>
      <c r="P162" s="246" t="s">
        <v>1800</v>
      </c>
    </row>
    <row r="163" ht="45.0" customHeight="1">
      <c r="A163" s="11">
        <v>163.0</v>
      </c>
      <c r="B163" s="11" t="s">
        <v>173</v>
      </c>
      <c r="C163" s="239" t="s">
        <v>725</v>
      </c>
      <c r="D163" s="240" t="s">
        <v>726</v>
      </c>
      <c r="E163" s="215" t="s">
        <v>489</v>
      </c>
      <c r="F163" s="216">
        <v>100.0</v>
      </c>
      <c r="G163" s="216">
        <v>100.0</v>
      </c>
      <c r="H163" s="216">
        <v>1.0</v>
      </c>
      <c r="I163" s="11">
        <f t="shared" si="4"/>
        <v>100</v>
      </c>
      <c r="J163" s="11" t="s">
        <v>178</v>
      </c>
      <c r="K163" s="93"/>
      <c r="L163" s="93" t="s">
        <v>2078</v>
      </c>
      <c r="M163" s="93" t="s">
        <v>1950</v>
      </c>
      <c r="N163" s="217" t="s">
        <v>715</v>
      </c>
      <c r="O163" s="11" t="str">
        <f t="shared" si="10"/>
        <v/>
      </c>
      <c r="P163" s="246" t="s">
        <v>1805</v>
      </c>
    </row>
    <row r="164" ht="45.0" customHeight="1">
      <c r="A164" s="11">
        <v>164.0</v>
      </c>
      <c r="B164" s="11" t="s">
        <v>173</v>
      </c>
      <c r="C164" s="239" t="s">
        <v>809</v>
      </c>
      <c r="D164" s="240" t="s">
        <v>1808</v>
      </c>
      <c r="E164" s="215" t="s">
        <v>489</v>
      </c>
      <c r="F164" s="216">
        <v>100.0</v>
      </c>
      <c r="G164" s="216">
        <v>100.0</v>
      </c>
      <c r="H164" s="216">
        <v>1.0</v>
      </c>
      <c r="I164" s="11">
        <f t="shared" si="4"/>
        <v>100</v>
      </c>
      <c r="J164" s="11" t="s">
        <v>178</v>
      </c>
      <c r="K164" s="93"/>
      <c r="L164" s="93" t="s">
        <v>2078</v>
      </c>
      <c r="M164" s="93" t="s">
        <v>1950</v>
      </c>
      <c r="N164" s="217" t="s">
        <v>719</v>
      </c>
      <c r="O164" s="11" t="str">
        <f t="shared" si="10"/>
        <v/>
      </c>
      <c r="P164" s="246" t="s">
        <v>1805</v>
      </c>
    </row>
    <row r="165" ht="45.0" customHeight="1">
      <c r="A165" s="11">
        <v>165.0</v>
      </c>
      <c r="B165" s="11" t="s">
        <v>173</v>
      </c>
      <c r="C165" s="239" t="s">
        <v>745</v>
      </c>
      <c r="D165" s="240" t="s">
        <v>746</v>
      </c>
      <c r="E165" s="215" t="s">
        <v>489</v>
      </c>
      <c r="F165" s="216">
        <v>100.0</v>
      </c>
      <c r="G165" s="216">
        <v>100.0</v>
      </c>
      <c r="H165" s="216">
        <v>1.0</v>
      </c>
      <c r="I165" s="11">
        <f t="shared" si="4"/>
        <v>100</v>
      </c>
      <c r="J165" s="11" t="s">
        <v>178</v>
      </c>
      <c r="K165" s="93"/>
      <c r="L165" s="93" t="s">
        <v>2078</v>
      </c>
      <c r="M165" s="93" t="s">
        <v>1950</v>
      </c>
      <c r="N165" s="217" t="s">
        <v>723</v>
      </c>
      <c r="O165" s="11" t="str">
        <f t="shared" si="10"/>
        <v/>
      </c>
      <c r="P165" s="246" t="s">
        <v>1810</v>
      </c>
    </row>
    <row r="166" ht="45.0" customHeight="1">
      <c r="A166" s="11">
        <v>166.0</v>
      </c>
      <c r="B166" s="11" t="s">
        <v>173</v>
      </c>
      <c r="C166" s="239" t="s">
        <v>765</v>
      </c>
      <c r="D166" s="240" t="s">
        <v>766</v>
      </c>
      <c r="E166" s="215" t="s">
        <v>489</v>
      </c>
      <c r="F166" s="216">
        <v>100.0</v>
      </c>
      <c r="G166" s="216">
        <v>100.0</v>
      </c>
      <c r="H166" s="216">
        <v>1.0</v>
      </c>
      <c r="I166" s="11">
        <f t="shared" si="4"/>
        <v>100</v>
      </c>
      <c r="J166" s="11" t="s">
        <v>178</v>
      </c>
      <c r="K166" s="93"/>
      <c r="L166" s="93" t="s">
        <v>2078</v>
      </c>
      <c r="M166" s="93" t="s">
        <v>1950</v>
      </c>
      <c r="N166" s="217" t="s">
        <v>727</v>
      </c>
      <c r="O166" s="11" t="str">
        <f t="shared" si="10"/>
        <v/>
      </c>
      <c r="P166" s="246" t="s">
        <v>1810</v>
      </c>
    </row>
    <row r="167" ht="45.0" customHeight="1">
      <c r="A167" s="11">
        <v>167.0</v>
      </c>
      <c r="B167" s="11" t="s">
        <v>173</v>
      </c>
      <c r="C167" s="239" t="s">
        <v>677</v>
      </c>
      <c r="D167" s="240" t="s">
        <v>678</v>
      </c>
      <c r="E167" s="215" t="s">
        <v>489</v>
      </c>
      <c r="F167" s="216">
        <v>100.0</v>
      </c>
      <c r="G167" s="216">
        <v>100.0</v>
      </c>
      <c r="H167" s="216">
        <v>1.0</v>
      </c>
      <c r="I167" s="11">
        <f t="shared" si="4"/>
        <v>100</v>
      </c>
      <c r="J167" s="11" t="s">
        <v>178</v>
      </c>
      <c r="K167" s="93"/>
      <c r="L167" s="93" t="s">
        <v>2078</v>
      </c>
      <c r="M167" s="93" t="s">
        <v>1950</v>
      </c>
      <c r="N167" s="217" t="s">
        <v>731</v>
      </c>
      <c r="O167" s="11" t="str">
        <f t="shared" si="10"/>
        <v/>
      </c>
      <c r="P167" s="246" t="s">
        <v>1816</v>
      </c>
    </row>
    <row r="168" ht="45.0" customHeight="1">
      <c r="A168" s="11">
        <v>168.0</v>
      </c>
      <c r="B168" s="11" t="s">
        <v>173</v>
      </c>
      <c r="C168" s="239" t="s">
        <v>685</v>
      </c>
      <c r="D168" s="240" t="s">
        <v>686</v>
      </c>
      <c r="E168" s="215" t="s">
        <v>489</v>
      </c>
      <c r="F168" s="216">
        <v>100.0</v>
      </c>
      <c r="G168" s="216">
        <v>100.0</v>
      </c>
      <c r="H168" s="216">
        <v>1.0</v>
      </c>
      <c r="I168" s="11">
        <f t="shared" si="4"/>
        <v>100</v>
      </c>
      <c r="J168" s="11" t="s">
        <v>178</v>
      </c>
      <c r="K168" s="93"/>
      <c r="L168" s="93" t="s">
        <v>2078</v>
      </c>
      <c r="M168" s="93" t="s">
        <v>1950</v>
      </c>
      <c r="N168" s="217" t="s">
        <v>735</v>
      </c>
      <c r="O168" s="11" t="str">
        <f t="shared" si="10"/>
        <v/>
      </c>
      <c r="P168" s="246" t="s">
        <v>1816</v>
      </c>
    </row>
    <row r="169" ht="45.0" customHeight="1">
      <c r="A169" s="11">
        <v>169.0</v>
      </c>
      <c r="B169" s="11" t="s">
        <v>173</v>
      </c>
      <c r="C169" s="239" t="s">
        <v>741</v>
      </c>
      <c r="D169" s="240" t="s">
        <v>742</v>
      </c>
      <c r="E169" s="215" t="s">
        <v>489</v>
      </c>
      <c r="F169" s="216">
        <v>100.0</v>
      </c>
      <c r="G169" s="216">
        <v>100.0</v>
      </c>
      <c r="H169" s="216">
        <v>1.0</v>
      </c>
      <c r="I169" s="11">
        <f t="shared" si="4"/>
        <v>100</v>
      </c>
      <c r="J169" s="11" t="s">
        <v>178</v>
      </c>
      <c r="K169" s="93"/>
      <c r="L169" s="93" t="s">
        <v>2078</v>
      </c>
      <c r="M169" s="93" t="s">
        <v>1950</v>
      </c>
      <c r="N169" s="217" t="s">
        <v>739</v>
      </c>
      <c r="O169" s="11" t="str">
        <f t="shared" si="10"/>
        <v/>
      </c>
      <c r="P169" s="246" t="s">
        <v>1821</v>
      </c>
    </row>
    <row r="170" ht="45.0" customHeight="1">
      <c r="A170" s="11">
        <v>170.0</v>
      </c>
      <c r="B170" s="11" t="s">
        <v>173</v>
      </c>
      <c r="C170" s="239" t="s">
        <v>665</v>
      </c>
      <c r="D170" s="240" t="s">
        <v>666</v>
      </c>
      <c r="E170" s="215" t="s">
        <v>489</v>
      </c>
      <c r="F170" s="216">
        <v>100.0</v>
      </c>
      <c r="G170" s="216">
        <v>100.0</v>
      </c>
      <c r="H170" s="216">
        <v>1.0</v>
      </c>
      <c r="I170" s="11">
        <f t="shared" si="4"/>
        <v>100</v>
      </c>
      <c r="J170" s="11" t="s">
        <v>178</v>
      </c>
      <c r="K170" s="93"/>
      <c r="L170" s="93" t="s">
        <v>2078</v>
      </c>
      <c r="M170" s="93" t="s">
        <v>1950</v>
      </c>
      <c r="N170" s="217" t="s">
        <v>743</v>
      </c>
      <c r="O170" s="11" t="str">
        <f t="shared" si="10"/>
        <v/>
      </c>
      <c r="P170" s="246" t="s">
        <v>1821</v>
      </c>
    </row>
    <row r="171" ht="45.0" customHeight="1">
      <c r="A171" s="11">
        <v>171.0</v>
      </c>
      <c r="B171" s="11" t="s">
        <v>173</v>
      </c>
      <c r="C171" s="239" t="s">
        <v>793</v>
      </c>
      <c r="D171" s="240" t="s">
        <v>794</v>
      </c>
      <c r="E171" s="215" t="s">
        <v>489</v>
      </c>
      <c r="F171" s="216">
        <v>100.0</v>
      </c>
      <c r="G171" s="216">
        <v>100.0</v>
      </c>
      <c r="H171" s="216">
        <v>1.0</v>
      </c>
      <c r="I171" s="11">
        <f t="shared" si="4"/>
        <v>100</v>
      </c>
      <c r="J171" s="11" t="s">
        <v>178</v>
      </c>
      <c r="K171" s="93"/>
      <c r="L171" s="93" t="s">
        <v>2078</v>
      </c>
      <c r="M171" s="93" t="s">
        <v>1950</v>
      </c>
      <c r="N171" s="217" t="s">
        <v>747</v>
      </c>
      <c r="O171" s="11" t="str">
        <f t="shared" si="10"/>
        <v/>
      </c>
      <c r="P171" s="246" t="s">
        <v>1825</v>
      </c>
    </row>
    <row r="172" ht="45.0" customHeight="1">
      <c r="A172" s="11">
        <v>172.0</v>
      </c>
      <c r="B172" s="11" t="s">
        <v>173</v>
      </c>
      <c r="C172" s="239" t="s">
        <v>701</v>
      </c>
      <c r="D172" s="240" t="s">
        <v>702</v>
      </c>
      <c r="E172" s="215" t="s">
        <v>489</v>
      </c>
      <c r="F172" s="216">
        <v>100.0</v>
      </c>
      <c r="G172" s="216">
        <v>100.0</v>
      </c>
      <c r="H172" s="216">
        <v>1.0</v>
      </c>
      <c r="I172" s="11">
        <f t="shared" si="4"/>
        <v>100</v>
      </c>
      <c r="J172" s="11" t="s">
        <v>178</v>
      </c>
      <c r="K172" s="93"/>
      <c r="L172" s="93" t="s">
        <v>2078</v>
      </c>
      <c r="M172" s="93" t="s">
        <v>1950</v>
      </c>
      <c r="N172" s="217" t="s">
        <v>751</v>
      </c>
      <c r="O172" s="11" t="str">
        <f t="shared" si="10"/>
        <v/>
      </c>
      <c r="P172" s="246" t="s">
        <v>1825</v>
      </c>
    </row>
    <row r="173" ht="45.0" customHeight="1">
      <c r="A173" s="11">
        <v>173.0</v>
      </c>
      <c r="B173" s="11" t="s">
        <v>173</v>
      </c>
      <c r="C173" s="239" t="s">
        <v>805</v>
      </c>
      <c r="D173" s="240" t="s">
        <v>806</v>
      </c>
      <c r="E173" s="215" t="s">
        <v>489</v>
      </c>
      <c r="F173" s="216">
        <v>100.0</v>
      </c>
      <c r="G173" s="216">
        <v>100.0</v>
      </c>
      <c r="H173" s="216">
        <v>1.0</v>
      </c>
      <c r="I173" s="11">
        <f t="shared" si="4"/>
        <v>100</v>
      </c>
      <c r="J173" s="11" t="s">
        <v>178</v>
      </c>
      <c r="K173" s="93"/>
      <c r="L173" s="93" t="s">
        <v>2078</v>
      </c>
      <c r="M173" s="93" t="s">
        <v>1950</v>
      </c>
      <c r="N173" s="217" t="s">
        <v>755</v>
      </c>
      <c r="O173" s="11" t="str">
        <f t="shared" si="10"/>
        <v/>
      </c>
      <c r="P173" s="246" t="s">
        <v>1827</v>
      </c>
    </row>
    <row r="174" ht="45.0" customHeight="1">
      <c r="A174" s="11">
        <v>174.0</v>
      </c>
      <c r="B174" s="11" t="s">
        <v>173</v>
      </c>
      <c r="C174" s="239" t="s">
        <v>721</v>
      </c>
      <c r="D174" s="240" t="s">
        <v>722</v>
      </c>
      <c r="E174" s="215" t="s">
        <v>489</v>
      </c>
      <c r="F174" s="216">
        <v>100.0</v>
      </c>
      <c r="G174" s="216">
        <v>100.0</v>
      </c>
      <c r="H174" s="216">
        <v>1.0</v>
      </c>
      <c r="I174" s="11">
        <f t="shared" si="4"/>
        <v>100</v>
      </c>
      <c r="J174" s="11" t="s">
        <v>178</v>
      </c>
      <c r="K174" s="93"/>
      <c r="L174" s="93" t="s">
        <v>2078</v>
      </c>
      <c r="M174" s="93" t="s">
        <v>1950</v>
      </c>
      <c r="N174" s="217" t="s">
        <v>759</v>
      </c>
      <c r="O174" s="11" t="str">
        <f t="shared" si="10"/>
        <v/>
      </c>
      <c r="P174" s="246" t="s">
        <v>1827</v>
      </c>
    </row>
    <row r="175" ht="45.0" customHeight="1">
      <c r="A175" s="11">
        <v>175.0</v>
      </c>
      <c r="B175" s="11" t="s">
        <v>173</v>
      </c>
      <c r="C175" s="239" t="s">
        <v>737</v>
      </c>
      <c r="D175" s="240" t="s">
        <v>738</v>
      </c>
      <c r="E175" s="215" t="s">
        <v>489</v>
      </c>
      <c r="F175" s="216">
        <v>100.0</v>
      </c>
      <c r="G175" s="216">
        <v>100.0</v>
      </c>
      <c r="H175" s="216">
        <v>1.0</v>
      </c>
      <c r="I175" s="11">
        <f t="shared" si="4"/>
        <v>100</v>
      </c>
      <c r="J175" s="11" t="s">
        <v>178</v>
      </c>
      <c r="K175" s="93"/>
      <c r="L175" s="93" t="s">
        <v>2078</v>
      </c>
      <c r="M175" s="93" t="s">
        <v>1950</v>
      </c>
      <c r="N175" s="217" t="s">
        <v>763</v>
      </c>
      <c r="O175" s="11" t="str">
        <f t="shared" si="10"/>
        <v/>
      </c>
      <c r="P175" s="246" t="s">
        <v>1829</v>
      </c>
    </row>
    <row r="176" ht="45.0" customHeight="1">
      <c r="A176" s="11">
        <v>176.0</v>
      </c>
      <c r="B176" s="11" t="s">
        <v>173</v>
      </c>
      <c r="C176" s="239" t="s">
        <v>821</v>
      </c>
      <c r="D176" s="240" t="s">
        <v>822</v>
      </c>
      <c r="E176" s="215" t="s">
        <v>489</v>
      </c>
      <c r="F176" s="216">
        <v>100.0</v>
      </c>
      <c r="G176" s="216">
        <v>100.0</v>
      </c>
      <c r="H176" s="216">
        <v>1.0</v>
      </c>
      <c r="I176" s="11">
        <f t="shared" si="4"/>
        <v>100</v>
      </c>
      <c r="J176" s="11" t="s">
        <v>178</v>
      </c>
      <c r="K176" s="93"/>
      <c r="L176" s="93" t="s">
        <v>2078</v>
      </c>
      <c r="M176" s="93" t="s">
        <v>1950</v>
      </c>
      <c r="N176" s="217" t="s">
        <v>767</v>
      </c>
      <c r="O176" s="11" t="str">
        <f t="shared" si="10"/>
        <v/>
      </c>
      <c r="P176" s="246" t="s">
        <v>1829</v>
      </c>
    </row>
    <row r="177" ht="45.0" customHeight="1">
      <c r="A177" s="11">
        <v>177.0</v>
      </c>
      <c r="B177" s="11" t="s">
        <v>173</v>
      </c>
      <c r="C177" s="239" t="s">
        <v>757</v>
      </c>
      <c r="D177" s="240" t="s">
        <v>758</v>
      </c>
      <c r="E177" s="215" t="s">
        <v>489</v>
      </c>
      <c r="F177" s="216">
        <v>100.0</v>
      </c>
      <c r="G177" s="216">
        <v>100.0</v>
      </c>
      <c r="H177" s="216">
        <v>1.0</v>
      </c>
      <c r="I177" s="11">
        <f t="shared" si="4"/>
        <v>100</v>
      </c>
      <c r="J177" s="11" t="s">
        <v>178</v>
      </c>
      <c r="K177" s="93"/>
      <c r="L177" s="93" t="s">
        <v>2078</v>
      </c>
      <c r="M177" s="93" t="s">
        <v>1950</v>
      </c>
      <c r="N177" s="217" t="s">
        <v>771</v>
      </c>
      <c r="O177" s="11" t="str">
        <f t="shared" si="10"/>
        <v/>
      </c>
      <c r="P177" s="246" t="s">
        <v>1832</v>
      </c>
    </row>
    <row r="178" ht="45.0" customHeight="1">
      <c r="A178" s="11">
        <v>178.0</v>
      </c>
      <c r="B178" s="11" t="s">
        <v>173</v>
      </c>
      <c r="C178" s="239" t="s">
        <v>777</v>
      </c>
      <c r="D178" s="240" t="s">
        <v>778</v>
      </c>
      <c r="E178" s="215" t="s">
        <v>489</v>
      </c>
      <c r="F178" s="216">
        <v>100.0</v>
      </c>
      <c r="G178" s="216">
        <v>100.0</v>
      </c>
      <c r="H178" s="216">
        <v>1.0</v>
      </c>
      <c r="I178" s="11">
        <f t="shared" si="4"/>
        <v>100</v>
      </c>
      <c r="J178" s="11" t="s">
        <v>178</v>
      </c>
      <c r="K178" s="93"/>
      <c r="L178" s="93" t="s">
        <v>2078</v>
      </c>
      <c r="M178" s="93" t="s">
        <v>1950</v>
      </c>
      <c r="N178" s="217" t="s">
        <v>775</v>
      </c>
      <c r="O178" s="11" t="str">
        <f t="shared" si="10"/>
        <v/>
      </c>
      <c r="P178" s="246" t="s">
        <v>1832</v>
      </c>
    </row>
    <row r="179" ht="45.0" customHeight="1">
      <c r="A179" s="11">
        <v>179.0</v>
      </c>
      <c r="B179" s="11" t="s">
        <v>173</v>
      </c>
      <c r="C179" s="239" t="s">
        <v>669</v>
      </c>
      <c r="D179" s="240" t="s">
        <v>670</v>
      </c>
      <c r="E179" s="215" t="s">
        <v>489</v>
      </c>
      <c r="F179" s="216">
        <v>100.0</v>
      </c>
      <c r="G179" s="216">
        <v>100.0</v>
      </c>
      <c r="H179" s="216">
        <v>1.0</v>
      </c>
      <c r="I179" s="11">
        <f t="shared" si="4"/>
        <v>100</v>
      </c>
      <c r="J179" s="11" t="s">
        <v>178</v>
      </c>
      <c r="K179" s="93"/>
      <c r="L179" s="93" t="s">
        <v>2078</v>
      </c>
      <c r="M179" s="93" t="s">
        <v>1950</v>
      </c>
      <c r="N179" s="217" t="s">
        <v>779</v>
      </c>
      <c r="O179" s="11" t="str">
        <f t="shared" si="10"/>
        <v/>
      </c>
      <c r="P179" s="246" t="s">
        <v>1835</v>
      </c>
    </row>
    <row r="180" ht="45.0" customHeight="1">
      <c r="A180" s="11">
        <v>180.0</v>
      </c>
      <c r="B180" s="11" t="s">
        <v>173</v>
      </c>
      <c r="C180" s="239" t="s">
        <v>785</v>
      </c>
      <c r="D180" s="240" t="s">
        <v>786</v>
      </c>
      <c r="E180" s="215" t="s">
        <v>489</v>
      </c>
      <c r="F180" s="216">
        <v>100.0</v>
      </c>
      <c r="G180" s="216">
        <v>100.0</v>
      </c>
      <c r="H180" s="216">
        <v>1.0</v>
      </c>
      <c r="I180" s="11">
        <f t="shared" si="4"/>
        <v>100</v>
      </c>
      <c r="J180" s="11" t="s">
        <v>178</v>
      </c>
      <c r="K180" s="93"/>
      <c r="L180" s="93" t="s">
        <v>2078</v>
      </c>
      <c r="M180" s="93" t="s">
        <v>1950</v>
      </c>
      <c r="N180" s="217" t="s">
        <v>783</v>
      </c>
      <c r="O180" s="11" t="str">
        <f t="shared" si="10"/>
        <v/>
      </c>
      <c r="P180" s="246" t="s">
        <v>1835</v>
      </c>
    </row>
    <row r="181" ht="45.0" customHeight="1">
      <c r="A181" s="11">
        <v>181.0</v>
      </c>
      <c r="B181" s="11" t="s">
        <v>173</v>
      </c>
      <c r="C181" s="239" t="s">
        <v>673</v>
      </c>
      <c r="D181" s="240" t="s">
        <v>674</v>
      </c>
      <c r="E181" s="215" t="s">
        <v>489</v>
      </c>
      <c r="F181" s="216">
        <v>100.0</v>
      </c>
      <c r="G181" s="216">
        <v>100.0</v>
      </c>
      <c r="H181" s="216">
        <v>1.0</v>
      </c>
      <c r="I181" s="11">
        <f t="shared" si="4"/>
        <v>100</v>
      </c>
      <c r="J181" s="11" t="s">
        <v>178</v>
      </c>
      <c r="K181" s="93"/>
      <c r="L181" s="93" t="s">
        <v>2078</v>
      </c>
      <c r="M181" s="93" t="s">
        <v>1950</v>
      </c>
      <c r="N181" s="217" t="s">
        <v>787</v>
      </c>
      <c r="O181" s="11" t="str">
        <f t="shared" si="10"/>
        <v/>
      </c>
      <c r="P181" s="246" t="s">
        <v>1836</v>
      </c>
    </row>
    <row r="182" ht="45.0" customHeight="1">
      <c r="A182" s="11">
        <v>182.0</v>
      </c>
      <c r="B182" s="11" t="s">
        <v>173</v>
      </c>
      <c r="C182" s="239" t="s">
        <v>693</v>
      </c>
      <c r="D182" s="240" t="s">
        <v>694</v>
      </c>
      <c r="E182" s="215" t="s">
        <v>489</v>
      </c>
      <c r="F182" s="216">
        <v>100.0</v>
      </c>
      <c r="G182" s="216">
        <v>100.0</v>
      </c>
      <c r="H182" s="216">
        <v>1.0</v>
      </c>
      <c r="I182" s="11">
        <f t="shared" si="4"/>
        <v>100</v>
      </c>
      <c r="J182" s="11" t="s">
        <v>178</v>
      </c>
      <c r="K182" s="93"/>
      <c r="L182" s="93" t="s">
        <v>2078</v>
      </c>
      <c r="M182" s="93" t="s">
        <v>1950</v>
      </c>
      <c r="N182" s="217" t="s">
        <v>791</v>
      </c>
      <c r="O182" s="11" t="str">
        <f t="shared" si="10"/>
        <v/>
      </c>
      <c r="P182" s="246" t="s">
        <v>1836</v>
      </c>
    </row>
    <row r="183" ht="45.0" customHeight="1">
      <c r="A183" s="11">
        <v>183.0</v>
      </c>
      <c r="B183" s="11" t="s">
        <v>173</v>
      </c>
      <c r="C183" s="239" t="s">
        <v>801</v>
      </c>
      <c r="D183" s="240" t="s">
        <v>802</v>
      </c>
      <c r="E183" s="215" t="s">
        <v>489</v>
      </c>
      <c r="F183" s="216">
        <v>100.0</v>
      </c>
      <c r="G183" s="216">
        <v>100.0</v>
      </c>
      <c r="H183" s="216">
        <v>1.0</v>
      </c>
      <c r="I183" s="11">
        <f t="shared" si="4"/>
        <v>100</v>
      </c>
      <c r="J183" s="11" t="s">
        <v>178</v>
      </c>
      <c r="K183" s="93"/>
      <c r="L183" s="93" t="s">
        <v>2078</v>
      </c>
      <c r="M183" s="93" t="s">
        <v>1950</v>
      </c>
      <c r="N183" s="217" t="s">
        <v>795</v>
      </c>
      <c r="O183" s="11" t="str">
        <f t="shared" si="10"/>
        <v/>
      </c>
      <c r="P183" s="246" t="s">
        <v>1837</v>
      </c>
    </row>
    <row r="184" ht="45.0" customHeight="1">
      <c r="A184" s="11">
        <v>184.0</v>
      </c>
      <c r="B184" s="11" t="s">
        <v>173</v>
      </c>
      <c r="C184" s="239" t="s">
        <v>713</v>
      </c>
      <c r="D184" s="240" t="s">
        <v>714</v>
      </c>
      <c r="E184" s="215" t="s">
        <v>489</v>
      </c>
      <c r="F184" s="216">
        <v>100.0</v>
      </c>
      <c r="G184" s="216">
        <v>100.0</v>
      </c>
      <c r="H184" s="216">
        <v>1.0</v>
      </c>
      <c r="I184" s="11">
        <f t="shared" si="4"/>
        <v>100</v>
      </c>
      <c r="J184" s="11" t="s">
        <v>178</v>
      </c>
      <c r="K184" s="93"/>
      <c r="L184" s="93" t="s">
        <v>2078</v>
      </c>
      <c r="M184" s="93" t="s">
        <v>1950</v>
      </c>
      <c r="N184" s="217" t="s">
        <v>799</v>
      </c>
      <c r="O184" s="11" t="str">
        <f t="shared" si="10"/>
        <v/>
      </c>
      <c r="P184" s="246" t="s">
        <v>1837</v>
      </c>
    </row>
    <row r="185" ht="45.0" customHeight="1">
      <c r="A185" s="11">
        <v>185.0</v>
      </c>
      <c r="B185" s="11" t="s">
        <v>173</v>
      </c>
      <c r="C185" s="239" t="s">
        <v>729</v>
      </c>
      <c r="D185" s="240" t="s">
        <v>730</v>
      </c>
      <c r="E185" s="215" t="s">
        <v>489</v>
      </c>
      <c r="F185" s="216">
        <v>100.0</v>
      </c>
      <c r="G185" s="216">
        <v>100.0</v>
      </c>
      <c r="H185" s="216">
        <v>1.0</v>
      </c>
      <c r="I185" s="11">
        <f t="shared" si="4"/>
        <v>100</v>
      </c>
      <c r="J185" s="11" t="s">
        <v>178</v>
      </c>
      <c r="K185" s="93"/>
      <c r="L185" s="93" t="s">
        <v>2078</v>
      </c>
      <c r="M185" s="93" t="s">
        <v>1950</v>
      </c>
      <c r="N185" s="217" t="s">
        <v>803</v>
      </c>
      <c r="O185" s="11" t="str">
        <f t="shared" si="10"/>
        <v/>
      </c>
      <c r="P185" s="246" t="s">
        <v>1838</v>
      </c>
    </row>
    <row r="186" ht="45.0" customHeight="1">
      <c r="A186" s="11">
        <v>186.0</v>
      </c>
      <c r="B186" s="11" t="s">
        <v>173</v>
      </c>
      <c r="C186" s="239" t="s">
        <v>813</v>
      </c>
      <c r="D186" s="240" t="s">
        <v>814</v>
      </c>
      <c r="E186" s="215" t="s">
        <v>489</v>
      </c>
      <c r="F186" s="216">
        <v>100.0</v>
      </c>
      <c r="G186" s="216">
        <v>100.0</v>
      </c>
      <c r="H186" s="216">
        <v>1.0</v>
      </c>
      <c r="I186" s="11">
        <f t="shared" si="4"/>
        <v>100</v>
      </c>
      <c r="J186" s="11" t="s">
        <v>178</v>
      </c>
      <c r="K186" s="93"/>
      <c r="L186" s="93" t="s">
        <v>2078</v>
      </c>
      <c r="M186" s="93" t="s">
        <v>1950</v>
      </c>
      <c r="N186" s="217" t="s">
        <v>807</v>
      </c>
      <c r="O186" s="11" t="str">
        <f t="shared" si="10"/>
        <v/>
      </c>
      <c r="P186" s="246" t="s">
        <v>1838</v>
      </c>
    </row>
    <row r="187" ht="45.0" customHeight="1">
      <c r="A187" s="11">
        <v>187.0</v>
      </c>
      <c r="B187" s="11" t="s">
        <v>173</v>
      </c>
      <c r="C187" s="239" t="s">
        <v>749</v>
      </c>
      <c r="D187" s="240" t="s">
        <v>750</v>
      </c>
      <c r="E187" s="215" t="s">
        <v>489</v>
      </c>
      <c r="F187" s="216">
        <v>100.0</v>
      </c>
      <c r="G187" s="216">
        <v>100.0</v>
      </c>
      <c r="H187" s="216">
        <v>1.0</v>
      </c>
      <c r="I187" s="11">
        <f t="shared" si="4"/>
        <v>100</v>
      </c>
      <c r="J187" s="11" t="s">
        <v>178</v>
      </c>
      <c r="K187" s="93"/>
      <c r="L187" s="93" t="s">
        <v>2078</v>
      </c>
      <c r="M187" s="93" t="s">
        <v>1950</v>
      </c>
      <c r="N187" s="217" t="s">
        <v>811</v>
      </c>
      <c r="O187" s="11" t="str">
        <f t="shared" si="10"/>
        <v/>
      </c>
      <c r="P187" s="246" t="s">
        <v>1839</v>
      </c>
    </row>
    <row r="188" ht="45.0" customHeight="1">
      <c r="A188" s="11">
        <v>188.0</v>
      </c>
      <c r="B188" s="11" t="s">
        <v>173</v>
      </c>
      <c r="C188" s="239" t="s">
        <v>761</v>
      </c>
      <c r="D188" s="240" t="s">
        <v>762</v>
      </c>
      <c r="E188" s="215" t="s">
        <v>489</v>
      </c>
      <c r="F188" s="216">
        <v>100.0</v>
      </c>
      <c r="G188" s="216">
        <v>100.0</v>
      </c>
      <c r="H188" s="216">
        <v>1.0</v>
      </c>
      <c r="I188" s="11">
        <f t="shared" si="4"/>
        <v>100</v>
      </c>
      <c r="J188" s="11" t="s">
        <v>178</v>
      </c>
      <c r="K188" s="93"/>
      <c r="L188" s="93" t="s">
        <v>2078</v>
      </c>
      <c r="M188" s="93" t="s">
        <v>1950</v>
      </c>
      <c r="N188" s="217" t="s">
        <v>815</v>
      </c>
      <c r="O188" s="11" t="str">
        <f t="shared" si="10"/>
        <v/>
      </c>
      <c r="P188" s="246" t="s">
        <v>1839</v>
      </c>
    </row>
    <row r="189" ht="45.0" customHeight="1">
      <c r="A189" s="11">
        <v>189.0</v>
      </c>
      <c r="B189" s="11" t="s">
        <v>173</v>
      </c>
      <c r="C189" s="239" t="s">
        <v>769</v>
      </c>
      <c r="D189" s="240" t="s">
        <v>770</v>
      </c>
      <c r="E189" s="215" t="s">
        <v>489</v>
      </c>
      <c r="F189" s="216">
        <v>100.0</v>
      </c>
      <c r="G189" s="216">
        <v>100.0</v>
      </c>
      <c r="H189" s="216">
        <v>1.0</v>
      </c>
      <c r="I189" s="11">
        <f t="shared" si="4"/>
        <v>100</v>
      </c>
      <c r="J189" s="11" t="s">
        <v>178</v>
      </c>
      <c r="K189" s="93"/>
      <c r="L189" s="93" t="s">
        <v>2078</v>
      </c>
      <c r="M189" s="93" t="s">
        <v>1950</v>
      </c>
      <c r="N189" s="217" t="s">
        <v>819</v>
      </c>
      <c r="O189" s="11" t="str">
        <f t="shared" si="10"/>
        <v/>
      </c>
      <c r="P189" s="246" t="s">
        <v>1840</v>
      </c>
    </row>
    <row r="190" ht="45.0" customHeight="1">
      <c r="A190" s="11">
        <v>190.0</v>
      </c>
      <c r="B190" s="11" t="s">
        <v>173</v>
      </c>
      <c r="C190" s="239" t="s">
        <v>681</v>
      </c>
      <c r="D190" s="240" t="s">
        <v>682</v>
      </c>
      <c r="E190" s="215" t="s">
        <v>489</v>
      </c>
      <c r="F190" s="216">
        <v>100.0</v>
      </c>
      <c r="G190" s="216">
        <v>100.0</v>
      </c>
      <c r="H190" s="216">
        <v>1.0</v>
      </c>
      <c r="I190" s="11">
        <f t="shared" si="4"/>
        <v>100</v>
      </c>
      <c r="J190" s="11" t="s">
        <v>178</v>
      </c>
      <c r="K190" s="93"/>
      <c r="L190" s="93" t="s">
        <v>2078</v>
      </c>
      <c r="M190" s="93" t="s">
        <v>1950</v>
      </c>
      <c r="N190" s="217" t="s">
        <v>823</v>
      </c>
      <c r="O190" s="11" t="str">
        <f t="shared" si="10"/>
        <v/>
      </c>
      <c r="P190" s="246" t="s">
        <v>1840</v>
      </c>
    </row>
    <row r="191" ht="45.0" customHeight="1">
      <c r="A191" s="11">
        <v>191.0</v>
      </c>
      <c r="B191" s="11" t="s">
        <v>173</v>
      </c>
      <c r="C191" s="241" t="s">
        <v>825</v>
      </c>
      <c r="D191" s="242" t="s">
        <v>826</v>
      </c>
      <c r="E191" s="215" t="s">
        <v>489</v>
      </c>
      <c r="F191" s="216">
        <v>100.0</v>
      </c>
      <c r="G191" s="216">
        <v>100.0</v>
      </c>
      <c r="H191" s="216">
        <v>3.0</v>
      </c>
      <c r="I191" s="11">
        <f t="shared" si="4"/>
        <v>300</v>
      </c>
      <c r="J191" s="11" t="s">
        <v>178</v>
      </c>
      <c r="K191" s="93"/>
      <c r="L191" s="93" t="s">
        <v>2078</v>
      </c>
      <c r="M191" s="93" t="s">
        <v>1951</v>
      </c>
      <c r="N191" s="217" t="s">
        <v>827</v>
      </c>
      <c r="O191" s="11" t="str">
        <f>IMAGE("https://encrypted-tbn0.gstatic.com/images?q=tbn:ANd9GcR-ur1Cl_3Rq82qZ9KbLtZX3U_7cevDQWdUVA&amp;usqp=CAU",1)</f>
        <v/>
      </c>
      <c r="P191" s="11" t="s">
        <v>1857</v>
      </c>
    </row>
    <row r="192" ht="45.0" customHeight="1">
      <c r="A192" s="11">
        <v>192.0</v>
      </c>
      <c r="B192" s="11" t="s">
        <v>173</v>
      </c>
      <c r="C192" s="241" t="s">
        <v>829</v>
      </c>
      <c r="D192" s="242" t="s">
        <v>830</v>
      </c>
      <c r="E192" s="215" t="s">
        <v>489</v>
      </c>
      <c r="F192" s="216">
        <v>50.0</v>
      </c>
      <c r="G192" s="216">
        <v>50.0</v>
      </c>
      <c r="H192" s="216">
        <v>10.0</v>
      </c>
      <c r="I192" s="11">
        <f t="shared" si="4"/>
        <v>500</v>
      </c>
      <c r="J192" s="11" t="s">
        <v>178</v>
      </c>
      <c r="K192" s="93"/>
      <c r="L192" s="93" t="s">
        <v>2078</v>
      </c>
      <c r="M192" s="93" t="s">
        <v>1951</v>
      </c>
      <c r="N192" s="217" t="s">
        <v>831</v>
      </c>
      <c r="O192" s="11" t="str">
        <f>IMAGE("https://m.media-amazon.com/images/I/51khY6g46VL._AC_SL1500_.jpg",1)</f>
        <v/>
      </c>
      <c r="P192" s="221" t="s">
        <v>1859</v>
      </c>
    </row>
    <row r="193" ht="45.0" customHeight="1">
      <c r="A193" s="11">
        <v>193.0</v>
      </c>
      <c r="B193" s="11" t="s">
        <v>173</v>
      </c>
      <c r="C193" s="11" t="s">
        <v>833</v>
      </c>
      <c r="D193" s="93" t="s">
        <v>834</v>
      </c>
      <c r="E193" s="215" t="s">
        <v>489</v>
      </c>
      <c r="F193" s="216">
        <v>50.0</v>
      </c>
      <c r="G193" s="216">
        <v>50.0</v>
      </c>
      <c r="H193" s="216">
        <v>10.0</v>
      </c>
      <c r="I193" s="11">
        <f t="shared" si="4"/>
        <v>500</v>
      </c>
      <c r="J193" s="11" t="s">
        <v>178</v>
      </c>
      <c r="K193" s="93"/>
      <c r="L193" s="93" t="s">
        <v>2078</v>
      </c>
      <c r="M193" s="93" t="s">
        <v>1951</v>
      </c>
      <c r="N193" s="217" t="s">
        <v>835</v>
      </c>
      <c r="O193" s="11" t="str">
        <f>IMAGE("https://etstore.in/wp-content/uploads/2021/12/IMG_20201130_100203.png",1)</f>
        <v/>
      </c>
      <c r="P193" s="247" t="s">
        <v>1834</v>
      </c>
    </row>
    <row r="194" ht="45.0" customHeight="1">
      <c r="A194" s="11">
        <v>194.0</v>
      </c>
      <c r="B194" s="11" t="s">
        <v>173</v>
      </c>
      <c r="C194" s="11" t="s">
        <v>837</v>
      </c>
      <c r="D194" s="93" t="s">
        <v>838</v>
      </c>
      <c r="E194" s="215" t="s">
        <v>489</v>
      </c>
      <c r="F194" s="216">
        <v>50.0</v>
      </c>
      <c r="G194" s="216">
        <v>50.0</v>
      </c>
      <c r="H194" s="216">
        <v>10.0</v>
      </c>
      <c r="I194" s="11">
        <f t="shared" si="4"/>
        <v>500</v>
      </c>
      <c r="J194" s="11" t="s">
        <v>178</v>
      </c>
      <c r="K194" s="93"/>
      <c r="L194" s="93" t="s">
        <v>2078</v>
      </c>
      <c r="M194" s="93" t="s">
        <v>1951</v>
      </c>
      <c r="N194" s="217" t="s">
        <v>839</v>
      </c>
      <c r="O194" s="11" t="str">
        <f>IMAGE("https://m.media-amazon.com/images/I/71UDXftBeaL._SX466_.jpg",1)</f>
        <v/>
      </c>
      <c r="P194" s="244" t="s">
        <v>1861</v>
      </c>
    </row>
    <row r="195" ht="45.0" customHeight="1">
      <c r="A195" s="11">
        <v>195.0</v>
      </c>
      <c r="B195" s="11" t="s">
        <v>173</v>
      </c>
      <c r="C195" s="11" t="s">
        <v>841</v>
      </c>
      <c r="D195" s="93" t="s">
        <v>842</v>
      </c>
      <c r="E195" s="215" t="s">
        <v>489</v>
      </c>
      <c r="F195" s="216">
        <v>50.0</v>
      </c>
      <c r="G195" s="216">
        <v>50.0</v>
      </c>
      <c r="H195" s="216">
        <v>10.0</v>
      </c>
      <c r="I195" s="11">
        <f t="shared" si="4"/>
        <v>500</v>
      </c>
      <c r="J195" s="11" t="s">
        <v>178</v>
      </c>
      <c r="K195" s="93"/>
      <c r="L195" s="93" t="s">
        <v>2070</v>
      </c>
      <c r="M195" s="93" t="s">
        <v>1951</v>
      </c>
      <c r="N195" s="217" t="s">
        <v>843</v>
      </c>
      <c r="O195" s="11" t="str">
        <f>IMAGE("https://m.media-amazon.com/images/I/4116hBQx0XL._SX425_.jpg",1)</f>
        <v/>
      </c>
      <c r="P195" s="245" t="s">
        <v>1833</v>
      </c>
    </row>
    <row r="196" ht="45.0" customHeight="1">
      <c r="A196" s="11">
        <v>196.0</v>
      </c>
      <c r="B196" s="11" t="s">
        <v>173</v>
      </c>
      <c r="C196" s="11" t="s">
        <v>845</v>
      </c>
      <c r="D196" s="93" t="s">
        <v>2085</v>
      </c>
      <c r="E196" s="215" t="s">
        <v>489</v>
      </c>
      <c r="F196" s="216">
        <v>20.0</v>
      </c>
      <c r="G196" s="216">
        <v>20.0</v>
      </c>
      <c r="H196" s="216">
        <v>5.0</v>
      </c>
      <c r="I196" s="11">
        <f t="shared" si="4"/>
        <v>100</v>
      </c>
      <c r="J196" s="11" t="s">
        <v>178</v>
      </c>
      <c r="K196" s="93"/>
      <c r="L196" s="93" t="s">
        <v>2078</v>
      </c>
      <c r="M196" s="93" t="s">
        <v>1944</v>
      </c>
      <c r="N196" s="217" t="s">
        <v>847</v>
      </c>
      <c r="O196" s="11" t="str">
        <f>IMAGE("https://potentiallabs.com/cart/image/cache/catalog/2021/555-timer-ic-400x400.jpeg",1)</f>
        <v/>
      </c>
      <c r="P196" s="248" t="s">
        <v>2086</v>
      </c>
    </row>
    <row r="197" ht="45.0" customHeight="1">
      <c r="A197" s="11">
        <v>197.0</v>
      </c>
      <c r="B197" s="11" t="s">
        <v>173</v>
      </c>
      <c r="C197" s="11" t="s">
        <v>849</v>
      </c>
      <c r="D197" s="93" t="s">
        <v>850</v>
      </c>
      <c r="E197" s="215" t="s">
        <v>489</v>
      </c>
      <c r="F197" s="216">
        <v>100.0</v>
      </c>
      <c r="G197" s="216">
        <v>100.0</v>
      </c>
      <c r="H197" s="216">
        <v>5.0</v>
      </c>
      <c r="I197" s="11">
        <f t="shared" si="4"/>
        <v>500</v>
      </c>
      <c r="J197" s="11" t="s">
        <v>178</v>
      </c>
      <c r="K197" s="93"/>
      <c r="L197" s="93" t="s">
        <v>2078</v>
      </c>
      <c r="M197" s="93" t="s">
        <v>1953</v>
      </c>
      <c r="N197" s="217" t="s">
        <v>851</v>
      </c>
      <c r="O197" s="11" t="str">
        <f>IMAGE("https://5.imimg.com/data5/SELLER/Default/2020/8/IJ/BD/HA/84543611/2n3904-transistor-500x500.jpg",1)</f>
        <v/>
      </c>
      <c r="P197" s="246" t="s">
        <v>1847</v>
      </c>
    </row>
    <row r="198" ht="45.0" customHeight="1">
      <c r="A198" s="11">
        <v>198.0</v>
      </c>
      <c r="B198" s="11" t="s">
        <v>173</v>
      </c>
      <c r="C198" s="11" t="s">
        <v>853</v>
      </c>
      <c r="D198" s="93" t="s">
        <v>854</v>
      </c>
      <c r="E198" s="215" t="s">
        <v>489</v>
      </c>
      <c r="F198" s="216">
        <v>100.0</v>
      </c>
      <c r="G198" s="216">
        <v>100.0</v>
      </c>
      <c r="H198" s="216">
        <v>5.0</v>
      </c>
      <c r="I198" s="11">
        <f t="shared" si="4"/>
        <v>500</v>
      </c>
      <c r="J198" s="11" t="s">
        <v>178</v>
      </c>
      <c r="K198" s="93"/>
      <c r="L198" s="93" t="s">
        <v>2078</v>
      </c>
      <c r="M198" s="93" t="s">
        <v>1953</v>
      </c>
      <c r="N198" s="217" t="s">
        <v>855</v>
      </c>
      <c r="O198" s="11" t="str">
        <f>IMAGE("https://rukminim2.flixcart.com/image/832/832/k44hksw0/transistor/d/m/d/100-pics-bc547-npn-transistor-sme-original-imafn3dfw2fqwgxg.jpeg?q=70",1)</f>
        <v/>
      </c>
      <c r="P198" s="249" t="s">
        <v>1848</v>
      </c>
    </row>
    <row r="199" ht="45.0" customHeight="1">
      <c r="A199" s="11">
        <v>199.0</v>
      </c>
      <c r="B199" s="11" t="s">
        <v>173</v>
      </c>
      <c r="C199" s="11" t="s">
        <v>857</v>
      </c>
      <c r="D199" s="93" t="s">
        <v>858</v>
      </c>
      <c r="E199" s="215" t="s">
        <v>489</v>
      </c>
      <c r="F199" s="216">
        <v>100.0</v>
      </c>
      <c r="G199" s="216">
        <v>100.0</v>
      </c>
      <c r="H199" s="216">
        <v>5.0</v>
      </c>
      <c r="I199" s="11">
        <f t="shared" si="4"/>
        <v>500</v>
      </c>
      <c r="J199" s="11" t="s">
        <v>178</v>
      </c>
      <c r="K199" s="93"/>
      <c r="L199" s="93" t="s">
        <v>2078</v>
      </c>
      <c r="M199" s="93" t="s">
        <v>1953</v>
      </c>
      <c r="N199" s="217" t="s">
        <v>859</v>
      </c>
      <c r="O199" s="11" t="str">
        <f>IMAGE("https://m.media-amazon.com/images/W/MEDIAX_792452-T2/images/I/31po6g2eu+L.jpg",1)</f>
        <v/>
      </c>
      <c r="P199" s="11" t="s">
        <v>1848</v>
      </c>
    </row>
    <row r="200" ht="45.0" customHeight="1">
      <c r="A200" s="11">
        <v>200.0</v>
      </c>
      <c r="B200" s="11" t="s">
        <v>173</v>
      </c>
      <c r="C200" s="11" t="s">
        <v>861</v>
      </c>
      <c r="D200" s="93" t="s">
        <v>862</v>
      </c>
      <c r="E200" s="215" t="s">
        <v>489</v>
      </c>
      <c r="F200" s="216">
        <v>100.0</v>
      </c>
      <c r="G200" s="216">
        <v>100.0</v>
      </c>
      <c r="H200" s="216">
        <v>5.0</v>
      </c>
      <c r="I200" s="11">
        <f t="shared" si="4"/>
        <v>500</v>
      </c>
      <c r="J200" s="11" t="s">
        <v>178</v>
      </c>
      <c r="K200" s="93"/>
      <c r="L200" s="93" t="s">
        <v>2078</v>
      </c>
      <c r="M200" s="93" t="s">
        <v>1953</v>
      </c>
      <c r="N200" s="217" t="s">
        <v>863</v>
      </c>
      <c r="O200" s="11" t="str">
        <f>IMAGE("https://5.imimg.com/data5/MA/XW/GW/SELLER-84581978/cdil-transistor-bc557-500x500.jpg",1)</f>
        <v/>
      </c>
      <c r="P200" s="11" t="s">
        <v>1848</v>
      </c>
    </row>
    <row r="201" ht="45.0" customHeight="1">
      <c r="A201" s="11">
        <v>201.0</v>
      </c>
      <c r="B201" s="11" t="s">
        <v>173</v>
      </c>
      <c r="C201" s="11" t="s">
        <v>865</v>
      </c>
      <c r="D201" s="93" t="s">
        <v>866</v>
      </c>
      <c r="E201" s="215" t="s">
        <v>489</v>
      </c>
      <c r="F201" s="216">
        <v>100.0</v>
      </c>
      <c r="G201" s="216">
        <v>100.0</v>
      </c>
      <c r="H201" s="216">
        <v>5.0</v>
      </c>
      <c r="I201" s="11">
        <f t="shared" si="4"/>
        <v>500</v>
      </c>
      <c r="J201" s="11" t="s">
        <v>178</v>
      </c>
      <c r="K201" s="93"/>
      <c r="L201" s="93" t="s">
        <v>2078</v>
      </c>
      <c r="M201" s="93" t="s">
        <v>1953</v>
      </c>
      <c r="N201" s="217" t="s">
        <v>867</v>
      </c>
      <c r="O201" s="11" t="str">
        <f>IMAGE("https://www.chipmart.in/wp-content/uploads/2022/08/SL100-NPN-General-Purpose-Medium-Power-Transistor-50V-500mA.png",1)</f>
        <v/>
      </c>
      <c r="P201" s="245" t="s">
        <v>1849</v>
      </c>
    </row>
    <row r="202" ht="45.0" customHeight="1">
      <c r="A202" s="11">
        <v>202.0</v>
      </c>
      <c r="B202" s="11" t="s">
        <v>173</v>
      </c>
      <c r="C202" s="11" t="s">
        <v>869</v>
      </c>
      <c r="D202" s="93" t="s">
        <v>870</v>
      </c>
      <c r="E202" s="215" t="s">
        <v>489</v>
      </c>
      <c r="F202" s="216">
        <v>100.0</v>
      </c>
      <c r="G202" s="216">
        <v>100.0</v>
      </c>
      <c r="H202" s="216">
        <v>5.0</v>
      </c>
      <c r="I202" s="11">
        <f t="shared" si="4"/>
        <v>500</v>
      </c>
      <c r="J202" s="11" t="s">
        <v>178</v>
      </c>
      <c r="K202" s="93"/>
      <c r="L202" s="93" t="s">
        <v>2078</v>
      </c>
      <c r="M202" s="93" t="s">
        <v>1953</v>
      </c>
      <c r="N202" s="217" t="s">
        <v>871</v>
      </c>
      <c r="O202" s="11" t="str">
        <f>IMAGE("https://5.imimg.com/data5/WJ/EW/MY-25117786/2n2222-npn-transistors-500x500.jpg",1)</f>
        <v/>
      </c>
      <c r="P202" s="11" t="s">
        <v>1847</v>
      </c>
    </row>
    <row r="203" ht="45.0" customHeight="1">
      <c r="A203" s="11">
        <v>203.0</v>
      </c>
      <c r="B203" s="11" t="s">
        <v>173</v>
      </c>
      <c r="C203" s="11" t="s">
        <v>873</v>
      </c>
      <c r="D203" s="93" t="s">
        <v>874</v>
      </c>
      <c r="E203" s="215" t="s">
        <v>489</v>
      </c>
      <c r="F203" s="216">
        <v>20.0</v>
      </c>
      <c r="G203" s="216">
        <v>20.0</v>
      </c>
      <c r="H203" s="216">
        <v>10.0</v>
      </c>
      <c r="I203" s="11">
        <f t="shared" si="4"/>
        <v>200</v>
      </c>
      <c r="J203" s="11" t="s">
        <v>178</v>
      </c>
      <c r="K203" s="93"/>
      <c r="L203" s="93" t="s">
        <v>2078</v>
      </c>
      <c r="M203" s="93" t="s">
        <v>1949</v>
      </c>
      <c r="N203" s="217" t="s">
        <v>875</v>
      </c>
      <c r="O203" s="11" t="str">
        <f t="shared" ref="O203:O205" si="11">IMAGE("https://probots.co.in/pub/media/catalog/product/cache/d8ddd0f9b0cd008b57085cd218b48832/1/k/1k_ohm_variable_resistor_potentiometer1-1000x1000_12.jpg",1)</f>
        <v/>
      </c>
      <c r="P203" s="11" t="s">
        <v>1841</v>
      </c>
    </row>
    <row r="204" ht="45.0" customHeight="1">
      <c r="A204" s="11">
        <v>204.0</v>
      </c>
      <c r="B204" s="11" t="s">
        <v>173</v>
      </c>
      <c r="C204" s="11" t="s">
        <v>877</v>
      </c>
      <c r="D204" s="93" t="s">
        <v>878</v>
      </c>
      <c r="E204" s="215" t="s">
        <v>489</v>
      </c>
      <c r="F204" s="216">
        <v>20.0</v>
      </c>
      <c r="G204" s="216">
        <v>20.0</v>
      </c>
      <c r="H204" s="216">
        <v>10.0</v>
      </c>
      <c r="I204" s="11">
        <f t="shared" si="4"/>
        <v>200</v>
      </c>
      <c r="J204" s="11" t="s">
        <v>178</v>
      </c>
      <c r="K204" s="93"/>
      <c r="L204" s="93" t="s">
        <v>2078</v>
      </c>
      <c r="M204" s="93" t="s">
        <v>1949</v>
      </c>
      <c r="N204" s="217" t="s">
        <v>879</v>
      </c>
      <c r="O204" s="11" t="str">
        <f t="shared" si="11"/>
        <v/>
      </c>
      <c r="P204" s="11" t="s">
        <v>1841</v>
      </c>
    </row>
    <row r="205" ht="45.0" customHeight="1">
      <c r="A205" s="11">
        <v>205.0</v>
      </c>
      <c r="B205" s="11" t="s">
        <v>173</v>
      </c>
      <c r="C205" s="11" t="s">
        <v>881</v>
      </c>
      <c r="D205" s="93" t="s">
        <v>882</v>
      </c>
      <c r="E205" s="215" t="s">
        <v>489</v>
      </c>
      <c r="F205" s="216">
        <v>20.0</v>
      </c>
      <c r="G205" s="216">
        <v>20.0</v>
      </c>
      <c r="H205" s="216">
        <v>10.0</v>
      </c>
      <c r="I205" s="11">
        <f t="shared" si="4"/>
        <v>200</v>
      </c>
      <c r="J205" s="11" t="s">
        <v>178</v>
      </c>
      <c r="K205" s="93"/>
      <c r="L205" s="93" t="s">
        <v>2078</v>
      </c>
      <c r="M205" s="93" t="s">
        <v>1949</v>
      </c>
      <c r="N205" s="217" t="s">
        <v>883</v>
      </c>
      <c r="O205" s="11" t="str">
        <f t="shared" si="11"/>
        <v/>
      </c>
      <c r="P205" s="11" t="s">
        <v>1841</v>
      </c>
    </row>
    <row r="206" ht="45.0" customHeight="1">
      <c r="A206" s="11">
        <v>206.0</v>
      </c>
      <c r="B206" s="11" t="s">
        <v>173</v>
      </c>
      <c r="C206" s="11" t="s">
        <v>885</v>
      </c>
      <c r="D206" s="93" t="s">
        <v>886</v>
      </c>
      <c r="E206" s="215" t="s">
        <v>489</v>
      </c>
      <c r="F206" s="216">
        <v>20.0</v>
      </c>
      <c r="G206" s="216">
        <v>20.0</v>
      </c>
      <c r="H206" s="216">
        <v>20.0</v>
      </c>
      <c r="I206" s="11">
        <f t="shared" si="4"/>
        <v>400</v>
      </c>
      <c r="J206" s="11" t="s">
        <v>178</v>
      </c>
      <c r="K206" s="93"/>
      <c r="L206" s="93" t="s">
        <v>2070</v>
      </c>
      <c r="M206" s="93" t="s">
        <v>1954</v>
      </c>
      <c r="N206" s="217" t="s">
        <v>887</v>
      </c>
      <c r="O206" s="11" t="str">
        <f>IMAGE("https://www.olelectronics.in/wp-content/uploads/Miniature-Vibration-Motor.png",1)</f>
        <v/>
      </c>
      <c r="P206" s="221" t="s">
        <v>1819</v>
      </c>
    </row>
    <row r="207" ht="45.0" customHeight="1">
      <c r="A207" s="11">
        <v>207.0</v>
      </c>
      <c r="B207" s="11" t="s">
        <v>173</v>
      </c>
      <c r="C207" s="11" t="s">
        <v>889</v>
      </c>
      <c r="D207" s="93" t="s">
        <v>1754</v>
      </c>
      <c r="E207" s="215" t="s">
        <v>891</v>
      </c>
      <c r="F207" s="216">
        <v>10.0</v>
      </c>
      <c r="G207" s="216">
        <v>10.0</v>
      </c>
      <c r="H207" s="216">
        <v>300.0</v>
      </c>
      <c r="I207" s="11">
        <f t="shared" si="4"/>
        <v>3000</v>
      </c>
      <c r="J207" s="11" t="s">
        <v>178</v>
      </c>
      <c r="K207" s="93"/>
      <c r="L207" s="93" t="s">
        <v>2062</v>
      </c>
      <c r="M207" s="93" t="s">
        <v>1947</v>
      </c>
      <c r="N207" s="217" t="s">
        <v>892</v>
      </c>
      <c r="O207" s="11" t="str">
        <f>IMAGE("https://encrypted-tbn0.gstatic.com/images?q=tbn:ANd9GcQ9HdcUbkhENGQnNmIni640zFk33IAUdUx_x0uluq_AFf1Hud04FBhhZQFZXM2xrHw_7W4&amp;usqp=CAU",1)</f>
        <v/>
      </c>
      <c r="P207" s="11" t="s">
        <v>1755</v>
      </c>
    </row>
    <row r="208" ht="45.0" customHeight="1">
      <c r="A208" s="11">
        <v>208.0</v>
      </c>
      <c r="B208" s="11" t="s">
        <v>173</v>
      </c>
      <c r="C208" s="11" t="s">
        <v>894</v>
      </c>
      <c r="D208" s="93" t="s">
        <v>895</v>
      </c>
      <c r="E208" s="215" t="s">
        <v>891</v>
      </c>
      <c r="F208" s="216">
        <v>10.0</v>
      </c>
      <c r="G208" s="216">
        <v>10.0</v>
      </c>
      <c r="H208" s="216">
        <v>200.0</v>
      </c>
      <c r="I208" s="11">
        <f t="shared" si="4"/>
        <v>2000</v>
      </c>
      <c r="J208" s="11" t="s">
        <v>178</v>
      </c>
      <c r="K208" s="93"/>
      <c r="L208" s="93" t="s">
        <v>2070</v>
      </c>
      <c r="M208" s="93" t="s">
        <v>1947</v>
      </c>
      <c r="N208" s="217" t="s">
        <v>896</v>
      </c>
      <c r="O208" s="11" t="str">
        <f>IMAGE("https://m.media-amazon.com/images/W/MEDIAX_792452-T2/images/I/612Fb4y5P6S._SL1100_.jpg",1)</f>
        <v/>
      </c>
      <c r="P208" s="11" t="s">
        <v>1756</v>
      </c>
    </row>
    <row r="209" ht="45.0" customHeight="1">
      <c r="A209" s="11">
        <v>209.0</v>
      </c>
      <c r="B209" s="222" t="s">
        <v>173</v>
      </c>
      <c r="C209" s="222" t="s">
        <v>898</v>
      </c>
      <c r="D209" s="232" t="s">
        <v>899</v>
      </c>
      <c r="E209" s="233" t="s">
        <v>891</v>
      </c>
      <c r="F209" s="222" t="s">
        <v>56</v>
      </c>
      <c r="G209" s="222">
        <v>1.0</v>
      </c>
      <c r="H209" s="222">
        <v>75.0</v>
      </c>
      <c r="I209" s="222">
        <f t="shared" si="4"/>
        <v>75</v>
      </c>
      <c r="J209" s="222" t="s">
        <v>178</v>
      </c>
      <c r="K209" s="232"/>
      <c r="L209" s="232" t="s">
        <v>599</v>
      </c>
      <c r="M209" s="232" t="s">
        <v>1947</v>
      </c>
      <c r="N209" s="235" t="s">
        <v>900</v>
      </c>
      <c r="O209" s="222" t="str">
        <f>IMAGE("https://robu.in/wp-content/uploads/2021/05/DC-DC-Boost-Module-0.9V5V-to-5V-600MA-USB-Step-up-Board-5V-Output-1.png",1)</f>
        <v/>
      </c>
      <c r="P209" s="222"/>
    </row>
    <row r="210" ht="45.0" customHeight="1">
      <c r="A210" s="11">
        <v>210.0</v>
      </c>
      <c r="B210" s="11" t="s">
        <v>173</v>
      </c>
      <c r="C210" s="11" t="s">
        <v>902</v>
      </c>
      <c r="D210" s="93" t="s">
        <v>903</v>
      </c>
      <c r="E210" s="215" t="s">
        <v>891</v>
      </c>
      <c r="F210" s="216">
        <v>5.0</v>
      </c>
      <c r="G210" s="216">
        <v>5.0</v>
      </c>
      <c r="H210" s="216">
        <v>150.0</v>
      </c>
      <c r="I210" s="11">
        <f t="shared" si="4"/>
        <v>750</v>
      </c>
      <c r="J210" s="11" t="s">
        <v>178</v>
      </c>
      <c r="K210" s="93"/>
      <c r="L210" s="93" t="s">
        <v>2012</v>
      </c>
      <c r="M210" s="93" t="s">
        <v>1954</v>
      </c>
      <c r="N210" s="217" t="s">
        <v>904</v>
      </c>
      <c r="O210" s="11" t="str">
        <f>IMAGE("https://makerbazar.in/cdn/shop/files/6015fanwithwire_600x.jpg?v=1695792315",1)</f>
        <v/>
      </c>
      <c r="P210" s="11" t="s">
        <v>2087</v>
      </c>
    </row>
    <row r="211" ht="45.0" customHeight="1">
      <c r="A211" s="11">
        <v>211.0</v>
      </c>
      <c r="B211" s="11" t="s">
        <v>173</v>
      </c>
      <c r="C211" s="11" t="s">
        <v>906</v>
      </c>
      <c r="D211" s="93" t="s">
        <v>1955</v>
      </c>
      <c r="E211" s="215" t="s">
        <v>891</v>
      </c>
      <c r="F211" s="216">
        <v>10.0</v>
      </c>
      <c r="G211" s="216">
        <v>10.0</v>
      </c>
      <c r="H211" s="216">
        <v>200.0</v>
      </c>
      <c r="I211" s="11">
        <f t="shared" si="4"/>
        <v>2000</v>
      </c>
      <c r="J211" s="11" t="s">
        <v>178</v>
      </c>
      <c r="K211" s="93"/>
      <c r="L211" s="93" t="s">
        <v>1895</v>
      </c>
      <c r="M211" s="93" t="s">
        <v>1956</v>
      </c>
      <c r="N211" s="217" t="s">
        <v>908</v>
      </c>
      <c r="O211" s="11" t="str">
        <f>IMAGE("https://5.imimg.com/data5/II/UT/SO/SELLER-1968074/16x2-lcd-display-500x500.jpg",1)</f>
        <v/>
      </c>
      <c r="P211" s="221" t="s">
        <v>2088</v>
      </c>
    </row>
    <row r="212" ht="45.0" customHeight="1">
      <c r="A212" s="11">
        <v>212.0</v>
      </c>
      <c r="B212" s="11" t="s">
        <v>173</v>
      </c>
      <c r="C212" s="11" t="s">
        <v>910</v>
      </c>
      <c r="D212" s="93" t="s">
        <v>911</v>
      </c>
      <c r="E212" s="215" t="s">
        <v>891</v>
      </c>
      <c r="F212" s="216">
        <v>20.0</v>
      </c>
      <c r="G212" s="216">
        <v>20.0</v>
      </c>
      <c r="H212" s="216">
        <v>15.0</v>
      </c>
      <c r="I212" s="11">
        <f t="shared" si="4"/>
        <v>300</v>
      </c>
      <c r="J212" s="11" t="s">
        <v>178</v>
      </c>
      <c r="K212" s="93"/>
      <c r="L212" s="93" t="s">
        <v>2070</v>
      </c>
      <c r="M212" s="93" t="s">
        <v>1903</v>
      </c>
      <c r="N212" s="217" t="s">
        <v>912</v>
      </c>
      <c r="O212" s="11" t="str">
        <f>IMAGE("https://ashokaonlineshop.in/wp-content/uploads/2022/11/650nm-Mini-Laser-Dot-Diode-Module1.jpeg",1)</f>
        <v/>
      </c>
      <c r="P212" s="11" t="s">
        <v>1752</v>
      </c>
    </row>
    <row r="213" ht="45.0" customHeight="1">
      <c r="A213" s="11">
        <v>213.0</v>
      </c>
      <c r="B213" s="11" t="s">
        <v>173</v>
      </c>
      <c r="C213" s="11" t="s">
        <v>914</v>
      </c>
      <c r="D213" s="93" t="s">
        <v>1811</v>
      </c>
      <c r="E213" s="215" t="s">
        <v>891</v>
      </c>
      <c r="F213" s="216">
        <v>10.0</v>
      </c>
      <c r="G213" s="216">
        <v>10.0</v>
      </c>
      <c r="H213" s="216">
        <v>300.0</v>
      </c>
      <c r="I213" s="11">
        <f t="shared" si="4"/>
        <v>3000</v>
      </c>
      <c r="J213" s="11" t="s">
        <v>178</v>
      </c>
      <c r="K213" s="93"/>
      <c r="L213" s="93" t="s">
        <v>2062</v>
      </c>
      <c r="M213" s="93" t="s">
        <v>1956</v>
      </c>
      <c r="N213" s="217" t="s">
        <v>916</v>
      </c>
      <c r="O213" s="11" t="str">
        <f>IMAGE("https://m.media-amazon.com/images/I/51l+Qhaiu3L._SL1000_.jpg",1)</f>
        <v/>
      </c>
      <c r="P213" s="11" t="s">
        <v>1812</v>
      </c>
    </row>
    <row r="214" ht="45.0" customHeight="1">
      <c r="A214" s="11">
        <v>214.0</v>
      </c>
      <c r="B214" s="11" t="s">
        <v>173</v>
      </c>
      <c r="C214" s="11" t="s">
        <v>918</v>
      </c>
      <c r="D214" s="93" t="s">
        <v>1820</v>
      </c>
      <c r="E214" s="215" t="s">
        <v>891</v>
      </c>
      <c r="F214" s="216">
        <v>10.0</v>
      </c>
      <c r="G214" s="216">
        <v>10.0</v>
      </c>
      <c r="H214" s="216">
        <v>100.0</v>
      </c>
      <c r="I214" s="11">
        <f t="shared" si="4"/>
        <v>1000</v>
      </c>
      <c r="J214" s="11" t="s">
        <v>178</v>
      </c>
      <c r="K214" s="93"/>
      <c r="L214" s="93" t="s">
        <v>2089</v>
      </c>
      <c r="M214" s="93" t="s">
        <v>1905</v>
      </c>
      <c r="N214" s="217" t="s">
        <v>920</v>
      </c>
      <c r="O214" s="11" t="str">
        <f>IMAGE("https://rukminim1.flixcart.com/image/850/1000/k62i5jk0/solar-panel/7/g/q/diy-projects-6v-80ma-wire-attached-mini-power-solar-cells-for-original-imafzm93vcqqnsat.jpeg?q=20")</f>
        <v/>
      </c>
      <c r="P214" s="221" t="s">
        <v>1830</v>
      </c>
    </row>
    <row r="215" ht="45.0" customHeight="1">
      <c r="A215" s="11">
        <v>215.0</v>
      </c>
      <c r="B215" s="11" t="s">
        <v>173</v>
      </c>
      <c r="C215" s="11" t="s">
        <v>922</v>
      </c>
      <c r="D215" s="93" t="s">
        <v>923</v>
      </c>
      <c r="E215" s="215" t="s">
        <v>891</v>
      </c>
      <c r="F215" s="216">
        <v>5.0</v>
      </c>
      <c r="G215" s="216">
        <v>5.0</v>
      </c>
      <c r="H215" s="216">
        <v>250.0</v>
      </c>
      <c r="I215" s="11">
        <f t="shared" si="4"/>
        <v>1250</v>
      </c>
      <c r="J215" s="11" t="s">
        <v>178</v>
      </c>
      <c r="K215" s="93"/>
      <c r="L215" s="93" t="s">
        <v>1895</v>
      </c>
      <c r="M215" s="93" t="s">
        <v>1947</v>
      </c>
      <c r="N215" s="217" t="s">
        <v>924</v>
      </c>
      <c r="O215" s="11" t="str">
        <f>IMAGE("https://robu.in/wp-content/uploads/2017/06/robu-3-13.jpg",1)</f>
        <v/>
      </c>
      <c r="P215" s="250" t="s">
        <v>2090</v>
      </c>
    </row>
    <row r="216" ht="45.0" customHeight="1">
      <c r="A216" s="11">
        <v>216.0</v>
      </c>
      <c r="B216" s="11" t="s">
        <v>173</v>
      </c>
      <c r="C216" s="11" t="s">
        <v>926</v>
      </c>
      <c r="D216" s="93" t="s">
        <v>927</v>
      </c>
      <c r="E216" s="215" t="s">
        <v>891</v>
      </c>
      <c r="F216" s="216">
        <v>10.0</v>
      </c>
      <c r="G216" s="216">
        <v>10.0</v>
      </c>
      <c r="H216" s="216">
        <v>50.0</v>
      </c>
      <c r="I216" s="11">
        <f t="shared" si="4"/>
        <v>500</v>
      </c>
      <c r="J216" s="11" t="s">
        <v>178</v>
      </c>
      <c r="K216" s="93"/>
      <c r="L216" s="93" t="s">
        <v>1895</v>
      </c>
      <c r="M216" s="93" t="s">
        <v>1941</v>
      </c>
      <c r="N216" s="217"/>
      <c r="O216" s="11" t="str">
        <f>IMAGE("https://robu.in/wp-content/uploads/2021/05/0.5W-8OHM-Trumpet-Diameter-36mm-1.jpeg",1)</f>
        <v/>
      </c>
      <c r="P216" s="11" t="s">
        <v>2091</v>
      </c>
    </row>
    <row r="217" ht="45.0" customHeight="1">
      <c r="A217" s="11">
        <v>217.0</v>
      </c>
      <c r="B217" s="11" t="s">
        <v>173</v>
      </c>
      <c r="C217" s="11" t="s">
        <v>929</v>
      </c>
      <c r="D217" s="93" t="s">
        <v>930</v>
      </c>
      <c r="E217" s="215" t="s">
        <v>891</v>
      </c>
      <c r="F217" s="216">
        <v>10.0</v>
      </c>
      <c r="G217" s="216">
        <v>10.0</v>
      </c>
      <c r="H217" s="216">
        <v>40.0</v>
      </c>
      <c r="I217" s="11">
        <f t="shared" si="4"/>
        <v>400</v>
      </c>
      <c r="J217" s="11" t="s">
        <v>178</v>
      </c>
      <c r="K217" s="93"/>
      <c r="L217" s="93" t="s">
        <v>1895</v>
      </c>
      <c r="M217" s="93" t="s">
        <v>1954</v>
      </c>
      <c r="N217" s="217" t="s">
        <v>931</v>
      </c>
      <c r="O217" s="11" t="str">
        <f>IMAGE("https://5.imimg.com/data5/SELLER/Default/2023/2/OP/GV/HH/182244990/water-pump-module-1000x1000.jpg",1)</f>
        <v/>
      </c>
      <c r="P217" s="11" t="s">
        <v>2092</v>
      </c>
    </row>
    <row r="218" ht="45.0" customHeight="1">
      <c r="A218" s="11">
        <v>218.0</v>
      </c>
      <c r="B218" s="222" t="s">
        <v>173</v>
      </c>
      <c r="C218" s="11" t="s">
        <v>933</v>
      </c>
      <c r="D218" s="93" t="s">
        <v>934</v>
      </c>
      <c r="E218" s="215" t="s">
        <v>891</v>
      </c>
      <c r="F218" s="11">
        <v>15.0</v>
      </c>
      <c r="G218" s="11">
        <v>15.0</v>
      </c>
      <c r="H218" s="11">
        <v>21.0</v>
      </c>
      <c r="I218" s="11">
        <f t="shared" si="4"/>
        <v>315</v>
      </c>
      <c r="J218" s="11" t="s">
        <v>178</v>
      </c>
      <c r="K218" s="93"/>
      <c r="L218" s="93" t="s">
        <v>935</v>
      </c>
      <c r="M218" s="93" t="s">
        <v>1909</v>
      </c>
      <c r="N218" s="217" t="s">
        <v>937</v>
      </c>
      <c r="O218" s="11" t="str">
        <f>IMAGE("https://robu.in/wp-content/uploads/2020/10/TP4056-1A-Li-ion-lithium-Battery-Charging-Module-With-Current-Protection-Type-C-2.png",1)</f>
        <v/>
      </c>
      <c r="P218" s="222"/>
    </row>
    <row r="219" ht="45.0" customHeight="1">
      <c r="A219" s="11">
        <v>219.0</v>
      </c>
      <c r="B219" s="11" t="s">
        <v>173</v>
      </c>
      <c r="C219" s="11" t="s">
        <v>939</v>
      </c>
      <c r="D219" s="93" t="s">
        <v>940</v>
      </c>
      <c r="E219" s="215" t="s">
        <v>891</v>
      </c>
      <c r="F219" s="216">
        <v>5.0</v>
      </c>
      <c r="G219" s="216">
        <v>5.0</v>
      </c>
      <c r="H219" s="216">
        <v>250.0</v>
      </c>
      <c r="I219" s="11">
        <f t="shared" si="4"/>
        <v>1250</v>
      </c>
      <c r="J219" s="11" t="s">
        <v>178</v>
      </c>
      <c r="K219" s="93"/>
      <c r="L219" s="93" t="s">
        <v>2062</v>
      </c>
      <c r="M219" s="93" t="s">
        <v>1947</v>
      </c>
      <c r="N219" s="217"/>
      <c r="O219" s="11" t="str">
        <f>IMAGE("https://robu.in/wp-content/uploads/2016/03/Ublox-Neo-6M-GPS.jpg",1)</f>
        <v/>
      </c>
      <c r="P219" s="11" t="s">
        <v>1814</v>
      </c>
    </row>
    <row r="220" ht="45.0" customHeight="1">
      <c r="A220" s="11">
        <v>220.0</v>
      </c>
      <c r="B220" s="11" t="s">
        <v>173</v>
      </c>
      <c r="C220" s="11" t="s">
        <v>942</v>
      </c>
      <c r="D220" s="93" t="s">
        <v>943</v>
      </c>
      <c r="E220" s="215" t="s">
        <v>891</v>
      </c>
      <c r="F220" s="216">
        <v>5.0</v>
      </c>
      <c r="G220" s="216">
        <v>5.0</v>
      </c>
      <c r="H220" s="216">
        <v>40.0</v>
      </c>
      <c r="I220" s="11">
        <f t="shared" si="4"/>
        <v>200</v>
      </c>
      <c r="J220" s="11" t="s">
        <v>178</v>
      </c>
      <c r="K220" s="93"/>
      <c r="L220" s="93" t="s">
        <v>2070</v>
      </c>
      <c r="M220" s="93" t="s">
        <v>1947</v>
      </c>
      <c r="N220" s="217" t="s">
        <v>944</v>
      </c>
      <c r="O220" s="11" t="str">
        <f>IMAGE("https://m.media-amazon.com/images/W/MEDIAX_792452-T2/images/I/51cWZAAMiWL._SL1000_.jpg",1)</f>
        <v/>
      </c>
      <c r="P220" s="11" t="s">
        <v>1815</v>
      </c>
    </row>
    <row r="221" ht="45.0" customHeight="1">
      <c r="A221" s="11">
        <v>221.0</v>
      </c>
      <c r="B221" s="11" t="s">
        <v>173</v>
      </c>
      <c r="C221" s="11" t="s">
        <v>946</v>
      </c>
      <c r="D221" s="93" t="s">
        <v>947</v>
      </c>
      <c r="E221" s="215" t="s">
        <v>891</v>
      </c>
      <c r="F221" s="216">
        <v>5.0</v>
      </c>
      <c r="G221" s="216">
        <v>5.0</v>
      </c>
      <c r="H221" s="216">
        <v>40.0</v>
      </c>
      <c r="I221" s="11">
        <f t="shared" si="4"/>
        <v>200</v>
      </c>
      <c r="J221" s="11" t="s">
        <v>178</v>
      </c>
      <c r="K221" s="93"/>
      <c r="L221" s="93" t="s">
        <v>2070</v>
      </c>
      <c r="M221" s="93" t="s">
        <v>1947</v>
      </c>
      <c r="N221" s="217"/>
      <c r="O221" s="11" t="str">
        <f>IMAGE("https://m.media-amazon.com/images/W/MEDIAX_792452-T2/images/I/61wbYlIdx0L._SL1500_.jpg",1)</f>
        <v/>
      </c>
      <c r="P221" s="11" t="s">
        <v>1819</v>
      </c>
    </row>
    <row r="222" ht="45.0" customHeight="1">
      <c r="A222" s="11">
        <v>222.0</v>
      </c>
      <c r="B222" s="11" t="s">
        <v>173</v>
      </c>
      <c r="C222" s="11" t="s">
        <v>949</v>
      </c>
      <c r="D222" s="93" t="s">
        <v>950</v>
      </c>
      <c r="E222" s="215" t="s">
        <v>891</v>
      </c>
      <c r="F222" s="216">
        <v>10.0</v>
      </c>
      <c r="G222" s="216">
        <v>10.0</v>
      </c>
      <c r="H222" s="216">
        <v>40.0</v>
      </c>
      <c r="I222" s="11">
        <f t="shared" si="4"/>
        <v>400</v>
      </c>
      <c r="J222" s="11" t="s">
        <v>178</v>
      </c>
      <c r="K222" s="93"/>
      <c r="L222" s="93" t="s">
        <v>2062</v>
      </c>
      <c r="M222" s="93" t="s">
        <v>1947</v>
      </c>
      <c r="N222" s="217" t="s">
        <v>951</v>
      </c>
      <c r="O222" s="11" t="str">
        <f>IMAGE("https://5.imimg.com/data5/SELLER/Default/2022/9/HX/YZ/GJ/43948449/micro-sd-card-adapter-with-level-shifter-500x500.png",1)</f>
        <v/>
      </c>
      <c r="P222" s="11" t="s">
        <v>1809</v>
      </c>
    </row>
    <row r="223" ht="45.0" customHeight="1">
      <c r="A223" s="11">
        <v>223.0</v>
      </c>
      <c r="B223" s="11" t="s">
        <v>173</v>
      </c>
      <c r="C223" s="11" t="s">
        <v>953</v>
      </c>
      <c r="D223" s="93" t="s">
        <v>1958</v>
      </c>
      <c r="E223" s="215" t="s">
        <v>891</v>
      </c>
      <c r="F223" s="216">
        <v>10.0</v>
      </c>
      <c r="G223" s="216">
        <v>10.0</v>
      </c>
      <c r="H223" s="216">
        <v>200.0</v>
      </c>
      <c r="I223" s="11">
        <f t="shared" si="4"/>
        <v>2000</v>
      </c>
      <c r="J223" s="11" t="s">
        <v>178</v>
      </c>
      <c r="K223" s="93"/>
      <c r="L223" s="93" t="s">
        <v>1594</v>
      </c>
      <c r="M223" s="93" t="s">
        <v>1947</v>
      </c>
      <c r="N223" s="223" t="s">
        <v>955</v>
      </c>
      <c r="O223" s="11" t="str">
        <f>IMAGE("https://robu.in/wp-content/uploads/2020/09/L298P-Motor-Driver-Shield-for-Arduino-3.jpg",1)</f>
        <v/>
      </c>
      <c r="P223" s="221" t="s">
        <v>2061</v>
      </c>
    </row>
    <row r="224" ht="45.0" customHeight="1">
      <c r="A224" s="11">
        <v>224.0</v>
      </c>
      <c r="B224" s="11" t="s">
        <v>173</v>
      </c>
      <c r="C224" s="11" t="s">
        <v>957</v>
      </c>
      <c r="D224" s="93" t="s">
        <v>1760</v>
      </c>
      <c r="E224" s="215" t="s">
        <v>891</v>
      </c>
      <c r="F224" s="216">
        <v>5.0</v>
      </c>
      <c r="G224" s="216">
        <v>5.0</v>
      </c>
      <c r="H224" s="216">
        <v>95.0</v>
      </c>
      <c r="I224" s="11">
        <f t="shared" si="4"/>
        <v>475</v>
      </c>
      <c r="J224" s="11" t="s">
        <v>178</v>
      </c>
      <c r="K224" s="93"/>
      <c r="L224" s="93" t="s">
        <v>2070</v>
      </c>
      <c r="M224" s="93" t="s">
        <v>1947</v>
      </c>
      <c r="N224" s="217" t="s">
        <v>959</v>
      </c>
      <c r="O224" s="11" t="str">
        <f>IMAGE("https://m.media-amazon.com/images/I/41Y-5b4TQcL.jpg",1)</f>
        <v/>
      </c>
      <c r="P224" s="11" t="s">
        <v>1761</v>
      </c>
    </row>
    <row r="225" ht="45.0" customHeight="1">
      <c r="A225" s="11">
        <v>225.0</v>
      </c>
      <c r="B225" s="11" t="s">
        <v>173</v>
      </c>
      <c r="C225" s="11" t="s">
        <v>961</v>
      </c>
      <c r="D225" s="93" t="s">
        <v>962</v>
      </c>
      <c r="E225" s="215" t="s">
        <v>891</v>
      </c>
      <c r="F225" s="216">
        <v>10.0</v>
      </c>
      <c r="G225" s="216">
        <v>10.0</v>
      </c>
      <c r="H225" s="216">
        <v>500.0</v>
      </c>
      <c r="I225" s="11">
        <f t="shared" si="4"/>
        <v>5000</v>
      </c>
      <c r="J225" s="11" t="s">
        <v>178</v>
      </c>
      <c r="K225" s="93"/>
      <c r="L225" s="93" t="s">
        <v>1895</v>
      </c>
      <c r="M225" s="93" t="s">
        <v>1947</v>
      </c>
      <c r="N225" s="217" t="s">
        <v>963</v>
      </c>
      <c r="O225" s="11" t="str">
        <f>IMAGE("https://robu.in/wp-content/uploads/2016/02/617hpF6cJbL._SL1000_.jpg",1)</f>
        <v/>
      </c>
      <c r="P225" s="221" t="s">
        <v>2093</v>
      </c>
    </row>
    <row r="226" ht="45.0" customHeight="1">
      <c r="A226" s="11">
        <v>226.0</v>
      </c>
      <c r="B226" s="231" t="s">
        <v>137</v>
      </c>
      <c r="C226" s="11" t="s">
        <v>965</v>
      </c>
      <c r="D226" s="93" t="s">
        <v>1959</v>
      </c>
      <c r="E226" s="215" t="s">
        <v>326</v>
      </c>
      <c r="F226" s="216">
        <v>6.0</v>
      </c>
      <c r="G226" s="216">
        <v>6.0</v>
      </c>
      <c r="H226" s="216">
        <v>600.0</v>
      </c>
      <c r="I226" s="11">
        <f t="shared" si="4"/>
        <v>3600</v>
      </c>
      <c r="J226" s="11" t="s">
        <v>326</v>
      </c>
      <c r="K226" s="251"/>
      <c r="L226" s="93" t="s">
        <v>1960</v>
      </c>
      <c r="M226" s="93" t="s">
        <v>1901</v>
      </c>
      <c r="N226" s="219" t="s">
        <v>967</v>
      </c>
      <c r="O226" s="11" t="str">
        <f>IMAGE("https://www.220converters.com/resize/Shared/images/Product/Seven-Star-ES5C-220-Volt-Universal-5-Outlet-Power-Strip-With-Surge-Protection-220V-240V/es5c.jpg?bw=500&amp;bh=500",1)</f>
        <v/>
      </c>
      <c r="P226" s="222" t="s">
        <v>2094</v>
      </c>
    </row>
    <row r="227" ht="45.0" customHeight="1">
      <c r="A227" s="11">
        <v>227.0</v>
      </c>
      <c r="B227" s="231" t="s">
        <v>137</v>
      </c>
      <c r="C227" s="222" t="s">
        <v>969</v>
      </c>
      <c r="D227" s="232" t="s">
        <v>970</v>
      </c>
      <c r="E227" s="233" t="s">
        <v>326</v>
      </c>
      <c r="F227" s="234">
        <v>1.0</v>
      </c>
      <c r="G227" s="234">
        <v>1.0</v>
      </c>
      <c r="H227" s="234">
        <v>2000.0</v>
      </c>
      <c r="I227" s="222">
        <f t="shared" si="4"/>
        <v>2000</v>
      </c>
      <c r="J227" s="222" t="s">
        <v>326</v>
      </c>
      <c r="K227" s="232"/>
      <c r="L227" s="232"/>
      <c r="M227" s="232" t="s">
        <v>1901</v>
      </c>
      <c r="N227" s="235" t="s">
        <v>971</v>
      </c>
      <c r="O227" s="222" t="str">
        <f>IMAGE("https://www.jiomart.com/images/product/original/491503417/mi-home-security-camera-digital-o491503417-p590045677-0-202010110622.jpeg")</f>
        <v/>
      </c>
      <c r="P227" s="222" t="s">
        <v>2095</v>
      </c>
    </row>
    <row r="228" ht="45.0" customHeight="1">
      <c r="A228" s="11">
        <v>228.0</v>
      </c>
      <c r="B228" s="11" t="s">
        <v>137</v>
      </c>
      <c r="C228" s="11" t="s">
        <v>973</v>
      </c>
      <c r="D228" s="93" t="s">
        <v>974</v>
      </c>
      <c r="E228" s="215" t="s">
        <v>326</v>
      </c>
      <c r="F228" s="216">
        <v>1.0</v>
      </c>
      <c r="G228" s="216">
        <v>1.0</v>
      </c>
      <c r="H228" s="216">
        <v>32000.0</v>
      </c>
      <c r="I228" s="11">
        <f t="shared" si="4"/>
        <v>32000</v>
      </c>
      <c r="J228" s="11" t="s">
        <v>142</v>
      </c>
      <c r="K228" s="93"/>
      <c r="L228" s="93"/>
      <c r="M228" s="93" t="s">
        <v>1901</v>
      </c>
      <c r="N228" s="217"/>
      <c r="O228" s="11" t="str">
        <f>IMAGE("https://cdn.ttgtmedia.com/rms/onlineimages/hp_elitebook_mobile.jpg",1)</f>
        <v/>
      </c>
      <c r="P228" s="11" t="s">
        <v>2096</v>
      </c>
    </row>
    <row r="229" ht="45.0" customHeight="1">
      <c r="A229" s="11">
        <v>229.0</v>
      </c>
      <c r="B229" s="222" t="s">
        <v>137</v>
      </c>
      <c r="C229" s="222" t="s">
        <v>976</v>
      </c>
      <c r="D229" s="232" t="s">
        <v>977</v>
      </c>
      <c r="E229" s="233" t="s">
        <v>326</v>
      </c>
      <c r="F229" s="234">
        <v>1.0</v>
      </c>
      <c r="G229" s="234">
        <v>1.0</v>
      </c>
      <c r="H229" s="234">
        <v>1500.0</v>
      </c>
      <c r="I229" s="222">
        <f t="shared" si="4"/>
        <v>1500</v>
      </c>
      <c r="J229" s="222" t="s">
        <v>142</v>
      </c>
      <c r="K229" s="252"/>
      <c r="L229" s="232"/>
      <c r="M229" s="232" t="s">
        <v>1901</v>
      </c>
      <c r="N229" s="235"/>
      <c r="O229" s="222" t="str">
        <f>IMAGE("https://m.media-amazon.com/images/W/MEDIAX_792452-T2/images/I/51UzU+2x3OS._SL1000_.jpg")</f>
        <v/>
      </c>
      <c r="P229" s="222" t="s">
        <v>2095</v>
      </c>
    </row>
    <row r="230" ht="45.0" customHeight="1">
      <c r="A230" s="11">
        <v>230.0</v>
      </c>
      <c r="B230" s="11" t="s">
        <v>15</v>
      </c>
      <c r="C230" s="11" t="s">
        <v>979</v>
      </c>
      <c r="D230" s="93" t="s">
        <v>980</v>
      </c>
      <c r="E230" s="215" t="s">
        <v>981</v>
      </c>
      <c r="F230" s="216">
        <v>5.0</v>
      </c>
      <c r="G230" s="216">
        <v>5.0</v>
      </c>
      <c r="H230" s="218">
        <v>20.0</v>
      </c>
      <c r="I230" s="11">
        <f t="shared" si="4"/>
        <v>100</v>
      </c>
      <c r="J230" s="11" t="s">
        <v>20</v>
      </c>
      <c r="K230" s="93" t="s">
        <v>77</v>
      </c>
      <c r="L230" s="93" t="s">
        <v>2012</v>
      </c>
      <c r="M230" s="215" t="s">
        <v>981</v>
      </c>
      <c r="N230" s="217" t="s">
        <v>982</v>
      </c>
      <c r="O230" s="11" t="str">
        <f t="shared" ref="O230:O232" si="12">IMAGE("https://encrypted-tbn0.gstatic.com/=IMAGEs?q=tbn:ANd9GcSdcvov5296EXdnf0Fj0qF-G6iK-nu0n6Z4THAWosUzBx_wQ7GuJyrL0Rnbt1uBxLroiao&amp;usqp=CAU",1)</f>
        <v/>
      </c>
      <c r="P230" s="11" t="s">
        <v>2097</v>
      </c>
    </row>
    <row r="231" ht="45.0" customHeight="1">
      <c r="A231" s="11">
        <v>231.0</v>
      </c>
      <c r="B231" s="11" t="s">
        <v>15</v>
      </c>
      <c r="C231" s="11" t="s">
        <v>984</v>
      </c>
      <c r="D231" s="93" t="s">
        <v>985</v>
      </c>
      <c r="E231" s="215" t="s">
        <v>981</v>
      </c>
      <c r="F231" s="216">
        <v>5.0</v>
      </c>
      <c r="G231" s="216">
        <v>5.0</v>
      </c>
      <c r="H231" s="218">
        <v>40.0</v>
      </c>
      <c r="I231" s="11">
        <f t="shared" si="4"/>
        <v>200</v>
      </c>
      <c r="J231" s="11" t="s">
        <v>20</v>
      </c>
      <c r="K231" s="93" t="s">
        <v>77</v>
      </c>
      <c r="L231" s="93" t="s">
        <v>2012</v>
      </c>
      <c r="M231" s="215" t="s">
        <v>981</v>
      </c>
      <c r="N231" s="217" t="s">
        <v>986</v>
      </c>
      <c r="O231" s="11" t="str">
        <f t="shared" si="12"/>
        <v/>
      </c>
      <c r="P231" s="11" t="s">
        <v>2097</v>
      </c>
    </row>
    <row r="232" ht="45.0" customHeight="1">
      <c r="A232" s="11">
        <v>232.0</v>
      </c>
      <c r="B232" s="11" t="s">
        <v>15</v>
      </c>
      <c r="C232" s="11" t="s">
        <v>988</v>
      </c>
      <c r="D232" s="93" t="s">
        <v>989</v>
      </c>
      <c r="E232" s="215" t="s">
        <v>981</v>
      </c>
      <c r="F232" s="216">
        <v>2.0</v>
      </c>
      <c r="G232" s="216">
        <v>2.0</v>
      </c>
      <c r="H232" s="218">
        <v>50.0</v>
      </c>
      <c r="I232" s="11">
        <f t="shared" si="4"/>
        <v>100</v>
      </c>
      <c r="J232" s="11" t="s">
        <v>20</v>
      </c>
      <c r="K232" s="93" t="s">
        <v>77</v>
      </c>
      <c r="L232" s="93" t="s">
        <v>2012</v>
      </c>
      <c r="M232" s="93" t="s">
        <v>981</v>
      </c>
      <c r="N232" s="217" t="s">
        <v>990</v>
      </c>
      <c r="O232" s="11" t="str">
        <f t="shared" si="12"/>
        <v/>
      </c>
      <c r="P232" s="11" t="s">
        <v>2097</v>
      </c>
    </row>
    <row r="233" ht="45.0" customHeight="1">
      <c r="A233" s="11">
        <v>233.0</v>
      </c>
      <c r="B233" s="222" t="s">
        <v>15</v>
      </c>
      <c r="C233" s="11" t="s">
        <v>992</v>
      </c>
      <c r="D233" s="93" t="s">
        <v>993</v>
      </c>
      <c r="E233" s="215" t="s">
        <v>981</v>
      </c>
      <c r="F233" s="216">
        <v>5.0</v>
      </c>
      <c r="G233" s="216">
        <v>5.0</v>
      </c>
      <c r="H233" s="218">
        <v>50.0</v>
      </c>
      <c r="I233" s="11">
        <f t="shared" si="4"/>
        <v>250</v>
      </c>
      <c r="J233" s="11" t="s">
        <v>20</v>
      </c>
      <c r="K233" s="93" t="s">
        <v>77</v>
      </c>
      <c r="L233" s="93" t="s">
        <v>1902</v>
      </c>
      <c r="M233" s="215" t="s">
        <v>981</v>
      </c>
      <c r="N233" s="217" t="s">
        <v>994</v>
      </c>
      <c r="O233" s="11" t="str">
        <f t="shared" ref="O233:O235" si="13">IMAGE("https://encrypted-tbn0.gstatic.com/=IMAGEs?q=tbn:ANd9GcTv3YU2gmM00qoI79XpKhq-dV1wM5aPXrLsmrVwQWwEda0tuTarN0ncQ0DMg_JUYk4IBe4&amp;usqp=CAU",1)</f>
        <v/>
      </c>
      <c r="P233" s="222" t="s">
        <v>2098</v>
      </c>
    </row>
    <row r="234" ht="45.0" customHeight="1">
      <c r="A234" s="11">
        <v>234.0</v>
      </c>
      <c r="B234" s="222" t="s">
        <v>15</v>
      </c>
      <c r="C234" s="11" t="s">
        <v>996</v>
      </c>
      <c r="D234" s="93" t="s">
        <v>997</v>
      </c>
      <c r="E234" s="215" t="s">
        <v>981</v>
      </c>
      <c r="F234" s="216">
        <v>5.0</v>
      </c>
      <c r="G234" s="216">
        <v>5.0</v>
      </c>
      <c r="H234" s="218">
        <v>130.0</v>
      </c>
      <c r="I234" s="11">
        <f t="shared" si="4"/>
        <v>650</v>
      </c>
      <c r="J234" s="11" t="s">
        <v>20</v>
      </c>
      <c r="K234" s="93" t="s">
        <v>77</v>
      </c>
      <c r="L234" s="93" t="s">
        <v>1902</v>
      </c>
      <c r="M234" s="215" t="s">
        <v>981</v>
      </c>
      <c r="N234" s="217" t="s">
        <v>994</v>
      </c>
      <c r="O234" s="11" t="str">
        <f t="shared" si="13"/>
        <v/>
      </c>
      <c r="P234" s="222" t="s">
        <v>2098</v>
      </c>
    </row>
    <row r="235" ht="45.0" customHeight="1">
      <c r="A235" s="11">
        <v>235.0</v>
      </c>
      <c r="B235" s="222" t="s">
        <v>15</v>
      </c>
      <c r="C235" s="11" t="s">
        <v>999</v>
      </c>
      <c r="D235" s="93" t="s">
        <v>1000</v>
      </c>
      <c r="E235" s="215" t="s">
        <v>981</v>
      </c>
      <c r="F235" s="216">
        <v>5.0</v>
      </c>
      <c r="G235" s="216">
        <v>5.0</v>
      </c>
      <c r="H235" s="218">
        <v>180.0</v>
      </c>
      <c r="I235" s="11">
        <f t="shared" si="4"/>
        <v>900</v>
      </c>
      <c r="J235" s="11" t="s">
        <v>20</v>
      </c>
      <c r="K235" s="93" t="s">
        <v>77</v>
      </c>
      <c r="L235" s="93" t="s">
        <v>1902</v>
      </c>
      <c r="M235" s="215" t="s">
        <v>981</v>
      </c>
      <c r="N235" s="217" t="s">
        <v>1001</v>
      </c>
      <c r="O235" s="11" t="str">
        <f t="shared" si="13"/>
        <v/>
      </c>
      <c r="P235" s="222" t="s">
        <v>2098</v>
      </c>
    </row>
    <row r="236" ht="45.0" customHeight="1">
      <c r="A236" s="11">
        <v>236.0</v>
      </c>
      <c r="B236" s="222" t="s">
        <v>15</v>
      </c>
      <c r="C236" s="11" t="s">
        <v>1003</v>
      </c>
      <c r="D236" s="93" t="s">
        <v>1004</v>
      </c>
      <c r="E236" s="215" t="s">
        <v>981</v>
      </c>
      <c r="F236" s="216">
        <v>1.0</v>
      </c>
      <c r="G236" s="216">
        <v>1.0</v>
      </c>
      <c r="H236" s="216">
        <v>250.0</v>
      </c>
      <c r="I236" s="11">
        <f t="shared" si="4"/>
        <v>250</v>
      </c>
      <c r="J236" s="11" t="s">
        <v>20</v>
      </c>
      <c r="K236" s="93" t="s">
        <v>77</v>
      </c>
      <c r="L236" s="93" t="s">
        <v>2012</v>
      </c>
      <c r="M236" s="215" t="s">
        <v>981</v>
      </c>
      <c r="N236" s="217" t="s">
        <v>1005</v>
      </c>
      <c r="O236" s="11" t="str">
        <f>IMAGE("https://3.imimg.com/data3/QQ/JR/MY-2/plastic-twine-500x500.jpg",1)</f>
        <v/>
      </c>
      <c r="P236" s="222" t="s">
        <v>2013</v>
      </c>
    </row>
    <row r="237" ht="45.0" customHeight="1">
      <c r="A237" s="11">
        <v>237.0</v>
      </c>
      <c r="B237" s="11" t="s">
        <v>15</v>
      </c>
      <c r="C237" s="11" t="s">
        <v>1007</v>
      </c>
      <c r="D237" s="93" t="s">
        <v>1008</v>
      </c>
      <c r="E237" s="215" t="s">
        <v>981</v>
      </c>
      <c r="F237" s="216">
        <v>1.0</v>
      </c>
      <c r="G237" s="216">
        <v>1.0</v>
      </c>
      <c r="H237" s="216">
        <v>200.0</v>
      </c>
      <c r="I237" s="11">
        <f t="shared" si="4"/>
        <v>200</v>
      </c>
      <c r="J237" s="11" t="s">
        <v>20</v>
      </c>
      <c r="K237" s="93" t="s">
        <v>77</v>
      </c>
      <c r="L237" s="93" t="s">
        <v>2008</v>
      </c>
      <c r="M237" s="93" t="s">
        <v>111</v>
      </c>
      <c r="N237" s="217" t="s">
        <v>1009</v>
      </c>
      <c r="O237" s="11" t="str">
        <f>IMAGE("https://5.imimg.com/data5/KE/BV/MY-37063415/elastic-rubber-band-500x500.jpg",1)</f>
        <v/>
      </c>
      <c r="P237" s="11" t="s">
        <v>2099</v>
      </c>
    </row>
    <row r="238" ht="45.0" customHeight="1">
      <c r="A238" s="11">
        <v>238.0</v>
      </c>
      <c r="B238" s="11" t="s">
        <v>15</v>
      </c>
      <c r="C238" s="11" t="s">
        <v>1011</v>
      </c>
      <c r="D238" s="93" t="s">
        <v>1012</v>
      </c>
      <c r="E238" s="215" t="s">
        <v>981</v>
      </c>
      <c r="F238" s="216">
        <v>1.0</v>
      </c>
      <c r="G238" s="216">
        <v>1.0</v>
      </c>
      <c r="H238" s="216">
        <v>200.0</v>
      </c>
      <c r="I238" s="11">
        <f t="shared" si="4"/>
        <v>200</v>
      </c>
      <c r="J238" s="11" t="s">
        <v>20</v>
      </c>
      <c r="K238" s="93" t="s">
        <v>77</v>
      </c>
      <c r="L238" s="93" t="s">
        <v>2008</v>
      </c>
      <c r="M238" s="93" t="s">
        <v>111</v>
      </c>
      <c r="N238" s="217" t="s">
        <v>1013</v>
      </c>
      <c r="O238" s="11" t="str">
        <f>IMAGE("https://5.imimg.com/data5/BN/VV/MY-31202642/rubber-band-500x500.jpg",1)</f>
        <v/>
      </c>
      <c r="P238" s="11" t="s">
        <v>2099</v>
      </c>
    </row>
    <row r="239" ht="45.0" customHeight="1">
      <c r="A239" s="11">
        <v>239.0</v>
      </c>
      <c r="B239" s="11" t="s">
        <v>15</v>
      </c>
      <c r="C239" s="11" t="s">
        <v>1015</v>
      </c>
      <c r="D239" s="93" t="s">
        <v>1016</v>
      </c>
      <c r="E239" s="215" t="s">
        <v>981</v>
      </c>
      <c r="F239" s="216">
        <v>1.0</v>
      </c>
      <c r="G239" s="216">
        <v>1.0</v>
      </c>
      <c r="H239" s="216">
        <v>200.0</v>
      </c>
      <c r="I239" s="11">
        <f t="shared" si="4"/>
        <v>200</v>
      </c>
      <c r="J239" s="11" t="s">
        <v>20</v>
      </c>
      <c r="K239" s="93" t="s">
        <v>77</v>
      </c>
      <c r="L239" s="93" t="s">
        <v>2008</v>
      </c>
      <c r="M239" s="93" t="s">
        <v>111</v>
      </c>
      <c r="N239" s="217"/>
      <c r="O239" s="11" t="str">
        <f>IMAGE("https://5.imimg.com/data5/YV/DJ/MY-7514996/rubber-band-500x500.jpg",1)</f>
        <v/>
      </c>
      <c r="P239" s="11" t="s">
        <v>2099</v>
      </c>
    </row>
    <row r="240" ht="45.0" customHeight="1">
      <c r="A240" s="11">
        <v>240.0</v>
      </c>
      <c r="B240" s="222" t="s">
        <v>15</v>
      </c>
      <c r="C240" s="11" t="s">
        <v>1018</v>
      </c>
      <c r="D240" s="93" t="s">
        <v>1019</v>
      </c>
      <c r="E240" s="215" t="s">
        <v>981</v>
      </c>
      <c r="F240" s="216">
        <v>1.0</v>
      </c>
      <c r="G240" s="216">
        <v>1.0</v>
      </c>
      <c r="H240" s="216">
        <v>200.0</v>
      </c>
      <c r="I240" s="11">
        <f t="shared" si="4"/>
        <v>200</v>
      </c>
      <c r="J240" s="11" t="s">
        <v>20</v>
      </c>
      <c r="K240" s="93" t="s">
        <v>77</v>
      </c>
      <c r="L240" s="93" t="s">
        <v>2008</v>
      </c>
      <c r="M240" s="215" t="s">
        <v>981</v>
      </c>
      <c r="N240" s="217" t="s">
        <v>1020</v>
      </c>
      <c r="O240" s="11" t="str">
        <f>IMAGE("https://m.media-amazon.com/images/I/51XnX9DfiFL._SL1166_.jpg",1)</f>
        <v/>
      </c>
      <c r="P240" s="222" t="s">
        <v>2099</v>
      </c>
    </row>
    <row r="241" ht="45.0" customHeight="1">
      <c r="A241" s="11">
        <v>241.0</v>
      </c>
      <c r="B241" s="221" t="s">
        <v>15</v>
      </c>
      <c r="C241" s="11" t="s">
        <v>1022</v>
      </c>
      <c r="D241" s="93" t="s">
        <v>1023</v>
      </c>
      <c r="E241" s="215" t="s">
        <v>981</v>
      </c>
      <c r="F241" s="216">
        <v>10.0</v>
      </c>
      <c r="G241" s="216">
        <v>10.0</v>
      </c>
      <c r="H241" s="216">
        <v>100.0</v>
      </c>
      <c r="I241" s="11">
        <f t="shared" si="4"/>
        <v>1000</v>
      </c>
      <c r="J241" s="11" t="s">
        <v>347</v>
      </c>
      <c r="K241" s="93" t="s">
        <v>77</v>
      </c>
      <c r="L241" s="93" t="s">
        <v>2012</v>
      </c>
      <c r="M241" s="215" t="s">
        <v>981</v>
      </c>
      <c r="N241" s="217" t="s">
        <v>1024</v>
      </c>
      <c r="O241" s="11" t="str">
        <f>IMAGE("https://www.shaanstationery.com/image/cache/catalog/kangaro/kangaro-stapler-no-10-corner-view-1000x1000.jpg",1)</f>
        <v/>
      </c>
      <c r="P241" s="11" t="s">
        <v>2100</v>
      </c>
    </row>
    <row r="242" ht="45.0" customHeight="1">
      <c r="A242" s="11">
        <v>242.0</v>
      </c>
      <c r="B242" s="221" t="s">
        <v>15</v>
      </c>
      <c r="C242" s="11" t="s">
        <v>1026</v>
      </c>
      <c r="D242" s="93" t="s">
        <v>1027</v>
      </c>
      <c r="E242" s="215" t="s">
        <v>981</v>
      </c>
      <c r="F242" s="216">
        <v>5.0</v>
      </c>
      <c r="G242" s="216">
        <v>10.0</v>
      </c>
      <c r="H242" s="216">
        <v>50.0</v>
      </c>
      <c r="I242" s="11">
        <f t="shared" si="4"/>
        <v>500</v>
      </c>
      <c r="J242" s="11" t="s">
        <v>347</v>
      </c>
      <c r="K242" s="93" t="s">
        <v>77</v>
      </c>
      <c r="L242" s="93" t="s">
        <v>2012</v>
      </c>
      <c r="M242" s="215" t="s">
        <v>981</v>
      </c>
      <c r="N242" s="217" t="s">
        <v>1028</v>
      </c>
      <c r="O242" s="11" t="str">
        <f>IMAGE("https://sc04.alicdn.com/kf/HTB1f9mqOZbpK1RjSZFyq6x_qFXaz.jpg",1)</f>
        <v/>
      </c>
      <c r="P242" s="11" t="s">
        <v>2100</v>
      </c>
    </row>
    <row r="243" ht="45.0" customHeight="1">
      <c r="A243" s="11">
        <v>243.0</v>
      </c>
      <c r="B243" s="11" t="s">
        <v>342</v>
      </c>
      <c r="C243" s="11" t="s">
        <v>1030</v>
      </c>
      <c r="D243" s="93" t="s">
        <v>1031</v>
      </c>
      <c r="E243" s="215" t="s">
        <v>1032</v>
      </c>
      <c r="F243" s="11">
        <v>1.0</v>
      </c>
      <c r="G243" s="11">
        <v>1.0</v>
      </c>
      <c r="H243" s="11">
        <v>350.0</v>
      </c>
      <c r="I243" s="11">
        <f t="shared" si="4"/>
        <v>350</v>
      </c>
      <c r="J243" s="11" t="s">
        <v>347</v>
      </c>
      <c r="K243" s="93"/>
      <c r="L243" s="93"/>
      <c r="M243" s="215" t="s">
        <v>1032</v>
      </c>
      <c r="N243" s="219" t="s">
        <v>1033</v>
      </c>
      <c r="O243" s="11" t="str">
        <f>IMAGE("https://m.media-amazon.com/images/I/61+L7sYwiBL._SL1500_.jpg",1)</f>
        <v/>
      </c>
      <c r="P243" s="11" t="s">
        <v>2050</v>
      </c>
    </row>
    <row r="244" ht="45.0" customHeight="1">
      <c r="A244" s="11">
        <v>244.0</v>
      </c>
      <c r="B244" s="11" t="s">
        <v>342</v>
      </c>
      <c r="C244" s="11" t="s">
        <v>1035</v>
      </c>
      <c r="D244" s="93" t="s">
        <v>1036</v>
      </c>
      <c r="E244" s="215" t="s">
        <v>1032</v>
      </c>
      <c r="F244" s="216"/>
      <c r="G244" s="216">
        <v>2.0</v>
      </c>
      <c r="H244" s="216">
        <v>250.0</v>
      </c>
      <c r="I244" s="11">
        <f t="shared" si="4"/>
        <v>500</v>
      </c>
      <c r="J244" s="11" t="s">
        <v>347</v>
      </c>
      <c r="K244" s="93"/>
      <c r="L244" s="93"/>
      <c r="M244" s="215" t="s">
        <v>1032</v>
      </c>
      <c r="N244" s="217"/>
      <c r="O244" s="11" t="e">
        <v>#VALUE!</v>
      </c>
      <c r="P244" s="11" t="s">
        <v>2050</v>
      </c>
    </row>
    <row r="245" ht="45.0" customHeight="1">
      <c r="A245" s="11">
        <v>245.0</v>
      </c>
      <c r="B245" s="11" t="s">
        <v>342</v>
      </c>
      <c r="C245" s="11" t="s">
        <v>1038</v>
      </c>
      <c r="D245" s="93" t="s">
        <v>1039</v>
      </c>
      <c r="E245" s="215" t="s">
        <v>1032</v>
      </c>
      <c r="F245" s="216">
        <v>1.0</v>
      </c>
      <c r="G245" s="216">
        <v>1.0</v>
      </c>
      <c r="H245" s="216">
        <v>100.0</v>
      </c>
      <c r="I245" s="11">
        <f t="shared" si="4"/>
        <v>100</v>
      </c>
      <c r="J245" s="11" t="s">
        <v>347</v>
      </c>
      <c r="K245" s="93"/>
      <c r="L245" s="93"/>
      <c r="M245" s="215" t="s">
        <v>1032</v>
      </c>
      <c r="N245" s="217" t="s">
        <v>1040</v>
      </c>
      <c r="O245" s="11" t="str">
        <f>IMAGE("https://m.media-amazon.com/images/I/71qyUXJ5i6L._AC_UF1000,1000_QL80_.jpg",1)</f>
        <v/>
      </c>
      <c r="P245" s="11" t="s">
        <v>2050</v>
      </c>
    </row>
    <row r="246" ht="45.0" customHeight="1">
      <c r="A246" s="11">
        <v>246.0</v>
      </c>
      <c r="B246" s="11" t="s">
        <v>342</v>
      </c>
      <c r="C246" s="11" t="s">
        <v>1042</v>
      </c>
      <c r="D246" s="93" t="s">
        <v>1043</v>
      </c>
      <c r="E246" s="215" t="s">
        <v>1032</v>
      </c>
      <c r="F246" s="216">
        <v>1.0</v>
      </c>
      <c r="G246" s="216">
        <v>1.0</v>
      </c>
      <c r="H246" s="216">
        <v>200.0</v>
      </c>
      <c r="I246" s="11">
        <f t="shared" si="4"/>
        <v>200</v>
      </c>
      <c r="J246" s="11" t="s">
        <v>347</v>
      </c>
      <c r="K246" s="93"/>
      <c r="L246" s="93"/>
      <c r="M246" s="215" t="s">
        <v>1032</v>
      </c>
      <c r="N246" s="223" t="s">
        <v>1044</v>
      </c>
      <c r="O246" s="11" t="str">
        <f>IMAGE("https://5.imimg.com/data5/TS/AU/MY-11200044/steel-shaft-claw-hammer-500x500.jpg",1)</f>
        <v/>
      </c>
      <c r="P246" s="11" t="s">
        <v>2050</v>
      </c>
    </row>
    <row r="247" ht="45.0" customHeight="1">
      <c r="A247" s="11">
        <v>247.0</v>
      </c>
      <c r="B247" s="11" t="s">
        <v>342</v>
      </c>
      <c r="C247" s="11" t="s">
        <v>1046</v>
      </c>
      <c r="D247" s="93" t="s">
        <v>1047</v>
      </c>
      <c r="E247" s="215" t="s">
        <v>1032</v>
      </c>
      <c r="F247" s="216">
        <v>1.0</v>
      </c>
      <c r="G247" s="216">
        <v>1.0</v>
      </c>
      <c r="H247" s="216">
        <v>500.0</v>
      </c>
      <c r="I247" s="11">
        <f t="shared" si="4"/>
        <v>500</v>
      </c>
      <c r="J247" s="11" t="s">
        <v>347</v>
      </c>
      <c r="K247" s="93"/>
      <c r="L247" s="93"/>
      <c r="M247" s="215" t="s">
        <v>1032</v>
      </c>
      <c r="N247" s="217" t="s">
        <v>1048</v>
      </c>
      <c r="O247" s="11" t="str">
        <f>IMAGE("https://5.imimg.com/data5/GU/RT/MY-2970994/bench-clamp.jpg",1)</f>
        <v/>
      </c>
      <c r="P247" s="11" t="s">
        <v>2050</v>
      </c>
    </row>
    <row r="248" ht="45.0" customHeight="1">
      <c r="A248" s="11">
        <v>248.0</v>
      </c>
      <c r="B248" s="11" t="s">
        <v>342</v>
      </c>
      <c r="C248" s="11" t="s">
        <v>1050</v>
      </c>
      <c r="D248" s="93" t="s">
        <v>1051</v>
      </c>
      <c r="E248" s="215" t="s">
        <v>1032</v>
      </c>
      <c r="F248" s="216">
        <v>1.0</v>
      </c>
      <c r="G248" s="216">
        <v>1.0</v>
      </c>
      <c r="H248" s="216">
        <v>100.0</v>
      </c>
      <c r="I248" s="11">
        <f t="shared" si="4"/>
        <v>100</v>
      </c>
      <c r="J248" s="11" t="s">
        <v>347</v>
      </c>
      <c r="K248" s="93"/>
      <c r="L248" s="93"/>
      <c r="M248" s="215" t="s">
        <v>1032</v>
      </c>
      <c r="N248" s="217" t="s">
        <v>1052</v>
      </c>
      <c r="O248" s="11" t="str">
        <f>IMAGE("https://images.jdmagicbox.com/quickquotes/images_main/plier-381885296-5n4zf.jpg",1)</f>
        <v/>
      </c>
      <c r="P248" s="11" t="s">
        <v>2050</v>
      </c>
    </row>
    <row r="249" ht="45.0" customHeight="1">
      <c r="A249" s="11">
        <v>249.0</v>
      </c>
      <c r="B249" s="11" t="s">
        <v>342</v>
      </c>
      <c r="C249" s="11" t="s">
        <v>1054</v>
      </c>
      <c r="D249" s="93" t="s">
        <v>1055</v>
      </c>
      <c r="E249" s="215" t="s">
        <v>1032</v>
      </c>
      <c r="F249" s="216">
        <v>1.0</v>
      </c>
      <c r="G249" s="216">
        <v>1.0</v>
      </c>
      <c r="H249" s="216">
        <v>150.0</v>
      </c>
      <c r="I249" s="11">
        <f t="shared" si="4"/>
        <v>150</v>
      </c>
      <c r="J249" s="11" t="s">
        <v>347</v>
      </c>
      <c r="K249" s="93"/>
      <c r="L249" s="93"/>
      <c r="M249" s="215" t="s">
        <v>1032</v>
      </c>
      <c r="N249" s="217" t="s">
        <v>1056</v>
      </c>
      <c r="O249" s="11" t="str">
        <f>IMAGE("https://m.media-amazon.com/images/I/613WSFIoSjL._SL1500_.jpg",1)</f>
        <v/>
      </c>
      <c r="P249" s="11" t="s">
        <v>2050</v>
      </c>
    </row>
    <row r="250" ht="45.0" customHeight="1">
      <c r="A250" s="11">
        <v>250.0</v>
      </c>
      <c r="B250" s="11" t="s">
        <v>342</v>
      </c>
      <c r="C250" s="11" t="s">
        <v>1058</v>
      </c>
      <c r="D250" s="93" t="s">
        <v>1059</v>
      </c>
      <c r="E250" s="215" t="s">
        <v>1032</v>
      </c>
      <c r="F250" s="216">
        <v>1.0</v>
      </c>
      <c r="G250" s="216">
        <v>1.0</v>
      </c>
      <c r="H250" s="216">
        <v>100.0</v>
      </c>
      <c r="I250" s="11">
        <f t="shared" si="4"/>
        <v>100</v>
      </c>
      <c r="J250" s="11" t="s">
        <v>347</v>
      </c>
      <c r="K250" s="93"/>
      <c r="L250" s="93"/>
      <c r="M250" s="215" t="s">
        <v>1032</v>
      </c>
      <c r="N250" s="217" t="s">
        <v>1060</v>
      </c>
      <c r="O250" s="11" t="str">
        <f>IMAGE("https://in.misumi-ec.com/linked/material/fs/FUJ1/PHOTO/223000817171_001.jpg?$product_main$",1)</f>
        <v/>
      </c>
      <c r="P250" s="11" t="s">
        <v>2050</v>
      </c>
    </row>
    <row r="251" ht="45.0" customHeight="1">
      <c r="A251" s="11">
        <v>252.0</v>
      </c>
      <c r="B251" s="11" t="s">
        <v>342</v>
      </c>
      <c r="C251" s="11" t="s">
        <v>1066</v>
      </c>
      <c r="D251" s="93" t="s">
        <v>1067</v>
      </c>
      <c r="E251" s="215" t="s">
        <v>1032</v>
      </c>
      <c r="F251" s="216">
        <v>1.0</v>
      </c>
      <c r="G251" s="216">
        <v>1.0</v>
      </c>
      <c r="H251" s="216">
        <v>200.0</v>
      </c>
      <c r="I251" s="11">
        <f t="shared" si="4"/>
        <v>200</v>
      </c>
      <c r="J251" s="11" t="s">
        <v>347</v>
      </c>
      <c r="K251" s="93"/>
      <c r="L251" s="93"/>
      <c r="M251" s="215" t="s">
        <v>1032</v>
      </c>
      <c r="N251" s="217" t="s">
        <v>1068</v>
      </c>
      <c r="O251" s="11" t="str">
        <f>IMAGE("https://res.cloudinary.com/rsc/image/upload/b_rgb:FFFFFF,c_pad,dpr_1.0,f_auto,q_auto,w_700/c_pad,w_700/C1985249-01",1)</f>
        <v/>
      </c>
      <c r="P251" s="11" t="s">
        <v>2050</v>
      </c>
    </row>
    <row r="252" ht="45.0" customHeight="1">
      <c r="A252" s="11">
        <v>253.0</v>
      </c>
      <c r="B252" s="222" t="s">
        <v>342</v>
      </c>
      <c r="C252" s="11" t="s">
        <v>1070</v>
      </c>
      <c r="D252" s="93" t="s">
        <v>1071</v>
      </c>
      <c r="E252" s="215" t="s">
        <v>1032</v>
      </c>
      <c r="F252" s="216">
        <v>10.0</v>
      </c>
      <c r="G252" s="216">
        <v>10.0</v>
      </c>
      <c r="H252" s="216">
        <v>200.0</v>
      </c>
      <c r="I252" s="11">
        <f t="shared" si="4"/>
        <v>2000</v>
      </c>
      <c r="J252" s="11" t="s">
        <v>347</v>
      </c>
      <c r="K252" s="93" t="s">
        <v>47</v>
      </c>
      <c r="L252" s="123" t="s">
        <v>65</v>
      </c>
      <c r="M252" s="215" t="s">
        <v>1032</v>
      </c>
      <c r="N252" s="217" t="s">
        <v>1072</v>
      </c>
      <c r="O252" s="11" t="str">
        <f>IMAGE("https://cdn.shopify.com/s/files/1/0064/3412/7939/products/71vpWrfPgFL._SL1000_9c7ae600-0e17-44f0-97b0-7a8fa32a55cc_2048x.jpg?v=1540199513",1)</f>
        <v/>
      </c>
      <c r="P252" s="231" t="s">
        <v>2101</v>
      </c>
    </row>
    <row r="253" ht="45.0" customHeight="1">
      <c r="A253" s="11">
        <v>254.0</v>
      </c>
      <c r="B253" s="221" t="s">
        <v>15</v>
      </c>
      <c r="C253" s="11" t="s">
        <v>1074</v>
      </c>
      <c r="D253" s="93" t="s">
        <v>1075</v>
      </c>
      <c r="E253" s="215" t="s">
        <v>1032</v>
      </c>
      <c r="F253" s="216">
        <v>4.0</v>
      </c>
      <c r="G253" s="216">
        <v>4.0</v>
      </c>
      <c r="H253" s="216">
        <v>500.0</v>
      </c>
      <c r="I253" s="11">
        <f t="shared" si="4"/>
        <v>2000</v>
      </c>
      <c r="J253" s="11" t="s">
        <v>347</v>
      </c>
      <c r="K253" s="93"/>
      <c r="L253" s="93"/>
      <c r="M253" s="215" t="s">
        <v>1032</v>
      </c>
      <c r="N253" s="217" t="s">
        <v>284</v>
      </c>
      <c r="O253" s="11" t="str">
        <f>IMAGE("https://cdn.shopify.com/s/files/1/0088/0056/7392/products/71GahpQFYhL._SL1500_1024x.jpg?v=1634034762",1)</f>
        <v/>
      </c>
      <c r="P253" s="11" t="s">
        <v>2102</v>
      </c>
    </row>
    <row r="254" ht="45.0" customHeight="1">
      <c r="A254" s="11">
        <v>255.0</v>
      </c>
      <c r="B254" s="221" t="s">
        <v>15</v>
      </c>
      <c r="C254" s="11" t="s">
        <v>1077</v>
      </c>
      <c r="D254" s="93" t="s">
        <v>1078</v>
      </c>
      <c r="E254" s="215" t="s">
        <v>1032</v>
      </c>
      <c r="F254" s="216">
        <v>50.0</v>
      </c>
      <c r="G254" s="216">
        <v>50.0</v>
      </c>
      <c r="H254" s="216">
        <v>8.0</v>
      </c>
      <c r="I254" s="11">
        <f t="shared" si="4"/>
        <v>400</v>
      </c>
      <c r="J254" s="11" t="s">
        <v>347</v>
      </c>
      <c r="K254" s="93" t="s">
        <v>47</v>
      </c>
      <c r="L254" s="93" t="s">
        <v>1594</v>
      </c>
      <c r="M254" s="93" t="s">
        <v>23</v>
      </c>
      <c r="N254" s="217" t="s">
        <v>1079</v>
      </c>
      <c r="O254" s="11" t="str">
        <f>IMAGE("https://m.media-amazon.com/images/I/51OTKanSUXL._SL1024_.jpg",1)</f>
        <v/>
      </c>
      <c r="P254" s="11" t="s">
        <v>2103</v>
      </c>
    </row>
    <row r="255" ht="45.0" customHeight="1">
      <c r="A255" s="11">
        <v>256.0</v>
      </c>
      <c r="B255" s="221" t="s">
        <v>173</v>
      </c>
      <c r="C255" s="11" t="s">
        <v>1081</v>
      </c>
      <c r="D255" s="93" t="s">
        <v>1082</v>
      </c>
      <c r="E255" s="215" t="s">
        <v>1032</v>
      </c>
      <c r="F255" s="216">
        <v>1.0</v>
      </c>
      <c r="G255" s="216">
        <v>1.0</v>
      </c>
      <c r="H255" s="216">
        <v>200.0</v>
      </c>
      <c r="I255" s="11">
        <f t="shared" si="4"/>
        <v>200</v>
      </c>
      <c r="J255" s="11" t="s">
        <v>347</v>
      </c>
      <c r="K255" s="93"/>
      <c r="L255" s="93" t="s">
        <v>2002</v>
      </c>
      <c r="M255" s="215" t="s">
        <v>1032</v>
      </c>
      <c r="N255" s="217" t="s">
        <v>1083</v>
      </c>
      <c r="O255" s="11" t="str">
        <f>IMAGE("https://m.media-amazon.com/images/I/41XSpNsGoiL._SL1024_.jpg",1)</f>
        <v/>
      </c>
      <c r="P255" s="11" t="s">
        <v>2104</v>
      </c>
    </row>
    <row r="256" ht="45.0" customHeight="1">
      <c r="A256" s="11">
        <v>257.0</v>
      </c>
      <c r="B256" s="11" t="s">
        <v>342</v>
      </c>
      <c r="C256" s="11" t="s">
        <v>1085</v>
      </c>
      <c r="D256" s="93" t="s">
        <v>1086</v>
      </c>
      <c r="E256" s="215" t="s">
        <v>1032</v>
      </c>
      <c r="F256" s="216">
        <v>2.0</v>
      </c>
      <c r="G256" s="216">
        <v>2.0</v>
      </c>
      <c r="H256" s="216">
        <v>100.0</v>
      </c>
      <c r="I256" s="11">
        <f t="shared" si="4"/>
        <v>200</v>
      </c>
      <c r="J256" s="11" t="s">
        <v>347</v>
      </c>
      <c r="K256" s="93"/>
      <c r="L256" s="93"/>
      <c r="M256" s="93" t="s">
        <v>1964</v>
      </c>
      <c r="N256" s="217" t="s">
        <v>1087</v>
      </c>
      <c r="O256" s="11" t="str">
        <f>IMAGE("https://m.media-amazon.com/images/I/513ZkVzGbdL._AC_.jpg", 1)</f>
        <v/>
      </c>
      <c r="P256" s="11" t="s">
        <v>2050</v>
      </c>
    </row>
    <row r="257" ht="45.0" customHeight="1">
      <c r="A257" s="11">
        <v>258.0</v>
      </c>
      <c r="B257" s="11" t="s">
        <v>342</v>
      </c>
      <c r="C257" s="11" t="s">
        <v>1089</v>
      </c>
      <c r="D257" s="93" t="s">
        <v>1090</v>
      </c>
      <c r="E257" s="215" t="s">
        <v>1032</v>
      </c>
      <c r="F257" s="216">
        <v>1.0</v>
      </c>
      <c r="G257" s="216">
        <v>2.0</v>
      </c>
      <c r="H257" s="216">
        <v>200.0</v>
      </c>
      <c r="I257" s="11">
        <f t="shared" si="4"/>
        <v>400</v>
      </c>
      <c r="J257" s="11" t="s">
        <v>347</v>
      </c>
      <c r="K257" s="93"/>
      <c r="L257" s="93"/>
      <c r="M257" s="93" t="s">
        <v>1964</v>
      </c>
      <c r="N257" s="217" t="s">
        <v>1091</v>
      </c>
      <c r="O257" s="11" t="str">
        <f>IMAGE("https://m.media-amazon.com/images/I/41V47za3aNL.jpg",1)</f>
        <v/>
      </c>
      <c r="P257" s="11" t="s">
        <v>2050</v>
      </c>
    </row>
    <row r="258" ht="45.0" customHeight="1">
      <c r="A258" s="11">
        <v>259.0</v>
      </c>
      <c r="B258" s="11" t="s">
        <v>342</v>
      </c>
      <c r="C258" s="11" t="s">
        <v>1093</v>
      </c>
      <c r="D258" s="93" t="s">
        <v>1094</v>
      </c>
      <c r="E258" s="215" t="s">
        <v>1032</v>
      </c>
      <c r="F258" s="216" t="s">
        <v>56</v>
      </c>
      <c r="G258" s="216">
        <v>2.0</v>
      </c>
      <c r="H258" s="216">
        <v>350.0</v>
      </c>
      <c r="I258" s="11">
        <f t="shared" si="4"/>
        <v>700</v>
      </c>
      <c r="J258" s="11" t="s">
        <v>347</v>
      </c>
      <c r="K258" s="93"/>
      <c r="L258" s="93"/>
      <c r="M258" s="215" t="s">
        <v>1032</v>
      </c>
      <c r="N258" s="217" t="s">
        <v>1095</v>
      </c>
      <c r="O258" s="11" t="str">
        <f>IMAGE("https://m.media-amazon.com/images/I/41pgJCdOd0L._AC_SX522_.jpg", 1)</f>
        <v/>
      </c>
      <c r="P258" s="11" t="s">
        <v>2050</v>
      </c>
    </row>
    <row r="259" ht="45.0" customHeight="1">
      <c r="A259" s="11">
        <v>260.0</v>
      </c>
      <c r="B259" s="11" t="s">
        <v>342</v>
      </c>
      <c r="C259" s="11" t="s">
        <v>1097</v>
      </c>
      <c r="D259" s="93" t="s">
        <v>1098</v>
      </c>
      <c r="E259" s="215" t="s">
        <v>1032</v>
      </c>
      <c r="F259" s="216">
        <v>25.0</v>
      </c>
      <c r="G259" s="216">
        <v>25.0</v>
      </c>
      <c r="H259" s="216">
        <v>20.0</v>
      </c>
      <c r="I259" s="11">
        <f t="shared" si="4"/>
        <v>500</v>
      </c>
      <c r="J259" s="11" t="s">
        <v>347</v>
      </c>
      <c r="K259" s="93"/>
      <c r="L259" s="93" t="s">
        <v>2105</v>
      </c>
      <c r="M259" s="215" t="s">
        <v>1032</v>
      </c>
      <c r="N259" s="217" t="s">
        <v>481</v>
      </c>
      <c r="O259" s="11" t="str">
        <f>IMAGE("https://5.imimg.com/data5/UF/DF/MY-45635244/sand-paper-500x500.jpg",1)</f>
        <v/>
      </c>
      <c r="P259" s="11" t="s">
        <v>2051</v>
      </c>
    </row>
    <row r="260" ht="45.0" customHeight="1">
      <c r="A260" s="11">
        <v>261.0</v>
      </c>
      <c r="B260" s="11" t="s">
        <v>342</v>
      </c>
      <c r="C260" s="11" t="s">
        <v>1100</v>
      </c>
      <c r="D260" s="93" t="s">
        <v>1101</v>
      </c>
      <c r="E260" s="215" t="s">
        <v>1032</v>
      </c>
      <c r="F260" s="216" t="s">
        <v>56</v>
      </c>
      <c r="G260" s="216" t="s">
        <v>56</v>
      </c>
      <c r="H260" s="216" t="s">
        <v>56</v>
      </c>
      <c r="I260" s="216" t="s">
        <v>56</v>
      </c>
      <c r="J260" s="11" t="s">
        <v>347</v>
      </c>
      <c r="K260" s="93"/>
      <c r="L260" s="93"/>
      <c r="M260" s="215" t="s">
        <v>1032</v>
      </c>
      <c r="N260" s="216" t="s">
        <v>56</v>
      </c>
      <c r="O260" s="218" t="e">
        <v>#VALUE!</v>
      </c>
      <c r="P260" s="11" t="s">
        <v>2050</v>
      </c>
    </row>
    <row r="261" ht="45.0" customHeight="1">
      <c r="A261" s="11">
        <v>262.0</v>
      </c>
      <c r="B261" s="11" t="s">
        <v>342</v>
      </c>
      <c r="C261" s="11" t="s">
        <v>1103</v>
      </c>
      <c r="D261" s="93" t="s">
        <v>1104</v>
      </c>
      <c r="E261" s="215" t="s">
        <v>1032</v>
      </c>
      <c r="F261" s="216" t="s">
        <v>56</v>
      </c>
      <c r="G261" s="216" t="s">
        <v>56</v>
      </c>
      <c r="H261" s="216" t="s">
        <v>56</v>
      </c>
      <c r="I261" s="216" t="s">
        <v>56</v>
      </c>
      <c r="J261" s="11" t="s">
        <v>347</v>
      </c>
      <c r="K261" s="93"/>
      <c r="L261" s="93"/>
      <c r="M261" s="215" t="s">
        <v>1032</v>
      </c>
      <c r="N261" s="216" t="s">
        <v>56</v>
      </c>
      <c r="O261" s="218" t="e">
        <v>#VALUE!</v>
      </c>
      <c r="P261" s="11" t="s">
        <v>2050</v>
      </c>
    </row>
    <row r="262" ht="45.0" customHeight="1">
      <c r="A262" s="11">
        <v>263.0</v>
      </c>
      <c r="B262" s="11" t="s">
        <v>342</v>
      </c>
      <c r="C262" s="11" t="s">
        <v>1106</v>
      </c>
      <c r="D262" s="107" t="s">
        <v>1107</v>
      </c>
      <c r="E262" s="215" t="s">
        <v>1032</v>
      </c>
      <c r="F262" s="216" t="s">
        <v>56</v>
      </c>
      <c r="G262" s="216" t="s">
        <v>56</v>
      </c>
      <c r="H262" s="216" t="s">
        <v>56</v>
      </c>
      <c r="I262" s="216" t="s">
        <v>56</v>
      </c>
      <c r="J262" s="11" t="s">
        <v>347</v>
      </c>
      <c r="K262" s="93"/>
      <c r="L262" s="93"/>
      <c r="M262" s="215" t="s">
        <v>1032</v>
      </c>
      <c r="N262" s="216" t="s">
        <v>56</v>
      </c>
      <c r="O262" s="218" t="e">
        <v>#VALUE!</v>
      </c>
      <c r="P262" s="11" t="s">
        <v>2050</v>
      </c>
    </row>
    <row r="263" ht="45.0" customHeight="1">
      <c r="A263" s="11">
        <v>264.0</v>
      </c>
      <c r="B263" s="11" t="s">
        <v>342</v>
      </c>
      <c r="C263" s="11" t="s">
        <v>1109</v>
      </c>
      <c r="D263" s="107" t="s">
        <v>1110</v>
      </c>
      <c r="E263" s="215" t="s">
        <v>1032</v>
      </c>
      <c r="F263" s="216" t="s">
        <v>56</v>
      </c>
      <c r="G263" s="216" t="s">
        <v>56</v>
      </c>
      <c r="H263" s="216" t="s">
        <v>56</v>
      </c>
      <c r="I263" s="216" t="s">
        <v>56</v>
      </c>
      <c r="J263" s="11" t="s">
        <v>347</v>
      </c>
      <c r="K263" s="93"/>
      <c r="L263" s="93"/>
      <c r="M263" s="215" t="s">
        <v>1032</v>
      </c>
      <c r="N263" s="217" t="s">
        <v>1111</v>
      </c>
      <c r="O263" s="216" t="e">
        <v>#VALUE!</v>
      </c>
      <c r="P263" s="11" t="s">
        <v>2050</v>
      </c>
    </row>
    <row r="264" ht="45.0" customHeight="1">
      <c r="A264" s="11">
        <v>265.0</v>
      </c>
      <c r="B264" s="11" t="s">
        <v>342</v>
      </c>
      <c r="C264" s="11" t="s">
        <v>1113</v>
      </c>
      <c r="D264" s="93" t="s">
        <v>1114</v>
      </c>
      <c r="E264" s="215" t="s">
        <v>1032</v>
      </c>
      <c r="F264" s="216" t="s">
        <v>56</v>
      </c>
      <c r="G264" s="216" t="s">
        <v>56</v>
      </c>
      <c r="H264" s="216" t="s">
        <v>56</v>
      </c>
      <c r="I264" s="216" t="s">
        <v>56</v>
      </c>
      <c r="J264" s="11" t="s">
        <v>347</v>
      </c>
      <c r="K264" s="93"/>
      <c r="L264" s="93"/>
      <c r="M264" s="215" t="s">
        <v>1032</v>
      </c>
      <c r="N264" s="216" t="s">
        <v>56</v>
      </c>
      <c r="O264" s="216" t="e">
        <v>#VALUE!</v>
      </c>
      <c r="P264" s="11" t="s">
        <v>2050</v>
      </c>
    </row>
    <row r="265" ht="45.0" customHeight="1">
      <c r="A265" s="11">
        <v>266.0</v>
      </c>
      <c r="B265" s="11" t="s">
        <v>342</v>
      </c>
      <c r="C265" s="11" t="s">
        <v>1116</v>
      </c>
      <c r="D265" s="93" t="s">
        <v>1117</v>
      </c>
      <c r="E265" s="215" t="s">
        <v>1032</v>
      </c>
      <c r="F265" s="216" t="s">
        <v>56</v>
      </c>
      <c r="G265" s="216" t="s">
        <v>56</v>
      </c>
      <c r="H265" s="216" t="s">
        <v>56</v>
      </c>
      <c r="I265" s="216" t="s">
        <v>56</v>
      </c>
      <c r="J265" s="11" t="s">
        <v>347</v>
      </c>
      <c r="K265" s="93"/>
      <c r="L265" s="93"/>
      <c r="M265" s="215" t="s">
        <v>1032</v>
      </c>
      <c r="N265" s="217" t="s">
        <v>1118</v>
      </c>
      <c r="O265" s="216" t="e">
        <v>#VALUE!</v>
      </c>
      <c r="P265" s="11" t="s">
        <v>2050</v>
      </c>
    </row>
    <row r="266" ht="45.0" customHeight="1">
      <c r="A266" s="11">
        <v>267.0</v>
      </c>
      <c r="B266" s="11" t="s">
        <v>342</v>
      </c>
      <c r="C266" s="11" t="s">
        <v>1120</v>
      </c>
      <c r="D266" s="93" t="s">
        <v>1121</v>
      </c>
      <c r="E266" s="215" t="s">
        <v>1032</v>
      </c>
      <c r="F266" s="216">
        <v>1.0</v>
      </c>
      <c r="G266" s="216">
        <v>1.0</v>
      </c>
      <c r="H266" s="216">
        <v>300.0</v>
      </c>
      <c r="I266" s="11">
        <f t="shared" ref="I266:I347" si="14">H266*G266</f>
        <v>300</v>
      </c>
      <c r="J266" s="11" t="s">
        <v>347</v>
      </c>
      <c r="K266" s="93"/>
      <c r="L266" s="93"/>
      <c r="M266" s="215" t="s">
        <v>1032</v>
      </c>
      <c r="N266" s="217" t="s">
        <v>1122</v>
      </c>
      <c r="O266" s="11" t="str">
        <f>IMAGE("https://5.imimg.com/data5/DH/NE/PV/SELLER-4135781/6-pc-precision-screwdriver-set-500x500.jpg",1)</f>
        <v/>
      </c>
      <c r="P266" s="11" t="s">
        <v>2050</v>
      </c>
    </row>
    <row r="267" ht="45.0" customHeight="1">
      <c r="A267" s="11">
        <v>268.0</v>
      </c>
      <c r="B267" s="222" t="s">
        <v>342</v>
      </c>
      <c r="C267" s="11" t="s">
        <v>1124</v>
      </c>
      <c r="D267" s="93" t="s">
        <v>1125</v>
      </c>
      <c r="E267" s="215" t="s">
        <v>1032</v>
      </c>
      <c r="F267" s="216">
        <v>1.0</v>
      </c>
      <c r="G267" s="216">
        <v>1.0</v>
      </c>
      <c r="H267" s="216">
        <v>100.0</v>
      </c>
      <c r="I267" s="11">
        <f t="shared" si="14"/>
        <v>100</v>
      </c>
      <c r="J267" s="11" t="s">
        <v>466</v>
      </c>
      <c r="K267" s="93"/>
      <c r="L267" s="93"/>
      <c r="M267" s="215" t="s">
        <v>1032</v>
      </c>
      <c r="N267" s="217"/>
      <c r="O267" s="253" t="str">
        <f>IMAGE("https://cdn.shopify.com/s/files/1/0276/7382/1286/products/57_1a2e82a1-0306-49dc-8a29-0c0b2110ddb8_600x.jpg?v=1632245164",1)</f>
        <v/>
      </c>
      <c r="P267" s="222" t="s">
        <v>2106</v>
      </c>
    </row>
    <row r="268" ht="45.0" customHeight="1">
      <c r="A268" s="11">
        <v>269.0</v>
      </c>
      <c r="B268" s="11" t="s">
        <v>342</v>
      </c>
      <c r="C268" s="11" t="s">
        <v>1127</v>
      </c>
      <c r="D268" s="93" t="s">
        <v>1128</v>
      </c>
      <c r="E268" s="215" t="s">
        <v>1032</v>
      </c>
      <c r="F268" s="216">
        <v>1.0</v>
      </c>
      <c r="G268" s="216">
        <v>1.0</v>
      </c>
      <c r="H268" s="216">
        <v>200.0</v>
      </c>
      <c r="I268" s="11">
        <f t="shared" si="14"/>
        <v>200</v>
      </c>
      <c r="J268" s="11" t="s">
        <v>347</v>
      </c>
      <c r="K268" s="93"/>
      <c r="L268" s="93"/>
      <c r="M268" s="93" t="s">
        <v>23</v>
      </c>
      <c r="N268" s="217" t="s">
        <v>1129</v>
      </c>
      <c r="O268" s="12" t="str">
        <f>IMAGE("https://cdn.bmstores.co.uk/images/hpcProductImage/imgFull/369783-stanley-sealant-gun-diy.jpg",1)</f>
        <v/>
      </c>
      <c r="P268" s="11" t="s">
        <v>2050</v>
      </c>
    </row>
    <row r="269" ht="45.0" customHeight="1">
      <c r="A269" s="11">
        <v>270.0</v>
      </c>
      <c r="B269" s="231" t="s">
        <v>15</v>
      </c>
      <c r="C269" s="11" t="s">
        <v>1131</v>
      </c>
      <c r="D269" s="93" t="s">
        <v>1132</v>
      </c>
      <c r="E269" s="215" t="s">
        <v>1032</v>
      </c>
      <c r="F269" s="216">
        <v>1.0</v>
      </c>
      <c r="G269" s="216">
        <v>1.0</v>
      </c>
      <c r="H269" s="216">
        <v>300.0</v>
      </c>
      <c r="I269" s="11">
        <f t="shared" si="14"/>
        <v>300</v>
      </c>
      <c r="J269" s="11" t="s">
        <v>347</v>
      </c>
      <c r="K269" s="93"/>
      <c r="L269" s="93"/>
      <c r="M269" s="93" t="s">
        <v>23</v>
      </c>
      <c r="N269" s="217" t="s">
        <v>1133</v>
      </c>
      <c r="O269" s="11" t="str">
        <f>IMAGE("https://5.imimg.com/data5/SELLER/Default/2020/12/RU/ZP/SZ/45671901/alstone-silicone-sealant-500x500.jpeg",1)</f>
        <v/>
      </c>
      <c r="P269" s="231" t="s">
        <v>2107</v>
      </c>
    </row>
    <row r="270" ht="45.0" customHeight="1">
      <c r="A270" s="11">
        <v>271.0</v>
      </c>
      <c r="B270" s="11" t="s">
        <v>342</v>
      </c>
      <c r="C270" s="11" t="s">
        <v>1135</v>
      </c>
      <c r="D270" s="93" t="s">
        <v>1136</v>
      </c>
      <c r="E270" s="215" t="s">
        <v>1032</v>
      </c>
      <c r="F270" s="216">
        <v>1.0</v>
      </c>
      <c r="G270" s="216">
        <v>1.0</v>
      </c>
      <c r="H270" s="216">
        <v>180.0</v>
      </c>
      <c r="I270" s="11">
        <f t="shared" si="14"/>
        <v>180</v>
      </c>
      <c r="J270" s="11" t="s">
        <v>347</v>
      </c>
      <c r="K270" s="93"/>
      <c r="L270" s="93"/>
      <c r="M270" s="215" t="s">
        <v>1032</v>
      </c>
      <c r="N270" s="238" t="s">
        <v>1137</v>
      </c>
      <c r="O270" s="11" t="str">
        <f>IMAGE("https://ravimachines.com/wp-content/uploads/2016/07/full_13.jpg",1)</f>
        <v/>
      </c>
      <c r="P270" s="11" t="s">
        <v>2050</v>
      </c>
    </row>
    <row r="271" ht="45.0" customHeight="1">
      <c r="A271" s="11">
        <v>272.0</v>
      </c>
      <c r="B271" s="221" t="s">
        <v>15</v>
      </c>
      <c r="C271" s="11" t="s">
        <v>1139</v>
      </c>
      <c r="D271" s="217" t="s">
        <v>1140</v>
      </c>
      <c r="E271" s="215" t="s">
        <v>1032</v>
      </c>
      <c r="F271" s="11">
        <v>10.0</v>
      </c>
      <c r="G271" s="11">
        <v>10.0</v>
      </c>
      <c r="H271" s="11">
        <v>100.0</v>
      </c>
      <c r="I271" s="11">
        <f t="shared" si="14"/>
        <v>1000</v>
      </c>
      <c r="J271" s="11" t="s">
        <v>347</v>
      </c>
      <c r="K271" s="93"/>
      <c r="L271" s="93" t="s">
        <v>1594</v>
      </c>
      <c r="M271" s="215" t="s">
        <v>1032</v>
      </c>
      <c r="N271" s="217" t="s">
        <v>1141</v>
      </c>
      <c r="O271" s="11" t="str">
        <f>IMAGE("https://m.media-amazon.com/images/I/61O+7azby+L.jpg",1)</f>
        <v/>
      </c>
      <c r="P271" s="11" t="s">
        <v>2058</v>
      </c>
    </row>
    <row r="272" ht="45.0" customHeight="1">
      <c r="A272" s="11">
        <v>273.0</v>
      </c>
      <c r="B272" s="254" t="s">
        <v>342</v>
      </c>
      <c r="C272" s="11" t="s">
        <v>1143</v>
      </c>
      <c r="D272" s="93" t="s">
        <v>1144</v>
      </c>
      <c r="E272" s="215" t="s">
        <v>1032</v>
      </c>
      <c r="F272" s="216">
        <v>1.0</v>
      </c>
      <c r="G272" s="216">
        <v>1.0</v>
      </c>
      <c r="H272" s="216">
        <v>1500.0</v>
      </c>
      <c r="I272" s="11">
        <f t="shared" si="14"/>
        <v>1500</v>
      </c>
      <c r="J272" s="11" t="s">
        <v>347</v>
      </c>
      <c r="K272" s="93"/>
      <c r="L272" s="93"/>
      <c r="M272" s="215" t="s">
        <v>1032</v>
      </c>
      <c r="N272" s="217" t="s">
        <v>1145</v>
      </c>
      <c r="O272" s="11" t="str">
        <f>IMAGE("https://5.imimg.com/data5/SELLER/Default/2021/4/UH/ZY/EE/41301440/machine.jpeg",1)</f>
        <v/>
      </c>
      <c r="P272" s="11" t="s">
        <v>2050</v>
      </c>
    </row>
    <row r="273" ht="45.0" customHeight="1">
      <c r="A273" s="11">
        <v>274.0</v>
      </c>
      <c r="B273" s="11" t="s">
        <v>342</v>
      </c>
      <c r="C273" s="11" t="s">
        <v>1147</v>
      </c>
      <c r="D273" s="93" t="s">
        <v>1148</v>
      </c>
      <c r="E273" s="215" t="s">
        <v>1032</v>
      </c>
      <c r="F273" s="216">
        <v>2.0</v>
      </c>
      <c r="G273" s="216">
        <v>2.0</v>
      </c>
      <c r="H273" s="216">
        <v>250.0</v>
      </c>
      <c r="I273" s="11">
        <f t="shared" si="14"/>
        <v>500</v>
      </c>
      <c r="J273" s="11" t="s">
        <v>347</v>
      </c>
      <c r="K273" s="93"/>
      <c r="L273" s="93"/>
      <c r="M273" s="215" t="s">
        <v>1032</v>
      </c>
      <c r="N273" s="217"/>
      <c r="O273" s="11"/>
      <c r="P273" s="11" t="s">
        <v>2108</v>
      </c>
    </row>
    <row r="274" ht="45.0" customHeight="1">
      <c r="A274" s="11">
        <v>275.0</v>
      </c>
      <c r="B274" s="11" t="s">
        <v>342</v>
      </c>
      <c r="C274" s="11" t="s">
        <v>1150</v>
      </c>
      <c r="D274" s="93" t="s">
        <v>1151</v>
      </c>
      <c r="E274" s="215" t="s">
        <v>1032</v>
      </c>
      <c r="F274" s="216">
        <v>10.0</v>
      </c>
      <c r="G274" s="216">
        <v>10.0</v>
      </c>
      <c r="H274" s="216">
        <v>100.0</v>
      </c>
      <c r="I274" s="11">
        <f t="shared" si="14"/>
        <v>1000</v>
      </c>
      <c r="J274" s="11" t="s">
        <v>347</v>
      </c>
      <c r="K274" s="93" t="s">
        <v>21</v>
      </c>
      <c r="L274" s="93" t="s">
        <v>2002</v>
      </c>
      <c r="M274" s="215" t="s">
        <v>1032</v>
      </c>
      <c r="N274" s="217"/>
      <c r="O274" s="11" t="str">
        <f>IMAGE("https://5.imimg.com/data5/SELLER/Default/2020/10/KC/AV/BY/25174136/150b-cutter-stripper-250x250.jpg",1)</f>
        <v/>
      </c>
      <c r="P274" s="11" t="s">
        <v>2109</v>
      </c>
    </row>
    <row r="275" ht="45.0" customHeight="1">
      <c r="A275" s="11">
        <v>276.0</v>
      </c>
      <c r="B275" s="11" t="s">
        <v>1152</v>
      </c>
      <c r="C275" s="11" t="s">
        <v>1154</v>
      </c>
      <c r="D275" s="93" t="s">
        <v>2110</v>
      </c>
      <c r="E275" s="215" t="s">
        <v>1156</v>
      </c>
      <c r="F275" s="216">
        <v>10.0</v>
      </c>
      <c r="G275" s="216">
        <v>10.0</v>
      </c>
      <c r="H275" s="216">
        <v>100.0</v>
      </c>
      <c r="I275" s="11">
        <f t="shared" si="14"/>
        <v>1000</v>
      </c>
      <c r="J275" s="11" t="s">
        <v>1157</v>
      </c>
      <c r="K275" s="93"/>
      <c r="L275" s="93"/>
      <c r="M275" s="93" t="s">
        <v>1968</v>
      </c>
      <c r="N275" s="217"/>
      <c r="O275" s="11" t="str">
        <f>IMAGE("https://5.imimg.com/data5/SB/TW/SA/SELLER-91497159/glass-beaker-500x500.jpg",1)</f>
        <v/>
      </c>
      <c r="P275" s="221" t="s">
        <v>2111</v>
      </c>
    </row>
    <row r="276" ht="45.0" customHeight="1">
      <c r="A276" s="11">
        <v>277.0</v>
      </c>
      <c r="B276" s="11" t="s">
        <v>1152</v>
      </c>
      <c r="C276" s="11" t="s">
        <v>1159</v>
      </c>
      <c r="D276" s="93" t="s">
        <v>1160</v>
      </c>
      <c r="E276" s="215" t="s">
        <v>1156</v>
      </c>
      <c r="F276" s="11">
        <v>5.0</v>
      </c>
      <c r="G276" s="11">
        <v>5.0</v>
      </c>
      <c r="H276" s="11">
        <v>300.0</v>
      </c>
      <c r="I276" s="11">
        <f t="shared" si="14"/>
        <v>1500</v>
      </c>
      <c r="J276" s="11" t="s">
        <v>1157</v>
      </c>
      <c r="K276" s="93"/>
      <c r="L276" s="93"/>
      <c r="M276" s="93" t="s">
        <v>1968</v>
      </c>
      <c r="N276" s="223" t="s">
        <v>1161</v>
      </c>
      <c r="O276" s="11" t="str">
        <f>IMAGE("https://m.media-amazon.com/images/I/41vGxqzVasL.jpg",1)</f>
        <v/>
      </c>
      <c r="P276" s="221" t="s">
        <v>2111</v>
      </c>
    </row>
    <row r="277" ht="45.0" customHeight="1">
      <c r="A277" s="11">
        <v>278.0</v>
      </c>
      <c r="B277" s="11" t="s">
        <v>1152</v>
      </c>
      <c r="C277" s="11" t="s">
        <v>1163</v>
      </c>
      <c r="D277" s="93" t="s">
        <v>1164</v>
      </c>
      <c r="E277" s="215" t="s">
        <v>1156</v>
      </c>
      <c r="F277" s="216">
        <v>10.0</v>
      </c>
      <c r="G277" s="216">
        <v>8.0</v>
      </c>
      <c r="H277" s="216">
        <v>100.0</v>
      </c>
      <c r="I277" s="11">
        <f t="shared" si="14"/>
        <v>800</v>
      </c>
      <c r="J277" s="11" t="s">
        <v>1157</v>
      </c>
      <c r="K277" s="93"/>
      <c r="L277" s="93"/>
      <c r="M277" s="93" t="s">
        <v>1968</v>
      </c>
      <c r="N277" s="217" t="s">
        <v>1165</v>
      </c>
      <c r="O277" s="11" t="str">
        <f>IMAGE("https://m.media-amazon.com/images/I/31b1KCUwqyL.jpg", 1)</f>
        <v/>
      </c>
      <c r="P277" s="221" t="s">
        <v>2111</v>
      </c>
    </row>
    <row r="278" ht="45.0" customHeight="1">
      <c r="A278" s="11">
        <v>279.0</v>
      </c>
      <c r="B278" s="11" t="s">
        <v>1152</v>
      </c>
      <c r="C278" s="11" t="s">
        <v>1167</v>
      </c>
      <c r="D278" s="93" t="s">
        <v>1168</v>
      </c>
      <c r="E278" s="215" t="s">
        <v>1156</v>
      </c>
      <c r="F278" s="11">
        <v>2.0</v>
      </c>
      <c r="G278" s="11">
        <v>2.0</v>
      </c>
      <c r="H278" s="11">
        <v>200.0</v>
      </c>
      <c r="I278" s="11">
        <f t="shared" si="14"/>
        <v>400</v>
      </c>
      <c r="J278" s="11" t="s">
        <v>1157</v>
      </c>
      <c r="K278" s="93" t="s">
        <v>77</v>
      </c>
      <c r="L278" s="93"/>
      <c r="M278" s="93" t="s">
        <v>1969</v>
      </c>
      <c r="N278" s="217" t="s">
        <v>1169</v>
      </c>
      <c r="O278" s="11" t="str">
        <f>IMAGE("https://m.media-amazon.com/images/W/MEDIAX_792452-T2/images/I/71veIL4opPL.jpg",1)</f>
        <v/>
      </c>
      <c r="P278" s="11" t="s">
        <v>2112</v>
      </c>
    </row>
    <row r="279" ht="45.0" customHeight="1">
      <c r="A279" s="11">
        <v>280.0</v>
      </c>
      <c r="B279" s="11" t="s">
        <v>1152</v>
      </c>
      <c r="C279" s="11" t="s">
        <v>1171</v>
      </c>
      <c r="D279" s="93" t="s">
        <v>1172</v>
      </c>
      <c r="E279" s="215" t="s">
        <v>1156</v>
      </c>
      <c r="F279" s="255">
        <v>1.0</v>
      </c>
      <c r="G279" s="255">
        <v>1.0</v>
      </c>
      <c r="H279" s="255">
        <v>200.0</v>
      </c>
      <c r="I279" s="11">
        <f t="shared" si="14"/>
        <v>200</v>
      </c>
      <c r="J279" s="11" t="s">
        <v>1157</v>
      </c>
      <c r="K279" s="93" t="s">
        <v>77</v>
      </c>
      <c r="L279" s="93" t="s">
        <v>1902</v>
      </c>
      <c r="M279" s="215" t="s">
        <v>111</v>
      </c>
      <c r="N279" s="217" t="s">
        <v>1173</v>
      </c>
      <c r="O279" s="11" t="str">
        <f>IMAGE("https://www.sigmaaldrich.com/deepweb/content/dam/sigma-aldrich/product2/017/wha2200110.tif/_jcr_content/renditions/wha2200110-large.jpg", 1)</f>
        <v/>
      </c>
      <c r="P279" s="11" t="s">
        <v>2113</v>
      </c>
    </row>
    <row r="280" ht="45.0" customHeight="1">
      <c r="A280" s="11">
        <v>281.0</v>
      </c>
      <c r="B280" s="11" t="s">
        <v>1152</v>
      </c>
      <c r="C280" s="11" t="s">
        <v>1175</v>
      </c>
      <c r="D280" s="93" t="s">
        <v>1176</v>
      </c>
      <c r="E280" s="215" t="s">
        <v>1156</v>
      </c>
      <c r="F280" s="216">
        <v>1.0</v>
      </c>
      <c r="G280" s="216">
        <v>1.0</v>
      </c>
      <c r="H280" s="216">
        <v>150.0</v>
      </c>
      <c r="I280" s="11">
        <f t="shared" si="14"/>
        <v>150</v>
      </c>
      <c r="J280" s="11" t="s">
        <v>1157</v>
      </c>
      <c r="K280" s="93"/>
      <c r="L280" s="93" t="s">
        <v>2002</v>
      </c>
      <c r="M280" s="93" t="s">
        <v>1968</v>
      </c>
      <c r="N280" s="217" t="s">
        <v>1177</v>
      </c>
      <c r="O280" s="11" t="str">
        <f>IMAGE("https://m.media-amazon.com/images/I/A1PFWcAysAL.jpg", 1)</f>
        <v/>
      </c>
      <c r="P280" s="11" t="s">
        <v>2112</v>
      </c>
    </row>
    <row r="281" ht="45.0" customHeight="1">
      <c r="A281" s="11">
        <v>282.0</v>
      </c>
      <c r="B281" s="222" t="s">
        <v>1152</v>
      </c>
      <c r="C281" s="11" t="s">
        <v>1179</v>
      </c>
      <c r="D281" s="93" t="s">
        <v>1180</v>
      </c>
      <c r="E281" s="215" t="s">
        <v>1156</v>
      </c>
      <c r="F281" s="216">
        <v>20.0</v>
      </c>
      <c r="G281" s="216">
        <v>20.0</v>
      </c>
      <c r="H281" s="216">
        <v>100.0</v>
      </c>
      <c r="I281" s="11">
        <f t="shared" si="14"/>
        <v>2000</v>
      </c>
      <c r="J281" s="11" t="s">
        <v>1157</v>
      </c>
      <c r="K281" s="93"/>
      <c r="L281" s="93" t="s">
        <v>2012</v>
      </c>
      <c r="M281" s="93" t="s">
        <v>1970</v>
      </c>
      <c r="N281" s="217" t="s">
        <v>1181</v>
      </c>
      <c r="O281" s="11" t="str">
        <f>IMAGE("https://www.domo.in/image/cache/catalog/nHance/LNSS4201/Display-228x228.jpg")</f>
        <v/>
      </c>
      <c r="P281" s="222" t="s">
        <v>2114</v>
      </c>
    </row>
    <row r="282" ht="45.0" customHeight="1">
      <c r="A282" s="11">
        <v>283.0</v>
      </c>
      <c r="B282" s="11" t="s">
        <v>1152</v>
      </c>
      <c r="C282" s="11" t="s">
        <v>1183</v>
      </c>
      <c r="D282" s="93" t="s">
        <v>1184</v>
      </c>
      <c r="E282" s="215" t="s">
        <v>1156</v>
      </c>
      <c r="F282" s="11">
        <v>1.0</v>
      </c>
      <c r="G282" s="11">
        <v>1.0</v>
      </c>
      <c r="H282" s="11">
        <v>100.0</v>
      </c>
      <c r="I282" s="11">
        <f t="shared" si="14"/>
        <v>100</v>
      </c>
      <c r="J282" s="11" t="s">
        <v>1157</v>
      </c>
      <c r="K282" s="93"/>
      <c r="L282" s="93"/>
      <c r="M282" s="93" t="s">
        <v>1975</v>
      </c>
      <c r="N282" s="217" t="s">
        <v>1185</v>
      </c>
      <c r="O282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P282" s="11" t="s">
        <v>2115</v>
      </c>
    </row>
    <row r="283" ht="45.0" customHeight="1">
      <c r="A283" s="11">
        <v>284.0</v>
      </c>
      <c r="B283" s="11" t="s">
        <v>1152</v>
      </c>
      <c r="C283" s="11" t="s">
        <v>1187</v>
      </c>
      <c r="D283" s="93" t="s">
        <v>1188</v>
      </c>
      <c r="E283" s="215" t="s">
        <v>1156</v>
      </c>
      <c r="F283" s="216">
        <v>1.0</v>
      </c>
      <c r="G283" s="216">
        <v>1.0</v>
      </c>
      <c r="H283" s="216">
        <v>350.0</v>
      </c>
      <c r="I283" s="11">
        <f t="shared" si="14"/>
        <v>350</v>
      </c>
      <c r="J283" s="11" t="s">
        <v>1157</v>
      </c>
      <c r="K283" s="93"/>
      <c r="L283" s="93"/>
      <c r="M283" s="93" t="s">
        <v>1975</v>
      </c>
      <c r="N283" s="217" t="s">
        <v>1189</v>
      </c>
      <c r="O283" s="11" t="str">
        <f>IMAGE("https://m.media-amazon.com/images/I/61ra1C535pL._SL1500_.jpg", 1)</f>
        <v/>
      </c>
      <c r="P283" s="11" t="s">
        <v>2116</v>
      </c>
    </row>
    <row r="284" ht="45.0" customHeight="1">
      <c r="A284" s="11">
        <v>285.0</v>
      </c>
      <c r="B284" s="222" t="s">
        <v>1152</v>
      </c>
      <c r="C284" s="11" t="s">
        <v>1191</v>
      </c>
      <c r="D284" s="93" t="s">
        <v>1192</v>
      </c>
      <c r="E284" s="215" t="s">
        <v>1156</v>
      </c>
      <c r="F284" s="11">
        <v>1.0</v>
      </c>
      <c r="G284" s="11">
        <v>1.0</v>
      </c>
      <c r="H284" s="11">
        <v>1000.0</v>
      </c>
      <c r="I284" s="11">
        <f t="shared" si="14"/>
        <v>1000</v>
      </c>
      <c r="J284" s="11" t="s">
        <v>1157</v>
      </c>
      <c r="K284" s="93"/>
      <c r="L284" s="93"/>
      <c r="M284" s="93" t="s">
        <v>1971</v>
      </c>
      <c r="N284" s="217" t="s">
        <v>1193</v>
      </c>
      <c r="O284" s="11" t="str">
        <f>IMAGE("https://5.imimg.com/data5/SI/VL/MY-6819814/multi-volume-adjustable-micropipette.jpg",1)</f>
        <v/>
      </c>
      <c r="P284" s="222" t="s">
        <v>2117</v>
      </c>
    </row>
    <row r="285" ht="45.0" customHeight="1">
      <c r="A285" s="11">
        <v>286.0</v>
      </c>
      <c r="B285" s="11" t="s">
        <v>1152</v>
      </c>
      <c r="C285" s="11" t="s">
        <v>1195</v>
      </c>
      <c r="D285" s="93" t="s">
        <v>1196</v>
      </c>
      <c r="E285" s="215" t="s">
        <v>1156</v>
      </c>
      <c r="F285" s="216">
        <v>2.0</v>
      </c>
      <c r="G285" s="216">
        <v>1.0</v>
      </c>
      <c r="H285" s="216">
        <v>200.0</v>
      </c>
      <c r="I285" s="11">
        <f t="shared" si="14"/>
        <v>200</v>
      </c>
      <c r="J285" s="11" t="s">
        <v>1157</v>
      </c>
      <c r="K285" s="93"/>
      <c r="L285" s="93" t="s">
        <v>1895</v>
      </c>
      <c r="M285" s="93" t="s">
        <v>1971</v>
      </c>
      <c r="N285" s="217" t="s">
        <v>1198</v>
      </c>
      <c r="O285" s="11" t="str">
        <f>IMAGE("https://5.imimg.com/data5/SELLER/Default/2021/7/IF/DT/PV/116258883/microscope-cover-glass-250x250.JPG",1)</f>
        <v/>
      </c>
      <c r="P285" s="222" t="s">
        <v>2118</v>
      </c>
    </row>
    <row r="286" ht="45.0" customHeight="1">
      <c r="A286" s="11">
        <v>287.0</v>
      </c>
      <c r="B286" s="11" t="s">
        <v>1152</v>
      </c>
      <c r="C286" s="11" t="s">
        <v>1200</v>
      </c>
      <c r="D286" s="93" t="s">
        <v>1201</v>
      </c>
      <c r="E286" s="215" t="s">
        <v>1156</v>
      </c>
      <c r="F286" s="216">
        <v>2.0</v>
      </c>
      <c r="G286" s="216">
        <v>1.0</v>
      </c>
      <c r="H286" s="218">
        <v>100.0</v>
      </c>
      <c r="I286" s="11">
        <f t="shared" si="14"/>
        <v>100</v>
      </c>
      <c r="J286" s="11" t="s">
        <v>1157</v>
      </c>
      <c r="K286" s="93"/>
      <c r="L286" s="93" t="s">
        <v>1895</v>
      </c>
      <c r="M286" s="93" t="s">
        <v>1971</v>
      </c>
      <c r="N286" s="217" t="s">
        <v>1202</v>
      </c>
      <c r="O286" s="11" t="str">
        <f>IMAGE("https://5.imimg.com/data5/AZ/OD/EC/SELLER-20177713/laboratory-slides-500x500.jpg",1)</f>
        <v/>
      </c>
      <c r="P286" s="222" t="s">
        <v>2118</v>
      </c>
    </row>
    <row r="287" ht="45.0" customHeight="1">
      <c r="A287" s="11">
        <v>288.0</v>
      </c>
      <c r="B287" s="222" t="s">
        <v>1152</v>
      </c>
      <c r="C287" s="11" t="s">
        <v>1204</v>
      </c>
      <c r="D287" s="93" t="s">
        <v>1205</v>
      </c>
      <c r="E287" s="215" t="s">
        <v>1156</v>
      </c>
      <c r="F287" s="216">
        <v>30.0</v>
      </c>
      <c r="G287" s="216">
        <v>30.0</v>
      </c>
      <c r="H287" s="216">
        <v>15.0</v>
      </c>
      <c r="I287" s="11">
        <f t="shared" si="14"/>
        <v>450</v>
      </c>
      <c r="J287" s="11" t="s">
        <v>1157</v>
      </c>
      <c r="K287" s="93"/>
      <c r="L287" s="93" t="s">
        <v>2008</v>
      </c>
      <c r="M287" s="93" t="s">
        <v>1968</v>
      </c>
      <c r="N287" s="217" t="s">
        <v>1206</v>
      </c>
      <c r="O287" s="11" t="str">
        <f>IMAGE("https://www.abdoslifesciences.com/wp-content/uploads/Abdos_Delhi2-107_P10911-to-P10918-2.png",1)</f>
        <v/>
      </c>
      <c r="P287" s="222" t="s">
        <v>2119</v>
      </c>
    </row>
    <row r="288" ht="45.0" customHeight="1">
      <c r="A288" s="11">
        <v>289.0</v>
      </c>
      <c r="B288" s="11" t="s">
        <v>1152</v>
      </c>
      <c r="C288" s="11" t="s">
        <v>1208</v>
      </c>
      <c r="D288" s="93" t="s">
        <v>1209</v>
      </c>
      <c r="E288" s="215" t="s">
        <v>1156</v>
      </c>
      <c r="F288" s="11">
        <v>2.0</v>
      </c>
      <c r="G288" s="11">
        <v>2.0</v>
      </c>
      <c r="H288" s="11">
        <v>500.0</v>
      </c>
      <c r="I288" s="11">
        <f t="shared" si="14"/>
        <v>1000</v>
      </c>
      <c r="J288" s="11" t="s">
        <v>1157</v>
      </c>
      <c r="K288" s="93"/>
      <c r="L288" s="93"/>
      <c r="M288" s="93" t="s">
        <v>1968</v>
      </c>
      <c r="N288" s="217" t="s">
        <v>1210</v>
      </c>
      <c r="O288" s="11" t="str">
        <f>IMAGE("https://pim-resources.coleparmer.com/product/l/dwk-life-sciences-kimble-dwk-kimble-babcock-pipettes-14663.jpg",1)</f>
        <v/>
      </c>
      <c r="P288" s="11" t="s">
        <v>2117</v>
      </c>
    </row>
    <row r="289" ht="45.0" customHeight="1">
      <c r="A289" s="11">
        <v>290.0</v>
      </c>
      <c r="B289" s="11" t="s">
        <v>1152</v>
      </c>
      <c r="C289" s="11" t="s">
        <v>1212</v>
      </c>
      <c r="D289" s="93" t="s">
        <v>1213</v>
      </c>
      <c r="E289" s="215" t="s">
        <v>1156</v>
      </c>
      <c r="F289" s="216">
        <v>10.0</v>
      </c>
      <c r="G289" s="216">
        <v>10.0</v>
      </c>
      <c r="H289" s="216">
        <v>20.0</v>
      </c>
      <c r="I289" s="11">
        <f t="shared" si="14"/>
        <v>200</v>
      </c>
      <c r="J289" s="11" t="s">
        <v>1157</v>
      </c>
      <c r="K289" s="93"/>
      <c r="L289" s="93" t="s">
        <v>1902</v>
      </c>
      <c r="M289" s="93" t="s">
        <v>1969</v>
      </c>
      <c r="N289" s="217" t="s">
        <v>1214</v>
      </c>
      <c r="O289" s="11" t="str">
        <f>IMAGE("https://5.imimg.com/data5/QC/NX/MY-932240/clear-plastic-funnel-250x250.jpg", 1)</f>
        <v/>
      </c>
      <c r="P289" s="11" t="s">
        <v>2113</v>
      </c>
    </row>
    <row r="290" ht="45.0" customHeight="1">
      <c r="A290" s="11">
        <v>291.0</v>
      </c>
      <c r="B290" s="11" t="s">
        <v>1152</v>
      </c>
      <c r="C290" s="11" t="s">
        <v>1216</v>
      </c>
      <c r="D290" s="93" t="s">
        <v>1217</v>
      </c>
      <c r="E290" s="215" t="s">
        <v>1156</v>
      </c>
      <c r="F290" s="216">
        <v>10.0</v>
      </c>
      <c r="G290" s="216">
        <v>10.0</v>
      </c>
      <c r="H290" s="216">
        <v>20.0</v>
      </c>
      <c r="I290" s="11">
        <f t="shared" si="14"/>
        <v>200</v>
      </c>
      <c r="J290" s="11" t="s">
        <v>1157</v>
      </c>
      <c r="K290" s="93"/>
      <c r="L290" s="93" t="s">
        <v>1902</v>
      </c>
      <c r="M290" s="93" t="s">
        <v>1969</v>
      </c>
      <c r="N290" s="217" t="s">
        <v>1218</v>
      </c>
      <c r="O290" s="11" t="str">
        <f>IMAGE("https://www.reagecon.com/product/image/medium/6267270_1.jpg",1)</f>
        <v/>
      </c>
      <c r="P290" s="11" t="s">
        <v>2113</v>
      </c>
    </row>
    <row r="291" ht="45.0" customHeight="1">
      <c r="A291" s="11">
        <v>293.0</v>
      </c>
      <c r="B291" s="222" t="s">
        <v>1152</v>
      </c>
      <c r="C291" s="11" t="s">
        <v>1224</v>
      </c>
      <c r="D291" s="93" t="s">
        <v>1225</v>
      </c>
      <c r="E291" s="215" t="s">
        <v>1156</v>
      </c>
      <c r="F291" s="216">
        <v>100.0</v>
      </c>
      <c r="G291" s="216">
        <v>100.0</v>
      </c>
      <c r="H291" s="216">
        <v>20.0</v>
      </c>
      <c r="I291" s="11">
        <f t="shared" si="14"/>
        <v>2000</v>
      </c>
      <c r="J291" s="11" t="s">
        <v>1157</v>
      </c>
      <c r="K291" s="93"/>
      <c r="L291" s="93" t="s">
        <v>2008</v>
      </c>
      <c r="M291" s="93" t="s">
        <v>1969</v>
      </c>
      <c r="N291" s="217" t="s">
        <v>1226</v>
      </c>
      <c r="O291" s="11" t="str">
        <f>IMAGE("https://5.imimg.com/data5/GX/OE/MY-972879/30ml-specimen-container-500x500.jpg", 1)</f>
        <v/>
      </c>
      <c r="P291" s="222" t="s">
        <v>2120</v>
      </c>
    </row>
    <row r="292" ht="45.0" customHeight="1">
      <c r="A292" s="11">
        <v>294.0</v>
      </c>
      <c r="B292" s="11" t="s">
        <v>1152</v>
      </c>
      <c r="C292" s="11" t="s">
        <v>1228</v>
      </c>
      <c r="D292" s="93" t="s">
        <v>1229</v>
      </c>
      <c r="E292" s="215" t="s">
        <v>1156</v>
      </c>
      <c r="F292" s="11">
        <v>1.0</v>
      </c>
      <c r="G292" s="11">
        <v>1.0</v>
      </c>
      <c r="H292" s="11">
        <v>150.0</v>
      </c>
      <c r="I292" s="11">
        <f t="shared" si="14"/>
        <v>150</v>
      </c>
      <c r="J292" s="11" t="s">
        <v>1157</v>
      </c>
      <c r="K292" s="93"/>
      <c r="L292" s="93"/>
      <c r="M292" s="93" t="s">
        <v>1968</v>
      </c>
      <c r="N292" s="217" t="s">
        <v>1230</v>
      </c>
      <c r="O292" s="11" t="str">
        <f>IMAGE("https://m.media-amazon.com/images/I/51+vdFGMMML._SL1001_.jpg",1)</f>
        <v/>
      </c>
      <c r="P292" s="11" t="s">
        <v>2027</v>
      </c>
    </row>
    <row r="293" ht="45.0" customHeight="1">
      <c r="A293" s="11">
        <v>295.0</v>
      </c>
      <c r="B293" s="11" t="s">
        <v>1152</v>
      </c>
      <c r="C293" s="11" t="s">
        <v>1232</v>
      </c>
      <c r="D293" s="93" t="s">
        <v>1233</v>
      </c>
      <c r="E293" s="215" t="s">
        <v>1156</v>
      </c>
      <c r="F293" s="216">
        <v>10.0</v>
      </c>
      <c r="G293" s="216">
        <v>10.0</v>
      </c>
      <c r="H293" s="216">
        <v>15.0</v>
      </c>
      <c r="I293" s="11">
        <f t="shared" si="14"/>
        <v>150</v>
      </c>
      <c r="J293" s="11" t="s">
        <v>1157</v>
      </c>
      <c r="K293" s="93"/>
      <c r="L293" s="93" t="s">
        <v>1895</v>
      </c>
      <c r="M293" s="93" t="s">
        <v>1968</v>
      </c>
      <c r="N293" s="217" t="s">
        <v>1234</v>
      </c>
      <c r="O293" s="11" t="str">
        <f>IMAGE("https://5.imimg.com/data5/SELLER/Default/2022/10/RF/ME/PW/7444604/12x100mm-glass-test-tube-500x500.jpg", 1)</f>
        <v/>
      </c>
      <c r="P293" s="11" t="s">
        <v>2121</v>
      </c>
    </row>
    <row r="294" ht="45.0" customHeight="1">
      <c r="A294" s="11">
        <v>296.0</v>
      </c>
      <c r="B294" s="11" t="s">
        <v>1152</v>
      </c>
      <c r="C294" s="11" t="s">
        <v>1236</v>
      </c>
      <c r="D294" s="93" t="s">
        <v>1237</v>
      </c>
      <c r="E294" s="215" t="s">
        <v>1156</v>
      </c>
      <c r="F294" s="216">
        <v>1.0</v>
      </c>
      <c r="G294" s="216">
        <v>2.0</v>
      </c>
      <c r="H294" s="216">
        <v>150.0</v>
      </c>
      <c r="I294" s="11">
        <f t="shared" si="14"/>
        <v>300</v>
      </c>
      <c r="J294" s="11" t="s">
        <v>1157</v>
      </c>
      <c r="K294" s="93"/>
      <c r="L294" s="93"/>
      <c r="M294" s="93" t="s">
        <v>1968</v>
      </c>
      <c r="N294" s="217" t="s">
        <v>1238</v>
      </c>
      <c r="O294" s="11" t="str">
        <f>IMAGE("https://www.abdoslifesciences.com/wp-content/uploads/p10.jpg", 1)</f>
        <v/>
      </c>
      <c r="P294" s="11" t="s">
        <v>2027</v>
      </c>
    </row>
    <row r="295" ht="45.0" customHeight="1">
      <c r="A295" s="11">
        <v>297.0</v>
      </c>
      <c r="B295" s="11" t="s">
        <v>1152</v>
      </c>
      <c r="C295" s="11" t="s">
        <v>1240</v>
      </c>
      <c r="D295" s="93" t="s">
        <v>1241</v>
      </c>
      <c r="E295" s="215" t="s">
        <v>1156</v>
      </c>
      <c r="F295" s="216">
        <v>2.0</v>
      </c>
      <c r="G295" s="216">
        <v>2.0</v>
      </c>
      <c r="H295" s="216">
        <v>100.0</v>
      </c>
      <c r="I295" s="11">
        <f t="shared" si="14"/>
        <v>200</v>
      </c>
      <c r="J295" s="11" t="s">
        <v>1157</v>
      </c>
      <c r="K295" s="93"/>
      <c r="L295" s="93"/>
      <c r="M295" s="93" t="s">
        <v>1969</v>
      </c>
      <c r="N295" s="238" t="s">
        <v>1242</v>
      </c>
      <c r="O295" s="11" t="str">
        <f>IMAGE("https://www.abdoslifesciences.com/wp-content/uploads/Wash-Bottle-LDPE-day-20376.jpg", 1)</f>
        <v/>
      </c>
      <c r="P295" s="221" t="s">
        <v>2116</v>
      </c>
    </row>
    <row r="296" ht="45.0" customHeight="1">
      <c r="A296" s="11">
        <v>298.0</v>
      </c>
      <c r="B296" s="11" t="s">
        <v>1152</v>
      </c>
      <c r="C296" s="11" t="s">
        <v>1244</v>
      </c>
      <c r="D296" s="93" t="s">
        <v>1245</v>
      </c>
      <c r="E296" s="215" t="s">
        <v>1156</v>
      </c>
      <c r="F296" s="11">
        <v>10.0</v>
      </c>
      <c r="G296" s="11">
        <v>10.0</v>
      </c>
      <c r="H296" s="11">
        <v>10.0</v>
      </c>
      <c r="I296" s="11">
        <f t="shared" si="14"/>
        <v>100</v>
      </c>
      <c r="J296" s="11" t="s">
        <v>1157</v>
      </c>
      <c r="K296" s="93"/>
      <c r="L296" s="93" t="s">
        <v>1895</v>
      </c>
      <c r="M296" s="93" t="s">
        <v>1968</v>
      </c>
      <c r="N296" s="217" t="s">
        <v>1246</v>
      </c>
      <c r="O296" s="11" t="str">
        <f>IMAGE("https://m.media-amazon.com/images/I/31U00ndDv2L._SX679_.jpg",1)</f>
        <v/>
      </c>
      <c r="P296" s="11" t="s">
        <v>2122</v>
      </c>
    </row>
    <row r="297" ht="45.0" customHeight="1">
      <c r="A297" s="11">
        <v>299.0</v>
      </c>
      <c r="B297" s="11" t="s">
        <v>173</v>
      </c>
      <c r="C297" s="11" t="s">
        <v>1248</v>
      </c>
      <c r="D297" s="93" t="s">
        <v>1249</v>
      </c>
      <c r="E297" s="215" t="s">
        <v>1250</v>
      </c>
      <c r="F297" s="216">
        <v>7.0</v>
      </c>
      <c r="G297" s="216">
        <v>7.0</v>
      </c>
      <c r="H297" s="216">
        <v>500.0</v>
      </c>
      <c r="I297" s="11">
        <f t="shared" si="14"/>
        <v>3500</v>
      </c>
      <c r="J297" s="11" t="s">
        <v>178</v>
      </c>
      <c r="K297" s="93" t="s">
        <v>47</v>
      </c>
      <c r="L297" s="93" t="s">
        <v>2008</v>
      </c>
      <c r="M297" s="93" t="s">
        <v>1964</v>
      </c>
      <c r="N297" s="217" t="s">
        <v>1251</v>
      </c>
      <c r="O297" s="11" t="str">
        <f>IMAGE("https://www.atel-electronics.eu/pic_cache/10/06158.jpg",1)</f>
        <v/>
      </c>
      <c r="P297" s="11" t="s">
        <v>2123</v>
      </c>
    </row>
    <row r="298" ht="45.0" customHeight="1">
      <c r="A298" s="11">
        <v>300.0</v>
      </c>
      <c r="B298" s="11" t="s">
        <v>173</v>
      </c>
      <c r="C298" s="11" t="s">
        <v>1253</v>
      </c>
      <c r="D298" s="93" t="s">
        <v>1254</v>
      </c>
      <c r="E298" s="215" t="s">
        <v>1250</v>
      </c>
      <c r="F298" s="216">
        <v>1.0</v>
      </c>
      <c r="G298" s="216">
        <v>1.0</v>
      </c>
      <c r="H298" s="216">
        <v>1000.0</v>
      </c>
      <c r="I298" s="11">
        <f t="shared" si="14"/>
        <v>1000</v>
      </c>
      <c r="J298" s="11" t="s">
        <v>178</v>
      </c>
      <c r="K298" s="93" t="s">
        <v>47</v>
      </c>
      <c r="L298" s="93" t="s">
        <v>2008</v>
      </c>
      <c r="M298" s="93" t="s">
        <v>1964</v>
      </c>
      <c r="N298" s="217" t="s">
        <v>1255</v>
      </c>
      <c r="O298" s="11" t="str">
        <f>IMAGE("https://in.element14.com/productimages/large/en_GB/IN07444-40.jpg",1)</f>
        <v/>
      </c>
      <c r="P298" s="11" t="s">
        <v>2123</v>
      </c>
    </row>
    <row r="299" ht="45.0" customHeight="1">
      <c r="A299" s="11">
        <v>301.0</v>
      </c>
      <c r="B299" s="11" t="s">
        <v>173</v>
      </c>
      <c r="C299" s="11" t="s">
        <v>1257</v>
      </c>
      <c r="D299" s="93" t="s">
        <v>1258</v>
      </c>
      <c r="E299" s="215" t="s">
        <v>1250</v>
      </c>
      <c r="F299" s="216">
        <v>1.0</v>
      </c>
      <c r="G299" s="216">
        <v>1.0</v>
      </c>
      <c r="H299" s="216">
        <v>25000.0</v>
      </c>
      <c r="I299" s="11">
        <f t="shared" si="14"/>
        <v>25000</v>
      </c>
      <c r="J299" s="11" t="s">
        <v>178</v>
      </c>
      <c r="K299" s="93" t="s">
        <v>47</v>
      </c>
      <c r="L299" s="93"/>
      <c r="M299" s="93" t="s">
        <v>1964</v>
      </c>
      <c r="N299" s="217" t="s">
        <v>1259</v>
      </c>
      <c r="O299" s="11" t="str">
        <f>IMAGE("https://m.media-amazon.com/images/I/51LxodXCiyS._SL1000_.jpg",1)</f>
        <v/>
      </c>
      <c r="P299" s="11" t="s">
        <v>2104</v>
      </c>
    </row>
    <row r="300" ht="45.0" customHeight="1">
      <c r="A300" s="11">
        <v>302.0</v>
      </c>
      <c r="B300" s="222" t="s">
        <v>173</v>
      </c>
      <c r="C300" s="11" t="s">
        <v>1261</v>
      </c>
      <c r="D300" s="93" t="s">
        <v>1262</v>
      </c>
      <c r="E300" s="215" t="s">
        <v>1250</v>
      </c>
      <c r="F300" s="216">
        <v>1.0</v>
      </c>
      <c r="G300" s="216">
        <v>1.0</v>
      </c>
      <c r="H300" s="216">
        <v>2500.0</v>
      </c>
      <c r="I300" s="11">
        <f t="shared" si="14"/>
        <v>2500</v>
      </c>
      <c r="J300" s="11" t="s">
        <v>178</v>
      </c>
      <c r="K300" s="93" t="s">
        <v>47</v>
      </c>
      <c r="L300" s="93"/>
      <c r="M300" s="93" t="s">
        <v>1907</v>
      </c>
      <c r="N300" s="217" t="s">
        <v>1263</v>
      </c>
      <c r="O300" s="11" t="str">
        <f>IMAGE("https://m.media-amazon.com/images/I/61WLNOGJ4JS.jpg")</f>
        <v/>
      </c>
      <c r="P300" s="222" t="s">
        <v>2104</v>
      </c>
    </row>
    <row r="301" ht="45.0" customHeight="1">
      <c r="A301" s="11">
        <v>303.0</v>
      </c>
      <c r="B301" s="11" t="s">
        <v>173</v>
      </c>
      <c r="C301" s="11" t="s">
        <v>1265</v>
      </c>
      <c r="D301" s="93" t="s">
        <v>1266</v>
      </c>
      <c r="E301" s="215" t="s">
        <v>1250</v>
      </c>
      <c r="F301" s="216">
        <v>1.0</v>
      </c>
      <c r="G301" s="216">
        <v>1.0</v>
      </c>
      <c r="H301" s="216">
        <v>2500.0</v>
      </c>
      <c r="I301" s="11">
        <f t="shared" si="14"/>
        <v>2500</v>
      </c>
      <c r="J301" s="11" t="s">
        <v>178</v>
      </c>
      <c r="K301" s="93"/>
      <c r="L301" s="93"/>
      <c r="M301" s="93" t="s">
        <v>1628</v>
      </c>
      <c r="N301" s="217" t="s">
        <v>1267</v>
      </c>
      <c r="O301" s="11" t="str">
        <f>IMAGE("https://cdn.shopify.com/s/files/1/0559/1970/6265/products/4_61325b1b-840f-41dd-a6d9-0ddb00c5c7bc_1024x1024@2x.png?v=1670588177",1)</f>
        <v/>
      </c>
      <c r="P301" s="11" t="s">
        <v>2104</v>
      </c>
    </row>
    <row r="302" ht="45.0" customHeight="1">
      <c r="A302" s="11">
        <v>304.0</v>
      </c>
      <c r="B302" s="11" t="s">
        <v>1152</v>
      </c>
      <c r="C302" s="11" t="s">
        <v>1269</v>
      </c>
      <c r="D302" s="93" t="s">
        <v>1270</v>
      </c>
      <c r="E302" s="215" t="s">
        <v>1250</v>
      </c>
      <c r="F302" s="11">
        <v>1.0</v>
      </c>
      <c r="G302" s="11">
        <v>1.0</v>
      </c>
      <c r="H302" s="11">
        <v>2000.0</v>
      </c>
      <c r="I302" s="11">
        <f t="shared" si="14"/>
        <v>2000</v>
      </c>
      <c r="J302" s="11" t="s">
        <v>1157</v>
      </c>
      <c r="K302" s="93"/>
      <c r="L302" s="93"/>
      <c r="M302" s="93" t="s">
        <v>1975</v>
      </c>
      <c r="N302" s="217" t="s">
        <v>1271</v>
      </c>
      <c r="O302" s="11" t="str">
        <f>IMAGE("https://m.media-amazon.com/images/I/61USTYJ+OPL._SL1500_.jpg",1)</f>
        <v/>
      </c>
      <c r="P302" s="11" t="s">
        <v>2027</v>
      </c>
    </row>
    <row r="303" ht="45.0" customHeight="1">
      <c r="A303" s="11">
        <v>308.0</v>
      </c>
      <c r="B303" s="11" t="s">
        <v>1152</v>
      </c>
      <c r="C303" s="11" t="s">
        <v>1284</v>
      </c>
      <c r="D303" s="93" t="s">
        <v>1285</v>
      </c>
      <c r="E303" s="215" t="s">
        <v>1250</v>
      </c>
      <c r="F303" s="11">
        <v>1.0</v>
      </c>
      <c r="G303" s="11">
        <v>1.0</v>
      </c>
      <c r="H303" s="11">
        <v>3000.0</v>
      </c>
      <c r="I303" s="11">
        <f t="shared" si="14"/>
        <v>3000</v>
      </c>
      <c r="J303" s="11" t="s">
        <v>1157</v>
      </c>
      <c r="K303" s="93"/>
      <c r="L303" s="93"/>
      <c r="M303" s="93" t="s">
        <v>1964</v>
      </c>
      <c r="N303" s="217"/>
      <c r="O303" s="11"/>
      <c r="P303" s="222" t="s">
        <v>2124</v>
      </c>
    </row>
    <row r="304" ht="45.0" customHeight="1">
      <c r="A304" s="11">
        <v>312.0</v>
      </c>
      <c r="B304" s="11" t="s">
        <v>1152</v>
      </c>
      <c r="C304" s="11" t="s">
        <v>1297</v>
      </c>
      <c r="D304" s="93" t="s">
        <v>1976</v>
      </c>
      <c r="E304" s="215" t="s">
        <v>1250</v>
      </c>
      <c r="F304" s="216">
        <v>20.0</v>
      </c>
      <c r="G304" s="216">
        <v>20.0</v>
      </c>
      <c r="H304" s="216">
        <v>2500.0</v>
      </c>
      <c r="I304" s="11">
        <f t="shared" si="14"/>
        <v>50000</v>
      </c>
      <c r="J304" s="11" t="s">
        <v>1157</v>
      </c>
      <c r="K304" s="93"/>
      <c r="L304" s="93" t="s">
        <v>2008</v>
      </c>
      <c r="M304" s="93" t="s">
        <v>1971</v>
      </c>
      <c r="N304" s="217" t="s">
        <v>1299</v>
      </c>
      <c r="O304" s="11" t="str">
        <f>IMAGE("https://m.media-amazon.com/images/I/71O3EMayekL.jpg",1)</f>
        <v/>
      </c>
      <c r="P304" s="222" t="s">
        <v>2125</v>
      </c>
    </row>
    <row r="305" ht="45.0" customHeight="1">
      <c r="A305" s="11">
        <v>313.0</v>
      </c>
      <c r="B305" s="11" t="s">
        <v>1152</v>
      </c>
      <c r="C305" s="11" t="s">
        <v>1301</v>
      </c>
      <c r="D305" s="93" t="s">
        <v>1302</v>
      </c>
      <c r="E305" s="215" t="s">
        <v>1250</v>
      </c>
      <c r="F305" s="216">
        <v>1.0</v>
      </c>
      <c r="G305" s="216">
        <v>1.0</v>
      </c>
      <c r="H305" s="216">
        <v>1500.0</v>
      </c>
      <c r="I305" s="11">
        <f t="shared" si="14"/>
        <v>1500</v>
      </c>
      <c r="J305" s="11" t="s">
        <v>1157</v>
      </c>
      <c r="K305" s="93" t="s">
        <v>47</v>
      </c>
      <c r="L305" s="93"/>
      <c r="M305" s="93" t="s">
        <v>1975</v>
      </c>
      <c r="N305" s="217" t="s">
        <v>1303</v>
      </c>
      <c r="O305" s="11" t="str">
        <f>IMAGE("https://5.imimg.com/data5/XG/YW/VV/SELLER-219478/hot-plate-round-250x250.jpg",1)</f>
        <v/>
      </c>
      <c r="P305" s="11" t="s">
        <v>2027</v>
      </c>
    </row>
    <row r="306" ht="45.0" customHeight="1">
      <c r="A306" s="11">
        <v>314.0</v>
      </c>
      <c r="B306" s="11" t="s">
        <v>1152</v>
      </c>
      <c r="C306" s="11" t="s">
        <v>1305</v>
      </c>
      <c r="D306" s="93" t="s">
        <v>1306</v>
      </c>
      <c r="E306" s="215" t="s">
        <v>1250</v>
      </c>
      <c r="F306" s="216">
        <v>1.0</v>
      </c>
      <c r="G306" s="216">
        <v>1.0</v>
      </c>
      <c r="H306" s="216">
        <v>500.0</v>
      </c>
      <c r="I306" s="11">
        <f t="shared" si="14"/>
        <v>500</v>
      </c>
      <c r="J306" s="11" t="s">
        <v>1157</v>
      </c>
      <c r="K306" s="93"/>
      <c r="L306" s="93"/>
      <c r="M306" s="93" t="s">
        <v>1964</v>
      </c>
      <c r="N306" s="217" t="s">
        <v>1307</v>
      </c>
      <c r="O306" s="11" t="str">
        <f>IMAGE("https://image.made-in-china.com/202f0j00DeSTmvGBnZpR/Electronic-Weighing-Scale-Digital-Scale-of-High-Precision-HWA-.jpg",1)</f>
        <v/>
      </c>
      <c r="P306" s="11" t="s">
        <v>2027</v>
      </c>
    </row>
    <row r="307" ht="45.0" customHeight="1">
      <c r="A307" s="11">
        <v>315.0</v>
      </c>
      <c r="B307" s="222" t="s">
        <v>1152</v>
      </c>
      <c r="C307" s="11" t="s">
        <v>1309</v>
      </c>
      <c r="D307" s="93" t="s">
        <v>1310</v>
      </c>
      <c r="E307" s="215" t="s">
        <v>1250</v>
      </c>
      <c r="F307" s="216">
        <v>1.0</v>
      </c>
      <c r="G307" s="216">
        <v>1.0</v>
      </c>
      <c r="H307" s="216">
        <v>500.0</v>
      </c>
      <c r="I307" s="11">
        <f t="shared" si="14"/>
        <v>500</v>
      </c>
      <c r="J307" s="11" t="s">
        <v>1157</v>
      </c>
      <c r="K307" s="93" t="s">
        <v>47</v>
      </c>
      <c r="L307" s="93" t="s">
        <v>2052</v>
      </c>
      <c r="M307" s="93" t="s">
        <v>1964</v>
      </c>
      <c r="N307" s="217" t="s">
        <v>1311</v>
      </c>
      <c r="O307" s="11" t="str">
        <f>IMAGE("https://m.media-amazon.com/images/I/71-uBViGV+L._SX522_.jpg",1)</f>
        <v/>
      </c>
      <c r="P307" s="222" t="s">
        <v>2027</v>
      </c>
    </row>
    <row r="308" ht="45.0" customHeight="1">
      <c r="A308" s="11">
        <v>316.0</v>
      </c>
      <c r="B308" s="11" t="s">
        <v>1152</v>
      </c>
      <c r="C308" s="11" t="s">
        <v>1313</v>
      </c>
      <c r="D308" s="93" t="s">
        <v>1314</v>
      </c>
      <c r="E308" s="215" t="s">
        <v>1250</v>
      </c>
      <c r="F308" s="11">
        <v>1.0</v>
      </c>
      <c r="G308" s="11">
        <v>1.0</v>
      </c>
      <c r="H308" s="11">
        <v>12500.0</v>
      </c>
      <c r="I308" s="11">
        <f t="shared" si="14"/>
        <v>12500</v>
      </c>
      <c r="J308" s="11" t="s">
        <v>1157</v>
      </c>
      <c r="K308" s="93"/>
      <c r="L308" s="93"/>
      <c r="M308" s="93" t="s">
        <v>1971</v>
      </c>
      <c r="N308" s="217" t="s">
        <v>1315</v>
      </c>
      <c r="O308" s="11" t="str">
        <f>IMAGE("https://m.media-amazon.com/images/I/61MstERkLZL._SL1500_.jpg",1)</f>
        <v/>
      </c>
      <c r="P308" s="11" t="s">
        <v>2027</v>
      </c>
    </row>
    <row r="309" ht="45.0" customHeight="1">
      <c r="A309" s="11">
        <v>318.0</v>
      </c>
      <c r="B309" s="222" t="s">
        <v>1152</v>
      </c>
      <c r="C309" s="11" t="s">
        <v>1321</v>
      </c>
      <c r="D309" s="93" t="s">
        <v>1322</v>
      </c>
      <c r="E309" s="215" t="s">
        <v>1250</v>
      </c>
      <c r="F309" s="216">
        <v>1.0</v>
      </c>
      <c r="G309" s="216">
        <v>1.0</v>
      </c>
      <c r="H309" s="216">
        <v>1000.0</v>
      </c>
      <c r="I309" s="11">
        <f t="shared" si="14"/>
        <v>1000</v>
      </c>
      <c r="J309" s="11" t="s">
        <v>1157</v>
      </c>
      <c r="K309" s="93"/>
      <c r="L309" s="93" t="s">
        <v>2052</v>
      </c>
      <c r="M309" s="93" t="s">
        <v>1971</v>
      </c>
      <c r="N309" s="217"/>
      <c r="O309" s="11" t="str">
        <f>IMAGE("https://m.media-amazon.com/images/I/61yYBr4qxBL._SL1276_.jpg",1)</f>
        <v/>
      </c>
      <c r="P309" s="222" t="s">
        <v>2027</v>
      </c>
    </row>
    <row r="310" ht="45.0" customHeight="1">
      <c r="A310" s="11">
        <v>319.0</v>
      </c>
      <c r="B310" s="11" t="s">
        <v>342</v>
      </c>
      <c r="C310" s="11" t="s">
        <v>1324</v>
      </c>
      <c r="D310" s="93" t="s">
        <v>1325</v>
      </c>
      <c r="E310" s="215" t="s">
        <v>1250</v>
      </c>
      <c r="F310" s="216">
        <v>1.0</v>
      </c>
      <c r="G310" s="216">
        <v>1.0</v>
      </c>
      <c r="H310" s="216">
        <v>2000.0</v>
      </c>
      <c r="I310" s="11">
        <f t="shared" si="14"/>
        <v>2000</v>
      </c>
      <c r="J310" s="11" t="s">
        <v>347</v>
      </c>
      <c r="K310" s="93"/>
      <c r="L310" s="93"/>
      <c r="M310" s="93" t="s">
        <v>1964</v>
      </c>
      <c r="N310" s="217" t="s">
        <v>1326</v>
      </c>
      <c r="O310" s="11" t="e">
        <v>#VALUE!</v>
      </c>
      <c r="P310" s="11" t="s">
        <v>2050</v>
      </c>
    </row>
    <row r="311" ht="45.0" customHeight="1">
      <c r="A311" s="11">
        <v>320.0</v>
      </c>
      <c r="B311" s="11" t="s">
        <v>173</v>
      </c>
      <c r="C311" s="11" t="s">
        <v>1328</v>
      </c>
      <c r="D311" s="93" t="s">
        <v>1329</v>
      </c>
      <c r="E311" s="215" t="s">
        <v>1330</v>
      </c>
      <c r="F311" s="11">
        <v>100.0</v>
      </c>
      <c r="G311" s="11">
        <v>100.0</v>
      </c>
      <c r="H311" s="11">
        <v>10.0</v>
      </c>
      <c r="I311" s="11">
        <f t="shared" si="14"/>
        <v>1000</v>
      </c>
      <c r="J311" s="11" t="s">
        <v>178</v>
      </c>
      <c r="K311" s="93" t="s">
        <v>65</v>
      </c>
      <c r="L311" s="93" t="s">
        <v>2105</v>
      </c>
      <c r="M311" s="93" t="s">
        <v>1331</v>
      </c>
      <c r="N311" s="217" t="s">
        <v>1332</v>
      </c>
      <c r="O311" s="11" t="str">
        <f>IMAGE("https://m.media-amazon.com/images/I/61vUDUTouNL._SL1500_.jpg",1)</f>
        <v/>
      </c>
      <c r="P311" s="221" t="s">
        <v>2126</v>
      </c>
    </row>
    <row r="312" ht="45.0" customHeight="1">
      <c r="A312" s="11">
        <v>321.0</v>
      </c>
      <c r="B312" s="11" t="s">
        <v>173</v>
      </c>
      <c r="C312" s="11" t="s">
        <v>1334</v>
      </c>
      <c r="D312" s="93" t="s">
        <v>1335</v>
      </c>
      <c r="E312" s="215" t="s">
        <v>1330</v>
      </c>
      <c r="F312" s="11">
        <v>100.0</v>
      </c>
      <c r="G312" s="11">
        <v>100.0</v>
      </c>
      <c r="H312" s="11">
        <v>35.0</v>
      </c>
      <c r="I312" s="11">
        <f t="shared" si="14"/>
        <v>3500</v>
      </c>
      <c r="J312" s="11" t="s">
        <v>178</v>
      </c>
      <c r="K312" s="93"/>
      <c r="L312" s="93" t="s">
        <v>2105</v>
      </c>
      <c r="M312" s="93" t="s">
        <v>1331</v>
      </c>
      <c r="N312" s="217" t="s">
        <v>1336</v>
      </c>
      <c r="O312" s="11" t="str">
        <f>IMAGE("https://m.media-amazon.com/images/I/31ye7Xw2PpL.jpg",1)</f>
        <v/>
      </c>
      <c r="P312" s="221" t="s">
        <v>2126</v>
      </c>
    </row>
    <row r="313" ht="45.0" customHeight="1">
      <c r="A313" s="11">
        <v>322.0</v>
      </c>
      <c r="B313" s="11" t="s">
        <v>173</v>
      </c>
      <c r="C313" s="11" t="s">
        <v>1338</v>
      </c>
      <c r="D313" s="93" t="s">
        <v>1339</v>
      </c>
      <c r="E313" s="215" t="s">
        <v>1330</v>
      </c>
      <c r="F313" s="11">
        <v>10.0</v>
      </c>
      <c r="G313" s="11">
        <v>10.0</v>
      </c>
      <c r="H313" s="11">
        <v>100.0</v>
      </c>
      <c r="I313" s="11">
        <f t="shared" si="14"/>
        <v>1000</v>
      </c>
      <c r="J313" s="11" t="s">
        <v>178</v>
      </c>
      <c r="K313" s="93" t="s">
        <v>65</v>
      </c>
      <c r="L313" s="93" t="s">
        <v>1978</v>
      </c>
      <c r="M313" s="93" t="s">
        <v>1331</v>
      </c>
      <c r="N313" s="217" t="s">
        <v>1341</v>
      </c>
      <c r="O313" s="11" t="str">
        <f>IMAGE("https://m.media-amazon.com/images/I/414cC-M+nlL._SL1000_.jpg",1)</f>
        <v/>
      </c>
      <c r="P313" s="11" t="s">
        <v>2127</v>
      </c>
    </row>
    <row r="314" ht="45.0" customHeight="1">
      <c r="A314" s="11">
        <v>323.0</v>
      </c>
      <c r="B314" s="11" t="s">
        <v>173</v>
      </c>
      <c r="C314" s="11" t="s">
        <v>1343</v>
      </c>
      <c r="D314" s="93" t="s">
        <v>1344</v>
      </c>
      <c r="E314" s="215" t="s">
        <v>1330</v>
      </c>
      <c r="F314" s="11">
        <v>100.0</v>
      </c>
      <c r="G314" s="11">
        <v>100.0</v>
      </c>
      <c r="H314" s="11">
        <v>20.0</v>
      </c>
      <c r="I314" s="11">
        <f t="shared" si="14"/>
        <v>2000</v>
      </c>
      <c r="J314" s="11" t="s">
        <v>178</v>
      </c>
      <c r="K314" s="93" t="s">
        <v>65</v>
      </c>
      <c r="L314" s="93" t="s">
        <v>2105</v>
      </c>
      <c r="M314" s="93" t="s">
        <v>1331</v>
      </c>
      <c r="N314" s="217" t="s">
        <v>1347</v>
      </c>
      <c r="O314" s="11" t="str">
        <f>IMAGE("https://m.media-amazon.com/images/I/31nb9BadkoL.jpg",1)</f>
        <v/>
      </c>
      <c r="P314" s="221" t="s">
        <v>2126</v>
      </c>
    </row>
    <row r="315" ht="45.0" customHeight="1">
      <c r="A315" s="11">
        <v>324.0</v>
      </c>
      <c r="B315" s="221" t="s">
        <v>173</v>
      </c>
      <c r="C315" s="11" t="s">
        <v>1349</v>
      </c>
      <c r="D315" s="93" t="s">
        <v>1350</v>
      </c>
      <c r="E315" s="215" t="s">
        <v>1330</v>
      </c>
      <c r="F315" s="11">
        <v>1.0</v>
      </c>
      <c r="G315" s="11">
        <v>1.0</v>
      </c>
      <c r="H315" s="11">
        <v>1000.0</v>
      </c>
      <c r="I315" s="11">
        <f t="shared" si="14"/>
        <v>1000</v>
      </c>
      <c r="J315" s="11" t="s">
        <v>347</v>
      </c>
      <c r="K315" s="93" t="s">
        <v>47</v>
      </c>
      <c r="L315" s="123"/>
      <c r="M315" s="93" t="s">
        <v>1331</v>
      </c>
      <c r="N315" s="217" t="s">
        <v>1351</v>
      </c>
      <c r="O315" s="11" t="str">
        <f>IMAGE("https://5.imimg.com/data5/SELLER/Default/2023/1/CR/QN/CU/119456209/b22-cap-punching-tool-1000x1000.jpg",1)</f>
        <v/>
      </c>
      <c r="P315" s="11" t="s">
        <v>2128</v>
      </c>
    </row>
    <row r="316" ht="45.0" customHeight="1">
      <c r="A316" s="11">
        <v>325.0</v>
      </c>
      <c r="B316" s="221" t="s">
        <v>173</v>
      </c>
      <c r="C316" s="11" t="s">
        <v>1353</v>
      </c>
      <c r="D316" s="93" t="s">
        <v>1354</v>
      </c>
      <c r="E316" s="215" t="s">
        <v>1330</v>
      </c>
      <c r="F316" s="11">
        <v>1.0</v>
      </c>
      <c r="G316" s="11">
        <v>1.0</v>
      </c>
      <c r="H316" s="11">
        <v>1800.0</v>
      </c>
      <c r="I316" s="11">
        <f t="shared" si="14"/>
        <v>1800</v>
      </c>
      <c r="J316" s="11" t="s">
        <v>347</v>
      </c>
      <c r="K316" s="93" t="s">
        <v>47</v>
      </c>
      <c r="L316" s="93"/>
      <c r="M316" s="93" t="s">
        <v>1331</v>
      </c>
      <c r="N316" s="217" t="s">
        <v>1355</v>
      </c>
      <c r="O316" s="11" t="str">
        <f>IMAGE("https://m.media-amazon.com/images/I/31xTdt3sfiL.jpg",1)</f>
        <v/>
      </c>
      <c r="P316" s="11" t="s">
        <v>2128</v>
      </c>
    </row>
    <row r="317" ht="45.0" customHeight="1">
      <c r="A317" s="11">
        <v>326.0</v>
      </c>
      <c r="B317" s="11" t="s">
        <v>173</v>
      </c>
      <c r="C317" s="11" t="s">
        <v>1357</v>
      </c>
      <c r="D317" s="93" t="s">
        <v>1358</v>
      </c>
      <c r="E317" s="215" t="s">
        <v>1359</v>
      </c>
      <c r="F317" s="216">
        <v>15.0</v>
      </c>
      <c r="G317" s="216">
        <v>15.0</v>
      </c>
      <c r="H317" s="216">
        <v>250.0</v>
      </c>
      <c r="I317" s="11">
        <f t="shared" si="14"/>
        <v>3750</v>
      </c>
      <c r="J317" s="11" t="s">
        <v>178</v>
      </c>
      <c r="K317" s="93"/>
      <c r="L317" s="93" t="s">
        <v>1594</v>
      </c>
      <c r="M317" s="93" t="s">
        <v>1954</v>
      </c>
      <c r="N317" s="217" t="s">
        <v>1360</v>
      </c>
      <c r="O317" s="11" t="str">
        <f>IMAGE("https://robu.in/wp-content/uploads/2017/11/mg995-high-speed-digital-metal-gear-2bb-torque-rc-for-servo-hpi-savage-xl-2.jpg",1)</f>
        <v/>
      </c>
      <c r="P317" s="11" t="s">
        <v>2129</v>
      </c>
    </row>
    <row r="318" ht="45.0" customHeight="1">
      <c r="A318" s="11">
        <v>327.0</v>
      </c>
      <c r="B318" s="11" t="s">
        <v>173</v>
      </c>
      <c r="C318" s="11" t="s">
        <v>1362</v>
      </c>
      <c r="D318" s="93" t="s">
        <v>1363</v>
      </c>
      <c r="E318" s="215" t="s">
        <v>1359</v>
      </c>
      <c r="F318" s="216">
        <v>30.0</v>
      </c>
      <c r="G318" s="216">
        <v>30.0</v>
      </c>
      <c r="H318" s="216">
        <v>55.0</v>
      </c>
      <c r="I318" s="11">
        <f t="shared" si="14"/>
        <v>1650</v>
      </c>
      <c r="J318" s="11" t="s">
        <v>178</v>
      </c>
      <c r="K318" s="93"/>
      <c r="L318" s="93" t="s">
        <v>2012</v>
      </c>
      <c r="M318" s="93" t="s">
        <v>1954</v>
      </c>
      <c r="N318" s="217" t="s">
        <v>1364</v>
      </c>
      <c r="O318" s="11" t="str">
        <f t="shared" ref="O318:O319" si="15">IMAGE("https://m.media-amazon.com/images/W/MEDIAX_792452-T2/images/I/21bgQSzvxLL.jpg",1)</f>
        <v/>
      </c>
      <c r="P318" s="11" t="s">
        <v>2130</v>
      </c>
    </row>
    <row r="319" ht="45.0" customHeight="1">
      <c r="A319" s="11">
        <v>328.0</v>
      </c>
      <c r="B319" s="11" t="s">
        <v>173</v>
      </c>
      <c r="C319" s="11" t="s">
        <v>1366</v>
      </c>
      <c r="D319" s="93" t="s">
        <v>1367</v>
      </c>
      <c r="E319" s="215" t="s">
        <v>1359</v>
      </c>
      <c r="F319" s="216">
        <v>30.0</v>
      </c>
      <c r="G319" s="216">
        <v>30.0</v>
      </c>
      <c r="H319" s="216">
        <v>55.0</v>
      </c>
      <c r="I319" s="11">
        <f t="shared" si="14"/>
        <v>1650</v>
      </c>
      <c r="J319" s="11" t="s">
        <v>178</v>
      </c>
      <c r="K319" s="93"/>
      <c r="L319" s="93" t="s">
        <v>2012</v>
      </c>
      <c r="M319" s="93" t="s">
        <v>1954</v>
      </c>
      <c r="N319" s="217" t="s">
        <v>1369</v>
      </c>
      <c r="O319" s="11" t="str">
        <f t="shared" si="15"/>
        <v/>
      </c>
      <c r="P319" s="11" t="s">
        <v>2131</v>
      </c>
    </row>
    <row r="320" ht="45.0" customHeight="1">
      <c r="A320" s="11">
        <v>329.0</v>
      </c>
      <c r="B320" s="11" t="s">
        <v>173</v>
      </c>
      <c r="C320" s="11" t="s">
        <v>1371</v>
      </c>
      <c r="D320" s="93" t="s">
        <v>1372</v>
      </c>
      <c r="E320" s="215" t="s">
        <v>1359</v>
      </c>
      <c r="F320" s="216">
        <v>30.0</v>
      </c>
      <c r="G320" s="216">
        <v>30.0</v>
      </c>
      <c r="H320" s="216">
        <v>30.0</v>
      </c>
      <c r="I320" s="11">
        <f t="shared" si="14"/>
        <v>900</v>
      </c>
      <c r="J320" s="11" t="s">
        <v>178</v>
      </c>
      <c r="K320" s="93"/>
      <c r="L320" s="93" t="s">
        <v>1594</v>
      </c>
      <c r="M320" s="93" t="s">
        <v>1954</v>
      </c>
      <c r="N320" s="217" t="s">
        <v>1373</v>
      </c>
      <c r="O320" s="11" t="str">
        <f>IMAGE("https://5.imimg.com/data5/DJ/PF/TV/SELLER-95692783/bo-wheel-500x500.jpg",1)</f>
        <v/>
      </c>
      <c r="P320" s="11" t="s">
        <v>2132</v>
      </c>
    </row>
    <row r="321" ht="45.0" customHeight="1">
      <c r="A321" s="11">
        <v>330.0</v>
      </c>
      <c r="B321" s="11" t="s">
        <v>173</v>
      </c>
      <c r="C321" s="11" t="s">
        <v>1375</v>
      </c>
      <c r="D321" s="93" t="s">
        <v>1376</v>
      </c>
      <c r="E321" s="215" t="s">
        <v>1359</v>
      </c>
      <c r="F321" s="216">
        <v>20.0</v>
      </c>
      <c r="G321" s="216">
        <v>20.0</v>
      </c>
      <c r="H321" s="216">
        <v>50.0</v>
      </c>
      <c r="I321" s="11">
        <f t="shared" si="14"/>
        <v>1000</v>
      </c>
      <c r="J321" s="11" t="s">
        <v>178</v>
      </c>
      <c r="K321" s="93"/>
      <c r="L321" s="93" t="s">
        <v>1895</v>
      </c>
      <c r="M321" s="93" t="s">
        <v>1954</v>
      </c>
      <c r="N321" s="217" t="s">
        <v>1377</v>
      </c>
      <c r="O321" s="11" t="str">
        <f>IMAGE("https://aryabot.in/wp-content/uploads/2023/10/castor-wheel-big-550x550w.webp",1)</f>
        <v/>
      </c>
      <c r="P321" s="11" t="s">
        <v>2133</v>
      </c>
    </row>
    <row r="322" ht="45.0" customHeight="1">
      <c r="A322" s="11">
        <v>331.0</v>
      </c>
      <c r="B322" s="11" t="s">
        <v>173</v>
      </c>
      <c r="C322" s="11" t="s">
        <v>1379</v>
      </c>
      <c r="D322" s="93" t="s">
        <v>1380</v>
      </c>
      <c r="E322" s="215" t="s">
        <v>1359</v>
      </c>
      <c r="F322" s="216">
        <v>10.0</v>
      </c>
      <c r="G322" s="216">
        <v>10.0</v>
      </c>
      <c r="H322" s="216">
        <v>20.0</v>
      </c>
      <c r="I322" s="11">
        <f t="shared" si="14"/>
        <v>200</v>
      </c>
      <c r="J322" s="11" t="s">
        <v>178</v>
      </c>
      <c r="K322" s="93"/>
      <c r="L322" s="93" t="s">
        <v>2070</v>
      </c>
      <c r="M322" s="93" t="s">
        <v>1954</v>
      </c>
      <c r="N322" s="217" t="s">
        <v>1381</v>
      </c>
      <c r="O322" s="11" t="str">
        <f>IMAGE("https://robu.in/wp-content/uploads/2020/09/DC3-6V-130-DIY-Toy-Motor-2-Pcs.-1.png",1)</f>
        <v/>
      </c>
      <c r="P322" s="221" t="s">
        <v>1831</v>
      </c>
    </row>
    <row r="323" ht="45.0" customHeight="1">
      <c r="A323" s="11">
        <v>332.0</v>
      </c>
      <c r="B323" s="11" t="s">
        <v>173</v>
      </c>
      <c r="C323" s="11" t="s">
        <v>1383</v>
      </c>
      <c r="D323" s="93" t="s">
        <v>1384</v>
      </c>
      <c r="E323" s="215" t="s">
        <v>1359</v>
      </c>
      <c r="F323" s="216">
        <v>30.0</v>
      </c>
      <c r="G323" s="216">
        <v>30.0</v>
      </c>
      <c r="H323" s="216">
        <v>250.0</v>
      </c>
      <c r="I323" s="11">
        <f t="shared" si="14"/>
        <v>7500</v>
      </c>
      <c r="J323" s="11" t="s">
        <v>178</v>
      </c>
      <c r="K323" s="93"/>
      <c r="L323" s="93" t="s">
        <v>1594</v>
      </c>
      <c r="M323" s="93" t="s">
        <v>1954</v>
      </c>
      <c r="N323" s="217" t="s">
        <v>1385</v>
      </c>
      <c r="O323" s="11" t="str">
        <f>IMAGE("https://i0.wp.com/www.circuituncle.com/wp-content/uploads/2019/10/mg90s.png?fit=1001%2C1001&amp;ssl=1",1)</f>
        <v/>
      </c>
      <c r="P323" s="11" t="s">
        <v>2129</v>
      </c>
    </row>
    <row r="324" ht="45.0" customHeight="1">
      <c r="A324" s="11">
        <v>333.0</v>
      </c>
      <c r="B324" s="11" t="s">
        <v>173</v>
      </c>
      <c r="C324" s="11" t="s">
        <v>1387</v>
      </c>
      <c r="D324" s="93" t="s">
        <v>1388</v>
      </c>
      <c r="E324" s="215" t="s">
        <v>1359</v>
      </c>
      <c r="F324" s="216">
        <v>5.0</v>
      </c>
      <c r="G324" s="216">
        <v>5.0</v>
      </c>
      <c r="H324" s="216">
        <v>90.0</v>
      </c>
      <c r="I324" s="11">
        <f t="shared" si="14"/>
        <v>450</v>
      </c>
      <c r="J324" s="11" t="s">
        <v>178</v>
      </c>
      <c r="K324" s="93"/>
      <c r="L324" s="93" t="s">
        <v>2070</v>
      </c>
      <c r="M324" s="93" t="s">
        <v>1954</v>
      </c>
      <c r="N324" s="217"/>
      <c r="O324" s="11" t="str">
        <f>IMAGE("https://robu.in/wp-content/uploads/2016/04/61nEdk-NxSL._SY355_.jpg",1)</f>
        <v/>
      </c>
      <c r="P324" s="221" t="s">
        <v>1823</v>
      </c>
    </row>
    <row r="325" ht="45.0" customHeight="1">
      <c r="A325" s="11">
        <v>334.0</v>
      </c>
      <c r="B325" s="222" t="s">
        <v>173</v>
      </c>
      <c r="C325" s="11" t="s">
        <v>1390</v>
      </c>
      <c r="D325" s="93" t="s">
        <v>1391</v>
      </c>
      <c r="E325" s="215" t="s">
        <v>1359</v>
      </c>
      <c r="F325" s="236">
        <v>26.0</v>
      </c>
      <c r="G325" s="237">
        <v>21.0</v>
      </c>
      <c r="H325" s="11">
        <v>750.0</v>
      </c>
      <c r="I325" s="11">
        <f t="shared" si="14"/>
        <v>15750</v>
      </c>
      <c r="J325" s="11" t="s">
        <v>178</v>
      </c>
      <c r="K325" s="93"/>
      <c r="L325" s="93" t="s">
        <v>249</v>
      </c>
      <c r="M325" s="93" t="s">
        <v>1954</v>
      </c>
      <c r="N325" s="217" t="s">
        <v>1392</v>
      </c>
      <c r="O325" s="11" t="str">
        <f>IMAGE("https://robu.in/wp-content/uploads/2023/09/34.jpg",1)</f>
        <v/>
      </c>
      <c r="P325" s="256" t="s">
        <v>2134</v>
      </c>
    </row>
    <row r="326" ht="45.0" customHeight="1">
      <c r="A326" s="11">
        <v>335.0</v>
      </c>
      <c r="B326" s="11" t="s">
        <v>173</v>
      </c>
      <c r="C326" s="11" t="s">
        <v>1394</v>
      </c>
      <c r="D326" s="93" t="s">
        <v>1395</v>
      </c>
      <c r="E326" s="215" t="s">
        <v>1359</v>
      </c>
      <c r="F326" s="216">
        <v>15.0</v>
      </c>
      <c r="G326" s="216">
        <v>15.0</v>
      </c>
      <c r="H326" s="216">
        <v>400.0</v>
      </c>
      <c r="I326" s="11">
        <f t="shared" si="14"/>
        <v>6000</v>
      </c>
      <c r="J326" s="11" t="s">
        <v>178</v>
      </c>
      <c r="K326" s="93"/>
      <c r="L326" s="93" t="s">
        <v>2012</v>
      </c>
      <c r="M326" s="93" t="s">
        <v>1954</v>
      </c>
      <c r="N326" s="217" t="s">
        <v>1396</v>
      </c>
      <c r="O326" s="11" t="str">
        <f>IMAGE("https://cdn.shopify.com/s/files/1/0088/0056/7392/products/Stepper_motor_with_Driver_board.jpg?v=1552579276",1)</f>
        <v/>
      </c>
      <c r="P326" s="11" t="s">
        <v>2135</v>
      </c>
    </row>
    <row r="327" ht="45.0" customHeight="1">
      <c r="A327" s="11">
        <v>336.0</v>
      </c>
      <c r="B327" s="222" t="s">
        <v>342</v>
      </c>
      <c r="C327" s="11" t="s">
        <v>1398</v>
      </c>
      <c r="D327" s="93" t="s">
        <v>1399</v>
      </c>
      <c r="E327" s="215" t="s">
        <v>1400</v>
      </c>
      <c r="F327" s="11">
        <v>1.0</v>
      </c>
      <c r="G327" s="11">
        <v>1.0</v>
      </c>
      <c r="H327" s="11"/>
      <c r="I327" s="11">
        <f t="shared" si="14"/>
        <v>0</v>
      </c>
      <c r="J327" s="11" t="s">
        <v>347</v>
      </c>
      <c r="K327" s="93"/>
      <c r="L327" s="93" t="s">
        <v>2105</v>
      </c>
      <c r="M327" s="93" t="s">
        <v>1980</v>
      </c>
      <c r="N327" s="217" t="s">
        <v>1401</v>
      </c>
      <c r="O327" s="11" t="str">
        <f>IMAGE("https://m.media-amazon.com/images/I/41giw5t2ycL.jpg",1)</f>
        <v/>
      </c>
      <c r="P327" s="222" t="s">
        <v>2136</v>
      </c>
    </row>
    <row r="328" ht="45.0" customHeight="1">
      <c r="A328" s="11">
        <v>337.0</v>
      </c>
      <c r="B328" s="11" t="s">
        <v>342</v>
      </c>
      <c r="C328" s="11" t="s">
        <v>1403</v>
      </c>
      <c r="D328" s="93" t="s">
        <v>1404</v>
      </c>
      <c r="E328" s="215" t="s">
        <v>1400</v>
      </c>
      <c r="F328" s="11">
        <v>1.0</v>
      </c>
      <c r="G328" s="11">
        <v>1.0</v>
      </c>
      <c r="H328" s="11">
        <v>700.0</v>
      </c>
      <c r="I328" s="11">
        <f t="shared" si="14"/>
        <v>700</v>
      </c>
      <c r="J328" s="11" t="s">
        <v>347</v>
      </c>
      <c r="K328" s="93"/>
      <c r="L328" s="93"/>
      <c r="M328" s="93" t="s">
        <v>1980</v>
      </c>
      <c r="N328" s="217"/>
      <c r="O328" s="11" t="str">
        <f>IMAGE("https://m.media-amazon.com/images/I/71vAZkeQh9L._SL1500_.jpg",1)</f>
        <v/>
      </c>
      <c r="P328" s="222" t="s">
        <v>2136</v>
      </c>
    </row>
    <row r="329" ht="45.0" customHeight="1">
      <c r="A329" s="11">
        <v>339.0</v>
      </c>
      <c r="B329" s="222" t="s">
        <v>342</v>
      </c>
      <c r="C329" s="11" t="s">
        <v>1411</v>
      </c>
      <c r="D329" s="93" t="s">
        <v>1412</v>
      </c>
      <c r="E329" s="215" t="s">
        <v>1400</v>
      </c>
      <c r="F329" s="11">
        <v>5.0</v>
      </c>
      <c r="G329" s="11">
        <v>5.0</v>
      </c>
      <c r="H329" s="11">
        <v>20.0</v>
      </c>
      <c r="I329" s="11">
        <f t="shared" si="14"/>
        <v>100</v>
      </c>
      <c r="J329" s="11" t="s">
        <v>347</v>
      </c>
      <c r="K329" s="93"/>
      <c r="L329" s="93" t="s">
        <v>2137</v>
      </c>
      <c r="M329" s="93" t="s">
        <v>1980</v>
      </c>
      <c r="N329" s="223" t="s">
        <v>1413</v>
      </c>
      <c r="O329" s="11" t="str">
        <f>IMAGE("https://m.media-amazon.com/images/I/61saUYFEn9L._SL1500_.jpg",1)</f>
        <v/>
      </c>
      <c r="P329" s="222" t="s">
        <v>2138</v>
      </c>
    </row>
    <row r="330" ht="45.0" customHeight="1">
      <c r="A330" s="11">
        <v>340.0</v>
      </c>
      <c r="B330" s="11" t="s">
        <v>342</v>
      </c>
      <c r="C330" s="11" t="s">
        <v>1415</v>
      </c>
      <c r="D330" s="93" t="s">
        <v>1416</v>
      </c>
      <c r="E330" s="215" t="s">
        <v>1400</v>
      </c>
      <c r="F330" s="11">
        <v>1.0</v>
      </c>
      <c r="G330" s="11">
        <v>1.0</v>
      </c>
      <c r="H330" s="11"/>
      <c r="I330" s="11">
        <f t="shared" si="14"/>
        <v>0</v>
      </c>
      <c r="J330" s="11" t="s">
        <v>347</v>
      </c>
      <c r="K330" s="93"/>
      <c r="L330" s="93"/>
      <c r="M330" s="93" t="s">
        <v>1980</v>
      </c>
      <c r="N330" s="217" t="s">
        <v>1417</v>
      </c>
      <c r="O330" s="11" t="str">
        <f>IMAGE("https://m.media-amazon.com/images/I/61zRix8Lt0L._SL1500_.jpg",1)</f>
        <v/>
      </c>
      <c r="P330" s="222" t="s">
        <v>2136</v>
      </c>
    </row>
    <row r="331" ht="45.0" customHeight="1">
      <c r="A331" s="11">
        <v>342.0</v>
      </c>
      <c r="B331" s="11" t="s">
        <v>15</v>
      </c>
      <c r="C331" s="11" t="s">
        <v>1424</v>
      </c>
      <c r="D331" s="93" t="s">
        <v>1425</v>
      </c>
      <c r="E331" s="215" t="s">
        <v>1421</v>
      </c>
      <c r="F331" s="11">
        <v>5.0</v>
      </c>
      <c r="G331" s="11">
        <v>5.0</v>
      </c>
      <c r="H331" s="11">
        <v>300.0</v>
      </c>
      <c r="I331" s="11">
        <f t="shared" si="14"/>
        <v>1500</v>
      </c>
      <c r="J331" s="11" t="s">
        <v>20</v>
      </c>
      <c r="K331" s="93" t="s">
        <v>65</v>
      </c>
      <c r="L331" s="93" t="s">
        <v>2008</v>
      </c>
      <c r="M331" s="93" t="s">
        <v>1892</v>
      </c>
      <c r="N331" s="217" t="s">
        <v>1427</v>
      </c>
      <c r="O331" s="11" t="str">
        <f>IMAGE("https://imgs.michaels.com/MAM/assets/1/5E3C12034D34434F8A9BAAFDDF0F8E1B/img/5CDBB82051B44720A8F8901B4AABD77C/10446567_2.jpg",1)</f>
        <v/>
      </c>
      <c r="P331" s="11" t="s">
        <v>2011</v>
      </c>
    </row>
    <row r="332" ht="45.0" customHeight="1">
      <c r="A332" s="11">
        <v>343.0</v>
      </c>
      <c r="B332" s="11" t="s">
        <v>15</v>
      </c>
      <c r="C332" s="11" t="s">
        <v>1429</v>
      </c>
      <c r="D332" s="93" t="s">
        <v>1981</v>
      </c>
      <c r="E332" s="215" t="s">
        <v>1421</v>
      </c>
      <c r="F332" s="11">
        <v>5.0</v>
      </c>
      <c r="G332" s="11">
        <v>5.0</v>
      </c>
      <c r="H332" s="11">
        <v>200.0</v>
      </c>
      <c r="I332" s="11">
        <f t="shared" si="14"/>
        <v>1000</v>
      </c>
      <c r="J332" s="11" t="s">
        <v>20</v>
      </c>
      <c r="K332" s="93" t="s">
        <v>65</v>
      </c>
      <c r="L332" s="93" t="s">
        <v>1594</v>
      </c>
      <c r="M332" s="93" t="s">
        <v>1892</v>
      </c>
      <c r="N332" s="217"/>
      <c r="O332" s="11" t="str">
        <f>IMAGE("https://upload.wikimedia.org/wikipedia/commons/7/79/Polymer_clay_examples.jpg",1)</f>
        <v/>
      </c>
      <c r="P332" s="11" t="s">
        <v>2139</v>
      </c>
    </row>
    <row r="333" ht="45.0" customHeight="1">
      <c r="A333" s="11">
        <v>344.0</v>
      </c>
      <c r="B333" s="222" t="s">
        <v>15</v>
      </c>
      <c r="C333" s="11" t="s">
        <v>1433</v>
      </c>
      <c r="D333" s="93" t="s">
        <v>1982</v>
      </c>
      <c r="E333" s="215" t="s">
        <v>1421</v>
      </c>
      <c r="F333" s="216">
        <v>1.0</v>
      </c>
      <c r="G333" s="216">
        <v>1.0</v>
      </c>
      <c r="H333" s="216">
        <v>200.0</v>
      </c>
      <c r="I333" s="11">
        <f t="shared" si="14"/>
        <v>200</v>
      </c>
      <c r="J333" s="11" t="s">
        <v>20</v>
      </c>
      <c r="K333" s="93" t="s">
        <v>21</v>
      </c>
      <c r="L333" s="93"/>
      <c r="M333" s="93" t="s">
        <v>1983</v>
      </c>
      <c r="N333" s="217" t="s">
        <v>1436</v>
      </c>
      <c r="O333" s="11" t="str">
        <f>IMAGE("https://m.media-amazon.com/images/I/81PowerIGsL._SL1500_.jpg")</f>
        <v/>
      </c>
      <c r="P333" s="222" t="s">
        <v>2007</v>
      </c>
    </row>
    <row r="334" ht="45.0" customHeight="1">
      <c r="A334" s="11">
        <v>345.0</v>
      </c>
      <c r="B334" s="11" t="s">
        <v>15</v>
      </c>
      <c r="C334" s="11" t="s">
        <v>1438</v>
      </c>
      <c r="D334" s="93" t="s">
        <v>1439</v>
      </c>
      <c r="E334" s="215" t="s">
        <v>1421</v>
      </c>
      <c r="F334" s="216">
        <v>5.0</v>
      </c>
      <c r="G334" s="216">
        <v>5.0</v>
      </c>
      <c r="H334" s="216">
        <v>50.0</v>
      </c>
      <c r="I334" s="11">
        <f t="shared" si="14"/>
        <v>250</v>
      </c>
      <c r="J334" s="11" t="s">
        <v>20</v>
      </c>
      <c r="K334" s="93" t="s">
        <v>21</v>
      </c>
      <c r="L334" s="93"/>
      <c r="M334" s="93" t="s">
        <v>1983</v>
      </c>
      <c r="N334" s="217" t="s">
        <v>1440</v>
      </c>
      <c r="O334" s="11" t="str">
        <f>IMAGE("https://cdn.shopify.com/s/files/1/0032/5448/5037/products/suvidha-aluminium-foil-72-meters-pack-of-12_800x.jpg?v=1562920856",1)</f>
        <v/>
      </c>
      <c r="P334" s="11" t="s">
        <v>2140</v>
      </c>
    </row>
    <row r="335" ht="45.0" customHeight="1">
      <c r="A335" s="11">
        <v>346.0</v>
      </c>
      <c r="B335" s="222" t="s">
        <v>15</v>
      </c>
      <c r="C335" s="11" t="s">
        <v>1442</v>
      </c>
      <c r="D335" s="93" t="s">
        <v>936</v>
      </c>
      <c r="E335" s="215" t="s">
        <v>1421</v>
      </c>
      <c r="F335" s="216">
        <v>4.0</v>
      </c>
      <c r="G335" s="216">
        <v>4.0</v>
      </c>
      <c r="H335" s="216">
        <v>20.0</v>
      </c>
      <c r="I335" s="11">
        <f t="shared" si="14"/>
        <v>80</v>
      </c>
      <c r="J335" s="11" t="s">
        <v>20</v>
      </c>
      <c r="K335" s="11"/>
      <c r="L335" s="93" t="s">
        <v>1902</v>
      </c>
      <c r="M335" s="93" t="s">
        <v>111</v>
      </c>
      <c r="N335" s="217" t="s">
        <v>1443</v>
      </c>
      <c r="O335" s="11" t="str">
        <f>IMAGE("https://m.media-amazon.com/images/I/61ywjiydpbS._SL1500_.jpg",1)</f>
        <v/>
      </c>
      <c r="P335" s="222" t="s">
        <v>2019</v>
      </c>
    </row>
    <row r="336" ht="45.0" customHeight="1">
      <c r="A336" s="11">
        <v>347.0</v>
      </c>
      <c r="B336" s="11" t="s">
        <v>15</v>
      </c>
      <c r="C336" s="11" t="s">
        <v>1453</v>
      </c>
      <c r="D336" s="93" t="s">
        <v>1454</v>
      </c>
      <c r="E336" s="215" t="s">
        <v>1421</v>
      </c>
      <c r="F336" s="216">
        <v>50.0</v>
      </c>
      <c r="G336" s="216">
        <v>50.0</v>
      </c>
      <c r="H336" s="216">
        <v>50.0</v>
      </c>
      <c r="I336" s="11">
        <f t="shared" si="14"/>
        <v>2500</v>
      </c>
      <c r="J336" s="11" t="s">
        <v>20</v>
      </c>
      <c r="K336" s="93" t="s">
        <v>65</v>
      </c>
      <c r="L336" s="93"/>
      <c r="M336" s="93" t="s">
        <v>111</v>
      </c>
      <c r="N336" s="217" t="s">
        <v>1455</v>
      </c>
      <c r="O336" s="11" t="str">
        <f>IMAGE("https://cdn11.bigcommerce.com/s-33iv1gdknl/images/stencil/1280x1280/products/115465/70691/prd_32014_5797121027228__12010.1559545680.jpg?c=2",1)</f>
        <v/>
      </c>
      <c r="P336" s="11" t="s">
        <v>2141</v>
      </c>
    </row>
    <row r="337" ht="45.0" customHeight="1">
      <c r="A337" s="11">
        <v>348.0</v>
      </c>
      <c r="B337" s="11" t="s">
        <v>15</v>
      </c>
      <c r="C337" s="11" t="s">
        <v>1457</v>
      </c>
      <c r="D337" s="93" t="s">
        <v>1458</v>
      </c>
      <c r="E337" s="215" t="s">
        <v>1421</v>
      </c>
      <c r="F337" s="216">
        <v>10.0</v>
      </c>
      <c r="G337" s="216">
        <v>10.0</v>
      </c>
      <c r="H337" s="216">
        <v>280.0</v>
      </c>
      <c r="I337" s="11">
        <f t="shared" si="14"/>
        <v>2800</v>
      </c>
      <c r="J337" s="11" t="s">
        <v>20</v>
      </c>
      <c r="K337" s="93" t="s">
        <v>65</v>
      </c>
      <c r="L337" s="93"/>
      <c r="M337" s="93" t="s">
        <v>1985</v>
      </c>
      <c r="N337" s="217"/>
      <c r="O337" s="11" t="str">
        <f>IMAGE("https://assetscdn1.paytm.com/images/catalog/product/S/ST/STAEVA-FOAM-SHEKAPI63599336D8CB51/1563562065545_0..jpg?imwidth=320&amp;impolicy=hq",1)</f>
        <v/>
      </c>
      <c r="P337" s="11" t="s">
        <v>2142</v>
      </c>
    </row>
    <row r="338" ht="45.0" customHeight="1">
      <c r="A338" s="11">
        <v>349.0</v>
      </c>
      <c r="B338" s="11" t="s">
        <v>15</v>
      </c>
      <c r="C338" s="11" t="s">
        <v>1445</v>
      </c>
      <c r="D338" s="93" t="s">
        <v>1446</v>
      </c>
      <c r="E338" s="215" t="s">
        <v>1421</v>
      </c>
      <c r="F338" s="216">
        <v>5.0</v>
      </c>
      <c r="G338" s="216">
        <v>5.0</v>
      </c>
      <c r="H338" s="216">
        <v>100.0</v>
      </c>
      <c r="I338" s="11">
        <f t="shared" si="14"/>
        <v>500</v>
      </c>
      <c r="J338" s="11" t="s">
        <v>20</v>
      </c>
      <c r="K338" s="93" t="s">
        <v>65</v>
      </c>
      <c r="L338" s="123"/>
      <c r="M338" s="93" t="s">
        <v>1985</v>
      </c>
      <c r="N338" s="217" t="s">
        <v>1447</v>
      </c>
      <c r="O338" s="11" t="str">
        <f t="shared" ref="O338:O339" si="16">IMAGE("https://m.media-amazon.com/images/I/51FB8cHTJyL._SL1500_.jpg",1)</f>
        <v/>
      </c>
      <c r="P338" s="11" t="s">
        <v>2143</v>
      </c>
    </row>
    <row r="339" ht="45.0" customHeight="1">
      <c r="A339" s="11">
        <v>350.0</v>
      </c>
      <c r="B339" s="11" t="s">
        <v>15</v>
      </c>
      <c r="C339" s="11" t="s">
        <v>1449</v>
      </c>
      <c r="D339" s="93" t="s">
        <v>1450</v>
      </c>
      <c r="E339" s="215" t="s">
        <v>1421</v>
      </c>
      <c r="F339" s="216">
        <v>5.0</v>
      </c>
      <c r="G339" s="216">
        <v>5.0</v>
      </c>
      <c r="H339" s="216">
        <v>200.0</v>
      </c>
      <c r="I339" s="11">
        <f t="shared" si="14"/>
        <v>1000</v>
      </c>
      <c r="J339" s="11" t="s">
        <v>20</v>
      </c>
      <c r="K339" s="93" t="s">
        <v>65</v>
      </c>
      <c r="L339" s="123"/>
      <c r="M339" s="93" t="s">
        <v>1985</v>
      </c>
      <c r="N339" s="217" t="s">
        <v>1451</v>
      </c>
      <c r="O339" s="11" t="str">
        <f t="shared" si="16"/>
        <v/>
      </c>
      <c r="P339" s="11" t="s">
        <v>2143</v>
      </c>
    </row>
    <row r="340" ht="45.0" customHeight="1">
      <c r="A340" s="11">
        <v>351.0</v>
      </c>
      <c r="B340" s="11" t="s">
        <v>15</v>
      </c>
      <c r="C340" s="11" t="s">
        <v>1460</v>
      </c>
      <c r="D340" s="93" t="s">
        <v>1461</v>
      </c>
      <c r="E340" s="215" t="s">
        <v>1421</v>
      </c>
      <c r="F340" s="216">
        <v>1.0</v>
      </c>
      <c r="G340" s="216">
        <v>1.0</v>
      </c>
      <c r="H340" s="216">
        <v>400.0</v>
      </c>
      <c r="I340" s="11">
        <f t="shared" si="14"/>
        <v>400</v>
      </c>
      <c r="J340" s="11" t="s">
        <v>20</v>
      </c>
      <c r="K340" s="93" t="s">
        <v>65</v>
      </c>
      <c r="L340" s="93"/>
      <c r="M340" s="93" t="s">
        <v>1899</v>
      </c>
      <c r="N340" s="217" t="s">
        <v>1463</v>
      </c>
      <c r="O340" s="11" t="str">
        <f>IMAGE("https://5.imimg.com/data5/NA/SV/MA/SELLER-5806248/transparent-ohp-sheet-1000x1000.jpg",1)</f>
        <v/>
      </c>
      <c r="P340" s="11" t="s">
        <v>1984</v>
      </c>
    </row>
    <row r="341" ht="45.0" customHeight="1">
      <c r="A341" s="11">
        <v>352.0</v>
      </c>
      <c r="B341" s="11" t="s">
        <v>15</v>
      </c>
      <c r="C341" s="11" t="s">
        <v>1465</v>
      </c>
      <c r="D341" s="93" t="s">
        <v>1466</v>
      </c>
      <c r="E341" s="215" t="s">
        <v>1421</v>
      </c>
      <c r="F341" s="216">
        <v>10.0</v>
      </c>
      <c r="G341" s="216">
        <v>10.0</v>
      </c>
      <c r="H341" s="216">
        <v>72.0</v>
      </c>
      <c r="I341" s="11">
        <f t="shared" si="14"/>
        <v>720</v>
      </c>
      <c r="J341" s="11" t="s">
        <v>20</v>
      </c>
      <c r="K341" s="93" t="s">
        <v>65</v>
      </c>
      <c r="L341" s="93"/>
      <c r="M341" s="93" t="s">
        <v>1985</v>
      </c>
      <c r="N341" s="223" t="s">
        <v>1467</v>
      </c>
      <c r="O341" s="11" t="str">
        <f>IMAGE("https://www.ramsayrubber.com/wp-content/uploads/2020/01/Rolls-Sheeting-Polyurethane-Foam-Rolls2-1.jpg",1)</f>
        <v/>
      </c>
      <c r="P341" s="222" t="s">
        <v>2142</v>
      </c>
    </row>
    <row r="342" ht="45.0" customHeight="1">
      <c r="A342" s="11">
        <v>353.0</v>
      </c>
      <c r="B342" s="11" t="s">
        <v>15</v>
      </c>
      <c r="C342" s="11" t="s">
        <v>1469</v>
      </c>
      <c r="D342" s="93" t="s">
        <v>1470</v>
      </c>
      <c r="E342" s="215" t="s">
        <v>1421</v>
      </c>
      <c r="F342" s="216">
        <v>1.0</v>
      </c>
      <c r="G342" s="216">
        <v>1.0</v>
      </c>
      <c r="H342" s="216">
        <v>400.0</v>
      </c>
      <c r="I342" s="11">
        <f t="shared" si="14"/>
        <v>400</v>
      </c>
      <c r="J342" s="11" t="s">
        <v>20</v>
      </c>
      <c r="K342" s="93" t="s">
        <v>21</v>
      </c>
      <c r="L342" s="93"/>
      <c r="M342" s="93" t="s">
        <v>111</v>
      </c>
      <c r="N342" s="217" t="s">
        <v>1471</v>
      </c>
      <c r="O342" s="11" t="str">
        <f>IMAGE("https://www.wpiinc.com/media/catalog/product/cache/57a65487c9a4c9d3ba2482ad45cfc757/5/0/503023.jpg",1)</f>
        <v/>
      </c>
      <c r="P342" s="11" t="s">
        <v>2007</v>
      </c>
    </row>
    <row r="343" ht="45.0" customHeight="1">
      <c r="A343" s="11">
        <v>354.0</v>
      </c>
      <c r="B343" s="222" t="s">
        <v>1472</v>
      </c>
      <c r="C343" s="11" t="s">
        <v>1474</v>
      </c>
      <c r="D343" s="93" t="s">
        <v>1475</v>
      </c>
      <c r="E343" s="215" t="s">
        <v>1476</v>
      </c>
      <c r="F343" s="216">
        <v>1.0</v>
      </c>
      <c r="G343" s="216">
        <v>1.0</v>
      </c>
      <c r="H343" s="216">
        <v>500.0</v>
      </c>
      <c r="I343" s="11">
        <f t="shared" si="14"/>
        <v>500</v>
      </c>
      <c r="J343" s="11" t="s">
        <v>1477</v>
      </c>
      <c r="K343" s="93"/>
      <c r="L343" s="93"/>
      <c r="M343" s="93" t="s">
        <v>1986</v>
      </c>
      <c r="N343" s="217" t="s">
        <v>1478</v>
      </c>
      <c r="O343" s="11" t="str">
        <f>IMAGE("https://rukminim1.flixcart.com/image/416/416/jj367bk0/fire-extinguisher-mount/w/s/y/2-kg-abc-type-fire-extinguisher-safepro-original-imaf6h7fkdngmbqd.jpeg?q=70",1)</f>
        <v/>
      </c>
      <c r="P343" s="222" t="s">
        <v>2144</v>
      </c>
    </row>
    <row r="344" ht="45.0" customHeight="1">
      <c r="A344" s="11">
        <v>355.0</v>
      </c>
      <c r="B344" s="222" t="s">
        <v>1472</v>
      </c>
      <c r="C344" s="11" t="s">
        <v>1480</v>
      </c>
      <c r="D344" s="93" t="s">
        <v>1481</v>
      </c>
      <c r="E344" s="215" t="s">
        <v>1476</v>
      </c>
      <c r="F344" s="216">
        <v>1.0</v>
      </c>
      <c r="G344" s="216">
        <v>1.0</v>
      </c>
      <c r="H344" s="216">
        <v>850.0</v>
      </c>
      <c r="I344" s="11">
        <f t="shared" si="14"/>
        <v>850</v>
      </c>
      <c r="J344" s="11" t="s">
        <v>1477</v>
      </c>
      <c r="K344" s="93"/>
      <c r="L344" s="93"/>
      <c r="M344" s="93" t="s">
        <v>1986</v>
      </c>
      <c r="N344" s="217" t="s">
        <v>1482</v>
      </c>
      <c r="O344" s="11" t="str">
        <f>IMAGE("https://m.media-amazon.com/images/I/61UHX6mp+wL._AC_UF894,1000_QL80_.jpg",1)</f>
        <v/>
      </c>
      <c r="P344" s="222" t="s">
        <v>2144</v>
      </c>
    </row>
    <row r="345" ht="45.0" customHeight="1">
      <c r="A345" s="11">
        <v>356.0</v>
      </c>
      <c r="B345" s="222" t="s">
        <v>1472</v>
      </c>
      <c r="C345" s="11" t="s">
        <v>1484</v>
      </c>
      <c r="D345" s="93" t="s">
        <v>1485</v>
      </c>
      <c r="E345" s="215" t="s">
        <v>1476</v>
      </c>
      <c r="F345" s="216">
        <v>1.0</v>
      </c>
      <c r="G345" s="216">
        <v>1.0</v>
      </c>
      <c r="H345" s="216">
        <v>500.0</v>
      </c>
      <c r="I345" s="11">
        <f t="shared" si="14"/>
        <v>500</v>
      </c>
      <c r="J345" s="11" t="s">
        <v>1477</v>
      </c>
      <c r="K345" s="93"/>
      <c r="L345" s="93"/>
      <c r="M345" s="93" t="s">
        <v>1986</v>
      </c>
      <c r="N345" s="217" t="s">
        <v>1486</v>
      </c>
      <c r="O345" s="11" t="str">
        <f>IMAGE("https://m.media-amazon.com/images/I/41yRsXk89rS._SX355_.jpg",1)</f>
        <v/>
      </c>
      <c r="P345" s="222" t="s">
        <v>2144</v>
      </c>
    </row>
    <row r="346" ht="45.0" customHeight="1">
      <c r="A346" s="11">
        <v>357.0</v>
      </c>
      <c r="B346" s="11" t="s">
        <v>1472</v>
      </c>
      <c r="C346" s="11" t="s">
        <v>1488</v>
      </c>
      <c r="D346" s="93" t="s">
        <v>1489</v>
      </c>
      <c r="E346" s="215" t="s">
        <v>1476</v>
      </c>
      <c r="F346" s="11">
        <v>5.0</v>
      </c>
      <c r="G346" s="11">
        <v>5.0</v>
      </c>
      <c r="H346" s="11">
        <v>500.0</v>
      </c>
      <c r="I346" s="11">
        <f t="shared" si="14"/>
        <v>2500</v>
      </c>
      <c r="J346" s="11" t="s">
        <v>1477</v>
      </c>
      <c r="K346" s="93"/>
      <c r="L346" s="93"/>
      <c r="M346" s="93" t="s">
        <v>1986</v>
      </c>
      <c r="N346" s="217" t="s">
        <v>1490</v>
      </c>
      <c r="O346" s="11" t="str">
        <f>IMAGE("https://5.imimg.com/data5/AR/LM/NG/SELLER-21409398/lab-uniform-500x500.jpg",1)</f>
        <v/>
      </c>
      <c r="P346" s="221" t="s">
        <v>2145</v>
      </c>
    </row>
    <row r="347" ht="45.0" customHeight="1">
      <c r="A347" s="11">
        <v>358.0</v>
      </c>
      <c r="B347" s="11" t="s">
        <v>1472</v>
      </c>
      <c r="C347" s="11" t="s">
        <v>1492</v>
      </c>
      <c r="D347" s="93" t="s">
        <v>1493</v>
      </c>
      <c r="E347" s="215" t="s">
        <v>1476</v>
      </c>
      <c r="F347" s="216">
        <v>2.0</v>
      </c>
      <c r="G347" s="216">
        <v>2.0</v>
      </c>
      <c r="H347" s="216">
        <v>100.0</v>
      </c>
      <c r="I347" s="11">
        <f t="shared" si="14"/>
        <v>200</v>
      </c>
      <c r="J347" s="11" t="s">
        <v>1477</v>
      </c>
      <c r="K347" s="93"/>
      <c r="L347" s="93" t="s">
        <v>2052</v>
      </c>
      <c r="M347" s="93" t="s">
        <v>1986</v>
      </c>
      <c r="N347" s="217" t="s">
        <v>1494</v>
      </c>
      <c r="O347" s="11" t="str">
        <f>IMAGE("https://cdn.moglix.com/p/oBWcDtePyNEFP.jpg",1)</f>
        <v/>
      </c>
      <c r="P347" s="221" t="s">
        <v>2145</v>
      </c>
    </row>
    <row r="348" ht="45.0" customHeight="1">
      <c r="A348" s="11">
        <v>359.0</v>
      </c>
      <c r="B348" s="222" t="s">
        <v>1472</v>
      </c>
      <c r="C348" s="11" t="s">
        <v>1496</v>
      </c>
      <c r="D348" s="93" t="s">
        <v>1497</v>
      </c>
      <c r="E348" s="215" t="s">
        <v>1476</v>
      </c>
      <c r="F348" s="11">
        <v>5.0</v>
      </c>
      <c r="G348" s="11">
        <v>5.0</v>
      </c>
      <c r="H348" s="11"/>
      <c r="I348" s="11">
        <v>100.0</v>
      </c>
      <c r="J348" s="11" t="s">
        <v>1477</v>
      </c>
      <c r="K348" s="93"/>
      <c r="L348" s="93"/>
      <c r="M348" s="93" t="s">
        <v>1986</v>
      </c>
      <c r="N348" s="217" t="s">
        <v>1498</v>
      </c>
      <c r="O348" s="11" t="str">
        <f>IMAGE("https://5.imimg.com/data5/SELLER/Default/2023/5/311302937/IM/IY/MO/34533827/safety-rubber-apron-1000x1000.jpg", 1)</f>
        <v/>
      </c>
      <c r="P348" s="221" t="s">
        <v>2145</v>
      </c>
    </row>
    <row r="349" ht="45.0" customHeight="1">
      <c r="A349" s="11">
        <v>360.0</v>
      </c>
      <c r="B349" s="254" t="s">
        <v>1472</v>
      </c>
      <c r="C349" s="11" t="s">
        <v>1500</v>
      </c>
      <c r="D349" s="93" t="s">
        <v>1501</v>
      </c>
      <c r="E349" s="215" t="s">
        <v>1476</v>
      </c>
      <c r="F349" s="216">
        <v>15.0</v>
      </c>
      <c r="G349" s="216">
        <v>15.0</v>
      </c>
      <c r="H349" s="216">
        <v>70.0</v>
      </c>
      <c r="I349" s="11">
        <f t="shared" ref="I349:I392" si="17">H349*G349</f>
        <v>1050</v>
      </c>
      <c r="J349" s="11" t="s">
        <v>1477</v>
      </c>
      <c r="K349" s="93"/>
      <c r="L349" s="93" t="s">
        <v>1594</v>
      </c>
      <c r="M349" s="93" t="s">
        <v>1986</v>
      </c>
      <c r="N349" s="217" t="s">
        <v>1502</v>
      </c>
      <c r="O349" s="11" t="str">
        <f>IMAGE("https://5.imimg.com/data5/DM/UP/MY-3422722/latex-coated-gloves-500x500.jpg",1)</f>
        <v/>
      </c>
      <c r="P349" s="257" t="s">
        <v>2146</v>
      </c>
    </row>
    <row r="350" ht="45.0" customHeight="1">
      <c r="A350" s="11">
        <v>361.0</v>
      </c>
      <c r="B350" s="222" t="s">
        <v>1472</v>
      </c>
      <c r="C350" s="11" t="s">
        <v>1504</v>
      </c>
      <c r="D350" s="93" t="s">
        <v>1505</v>
      </c>
      <c r="E350" s="215" t="s">
        <v>1476</v>
      </c>
      <c r="F350" s="216">
        <v>30.0</v>
      </c>
      <c r="G350" s="216">
        <v>30.0</v>
      </c>
      <c r="H350" s="216">
        <v>20.0</v>
      </c>
      <c r="I350" s="11">
        <f t="shared" si="17"/>
        <v>600</v>
      </c>
      <c r="J350" s="11" t="s">
        <v>1477</v>
      </c>
      <c r="K350" s="93"/>
      <c r="L350" s="93" t="s">
        <v>2008</v>
      </c>
      <c r="M350" s="93" t="s">
        <v>1986</v>
      </c>
      <c r="N350" s="217" t="s">
        <v>1506</v>
      </c>
      <c r="O350" s="11" t="str">
        <f>IMAGE("https://5.imimg.com/data5/RD/NQ/ZF/SELLER-67911650/safety-goggles.jpg")</f>
        <v/>
      </c>
      <c r="P350" s="257" t="s">
        <v>2147</v>
      </c>
    </row>
    <row r="351" ht="45.0" customHeight="1">
      <c r="A351" s="11">
        <v>362.0</v>
      </c>
      <c r="B351" s="222" t="s">
        <v>1472</v>
      </c>
      <c r="C351" s="11" t="s">
        <v>1508</v>
      </c>
      <c r="D351" s="93" t="s">
        <v>1509</v>
      </c>
      <c r="E351" s="215" t="s">
        <v>1476</v>
      </c>
      <c r="F351" s="216">
        <v>60.0</v>
      </c>
      <c r="G351" s="216">
        <v>60.0</v>
      </c>
      <c r="H351" s="216">
        <v>150.0</v>
      </c>
      <c r="I351" s="11">
        <f t="shared" si="17"/>
        <v>9000</v>
      </c>
      <c r="J351" s="11" t="s">
        <v>1477</v>
      </c>
      <c r="K351" s="93"/>
      <c r="L351" s="93" t="s">
        <v>1594</v>
      </c>
      <c r="M351" s="93" t="s">
        <v>1986</v>
      </c>
      <c r="N351" s="217" t="s">
        <v>1510</v>
      </c>
      <c r="O351" s="11" t="str">
        <f>IMAGE("https://img2.exportersindia.com/product_images/bc-full/dir_151/4514764/dust-masks-1499837104-3125900.jpg",1)</f>
        <v/>
      </c>
      <c r="P351" s="221" t="s">
        <v>2148</v>
      </c>
    </row>
    <row r="352" ht="45.0" customHeight="1">
      <c r="A352" s="11">
        <v>363.0</v>
      </c>
      <c r="B352" s="11" t="s">
        <v>173</v>
      </c>
      <c r="C352" s="11" t="s">
        <v>1512</v>
      </c>
      <c r="D352" s="93" t="s">
        <v>1767</v>
      </c>
      <c r="E352" s="215" t="s">
        <v>1514</v>
      </c>
      <c r="F352" s="216">
        <v>10.0</v>
      </c>
      <c r="G352" s="216">
        <v>10.0</v>
      </c>
      <c r="H352" s="216">
        <v>300.0</v>
      </c>
      <c r="I352" s="11">
        <f t="shared" si="17"/>
        <v>3000</v>
      </c>
      <c r="J352" s="11" t="s">
        <v>178</v>
      </c>
      <c r="K352" s="93"/>
      <c r="L352" s="93" t="s">
        <v>2062</v>
      </c>
      <c r="M352" s="215" t="s">
        <v>1514</v>
      </c>
      <c r="N352" s="217" t="s">
        <v>1515</v>
      </c>
      <c r="O352" s="11" t="str">
        <f>IMAGE("https://m.media-amazon.com/images/I/61PFvg8BbeL._SL1500_.jpg",1)</f>
        <v/>
      </c>
      <c r="P352" s="11" t="s">
        <v>1768</v>
      </c>
    </row>
    <row r="353" ht="45.0" customHeight="1">
      <c r="A353" s="11">
        <v>364.0</v>
      </c>
      <c r="B353" s="11" t="s">
        <v>173</v>
      </c>
      <c r="C353" s="11" t="s">
        <v>1517</v>
      </c>
      <c r="D353" s="93" t="s">
        <v>1824</v>
      </c>
      <c r="E353" s="215" t="s">
        <v>1514</v>
      </c>
      <c r="F353" s="216">
        <v>5.0</v>
      </c>
      <c r="G353" s="216">
        <v>5.0</v>
      </c>
      <c r="H353" s="216">
        <v>30.0</v>
      </c>
      <c r="I353" s="11">
        <f t="shared" si="17"/>
        <v>150</v>
      </c>
      <c r="J353" s="11" t="s">
        <v>178</v>
      </c>
      <c r="K353" s="93"/>
      <c r="L353" s="93" t="s">
        <v>2070</v>
      </c>
      <c r="M353" s="215" t="s">
        <v>1514</v>
      </c>
      <c r="N353" s="217" t="s">
        <v>1519</v>
      </c>
      <c r="O353" s="11" t="str">
        <f>IMAGE("https://robu.in/wp-content/uploads/2017/06/31100-2.jpg",1)</f>
        <v/>
      </c>
      <c r="P353" s="221" t="s">
        <v>1774</v>
      </c>
    </row>
    <row r="354" ht="45.0" customHeight="1">
      <c r="A354" s="11">
        <v>365.0</v>
      </c>
      <c r="B354" s="11" t="s">
        <v>173</v>
      </c>
      <c r="C354" s="11" t="s">
        <v>1521</v>
      </c>
      <c r="D354" s="37" t="s">
        <v>1744</v>
      </c>
      <c r="E354" s="215" t="s">
        <v>1514</v>
      </c>
      <c r="F354" s="216">
        <v>5.0</v>
      </c>
      <c r="G354" s="216">
        <v>5.0</v>
      </c>
      <c r="H354" s="216">
        <v>200.0</v>
      </c>
      <c r="I354" s="11">
        <f t="shared" si="17"/>
        <v>1000</v>
      </c>
      <c r="J354" s="11" t="s">
        <v>178</v>
      </c>
      <c r="K354" s="93"/>
      <c r="L354" s="93" t="s">
        <v>2070</v>
      </c>
      <c r="M354" s="215" t="s">
        <v>1514</v>
      </c>
      <c r="N354" s="217" t="s">
        <v>1523</v>
      </c>
      <c r="O354" s="11" t="str">
        <f>IMAGE("https://m.media-amazon.com/images/W/MEDIAX_792452-T2/images/I/71PSVpNRPuL._SL1500_.jpg",1)</f>
        <v/>
      </c>
      <c r="P354" s="221" t="s">
        <v>1766</v>
      </c>
    </row>
    <row r="355" ht="45.0" customHeight="1">
      <c r="A355" s="11">
        <v>366.0</v>
      </c>
      <c r="B355" s="11" t="s">
        <v>173</v>
      </c>
      <c r="C355" s="11" t="s">
        <v>1525</v>
      </c>
      <c r="D355" s="93" t="s">
        <v>1526</v>
      </c>
      <c r="E355" s="215" t="s">
        <v>1514</v>
      </c>
      <c r="F355" s="216">
        <v>5.0</v>
      </c>
      <c r="G355" s="216">
        <v>5.0</v>
      </c>
      <c r="H355" s="216">
        <v>250.0</v>
      </c>
      <c r="I355" s="11">
        <f t="shared" si="17"/>
        <v>1250</v>
      </c>
      <c r="J355" s="11" t="s">
        <v>178</v>
      </c>
      <c r="K355" s="93"/>
      <c r="L355" s="93" t="s">
        <v>2070</v>
      </c>
      <c r="M355" s="215" t="s">
        <v>1514</v>
      </c>
      <c r="N355" s="217" t="s">
        <v>1527</v>
      </c>
      <c r="O355" s="11" t="str">
        <f>IMAGE("https://robu.in/wp-content/uploads/2016/08/2-1.jpg",1)</f>
        <v/>
      </c>
      <c r="P355" s="11" t="s">
        <v>1784</v>
      </c>
    </row>
    <row r="356" ht="45.0" customHeight="1">
      <c r="A356" s="11">
        <v>367.0</v>
      </c>
      <c r="B356" s="11" t="s">
        <v>173</v>
      </c>
      <c r="C356" s="11" t="s">
        <v>1529</v>
      </c>
      <c r="D356" s="93" t="s">
        <v>1530</v>
      </c>
      <c r="E356" s="215" t="s">
        <v>1514</v>
      </c>
      <c r="F356" s="216">
        <v>5.0</v>
      </c>
      <c r="G356" s="216">
        <v>5.0</v>
      </c>
      <c r="H356" s="216">
        <v>250.0</v>
      </c>
      <c r="I356" s="11">
        <f t="shared" si="17"/>
        <v>1250</v>
      </c>
      <c r="J356" s="11" t="s">
        <v>178</v>
      </c>
      <c r="K356" s="93"/>
      <c r="L356" s="93" t="s">
        <v>2070</v>
      </c>
      <c r="M356" s="215" t="s">
        <v>1514</v>
      </c>
      <c r="N356" s="217" t="s">
        <v>1531</v>
      </c>
      <c r="O356" s="11" t="str">
        <f>IMAGE("https://5.imimg.com/data5/SELLER/Default/2023/1/KQ/RE/WN/37611021/unique-india-force-pressure-sensor-square-500x500.jpg",1)</f>
        <v/>
      </c>
      <c r="P356" s="11" t="s">
        <v>1783</v>
      </c>
    </row>
    <row r="357" ht="45.0" customHeight="1">
      <c r="A357" s="11">
        <v>368.0</v>
      </c>
      <c r="B357" s="11" t="s">
        <v>173</v>
      </c>
      <c r="C357" s="11" t="s">
        <v>1533</v>
      </c>
      <c r="D357" s="93" t="s">
        <v>1781</v>
      </c>
      <c r="E357" s="215" t="s">
        <v>1514</v>
      </c>
      <c r="F357" s="216">
        <v>10.0</v>
      </c>
      <c r="G357" s="216">
        <v>10.0</v>
      </c>
      <c r="H357" s="216">
        <v>300.0</v>
      </c>
      <c r="I357" s="11">
        <f t="shared" si="17"/>
        <v>3000</v>
      </c>
      <c r="J357" s="11" t="s">
        <v>178</v>
      </c>
      <c r="K357" s="93"/>
      <c r="L357" s="93" t="s">
        <v>2062</v>
      </c>
      <c r="M357" s="215" t="s">
        <v>1514</v>
      </c>
      <c r="N357" s="217" t="s">
        <v>1535</v>
      </c>
      <c r="O357" s="11" t="str">
        <f>IMAGE("https://m.media-amazon.com/images/W/MEDIAX_792452-T2/images/I/61e+2rew8OL._SL1011_.jpg",1)</f>
        <v/>
      </c>
      <c r="P357" s="11" t="s">
        <v>1782</v>
      </c>
    </row>
    <row r="358" ht="45.0" customHeight="1">
      <c r="A358" s="11">
        <v>369.0</v>
      </c>
      <c r="B358" s="11" t="s">
        <v>173</v>
      </c>
      <c r="C358" s="11" t="s">
        <v>1537</v>
      </c>
      <c r="D358" s="93" t="s">
        <v>1791</v>
      </c>
      <c r="E358" s="215" t="s">
        <v>1514</v>
      </c>
      <c r="F358" s="216">
        <v>5.0</v>
      </c>
      <c r="G358" s="216">
        <v>5.0</v>
      </c>
      <c r="H358" s="216">
        <v>30.0</v>
      </c>
      <c r="I358" s="11">
        <f t="shared" si="17"/>
        <v>150</v>
      </c>
      <c r="J358" s="11" t="s">
        <v>178</v>
      </c>
      <c r="K358" s="93"/>
      <c r="L358" s="93" t="s">
        <v>2070</v>
      </c>
      <c r="M358" s="215" t="s">
        <v>1514</v>
      </c>
      <c r="N358" s="217" t="s">
        <v>1539</v>
      </c>
      <c r="O358" s="11" t="str">
        <f>IMAGE("https://makerbazar.in/cdn/shop/products/IR_transmitter-receiver_-_TSOP_1738_600x.jpg?v=1582114496",1)</f>
        <v/>
      </c>
      <c r="P358" s="11" t="s">
        <v>1788</v>
      </c>
    </row>
    <row r="359" ht="45.0" customHeight="1">
      <c r="A359" s="11">
        <v>370.0</v>
      </c>
      <c r="B359" s="11" t="s">
        <v>173</v>
      </c>
      <c r="C359" s="11" t="s">
        <v>1541</v>
      </c>
      <c r="D359" s="93" t="s">
        <v>1786</v>
      </c>
      <c r="E359" s="215" t="s">
        <v>1514</v>
      </c>
      <c r="F359" s="216">
        <v>5.0</v>
      </c>
      <c r="G359" s="216">
        <v>5.0</v>
      </c>
      <c r="H359" s="216">
        <v>250.0</v>
      </c>
      <c r="I359" s="11">
        <f t="shared" si="17"/>
        <v>1250</v>
      </c>
      <c r="J359" s="11" t="s">
        <v>178</v>
      </c>
      <c r="K359" s="93"/>
      <c r="L359" s="93" t="s">
        <v>2062</v>
      </c>
      <c r="M359" s="215" t="s">
        <v>1514</v>
      </c>
      <c r="N359" s="217" t="s">
        <v>1543</v>
      </c>
      <c r="O359" s="11" t="str">
        <f>IMAGE("https://makerbazar.in/cdn/shop/products/IR-Array_2048x2048_29f53719-c65f-4f67-a7f9-06b99966bf49_400x.jpg?v=1628014848",1)</f>
        <v/>
      </c>
      <c r="P359" s="11" t="s">
        <v>1787</v>
      </c>
    </row>
    <row r="360" ht="45.0" customHeight="1">
      <c r="A360" s="11">
        <v>371.0</v>
      </c>
      <c r="B360" s="11" t="s">
        <v>173</v>
      </c>
      <c r="C360" s="11" t="s">
        <v>1545</v>
      </c>
      <c r="D360" s="93" t="s">
        <v>1546</v>
      </c>
      <c r="E360" s="215" t="s">
        <v>1514</v>
      </c>
      <c r="F360" s="216">
        <v>10.0</v>
      </c>
      <c r="G360" s="216">
        <v>10.0</v>
      </c>
      <c r="H360" s="216">
        <v>30.0</v>
      </c>
      <c r="I360" s="11">
        <f t="shared" si="17"/>
        <v>300</v>
      </c>
      <c r="J360" s="11" t="s">
        <v>178</v>
      </c>
      <c r="K360" s="93"/>
      <c r="L360" s="93" t="s">
        <v>2062</v>
      </c>
      <c r="M360" s="215" t="s">
        <v>1514</v>
      </c>
      <c r="N360" s="217" t="s">
        <v>1547</v>
      </c>
      <c r="O360" s="11" t="str">
        <f>IMAGE("https://robu.in/wp-content/uploads/2017/05/LDR-module-1.png",1)</f>
        <v/>
      </c>
      <c r="P360" s="11" t="s">
        <v>1782</v>
      </c>
    </row>
    <row r="361" ht="45.0" customHeight="1">
      <c r="A361" s="11">
        <v>372.0</v>
      </c>
      <c r="B361" s="11" t="s">
        <v>173</v>
      </c>
      <c r="C361" s="11" t="s">
        <v>1549</v>
      </c>
      <c r="D361" s="93" t="s">
        <v>1775</v>
      </c>
      <c r="E361" s="215" t="s">
        <v>1514</v>
      </c>
      <c r="F361" s="216">
        <v>5.0</v>
      </c>
      <c r="G361" s="216">
        <v>5.0</v>
      </c>
      <c r="H361" s="216">
        <v>90.0</v>
      </c>
      <c r="I361" s="11">
        <f t="shared" si="17"/>
        <v>450</v>
      </c>
      <c r="J361" s="11" t="s">
        <v>178</v>
      </c>
      <c r="K361" s="93"/>
      <c r="L361" s="93" t="s">
        <v>2062</v>
      </c>
      <c r="M361" s="215" t="s">
        <v>1514</v>
      </c>
      <c r="N361" s="217" t="s">
        <v>1551</v>
      </c>
      <c r="O361" s="11" t="str">
        <f>IMAGE("https://m.media-amazon.com/images/W/MEDIAX_792452-T2/images/I/7158I82c4bL._SL1500_.jpg",1)</f>
        <v/>
      </c>
      <c r="P361" s="11" t="s">
        <v>1776</v>
      </c>
    </row>
    <row r="362" ht="45.0" customHeight="1">
      <c r="A362" s="11">
        <v>373.0</v>
      </c>
      <c r="B362" s="11" t="s">
        <v>173</v>
      </c>
      <c r="C362" s="11" t="s">
        <v>1553</v>
      </c>
      <c r="D362" s="93" t="s">
        <v>1822</v>
      </c>
      <c r="E362" s="215" t="s">
        <v>1514</v>
      </c>
      <c r="F362" s="216">
        <v>5.0</v>
      </c>
      <c r="G362" s="216">
        <v>5.0</v>
      </c>
      <c r="H362" s="216">
        <v>150.0</v>
      </c>
      <c r="I362" s="11">
        <f t="shared" si="17"/>
        <v>750</v>
      </c>
      <c r="J362" s="11" t="s">
        <v>178</v>
      </c>
      <c r="K362" s="93"/>
      <c r="L362" s="93" t="s">
        <v>2070</v>
      </c>
      <c r="M362" s="215" t="s">
        <v>1514</v>
      </c>
      <c r="N362" s="217" t="s">
        <v>1555</v>
      </c>
      <c r="O362" s="11" t="str">
        <f>IMAGE("https://robu.in/wp-content/uploads/2017/09/download-1-2.jpg",1)</f>
        <v/>
      </c>
      <c r="P362" s="221" t="s">
        <v>1770</v>
      </c>
    </row>
    <row r="363" ht="45.0" customHeight="1">
      <c r="A363" s="11">
        <v>374.0</v>
      </c>
      <c r="B363" s="11" t="s">
        <v>173</v>
      </c>
      <c r="C363" s="11" t="s">
        <v>1557</v>
      </c>
      <c r="D363" s="93" t="s">
        <v>1758</v>
      </c>
      <c r="E363" s="215" t="s">
        <v>1514</v>
      </c>
      <c r="F363" s="216">
        <v>10.0</v>
      </c>
      <c r="G363" s="216">
        <v>10.0</v>
      </c>
      <c r="H363" s="216">
        <v>40.0</v>
      </c>
      <c r="I363" s="11">
        <f t="shared" si="17"/>
        <v>400</v>
      </c>
      <c r="J363" s="11" t="s">
        <v>178</v>
      </c>
      <c r="K363" s="93"/>
      <c r="L363" s="93" t="s">
        <v>2062</v>
      </c>
      <c r="M363" s="215" t="s">
        <v>1514</v>
      </c>
      <c r="N363" s="217"/>
      <c r="O363" s="11" t="str">
        <f>IMAGE("https://cdn.shopify.com/s/files/1/0088/0056/7392/products/Sound_Detector_Module.jpg?v=1566646449",1)</f>
        <v/>
      </c>
      <c r="P363" s="11" t="s">
        <v>1759</v>
      </c>
    </row>
    <row r="364" ht="45.0" customHeight="1">
      <c r="A364" s="11">
        <v>375.0</v>
      </c>
      <c r="B364" s="11" t="s">
        <v>173</v>
      </c>
      <c r="C364" s="11" t="s">
        <v>1560</v>
      </c>
      <c r="D364" s="93" t="s">
        <v>1789</v>
      </c>
      <c r="E364" s="215" t="s">
        <v>1514</v>
      </c>
      <c r="F364" s="216">
        <v>10.0</v>
      </c>
      <c r="G364" s="216">
        <v>10.0</v>
      </c>
      <c r="H364" s="216">
        <v>200.0</v>
      </c>
      <c r="I364" s="11">
        <f t="shared" si="17"/>
        <v>2000</v>
      </c>
      <c r="J364" s="11" t="s">
        <v>178</v>
      </c>
      <c r="K364" s="93"/>
      <c r="L364" s="93" t="s">
        <v>2062</v>
      </c>
      <c r="M364" s="215" t="s">
        <v>1514</v>
      </c>
      <c r="N364" s="217" t="s">
        <v>1562</v>
      </c>
      <c r="O364" s="11" t="str">
        <f>IMAGE("https://encrypted-tbn0.gstatic.com/images?q=tbn:ANd9GcRrIyUWjQ1rnIJDwYms78skSv9zbdkdml4sTR1WfoKl6GFD5OWnZULG8H98AB-i394c3VQ&amp;usqp=CAU",1)</f>
        <v/>
      </c>
      <c r="P364" s="11" t="s">
        <v>1790</v>
      </c>
    </row>
    <row r="365" ht="45.0" customHeight="1">
      <c r="A365" s="11">
        <v>376.0</v>
      </c>
      <c r="B365" s="11" t="s">
        <v>173</v>
      </c>
      <c r="C365" s="11" t="s">
        <v>1564</v>
      </c>
      <c r="D365" s="93" t="s">
        <v>2149</v>
      </c>
      <c r="E365" s="215" t="s">
        <v>1514</v>
      </c>
      <c r="F365" s="216">
        <v>5.0</v>
      </c>
      <c r="G365" s="216">
        <v>5.0</v>
      </c>
      <c r="H365" s="216">
        <v>95.0</v>
      </c>
      <c r="I365" s="11">
        <f t="shared" si="17"/>
        <v>475</v>
      </c>
      <c r="J365" s="11" t="s">
        <v>178</v>
      </c>
      <c r="K365" s="93"/>
      <c r="L365" s="93" t="s">
        <v>2070</v>
      </c>
      <c r="M365" s="215" t="s">
        <v>1514</v>
      </c>
      <c r="N365" s="217" t="s">
        <v>1566</v>
      </c>
      <c r="O365" s="11" t="str">
        <f>IMAGE("https://robu.in/wp-content/uploads/2019/05/MAX30100-Pulse-Oximeter-Heart-Rate-Sensor-Module-2.jpg",1)</f>
        <v/>
      </c>
      <c r="P365" s="221" t="s">
        <v>1803</v>
      </c>
    </row>
    <row r="366" ht="45.0" customHeight="1">
      <c r="A366" s="11">
        <v>377.0</v>
      </c>
      <c r="B366" s="11" t="s">
        <v>173</v>
      </c>
      <c r="C366" s="11" t="s">
        <v>1568</v>
      </c>
      <c r="D366" s="93" t="s">
        <v>1769</v>
      </c>
      <c r="E366" s="215" t="s">
        <v>1514</v>
      </c>
      <c r="F366" s="216">
        <v>5.0</v>
      </c>
      <c r="G366" s="216">
        <v>5.0</v>
      </c>
      <c r="H366" s="216">
        <v>125.0</v>
      </c>
      <c r="I366" s="11">
        <f t="shared" si="17"/>
        <v>625</v>
      </c>
      <c r="J366" s="11" t="s">
        <v>178</v>
      </c>
      <c r="K366" s="93"/>
      <c r="L366" s="93" t="s">
        <v>2070</v>
      </c>
      <c r="M366" s="215" t="s">
        <v>1514</v>
      </c>
      <c r="N366" s="217"/>
      <c r="O366" s="11" t="str">
        <f>IMAGE("https://makerbazar.in/cdn/shop/products/Untitled-1_39_1_60x.jpg?v=1637233670",1)</f>
        <v/>
      </c>
      <c r="P366" s="221" t="s">
        <v>1803</v>
      </c>
    </row>
    <row r="367" ht="45.0" customHeight="1">
      <c r="A367" s="11">
        <v>378.0</v>
      </c>
      <c r="B367" s="11" t="s">
        <v>173</v>
      </c>
      <c r="C367" s="11" t="s">
        <v>1571</v>
      </c>
      <c r="D367" s="93" t="s">
        <v>1772</v>
      </c>
      <c r="E367" s="215" t="s">
        <v>1514</v>
      </c>
      <c r="F367" s="216">
        <v>5.0</v>
      </c>
      <c r="G367" s="216">
        <v>5.0</v>
      </c>
      <c r="H367" s="216">
        <v>75.0</v>
      </c>
      <c r="I367" s="11">
        <f t="shared" si="17"/>
        <v>375</v>
      </c>
      <c r="J367" s="11" t="s">
        <v>178</v>
      </c>
      <c r="K367" s="93"/>
      <c r="L367" s="93" t="s">
        <v>2062</v>
      </c>
      <c r="M367" s="215" t="s">
        <v>1514</v>
      </c>
      <c r="N367" s="217" t="s">
        <v>1573</v>
      </c>
      <c r="O367" s="11" t="str">
        <f>IMAGE("https://5.imimg.com/data5/SELLER/Default/2021/6/XN/UI/NS/84973740/mq2-flammable-gas-and-smoke-sensor-module-500x500.jpg",1)</f>
        <v/>
      </c>
      <c r="P367" s="11" t="s">
        <v>1773</v>
      </c>
    </row>
    <row r="368" ht="45.0" customHeight="1">
      <c r="A368" s="11">
        <v>379.0</v>
      </c>
      <c r="B368" s="11" t="s">
        <v>173</v>
      </c>
      <c r="C368" s="11" t="s">
        <v>1575</v>
      </c>
      <c r="D368" s="93" t="s">
        <v>1576</v>
      </c>
      <c r="E368" s="215" t="s">
        <v>1514</v>
      </c>
      <c r="F368" s="216">
        <v>10.0</v>
      </c>
      <c r="G368" s="216">
        <v>10.0</v>
      </c>
      <c r="H368" s="216">
        <v>40.0</v>
      </c>
      <c r="I368" s="11">
        <f t="shared" si="17"/>
        <v>400</v>
      </c>
      <c r="J368" s="11" t="s">
        <v>178</v>
      </c>
      <c r="K368" s="93"/>
      <c r="L368" s="93" t="s">
        <v>2062</v>
      </c>
      <c r="M368" s="215" t="s">
        <v>1514</v>
      </c>
      <c r="N368" s="217" t="s">
        <v>1577</v>
      </c>
      <c r="O368" s="11" t="str">
        <f>IMAGE("https://robu.in/wp-content/uploads/2016/03/12251.jpg",1)</f>
        <v/>
      </c>
      <c r="P368" s="11" t="s">
        <v>1794</v>
      </c>
    </row>
    <row r="369" ht="45.0" customHeight="1">
      <c r="A369" s="11">
        <v>380.0</v>
      </c>
      <c r="B369" s="11" t="s">
        <v>173</v>
      </c>
      <c r="C369" s="11" t="s">
        <v>1579</v>
      </c>
      <c r="D369" s="258" t="s">
        <v>1763</v>
      </c>
      <c r="E369" s="215" t="s">
        <v>1514</v>
      </c>
      <c r="F369" s="216">
        <v>5.0</v>
      </c>
      <c r="G369" s="216">
        <v>5.0</v>
      </c>
      <c r="H369" s="216">
        <v>130.0</v>
      </c>
      <c r="I369" s="11">
        <f t="shared" si="17"/>
        <v>650</v>
      </c>
      <c r="J369" s="11" t="s">
        <v>178</v>
      </c>
      <c r="K369" s="93"/>
      <c r="L369" s="93" t="s">
        <v>2062</v>
      </c>
      <c r="M369" s="215" t="s">
        <v>1514</v>
      </c>
      <c r="N369" s="217" t="s">
        <v>1581</v>
      </c>
      <c r="O369" s="11" t="str">
        <f>IMAGE("https://m.media-amazon.com/images/W/MEDIAX_792452-T2/images/I/61QNSpIV-GL._SL1000_.jpg",1)</f>
        <v/>
      </c>
      <c r="P369" s="11" t="s">
        <v>1764</v>
      </c>
    </row>
    <row r="370" ht="45.0" customHeight="1">
      <c r="A370" s="11">
        <v>381.0</v>
      </c>
      <c r="B370" s="11" t="s">
        <v>173</v>
      </c>
      <c r="C370" s="11" t="s">
        <v>1583</v>
      </c>
      <c r="D370" s="93" t="s">
        <v>1584</v>
      </c>
      <c r="E370" s="215" t="s">
        <v>1514</v>
      </c>
      <c r="F370" s="216">
        <v>10.0</v>
      </c>
      <c r="G370" s="216">
        <v>10.0</v>
      </c>
      <c r="H370" s="216">
        <v>60.0</v>
      </c>
      <c r="I370" s="11">
        <f t="shared" si="17"/>
        <v>600</v>
      </c>
      <c r="J370" s="11" t="s">
        <v>178</v>
      </c>
      <c r="K370" s="93"/>
      <c r="L370" s="93" t="s">
        <v>2062</v>
      </c>
      <c r="M370" s="215" t="s">
        <v>1514</v>
      </c>
      <c r="N370" s="217" t="s">
        <v>1585</v>
      </c>
      <c r="O370" s="11" t="str">
        <f>IMAGE("https://projecthubbharat.com/wp-content/uploads/2022/02/dht-11-sensor-module-india-800x800-1.jpg",1)</f>
        <v/>
      </c>
      <c r="P370" s="11" t="s">
        <v>1797</v>
      </c>
    </row>
    <row r="371" ht="45.0" customHeight="1">
      <c r="A371" s="11">
        <v>382.0</v>
      </c>
      <c r="B371" s="11" t="s">
        <v>173</v>
      </c>
      <c r="C371" s="11" t="s">
        <v>1587</v>
      </c>
      <c r="D371" s="93" t="s">
        <v>1795</v>
      </c>
      <c r="E371" s="215" t="s">
        <v>1514</v>
      </c>
      <c r="F371" s="216">
        <v>10.0</v>
      </c>
      <c r="G371" s="216">
        <v>10.0</v>
      </c>
      <c r="H371" s="216">
        <v>50.0</v>
      </c>
      <c r="I371" s="11">
        <f t="shared" si="17"/>
        <v>500</v>
      </c>
      <c r="J371" s="11" t="s">
        <v>178</v>
      </c>
      <c r="K371" s="93"/>
      <c r="L371" s="93" t="s">
        <v>2070</v>
      </c>
      <c r="M371" s="215" t="s">
        <v>1514</v>
      </c>
      <c r="N371" s="217" t="s">
        <v>1589</v>
      </c>
      <c r="O371" s="11" t="str">
        <f>IMAGE("https://potentiallabs.com/cart/image/cache/catalog/nov-dec/DS18B20-500x500-500x500.jpg",1)</f>
        <v/>
      </c>
      <c r="P371" s="11" t="s">
        <v>1796</v>
      </c>
    </row>
    <row r="372" ht="45.0" customHeight="1">
      <c r="A372" s="11">
        <v>383.0</v>
      </c>
      <c r="B372" s="11" t="s">
        <v>173</v>
      </c>
      <c r="C372" s="11" t="s">
        <v>1591</v>
      </c>
      <c r="D372" s="93" t="s">
        <v>1798</v>
      </c>
      <c r="E372" s="215" t="s">
        <v>1514</v>
      </c>
      <c r="F372" s="216">
        <v>20.0</v>
      </c>
      <c r="G372" s="216">
        <v>20.0</v>
      </c>
      <c r="H372" s="216">
        <v>5.0</v>
      </c>
      <c r="I372" s="11">
        <f t="shared" si="17"/>
        <v>100</v>
      </c>
      <c r="J372" s="11" t="s">
        <v>178</v>
      </c>
      <c r="K372" s="93"/>
      <c r="L372" s="93" t="s">
        <v>2070</v>
      </c>
      <c r="M372" s="215" t="s">
        <v>1514</v>
      </c>
      <c r="N372" s="217" t="s">
        <v>1593</v>
      </c>
      <c r="O372" s="216" t="str">
        <f>IMAGE("https://5.imimg.com/data5/SELLER/Default/2021/9/HF/RK/UF/37611021/10k-ohm-ntc-thermistor-500x500.jpg",1)</f>
        <v/>
      </c>
      <c r="P372" s="11" t="s">
        <v>1796</v>
      </c>
    </row>
    <row r="373" ht="45.0" customHeight="1">
      <c r="A373" s="11">
        <v>384.0</v>
      </c>
      <c r="B373" s="11" t="s">
        <v>173</v>
      </c>
      <c r="C373" s="11" t="s">
        <v>1595</v>
      </c>
      <c r="D373" s="93" t="s">
        <v>1777</v>
      </c>
      <c r="E373" s="215" t="s">
        <v>1514</v>
      </c>
      <c r="F373" s="216">
        <v>5.0</v>
      </c>
      <c r="G373" s="216">
        <v>5.0</v>
      </c>
      <c r="H373" s="216">
        <v>150.0</v>
      </c>
      <c r="I373" s="11">
        <f t="shared" si="17"/>
        <v>750</v>
      </c>
      <c r="J373" s="11" t="s">
        <v>178</v>
      </c>
      <c r="K373" s="93"/>
      <c r="L373" s="93" t="s">
        <v>2070</v>
      </c>
      <c r="M373" s="215" t="s">
        <v>1514</v>
      </c>
      <c r="N373" s="217" t="s">
        <v>1597</v>
      </c>
      <c r="O373" s="11" t="str">
        <f>IMAGE("https://media.distrelec.com/Web/WebShopImages/landscape_large/7-/01/Adafruit_163_30129187-01.jpg",1)</f>
        <v/>
      </c>
      <c r="P373" s="11" t="s">
        <v>1778</v>
      </c>
    </row>
    <row r="374" ht="45.0" customHeight="1">
      <c r="A374" s="11">
        <v>385.0</v>
      </c>
      <c r="B374" s="11" t="s">
        <v>173</v>
      </c>
      <c r="C374" s="11" t="s">
        <v>1618</v>
      </c>
      <c r="D374" s="93" t="s">
        <v>1619</v>
      </c>
      <c r="E374" s="215" t="s">
        <v>1514</v>
      </c>
      <c r="F374" s="216">
        <v>10.0</v>
      </c>
      <c r="G374" s="216">
        <v>10.0</v>
      </c>
      <c r="H374" s="216">
        <v>50.0</v>
      </c>
      <c r="I374" s="11">
        <f t="shared" si="17"/>
        <v>500</v>
      </c>
      <c r="J374" s="11" t="s">
        <v>178</v>
      </c>
      <c r="K374" s="93"/>
      <c r="L374" s="93" t="s">
        <v>2062</v>
      </c>
      <c r="M374" s="215" t="s">
        <v>1514</v>
      </c>
      <c r="N374" s="217" t="s">
        <v>1620</v>
      </c>
      <c r="O374" s="11" t="str">
        <f>IMAGE("https://i0.wp.com/superbtech.in/wp-content/uploads/2020/07/2-60.jpg?fit=500%2C500&amp;ssl=1",1)</f>
        <v/>
      </c>
      <c r="P374" s="11" t="s">
        <v>1801</v>
      </c>
    </row>
    <row r="375" ht="45.0" customHeight="1">
      <c r="A375" s="11">
        <v>386.0</v>
      </c>
      <c r="B375" s="11" t="s">
        <v>173</v>
      </c>
      <c r="C375" s="11" t="s">
        <v>1622</v>
      </c>
      <c r="D375" s="93" t="s">
        <v>1623</v>
      </c>
      <c r="E375" s="215" t="s">
        <v>1514</v>
      </c>
      <c r="F375" s="216">
        <v>5.0</v>
      </c>
      <c r="G375" s="216">
        <v>5.0</v>
      </c>
      <c r="H375" s="216">
        <v>150.0</v>
      </c>
      <c r="I375" s="11">
        <f t="shared" si="17"/>
        <v>750</v>
      </c>
      <c r="J375" s="11" t="s">
        <v>178</v>
      </c>
      <c r="K375" s="93"/>
      <c r="L375" s="93" t="s">
        <v>1895</v>
      </c>
      <c r="M375" s="215" t="s">
        <v>1514</v>
      </c>
      <c r="N375" s="217" t="s">
        <v>1624</v>
      </c>
      <c r="O375" s="11" t="str">
        <f>IMAGE("https://cdn.shopify.com/s/files/1/0559/1970/6265/products/1_9713a8db-db1e-42d0-a3e7-eebb7f66c4e9.jpg?v=1670581925",1)</f>
        <v/>
      </c>
      <c r="P375" s="11" t="s">
        <v>2150</v>
      </c>
    </row>
    <row r="376" ht="45.0" customHeight="1">
      <c r="A376" s="11">
        <v>388.0</v>
      </c>
      <c r="B376" s="11" t="s">
        <v>15</v>
      </c>
      <c r="C376" s="11" t="s">
        <v>1603</v>
      </c>
      <c r="D376" s="93" t="s">
        <v>1604</v>
      </c>
      <c r="E376" s="215" t="s">
        <v>1601</v>
      </c>
      <c r="F376" s="11">
        <v>1.0</v>
      </c>
      <c r="G376" s="11">
        <v>1.0</v>
      </c>
      <c r="H376" s="11">
        <v>90.0</v>
      </c>
      <c r="I376" s="11">
        <f t="shared" si="17"/>
        <v>90</v>
      </c>
      <c r="J376" s="11" t="s">
        <v>20</v>
      </c>
      <c r="K376" s="93" t="s">
        <v>65</v>
      </c>
      <c r="L376" s="93" t="s">
        <v>2052</v>
      </c>
      <c r="M376" s="93" t="s">
        <v>1987</v>
      </c>
      <c r="N376" s="217"/>
      <c r="O376" s="11" t="str">
        <f>IMAGE("https://3.imimg.com/data3/HA/PB/MY-3231014/sewing-needle.jpg",1)</f>
        <v/>
      </c>
      <c r="P376" s="11" t="s">
        <v>2151</v>
      </c>
    </row>
    <row r="377" ht="45.0" customHeight="1">
      <c r="A377" s="11">
        <v>389.0</v>
      </c>
      <c r="B377" s="11" t="s">
        <v>15</v>
      </c>
      <c r="C377" s="11" t="s">
        <v>1607</v>
      </c>
      <c r="D377" s="93" t="s">
        <v>1608</v>
      </c>
      <c r="E377" s="215" t="s">
        <v>1601</v>
      </c>
      <c r="F377" s="11">
        <v>2.0</v>
      </c>
      <c r="G377" s="11">
        <v>2.0</v>
      </c>
      <c r="H377" s="11">
        <v>300.0</v>
      </c>
      <c r="I377" s="11">
        <f t="shared" si="17"/>
        <v>600</v>
      </c>
      <c r="J377" s="11" t="s">
        <v>20</v>
      </c>
      <c r="K377" s="93" t="s">
        <v>65</v>
      </c>
      <c r="L377" s="93" t="s">
        <v>2052</v>
      </c>
      <c r="M377" s="93" t="s">
        <v>1987</v>
      </c>
      <c r="N377" s="217"/>
      <c r="O377" s="11" t="str">
        <f>IMAGE("https://m.media-amazon.com/images/W/MEDIAX_792452-T2/images/I/71vxqqo9r7L.jpg",1)</f>
        <v/>
      </c>
      <c r="P377" s="11" t="s">
        <v>2151</v>
      </c>
    </row>
    <row r="378" ht="45.0" customHeight="1">
      <c r="A378" s="11">
        <v>390.0</v>
      </c>
      <c r="B378" s="221" t="s">
        <v>15</v>
      </c>
      <c r="C378" s="11" t="s">
        <v>1610</v>
      </c>
      <c r="D378" s="93" t="s">
        <v>1611</v>
      </c>
      <c r="E378" s="215" t="s">
        <v>1601</v>
      </c>
      <c r="F378" s="11">
        <v>5.0</v>
      </c>
      <c r="G378" s="11">
        <v>5.0</v>
      </c>
      <c r="H378" s="11">
        <v>10.0</v>
      </c>
      <c r="I378" s="11">
        <f t="shared" si="17"/>
        <v>50</v>
      </c>
      <c r="J378" s="11" t="s">
        <v>347</v>
      </c>
      <c r="K378" s="93" t="s">
        <v>65</v>
      </c>
      <c r="L378" s="93" t="s">
        <v>2052</v>
      </c>
      <c r="M378" s="93" t="s">
        <v>1987</v>
      </c>
      <c r="N378" s="217" t="s">
        <v>1612</v>
      </c>
      <c r="O378" s="11" t="str">
        <f>IMAGE("https://delhi6online.in/cdn/shop/products/S1_800x.jpg?v=1545883083.jpg",1)</f>
        <v/>
      </c>
      <c r="P378" s="11" t="s">
        <v>2151</v>
      </c>
    </row>
    <row r="379" ht="45.0" customHeight="1">
      <c r="A379" s="11">
        <v>391.0</v>
      </c>
      <c r="B379" s="221" t="s">
        <v>15</v>
      </c>
      <c r="C379" s="11" t="s">
        <v>1614</v>
      </c>
      <c r="D379" s="93" t="s">
        <v>1615</v>
      </c>
      <c r="E379" s="215" t="s">
        <v>1601</v>
      </c>
      <c r="F379" s="11">
        <v>5.0</v>
      </c>
      <c r="G379" s="11">
        <v>5.0</v>
      </c>
      <c r="H379" s="11">
        <v>30.0</v>
      </c>
      <c r="I379" s="11">
        <f t="shared" si="17"/>
        <v>150</v>
      </c>
      <c r="J379" s="11" t="s">
        <v>347</v>
      </c>
      <c r="K379" s="93" t="s">
        <v>65</v>
      </c>
      <c r="L379" s="93" t="s">
        <v>2052</v>
      </c>
      <c r="M379" s="93" t="s">
        <v>1987</v>
      </c>
      <c r="N379" s="217" t="s">
        <v>1616</v>
      </c>
      <c r="O379" s="11" t="str">
        <f>IMAGE("https://4.imimg.com/data4/JF/WX/MY-2704359/thread-cutter-1000x1000.jpg",1)</f>
        <v/>
      </c>
      <c r="P379" s="11" t="s">
        <v>2152</v>
      </c>
    </row>
    <row r="380" ht="45.0" customHeight="1">
      <c r="A380" s="11">
        <v>392.0</v>
      </c>
      <c r="B380" s="11" t="s">
        <v>173</v>
      </c>
      <c r="C380" s="11" t="s">
        <v>1626</v>
      </c>
      <c r="D380" s="93" t="s">
        <v>1627</v>
      </c>
      <c r="E380" s="215" t="s">
        <v>1628</v>
      </c>
      <c r="F380" s="216">
        <v>10.0</v>
      </c>
      <c r="G380" s="216">
        <v>10.0</v>
      </c>
      <c r="H380" s="216">
        <v>20.0</v>
      </c>
      <c r="I380" s="11">
        <f t="shared" si="17"/>
        <v>200</v>
      </c>
      <c r="J380" s="11" t="s">
        <v>178</v>
      </c>
      <c r="K380" s="93"/>
      <c r="L380" s="93" t="s">
        <v>1960</v>
      </c>
      <c r="M380" s="93" t="s">
        <v>1628</v>
      </c>
      <c r="N380" s="217" t="s">
        <v>1630</v>
      </c>
      <c r="O380" s="11" t="str">
        <f>IMAGE("https://m.media-amazon.com/images/W/MEDIAX_792452-T2/images/I/419leG1YjXL.jpg",1)</f>
        <v/>
      </c>
      <c r="P380" s="11" t="s">
        <v>2127</v>
      </c>
    </row>
    <row r="381" ht="45.0" customHeight="1">
      <c r="A381" s="11">
        <v>393.0</v>
      </c>
      <c r="B381" s="11" t="s">
        <v>173</v>
      </c>
      <c r="C381" s="11" t="s">
        <v>1632</v>
      </c>
      <c r="D381" s="93" t="s">
        <v>1633</v>
      </c>
      <c r="E381" s="215" t="s">
        <v>1628</v>
      </c>
      <c r="F381" s="216">
        <v>10.0</v>
      </c>
      <c r="G381" s="216">
        <v>10.0</v>
      </c>
      <c r="H381" s="216">
        <v>100.0</v>
      </c>
      <c r="I381" s="11">
        <f t="shared" si="17"/>
        <v>1000</v>
      </c>
      <c r="J381" s="11" t="s">
        <v>178</v>
      </c>
      <c r="K381" s="93"/>
      <c r="L381" s="93" t="s">
        <v>1960</v>
      </c>
      <c r="M381" s="93" t="s">
        <v>1628</v>
      </c>
      <c r="N381" s="217" t="s">
        <v>1634</v>
      </c>
      <c r="O381" s="11" t="str">
        <f>IMAGE("https://i0.wp.com/armsol.in/wp-content/uploads/2021/08/1-5-rotated.jpg?fit=600%2C600&amp;ssl=1",1)</f>
        <v/>
      </c>
      <c r="P381" s="11" t="s">
        <v>2127</v>
      </c>
    </row>
    <row r="382" ht="45.0" customHeight="1">
      <c r="A382" s="11">
        <v>394.0</v>
      </c>
      <c r="B382" s="11" t="s">
        <v>173</v>
      </c>
      <c r="C382" s="11" t="s">
        <v>1636</v>
      </c>
      <c r="D382" s="93" t="s">
        <v>1988</v>
      </c>
      <c r="E382" s="215" t="s">
        <v>1628</v>
      </c>
      <c r="F382" s="216">
        <v>30.0</v>
      </c>
      <c r="G382" s="216">
        <v>30.0</v>
      </c>
      <c r="H382" s="216">
        <v>20.0</v>
      </c>
      <c r="I382" s="11">
        <f t="shared" si="17"/>
        <v>600</v>
      </c>
      <c r="J382" s="11" t="s">
        <v>178</v>
      </c>
      <c r="K382" s="93"/>
      <c r="L382" s="93" t="s">
        <v>1895</v>
      </c>
      <c r="M382" s="93" t="s">
        <v>1628</v>
      </c>
      <c r="N382" s="217" t="s">
        <v>1639</v>
      </c>
      <c r="O382" s="11" t="str">
        <f>IMAGE("https://www.voltaat.com/cdn/shop/products/voltaat-soldering-board-5cm-x-7cm-10728457568358_1024x1024.jpg?v=1628445244")</f>
        <v/>
      </c>
      <c r="P382" s="11" t="s">
        <v>2153</v>
      </c>
    </row>
    <row r="383" ht="45.0" customHeight="1">
      <c r="A383" s="11">
        <v>395.0</v>
      </c>
      <c r="B383" s="11" t="s">
        <v>173</v>
      </c>
      <c r="C383" s="11" t="s">
        <v>1641</v>
      </c>
      <c r="D383" s="93" t="s">
        <v>1989</v>
      </c>
      <c r="E383" s="215" t="s">
        <v>1628</v>
      </c>
      <c r="F383" s="216">
        <v>10.0</v>
      </c>
      <c r="G383" s="216">
        <v>10.0</v>
      </c>
      <c r="H383" s="216">
        <v>30.0</v>
      </c>
      <c r="I383" s="11">
        <f t="shared" si="17"/>
        <v>300</v>
      </c>
      <c r="J383" s="11" t="s">
        <v>178</v>
      </c>
      <c r="K383" s="93"/>
      <c r="L383" s="93" t="s">
        <v>1895</v>
      </c>
      <c r="M383" s="93" t="s">
        <v>1628</v>
      </c>
      <c r="N383" s="217" t="s">
        <v>1643</v>
      </c>
      <c r="O383" s="11" t="str">
        <f>IMAGE("https://m.media-amazon.com/images/W/MEDIAX_792452-T2/images/I/91hMIBtDtPS._SL1500_.jpg")</f>
        <v/>
      </c>
      <c r="P383" s="11" t="s">
        <v>2153</v>
      </c>
    </row>
    <row r="384" ht="45.0" customHeight="1">
      <c r="A384" s="11">
        <v>396.0</v>
      </c>
      <c r="B384" s="11" t="s">
        <v>173</v>
      </c>
      <c r="C384" s="11" t="s">
        <v>1645</v>
      </c>
      <c r="D384" s="93" t="s">
        <v>1646</v>
      </c>
      <c r="E384" s="215" t="s">
        <v>1628</v>
      </c>
      <c r="F384" s="216">
        <v>5.0</v>
      </c>
      <c r="G384" s="216">
        <v>5.0</v>
      </c>
      <c r="H384" s="216">
        <v>20.0</v>
      </c>
      <c r="I384" s="11">
        <f t="shared" si="17"/>
        <v>100</v>
      </c>
      <c r="J384" s="11" t="s">
        <v>178</v>
      </c>
      <c r="K384" s="93"/>
      <c r="L384" s="93" t="s">
        <v>1960</v>
      </c>
      <c r="M384" s="93" t="s">
        <v>1628</v>
      </c>
      <c r="N384" s="217" t="s">
        <v>1647</v>
      </c>
      <c r="O384" s="11" t="str">
        <f>IMAGE("https://5.imimg.com/data5/SELLER/Default/2022/1/IK/KY/AC/131638211/31tvrpe7ijl-500x500.jpg")</f>
        <v/>
      </c>
      <c r="P384" s="11" t="s">
        <v>2127</v>
      </c>
    </row>
    <row r="385" ht="45.0" customHeight="1">
      <c r="A385" s="11">
        <v>397.0</v>
      </c>
      <c r="B385" s="11" t="s">
        <v>173</v>
      </c>
      <c r="C385" s="11" t="s">
        <v>1649</v>
      </c>
      <c r="D385" s="93" t="s">
        <v>1650</v>
      </c>
      <c r="E385" s="215" t="s">
        <v>1628</v>
      </c>
      <c r="F385" s="216">
        <v>10.0</v>
      </c>
      <c r="G385" s="216">
        <v>10.0</v>
      </c>
      <c r="H385" s="216">
        <v>20.0</v>
      </c>
      <c r="I385" s="11">
        <f t="shared" si="17"/>
        <v>200</v>
      </c>
      <c r="J385" s="11" t="s">
        <v>178</v>
      </c>
      <c r="K385" s="93"/>
      <c r="L385" s="93" t="s">
        <v>1960</v>
      </c>
      <c r="M385" s="93" t="s">
        <v>1628</v>
      </c>
      <c r="N385" s="217" t="s">
        <v>1651</v>
      </c>
      <c r="O385" s="11" t="str">
        <f>IMAGE("https://i0.wp.com/roboticsdna.in/wp-content/uploads/2020/11/IRON-TIP-1.png?fit=1000%2C1000&amp;ssl=1",1)</f>
        <v/>
      </c>
      <c r="P385" s="11" t="s">
        <v>2127</v>
      </c>
    </row>
    <row r="386" ht="45.0" customHeight="1">
      <c r="A386" s="11">
        <v>398.0</v>
      </c>
      <c r="B386" s="11" t="s">
        <v>173</v>
      </c>
      <c r="C386" s="11" t="s">
        <v>1653</v>
      </c>
      <c r="D386" s="93" t="s">
        <v>1654</v>
      </c>
      <c r="E386" s="215" t="s">
        <v>1628</v>
      </c>
      <c r="F386" s="216">
        <v>10.0</v>
      </c>
      <c r="G386" s="216">
        <v>10.0</v>
      </c>
      <c r="H386" s="216">
        <v>20.0</v>
      </c>
      <c r="I386" s="11">
        <f t="shared" si="17"/>
        <v>200</v>
      </c>
      <c r="J386" s="11" t="s">
        <v>178</v>
      </c>
      <c r="K386" s="93"/>
      <c r="L386" s="93" t="s">
        <v>1960</v>
      </c>
      <c r="M386" s="93" t="s">
        <v>1628</v>
      </c>
      <c r="N386" s="217" t="s">
        <v>1655</v>
      </c>
      <c r="O386" s="11" t="str">
        <f>IMAGE("https://www.toolworld.in/storage/media/product/1656317774.jpg",1)</f>
        <v/>
      </c>
      <c r="P386" s="11" t="s">
        <v>2127</v>
      </c>
    </row>
    <row r="387" ht="45.0" customHeight="1">
      <c r="A387" s="11">
        <v>399.0</v>
      </c>
      <c r="B387" s="11" t="s">
        <v>173</v>
      </c>
      <c r="C387" s="11" t="s">
        <v>1657</v>
      </c>
      <c r="D387" s="93" t="s">
        <v>1658</v>
      </c>
      <c r="E387" s="215" t="s">
        <v>1628</v>
      </c>
      <c r="F387" s="216">
        <v>10.0</v>
      </c>
      <c r="G387" s="216">
        <v>10.0</v>
      </c>
      <c r="H387" s="216">
        <v>50.0</v>
      </c>
      <c r="I387" s="11">
        <f t="shared" si="17"/>
        <v>500</v>
      </c>
      <c r="J387" s="11" t="s">
        <v>178</v>
      </c>
      <c r="K387" s="93"/>
      <c r="L387" s="93" t="s">
        <v>1960</v>
      </c>
      <c r="M387" s="93" t="s">
        <v>1628</v>
      </c>
      <c r="N387" s="217" t="s">
        <v>1659</v>
      </c>
      <c r="O387" s="11" t="str">
        <f>IMAGE("https://m.media-amazon.com/images/W/MEDIAX_792452-T2/images/I/41OjS3jnL4L.jpg",1)</f>
        <v/>
      </c>
      <c r="P387" s="11" t="s">
        <v>2127</v>
      </c>
    </row>
    <row r="388" ht="45.0" customHeight="1">
      <c r="A388" s="11">
        <v>400.0</v>
      </c>
      <c r="B388" s="11" t="s">
        <v>173</v>
      </c>
      <c r="C388" s="11" t="s">
        <v>1661</v>
      </c>
      <c r="D388" s="93" t="s">
        <v>1662</v>
      </c>
      <c r="E388" s="215" t="s">
        <v>1628</v>
      </c>
      <c r="F388" s="216">
        <v>2.0</v>
      </c>
      <c r="G388" s="216">
        <v>2.0</v>
      </c>
      <c r="H388" s="216">
        <v>500.0</v>
      </c>
      <c r="I388" s="11">
        <f t="shared" si="17"/>
        <v>1000</v>
      </c>
      <c r="J388" s="11" t="s">
        <v>178</v>
      </c>
      <c r="K388" s="93" t="s">
        <v>47</v>
      </c>
      <c r="L388" s="93"/>
      <c r="M388" s="93" t="s">
        <v>1628</v>
      </c>
      <c r="N388" s="217" t="s">
        <v>1663</v>
      </c>
      <c r="O388" s="11" t="str">
        <f>IMAGE("https://m.media-amazon.com/images/W/MEDIAX_792452-T2/images/I/61gvV3Wc-NL._SL1024_.jpg")</f>
        <v/>
      </c>
      <c r="P388" s="11" t="s">
        <v>2104</v>
      </c>
    </row>
    <row r="389" ht="45.0" customHeight="1">
      <c r="A389" s="11">
        <v>401.0</v>
      </c>
      <c r="B389" s="11" t="s">
        <v>173</v>
      </c>
      <c r="C389" s="11" t="s">
        <v>1665</v>
      </c>
      <c r="D389" s="93" t="s">
        <v>1666</v>
      </c>
      <c r="E389" s="215" t="s">
        <v>1628</v>
      </c>
      <c r="F389" s="216">
        <v>10.0</v>
      </c>
      <c r="G389" s="216">
        <v>10.0</v>
      </c>
      <c r="H389" s="216">
        <v>300.0</v>
      </c>
      <c r="I389" s="11">
        <f t="shared" si="17"/>
        <v>3000</v>
      </c>
      <c r="J389" s="11" t="s">
        <v>178</v>
      </c>
      <c r="K389" s="93"/>
      <c r="L389" s="93" t="s">
        <v>1960</v>
      </c>
      <c r="M389" s="93" t="s">
        <v>1628</v>
      </c>
      <c r="N389" s="217" t="s">
        <v>1667</v>
      </c>
      <c r="O389" s="11" t="str">
        <f>IMAGE("https://robu.in/wp-content/uploads/2015/10/Soldron-25-Watt-Iron-Soldering-Gun-5.jpg")</f>
        <v/>
      </c>
      <c r="P389" s="11" t="s">
        <v>2127</v>
      </c>
    </row>
    <row r="390" ht="45.0" customHeight="1">
      <c r="A390" s="11">
        <v>402.0</v>
      </c>
      <c r="B390" s="222" t="s">
        <v>173</v>
      </c>
      <c r="C390" s="11" t="s">
        <v>1669</v>
      </c>
      <c r="D390" s="93" t="s">
        <v>1670</v>
      </c>
      <c r="E390" s="215" t="s">
        <v>1628</v>
      </c>
      <c r="F390" s="216">
        <v>1.0</v>
      </c>
      <c r="G390" s="216">
        <v>1.0</v>
      </c>
      <c r="H390" s="216">
        <v>200.0</v>
      </c>
      <c r="I390" s="11">
        <f t="shared" si="17"/>
        <v>200</v>
      </c>
      <c r="J390" s="11" t="s">
        <v>178</v>
      </c>
      <c r="K390" s="93"/>
      <c r="L390" s="93" t="s">
        <v>1960</v>
      </c>
      <c r="M390" s="93" t="s">
        <v>1628</v>
      </c>
      <c r="N390" s="217" t="s">
        <v>1671</v>
      </c>
      <c r="O390" s="11" t="str">
        <f>IMAGE("https://m.media-amazon.com/images/I/71Nb2wKaZgS._SL1500_.jpg", 1)</f>
        <v/>
      </c>
      <c r="P390" s="11" t="s">
        <v>2127</v>
      </c>
    </row>
    <row r="391" ht="45.0" customHeight="1">
      <c r="A391" s="11">
        <v>403.0</v>
      </c>
      <c r="B391" s="11" t="s">
        <v>173</v>
      </c>
      <c r="C391" s="11" t="s">
        <v>1673</v>
      </c>
      <c r="D391" s="93" t="s">
        <v>1674</v>
      </c>
      <c r="E391" s="215" t="s">
        <v>1628</v>
      </c>
      <c r="F391" s="216">
        <v>10.0</v>
      </c>
      <c r="G391" s="216">
        <v>10.0</v>
      </c>
      <c r="H391" s="216">
        <v>65.0</v>
      </c>
      <c r="I391" s="11">
        <f t="shared" si="17"/>
        <v>650</v>
      </c>
      <c r="J391" s="11" t="s">
        <v>178</v>
      </c>
      <c r="K391" s="93"/>
      <c r="L391" s="93" t="s">
        <v>1960</v>
      </c>
      <c r="M391" s="93" t="s">
        <v>1628</v>
      </c>
      <c r="N391" s="217" t="s">
        <v>1675</v>
      </c>
      <c r="O391" s="11" t="str">
        <f>IMAGE("https://m.media-amazon.com/images/W/MEDIAX_792452-T2/images/I/511g3IePVzL.jpg",1)</f>
        <v/>
      </c>
      <c r="P391" s="11" t="s">
        <v>2127</v>
      </c>
    </row>
    <row r="392" ht="45.0" customHeight="1">
      <c r="A392" s="11">
        <v>404.0</v>
      </c>
      <c r="B392" s="11" t="s">
        <v>173</v>
      </c>
      <c r="C392" s="11" t="s">
        <v>1677</v>
      </c>
      <c r="D392" s="93" t="s">
        <v>1678</v>
      </c>
      <c r="E392" s="215" t="s">
        <v>1628</v>
      </c>
      <c r="F392" s="216">
        <v>10.0</v>
      </c>
      <c r="G392" s="216">
        <v>10.0</v>
      </c>
      <c r="H392" s="216">
        <v>100.0</v>
      </c>
      <c r="I392" s="11">
        <f t="shared" si="17"/>
        <v>1000</v>
      </c>
      <c r="J392" s="11" t="s">
        <v>178</v>
      </c>
      <c r="K392" s="93"/>
      <c r="L392" s="93" t="s">
        <v>1960</v>
      </c>
      <c r="M392" s="93" t="s">
        <v>1628</v>
      </c>
      <c r="N392" s="217" t="s">
        <v>1679</v>
      </c>
      <c r="O392" s="11" t="str">
        <f>IMAGE("https://5.imimg.com/data5/FT/MG/MY-9316309/soldering-wire-500x500.jpg",1)</f>
        <v/>
      </c>
      <c r="P392" s="11" t="s">
        <v>2127</v>
      </c>
    </row>
    <row r="393" ht="45.0" customHeight="1">
      <c r="A393" s="11">
        <v>407.0</v>
      </c>
      <c r="B393" s="221" t="s">
        <v>461</v>
      </c>
      <c r="C393" s="259" t="s">
        <v>1994</v>
      </c>
      <c r="D393" s="260" t="s">
        <v>1995</v>
      </c>
      <c r="E393" s="215" t="s">
        <v>465</v>
      </c>
      <c r="F393" s="216"/>
      <c r="G393" s="216">
        <v>1.0</v>
      </c>
      <c r="H393" s="216"/>
      <c r="I393" s="11"/>
      <c r="J393" s="11" t="s">
        <v>466</v>
      </c>
      <c r="K393" s="93" t="s">
        <v>47</v>
      </c>
      <c r="L393" s="123"/>
      <c r="M393" s="93" t="s">
        <v>1991</v>
      </c>
      <c r="N393" s="217"/>
      <c r="O393" s="11"/>
      <c r="P393" s="11" t="s">
        <v>2066</v>
      </c>
    </row>
    <row r="394" ht="45.0" customHeight="1">
      <c r="A394" s="11">
        <v>408.0</v>
      </c>
      <c r="B394" s="231" t="s">
        <v>461</v>
      </c>
      <c r="C394" s="259" t="s">
        <v>1996</v>
      </c>
      <c r="D394" s="260" t="s">
        <v>1997</v>
      </c>
      <c r="E394" s="215" t="s">
        <v>465</v>
      </c>
      <c r="F394" s="216"/>
      <c r="G394" s="216">
        <v>1.0</v>
      </c>
      <c r="H394" s="216"/>
      <c r="I394" s="11"/>
      <c r="J394" s="11" t="s">
        <v>466</v>
      </c>
      <c r="K394" s="93"/>
      <c r="L394" s="123"/>
      <c r="M394" s="93" t="s">
        <v>1991</v>
      </c>
      <c r="N394" s="217"/>
      <c r="O394" s="11"/>
      <c r="P394" s="222" t="s">
        <v>2154</v>
      </c>
    </row>
    <row r="395" ht="45.0" customHeight="1">
      <c r="A395" s="11">
        <v>409.0</v>
      </c>
      <c r="B395" s="221" t="s">
        <v>1152</v>
      </c>
      <c r="C395" s="259" t="s">
        <v>1998</v>
      </c>
      <c r="D395" s="260" t="s">
        <v>1999</v>
      </c>
      <c r="E395" s="215" t="s">
        <v>1156</v>
      </c>
      <c r="F395" s="216"/>
      <c r="G395" s="216">
        <v>4.0</v>
      </c>
      <c r="H395" s="216"/>
      <c r="I395" s="11"/>
      <c r="J395" s="11" t="s">
        <v>1157</v>
      </c>
      <c r="K395" s="93"/>
      <c r="L395" s="123" t="s">
        <v>2002</v>
      </c>
      <c r="M395" s="93"/>
      <c r="N395" s="217"/>
      <c r="O395" s="11"/>
      <c r="P395" s="11" t="s">
        <v>2155</v>
      </c>
    </row>
    <row r="396" ht="45.0" customHeight="1">
      <c r="A396" s="11">
        <v>410.0</v>
      </c>
      <c r="B396" s="221" t="s">
        <v>15</v>
      </c>
      <c r="C396" s="259" t="s">
        <v>2000</v>
      </c>
      <c r="D396" s="260" t="s">
        <v>2001</v>
      </c>
      <c r="E396" s="215"/>
      <c r="F396" s="216"/>
      <c r="G396" s="216">
        <v>5.0</v>
      </c>
      <c r="H396" s="216"/>
      <c r="I396" s="11"/>
      <c r="J396" s="11"/>
      <c r="K396" s="93"/>
      <c r="L396" s="123" t="s">
        <v>2002</v>
      </c>
      <c r="M396" s="93"/>
      <c r="N396" s="217"/>
      <c r="O396" s="11"/>
      <c r="P396" s="11" t="s">
        <v>2156</v>
      </c>
    </row>
    <row r="397" ht="45.0" customHeight="1">
      <c r="A397" s="11"/>
      <c r="B397" s="12"/>
      <c r="C397" s="12"/>
      <c r="D397" s="261" t="s">
        <v>2157</v>
      </c>
      <c r="E397" s="35"/>
      <c r="F397" s="262"/>
      <c r="G397" s="263">
        <v>100.0</v>
      </c>
      <c r="H397" s="262"/>
      <c r="I397" s="12"/>
      <c r="J397" s="12"/>
      <c r="K397" s="37"/>
      <c r="L397" s="37"/>
      <c r="M397" s="37"/>
      <c r="N397" s="264"/>
      <c r="O397" s="12"/>
      <c r="P397" s="221" t="s">
        <v>2158</v>
      </c>
    </row>
    <row r="398" ht="45.0" customHeight="1">
      <c r="A398" s="11"/>
      <c r="B398" s="265" t="s">
        <v>173</v>
      </c>
      <c r="C398" s="266" t="s">
        <v>2159</v>
      </c>
      <c r="D398" s="261" t="s">
        <v>2160</v>
      </c>
      <c r="E398" s="35" t="s">
        <v>415</v>
      </c>
      <c r="F398" s="267"/>
      <c r="G398" s="268">
        <v>21.0</v>
      </c>
      <c r="H398" s="12"/>
      <c r="I398" s="12"/>
      <c r="J398" s="12"/>
      <c r="K398" s="37"/>
      <c r="L398" s="37"/>
      <c r="M398" s="37"/>
      <c r="N398" s="264"/>
      <c r="O398" s="12" t="str">
        <f>IMAGE("https://sumeetinstruments.com/image/cache/catalog/3dprinter/A4988-Stepper-Motor-Driver-Module-Heat-Sink-3D-Printer-Parts.-550x550.jpg",1)</f>
        <v/>
      </c>
      <c r="P398" s="222" t="s">
        <v>2059</v>
      </c>
    </row>
  </sheetData>
  <autoFilter ref="$A$1:$P$398">
    <sortState ref="A1:P398">
      <sortCondition ref="A1:A398"/>
      <sortCondition ref="P1:P398"/>
      <sortCondition ref="C1:C398"/>
      <sortCondition ref="B1:B398"/>
      <sortCondition ref="L1:L398"/>
    </sortState>
  </autoFilter>
  <conditionalFormatting sqref="B2:E2 B94">
    <cfRule type="containsBlanks" dxfId="0" priority="1">
      <formula>LEN(TRIM(B2))=0</formula>
    </cfRule>
  </conditionalFormatting>
  <conditionalFormatting sqref="P1:P398">
    <cfRule type="cellIs" dxfId="3" priority="2" operator="equal">
      <formula>1</formula>
    </cfRule>
  </conditionalFormatting>
  <conditionalFormatting sqref="P1:P398">
    <cfRule type="cellIs" dxfId="8" priority="3" operator="equal">
      <formula>2</formula>
    </cfRule>
  </conditionalFormatting>
  <conditionalFormatting sqref="P1:P398">
    <cfRule type="cellIs" dxfId="9" priority="4" operator="equal">
      <formula>3</formula>
    </cfRule>
  </conditionalFormatting>
  <conditionalFormatting sqref="P1:P398">
    <cfRule type="cellIs" dxfId="5" priority="5" operator="equal">
      <formula>4</formula>
    </cfRule>
  </conditionalFormatting>
  <conditionalFormatting sqref="P1:P398">
    <cfRule type="notContainsBlanks" dxfId="10" priority="6">
      <formula>LEN(TRIM(P1))&gt;0</formula>
    </cfRule>
  </conditionalFormatting>
  <dataValidations>
    <dataValidation type="list" allowBlank="1" showErrorMessage="1" sqref="J1:J102 J104:J398">
      <formula1>Sheet1!$C$1:$C$8</formula1>
    </dataValidation>
    <dataValidation type="list" allowBlank="1" showErrorMessage="1" sqref="M13 M15:M17 M20:M21 M25 M28 M33:M36 M70:M74 M125:M130 M142 M146 M206 M226:M229 M284:M286 M301 M304 M308:M310 M317:M328 M332 M340 M376:M392 M397 E1:E398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22.0"/>
    <col customWidth="1" min="3" max="3" width="50.71"/>
    <col customWidth="1" min="4" max="4" width="21.71"/>
    <col customWidth="1" min="5" max="5" width="14.29"/>
    <col customWidth="1" min="6" max="6" width="25.14"/>
    <col customWidth="1" min="7" max="7" width="23.57"/>
    <col customWidth="1" min="8" max="8" width="20.86"/>
    <col customWidth="1" min="9" max="9" width="24.14"/>
    <col hidden="1" min="10" max="10" width="14.43"/>
  </cols>
  <sheetData>
    <row r="1" ht="45.0" customHeight="1">
      <c r="A1" s="210" t="s">
        <v>0</v>
      </c>
      <c r="B1" s="210" t="s">
        <v>1</v>
      </c>
      <c r="C1" s="211" t="s">
        <v>2</v>
      </c>
      <c r="D1" s="210" t="s">
        <v>3</v>
      </c>
      <c r="E1" s="210" t="s">
        <v>2004</v>
      </c>
      <c r="F1" s="210" t="s">
        <v>8</v>
      </c>
      <c r="G1" s="212" t="s">
        <v>11</v>
      </c>
      <c r="H1" s="213" t="s">
        <v>13</v>
      </c>
      <c r="I1" s="214" t="s">
        <v>2005</v>
      </c>
    </row>
    <row r="2" ht="44.25" customHeight="1">
      <c r="A2" s="11">
        <v>1.0</v>
      </c>
      <c r="B2" s="11" t="s">
        <v>17</v>
      </c>
      <c r="C2" s="93" t="s">
        <v>18</v>
      </c>
      <c r="D2" s="215" t="s">
        <v>19</v>
      </c>
      <c r="E2" s="216">
        <v>6.0</v>
      </c>
      <c r="F2" s="11" t="s">
        <v>20</v>
      </c>
      <c r="G2" s="93" t="s">
        <v>23</v>
      </c>
      <c r="H2" s="11" t="str">
        <f>IMAGE("https://m.media-amazon.com/images/I/61ZBVWoGgCL._SL1500_.jpg",1)</f>
        <v/>
      </c>
      <c r="I2" s="11" t="s">
        <v>2006</v>
      </c>
    </row>
    <row r="3" ht="45.0" customHeight="1">
      <c r="A3" s="11">
        <v>2.0</v>
      </c>
      <c r="B3" s="11" t="s">
        <v>26</v>
      </c>
      <c r="C3" s="93" t="s">
        <v>27</v>
      </c>
      <c r="D3" s="215" t="s">
        <v>19</v>
      </c>
      <c r="E3" s="216">
        <v>2.0</v>
      </c>
      <c r="F3" s="11" t="s">
        <v>20</v>
      </c>
      <c r="G3" s="93" t="s">
        <v>23</v>
      </c>
      <c r="H3" s="11" t="str">
        <f>IMAGE("https://5.imimg.com/data5/BN/FC/MY-25588345/omega-cell-tape-dispenser-500x500.jpg",1)</f>
        <v/>
      </c>
      <c r="I3" s="11" t="s">
        <v>2007</v>
      </c>
    </row>
    <row r="4" ht="45.0" customHeight="1">
      <c r="A4" s="11">
        <v>3.0</v>
      </c>
      <c r="B4" s="11" t="s">
        <v>30</v>
      </c>
      <c r="C4" s="93" t="s">
        <v>31</v>
      </c>
      <c r="D4" s="215" t="s">
        <v>19</v>
      </c>
      <c r="E4" s="216">
        <v>6.0</v>
      </c>
      <c r="F4" s="11" t="s">
        <v>20</v>
      </c>
      <c r="G4" s="93" t="s">
        <v>23</v>
      </c>
      <c r="H4" s="11" t="str">
        <f>IMAGE("https://m.media-amazon.com/images/I/21wXjA1iP5L.jpg",1)</f>
        <v/>
      </c>
      <c r="I4" s="11" t="s">
        <v>2009</v>
      </c>
    </row>
    <row r="5" ht="45.0" customHeight="1">
      <c r="A5" s="11">
        <v>4.0</v>
      </c>
      <c r="B5" s="11" t="s">
        <v>34</v>
      </c>
      <c r="C5" s="93" t="s">
        <v>35</v>
      </c>
      <c r="D5" s="215" t="s">
        <v>19</v>
      </c>
      <c r="E5" s="216">
        <v>6.0</v>
      </c>
      <c r="F5" s="11" t="s">
        <v>20</v>
      </c>
      <c r="G5" s="93" t="s">
        <v>23</v>
      </c>
      <c r="H5" s="11" t="str">
        <f>IMAGE("https://5.imimg.com/data5/YG/CD/MY-4112616/transparent-tape-500x500.jpg",1)</f>
        <v/>
      </c>
      <c r="I5" s="11" t="s">
        <v>2006</v>
      </c>
    </row>
    <row r="6" ht="45.0" customHeight="1">
      <c r="A6" s="11">
        <v>5.0</v>
      </c>
      <c r="B6" s="11" t="s">
        <v>37</v>
      </c>
      <c r="C6" s="93" t="s">
        <v>1886</v>
      </c>
      <c r="D6" s="215" t="s">
        <v>19</v>
      </c>
      <c r="E6" s="216">
        <v>6.0</v>
      </c>
      <c r="F6" s="11" t="s">
        <v>20</v>
      </c>
      <c r="G6" s="93" t="s">
        <v>23</v>
      </c>
      <c r="H6" s="11" t="str">
        <f>IMAGE("https://m.media-amazon.com/images/I/61JiUrBk2-L._SL1082_.jpg",1)</f>
        <v/>
      </c>
      <c r="I6" s="11" t="s">
        <v>2009</v>
      </c>
    </row>
    <row r="7" ht="45.0" customHeight="1">
      <c r="A7" s="11">
        <v>6.0</v>
      </c>
      <c r="B7" s="11" t="s">
        <v>41</v>
      </c>
      <c r="C7" s="93" t="s">
        <v>42</v>
      </c>
      <c r="D7" s="215" t="s">
        <v>19</v>
      </c>
      <c r="E7" s="216">
        <v>6.0</v>
      </c>
      <c r="F7" s="11" t="s">
        <v>20</v>
      </c>
      <c r="G7" s="93" t="s">
        <v>23</v>
      </c>
      <c r="H7" s="11" t="str">
        <f>IMAGE("https://m.media-amazon.com/images/I/51JAsOuirxL._SL1000_.jpg",1)</f>
        <v/>
      </c>
      <c r="I7" s="11" t="s">
        <v>2010</v>
      </c>
    </row>
    <row r="8" ht="45.0" customHeight="1">
      <c r="A8" s="11">
        <v>7.0</v>
      </c>
      <c r="B8" s="11" t="s">
        <v>45</v>
      </c>
      <c r="C8" s="93" t="s">
        <v>46</v>
      </c>
      <c r="D8" s="215" t="s">
        <v>19</v>
      </c>
      <c r="E8" s="11">
        <v>10.0</v>
      </c>
      <c r="F8" s="11" t="s">
        <v>20</v>
      </c>
      <c r="G8" s="93" t="s">
        <v>23</v>
      </c>
      <c r="H8" s="11" t="str">
        <f>IMAGE("https://m.media-amazon.com/images/I/81zdeTxqkLL._SL1500_.jpg",1)</f>
        <v/>
      </c>
      <c r="I8" s="11" t="s">
        <v>2011</v>
      </c>
    </row>
    <row r="9" ht="45.0" customHeight="1">
      <c r="A9" s="11">
        <v>8.0</v>
      </c>
      <c r="B9" s="11" t="s">
        <v>50</v>
      </c>
      <c r="C9" s="93" t="s">
        <v>51</v>
      </c>
      <c r="D9" s="215" t="s">
        <v>19</v>
      </c>
      <c r="E9" s="216">
        <v>5.0</v>
      </c>
      <c r="F9" s="11" t="s">
        <v>20</v>
      </c>
      <c r="G9" s="93" t="s">
        <v>23</v>
      </c>
      <c r="H9" s="11" t="str">
        <f>IMAGE("https://megahardwarett.com/wp-content/uploads/2022/03/71TQZaRi6yL._AC_SX425_.jpg",1)</f>
        <v/>
      </c>
      <c r="I9" s="11" t="s">
        <v>2013</v>
      </c>
    </row>
    <row r="10" ht="45.0" customHeight="1">
      <c r="A10" s="11">
        <v>9.0</v>
      </c>
      <c r="B10" s="11" t="s">
        <v>54</v>
      </c>
      <c r="C10" s="93" t="s">
        <v>1887</v>
      </c>
      <c r="D10" s="215" t="s">
        <v>19</v>
      </c>
      <c r="E10" s="216">
        <v>10.0</v>
      </c>
      <c r="F10" s="11" t="s">
        <v>20</v>
      </c>
      <c r="G10" s="93" t="s">
        <v>23</v>
      </c>
      <c r="H10" s="11" t="str">
        <f>IMAGE("https://m.media-amazon.com/images/I/51xkFZnkVFL._SX466_.jpg",1)</f>
        <v/>
      </c>
      <c r="I10" s="11" t="s">
        <v>2011</v>
      </c>
    </row>
    <row r="11" ht="45.0" customHeight="1">
      <c r="A11" s="11">
        <v>10.0</v>
      </c>
      <c r="B11" s="11" t="s">
        <v>58</v>
      </c>
      <c r="C11" s="93" t="s">
        <v>1888</v>
      </c>
      <c r="D11" s="215" t="s">
        <v>19</v>
      </c>
      <c r="E11" s="216">
        <v>10.0</v>
      </c>
      <c r="F11" s="11" t="s">
        <v>20</v>
      </c>
      <c r="G11" s="93" t="s">
        <v>23</v>
      </c>
      <c r="H11" s="11" t="str">
        <f>IMAGE("https://5.imimg.com/data5/LJ/PW/MY-3849711/loctite-401-super-glue-500x500.jpg",1)</f>
        <v/>
      </c>
      <c r="I11" s="11" t="s">
        <v>2011</v>
      </c>
    </row>
    <row r="12" ht="45.0" customHeight="1">
      <c r="A12" s="11">
        <v>11.0</v>
      </c>
      <c r="B12" s="11" t="s">
        <v>75</v>
      </c>
      <c r="C12" s="93" t="s">
        <v>1891</v>
      </c>
      <c r="D12" s="215" t="s">
        <v>64</v>
      </c>
      <c r="E12" s="11">
        <v>10.0</v>
      </c>
      <c r="F12" s="11" t="s">
        <v>20</v>
      </c>
      <c r="G12" s="93" t="s">
        <v>1892</v>
      </c>
      <c r="H12" s="11" t="str">
        <f>IMAGE("https://m.media-amazon.com/images/W/MEDIAX_792452-T2/images/I/611Q9E31rML._SL1500_.jpg",1)</f>
        <v/>
      </c>
      <c r="I12" s="11" t="s">
        <v>2015</v>
      </c>
    </row>
    <row r="13" ht="45.0" customHeight="1">
      <c r="A13" s="11">
        <v>12.0</v>
      </c>
      <c r="B13" s="11" t="s">
        <v>70</v>
      </c>
      <c r="C13" s="93" t="s">
        <v>71</v>
      </c>
      <c r="D13" s="215" t="s">
        <v>64</v>
      </c>
      <c r="E13" s="216">
        <v>25.0</v>
      </c>
      <c r="F13" s="11" t="s">
        <v>20</v>
      </c>
      <c r="G13" s="93" t="s">
        <v>111</v>
      </c>
      <c r="H13" s="11" t="str">
        <f>IMAGE("https://helloaugust.in/wp-content/uploads/2020/04/dark-colour-chart-paper-full-size-300x300.jpg",1)</f>
        <v/>
      </c>
      <c r="I13" s="11" t="s">
        <v>1984</v>
      </c>
    </row>
    <row r="14" ht="45.0" customHeight="1">
      <c r="A14" s="11">
        <v>13.0</v>
      </c>
      <c r="B14" s="11" t="s">
        <v>80</v>
      </c>
      <c r="C14" s="93" t="s">
        <v>352</v>
      </c>
      <c r="D14" s="215" t="s">
        <v>64</v>
      </c>
      <c r="E14" s="216">
        <v>5.0</v>
      </c>
      <c r="F14" s="11" t="s">
        <v>20</v>
      </c>
      <c r="G14" s="93" t="s">
        <v>111</v>
      </c>
      <c r="H14" s="11" t="str">
        <f>IMAGE("https://4.imimg.com/data4/TN/NP/MY-32886991/a4-colour-paper-500x500.jpg",1)</f>
        <v/>
      </c>
      <c r="I14" s="11" t="s">
        <v>1984</v>
      </c>
    </row>
    <row r="15" ht="45.0" customHeight="1">
      <c r="A15" s="11">
        <v>14.0</v>
      </c>
      <c r="B15" s="11" t="s">
        <v>86</v>
      </c>
      <c r="C15" s="93" t="s">
        <v>1893</v>
      </c>
      <c r="D15" s="215" t="s">
        <v>64</v>
      </c>
      <c r="E15" s="216">
        <v>5.0</v>
      </c>
      <c r="F15" s="11" t="s">
        <v>20</v>
      </c>
      <c r="G15" s="93" t="s">
        <v>111</v>
      </c>
      <c r="H15" s="11" t="str">
        <f>IMAGE("https://www.htconline.in/images/thumbs/0019821_camlin-drawing-pencils-set-of-6.jpeg",1)</f>
        <v/>
      </c>
      <c r="I15" s="11" t="s">
        <v>2016</v>
      </c>
    </row>
    <row r="16" ht="45.0" customHeight="1">
      <c r="A16" s="11">
        <v>15.0</v>
      </c>
      <c r="B16" s="11" t="s">
        <v>90</v>
      </c>
      <c r="C16" s="93" t="s">
        <v>91</v>
      </c>
      <c r="D16" s="215" t="s">
        <v>64</v>
      </c>
      <c r="E16" s="216">
        <v>20.0</v>
      </c>
      <c r="F16" s="11" t="s">
        <v>20</v>
      </c>
      <c r="G16" s="93" t="s">
        <v>111</v>
      </c>
      <c r="H16" s="11" t="str">
        <f>IMAGE("https://upload.wikimedia.org/wikipedia/commons/e/e8/Office-pink-erasers.jpg",1)</f>
        <v/>
      </c>
      <c r="I16" s="11" t="s">
        <v>2016</v>
      </c>
    </row>
    <row r="17" ht="45.0" customHeight="1">
      <c r="A17" s="11">
        <v>16.0</v>
      </c>
      <c r="B17" s="11" t="s">
        <v>94</v>
      </c>
      <c r="C17" s="93" t="s">
        <v>95</v>
      </c>
      <c r="D17" s="215" t="s">
        <v>64</v>
      </c>
      <c r="E17" s="216">
        <v>10.0</v>
      </c>
      <c r="F17" s="11" t="s">
        <v>20</v>
      </c>
      <c r="G17" s="93" t="s">
        <v>111</v>
      </c>
      <c r="H17" s="11" t="str">
        <f>IMAGE("https://cdn.shopify.com/s/files/1/0064/3412/7939/products/Main-2_2baab3ae-c700-4dd7-acd2-e9442aee0358_2048x.jpg?v=1669799264",1)</f>
        <v/>
      </c>
      <c r="I17" s="11" t="s">
        <v>2016</v>
      </c>
    </row>
    <row r="18" ht="45.0" customHeight="1">
      <c r="A18" s="11">
        <v>17.0</v>
      </c>
      <c r="B18" s="11" t="s">
        <v>97</v>
      </c>
      <c r="C18" s="93" t="s">
        <v>1894</v>
      </c>
      <c r="D18" s="215" t="s">
        <v>64</v>
      </c>
      <c r="E18" s="216">
        <v>10.0</v>
      </c>
      <c r="F18" s="11" t="s">
        <v>20</v>
      </c>
      <c r="G18" s="93" t="s">
        <v>111</v>
      </c>
      <c r="H18" s="11" t="e">
        <v>#VALUE!</v>
      </c>
      <c r="I18" s="11" t="s">
        <v>2016</v>
      </c>
    </row>
    <row r="19" ht="45.0" customHeight="1">
      <c r="A19" s="11">
        <v>18.0</v>
      </c>
      <c r="B19" s="11" t="s">
        <v>108</v>
      </c>
      <c r="C19" s="93" t="s">
        <v>1896</v>
      </c>
      <c r="D19" s="215" t="s">
        <v>64</v>
      </c>
      <c r="E19" s="216">
        <v>1.0</v>
      </c>
      <c r="F19" s="11" t="s">
        <v>20</v>
      </c>
      <c r="G19" s="93" t="s">
        <v>111</v>
      </c>
      <c r="H19" s="11" t="str">
        <f>IMAGE("https://i5.walmartimages.com/asr/093150f9-deec-44c1-a07d-a6985f3f45c7.dad44d94862d81eed55b6d8aef2937c1.jpeg?odnHeight=612&amp;odnWidth=612&amp;odnBg=FFFFFF",1)</f>
        <v/>
      </c>
      <c r="I19" s="11" t="s">
        <v>2019</v>
      </c>
    </row>
    <row r="20" ht="45.0" customHeight="1">
      <c r="A20" s="11">
        <v>19.0</v>
      </c>
      <c r="B20" s="11" t="s">
        <v>114</v>
      </c>
      <c r="C20" s="93" t="s">
        <v>115</v>
      </c>
      <c r="D20" s="215" t="s">
        <v>64</v>
      </c>
      <c r="E20" s="216">
        <v>10.0</v>
      </c>
      <c r="F20" s="11" t="s">
        <v>20</v>
      </c>
      <c r="G20" s="93" t="s">
        <v>111</v>
      </c>
      <c r="H20" s="11" t="str">
        <f>IMAGE("https://m.media-amazon.com/images/I/81XeaSXczEL._SL1500_.jpg",1)</f>
        <v/>
      </c>
      <c r="I20" s="11" t="s">
        <v>2020</v>
      </c>
    </row>
    <row r="21" ht="45.0" customHeight="1">
      <c r="A21" s="11">
        <v>20.0</v>
      </c>
      <c r="B21" s="11" t="s">
        <v>126</v>
      </c>
      <c r="C21" s="93" t="s">
        <v>127</v>
      </c>
      <c r="D21" s="215" t="s">
        <v>64</v>
      </c>
      <c r="E21" s="216">
        <v>5.0</v>
      </c>
      <c r="F21" s="11" t="s">
        <v>20</v>
      </c>
      <c r="G21" s="93" t="s">
        <v>111</v>
      </c>
      <c r="H21" s="11" t="e">
        <v>#VALUE!</v>
      </c>
      <c r="I21" s="11" t="s">
        <v>1900</v>
      </c>
    </row>
    <row r="22" ht="45.0" customHeight="1">
      <c r="A22" s="11">
        <v>21.0</v>
      </c>
      <c r="B22" s="11" t="s">
        <v>62</v>
      </c>
      <c r="C22" s="93" t="s">
        <v>1889</v>
      </c>
      <c r="D22" s="215" t="s">
        <v>64</v>
      </c>
      <c r="E22" s="216">
        <v>60.0</v>
      </c>
      <c r="F22" s="11" t="s">
        <v>20</v>
      </c>
      <c r="G22" s="93" t="s">
        <v>1890</v>
      </c>
      <c r="H22" s="11" t="str">
        <f>IMAGE("https://5.imimg.com/data5/SELLER/Default/2020/9/EF/FR/SW/13763930/fevicryte-acrylic-colors-500x500.jpg",1)</f>
        <v/>
      </c>
      <c r="I22" s="11" t="s">
        <v>2014</v>
      </c>
    </row>
    <row r="23" ht="45.0" customHeight="1">
      <c r="A23" s="11">
        <v>22.0</v>
      </c>
      <c r="B23" s="11" t="s">
        <v>100</v>
      </c>
      <c r="C23" s="93" t="s">
        <v>101</v>
      </c>
      <c r="D23" s="215" t="s">
        <v>64</v>
      </c>
      <c r="E23" s="216">
        <v>10.0</v>
      </c>
      <c r="F23" s="11" t="s">
        <v>20</v>
      </c>
      <c r="G23" s="93" t="s">
        <v>1890</v>
      </c>
      <c r="H23" s="11" t="str">
        <f>IMAGE("https://i5.walmartimages.com/asr/2f51619b-ee1e-4e7f-9717-927459ae38b6.1308a61cc28d473c3122e46595affb79.jpeg",1)</f>
        <v/>
      </c>
      <c r="I23" s="11" t="s">
        <v>2017</v>
      </c>
    </row>
    <row r="24" ht="45.0" customHeight="1">
      <c r="A24" s="11">
        <v>23.0</v>
      </c>
      <c r="B24" s="11" t="s">
        <v>104</v>
      </c>
      <c r="C24" s="93" t="s">
        <v>105</v>
      </c>
      <c r="D24" s="215" t="s">
        <v>64</v>
      </c>
      <c r="E24" s="216">
        <v>5.0</v>
      </c>
      <c r="F24" s="11" t="s">
        <v>20</v>
      </c>
      <c r="G24" s="93" t="s">
        <v>1890</v>
      </c>
      <c r="H24" s="11" t="str">
        <f>IMAGE("https://c8.alamy.com/comp/R7TP32/paint-palette-with-various-acrylic-paints-and-a-brush-R7TP32.jpg",1)</f>
        <v/>
      </c>
      <c r="I24" s="11" t="s">
        <v>2018</v>
      </c>
    </row>
    <row r="25" ht="45.0" customHeight="1">
      <c r="A25" s="11">
        <v>24.0</v>
      </c>
      <c r="B25" s="11" t="s">
        <v>134</v>
      </c>
      <c r="C25" s="93" t="s">
        <v>135</v>
      </c>
      <c r="D25" s="215" t="s">
        <v>64</v>
      </c>
      <c r="E25" s="216">
        <v>10.0</v>
      </c>
      <c r="F25" s="11" t="s">
        <v>20</v>
      </c>
      <c r="G25" s="93" t="s">
        <v>1890</v>
      </c>
      <c r="H25" s="11" t="str">
        <f>IMAGE("https://m.media-amazon.com/images/I/717edTeWYZL._SL1500_.jpg",1)</f>
        <v/>
      </c>
      <c r="I25" s="11" t="s">
        <v>2024</v>
      </c>
    </row>
    <row r="26" ht="45.0" customHeight="1">
      <c r="A26" s="11">
        <v>25.0</v>
      </c>
      <c r="B26" s="11" t="s">
        <v>118</v>
      </c>
      <c r="C26" s="93" t="s">
        <v>1897</v>
      </c>
      <c r="D26" s="215" t="s">
        <v>64</v>
      </c>
      <c r="E26" s="216">
        <v>10.0</v>
      </c>
      <c r="F26" s="11" t="s">
        <v>20</v>
      </c>
      <c r="G26" s="93" t="s">
        <v>1898</v>
      </c>
      <c r="H26" s="11" t="str">
        <f>IMAGE("https://www.faithfulltools.com/images/xxlarge/FAIRULE150SS.jpg",1)</f>
        <v/>
      </c>
      <c r="I26" s="11" t="s">
        <v>2021</v>
      </c>
    </row>
    <row r="27" ht="45.0" customHeight="1">
      <c r="A27" s="11">
        <v>26.0</v>
      </c>
      <c r="B27" s="11" t="s">
        <v>130</v>
      </c>
      <c r="C27" s="93" t="s">
        <v>131</v>
      </c>
      <c r="D27" s="215" t="s">
        <v>64</v>
      </c>
      <c r="E27" s="216">
        <v>10.0</v>
      </c>
      <c r="F27" s="11" t="s">
        <v>20</v>
      </c>
      <c r="G27" s="93" t="s">
        <v>1898</v>
      </c>
      <c r="H27" s="11" t="str">
        <f>IMAGE("https://5.imimg.com/data5/AO/GN/AU/SELLER-10873750/floppy-disk-1000x1000.jpg",1)</f>
        <v/>
      </c>
      <c r="I27" s="11" t="s">
        <v>2016</v>
      </c>
    </row>
    <row r="28" ht="45.0" customHeight="1">
      <c r="A28" s="11">
        <v>27.0</v>
      </c>
      <c r="B28" s="11" t="s">
        <v>122</v>
      </c>
      <c r="C28" s="93" t="s">
        <v>123</v>
      </c>
      <c r="D28" s="215" t="s">
        <v>64</v>
      </c>
      <c r="E28" s="216">
        <v>10.0</v>
      </c>
      <c r="F28" s="11" t="s">
        <v>20</v>
      </c>
      <c r="G28" s="93" t="s">
        <v>1899</v>
      </c>
      <c r="H28" s="11" t="str">
        <f>IMAGE("https://images.meesho.com/images/products/60299132/dranx_512.jpg",1)</f>
        <v/>
      </c>
      <c r="I28" s="11" t="s">
        <v>2023</v>
      </c>
    </row>
    <row r="29" ht="45.0" customHeight="1">
      <c r="A29" s="11">
        <v>28.0</v>
      </c>
      <c r="B29" s="259" t="s">
        <v>2000</v>
      </c>
      <c r="C29" s="260" t="s">
        <v>2001</v>
      </c>
      <c r="D29" s="269" t="s">
        <v>346</v>
      </c>
      <c r="E29" s="216">
        <v>5.0</v>
      </c>
      <c r="F29" s="221" t="s">
        <v>20</v>
      </c>
      <c r="G29" s="93"/>
      <c r="H29" s="11"/>
      <c r="I29" s="11" t="s">
        <v>2156</v>
      </c>
    </row>
    <row r="30" ht="45.0" customHeight="1">
      <c r="A30" s="11">
        <v>29.0</v>
      </c>
      <c r="B30" s="11" t="s">
        <v>1007</v>
      </c>
      <c r="C30" s="93" t="s">
        <v>1008</v>
      </c>
      <c r="D30" s="215" t="s">
        <v>981</v>
      </c>
      <c r="E30" s="216">
        <v>1.0</v>
      </c>
      <c r="F30" s="11" t="s">
        <v>20</v>
      </c>
      <c r="G30" s="93" t="s">
        <v>111</v>
      </c>
      <c r="H30" s="11" t="str">
        <f>IMAGE("https://5.imimg.com/data5/KE/BV/MY-37063415/elastic-rubber-band-500x500.jpg",1)</f>
        <v/>
      </c>
      <c r="I30" s="11" t="s">
        <v>2099</v>
      </c>
    </row>
    <row r="31" ht="45.0" customHeight="1">
      <c r="A31" s="11">
        <v>30.0</v>
      </c>
      <c r="B31" s="11" t="s">
        <v>1011</v>
      </c>
      <c r="C31" s="93" t="s">
        <v>1012</v>
      </c>
      <c r="D31" s="215" t="s">
        <v>981</v>
      </c>
      <c r="E31" s="216">
        <v>1.0</v>
      </c>
      <c r="F31" s="11" t="s">
        <v>20</v>
      </c>
      <c r="G31" s="93" t="s">
        <v>111</v>
      </c>
      <c r="H31" s="11" t="str">
        <f>IMAGE("https://5.imimg.com/data5/BN/VV/MY-31202642/rubber-band-500x500.jpg",1)</f>
        <v/>
      </c>
      <c r="I31" s="11" t="s">
        <v>2099</v>
      </c>
    </row>
    <row r="32" ht="45.0" customHeight="1">
      <c r="A32" s="11">
        <v>31.0</v>
      </c>
      <c r="B32" s="11" t="s">
        <v>1015</v>
      </c>
      <c r="C32" s="93" t="s">
        <v>1016</v>
      </c>
      <c r="D32" s="215" t="s">
        <v>981</v>
      </c>
      <c r="E32" s="216">
        <v>1.0</v>
      </c>
      <c r="F32" s="11" t="s">
        <v>20</v>
      </c>
      <c r="G32" s="93" t="s">
        <v>111</v>
      </c>
      <c r="H32" s="11" t="str">
        <f>IMAGE("https://5.imimg.com/data5/YV/DJ/MY-7514996/rubber-band-500x500.jpg",1)</f>
        <v/>
      </c>
      <c r="I32" s="11" t="s">
        <v>2099</v>
      </c>
    </row>
    <row r="33" ht="45.0" customHeight="1">
      <c r="A33" s="11">
        <v>32.0</v>
      </c>
      <c r="B33" s="11" t="s">
        <v>979</v>
      </c>
      <c r="C33" s="93" t="s">
        <v>980</v>
      </c>
      <c r="D33" s="215" t="s">
        <v>981</v>
      </c>
      <c r="E33" s="216">
        <v>5.0</v>
      </c>
      <c r="F33" s="11" t="s">
        <v>20</v>
      </c>
      <c r="G33" s="215" t="s">
        <v>981</v>
      </c>
      <c r="H33" s="11" t="str">
        <f t="shared" ref="H33:H35" si="1">IMAGE("https://encrypted-tbn0.gstatic.com/=IMAGEs?q=tbn:ANd9GcSdcvov5296EXdnf0Fj0qF-G6iK-nu0n6Z4THAWosUzBx_wQ7GuJyrL0Rnbt1uBxLroiao&amp;usqp=CAU",1)</f>
        <v/>
      </c>
      <c r="I33" s="11" t="s">
        <v>2097</v>
      </c>
    </row>
    <row r="34" ht="45.0" customHeight="1">
      <c r="A34" s="11">
        <v>33.0</v>
      </c>
      <c r="B34" s="11" t="s">
        <v>984</v>
      </c>
      <c r="C34" s="93" t="s">
        <v>985</v>
      </c>
      <c r="D34" s="215" t="s">
        <v>981</v>
      </c>
      <c r="E34" s="216">
        <v>5.0</v>
      </c>
      <c r="F34" s="11" t="s">
        <v>20</v>
      </c>
      <c r="G34" s="215" t="s">
        <v>981</v>
      </c>
      <c r="H34" s="11" t="str">
        <f t="shared" si="1"/>
        <v/>
      </c>
      <c r="I34" s="11" t="s">
        <v>2097</v>
      </c>
    </row>
    <row r="35" ht="45.0" customHeight="1">
      <c r="A35" s="11">
        <v>34.0</v>
      </c>
      <c r="B35" s="11" t="s">
        <v>988</v>
      </c>
      <c r="C35" s="93" t="s">
        <v>989</v>
      </c>
      <c r="D35" s="215" t="s">
        <v>981</v>
      </c>
      <c r="E35" s="216">
        <v>2.0</v>
      </c>
      <c r="F35" s="11" t="s">
        <v>20</v>
      </c>
      <c r="G35" s="93" t="s">
        <v>981</v>
      </c>
      <c r="H35" s="11" t="str">
        <f t="shared" si="1"/>
        <v/>
      </c>
      <c r="I35" s="11" t="s">
        <v>2097</v>
      </c>
    </row>
    <row r="36" ht="45.0" customHeight="1">
      <c r="A36" s="11">
        <v>35.0</v>
      </c>
      <c r="B36" s="11" t="s">
        <v>992</v>
      </c>
      <c r="C36" s="93" t="s">
        <v>993</v>
      </c>
      <c r="D36" s="215" t="s">
        <v>981</v>
      </c>
      <c r="E36" s="216">
        <v>5.0</v>
      </c>
      <c r="F36" s="11" t="s">
        <v>20</v>
      </c>
      <c r="G36" s="215" t="s">
        <v>981</v>
      </c>
      <c r="H36" s="11" t="str">
        <f t="shared" ref="H36:H38" si="2">IMAGE("https://encrypted-tbn0.gstatic.com/=IMAGEs?q=tbn:ANd9GcTv3YU2gmM00qoI79XpKhq-dV1wM5aPXrLsmrVwQWwEda0tuTarN0ncQ0DMg_JUYk4IBe4&amp;usqp=CAU",1)</f>
        <v/>
      </c>
      <c r="I36" s="11" t="s">
        <v>2098</v>
      </c>
    </row>
    <row r="37" ht="45.0" customHeight="1">
      <c r="A37" s="11">
        <v>36.0</v>
      </c>
      <c r="B37" s="11" t="s">
        <v>996</v>
      </c>
      <c r="C37" s="93" t="s">
        <v>997</v>
      </c>
      <c r="D37" s="215" t="s">
        <v>981</v>
      </c>
      <c r="E37" s="216">
        <v>5.0</v>
      </c>
      <c r="F37" s="11" t="s">
        <v>20</v>
      </c>
      <c r="G37" s="215" t="s">
        <v>981</v>
      </c>
      <c r="H37" s="11" t="str">
        <f t="shared" si="2"/>
        <v/>
      </c>
      <c r="I37" s="11" t="s">
        <v>2098</v>
      </c>
    </row>
    <row r="38" ht="45.0" customHeight="1">
      <c r="A38" s="11">
        <v>37.0</v>
      </c>
      <c r="B38" s="11" t="s">
        <v>999</v>
      </c>
      <c r="C38" s="93" t="s">
        <v>1000</v>
      </c>
      <c r="D38" s="215" t="s">
        <v>981</v>
      </c>
      <c r="E38" s="216">
        <v>5.0</v>
      </c>
      <c r="F38" s="11" t="s">
        <v>20</v>
      </c>
      <c r="G38" s="215" t="s">
        <v>981</v>
      </c>
      <c r="H38" s="11" t="str">
        <f t="shared" si="2"/>
        <v/>
      </c>
      <c r="I38" s="11" t="s">
        <v>2098</v>
      </c>
    </row>
    <row r="39" ht="45.0" customHeight="1">
      <c r="A39" s="11">
        <v>38.0</v>
      </c>
      <c r="B39" s="11" t="s">
        <v>1003</v>
      </c>
      <c r="C39" s="93" t="s">
        <v>1004</v>
      </c>
      <c r="D39" s="215" t="s">
        <v>981</v>
      </c>
      <c r="E39" s="216">
        <v>1.0</v>
      </c>
      <c r="F39" s="11" t="s">
        <v>20</v>
      </c>
      <c r="G39" s="215" t="s">
        <v>981</v>
      </c>
      <c r="H39" s="11" t="str">
        <f>IMAGE("https://3.imimg.com/data3/QQ/JR/MY-2/plastic-twine-500x500.jpg",1)</f>
        <v/>
      </c>
      <c r="I39" s="11" t="s">
        <v>2013</v>
      </c>
    </row>
    <row r="40" ht="45.0" customHeight="1">
      <c r="A40" s="11">
        <v>39.0</v>
      </c>
      <c r="B40" s="11" t="s">
        <v>1018</v>
      </c>
      <c r="C40" s="93" t="s">
        <v>1019</v>
      </c>
      <c r="D40" s="215" t="s">
        <v>981</v>
      </c>
      <c r="E40" s="216">
        <v>1.0</v>
      </c>
      <c r="F40" s="11" t="s">
        <v>20</v>
      </c>
      <c r="G40" s="215" t="s">
        <v>981</v>
      </c>
      <c r="H40" s="11" t="str">
        <f>IMAGE("https://m.media-amazon.com/images/I/51XnX9DfiFL._SL1166_.jpg",1)</f>
        <v/>
      </c>
      <c r="I40" s="11" t="s">
        <v>2099</v>
      </c>
    </row>
    <row r="41" ht="45.0" customHeight="1">
      <c r="A41" s="11">
        <v>40.0</v>
      </c>
      <c r="B41" s="11" t="s">
        <v>1433</v>
      </c>
      <c r="C41" s="93" t="s">
        <v>1982</v>
      </c>
      <c r="D41" s="215" t="s">
        <v>1421</v>
      </c>
      <c r="E41" s="216">
        <v>1.0</v>
      </c>
      <c r="F41" s="11" t="s">
        <v>20</v>
      </c>
      <c r="G41" s="93" t="s">
        <v>1983</v>
      </c>
      <c r="H41" s="11" t="str">
        <f>IMAGE("https://m.media-amazon.com/images/I/81PowerIGsL._SL1500_.jpg")</f>
        <v/>
      </c>
      <c r="I41" s="222" t="s">
        <v>2007</v>
      </c>
    </row>
    <row r="42" ht="45.0" customHeight="1">
      <c r="A42" s="11">
        <v>41.0</v>
      </c>
      <c r="B42" s="11" t="s">
        <v>1438</v>
      </c>
      <c r="C42" s="93" t="s">
        <v>1439</v>
      </c>
      <c r="D42" s="215" t="s">
        <v>1421</v>
      </c>
      <c r="E42" s="216">
        <v>5.0</v>
      </c>
      <c r="F42" s="11" t="s">
        <v>20</v>
      </c>
      <c r="G42" s="93" t="s">
        <v>1983</v>
      </c>
      <c r="H42" s="11" t="str">
        <f>IMAGE("https://cdn.shopify.com/s/files/1/0032/5448/5037/products/suvidha-aluminium-foil-72-meters-pack-of-12_800x.jpg?v=1562920856",1)</f>
        <v/>
      </c>
      <c r="I42" s="11" t="s">
        <v>2140</v>
      </c>
    </row>
    <row r="43" ht="45.0" customHeight="1">
      <c r="A43" s="11">
        <v>42.0</v>
      </c>
      <c r="B43" s="11" t="s">
        <v>1424</v>
      </c>
      <c r="C43" s="93" t="s">
        <v>1425</v>
      </c>
      <c r="D43" s="215" t="s">
        <v>1421</v>
      </c>
      <c r="E43" s="11">
        <v>5.0</v>
      </c>
      <c r="F43" s="11" t="s">
        <v>20</v>
      </c>
      <c r="G43" s="93" t="s">
        <v>1892</v>
      </c>
      <c r="H43" s="11" t="str">
        <f>IMAGE("https://imgs.michaels.com/MAM/assets/1/5E3C12034D34434F8A9BAAFDDF0F8E1B/img/5CDBB82051B44720A8F8901B4AABD77C/10446567_2.jpg",1)</f>
        <v/>
      </c>
      <c r="I43" s="11" t="s">
        <v>2011</v>
      </c>
    </row>
    <row r="44" ht="45.0" customHeight="1">
      <c r="A44" s="11">
        <v>43.0</v>
      </c>
      <c r="B44" s="11" t="s">
        <v>1429</v>
      </c>
      <c r="C44" s="93" t="s">
        <v>1981</v>
      </c>
      <c r="D44" s="215" t="s">
        <v>1421</v>
      </c>
      <c r="E44" s="11">
        <v>5.0</v>
      </c>
      <c r="F44" s="11" t="s">
        <v>20</v>
      </c>
      <c r="G44" s="93" t="s">
        <v>1892</v>
      </c>
      <c r="H44" s="11" t="str">
        <f>IMAGE("https://upload.wikimedia.org/wikipedia/commons/7/79/Polymer_clay_examples.jpg",1)</f>
        <v/>
      </c>
      <c r="I44" s="11" t="s">
        <v>2139</v>
      </c>
    </row>
    <row r="45" ht="45.0" customHeight="1">
      <c r="A45" s="11">
        <v>44.0</v>
      </c>
      <c r="B45" s="11" t="s">
        <v>1442</v>
      </c>
      <c r="C45" s="93" t="s">
        <v>936</v>
      </c>
      <c r="D45" s="215" t="s">
        <v>1421</v>
      </c>
      <c r="E45" s="216">
        <v>4.0</v>
      </c>
      <c r="F45" s="11" t="s">
        <v>20</v>
      </c>
      <c r="G45" s="93" t="s">
        <v>111</v>
      </c>
      <c r="H45" s="11" t="str">
        <f>IMAGE("https://m.media-amazon.com/images/I/61ywjiydpbS._SL1500_.jpg",1)</f>
        <v/>
      </c>
      <c r="I45" s="222" t="s">
        <v>2019</v>
      </c>
    </row>
    <row r="46" ht="45.0" customHeight="1">
      <c r="A46" s="11">
        <v>45.0</v>
      </c>
      <c r="B46" s="11" t="s">
        <v>1453</v>
      </c>
      <c r="C46" s="93" t="s">
        <v>1454</v>
      </c>
      <c r="D46" s="215" t="s">
        <v>1421</v>
      </c>
      <c r="E46" s="216">
        <v>50.0</v>
      </c>
      <c r="F46" s="11" t="s">
        <v>20</v>
      </c>
      <c r="G46" s="93" t="s">
        <v>111</v>
      </c>
      <c r="H46" s="11" t="str">
        <f>IMAGE("https://cdn11.bigcommerce.com/s-33iv1gdknl/images/stencil/1280x1280/products/115465/70691/prd_32014_5797121027228__12010.1559545680.jpg?c=2",1)</f>
        <v/>
      </c>
      <c r="I46" s="11" t="s">
        <v>2141</v>
      </c>
    </row>
    <row r="47" ht="45.0" customHeight="1">
      <c r="A47" s="11">
        <v>46.0</v>
      </c>
      <c r="B47" s="11" t="s">
        <v>1469</v>
      </c>
      <c r="C47" s="93" t="s">
        <v>1470</v>
      </c>
      <c r="D47" s="215" t="s">
        <v>1421</v>
      </c>
      <c r="E47" s="216">
        <v>1.0</v>
      </c>
      <c r="F47" s="11" t="s">
        <v>20</v>
      </c>
      <c r="G47" s="93" t="s">
        <v>111</v>
      </c>
      <c r="H47" s="11" t="str">
        <f>IMAGE("https://www.wpiinc.com/media/catalog/product/cache/57a65487c9a4c9d3ba2482ad45cfc757/5/0/503023.jpg",1)</f>
        <v/>
      </c>
      <c r="I47" s="11" t="s">
        <v>2007</v>
      </c>
    </row>
    <row r="48" ht="45.0" customHeight="1">
      <c r="A48" s="11">
        <v>47.0</v>
      </c>
      <c r="B48" s="11" t="s">
        <v>1457</v>
      </c>
      <c r="C48" s="93" t="s">
        <v>1458</v>
      </c>
      <c r="D48" s="215" t="s">
        <v>1421</v>
      </c>
      <c r="E48" s="216">
        <v>10.0</v>
      </c>
      <c r="F48" s="11" t="s">
        <v>20</v>
      </c>
      <c r="G48" s="93" t="s">
        <v>1985</v>
      </c>
      <c r="H48" s="11" t="str">
        <f>IMAGE("https://assetscdn1.paytm.com/images/catalog/product/S/ST/STAEVA-FOAM-SHEKAPI63599336D8CB51/1563562065545_0..jpg?imwidth=320&amp;impolicy=hq",1)</f>
        <v/>
      </c>
      <c r="I48" s="11" t="s">
        <v>2142</v>
      </c>
    </row>
    <row r="49" ht="45.0" customHeight="1">
      <c r="A49" s="11">
        <v>48.0</v>
      </c>
      <c r="B49" s="11" t="s">
        <v>1445</v>
      </c>
      <c r="C49" s="93" t="s">
        <v>1446</v>
      </c>
      <c r="D49" s="215" t="s">
        <v>1421</v>
      </c>
      <c r="E49" s="216">
        <v>5.0</v>
      </c>
      <c r="F49" s="11" t="s">
        <v>20</v>
      </c>
      <c r="G49" s="93" t="s">
        <v>1985</v>
      </c>
      <c r="H49" s="11" t="str">
        <f t="shared" ref="H49:H50" si="3">IMAGE("https://m.media-amazon.com/images/I/51FB8cHTJyL._SL1500_.jpg",1)</f>
        <v/>
      </c>
      <c r="I49" s="11" t="s">
        <v>2143</v>
      </c>
    </row>
    <row r="50" ht="45.0" customHeight="1">
      <c r="A50" s="11">
        <v>49.0</v>
      </c>
      <c r="B50" s="11" t="s">
        <v>1449</v>
      </c>
      <c r="C50" s="93" t="s">
        <v>1450</v>
      </c>
      <c r="D50" s="215" t="s">
        <v>1421</v>
      </c>
      <c r="E50" s="216">
        <v>5.0</v>
      </c>
      <c r="F50" s="11" t="s">
        <v>20</v>
      </c>
      <c r="G50" s="93" t="s">
        <v>1985</v>
      </c>
      <c r="H50" s="11" t="str">
        <f t="shared" si="3"/>
        <v/>
      </c>
      <c r="I50" s="11" t="s">
        <v>2143</v>
      </c>
    </row>
    <row r="51" ht="45.0" customHeight="1">
      <c r="A51" s="11">
        <v>50.0</v>
      </c>
      <c r="B51" s="11" t="s">
        <v>1465</v>
      </c>
      <c r="C51" s="93" t="s">
        <v>1466</v>
      </c>
      <c r="D51" s="215" t="s">
        <v>1421</v>
      </c>
      <c r="E51" s="216">
        <v>10.0</v>
      </c>
      <c r="F51" s="11" t="s">
        <v>20</v>
      </c>
      <c r="G51" s="93" t="s">
        <v>1985</v>
      </c>
      <c r="H51" s="11" t="str">
        <f>IMAGE("https://www.ramsayrubber.com/wp-content/uploads/2020/01/Rolls-Sheeting-Polyurethane-Foam-Rolls2-1.jpg",1)</f>
        <v/>
      </c>
      <c r="I51" s="222" t="s">
        <v>2142</v>
      </c>
    </row>
    <row r="52" ht="45.0" customHeight="1">
      <c r="A52" s="11">
        <v>51.0</v>
      </c>
      <c r="B52" s="11" t="s">
        <v>1460</v>
      </c>
      <c r="C52" s="93" t="s">
        <v>1461</v>
      </c>
      <c r="D52" s="215" t="s">
        <v>1421</v>
      </c>
      <c r="E52" s="216">
        <v>1.0</v>
      </c>
      <c r="F52" s="11" t="s">
        <v>20</v>
      </c>
      <c r="G52" s="93" t="s">
        <v>1899</v>
      </c>
      <c r="H52" s="11" t="str">
        <f>IMAGE("https://5.imimg.com/data5/NA/SV/MA/SELLER-5806248/transparent-ohp-sheet-1000x1000.jpg",1)</f>
        <v/>
      </c>
      <c r="I52" s="11" t="s">
        <v>1984</v>
      </c>
    </row>
    <row r="53" ht="45.0" customHeight="1">
      <c r="A53" s="11">
        <v>52.0</v>
      </c>
      <c r="B53" s="11" t="s">
        <v>1603</v>
      </c>
      <c r="C53" s="93" t="s">
        <v>1604</v>
      </c>
      <c r="D53" s="215" t="s">
        <v>1601</v>
      </c>
      <c r="E53" s="11">
        <v>1.0</v>
      </c>
      <c r="F53" s="11" t="s">
        <v>20</v>
      </c>
      <c r="G53" s="93" t="s">
        <v>1987</v>
      </c>
      <c r="H53" s="11" t="str">
        <f>IMAGE("https://3.imimg.com/data3/HA/PB/MY-3231014/sewing-needle.jpg",1)</f>
        <v/>
      </c>
      <c r="I53" s="11" t="s">
        <v>2151</v>
      </c>
    </row>
    <row r="54" ht="45.0" customHeight="1">
      <c r="A54" s="11">
        <v>53.0</v>
      </c>
      <c r="B54" s="11" t="s">
        <v>1607</v>
      </c>
      <c r="C54" s="93" t="s">
        <v>1608</v>
      </c>
      <c r="D54" s="215" t="s">
        <v>1601</v>
      </c>
      <c r="E54" s="11">
        <v>2.0</v>
      </c>
      <c r="F54" s="11" t="s">
        <v>20</v>
      </c>
      <c r="G54" s="93" t="s">
        <v>1987</v>
      </c>
      <c r="H54" s="11" t="str">
        <f>IMAGE("https://m.media-amazon.com/images/W/MEDIAX_792452-T2/images/I/71vxqqo9r7L.jpg",1)</f>
        <v/>
      </c>
      <c r="I54" s="11" t="s">
        <v>2151</v>
      </c>
    </row>
    <row r="55" ht="45.0" customHeight="1">
      <c r="A55" s="11">
        <v>54.0</v>
      </c>
      <c r="B55" s="11" t="s">
        <v>463</v>
      </c>
      <c r="C55" s="93" t="s">
        <v>464</v>
      </c>
      <c r="D55" s="215" t="s">
        <v>465</v>
      </c>
      <c r="E55" s="216">
        <v>5.0</v>
      </c>
      <c r="F55" s="11" t="s">
        <v>466</v>
      </c>
      <c r="G55" s="93" t="s">
        <v>1938</v>
      </c>
      <c r="H55" s="11" t="str">
        <f>IMAGE("https://5.imimg.com/data5/SELLER/Default/2020/10/MN/BG/IF/24066098/sunlu-sl-300-3d-pen-green-500x500.jpg",1)</f>
        <v/>
      </c>
      <c r="I55" s="11" t="s">
        <v>2065</v>
      </c>
    </row>
    <row r="56" ht="45.0" customHeight="1">
      <c r="A56" s="11">
        <v>55.0</v>
      </c>
      <c r="B56" s="11" t="s">
        <v>470</v>
      </c>
      <c r="C56" s="93" t="s">
        <v>471</v>
      </c>
      <c r="D56" s="215" t="s">
        <v>465</v>
      </c>
      <c r="E56" s="216">
        <v>1.0</v>
      </c>
      <c r="F56" s="11" t="s">
        <v>466</v>
      </c>
      <c r="G56" s="93" t="s">
        <v>1938</v>
      </c>
      <c r="H56" s="11" t="str">
        <f>IMAGE("https://m.media-amazon.com/images/I/61UtNlSmPaL._SX342_.jpg",1)</f>
        <v/>
      </c>
      <c r="I56" s="11" t="s">
        <v>2066</v>
      </c>
    </row>
    <row r="57" ht="45.0" customHeight="1">
      <c r="A57" s="11">
        <v>56.0</v>
      </c>
      <c r="B57" s="11" t="s">
        <v>474</v>
      </c>
      <c r="C57" s="93" t="s">
        <v>475</v>
      </c>
      <c r="D57" s="215" t="s">
        <v>465</v>
      </c>
      <c r="E57" s="216">
        <v>1.0</v>
      </c>
      <c r="F57" s="11" t="s">
        <v>466</v>
      </c>
      <c r="G57" s="93" t="s">
        <v>1938</v>
      </c>
      <c r="H57" s="11"/>
      <c r="I57" s="11" t="s">
        <v>2067</v>
      </c>
    </row>
    <row r="58" ht="45.0" customHeight="1">
      <c r="A58" s="11">
        <v>57.0</v>
      </c>
      <c r="B58" s="11" t="s">
        <v>478</v>
      </c>
      <c r="C58" s="93" t="s">
        <v>479</v>
      </c>
      <c r="D58" s="215" t="s">
        <v>465</v>
      </c>
      <c r="E58" s="216">
        <v>3.0</v>
      </c>
      <c r="F58" s="11" t="s">
        <v>466</v>
      </c>
      <c r="G58" s="93" t="s">
        <v>1938</v>
      </c>
      <c r="H58" s="11" t="str">
        <f>IMAGE("https://5.imimg.com/data5/LA/TM/JO/SELLER-79394111/3d-printer-nylon-filament-500x500.jpg",1)</f>
        <v/>
      </c>
      <c r="I58" s="222" t="s">
        <v>2069</v>
      </c>
    </row>
    <row r="59" ht="45.0" customHeight="1">
      <c r="A59" s="11">
        <v>58.0</v>
      </c>
      <c r="B59" s="259" t="s">
        <v>1994</v>
      </c>
      <c r="C59" s="260" t="s">
        <v>1995</v>
      </c>
      <c r="D59" s="215" t="s">
        <v>465</v>
      </c>
      <c r="E59" s="216">
        <v>1.0</v>
      </c>
      <c r="F59" s="11" t="s">
        <v>466</v>
      </c>
      <c r="G59" s="93" t="s">
        <v>1991</v>
      </c>
      <c r="H59" s="11"/>
      <c r="I59" s="11" t="s">
        <v>2066</v>
      </c>
    </row>
    <row r="60" ht="45.0" customHeight="1">
      <c r="A60" s="11">
        <v>59.0</v>
      </c>
      <c r="B60" s="259" t="s">
        <v>1996</v>
      </c>
      <c r="C60" s="260" t="s">
        <v>1997</v>
      </c>
      <c r="D60" s="215" t="s">
        <v>465</v>
      </c>
      <c r="E60" s="216">
        <v>1.0</v>
      </c>
      <c r="F60" s="11" t="s">
        <v>466</v>
      </c>
      <c r="G60" s="93" t="s">
        <v>1991</v>
      </c>
      <c r="H60" s="11"/>
      <c r="I60" s="222" t="s">
        <v>2154</v>
      </c>
    </row>
    <row r="61" ht="45.0" customHeight="1">
      <c r="A61" s="11">
        <v>60.0</v>
      </c>
      <c r="B61" s="11" t="s">
        <v>1124</v>
      </c>
      <c r="C61" s="93" t="s">
        <v>1125</v>
      </c>
      <c r="D61" s="215" t="s">
        <v>1032</v>
      </c>
      <c r="E61" s="216">
        <v>1.0</v>
      </c>
      <c r="F61" s="11" t="s">
        <v>466</v>
      </c>
      <c r="G61" s="215" t="s">
        <v>1032</v>
      </c>
      <c r="H61" s="11" t="str">
        <f>IMAGE("https://cdn.shopify.com/s/files/1/0276/7382/1286/products/57_1a2e82a1-0306-49dc-8a29-0c0b2110ddb8_600x.jpg?v=1632245164",1)</f>
        <v/>
      </c>
      <c r="I61" s="222" t="s">
        <v>2106</v>
      </c>
    </row>
    <row r="62" ht="45.0" customHeight="1">
      <c r="A62" s="11">
        <v>61.0</v>
      </c>
      <c r="B62" s="11" t="s">
        <v>175</v>
      </c>
      <c r="C62" s="93" t="s">
        <v>176</v>
      </c>
      <c r="D62" s="215" t="s">
        <v>177</v>
      </c>
      <c r="E62" s="216">
        <v>5.0</v>
      </c>
      <c r="F62" s="11" t="s">
        <v>178</v>
      </c>
      <c r="G62" s="93" t="s">
        <v>1905</v>
      </c>
      <c r="H62" s="11" t="str">
        <f>IMAGE("https://robu.in/wp-content/uploads/2021/05/EU-Plug-Universal-Battery-Charger-For-18650-16340-14500-Li-ion-Rechargeable-Battery-Charger-3.jpg",1)</f>
        <v/>
      </c>
      <c r="I62" s="11" t="s">
        <v>2033</v>
      </c>
    </row>
    <row r="63" ht="45.0" customHeight="1">
      <c r="A63" s="11">
        <v>62.0</v>
      </c>
      <c r="B63" s="11" t="s">
        <v>219</v>
      </c>
      <c r="C63" s="93" t="s">
        <v>220</v>
      </c>
      <c r="D63" s="215" t="s">
        <v>177</v>
      </c>
      <c r="E63" s="216">
        <v>5.0</v>
      </c>
      <c r="F63" s="11" t="s">
        <v>178</v>
      </c>
      <c r="G63" s="93" t="s">
        <v>1905</v>
      </c>
      <c r="H63" s="11" t="str">
        <f>IMAGE("https://i02.psgsm.net/gsm.com/p/887576/480/power-bank-hoco-j26-10000-mah-micro-usb-type-b-input-5v-2a-2-usb-outputs-5-v-2-1-a-139-70-16-mm-with-micro-usb-cable-type-b-black.jpg",1)</f>
        <v/>
      </c>
      <c r="I63" s="221" t="s">
        <v>2039</v>
      </c>
    </row>
    <row r="64" ht="45.0" customHeight="1">
      <c r="A64" s="11">
        <v>63.0</v>
      </c>
      <c r="B64" s="11" t="s">
        <v>223</v>
      </c>
      <c r="C64" s="93" t="s">
        <v>1741</v>
      </c>
      <c r="D64" s="215" t="s">
        <v>177</v>
      </c>
      <c r="E64" s="216">
        <v>10.0</v>
      </c>
      <c r="F64" s="11" t="s">
        <v>178</v>
      </c>
      <c r="G64" s="93" t="s">
        <v>1905</v>
      </c>
      <c r="H64" s="11" t="str">
        <f>IMAGE("https://images-na.ssl-images-amazon.com/images/I/51p4KPR9o1L.SS700.jpg",1)</f>
        <v/>
      </c>
      <c r="I64" s="11" t="s">
        <v>2040</v>
      </c>
    </row>
    <row r="65" ht="45.0" customHeight="1">
      <c r="A65" s="11">
        <v>64.0</v>
      </c>
      <c r="B65" s="11" t="s">
        <v>227</v>
      </c>
      <c r="C65" s="93" t="s">
        <v>228</v>
      </c>
      <c r="D65" s="215" t="s">
        <v>177</v>
      </c>
      <c r="E65" s="216">
        <v>10.0</v>
      </c>
      <c r="F65" s="11" t="s">
        <v>178</v>
      </c>
      <c r="G65" s="93" t="s">
        <v>1905</v>
      </c>
      <c r="H65" s="11" t="str">
        <f>IMAGE("https://5.imimg.com/data5/SELLER/Default/2021/7/XA/OZ/BW/6610292/9v-power-plus-nimh-rechargeable-battery-500x500.jpg",1)</f>
        <v/>
      </c>
      <c r="I65" s="11" t="s">
        <v>2038</v>
      </c>
    </row>
    <row r="66" ht="45.0" customHeight="1">
      <c r="A66" s="11">
        <v>65.0</v>
      </c>
      <c r="B66" s="11" t="s">
        <v>231</v>
      </c>
      <c r="C66" s="93" t="s">
        <v>232</v>
      </c>
      <c r="D66" s="215" t="s">
        <v>177</v>
      </c>
      <c r="E66" s="216">
        <v>20.0</v>
      </c>
      <c r="F66" s="11" t="s">
        <v>178</v>
      </c>
      <c r="G66" s="93" t="s">
        <v>1905</v>
      </c>
      <c r="H66" s="11" t="str">
        <f>IMAGE("https://images-cdn.ubuy.co.in/6578382306deda07ed788ca4-rechargeable-aa-batteries-aa.jpg",1)</f>
        <v/>
      </c>
      <c r="I66" s="11" t="s">
        <v>2041</v>
      </c>
    </row>
    <row r="67" ht="45.0" customHeight="1">
      <c r="A67" s="11">
        <v>66.0</v>
      </c>
      <c r="B67" s="11" t="s">
        <v>187</v>
      </c>
      <c r="C67" s="93" t="s">
        <v>1908</v>
      </c>
      <c r="D67" s="215" t="s">
        <v>177</v>
      </c>
      <c r="E67" s="216">
        <v>5.0</v>
      </c>
      <c r="F67" s="11" t="s">
        <v>178</v>
      </c>
      <c r="G67" s="93" t="s">
        <v>1909</v>
      </c>
      <c r="H67" s="11" t="str">
        <f>IMAGE("https://m.media-amazon.com/images/I/6161NXWtz-L._SL1500_.jpg",1)</f>
        <v/>
      </c>
      <c r="I67" s="11" t="s">
        <v>2035</v>
      </c>
    </row>
    <row r="68" ht="45.0" customHeight="1">
      <c r="A68" s="11">
        <v>67.0</v>
      </c>
      <c r="B68" s="11" t="s">
        <v>191</v>
      </c>
      <c r="C68" s="93" t="s">
        <v>1910</v>
      </c>
      <c r="D68" s="215" t="s">
        <v>177</v>
      </c>
      <c r="E68" s="216">
        <v>20.0</v>
      </c>
      <c r="F68" s="11" t="s">
        <v>178</v>
      </c>
      <c r="G68" s="93" t="s">
        <v>1909</v>
      </c>
      <c r="H68" s="11" t="str">
        <f>IMAGE("https://i0.wp.com/www.rytronics.in/wp-content/uploads/2021/09/9v-batter-connector-snap-connector02.jpg?fit=1000%2C1000&amp;ssl=1",1)</f>
        <v/>
      </c>
      <c r="I68" s="221" t="s">
        <v>2036</v>
      </c>
    </row>
    <row r="69" ht="45.0" customHeight="1">
      <c r="A69" s="11">
        <v>68.0</v>
      </c>
      <c r="B69" s="11" t="s">
        <v>197</v>
      </c>
      <c r="C69" s="93" t="s">
        <v>1911</v>
      </c>
      <c r="D69" s="215" t="s">
        <v>177</v>
      </c>
      <c r="E69" s="216">
        <v>15.0</v>
      </c>
      <c r="F69" s="11" t="s">
        <v>178</v>
      </c>
      <c r="G69" s="93" t="s">
        <v>1909</v>
      </c>
      <c r="H69" s="11" t="str">
        <f>IMAGE("https://m.media-amazon.com/images/W/MEDIAX_792452-T2/images/I/61UPqH4BXuL.SS700.jpg",1)</f>
        <v/>
      </c>
      <c r="I69" s="221" t="s">
        <v>2036</v>
      </c>
    </row>
    <row r="70" ht="45.0" customHeight="1">
      <c r="A70" s="11">
        <v>69.0</v>
      </c>
      <c r="B70" s="11" t="s">
        <v>201</v>
      </c>
      <c r="C70" s="93" t="s">
        <v>1912</v>
      </c>
      <c r="D70" s="215" t="s">
        <v>177</v>
      </c>
      <c r="E70" s="216">
        <v>10.0</v>
      </c>
      <c r="F70" s="11" t="s">
        <v>178</v>
      </c>
      <c r="G70" s="93" t="s">
        <v>1909</v>
      </c>
      <c r="H70" s="11" t="str">
        <f>IMAGE("https://robotools.in/wp-content/uploads/2022/09/18650-x-2-battery-holder-with-cover-and-OnOff-Switch-5.jpg",1)</f>
        <v/>
      </c>
      <c r="I70" s="11" t="s">
        <v>2037</v>
      </c>
    </row>
    <row r="71" ht="45.0" customHeight="1">
      <c r="A71" s="11">
        <v>70.0</v>
      </c>
      <c r="B71" s="11" t="s">
        <v>206</v>
      </c>
      <c r="C71" s="93" t="s">
        <v>1913</v>
      </c>
      <c r="D71" s="215" t="s">
        <v>177</v>
      </c>
      <c r="E71" s="216">
        <v>30.0</v>
      </c>
      <c r="F71" s="11" t="s">
        <v>178</v>
      </c>
      <c r="G71" s="93" t="s">
        <v>1909</v>
      </c>
      <c r="H71" s="11" t="str">
        <f>IMAGE("https://robu.in/wp-content/uploads/2019/03/2-x-1.5V-AA-battery-holder-with-cover-and-OnOff-Switch-6.jpg",1)</f>
        <v/>
      </c>
      <c r="I71" s="11" t="s">
        <v>2037</v>
      </c>
    </row>
    <row r="72" ht="45.0" customHeight="1">
      <c r="A72" s="11">
        <v>71.0</v>
      </c>
      <c r="B72" s="11" t="s">
        <v>210</v>
      </c>
      <c r="C72" s="93" t="s">
        <v>1914</v>
      </c>
      <c r="D72" s="215" t="s">
        <v>177</v>
      </c>
      <c r="E72" s="216">
        <v>20.0</v>
      </c>
      <c r="F72" s="11" t="s">
        <v>178</v>
      </c>
      <c r="G72" s="93" t="s">
        <v>1909</v>
      </c>
      <c r="H72" s="11" t="str">
        <f>IMAGE("https://probots.co.in/pub/media/catalog/product/cache/d8ddd0f9b0cd008b57085cd218b48832/4/-/4-x-1.5v-aa-battery-holder01.jpg",1)</f>
        <v/>
      </c>
      <c r="I72" s="11" t="s">
        <v>2037</v>
      </c>
    </row>
    <row r="73" ht="45.0" customHeight="1">
      <c r="A73" s="11">
        <v>72.0</v>
      </c>
      <c r="B73" s="11" t="s">
        <v>214</v>
      </c>
      <c r="C73" s="93" t="s">
        <v>1915</v>
      </c>
      <c r="D73" s="215" t="s">
        <v>177</v>
      </c>
      <c r="E73" s="216">
        <v>20.0</v>
      </c>
      <c r="F73" s="11" t="s">
        <v>178</v>
      </c>
      <c r="G73" s="93" t="s">
        <v>1909</v>
      </c>
      <c r="H73" s="11" t="str">
        <f>IMAGE("https://robu.in/wp-content/uploads/2022/06/510c1Z93PDL._SX679_.jpg",1)</f>
        <v/>
      </c>
      <c r="I73" s="11" t="s">
        <v>2038</v>
      </c>
    </row>
    <row r="74" ht="45.0" customHeight="1">
      <c r="A74" s="11">
        <v>73.0</v>
      </c>
      <c r="B74" s="11" t="s">
        <v>182</v>
      </c>
      <c r="C74" s="93" t="s">
        <v>1906</v>
      </c>
      <c r="D74" s="215" t="s">
        <v>177</v>
      </c>
      <c r="E74" s="216">
        <v>5.0</v>
      </c>
      <c r="F74" s="11" t="s">
        <v>178</v>
      </c>
      <c r="G74" s="93" t="s">
        <v>1907</v>
      </c>
      <c r="H74" s="11" t="str">
        <f>IMAGE("https://rukminim2.flixcart.com/image/832/832/krs40i80/worldwide-adaptor/f/7/g/pack-of-1-power-adapter-12v-2-amp-dual-pin-for-charger-with-original-imag5hmbvgzazbzz.jpeg?q=70",1)</f>
        <v/>
      </c>
      <c r="I74" s="11" t="s">
        <v>2034</v>
      </c>
    </row>
    <row r="75" ht="45.0" customHeight="1">
      <c r="A75" s="11">
        <v>74.0</v>
      </c>
      <c r="B75" s="11" t="s">
        <v>235</v>
      </c>
      <c r="C75" s="93" t="s">
        <v>1916</v>
      </c>
      <c r="D75" s="215" t="s">
        <v>237</v>
      </c>
      <c r="E75" s="216">
        <v>20.0</v>
      </c>
      <c r="F75" s="11" t="s">
        <v>178</v>
      </c>
      <c r="G75" s="93" t="s">
        <v>237</v>
      </c>
      <c r="H75" s="11" t="str">
        <f>IMAGE("https://robu.in/wp-content/uploads/2017/04/Alligator-Clips-Electrical-DIY-Test-Leads-10pcs-For-Test-Leads-Double-ended-Crocodile-Clips-Roach-Clip-2.jpg",1)</f>
        <v/>
      </c>
      <c r="I75" s="11" t="s">
        <v>2042</v>
      </c>
    </row>
    <row r="76" ht="45.0" customHeight="1">
      <c r="A76" s="11">
        <v>75.0</v>
      </c>
      <c r="B76" s="11" t="s">
        <v>240</v>
      </c>
      <c r="C76" s="93" t="s">
        <v>241</v>
      </c>
      <c r="D76" s="215" t="s">
        <v>237</v>
      </c>
      <c r="E76" s="216">
        <v>20.0</v>
      </c>
      <c r="F76" s="11" t="s">
        <v>178</v>
      </c>
      <c r="G76" s="93" t="s">
        <v>237</v>
      </c>
      <c r="H76" s="11" t="str">
        <f>IMAGE("https://makerbazar.in/cdn/shop/products/dcmalejackwithwire2_600x.jpg?v=1642675074",1)</f>
        <v/>
      </c>
      <c r="I76" s="221" t="s">
        <v>2036</v>
      </c>
    </row>
    <row r="77" ht="45.0" customHeight="1">
      <c r="A77" s="11">
        <v>76.0</v>
      </c>
      <c r="B77" s="11" t="s">
        <v>317</v>
      </c>
      <c r="C77" s="93" t="s">
        <v>1924</v>
      </c>
      <c r="D77" s="215" t="s">
        <v>237</v>
      </c>
      <c r="E77" s="216">
        <v>10.0</v>
      </c>
      <c r="F77" s="11" t="s">
        <v>178</v>
      </c>
      <c r="G77" s="93" t="s">
        <v>237</v>
      </c>
      <c r="H77" s="11" t="str">
        <f>IMAGE("https://robu.in/wp-content/uploads/2019/06/3.5mm-Audio-Plug-3-Pole-Gold-plated-Earphone-Adapter-For-DIY-Stereo-Headset-5.jpg",1)</f>
        <v/>
      </c>
      <c r="I77" s="221" t="s">
        <v>2036</v>
      </c>
    </row>
    <row r="78" ht="45.0" customHeight="1">
      <c r="A78" s="11">
        <v>77.0</v>
      </c>
      <c r="B78" s="11" t="s">
        <v>247</v>
      </c>
      <c r="C78" s="93" t="s">
        <v>1918</v>
      </c>
      <c r="D78" s="215" t="s">
        <v>237</v>
      </c>
      <c r="E78" s="216">
        <v>1.0</v>
      </c>
      <c r="F78" s="11" t="s">
        <v>178</v>
      </c>
      <c r="G78" s="93" t="s">
        <v>250</v>
      </c>
      <c r="H78" s="11" t="str">
        <f>IMAGE("https://rukminim2.flixcart.com/image/832/832/k8t3jbk0/cable-sleeve/j/c/q/black-2mm-polyolefin-heat-shrink-tube-sleeve-for-wrap-60-meter-original-imafqq3y2g2v9vzz.jpeg?q=70",1)</f>
        <v/>
      </c>
      <c r="I78" s="11" t="s">
        <v>2043</v>
      </c>
    </row>
    <row r="79" ht="45.0" customHeight="1">
      <c r="A79" s="11">
        <v>78.0</v>
      </c>
      <c r="B79" s="11" t="s">
        <v>253</v>
      </c>
      <c r="C79" s="93" t="s">
        <v>1919</v>
      </c>
      <c r="D79" s="215" t="s">
        <v>237</v>
      </c>
      <c r="E79" s="216">
        <v>1.0</v>
      </c>
      <c r="F79" s="11" t="s">
        <v>178</v>
      </c>
      <c r="G79" s="93" t="s">
        <v>250</v>
      </c>
      <c r="H79" s="11" t="str">
        <f>IMAGE("https://m.media-amazon.com/images/I/61zJ0n1EqGS._AC_SL1500_.jpg",1)</f>
        <v/>
      </c>
      <c r="I79" s="11" t="s">
        <v>2043</v>
      </c>
    </row>
    <row r="80" ht="45.0" customHeight="1">
      <c r="A80" s="11">
        <v>79.0</v>
      </c>
      <c r="B80" s="11" t="s">
        <v>257</v>
      </c>
      <c r="C80" s="93" t="s">
        <v>1920</v>
      </c>
      <c r="D80" s="215" t="s">
        <v>237</v>
      </c>
      <c r="E80" s="216">
        <v>1.0</v>
      </c>
      <c r="F80" s="11" t="s">
        <v>178</v>
      </c>
      <c r="G80" s="93" t="s">
        <v>250</v>
      </c>
      <c r="H80" s="11" t="str">
        <f>IMAGE("https://m.media-amazon.com/images/W/MEDIAX_792452-T2/images/I/417I5BCQPSL.jpg",1)</f>
        <v/>
      </c>
      <c r="I80" s="11" t="s">
        <v>2043</v>
      </c>
    </row>
    <row r="81" ht="45.0" customHeight="1">
      <c r="A81" s="11">
        <v>80.0</v>
      </c>
      <c r="B81" s="11" t="s">
        <v>261</v>
      </c>
      <c r="C81" s="93" t="s">
        <v>1921</v>
      </c>
      <c r="D81" s="215" t="s">
        <v>237</v>
      </c>
      <c r="E81" s="216">
        <v>1.0</v>
      </c>
      <c r="F81" s="11" t="s">
        <v>178</v>
      </c>
      <c r="G81" s="93" t="s">
        <v>250</v>
      </c>
      <c r="H81" s="11" t="str">
        <f>IMAGE("https://m.media-amazon.com/images/I/61zJ0n1EqGS._AC_SL1500_.jpg",1)</f>
        <v/>
      </c>
      <c r="I81" s="11" t="s">
        <v>2043</v>
      </c>
    </row>
    <row r="82" ht="45.0" customHeight="1">
      <c r="A82" s="11">
        <v>81.0</v>
      </c>
      <c r="B82" s="11" t="s">
        <v>265</v>
      </c>
      <c r="C82" s="93" t="s">
        <v>266</v>
      </c>
      <c r="D82" s="215" t="s">
        <v>237</v>
      </c>
      <c r="E82" s="216">
        <v>20.0</v>
      </c>
      <c r="F82" s="11" t="s">
        <v>178</v>
      </c>
      <c r="G82" s="93" t="s">
        <v>267</v>
      </c>
      <c r="H82" s="11" t="str">
        <f t="shared" ref="H82:H86" si="4">IMAGE("https://i.ebayimg.com/images/g/xCYAAOSwjvJlEQU8/s-l1600.jpg",1)</f>
        <v/>
      </c>
      <c r="I82" s="11" t="s">
        <v>2044</v>
      </c>
    </row>
    <row r="83" ht="45.0" customHeight="1">
      <c r="A83" s="11">
        <v>82.0</v>
      </c>
      <c r="B83" s="11" t="s">
        <v>270</v>
      </c>
      <c r="C83" s="93" t="s">
        <v>271</v>
      </c>
      <c r="D83" s="215" t="s">
        <v>237</v>
      </c>
      <c r="E83" s="216">
        <v>20.0</v>
      </c>
      <c r="F83" s="11" t="s">
        <v>178</v>
      </c>
      <c r="G83" s="93" t="s">
        <v>267</v>
      </c>
      <c r="H83" s="11" t="str">
        <f t="shared" si="4"/>
        <v/>
      </c>
      <c r="I83" s="11" t="s">
        <v>2044</v>
      </c>
    </row>
    <row r="84" ht="45.0" customHeight="1">
      <c r="A84" s="11">
        <v>83.0</v>
      </c>
      <c r="B84" s="11" t="s">
        <v>274</v>
      </c>
      <c r="C84" s="93" t="s">
        <v>275</v>
      </c>
      <c r="D84" s="215" t="s">
        <v>237</v>
      </c>
      <c r="E84" s="216">
        <v>20.0</v>
      </c>
      <c r="F84" s="11" t="s">
        <v>178</v>
      </c>
      <c r="G84" s="93" t="s">
        <v>267</v>
      </c>
      <c r="H84" s="11" t="str">
        <f t="shared" si="4"/>
        <v/>
      </c>
      <c r="I84" s="11" t="s">
        <v>2044</v>
      </c>
    </row>
    <row r="85" ht="45.0" customHeight="1">
      <c r="A85" s="11">
        <v>84.0</v>
      </c>
      <c r="B85" s="11" t="s">
        <v>278</v>
      </c>
      <c r="C85" s="93" t="s">
        <v>279</v>
      </c>
      <c r="D85" s="215" t="s">
        <v>237</v>
      </c>
      <c r="E85" s="216">
        <v>20.0</v>
      </c>
      <c r="F85" s="11" t="s">
        <v>178</v>
      </c>
      <c r="G85" s="93" t="s">
        <v>267</v>
      </c>
      <c r="H85" s="11" t="str">
        <f t="shared" si="4"/>
        <v/>
      </c>
      <c r="I85" s="11" t="s">
        <v>2044</v>
      </c>
    </row>
    <row r="86" ht="45.0" customHeight="1">
      <c r="A86" s="11">
        <v>85.0</v>
      </c>
      <c r="B86" s="11" t="s">
        <v>282</v>
      </c>
      <c r="C86" s="93" t="s">
        <v>283</v>
      </c>
      <c r="D86" s="215" t="s">
        <v>237</v>
      </c>
      <c r="E86" s="216">
        <v>20.0</v>
      </c>
      <c r="F86" s="11" t="s">
        <v>178</v>
      </c>
      <c r="G86" s="93" t="s">
        <v>267</v>
      </c>
      <c r="H86" s="11" t="str">
        <f t="shared" si="4"/>
        <v/>
      </c>
      <c r="I86" s="11" t="s">
        <v>2044</v>
      </c>
    </row>
    <row r="87" ht="45.0" customHeight="1">
      <c r="A87" s="11">
        <v>86.0</v>
      </c>
      <c r="B87" s="11" t="s">
        <v>286</v>
      </c>
      <c r="C87" s="93" t="s">
        <v>287</v>
      </c>
      <c r="D87" s="215" t="s">
        <v>237</v>
      </c>
      <c r="E87" s="216">
        <v>20.0</v>
      </c>
      <c r="F87" s="11" t="s">
        <v>178</v>
      </c>
      <c r="G87" s="93" t="s">
        <v>1922</v>
      </c>
      <c r="H87" s="11" t="str">
        <f t="shared" ref="H87:H89" si="5">IMAGE("https://cdn.shopify.com/s/files/1/0527/2692/3444/products/M-M10CM_800x.jpg?v=1620840829",1)</f>
        <v/>
      </c>
      <c r="I87" s="221" t="s">
        <v>2045</v>
      </c>
    </row>
    <row r="88" ht="45.0" customHeight="1">
      <c r="A88" s="11">
        <v>87.0</v>
      </c>
      <c r="B88" s="11" t="s">
        <v>291</v>
      </c>
      <c r="C88" s="93" t="s">
        <v>292</v>
      </c>
      <c r="D88" s="215" t="s">
        <v>237</v>
      </c>
      <c r="E88" s="216">
        <v>20.0</v>
      </c>
      <c r="F88" s="11" t="s">
        <v>178</v>
      </c>
      <c r="G88" s="93" t="s">
        <v>1922</v>
      </c>
      <c r="H88" s="11" t="str">
        <f t="shared" si="5"/>
        <v/>
      </c>
      <c r="I88" s="221" t="s">
        <v>2045</v>
      </c>
    </row>
    <row r="89" ht="45.0" customHeight="1">
      <c r="A89" s="11">
        <v>88.0</v>
      </c>
      <c r="B89" s="11" t="s">
        <v>295</v>
      </c>
      <c r="C89" s="93" t="s">
        <v>296</v>
      </c>
      <c r="D89" s="215" t="s">
        <v>237</v>
      </c>
      <c r="E89" s="216">
        <v>20.0</v>
      </c>
      <c r="F89" s="11" t="s">
        <v>178</v>
      </c>
      <c r="G89" s="93" t="s">
        <v>1922</v>
      </c>
      <c r="H89" s="11" t="str">
        <f t="shared" si="5"/>
        <v/>
      </c>
      <c r="I89" s="221" t="s">
        <v>2045</v>
      </c>
    </row>
    <row r="90" ht="45.0" customHeight="1">
      <c r="A90" s="11">
        <v>89.0</v>
      </c>
      <c r="B90" s="11" t="s">
        <v>299</v>
      </c>
      <c r="C90" s="93" t="s">
        <v>300</v>
      </c>
      <c r="D90" s="215" t="s">
        <v>237</v>
      </c>
      <c r="E90" s="216">
        <v>10.0</v>
      </c>
      <c r="F90" s="11" t="s">
        <v>178</v>
      </c>
      <c r="G90" s="93" t="s">
        <v>300</v>
      </c>
      <c r="H90" s="11" t="str">
        <f>IMAGE("https://encrypted-tbn0.gstatic.com/images?q=tbn:ANd9GcR4A79FMiemvwjtYU3z1SGV0ayCZPtc8oNMobr5AuvlhGOJoeuq78aTh7JjRPQlfFrsXfE&amp;usqp=CAU",1)</f>
        <v/>
      </c>
      <c r="I90" s="11" t="s">
        <v>2046</v>
      </c>
    </row>
    <row r="91" ht="45.0" customHeight="1">
      <c r="A91" s="11">
        <v>90.0</v>
      </c>
      <c r="B91" s="11" t="s">
        <v>303</v>
      </c>
      <c r="C91" s="93" t="s">
        <v>304</v>
      </c>
      <c r="D91" s="215" t="s">
        <v>237</v>
      </c>
      <c r="E91" s="216">
        <v>10.0</v>
      </c>
      <c r="F91" s="11" t="s">
        <v>178</v>
      </c>
      <c r="G91" s="93" t="s">
        <v>304</v>
      </c>
      <c r="H91" s="11" t="str">
        <f>IMAGE("https://robu.in/wp-content/uploads/2018/07/50-CM-Micro-USB-Cable-1.jpg",1)</f>
        <v/>
      </c>
      <c r="I91" s="221" t="s">
        <v>2047</v>
      </c>
    </row>
    <row r="92" ht="45.0" customHeight="1">
      <c r="A92" s="11">
        <v>91.0</v>
      </c>
      <c r="B92" s="11" t="s">
        <v>413</v>
      </c>
      <c r="C92" s="93" t="s">
        <v>1931</v>
      </c>
      <c r="D92" s="215" t="s">
        <v>415</v>
      </c>
      <c r="E92" s="237">
        <v>7.0</v>
      </c>
      <c r="F92" s="11" t="s">
        <v>178</v>
      </c>
      <c r="G92" s="93" t="s">
        <v>1932</v>
      </c>
      <c r="H92" s="11" t="str">
        <f>IMAGE("https://www.electronicscomp.com/image/cache/catalog/cnc-shield-v3-400x400.jpg",1)</f>
        <v/>
      </c>
      <c r="I92" s="222" t="s">
        <v>2059</v>
      </c>
    </row>
    <row r="93" ht="45.0" customHeight="1">
      <c r="A93" s="11">
        <v>92.0</v>
      </c>
      <c r="B93" s="11" t="s">
        <v>419</v>
      </c>
      <c r="C93" s="93" t="s">
        <v>420</v>
      </c>
      <c r="D93" s="215" t="s">
        <v>415</v>
      </c>
      <c r="E93" s="216">
        <v>15.0</v>
      </c>
      <c r="F93" s="11" t="s">
        <v>178</v>
      </c>
      <c r="G93" s="93" t="s">
        <v>1932</v>
      </c>
      <c r="H93" s="11" t="str">
        <f>IMAGE("https://5.imimg.com/data5/VS/XC/MY-4167793/arduino-nano-500x500.jpg",1)</f>
        <v/>
      </c>
      <c r="I93" s="11" t="s">
        <v>2060</v>
      </c>
    </row>
    <row r="94" ht="45.0" customHeight="1">
      <c r="A94" s="11">
        <v>93.0</v>
      </c>
      <c r="B94" s="11" t="s">
        <v>424</v>
      </c>
      <c r="C94" s="93" t="s">
        <v>1933</v>
      </c>
      <c r="D94" s="215" t="s">
        <v>415</v>
      </c>
      <c r="E94" s="216">
        <v>10.0</v>
      </c>
      <c r="F94" s="11" t="s">
        <v>178</v>
      </c>
      <c r="G94" s="93" t="s">
        <v>1932</v>
      </c>
      <c r="H94" s="11" t="str">
        <f>IMAGE("https://robu.in/wp-content/uploads/2017/04/Arduino_NANO_expansion1.jpg",1)</f>
        <v/>
      </c>
      <c r="I94" s="221" t="s">
        <v>2061</v>
      </c>
    </row>
    <row r="95" ht="45.0" customHeight="1">
      <c r="A95" s="11">
        <v>94.0</v>
      </c>
      <c r="B95" s="11" t="s">
        <v>428</v>
      </c>
      <c r="C95" s="93" t="s">
        <v>1934</v>
      </c>
      <c r="D95" s="215" t="s">
        <v>415</v>
      </c>
      <c r="E95" s="216">
        <v>15.0</v>
      </c>
      <c r="F95" s="11" t="s">
        <v>178</v>
      </c>
      <c r="G95" s="93" t="s">
        <v>1932</v>
      </c>
      <c r="H95" s="11" t="str">
        <f>IMAGE("https://robu.in/wp-content/uploads/2017/10/Uno-R3-CH340G-ATmega328p-Development-Board-Compatible-with-Arduino2.png",1)</f>
        <v/>
      </c>
      <c r="I95" s="11" t="s">
        <v>2060</v>
      </c>
    </row>
    <row r="96" ht="45.0" customHeight="1">
      <c r="A96" s="11">
        <v>95.0</v>
      </c>
      <c r="B96" s="11" t="s">
        <v>437</v>
      </c>
      <c r="C96" s="93" t="s">
        <v>438</v>
      </c>
      <c r="D96" s="215" t="s">
        <v>415</v>
      </c>
      <c r="E96" s="216">
        <v>10.0</v>
      </c>
      <c r="F96" s="11" t="s">
        <v>178</v>
      </c>
      <c r="G96" s="93" t="s">
        <v>1937</v>
      </c>
      <c r="H96" s="11" t="str">
        <f>IMAGE("https://www.electronicscomp.com/image/cache/catalog/esp8266-esp01-wifi-module-india-800x800.jpg",1)</f>
        <v/>
      </c>
      <c r="I96" s="106" t="s">
        <v>1806</v>
      </c>
    </row>
    <row r="97" ht="45.0" customHeight="1">
      <c r="A97" s="11">
        <v>96.0</v>
      </c>
      <c r="B97" s="11" t="s">
        <v>440</v>
      </c>
      <c r="C97" s="93" t="s">
        <v>441</v>
      </c>
      <c r="D97" s="215" t="s">
        <v>415</v>
      </c>
      <c r="E97" s="216">
        <v>10.0</v>
      </c>
      <c r="F97" s="11" t="s">
        <v>178</v>
      </c>
      <c r="G97" s="93" t="s">
        <v>1937</v>
      </c>
      <c r="H97" s="11" t="str">
        <f>IMAGE("https://makerselectronics.com/wp-content/uploads/2020/07/ESP32-CAM-2.jpg",1)</f>
        <v/>
      </c>
      <c r="I97" s="11" t="s">
        <v>2063</v>
      </c>
    </row>
    <row r="98" ht="45.0" customHeight="1">
      <c r="A98" s="11">
        <v>97.0</v>
      </c>
      <c r="B98" s="11" t="s">
        <v>445</v>
      </c>
      <c r="C98" s="93" t="s">
        <v>446</v>
      </c>
      <c r="D98" s="215" t="s">
        <v>415</v>
      </c>
      <c r="E98" s="216">
        <v>10.0</v>
      </c>
      <c r="F98" s="11" t="s">
        <v>178</v>
      </c>
      <c r="G98" s="93" t="s">
        <v>1937</v>
      </c>
      <c r="H98" s="11" t="str">
        <f>IMAGE("https://www.berrybase.de/media/image/c5/26/b6/ID_186599_orig_600x600.jpg",1)</f>
        <v/>
      </c>
      <c r="I98" s="11" t="s">
        <v>2063</v>
      </c>
    </row>
    <row r="99" ht="45.0" customHeight="1">
      <c r="A99" s="11">
        <v>98.0</v>
      </c>
      <c r="B99" s="11" t="s">
        <v>449</v>
      </c>
      <c r="C99" s="93" t="s">
        <v>450</v>
      </c>
      <c r="D99" s="215" t="s">
        <v>415</v>
      </c>
      <c r="E99" s="216">
        <v>15.0</v>
      </c>
      <c r="F99" s="11" t="s">
        <v>178</v>
      </c>
      <c r="G99" s="93" t="s">
        <v>1937</v>
      </c>
      <c r="H99" s="11" t="str">
        <f>IMAGE("https://m.media-amazon.com/images/I/61rcnccrByL._SL1238_.jpg",1)</f>
        <v/>
      </c>
      <c r="I99" s="11" t="s">
        <v>2063</v>
      </c>
    </row>
    <row r="100" ht="45.0" customHeight="1">
      <c r="A100" s="11">
        <v>99.0</v>
      </c>
      <c r="B100" s="11" t="s">
        <v>453</v>
      </c>
      <c r="C100" s="93" t="s">
        <v>454</v>
      </c>
      <c r="D100" s="215" t="s">
        <v>415</v>
      </c>
      <c r="E100" s="216">
        <v>15.0</v>
      </c>
      <c r="F100" s="11" t="s">
        <v>178</v>
      </c>
      <c r="G100" s="93" t="s">
        <v>455</v>
      </c>
      <c r="H100" s="11" t="str">
        <f>IMAGE("https://m.media-amazon.com/images/W/MEDIAX_792452-T2/images/I/61t+lNeiChL._SL1443_.jpg",1)</f>
        <v/>
      </c>
      <c r="I100" s="11" t="s">
        <v>2064</v>
      </c>
    </row>
    <row r="101" ht="45.0" customHeight="1">
      <c r="A101" s="11">
        <v>100.0</v>
      </c>
      <c r="B101" s="11" t="s">
        <v>458</v>
      </c>
      <c r="C101" s="107" t="s">
        <v>459</v>
      </c>
      <c r="D101" s="215" t="s">
        <v>415</v>
      </c>
      <c r="E101" s="216">
        <v>10.0</v>
      </c>
      <c r="F101" s="11" t="s">
        <v>178</v>
      </c>
      <c r="G101" s="93" t="s">
        <v>455</v>
      </c>
      <c r="H101" s="11" t="str">
        <f>IMAGE("https://m.media-amazon.com/images/W/MEDIAX_792452-T2/images/I/61xb9SMx4AL._SL1440_.jpg",1)</f>
        <v/>
      </c>
      <c r="I101" s="11" t="s">
        <v>2064</v>
      </c>
    </row>
    <row r="102" ht="45.0" customHeight="1">
      <c r="A102" s="11">
        <v>101.0</v>
      </c>
      <c r="B102" s="221" t="s">
        <v>2159</v>
      </c>
      <c r="C102" s="270" t="s">
        <v>2160</v>
      </c>
      <c r="D102" s="215" t="s">
        <v>415</v>
      </c>
      <c r="E102" s="237">
        <v>21.0</v>
      </c>
      <c r="F102" s="221" t="s">
        <v>178</v>
      </c>
      <c r="G102" s="93"/>
      <c r="H102" s="11" t="str">
        <f>IMAGE("https://sumeetinstruments.com/image/cache/catalog/3dprinter/A4988-Stepper-Motor-Driver-Module-Heat-Sink-3D-Printer-Parts.-550x550.jpg",1)</f>
        <v/>
      </c>
      <c r="I102" s="222" t="s">
        <v>2059</v>
      </c>
    </row>
    <row r="103" ht="45.0" customHeight="1">
      <c r="A103" s="11">
        <v>102.0</v>
      </c>
      <c r="B103" s="271"/>
      <c r="C103" s="272" t="s">
        <v>2161</v>
      </c>
      <c r="D103" s="273" t="s">
        <v>415</v>
      </c>
      <c r="E103" s="274">
        <v>10.0</v>
      </c>
      <c r="F103" s="221" t="s">
        <v>178</v>
      </c>
      <c r="G103" s="275"/>
      <c r="H103" s="275"/>
      <c r="I103" s="275"/>
      <c r="J103" s="276"/>
    </row>
    <row r="104" ht="45.0" customHeight="1">
      <c r="A104" s="11">
        <v>103.0</v>
      </c>
      <c r="B104" s="271"/>
      <c r="C104" s="272" t="s">
        <v>2162</v>
      </c>
      <c r="D104" s="273" t="s">
        <v>415</v>
      </c>
      <c r="E104" s="274">
        <v>2.0</v>
      </c>
      <c r="F104" s="221" t="s">
        <v>178</v>
      </c>
      <c r="G104" s="275"/>
      <c r="H104" s="275"/>
      <c r="I104" s="275"/>
      <c r="J104" s="276"/>
    </row>
    <row r="105" ht="45.0" customHeight="1">
      <c r="A105" s="11">
        <v>104.0</v>
      </c>
      <c r="B105" s="11" t="s">
        <v>504</v>
      </c>
      <c r="C105" s="93" t="s">
        <v>505</v>
      </c>
      <c r="D105" s="215" t="s">
        <v>489</v>
      </c>
      <c r="E105" s="216">
        <v>100.0</v>
      </c>
      <c r="F105" s="11" t="s">
        <v>178</v>
      </c>
      <c r="G105" s="93" t="s">
        <v>23</v>
      </c>
      <c r="H105" s="11" t="str">
        <f>IMAGE("https://rukminim2.flixcart.com/image/832/832/ks243gw0/electronic-hobby-kit/x/f/2/2mm-pitch-female-burg-strip-40-pin-5-pcs-prime-intact-original-imag5pxpqjxcdsgh.jpeg?q=70",1)</f>
        <v/>
      </c>
      <c r="I105" s="221" t="s">
        <v>2075</v>
      </c>
    </row>
    <row r="106" ht="45.0" customHeight="1">
      <c r="A106" s="11">
        <v>105.0</v>
      </c>
      <c r="B106" s="11" t="s">
        <v>625</v>
      </c>
      <c r="C106" s="93" t="s">
        <v>626</v>
      </c>
      <c r="D106" s="215" t="s">
        <v>489</v>
      </c>
      <c r="E106" s="216">
        <v>20.0</v>
      </c>
      <c r="F106" s="11" t="s">
        <v>178</v>
      </c>
      <c r="G106" s="93" t="s">
        <v>1947</v>
      </c>
      <c r="H106" s="11" t="str">
        <f>IMAGE("https://5.imimg.com/data5/AH/OG/AM/SELLER-5278310/mkc-27701-changeover-reed-switch-500x500.jpg",1)</f>
        <v/>
      </c>
      <c r="I106" s="11" t="s">
        <v>1788</v>
      </c>
    </row>
    <row r="107" ht="45.0" customHeight="1">
      <c r="A107" s="11">
        <v>106.0</v>
      </c>
      <c r="B107" s="11" t="s">
        <v>492</v>
      </c>
      <c r="C107" s="93" t="s">
        <v>1942</v>
      </c>
      <c r="D107" s="215" t="s">
        <v>489</v>
      </c>
      <c r="E107" s="216">
        <v>10.0</v>
      </c>
      <c r="F107" s="11" t="s">
        <v>178</v>
      </c>
      <c r="G107" s="93" t="s">
        <v>493</v>
      </c>
      <c r="H107" s="11" t="str">
        <f>IMAGE("https://5.imimg.com/data5/SR/JZ/RD/SELLER-80355495/large-breadboard-800-points--500x500.jpg",1)</f>
        <v/>
      </c>
      <c r="I107" s="11" t="s">
        <v>2071</v>
      </c>
    </row>
    <row r="108" ht="45.0" customHeight="1">
      <c r="A108" s="11">
        <v>107.0</v>
      </c>
      <c r="B108" s="11" t="s">
        <v>496</v>
      </c>
      <c r="C108" s="93" t="s">
        <v>497</v>
      </c>
      <c r="D108" s="215" t="s">
        <v>489</v>
      </c>
      <c r="E108" s="216">
        <v>10.0</v>
      </c>
      <c r="F108" s="11" t="s">
        <v>178</v>
      </c>
      <c r="G108" s="93" t="s">
        <v>493</v>
      </c>
      <c r="H108" s="11" t="str">
        <f>IMAGE("https://5.imimg.com/data5/SELLER/Default/2020/12/GY/DK/LM/59387089/400-point-solderless-breadboard-500x500.jpg",1)</f>
        <v/>
      </c>
      <c r="I108" s="11" t="s">
        <v>2072</v>
      </c>
    </row>
    <row r="109" ht="45.0" customHeight="1">
      <c r="A109" s="11">
        <v>108.0</v>
      </c>
      <c r="B109" s="11" t="s">
        <v>500</v>
      </c>
      <c r="C109" s="93" t="s">
        <v>501</v>
      </c>
      <c r="D109" s="215" t="s">
        <v>489</v>
      </c>
      <c r="E109" s="216">
        <v>10.0</v>
      </c>
      <c r="F109" s="11" t="s">
        <v>178</v>
      </c>
      <c r="G109" s="93" t="s">
        <v>493</v>
      </c>
      <c r="H109" s="11" t="str">
        <f>IMAGE("https://1ohm.in/wp-content/uploads/2021/07/MB102-3.3V5V-Breadboard-Power-Supply-Module.png",1)</f>
        <v/>
      </c>
      <c r="I109" s="11" t="s">
        <v>2073</v>
      </c>
    </row>
    <row r="110" ht="45.0" customHeight="1">
      <c r="A110" s="11">
        <v>109.0</v>
      </c>
      <c r="B110" s="11" t="s">
        <v>508</v>
      </c>
      <c r="C110" s="93" t="s">
        <v>509</v>
      </c>
      <c r="D110" s="215" t="s">
        <v>489</v>
      </c>
      <c r="E110" s="216">
        <v>50.0</v>
      </c>
      <c r="F110" s="11" t="s">
        <v>178</v>
      </c>
      <c r="G110" s="93" t="s">
        <v>237</v>
      </c>
      <c r="H110" s="11" t="str">
        <f>IMAGE("https://5.imimg.com/data5/OF/VW/IL/SELLER-9316309/burg-strips-500x500.jpg",1)</f>
        <v/>
      </c>
      <c r="I110" s="221" t="s">
        <v>2076</v>
      </c>
    </row>
    <row r="111" ht="45.0" customHeight="1">
      <c r="A111" s="11">
        <v>110.0</v>
      </c>
      <c r="B111" s="241" t="s">
        <v>512</v>
      </c>
      <c r="C111" s="242" t="s">
        <v>513</v>
      </c>
      <c r="D111" s="215" t="s">
        <v>489</v>
      </c>
      <c r="E111" s="216">
        <v>50.0</v>
      </c>
      <c r="F111" s="11" t="s">
        <v>178</v>
      </c>
      <c r="G111" s="93" t="s">
        <v>237</v>
      </c>
      <c r="H111" s="11" t="str">
        <f>IMAGE("https://www.tomsonelectronics.com/cdn/shop/products/40X1MALERAI_2048x2048.jpg?v=1602835171",1)</f>
        <v/>
      </c>
      <c r="I111" s="221" t="s">
        <v>2077</v>
      </c>
    </row>
    <row r="112" ht="45.0" customHeight="1">
      <c r="A112" s="11">
        <v>111.0</v>
      </c>
      <c r="B112" s="239" t="s">
        <v>521</v>
      </c>
      <c r="C112" s="240" t="s">
        <v>522</v>
      </c>
      <c r="D112" s="215" t="s">
        <v>489</v>
      </c>
      <c r="E112" s="216">
        <v>100.0</v>
      </c>
      <c r="F112" s="11" t="s">
        <v>178</v>
      </c>
      <c r="G112" s="93" t="s">
        <v>1943</v>
      </c>
      <c r="H112" s="11" t="str">
        <f>IMAGE("https://projectpoint.in/image/cache/catalog/102-672x504.jpg",1)</f>
        <v/>
      </c>
      <c r="I112" s="11" t="s">
        <v>1844</v>
      </c>
    </row>
    <row r="113" ht="45.0" customHeight="1">
      <c r="A113" s="11">
        <v>112.0</v>
      </c>
      <c r="B113" s="239" t="s">
        <v>516</v>
      </c>
      <c r="C113" s="240" t="s">
        <v>517</v>
      </c>
      <c r="D113" s="215" t="s">
        <v>489</v>
      </c>
      <c r="E113" s="216">
        <v>100.0</v>
      </c>
      <c r="F113" s="11" t="s">
        <v>178</v>
      </c>
      <c r="G113" s="93" t="s">
        <v>1943</v>
      </c>
      <c r="H113" s="11" t="str">
        <f t="shared" ref="H113:H114" si="6">IMAGE("https://projectpoint.in/image/cache/catalog/103-672x504.jpg",1)</f>
        <v/>
      </c>
      <c r="I113" s="11" t="s">
        <v>1844</v>
      </c>
    </row>
    <row r="114" ht="45.0" customHeight="1">
      <c r="A114" s="11">
        <v>113.0</v>
      </c>
      <c r="B114" s="239" t="s">
        <v>529</v>
      </c>
      <c r="C114" s="240" t="s">
        <v>530</v>
      </c>
      <c r="D114" s="215" t="s">
        <v>489</v>
      </c>
      <c r="E114" s="216">
        <v>100.0</v>
      </c>
      <c r="F114" s="11" t="s">
        <v>178</v>
      </c>
      <c r="G114" s="93" t="s">
        <v>1943</v>
      </c>
      <c r="H114" s="11" t="str">
        <f t="shared" si="6"/>
        <v/>
      </c>
      <c r="I114" s="11" t="s">
        <v>1845</v>
      </c>
    </row>
    <row r="115" ht="45.0" customHeight="1">
      <c r="A115" s="11">
        <v>114.0</v>
      </c>
      <c r="B115" s="239" t="s">
        <v>525</v>
      </c>
      <c r="C115" s="240" t="s">
        <v>526</v>
      </c>
      <c r="D115" s="215" t="s">
        <v>489</v>
      </c>
      <c r="E115" s="216">
        <v>100.0</v>
      </c>
      <c r="F115" s="11" t="s">
        <v>178</v>
      </c>
      <c r="G115" s="93" t="s">
        <v>1943</v>
      </c>
      <c r="H115" s="11" t="str">
        <f t="shared" ref="H115:H117" si="7">IMAGE("https://www.ato.com/content/images/thumbs/0011952_01f-50v-disc-ceramic-capacitor_550.jpeg",1)</f>
        <v/>
      </c>
      <c r="I115" s="11" t="s">
        <v>1845</v>
      </c>
    </row>
    <row r="116" ht="45.0" customHeight="1">
      <c r="A116" s="11">
        <v>115.0</v>
      </c>
      <c r="B116" s="239" t="s">
        <v>565</v>
      </c>
      <c r="C116" s="240" t="s">
        <v>566</v>
      </c>
      <c r="D116" s="215" t="s">
        <v>489</v>
      </c>
      <c r="E116" s="216">
        <v>50.0</v>
      </c>
      <c r="F116" s="11" t="s">
        <v>178</v>
      </c>
      <c r="G116" s="93" t="s">
        <v>1943</v>
      </c>
      <c r="H116" s="11" t="str">
        <f t="shared" si="7"/>
        <v/>
      </c>
      <c r="I116" s="11" t="s">
        <v>1846</v>
      </c>
    </row>
    <row r="117" ht="45.0" customHeight="1">
      <c r="A117" s="11">
        <v>116.0</v>
      </c>
      <c r="B117" s="239" t="s">
        <v>573</v>
      </c>
      <c r="C117" s="240" t="s">
        <v>574</v>
      </c>
      <c r="D117" s="215" t="s">
        <v>489</v>
      </c>
      <c r="E117" s="216">
        <v>50.0</v>
      </c>
      <c r="F117" s="11" t="s">
        <v>178</v>
      </c>
      <c r="G117" s="93" t="s">
        <v>1943</v>
      </c>
      <c r="H117" s="11" t="str">
        <f t="shared" si="7"/>
        <v/>
      </c>
      <c r="I117" s="11" t="s">
        <v>1846</v>
      </c>
    </row>
    <row r="118" ht="45.0" customHeight="1">
      <c r="A118" s="11">
        <v>117.0</v>
      </c>
      <c r="B118" s="239" t="s">
        <v>533</v>
      </c>
      <c r="C118" s="240" t="s">
        <v>534</v>
      </c>
      <c r="D118" s="215" t="s">
        <v>489</v>
      </c>
      <c r="E118" s="216">
        <v>20.0</v>
      </c>
      <c r="F118" s="11" t="s">
        <v>178</v>
      </c>
      <c r="G118" s="93" t="s">
        <v>1943</v>
      </c>
      <c r="H118" s="11" t="str">
        <f>IMAGE("https://projectpoint.in/image/cache/catalog/22uf-450v-672x504.jpg",1)</f>
        <v/>
      </c>
      <c r="I118" s="11" t="s">
        <v>1850</v>
      </c>
    </row>
    <row r="119" ht="45.0" customHeight="1">
      <c r="A119" s="11">
        <v>118.0</v>
      </c>
      <c r="B119" s="239" t="s">
        <v>549</v>
      </c>
      <c r="C119" s="240" t="s">
        <v>550</v>
      </c>
      <c r="D119" s="215" t="s">
        <v>489</v>
      </c>
      <c r="E119" s="216">
        <v>20.0</v>
      </c>
      <c r="F119" s="11" t="s">
        <v>178</v>
      </c>
      <c r="G119" s="93" t="s">
        <v>1943</v>
      </c>
      <c r="H119" s="11" t="str">
        <f>IMAGE("https://res.cloudinary.com/rsc/image/upload/b_rgb:FFFFFF,c_pad,dpr_1.0,f_auto,q_auto,w_700/c_pad,w_700/F5201539-01",1)</f>
        <v/>
      </c>
      <c r="I119" s="11" t="s">
        <v>1850</v>
      </c>
    </row>
    <row r="120" ht="45.0" customHeight="1">
      <c r="A120" s="11">
        <v>119.0</v>
      </c>
      <c r="B120" s="239" t="s">
        <v>569</v>
      </c>
      <c r="C120" s="240" t="s">
        <v>570</v>
      </c>
      <c r="D120" s="215" t="s">
        <v>489</v>
      </c>
      <c r="E120" s="216">
        <v>50.0</v>
      </c>
      <c r="F120" s="11" t="s">
        <v>178</v>
      </c>
      <c r="G120" s="93" t="s">
        <v>1943</v>
      </c>
      <c r="H120" s="11" t="str">
        <f>IMAGE("https://sharvielectronics.com/wp-content/uploads/2020/02/2.2uF-50V-Electrolytic-Capacitor.jpg",1)</f>
        <v/>
      </c>
      <c r="I120" s="11" t="s">
        <v>1851</v>
      </c>
    </row>
    <row r="121" ht="45.0" customHeight="1">
      <c r="A121" s="11">
        <v>120.0</v>
      </c>
      <c r="B121" s="239" t="s">
        <v>537</v>
      </c>
      <c r="C121" s="240" t="s">
        <v>538</v>
      </c>
      <c r="D121" s="215" t="s">
        <v>489</v>
      </c>
      <c r="E121" s="216">
        <v>50.0</v>
      </c>
      <c r="F121" s="11" t="s">
        <v>178</v>
      </c>
      <c r="G121" s="93" t="s">
        <v>1943</v>
      </c>
      <c r="H121" s="11" t="str">
        <f>IMAGE("https://projectpoint.in/image/cache/catalog/22uf-450v-672x504.jpg",1)</f>
        <v/>
      </c>
      <c r="I121" s="11" t="s">
        <v>1851</v>
      </c>
    </row>
    <row r="122" ht="45.0" customHeight="1">
      <c r="A122" s="11">
        <v>121.0</v>
      </c>
      <c r="B122" s="239" t="s">
        <v>553</v>
      </c>
      <c r="C122" s="240" t="s">
        <v>554</v>
      </c>
      <c r="D122" s="215" t="s">
        <v>489</v>
      </c>
      <c r="E122" s="216">
        <v>20.0</v>
      </c>
      <c r="F122" s="11" t="s">
        <v>178</v>
      </c>
      <c r="G122" s="93" t="s">
        <v>1943</v>
      </c>
      <c r="H122" s="11" t="str">
        <f>IMAGE("https://5.imimg.com/data5/SP/GM/AD/SELLER-84581978/keltron-2200uf-35-v-electrolytic-capacitors-500x500.jpg",1)</f>
        <v/>
      </c>
      <c r="I122" s="11" t="s">
        <v>1852</v>
      </c>
    </row>
    <row r="123" ht="45.0" customHeight="1">
      <c r="A123" s="11">
        <v>122.0</v>
      </c>
      <c r="B123" s="239" t="s">
        <v>577</v>
      </c>
      <c r="C123" s="240" t="s">
        <v>578</v>
      </c>
      <c r="D123" s="215" t="s">
        <v>489</v>
      </c>
      <c r="E123" s="216">
        <v>20.0</v>
      </c>
      <c r="F123" s="11" t="s">
        <v>178</v>
      </c>
      <c r="G123" s="93" t="s">
        <v>1943</v>
      </c>
      <c r="H123" s="11" t="str">
        <f>IMAGE("https://5.imimg.com/data5/QO/AU/MY-77080729/uge-electrolytic-capacitors-500x375-500x500.jpg",1)</f>
        <v/>
      </c>
      <c r="I123" s="11" t="s">
        <v>1852</v>
      </c>
    </row>
    <row r="124" ht="45.0" customHeight="1">
      <c r="A124" s="11">
        <v>123.0</v>
      </c>
      <c r="B124" s="239" t="s">
        <v>541</v>
      </c>
      <c r="C124" s="240" t="s">
        <v>542</v>
      </c>
      <c r="D124" s="215" t="s">
        <v>489</v>
      </c>
      <c r="E124" s="216">
        <v>100.0</v>
      </c>
      <c r="F124" s="11" t="s">
        <v>178</v>
      </c>
      <c r="G124" s="93" t="s">
        <v>1943</v>
      </c>
      <c r="H124" s="11"/>
      <c r="I124" s="11" t="s">
        <v>1853</v>
      </c>
    </row>
    <row r="125" ht="45.0" customHeight="1">
      <c r="A125" s="11">
        <v>124.0</v>
      </c>
      <c r="B125" s="239" t="s">
        <v>557</v>
      </c>
      <c r="C125" s="240" t="s">
        <v>558</v>
      </c>
      <c r="D125" s="215" t="s">
        <v>489</v>
      </c>
      <c r="E125" s="216">
        <v>100.0</v>
      </c>
      <c r="F125" s="11" t="s">
        <v>178</v>
      </c>
      <c r="G125" s="93" t="s">
        <v>1943</v>
      </c>
      <c r="H125" s="11" t="str">
        <f>IMAGE("https://5.imimg.com/data5/SP/GM/AD/SELLER-84581978/keltron-2200uf-35-v-electrolytic-capacitors-500x500.jpg",1)</f>
        <v/>
      </c>
      <c r="I125" s="11" t="s">
        <v>1853</v>
      </c>
    </row>
    <row r="126" ht="45.0" customHeight="1">
      <c r="A126" s="11">
        <v>125.0</v>
      </c>
      <c r="B126" s="116" t="s">
        <v>581</v>
      </c>
      <c r="C126" s="115" t="s">
        <v>582</v>
      </c>
      <c r="D126" s="215" t="s">
        <v>489</v>
      </c>
      <c r="E126" s="216">
        <v>50.0</v>
      </c>
      <c r="F126" s="11" t="s">
        <v>178</v>
      </c>
      <c r="G126" s="93" t="s">
        <v>1943</v>
      </c>
      <c r="H126" s="11" t="str">
        <f>IMAGE("https://5.imimg.com/data5/JL/JS/ZA/SELLER-21614932/4-7uf-400v-keltron-capacitor-500x500.jpg",1)</f>
        <v/>
      </c>
      <c r="I126" s="11" t="s">
        <v>1854</v>
      </c>
    </row>
    <row r="127" ht="45.0" customHeight="1">
      <c r="A127" s="11">
        <v>126.0</v>
      </c>
      <c r="B127" s="116" t="s">
        <v>545</v>
      </c>
      <c r="C127" s="115" t="s">
        <v>546</v>
      </c>
      <c r="D127" s="215" t="s">
        <v>489</v>
      </c>
      <c r="E127" s="216">
        <v>50.0</v>
      </c>
      <c r="F127" s="11" t="s">
        <v>178</v>
      </c>
      <c r="G127" s="93" t="s">
        <v>1943</v>
      </c>
      <c r="H127" s="11" t="str">
        <f>IMAGE("https://projectpoint.in/image/cache/catalog/47uf-250v-672x504.jpg",1)</f>
        <v/>
      </c>
      <c r="I127" s="11" t="s">
        <v>1854</v>
      </c>
    </row>
    <row r="128" ht="45.0" customHeight="1">
      <c r="A128" s="11">
        <v>127.0</v>
      </c>
      <c r="B128" s="116" t="s">
        <v>561</v>
      </c>
      <c r="C128" s="115" t="s">
        <v>562</v>
      </c>
      <c r="D128" s="215" t="s">
        <v>489</v>
      </c>
      <c r="E128" s="216">
        <v>20.0</v>
      </c>
      <c r="F128" s="11" t="s">
        <v>178</v>
      </c>
      <c r="G128" s="93" t="s">
        <v>1943</v>
      </c>
      <c r="H128" s="11" t="str">
        <f>IMAGE("https://5.imimg.com/data5/QO/AU/MY-77080729/uge-electrolytic-capacitors-500x375-500x500.jpg",1)</f>
        <v/>
      </c>
      <c r="I128" s="11" t="s">
        <v>1855</v>
      </c>
    </row>
    <row r="129" ht="45.0" customHeight="1">
      <c r="A129" s="11">
        <v>128.0</v>
      </c>
      <c r="B129" s="11" t="s">
        <v>589</v>
      </c>
      <c r="C129" s="93" t="s">
        <v>590</v>
      </c>
      <c r="D129" s="215" t="s">
        <v>489</v>
      </c>
      <c r="E129" s="216">
        <v>20.0</v>
      </c>
      <c r="F129" s="11" t="s">
        <v>178</v>
      </c>
      <c r="G129" s="93" t="s">
        <v>1945</v>
      </c>
      <c r="H129" s="11" t="str">
        <f t="shared" ref="H129:H130" si="8">IMAGE("https://m.media-amazon.com/images/W/MEDIAX_792452-T2/images/I/41A+MQfyyEL.jpg",1)</f>
        <v/>
      </c>
      <c r="I129" s="11" t="s">
        <v>1842</v>
      </c>
    </row>
    <row r="130" ht="45.0" customHeight="1">
      <c r="A130" s="11">
        <v>129.0</v>
      </c>
      <c r="B130" s="11" t="s">
        <v>593</v>
      </c>
      <c r="C130" s="93" t="s">
        <v>594</v>
      </c>
      <c r="D130" s="215" t="s">
        <v>489</v>
      </c>
      <c r="E130" s="216">
        <v>20.0</v>
      </c>
      <c r="F130" s="11" t="s">
        <v>178</v>
      </c>
      <c r="G130" s="93" t="s">
        <v>1945</v>
      </c>
      <c r="H130" s="11" t="str">
        <f t="shared" si="8"/>
        <v/>
      </c>
      <c r="I130" s="11" t="s">
        <v>1842</v>
      </c>
    </row>
    <row r="131" ht="45.0" customHeight="1">
      <c r="A131" s="11">
        <v>130.0</v>
      </c>
      <c r="B131" s="11" t="s">
        <v>585</v>
      </c>
      <c r="C131" s="93" t="s">
        <v>1860</v>
      </c>
      <c r="D131" s="215" t="s">
        <v>489</v>
      </c>
      <c r="E131" s="216">
        <v>20.0</v>
      </c>
      <c r="F131" s="11" t="s">
        <v>178</v>
      </c>
      <c r="G131" s="93" t="s">
        <v>1944</v>
      </c>
      <c r="H131" s="11" t="str">
        <f>IMAGE("https://www.electronicscomp.com/image/cache/catalog/cd4033-5-stage-johnson-decade-counter-ic-dip-16-800x800.jpg",1)</f>
        <v/>
      </c>
      <c r="I131" s="221" t="s">
        <v>1863</v>
      </c>
    </row>
    <row r="132" ht="45.0" customHeight="1">
      <c r="A132" s="11">
        <v>131.0</v>
      </c>
      <c r="B132" s="11" t="s">
        <v>597</v>
      </c>
      <c r="C132" s="93" t="s">
        <v>1862</v>
      </c>
      <c r="D132" s="215" t="s">
        <v>489</v>
      </c>
      <c r="E132" s="216">
        <v>20.0</v>
      </c>
      <c r="F132" s="11" t="s">
        <v>178</v>
      </c>
      <c r="G132" s="93" t="s">
        <v>1944</v>
      </c>
      <c r="H132" s="11" t="str">
        <f>IMAGE("https://robu.in/wp-content/uploads/2018/11/LM358P-PDIP-8-High-Gain-Operational-Amplifier-Pack-of-5-ICs-9.jpg",1)</f>
        <v/>
      </c>
      <c r="I132" s="221" t="s">
        <v>1864</v>
      </c>
    </row>
    <row r="133" ht="45.0" customHeight="1">
      <c r="A133" s="11">
        <v>132.0</v>
      </c>
      <c r="B133" s="11" t="s">
        <v>845</v>
      </c>
      <c r="C133" s="93" t="s">
        <v>2085</v>
      </c>
      <c r="D133" s="215" t="s">
        <v>489</v>
      </c>
      <c r="E133" s="216">
        <v>20.0</v>
      </c>
      <c r="F133" s="11" t="s">
        <v>178</v>
      </c>
      <c r="G133" s="93" t="s">
        <v>1944</v>
      </c>
      <c r="H133" s="11" t="str">
        <f>IMAGE("https://potentiallabs.com/cart/image/cache/catalog/2021/555-timer-ic-400x400.jpeg",1)</f>
        <v/>
      </c>
      <c r="I133" s="248" t="s">
        <v>2086</v>
      </c>
    </row>
    <row r="134" ht="45.0" customHeight="1">
      <c r="A134" s="11">
        <v>133.0</v>
      </c>
      <c r="B134" s="11" t="s">
        <v>602</v>
      </c>
      <c r="C134" s="93" t="s">
        <v>603</v>
      </c>
      <c r="D134" s="215" t="s">
        <v>489</v>
      </c>
      <c r="E134" s="216">
        <v>500.0</v>
      </c>
      <c r="F134" s="11" t="s">
        <v>178</v>
      </c>
      <c r="G134" s="93" t="s">
        <v>1946</v>
      </c>
      <c r="H134" s="11" t="str">
        <f>IMAGE("https://rukminim2.flixcart.com/image/832/832/xif0q/electronic-hobby-kit/d/o/s/50-pcs-blue-led-5mm-kitsguru-original-imaghfqbjbn4hshz.jpeg?q=70",1)</f>
        <v/>
      </c>
      <c r="I134" s="244" t="s">
        <v>2079</v>
      </c>
    </row>
    <row r="135" ht="45.0" customHeight="1">
      <c r="A135" s="11">
        <v>134.0</v>
      </c>
      <c r="B135" s="11" t="s">
        <v>606</v>
      </c>
      <c r="C135" s="93" t="s">
        <v>607</v>
      </c>
      <c r="D135" s="215" t="s">
        <v>489</v>
      </c>
      <c r="E135" s="216">
        <v>500.0</v>
      </c>
      <c r="F135" s="11" t="s">
        <v>178</v>
      </c>
      <c r="G135" s="93" t="s">
        <v>1946</v>
      </c>
      <c r="H135" s="11" t="str">
        <f>IMAGE("https://rukminim2.flixcart.com/image/832/832/krz97rk0/electronic-hobby-kit/r/p/r/5mm-green-led-light-emitting-diode-highlight-for-arduino-pack-of-original-imag5n63ad6pnxqe.jpeg?q=70", 1)</f>
        <v/>
      </c>
      <c r="I135" s="244" t="s">
        <v>2080</v>
      </c>
    </row>
    <row r="136" ht="45.0" customHeight="1">
      <c r="A136" s="11">
        <v>135.0</v>
      </c>
      <c r="B136" s="11" t="s">
        <v>609</v>
      </c>
      <c r="C136" s="93" t="s">
        <v>610</v>
      </c>
      <c r="D136" s="215" t="s">
        <v>489</v>
      </c>
      <c r="E136" s="216">
        <v>500.0</v>
      </c>
      <c r="F136" s="11" t="s">
        <v>178</v>
      </c>
      <c r="G136" s="93" t="s">
        <v>1946</v>
      </c>
      <c r="H136" s="11" t="str">
        <f>IMAGE("https://rukminim2.flixcart.com/image/832/832/ktrk13k0/electronic-hobby-kit/u/f/w/10-pcs-5mm-round-diffused-red-color-led-light-bulb-lamp-light-original-imag7ff6rchccrbz.jpeg?q=70", 1)</f>
        <v/>
      </c>
      <c r="I136" s="244" t="s">
        <v>2081</v>
      </c>
    </row>
    <row r="137" ht="45.0" customHeight="1">
      <c r="A137" s="11">
        <v>136.0</v>
      </c>
      <c r="B137" s="11" t="s">
        <v>613</v>
      </c>
      <c r="C137" s="93" t="s">
        <v>614</v>
      </c>
      <c r="D137" s="215" t="s">
        <v>489</v>
      </c>
      <c r="E137" s="216">
        <v>500.0</v>
      </c>
      <c r="F137" s="11" t="s">
        <v>178</v>
      </c>
      <c r="G137" s="93" t="s">
        <v>1946</v>
      </c>
      <c r="H137" s="11" t="str">
        <f>IMAGE("https://robu.in/wp-content/uploads/2020/10/5mm-DIP-Led-White.png", 1)</f>
        <v/>
      </c>
      <c r="I137" s="244" t="s">
        <v>2082</v>
      </c>
    </row>
    <row r="138" ht="45.0" customHeight="1">
      <c r="A138" s="11">
        <v>137.0</v>
      </c>
      <c r="B138" s="11" t="s">
        <v>617</v>
      </c>
      <c r="C138" s="93" t="s">
        <v>618</v>
      </c>
      <c r="D138" s="215" t="s">
        <v>489</v>
      </c>
      <c r="E138" s="216">
        <v>500.0</v>
      </c>
      <c r="F138" s="11" t="s">
        <v>178</v>
      </c>
      <c r="G138" s="93" t="s">
        <v>1946</v>
      </c>
      <c r="H138" s="11" t="str">
        <f>IMAGE("https://robu.in/wp-content/uploads/2020/10/5-mm-DIP-Led-Yellow.png", 1)</f>
        <v/>
      </c>
      <c r="I138" s="244" t="s">
        <v>2083</v>
      </c>
    </row>
    <row r="139" ht="45.0" customHeight="1">
      <c r="A139" s="11">
        <v>138.0</v>
      </c>
      <c r="B139" s="11" t="s">
        <v>621</v>
      </c>
      <c r="C139" s="93" t="s">
        <v>622</v>
      </c>
      <c r="D139" s="215" t="s">
        <v>489</v>
      </c>
      <c r="E139" s="216">
        <v>100.0</v>
      </c>
      <c r="F139" s="11" t="s">
        <v>178</v>
      </c>
      <c r="G139" s="93" t="s">
        <v>1946</v>
      </c>
      <c r="H139" s="11" t="str">
        <f>IMAGE("https://image.robotistan.com/5mm-transparent-rgb-led-2633-11-O.jpg", 1)</f>
        <v/>
      </c>
      <c r="I139" s="244" t="s">
        <v>2084</v>
      </c>
    </row>
    <row r="140" ht="45.0" customHeight="1">
      <c r="A140" s="11">
        <v>139.0</v>
      </c>
      <c r="B140" s="11" t="s">
        <v>629</v>
      </c>
      <c r="C140" s="93" t="s">
        <v>630</v>
      </c>
      <c r="D140" s="215" t="s">
        <v>489</v>
      </c>
      <c r="E140" s="216">
        <v>20.0</v>
      </c>
      <c r="F140" s="11" t="s">
        <v>178</v>
      </c>
      <c r="G140" s="93" t="s">
        <v>1948</v>
      </c>
      <c r="H140" s="11" t="str">
        <f t="shared" ref="H140:H141" si="9">IMAGE("https://www.electronicscomp.com/image/cache/catalog/irfz44-n-channel-power-mosfet-1-800x800.JPG",1)</f>
        <v/>
      </c>
      <c r="I140" s="11" t="s">
        <v>1843</v>
      </c>
    </row>
    <row r="141" ht="45.0" customHeight="1">
      <c r="A141" s="11">
        <v>140.0</v>
      </c>
      <c r="B141" s="11" t="s">
        <v>633</v>
      </c>
      <c r="C141" s="93" t="s">
        <v>634</v>
      </c>
      <c r="D141" s="215" t="s">
        <v>489</v>
      </c>
      <c r="E141" s="216">
        <v>20.0</v>
      </c>
      <c r="F141" s="11" t="s">
        <v>178</v>
      </c>
      <c r="G141" s="93" t="s">
        <v>1948</v>
      </c>
      <c r="H141" s="11" t="str">
        <f t="shared" si="9"/>
        <v/>
      </c>
      <c r="I141" s="11" t="s">
        <v>1843</v>
      </c>
    </row>
    <row r="142" ht="45.0" customHeight="1">
      <c r="A142" s="11">
        <v>141.0</v>
      </c>
      <c r="B142" s="11" t="s">
        <v>885</v>
      </c>
      <c r="C142" s="93" t="s">
        <v>886</v>
      </c>
      <c r="D142" s="215" t="s">
        <v>489</v>
      </c>
      <c r="E142" s="216">
        <v>20.0</v>
      </c>
      <c r="F142" s="11" t="s">
        <v>178</v>
      </c>
      <c r="G142" s="93" t="s">
        <v>1954</v>
      </c>
      <c r="H142" s="11" t="str">
        <f>IMAGE("https://www.olelectronics.in/wp-content/uploads/Miniature-Vibration-Motor.png",1)</f>
        <v/>
      </c>
      <c r="I142" s="221" t="s">
        <v>1819</v>
      </c>
    </row>
    <row r="143" ht="45.0" customHeight="1">
      <c r="A143" s="11">
        <v>142.0</v>
      </c>
      <c r="B143" s="11" t="s">
        <v>641</v>
      </c>
      <c r="C143" s="93" t="s">
        <v>642</v>
      </c>
      <c r="D143" s="215" t="s">
        <v>489</v>
      </c>
      <c r="E143" s="216">
        <v>20.0</v>
      </c>
      <c r="F143" s="11" t="s">
        <v>178</v>
      </c>
      <c r="G143" s="93" t="s">
        <v>1949</v>
      </c>
      <c r="H143" s="11" t="str">
        <f t="shared" ref="H143:H146" si="10">IMAGE("https://m.media-amazon.com/images/I/31ALofIyvBL._SX466_.jpg",1)</f>
        <v/>
      </c>
      <c r="I143" s="11" t="s">
        <v>1828</v>
      </c>
    </row>
    <row r="144" ht="45.0" customHeight="1">
      <c r="A144" s="11">
        <v>143.0</v>
      </c>
      <c r="B144" s="11" t="s">
        <v>645</v>
      </c>
      <c r="C144" s="93" t="s">
        <v>646</v>
      </c>
      <c r="D144" s="215" t="s">
        <v>489</v>
      </c>
      <c r="E144" s="216">
        <v>20.0</v>
      </c>
      <c r="F144" s="11" t="s">
        <v>178</v>
      </c>
      <c r="G144" s="93" t="s">
        <v>1949</v>
      </c>
      <c r="H144" s="11" t="str">
        <f t="shared" si="10"/>
        <v/>
      </c>
      <c r="I144" s="245" t="s">
        <v>1826</v>
      </c>
    </row>
    <row r="145" ht="45.0" customHeight="1">
      <c r="A145" s="11">
        <v>144.0</v>
      </c>
      <c r="B145" s="241" t="s">
        <v>649</v>
      </c>
      <c r="C145" s="242" t="s">
        <v>650</v>
      </c>
      <c r="D145" s="215" t="s">
        <v>489</v>
      </c>
      <c r="E145" s="216">
        <v>20.0</v>
      </c>
      <c r="F145" s="11" t="s">
        <v>178</v>
      </c>
      <c r="G145" s="93" t="s">
        <v>1949</v>
      </c>
      <c r="H145" s="11" t="str">
        <f t="shared" si="10"/>
        <v/>
      </c>
      <c r="I145" s="245" t="s">
        <v>1826</v>
      </c>
    </row>
    <row r="146" ht="45.0" customHeight="1">
      <c r="A146" s="11">
        <v>145.0</v>
      </c>
      <c r="B146" s="241" t="s">
        <v>653</v>
      </c>
      <c r="C146" s="242" t="s">
        <v>654</v>
      </c>
      <c r="D146" s="215" t="s">
        <v>489</v>
      </c>
      <c r="E146" s="216">
        <v>20.0</v>
      </c>
      <c r="F146" s="11" t="s">
        <v>178</v>
      </c>
      <c r="G146" s="93" t="s">
        <v>1949</v>
      </c>
      <c r="H146" s="11" t="str">
        <f t="shared" si="10"/>
        <v/>
      </c>
      <c r="I146" s="11" t="s">
        <v>1828</v>
      </c>
    </row>
    <row r="147" ht="45.0" customHeight="1">
      <c r="A147" s="11">
        <v>146.0</v>
      </c>
      <c r="B147" s="241" t="s">
        <v>873</v>
      </c>
      <c r="C147" s="242" t="s">
        <v>874</v>
      </c>
      <c r="D147" s="215" t="s">
        <v>489</v>
      </c>
      <c r="E147" s="216">
        <v>20.0</v>
      </c>
      <c r="F147" s="11" t="s">
        <v>178</v>
      </c>
      <c r="G147" s="93" t="s">
        <v>1949</v>
      </c>
      <c r="H147" s="11" t="str">
        <f t="shared" ref="H147:H149" si="11">IMAGE("https://probots.co.in/pub/media/catalog/product/cache/d8ddd0f9b0cd008b57085cd218b48832/1/k/1k_ohm_variable_resistor_potentiometer1-1000x1000_12.jpg",1)</f>
        <v/>
      </c>
      <c r="I147" s="11" t="s">
        <v>1841</v>
      </c>
    </row>
    <row r="148" ht="45.0" customHeight="1">
      <c r="A148" s="11">
        <v>147.0</v>
      </c>
      <c r="B148" s="241" t="s">
        <v>877</v>
      </c>
      <c r="C148" s="242" t="s">
        <v>878</v>
      </c>
      <c r="D148" s="215" t="s">
        <v>489</v>
      </c>
      <c r="E148" s="216">
        <v>20.0</v>
      </c>
      <c r="F148" s="11" t="s">
        <v>178</v>
      </c>
      <c r="G148" s="93" t="s">
        <v>1949</v>
      </c>
      <c r="H148" s="11" t="str">
        <f t="shared" si="11"/>
        <v/>
      </c>
      <c r="I148" s="11" t="s">
        <v>1841</v>
      </c>
    </row>
    <row r="149" ht="45.0" customHeight="1">
      <c r="A149" s="11">
        <v>148.0</v>
      </c>
      <c r="B149" s="241" t="s">
        <v>881</v>
      </c>
      <c r="C149" s="242" t="s">
        <v>882</v>
      </c>
      <c r="D149" s="215" t="s">
        <v>489</v>
      </c>
      <c r="E149" s="216">
        <v>20.0</v>
      </c>
      <c r="F149" s="11" t="s">
        <v>178</v>
      </c>
      <c r="G149" s="93" t="s">
        <v>1949</v>
      </c>
      <c r="H149" s="11" t="str">
        <f t="shared" si="11"/>
        <v/>
      </c>
      <c r="I149" s="11" t="s">
        <v>1841</v>
      </c>
    </row>
    <row r="150" ht="45.0" customHeight="1">
      <c r="A150" s="11">
        <v>149.0</v>
      </c>
      <c r="B150" s="239" t="s">
        <v>661</v>
      </c>
      <c r="C150" s="240" t="s">
        <v>662</v>
      </c>
      <c r="D150" s="215" t="s">
        <v>489</v>
      </c>
      <c r="E150" s="216">
        <v>100.0</v>
      </c>
      <c r="F150" s="11" t="s">
        <v>178</v>
      </c>
      <c r="G150" s="93" t="s">
        <v>1950</v>
      </c>
      <c r="H150" s="11" t="str">
        <f t="shared" ref="H150:H191" si="12">IMAGE("https://projectpoint.in/image/cache/catalog/CFR_Resistor_Kit-672x504.jpg",1)</f>
        <v/>
      </c>
      <c r="I150" s="11" t="s">
        <v>1753</v>
      </c>
    </row>
    <row r="151" ht="45.0" customHeight="1">
      <c r="A151" s="11">
        <v>150.0</v>
      </c>
      <c r="B151" s="239" t="s">
        <v>789</v>
      </c>
      <c r="C151" s="240" t="s">
        <v>1757</v>
      </c>
      <c r="D151" s="215" t="s">
        <v>489</v>
      </c>
      <c r="E151" s="216">
        <v>100.0</v>
      </c>
      <c r="F151" s="11" t="s">
        <v>178</v>
      </c>
      <c r="G151" s="93" t="s">
        <v>1950</v>
      </c>
      <c r="H151" s="11" t="str">
        <f t="shared" si="12"/>
        <v/>
      </c>
      <c r="I151" s="11" t="s">
        <v>1753</v>
      </c>
    </row>
    <row r="152" ht="45.0" customHeight="1">
      <c r="A152" s="11">
        <v>151.0</v>
      </c>
      <c r="B152" s="239" t="s">
        <v>697</v>
      </c>
      <c r="C152" s="240" t="s">
        <v>698</v>
      </c>
      <c r="D152" s="215" t="s">
        <v>489</v>
      </c>
      <c r="E152" s="216">
        <v>100.0</v>
      </c>
      <c r="F152" s="11" t="s">
        <v>178</v>
      </c>
      <c r="G152" s="93" t="s">
        <v>1950</v>
      </c>
      <c r="H152" s="11" t="str">
        <f t="shared" si="12"/>
        <v/>
      </c>
      <c r="I152" s="11" t="s">
        <v>1762</v>
      </c>
    </row>
    <row r="153" ht="45.0" customHeight="1">
      <c r="A153" s="11">
        <v>152.0</v>
      </c>
      <c r="B153" s="239" t="s">
        <v>705</v>
      </c>
      <c r="C153" s="240" t="s">
        <v>706</v>
      </c>
      <c r="D153" s="215" t="s">
        <v>489</v>
      </c>
      <c r="E153" s="216">
        <v>100.0</v>
      </c>
      <c r="F153" s="11" t="s">
        <v>178</v>
      </c>
      <c r="G153" s="93" t="s">
        <v>1950</v>
      </c>
      <c r="H153" s="11" t="str">
        <f t="shared" si="12"/>
        <v/>
      </c>
      <c r="I153" s="11" t="s">
        <v>1762</v>
      </c>
    </row>
    <row r="154" ht="45.0" customHeight="1">
      <c r="A154" s="11">
        <v>153.0</v>
      </c>
      <c r="B154" s="239" t="s">
        <v>717</v>
      </c>
      <c r="C154" s="240" t="s">
        <v>718</v>
      </c>
      <c r="D154" s="215" t="s">
        <v>489</v>
      </c>
      <c r="E154" s="216">
        <v>100.0</v>
      </c>
      <c r="F154" s="11" t="s">
        <v>178</v>
      </c>
      <c r="G154" s="93" t="s">
        <v>1950</v>
      </c>
      <c r="H154" s="11" t="str">
        <f t="shared" si="12"/>
        <v/>
      </c>
      <c r="I154" s="11" t="s">
        <v>1771</v>
      </c>
    </row>
    <row r="155" ht="45.0" customHeight="1">
      <c r="A155" s="11">
        <v>154.0</v>
      </c>
      <c r="B155" s="239" t="s">
        <v>733</v>
      </c>
      <c r="C155" s="240" t="s">
        <v>734</v>
      </c>
      <c r="D155" s="215" t="s">
        <v>489</v>
      </c>
      <c r="E155" s="216">
        <v>100.0</v>
      </c>
      <c r="F155" s="11" t="s">
        <v>178</v>
      </c>
      <c r="G155" s="93" t="s">
        <v>1950</v>
      </c>
      <c r="H155" s="11" t="str">
        <f t="shared" si="12"/>
        <v/>
      </c>
      <c r="I155" s="11" t="s">
        <v>1771</v>
      </c>
    </row>
    <row r="156" ht="45.0" customHeight="1">
      <c r="A156" s="11">
        <v>155.0</v>
      </c>
      <c r="B156" s="239" t="s">
        <v>817</v>
      </c>
      <c r="C156" s="240" t="s">
        <v>1779</v>
      </c>
      <c r="D156" s="215" t="s">
        <v>489</v>
      </c>
      <c r="E156" s="216">
        <v>100.0</v>
      </c>
      <c r="F156" s="11" t="s">
        <v>178</v>
      </c>
      <c r="G156" s="93" t="s">
        <v>1950</v>
      </c>
      <c r="H156" s="11" t="str">
        <f t="shared" si="12"/>
        <v/>
      </c>
      <c r="I156" s="246" t="s">
        <v>1780</v>
      </c>
    </row>
    <row r="157" ht="45.0" customHeight="1">
      <c r="A157" s="11">
        <v>156.0</v>
      </c>
      <c r="B157" s="239" t="s">
        <v>753</v>
      </c>
      <c r="C157" s="240" t="s">
        <v>754</v>
      </c>
      <c r="D157" s="215" t="s">
        <v>489</v>
      </c>
      <c r="E157" s="216">
        <v>100.0</v>
      </c>
      <c r="F157" s="11" t="s">
        <v>178</v>
      </c>
      <c r="G157" s="93" t="s">
        <v>1950</v>
      </c>
      <c r="H157" s="11" t="str">
        <f t="shared" si="12"/>
        <v/>
      </c>
      <c r="I157" s="246" t="s">
        <v>1780</v>
      </c>
    </row>
    <row r="158" ht="45.0" customHeight="1">
      <c r="A158" s="11">
        <v>157.0</v>
      </c>
      <c r="B158" s="239" t="s">
        <v>773</v>
      </c>
      <c r="C158" s="240" t="s">
        <v>774</v>
      </c>
      <c r="D158" s="215" t="s">
        <v>489</v>
      </c>
      <c r="E158" s="216">
        <v>100.0</v>
      </c>
      <c r="F158" s="11" t="s">
        <v>178</v>
      </c>
      <c r="G158" s="93" t="s">
        <v>1950</v>
      </c>
      <c r="H158" s="11" t="str">
        <f t="shared" si="12"/>
        <v/>
      </c>
      <c r="I158" s="246" t="s">
        <v>1785</v>
      </c>
    </row>
    <row r="159" ht="45.0" customHeight="1">
      <c r="A159" s="11">
        <v>158.0</v>
      </c>
      <c r="B159" s="239" t="s">
        <v>657</v>
      </c>
      <c r="C159" s="240" t="s">
        <v>658</v>
      </c>
      <c r="D159" s="215" t="s">
        <v>489</v>
      </c>
      <c r="E159" s="216">
        <v>100.0</v>
      </c>
      <c r="F159" s="11" t="s">
        <v>178</v>
      </c>
      <c r="G159" s="93" t="s">
        <v>1950</v>
      </c>
      <c r="H159" s="11" t="str">
        <f t="shared" si="12"/>
        <v/>
      </c>
      <c r="I159" s="246" t="s">
        <v>1785</v>
      </c>
    </row>
    <row r="160" ht="45.0" customHeight="1">
      <c r="A160" s="11">
        <v>159.0</v>
      </c>
      <c r="B160" s="239" t="s">
        <v>781</v>
      </c>
      <c r="C160" s="240" t="s">
        <v>1792</v>
      </c>
      <c r="D160" s="215" t="s">
        <v>489</v>
      </c>
      <c r="E160" s="216">
        <v>100.0</v>
      </c>
      <c r="F160" s="11" t="s">
        <v>178</v>
      </c>
      <c r="G160" s="93" t="s">
        <v>1950</v>
      </c>
      <c r="H160" s="11" t="str">
        <f t="shared" si="12"/>
        <v/>
      </c>
      <c r="I160" s="246" t="s">
        <v>1793</v>
      </c>
    </row>
    <row r="161" ht="45.0" customHeight="1">
      <c r="A161" s="11">
        <v>160.0</v>
      </c>
      <c r="B161" s="239" t="s">
        <v>689</v>
      </c>
      <c r="C161" s="240" t="s">
        <v>690</v>
      </c>
      <c r="D161" s="215" t="s">
        <v>489</v>
      </c>
      <c r="E161" s="216">
        <v>100.0</v>
      </c>
      <c r="F161" s="11" t="s">
        <v>178</v>
      </c>
      <c r="G161" s="93" t="s">
        <v>1950</v>
      </c>
      <c r="H161" s="11" t="str">
        <f t="shared" si="12"/>
        <v/>
      </c>
      <c r="I161" s="246" t="s">
        <v>1793</v>
      </c>
    </row>
    <row r="162" ht="45.0" customHeight="1">
      <c r="A162" s="11">
        <v>161.0</v>
      </c>
      <c r="B162" s="239" t="s">
        <v>797</v>
      </c>
      <c r="C162" s="240" t="s">
        <v>1799</v>
      </c>
      <c r="D162" s="215" t="s">
        <v>489</v>
      </c>
      <c r="E162" s="216">
        <v>100.0</v>
      </c>
      <c r="F162" s="11" t="s">
        <v>178</v>
      </c>
      <c r="G162" s="93" t="s">
        <v>1950</v>
      </c>
      <c r="H162" s="11" t="str">
        <f t="shared" si="12"/>
        <v/>
      </c>
      <c r="I162" s="246" t="s">
        <v>1800</v>
      </c>
    </row>
    <row r="163" ht="45.0" customHeight="1">
      <c r="A163" s="11">
        <v>162.0</v>
      </c>
      <c r="B163" s="239" t="s">
        <v>709</v>
      </c>
      <c r="C163" s="240" t="s">
        <v>710</v>
      </c>
      <c r="D163" s="215" t="s">
        <v>489</v>
      </c>
      <c r="E163" s="216">
        <v>100.0</v>
      </c>
      <c r="F163" s="11" t="s">
        <v>178</v>
      </c>
      <c r="G163" s="93" t="s">
        <v>1950</v>
      </c>
      <c r="H163" s="11" t="str">
        <f t="shared" si="12"/>
        <v/>
      </c>
      <c r="I163" s="246" t="s">
        <v>1800</v>
      </c>
    </row>
    <row r="164" ht="45.0" customHeight="1">
      <c r="A164" s="11">
        <v>163.0</v>
      </c>
      <c r="B164" s="239" t="s">
        <v>725</v>
      </c>
      <c r="C164" s="240" t="s">
        <v>726</v>
      </c>
      <c r="D164" s="215" t="s">
        <v>489</v>
      </c>
      <c r="E164" s="216">
        <v>100.0</v>
      </c>
      <c r="F164" s="11" t="s">
        <v>178</v>
      </c>
      <c r="G164" s="93" t="s">
        <v>1950</v>
      </c>
      <c r="H164" s="11" t="str">
        <f t="shared" si="12"/>
        <v/>
      </c>
      <c r="I164" s="246" t="s">
        <v>1805</v>
      </c>
    </row>
    <row r="165" ht="45.0" customHeight="1">
      <c r="A165" s="11">
        <v>164.0</v>
      </c>
      <c r="B165" s="239" t="s">
        <v>809</v>
      </c>
      <c r="C165" s="240" t="s">
        <v>1808</v>
      </c>
      <c r="D165" s="215" t="s">
        <v>489</v>
      </c>
      <c r="E165" s="216">
        <v>100.0</v>
      </c>
      <c r="F165" s="11" t="s">
        <v>178</v>
      </c>
      <c r="G165" s="93" t="s">
        <v>1950</v>
      </c>
      <c r="H165" s="11" t="str">
        <f t="shared" si="12"/>
        <v/>
      </c>
      <c r="I165" s="246" t="s">
        <v>1805</v>
      </c>
    </row>
    <row r="166" ht="45.0" customHeight="1">
      <c r="A166" s="11">
        <v>165.0</v>
      </c>
      <c r="B166" s="239" t="s">
        <v>745</v>
      </c>
      <c r="C166" s="240" t="s">
        <v>746</v>
      </c>
      <c r="D166" s="215" t="s">
        <v>489</v>
      </c>
      <c r="E166" s="216">
        <v>100.0</v>
      </c>
      <c r="F166" s="11" t="s">
        <v>178</v>
      </c>
      <c r="G166" s="93" t="s">
        <v>1950</v>
      </c>
      <c r="H166" s="11" t="str">
        <f t="shared" si="12"/>
        <v/>
      </c>
      <c r="I166" s="246" t="s">
        <v>1810</v>
      </c>
    </row>
    <row r="167" ht="45.0" customHeight="1">
      <c r="A167" s="11">
        <v>166.0</v>
      </c>
      <c r="B167" s="239" t="s">
        <v>765</v>
      </c>
      <c r="C167" s="240" t="s">
        <v>766</v>
      </c>
      <c r="D167" s="215" t="s">
        <v>489</v>
      </c>
      <c r="E167" s="216">
        <v>100.0</v>
      </c>
      <c r="F167" s="11" t="s">
        <v>178</v>
      </c>
      <c r="G167" s="93" t="s">
        <v>1950</v>
      </c>
      <c r="H167" s="11" t="str">
        <f t="shared" si="12"/>
        <v/>
      </c>
      <c r="I167" s="246" t="s">
        <v>1810</v>
      </c>
    </row>
    <row r="168" ht="45.0" customHeight="1">
      <c r="A168" s="11">
        <v>167.0</v>
      </c>
      <c r="B168" s="239" t="s">
        <v>677</v>
      </c>
      <c r="C168" s="240" t="s">
        <v>678</v>
      </c>
      <c r="D168" s="215" t="s">
        <v>489</v>
      </c>
      <c r="E168" s="216">
        <v>100.0</v>
      </c>
      <c r="F168" s="11" t="s">
        <v>178</v>
      </c>
      <c r="G168" s="93" t="s">
        <v>1950</v>
      </c>
      <c r="H168" s="11" t="str">
        <f t="shared" si="12"/>
        <v/>
      </c>
      <c r="I168" s="246" t="s">
        <v>1816</v>
      </c>
    </row>
    <row r="169" ht="45.0" customHeight="1">
      <c r="A169" s="11">
        <v>168.0</v>
      </c>
      <c r="B169" s="239" t="s">
        <v>685</v>
      </c>
      <c r="C169" s="240" t="s">
        <v>686</v>
      </c>
      <c r="D169" s="215" t="s">
        <v>489</v>
      </c>
      <c r="E169" s="216">
        <v>100.0</v>
      </c>
      <c r="F169" s="11" t="s">
        <v>178</v>
      </c>
      <c r="G169" s="93" t="s">
        <v>1950</v>
      </c>
      <c r="H169" s="11" t="str">
        <f t="shared" si="12"/>
        <v/>
      </c>
      <c r="I169" s="246" t="s">
        <v>1816</v>
      </c>
    </row>
    <row r="170" ht="45.0" customHeight="1">
      <c r="A170" s="11">
        <v>169.0</v>
      </c>
      <c r="B170" s="239" t="s">
        <v>741</v>
      </c>
      <c r="C170" s="240" t="s">
        <v>742</v>
      </c>
      <c r="D170" s="215" t="s">
        <v>489</v>
      </c>
      <c r="E170" s="216">
        <v>100.0</v>
      </c>
      <c r="F170" s="11" t="s">
        <v>178</v>
      </c>
      <c r="G170" s="93" t="s">
        <v>1950</v>
      </c>
      <c r="H170" s="11" t="str">
        <f t="shared" si="12"/>
        <v/>
      </c>
      <c r="I170" s="246" t="s">
        <v>1821</v>
      </c>
    </row>
    <row r="171" ht="45.0" customHeight="1">
      <c r="A171" s="11">
        <v>170.0</v>
      </c>
      <c r="B171" s="239" t="s">
        <v>665</v>
      </c>
      <c r="C171" s="240" t="s">
        <v>666</v>
      </c>
      <c r="D171" s="215" t="s">
        <v>489</v>
      </c>
      <c r="E171" s="216">
        <v>100.0</v>
      </c>
      <c r="F171" s="11" t="s">
        <v>178</v>
      </c>
      <c r="G171" s="93" t="s">
        <v>1950</v>
      </c>
      <c r="H171" s="11" t="str">
        <f t="shared" si="12"/>
        <v/>
      </c>
      <c r="I171" s="246" t="s">
        <v>1821</v>
      </c>
    </row>
    <row r="172" ht="45.0" customHeight="1">
      <c r="A172" s="11">
        <v>171.0</v>
      </c>
      <c r="B172" s="239" t="s">
        <v>793</v>
      </c>
      <c r="C172" s="240" t="s">
        <v>794</v>
      </c>
      <c r="D172" s="215" t="s">
        <v>489</v>
      </c>
      <c r="E172" s="216">
        <v>100.0</v>
      </c>
      <c r="F172" s="11" t="s">
        <v>178</v>
      </c>
      <c r="G172" s="93" t="s">
        <v>1950</v>
      </c>
      <c r="H172" s="11" t="str">
        <f t="shared" si="12"/>
        <v/>
      </c>
      <c r="I172" s="246" t="s">
        <v>1825</v>
      </c>
    </row>
    <row r="173" ht="45.0" customHeight="1">
      <c r="A173" s="11">
        <v>172.0</v>
      </c>
      <c r="B173" s="239" t="s">
        <v>701</v>
      </c>
      <c r="C173" s="240" t="s">
        <v>702</v>
      </c>
      <c r="D173" s="215" t="s">
        <v>489</v>
      </c>
      <c r="E173" s="216">
        <v>100.0</v>
      </c>
      <c r="F173" s="11" t="s">
        <v>178</v>
      </c>
      <c r="G173" s="93" t="s">
        <v>1950</v>
      </c>
      <c r="H173" s="11" t="str">
        <f t="shared" si="12"/>
        <v/>
      </c>
      <c r="I173" s="246" t="s">
        <v>1825</v>
      </c>
    </row>
    <row r="174" ht="45.0" customHeight="1">
      <c r="A174" s="11">
        <v>173.0</v>
      </c>
      <c r="B174" s="239" t="s">
        <v>805</v>
      </c>
      <c r="C174" s="240" t="s">
        <v>806</v>
      </c>
      <c r="D174" s="215" t="s">
        <v>489</v>
      </c>
      <c r="E174" s="216">
        <v>100.0</v>
      </c>
      <c r="F174" s="11" t="s">
        <v>178</v>
      </c>
      <c r="G174" s="93" t="s">
        <v>1950</v>
      </c>
      <c r="H174" s="11" t="str">
        <f t="shared" si="12"/>
        <v/>
      </c>
      <c r="I174" s="246" t="s">
        <v>1827</v>
      </c>
    </row>
    <row r="175" ht="45.0" customHeight="1">
      <c r="A175" s="11">
        <v>174.0</v>
      </c>
      <c r="B175" s="239" t="s">
        <v>721</v>
      </c>
      <c r="C175" s="240" t="s">
        <v>722</v>
      </c>
      <c r="D175" s="215" t="s">
        <v>489</v>
      </c>
      <c r="E175" s="216">
        <v>100.0</v>
      </c>
      <c r="F175" s="11" t="s">
        <v>178</v>
      </c>
      <c r="G175" s="93" t="s">
        <v>1950</v>
      </c>
      <c r="H175" s="11" t="str">
        <f t="shared" si="12"/>
        <v/>
      </c>
      <c r="I175" s="246" t="s">
        <v>1827</v>
      </c>
    </row>
    <row r="176" ht="45.0" customHeight="1">
      <c r="A176" s="11">
        <v>175.0</v>
      </c>
      <c r="B176" s="239" t="s">
        <v>737</v>
      </c>
      <c r="C176" s="240" t="s">
        <v>738</v>
      </c>
      <c r="D176" s="215" t="s">
        <v>489</v>
      </c>
      <c r="E176" s="216">
        <v>100.0</v>
      </c>
      <c r="F176" s="11" t="s">
        <v>178</v>
      </c>
      <c r="G176" s="93" t="s">
        <v>1950</v>
      </c>
      <c r="H176" s="11" t="str">
        <f t="shared" si="12"/>
        <v/>
      </c>
      <c r="I176" s="246" t="s">
        <v>1829</v>
      </c>
    </row>
    <row r="177" ht="45.0" customHeight="1">
      <c r="A177" s="11">
        <v>176.0</v>
      </c>
      <c r="B177" s="239" t="s">
        <v>821</v>
      </c>
      <c r="C177" s="240" t="s">
        <v>822</v>
      </c>
      <c r="D177" s="215" t="s">
        <v>489</v>
      </c>
      <c r="E177" s="216">
        <v>100.0</v>
      </c>
      <c r="F177" s="11" t="s">
        <v>178</v>
      </c>
      <c r="G177" s="93" t="s">
        <v>1950</v>
      </c>
      <c r="H177" s="11" t="str">
        <f t="shared" si="12"/>
        <v/>
      </c>
      <c r="I177" s="246" t="s">
        <v>1829</v>
      </c>
    </row>
    <row r="178" ht="45.0" customHeight="1">
      <c r="A178" s="11">
        <v>177.0</v>
      </c>
      <c r="B178" s="239" t="s">
        <v>757</v>
      </c>
      <c r="C178" s="240" t="s">
        <v>758</v>
      </c>
      <c r="D178" s="215" t="s">
        <v>489</v>
      </c>
      <c r="E178" s="216">
        <v>100.0</v>
      </c>
      <c r="F178" s="11" t="s">
        <v>178</v>
      </c>
      <c r="G178" s="93" t="s">
        <v>1950</v>
      </c>
      <c r="H178" s="11" t="str">
        <f t="shared" si="12"/>
        <v/>
      </c>
      <c r="I178" s="246" t="s">
        <v>1832</v>
      </c>
    </row>
    <row r="179" ht="45.0" customHeight="1">
      <c r="A179" s="11">
        <v>178.0</v>
      </c>
      <c r="B179" s="239" t="s">
        <v>777</v>
      </c>
      <c r="C179" s="240" t="s">
        <v>778</v>
      </c>
      <c r="D179" s="215" t="s">
        <v>489</v>
      </c>
      <c r="E179" s="216">
        <v>100.0</v>
      </c>
      <c r="F179" s="11" t="s">
        <v>178</v>
      </c>
      <c r="G179" s="93" t="s">
        <v>1950</v>
      </c>
      <c r="H179" s="11" t="str">
        <f t="shared" si="12"/>
        <v/>
      </c>
      <c r="I179" s="246" t="s">
        <v>1832</v>
      </c>
    </row>
    <row r="180" ht="45.0" customHeight="1">
      <c r="A180" s="11">
        <v>179.0</v>
      </c>
      <c r="B180" s="239" t="s">
        <v>669</v>
      </c>
      <c r="C180" s="240" t="s">
        <v>670</v>
      </c>
      <c r="D180" s="215" t="s">
        <v>489</v>
      </c>
      <c r="E180" s="216">
        <v>100.0</v>
      </c>
      <c r="F180" s="11" t="s">
        <v>178</v>
      </c>
      <c r="G180" s="93" t="s">
        <v>1950</v>
      </c>
      <c r="H180" s="11" t="str">
        <f t="shared" si="12"/>
        <v/>
      </c>
      <c r="I180" s="246" t="s">
        <v>1835</v>
      </c>
    </row>
    <row r="181" ht="45.0" customHeight="1">
      <c r="A181" s="11">
        <v>180.0</v>
      </c>
      <c r="B181" s="239" t="s">
        <v>785</v>
      </c>
      <c r="C181" s="240" t="s">
        <v>786</v>
      </c>
      <c r="D181" s="215" t="s">
        <v>489</v>
      </c>
      <c r="E181" s="216">
        <v>100.0</v>
      </c>
      <c r="F181" s="11" t="s">
        <v>178</v>
      </c>
      <c r="G181" s="93" t="s">
        <v>1950</v>
      </c>
      <c r="H181" s="11" t="str">
        <f t="shared" si="12"/>
        <v/>
      </c>
      <c r="I181" s="246" t="s">
        <v>1835</v>
      </c>
    </row>
    <row r="182" ht="45.0" customHeight="1">
      <c r="A182" s="11">
        <v>181.0</v>
      </c>
      <c r="B182" s="239" t="s">
        <v>673</v>
      </c>
      <c r="C182" s="240" t="s">
        <v>674</v>
      </c>
      <c r="D182" s="215" t="s">
        <v>489</v>
      </c>
      <c r="E182" s="216">
        <v>100.0</v>
      </c>
      <c r="F182" s="11" t="s">
        <v>178</v>
      </c>
      <c r="G182" s="93" t="s">
        <v>1950</v>
      </c>
      <c r="H182" s="11" t="str">
        <f t="shared" si="12"/>
        <v/>
      </c>
      <c r="I182" s="246" t="s">
        <v>1836</v>
      </c>
    </row>
    <row r="183" ht="45.0" customHeight="1">
      <c r="A183" s="11">
        <v>182.0</v>
      </c>
      <c r="B183" s="239" t="s">
        <v>693</v>
      </c>
      <c r="C183" s="240" t="s">
        <v>694</v>
      </c>
      <c r="D183" s="215" t="s">
        <v>489</v>
      </c>
      <c r="E183" s="216">
        <v>100.0</v>
      </c>
      <c r="F183" s="11" t="s">
        <v>178</v>
      </c>
      <c r="G183" s="93" t="s">
        <v>1950</v>
      </c>
      <c r="H183" s="11" t="str">
        <f t="shared" si="12"/>
        <v/>
      </c>
      <c r="I183" s="246" t="s">
        <v>1836</v>
      </c>
    </row>
    <row r="184" ht="45.0" customHeight="1">
      <c r="A184" s="11">
        <v>183.0</v>
      </c>
      <c r="B184" s="239" t="s">
        <v>801</v>
      </c>
      <c r="C184" s="240" t="s">
        <v>802</v>
      </c>
      <c r="D184" s="215" t="s">
        <v>489</v>
      </c>
      <c r="E184" s="216">
        <v>100.0</v>
      </c>
      <c r="F184" s="11" t="s">
        <v>178</v>
      </c>
      <c r="G184" s="93" t="s">
        <v>1950</v>
      </c>
      <c r="H184" s="11" t="str">
        <f t="shared" si="12"/>
        <v/>
      </c>
      <c r="I184" s="246" t="s">
        <v>1837</v>
      </c>
    </row>
    <row r="185" ht="45.0" customHeight="1">
      <c r="A185" s="11">
        <v>184.0</v>
      </c>
      <c r="B185" s="239" t="s">
        <v>713</v>
      </c>
      <c r="C185" s="240" t="s">
        <v>714</v>
      </c>
      <c r="D185" s="215" t="s">
        <v>489</v>
      </c>
      <c r="E185" s="216">
        <v>100.0</v>
      </c>
      <c r="F185" s="11" t="s">
        <v>178</v>
      </c>
      <c r="G185" s="93" t="s">
        <v>1950</v>
      </c>
      <c r="H185" s="11" t="str">
        <f t="shared" si="12"/>
        <v/>
      </c>
      <c r="I185" s="246" t="s">
        <v>1837</v>
      </c>
    </row>
    <row r="186" ht="45.0" customHeight="1">
      <c r="A186" s="11">
        <v>185.0</v>
      </c>
      <c r="B186" s="116" t="s">
        <v>729</v>
      </c>
      <c r="C186" s="115" t="s">
        <v>730</v>
      </c>
      <c r="D186" s="215" t="s">
        <v>489</v>
      </c>
      <c r="E186" s="216">
        <v>100.0</v>
      </c>
      <c r="F186" s="11" t="s">
        <v>178</v>
      </c>
      <c r="G186" s="93" t="s">
        <v>1950</v>
      </c>
      <c r="H186" s="11" t="str">
        <f t="shared" si="12"/>
        <v/>
      </c>
      <c r="I186" s="246" t="s">
        <v>1838</v>
      </c>
    </row>
    <row r="187" ht="45.0" customHeight="1">
      <c r="A187" s="11">
        <v>186.0</v>
      </c>
      <c r="B187" s="116" t="s">
        <v>813</v>
      </c>
      <c r="C187" s="115" t="s">
        <v>814</v>
      </c>
      <c r="D187" s="215" t="s">
        <v>489</v>
      </c>
      <c r="E187" s="216">
        <v>100.0</v>
      </c>
      <c r="F187" s="11" t="s">
        <v>178</v>
      </c>
      <c r="G187" s="93" t="s">
        <v>1950</v>
      </c>
      <c r="H187" s="11" t="str">
        <f t="shared" si="12"/>
        <v/>
      </c>
      <c r="I187" s="246" t="s">
        <v>1838</v>
      </c>
    </row>
    <row r="188" ht="45.0" customHeight="1">
      <c r="A188" s="11">
        <v>187.0</v>
      </c>
      <c r="B188" s="116" t="s">
        <v>749</v>
      </c>
      <c r="C188" s="115" t="s">
        <v>750</v>
      </c>
      <c r="D188" s="215" t="s">
        <v>489</v>
      </c>
      <c r="E188" s="216">
        <v>100.0</v>
      </c>
      <c r="F188" s="11" t="s">
        <v>178</v>
      </c>
      <c r="G188" s="93" t="s">
        <v>1950</v>
      </c>
      <c r="H188" s="11" t="str">
        <f t="shared" si="12"/>
        <v/>
      </c>
      <c r="I188" s="246" t="s">
        <v>1839</v>
      </c>
    </row>
    <row r="189" ht="45.0" customHeight="1">
      <c r="A189" s="11">
        <v>188.0</v>
      </c>
      <c r="B189" s="116" t="s">
        <v>761</v>
      </c>
      <c r="C189" s="115" t="s">
        <v>762</v>
      </c>
      <c r="D189" s="215" t="s">
        <v>489</v>
      </c>
      <c r="E189" s="216">
        <v>100.0</v>
      </c>
      <c r="F189" s="11" t="s">
        <v>178</v>
      </c>
      <c r="G189" s="93" t="s">
        <v>1950</v>
      </c>
      <c r="H189" s="11" t="str">
        <f t="shared" si="12"/>
        <v/>
      </c>
      <c r="I189" s="246" t="s">
        <v>1839</v>
      </c>
    </row>
    <row r="190" ht="45.0" customHeight="1">
      <c r="A190" s="11">
        <v>189.0</v>
      </c>
      <c r="B190" s="116" t="s">
        <v>769</v>
      </c>
      <c r="C190" s="115" t="s">
        <v>770</v>
      </c>
      <c r="D190" s="215" t="s">
        <v>489</v>
      </c>
      <c r="E190" s="216">
        <v>100.0</v>
      </c>
      <c r="F190" s="11" t="s">
        <v>178</v>
      </c>
      <c r="G190" s="93" t="s">
        <v>1950</v>
      </c>
      <c r="H190" s="11" t="str">
        <f t="shared" si="12"/>
        <v/>
      </c>
      <c r="I190" s="246" t="s">
        <v>1840</v>
      </c>
    </row>
    <row r="191" ht="45.0" customHeight="1">
      <c r="A191" s="11">
        <v>190.0</v>
      </c>
      <c r="B191" s="116" t="s">
        <v>681</v>
      </c>
      <c r="C191" s="115" t="s">
        <v>682</v>
      </c>
      <c r="D191" s="215" t="s">
        <v>489</v>
      </c>
      <c r="E191" s="216">
        <v>100.0</v>
      </c>
      <c r="F191" s="11" t="s">
        <v>178</v>
      </c>
      <c r="G191" s="93" t="s">
        <v>1950</v>
      </c>
      <c r="H191" s="11" t="str">
        <f t="shared" si="12"/>
        <v/>
      </c>
      <c r="I191" s="246" t="s">
        <v>1840</v>
      </c>
    </row>
    <row r="192" ht="45.0" customHeight="1">
      <c r="A192" s="11">
        <v>191.0</v>
      </c>
      <c r="B192" s="11" t="s">
        <v>487</v>
      </c>
      <c r="C192" s="93" t="s">
        <v>488</v>
      </c>
      <c r="D192" s="215" t="s">
        <v>489</v>
      </c>
      <c r="E192" s="216">
        <v>20.0</v>
      </c>
      <c r="F192" s="11" t="s">
        <v>178</v>
      </c>
      <c r="G192" s="93" t="s">
        <v>1941</v>
      </c>
      <c r="H192" s="11" t="str">
        <f>IMAGE("https://m.media-amazon.com/images/I/51BByYhTjOL._SX425_.jpg",1)</f>
        <v/>
      </c>
      <c r="I192" s="11" t="s">
        <v>1802</v>
      </c>
    </row>
    <row r="193" ht="45.0" customHeight="1">
      <c r="A193" s="11">
        <v>192.0</v>
      </c>
      <c r="B193" s="11" t="s">
        <v>637</v>
      </c>
      <c r="C193" s="93" t="s">
        <v>1804</v>
      </c>
      <c r="D193" s="215" t="s">
        <v>489</v>
      </c>
      <c r="E193" s="216">
        <v>20.0</v>
      </c>
      <c r="F193" s="11" t="s">
        <v>178</v>
      </c>
      <c r="G193" s="93" t="s">
        <v>1941</v>
      </c>
      <c r="H193" s="11" t="str">
        <f>IMAGE("https://5.imimg.com/data5/FI/FV/DZ/SELLER-22718366/27-mm-3p-piezoelectric-buzzer-plate-500x500.jpg",1)</f>
        <v/>
      </c>
      <c r="I193" s="11" t="s">
        <v>1802</v>
      </c>
    </row>
    <row r="194" ht="45.0" customHeight="1">
      <c r="A194" s="11">
        <v>193.0</v>
      </c>
      <c r="B194" s="11" t="s">
        <v>825</v>
      </c>
      <c r="C194" s="93" t="s">
        <v>826</v>
      </c>
      <c r="D194" s="215" t="s">
        <v>489</v>
      </c>
      <c r="E194" s="216">
        <v>100.0</v>
      </c>
      <c r="F194" s="11" t="s">
        <v>178</v>
      </c>
      <c r="G194" s="93" t="s">
        <v>1951</v>
      </c>
      <c r="H194" s="11" t="str">
        <f>IMAGE("https://encrypted-tbn0.gstatic.com/images?q=tbn:ANd9GcR-ur1Cl_3Rq82qZ9KbLtZX3U_7cevDQWdUVA&amp;usqp=CAU",1)</f>
        <v/>
      </c>
      <c r="I194" s="11" t="s">
        <v>1857</v>
      </c>
    </row>
    <row r="195" ht="45.0" customHeight="1">
      <c r="A195" s="11">
        <v>194.0</v>
      </c>
      <c r="B195" s="11" t="s">
        <v>829</v>
      </c>
      <c r="C195" s="93" t="s">
        <v>830</v>
      </c>
      <c r="D195" s="215" t="s">
        <v>489</v>
      </c>
      <c r="E195" s="216">
        <v>50.0</v>
      </c>
      <c r="F195" s="11" t="s">
        <v>178</v>
      </c>
      <c r="G195" s="93" t="s">
        <v>1951</v>
      </c>
      <c r="H195" s="11" t="str">
        <f>IMAGE("https://m.media-amazon.com/images/I/51khY6g46VL._AC_SL1500_.jpg",1)</f>
        <v/>
      </c>
      <c r="I195" s="221" t="s">
        <v>1859</v>
      </c>
    </row>
    <row r="196" ht="45.0" customHeight="1">
      <c r="A196" s="11">
        <v>195.0</v>
      </c>
      <c r="B196" s="11" t="s">
        <v>833</v>
      </c>
      <c r="C196" s="93" t="s">
        <v>834</v>
      </c>
      <c r="D196" s="215" t="s">
        <v>489</v>
      </c>
      <c r="E196" s="216">
        <v>50.0</v>
      </c>
      <c r="F196" s="11" t="s">
        <v>178</v>
      </c>
      <c r="G196" s="93" t="s">
        <v>1951</v>
      </c>
      <c r="H196" s="11" t="str">
        <f>IMAGE("https://etstore.in/wp-content/uploads/2021/12/IMG_20201130_100203.png",1)</f>
        <v/>
      </c>
      <c r="I196" s="247" t="s">
        <v>1834</v>
      </c>
    </row>
    <row r="197" ht="45.0" customHeight="1">
      <c r="A197" s="11">
        <v>196.0</v>
      </c>
      <c r="B197" s="11" t="s">
        <v>837</v>
      </c>
      <c r="C197" s="93" t="s">
        <v>838</v>
      </c>
      <c r="D197" s="215" t="s">
        <v>489</v>
      </c>
      <c r="E197" s="216">
        <v>50.0</v>
      </c>
      <c r="F197" s="11" t="s">
        <v>178</v>
      </c>
      <c r="G197" s="93" t="s">
        <v>1951</v>
      </c>
      <c r="H197" s="11" t="str">
        <f>IMAGE("https://m.media-amazon.com/images/I/71UDXftBeaL._SX466_.jpg",1)</f>
        <v/>
      </c>
      <c r="I197" s="244" t="s">
        <v>1861</v>
      </c>
    </row>
    <row r="198" ht="45.0" customHeight="1">
      <c r="A198" s="11">
        <v>197.0</v>
      </c>
      <c r="B198" s="11" t="s">
        <v>841</v>
      </c>
      <c r="C198" s="93" t="s">
        <v>842</v>
      </c>
      <c r="D198" s="215" t="s">
        <v>489</v>
      </c>
      <c r="E198" s="216">
        <v>50.0</v>
      </c>
      <c r="F198" s="11" t="s">
        <v>178</v>
      </c>
      <c r="G198" s="93" t="s">
        <v>1951</v>
      </c>
      <c r="H198" s="11" t="str">
        <f>IMAGE("https://m.media-amazon.com/images/I/4116hBQx0XL._SX425_.jpg",1)</f>
        <v/>
      </c>
      <c r="I198" s="245" t="s">
        <v>1833</v>
      </c>
    </row>
    <row r="199" ht="45.0" customHeight="1">
      <c r="A199" s="11">
        <v>198.0</v>
      </c>
      <c r="B199" s="11" t="s">
        <v>849</v>
      </c>
      <c r="C199" s="93" t="s">
        <v>850</v>
      </c>
      <c r="D199" s="215" t="s">
        <v>489</v>
      </c>
      <c r="E199" s="216">
        <v>100.0</v>
      </c>
      <c r="F199" s="11" t="s">
        <v>178</v>
      </c>
      <c r="G199" s="93" t="s">
        <v>1953</v>
      </c>
      <c r="H199" s="11" t="str">
        <f>IMAGE("https://5.imimg.com/data5/SELLER/Default/2020/8/IJ/BD/HA/84543611/2n3904-transistor-500x500.jpg",1)</f>
        <v/>
      </c>
      <c r="I199" s="246" t="s">
        <v>1847</v>
      </c>
    </row>
    <row r="200" ht="45.0" customHeight="1">
      <c r="A200" s="11">
        <v>199.0</v>
      </c>
      <c r="B200" s="11" t="s">
        <v>853</v>
      </c>
      <c r="C200" s="93" t="s">
        <v>854</v>
      </c>
      <c r="D200" s="215" t="s">
        <v>489</v>
      </c>
      <c r="E200" s="216">
        <v>100.0</v>
      </c>
      <c r="F200" s="11" t="s">
        <v>178</v>
      </c>
      <c r="G200" s="93" t="s">
        <v>1953</v>
      </c>
      <c r="H200" s="11" t="str">
        <f>IMAGE("https://rukminim2.flixcart.com/image/832/832/k44hksw0/transistor/d/m/d/100-pics-bc547-npn-transistor-sme-original-imafn3dfw2fqwgxg.jpeg?q=70",1)</f>
        <v/>
      </c>
      <c r="I200" s="249" t="s">
        <v>1848</v>
      </c>
    </row>
    <row r="201" ht="45.0" customHeight="1">
      <c r="A201" s="11">
        <v>200.0</v>
      </c>
      <c r="B201" s="11" t="s">
        <v>857</v>
      </c>
      <c r="C201" s="93" t="s">
        <v>858</v>
      </c>
      <c r="D201" s="215" t="s">
        <v>489</v>
      </c>
      <c r="E201" s="216">
        <v>100.0</v>
      </c>
      <c r="F201" s="11" t="s">
        <v>178</v>
      </c>
      <c r="G201" s="93" t="s">
        <v>1953</v>
      </c>
      <c r="H201" s="11" t="str">
        <f>IMAGE("https://m.media-amazon.com/images/W/MEDIAX_792452-T2/images/I/31po6g2eu+L.jpg",1)</f>
        <v/>
      </c>
      <c r="I201" s="11" t="s">
        <v>1848</v>
      </c>
    </row>
    <row r="202" ht="45.0" customHeight="1">
      <c r="A202" s="11">
        <v>201.0</v>
      </c>
      <c r="B202" s="11" t="s">
        <v>861</v>
      </c>
      <c r="C202" s="93" t="s">
        <v>862</v>
      </c>
      <c r="D202" s="215" t="s">
        <v>489</v>
      </c>
      <c r="E202" s="216">
        <v>100.0</v>
      </c>
      <c r="F202" s="11" t="s">
        <v>178</v>
      </c>
      <c r="G202" s="93" t="s">
        <v>1953</v>
      </c>
      <c r="H202" s="11" t="str">
        <f>IMAGE("https://5.imimg.com/data5/MA/XW/GW/SELLER-84581978/cdil-transistor-bc557-500x500.jpg",1)</f>
        <v/>
      </c>
      <c r="I202" s="11" t="s">
        <v>1848</v>
      </c>
    </row>
    <row r="203" ht="45.0" customHeight="1">
      <c r="A203" s="11">
        <v>202.0</v>
      </c>
      <c r="B203" s="11" t="s">
        <v>865</v>
      </c>
      <c r="C203" s="93" t="s">
        <v>866</v>
      </c>
      <c r="D203" s="215" t="s">
        <v>489</v>
      </c>
      <c r="E203" s="216">
        <v>100.0</v>
      </c>
      <c r="F203" s="11" t="s">
        <v>178</v>
      </c>
      <c r="G203" s="93" t="s">
        <v>1953</v>
      </c>
      <c r="H203" s="11" t="str">
        <f>IMAGE("https://www.chipmart.in/wp-content/uploads/2022/08/SL100-NPN-General-Purpose-Medium-Power-Transistor-50V-500mA.png",1)</f>
        <v/>
      </c>
      <c r="I203" s="245" t="s">
        <v>1849</v>
      </c>
    </row>
    <row r="204" ht="45.0" customHeight="1">
      <c r="A204" s="11">
        <v>203.0</v>
      </c>
      <c r="B204" s="11" t="s">
        <v>869</v>
      </c>
      <c r="C204" s="93" t="s">
        <v>870</v>
      </c>
      <c r="D204" s="215" t="s">
        <v>489</v>
      </c>
      <c r="E204" s="216">
        <v>100.0</v>
      </c>
      <c r="F204" s="11" t="s">
        <v>178</v>
      </c>
      <c r="G204" s="93" t="s">
        <v>1953</v>
      </c>
      <c r="H204" s="11" t="str">
        <f>IMAGE("https://5.imimg.com/data5/WJ/EW/MY-25117786/2n2222-npn-transistors-500x500.jpg",1)</f>
        <v/>
      </c>
      <c r="I204" s="11" t="s">
        <v>1847</v>
      </c>
    </row>
    <row r="205" ht="45.0" customHeight="1">
      <c r="A205" s="11">
        <v>204.0</v>
      </c>
      <c r="B205" s="271"/>
      <c r="C205" s="272" t="s">
        <v>2163</v>
      </c>
      <c r="D205" s="273" t="s">
        <v>489</v>
      </c>
      <c r="E205" s="274">
        <v>3.0</v>
      </c>
      <c r="F205" s="221" t="s">
        <v>178</v>
      </c>
      <c r="G205" s="275"/>
      <c r="H205" s="275"/>
      <c r="I205" s="275"/>
      <c r="J205" s="276"/>
    </row>
    <row r="206" ht="45.0" customHeight="1">
      <c r="A206" s="11">
        <v>205.0</v>
      </c>
      <c r="B206" s="271"/>
      <c r="C206" s="272" t="s">
        <v>2164</v>
      </c>
      <c r="D206" s="273" t="s">
        <v>489</v>
      </c>
      <c r="E206" s="274">
        <v>20.0</v>
      </c>
      <c r="F206" s="221" t="s">
        <v>178</v>
      </c>
      <c r="G206" s="275"/>
      <c r="H206" s="275"/>
      <c r="I206" s="275"/>
      <c r="J206" s="276"/>
    </row>
    <row r="207" ht="45.0" customHeight="1">
      <c r="A207" s="11">
        <v>206.0</v>
      </c>
      <c r="B207" s="271"/>
      <c r="C207" s="272" t="s">
        <v>2165</v>
      </c>
      <c r="D207" s="273" t="s">
        <v>489</v>
      </c>
      <c r="E207" s="274">
        <v>4.0</v>
      </c>
      <c r="F207" s="221" t="s">
        <v>178</v>
      </c>
      <c r="G207" s="275"/>
      <c r="H207" s="275"/>
      <c r="I207" s="275"/>
      <c r="J207" s="276"/>
    </row>
    <row r="208" ht="45.0" customHeight="1">
      <c r="A208" s="11">
        <v>207.0</v>
      </c>
      <c r="B208" s="271"/>
      <c r="C208" s="277" t="s">
        <v>2166</v>
      </c>
      <c r="D208" s="278" t="s">
        <v>489</v>
      </c>
      <c r="E208" s="279">
        <v>2.0</v>
      </c>
      <c r="F208" s="221" t="s">
        <v>178</v>
      </c>
      <c r="G208" s="275"/>
      <c r="H208" s="275"/>
      <c r="I208" s="275"/>
      <c r="J208" s="276"/>
    </row>
    <row r="209" ht="45.0" customHeight="1">
      <c r="A209" s="11">
        <v>208.0</v>
      </c>
      <c r="B209" s="11" t="s">
        <v>889</v>
      </c>
      <c r="C209" s="93" t="s">
        <v>1754</v>
      </c>
      <c r="D209" s="215" t="s">
        <v>891</v>
      </c>
      <c r="E209" s="216">
        <v>10.0</v>
      </c>
      <c r="F209" s="11" t="s">
        <v>178</v>
      </c>
      <c r="G209" s="93" t="s">
        <v>1947</v>
      </c>
      <c r="H209" s="11" t="str">
        <f>IMAGE("https://encrypted-tbn0.gstatic.com/images?q=tbn:ANd9GcQ9HdcUbkhENGQnNmIni640zFk33IAUdUx_x0uluq_AFf1Hud04FBhhZQFZXM2xrHw_7W4&amp;usqp=CAU",1)</f>
        <v/>
      </c>
      <c r="I209" s="11" t="s">
        <v>1755</v>
      </c>
    </row>
    <row r="210" ht="45.0" customHeight="1">
      <c r="A210" s="11">
        <v>209.0</v>
      </c>
      <c r="B210" s="11" t="s">
        <v>894</v>
      </c>
      <c r="C210" s="93" t="s">
        <v>895</v>
      </c>
      <c r="D210" s="215" t="s">
        <v>891</v>
      </c>
      <c r="E210" s="216">
        <v>10.0</v>
      </c>
      <c r="F210" s="11" t="s">
        <v>178</v>
      </c>
      <c r="G210" s="93" t="s">
        <v>1947</v>
      </c>
      <c r="H210" s="11" t="str">
        <f>IMAGE("https://m.media-amazon.com/images/W/MEDIAX_792452-T2/images/I/612Fb4y5P6S._SL1100_.jpg",1)</f>
        <v/>
      </c>
      <c r="I210" s="11" t="s">
        <v>1756</v>
      </c>
    </row>
    <row r="211" ht="45.0" customHeight="1">
      <c r="A211" s="11">
        <v>210.0</v>
      </c>
      <c r="B211" s="222" t="s">
        <v>898</v>
      </c>
      <c r="C211" s="232" t="s">
        <v>899</v>
      </c>
      <c r="D211" s="233" t="s">
        <v>891</v>
      </c>
      <c r="E211" s="222">
        <v>1.0</v>
      </c>
      <c r="F211" s="222" t="s">
        <v>178</v>
      </c>
      <c r="G211" s="232" t="s">
        <v>1947</v>
      </c>
      <c r="H211" s="222" t="str">
        <f>IMAGE("https://robu.in/wp-content/uploads/2021/05/DC-DC-Boost-Module-0.9V5V-to-5V-600MA-USB-Step-up-Board-5V-Output-1.png",1)</f>
        <v/>
      </c>
      <c r="I211" s="222"/>
    </row>
    <row r="212" ht="45.0" customHeight="1">
      <c r="A212" s="11">
        <v>211.0</v>
      </c>
      <c r="B212" s="11" t="s">
        <v>922</v>
      </c>
      <c r="C212" s="93" t="s">
        <v>923</v>
      </c>
      <c r="D212" s="215" t="s">
        <v>891</v>
      </c>
      <c r="E212" s="216">
        <v>5.0</v>
      </c>
      <c r="F212" s="11" t="s">
        <v>178</v>
      </c>
      <c r="G212" s="93" t="s">
        <v>1947</v>
      </c>
      <c r="H212" s="11" t="str">
        <f>IMAGE("https://robu.in/wp-content/uploads/2017/06/robu-3-13.jpg",1)</f>
        <v/>
      </c>
      <c r="I212" s="250" t="s">
        <v>2090</v>
      </c>
    </row>
    <row r="213" ht="45.0" customHeight="1">
      <c r="A213" s="11">
        <v>212.0</v>
      </c>
      <c r="B213" s="11" t="s">
        <v>939</v>
      </c>
      <c r="C213" s="93" t="s">
        <v>940</v>
      </c>
      <c r="D213" s="215" t="s">
        <v>891</v>
      </c>
      <c r="E213" s="216">
        <v>5.0</v>
      </c>
      <c r="F213" s="11" t="s">
        <v>178</v>
      </c>
      <c r="G213" s="93" t="s">
        <v>1947</v>
      </c>
      <c r="H213" s="11" t="str">
        <f>IMAGE("https://robu.in/wp-content/uploads/2016/03/Ublox-Neo-6M-GPS.jpg",1)</f>
        <v/>
      </c>
      <c r="I213" s="11" t="s">
        <v>1814</v>
      </c>
    </row>
    <row r="214" ht="45.0" customHeight="1">
      <c r="A214" s="11">
        <v>213.0</v>
      </c>
      <c r="B214" s="11" t="s">
        <v>942</v>
      </c>
      <c r="C214" s="93" t="s">
        <v>943</v>
      </c>
      <c r="D214" s="215" t="s">
        <v>891</v>
      </c>
      <c r="E214" s="216">
        <v>5.0</v>
      </c>
      <c r="F214" s="11" t="s">
        <v>178</v>
      </c>
      <c r="G214" s="93" t="s">
        <v>1947</v>
      </c>
      <c r="H214" s="11" t="str">
        <f>IMAGE("https://m.media-amazon.com/images/W/MEDIAX_792452-T2/images/I/51cWZAAMiWL._SL1000_.jpg",1)</f>
        <v/>
      </c>
      <c r="I214" s="11" t="s">
        <v>1815</v>
      </c>
    </row>
    <row r="215" ht="45.0" customHeight="1">
      <c r="A215" s="11">
        <v>214.0</v>
      </c>
      <c r="B215" s="11" t="s">
        <v>946</v>
      </c>
      <c r="C215" s="93" t="s">
        <v>947</v>
      </c>
      <c r="D215" s="215" t="s">
        <v>891</v>
      </c>
      <c r="E215" s="216">
        <v>5.0</v>
      </c>
      <c r="F215" s="11" t="s">
        <v>178</v>
      </c>
      <c r="G215" s="93" t="s">
        <v>1947</v>
      </c>
      <c r="H215" s="11" t="str">
        <f>IMAGE("https://m.media-amazon.com/images/W/MEDIAX_792452-T2/images/I/61wbYlIdx0L._SL1500_.jpg",1)</f>
        <v/>
      </c>
      <c r="I215" s="11" t="s">
        <v>1819</v>
      </c>
    </row>
    <row r="216" ht="45.0" customHeight="1">
      <c r="A216" s="11">
        <v>215.0</v>
      </c>
      <c r="B216" s="11" t="s">
        <v>949</v>
      </c>
      <c r="C216" s="93" t="s">
        <v>950</v>
      </c>
      <c r="D216" s="215" t="s">
        <v>891</v>
      </c>
      <c r="E216" s="216">
        <v>10.0</v>
      </c>
      <c r="F216" s="11" t="s">
        <v>178</v>
      </c>
      <c r="G216" s="93" t="s">
        <v>1947</v>
      </c>
      <c r="H216" s="11" t="str">
        <f>IMAGE("https://5.imimg.com/data5/SELLER/Default/2022/9/HX/YZ/GJ/43948449/micro-sd-card-adapter-with-level-shifter-500x500.png",1)</f>
        <v/>
      </c>
      <c r="I216" s="11" t="s">
        <v>1809</v>
      </c>
    </row>
    <row r="217" ht="45.0" customHeight="1">
      <c r="A217" s="11">
        <v>216.0</v>
      </c>
      <c r="B217" s="11" t="s">
        <v>953</v>
      </c>
      <c r="C217" s="93" t="s">
        <v>1958</v>
      </c>
      <c r="D217" s="215" t="s">
        <v>891</v>
      </c>
      <c r="E217" s="216">
        <v>10.0</v>
      </c>
      <c r="F217" s="11" t="s">
        <v>178</v>
      </c>
      <c r="G217" s="93" t="s">
        <v>1947</v>
      </c>
      <c r="H217" s="11" t="str">
        <f>IMAGE("https://robu.in/wp-content/uploads/2020/09/L298P-Motor-Driver-Shield-for-Arduino-3.jpg",1)</f>
        <v/>
      </c>
      <c r="I217" s="221" t="s">
        <v>2061</v>
      </c>
    </row>
    <row r="218" ht="45.0" customHeight="1">
      <c r="A218" s="11">
        <v>217.0</v>
      </c>
      <c r="B218" s="11" t="s">
        <v>957</v>
      </c>
      <c r="C218" s="93" t="s">
        <v>1760</v>
      </c>
      <c r="D218" s="215" t="s">
        <v>891</v>
      </c>
      <c r="E218" s="216">
        <v>5.0</v>
      </c>
      <c r="F218" s="11" t="s">
        <v>178</v>
      </c>
      <c r="G218" s="93" t="s">
        <v>1947</v>
      </c>
      <c r="H218" s="11" t="str">
        <f>IMAGE("https://m.media-amazon.com/images/I/41Y-5b4TQcL.jpg",1)</f>
        <v/>
      </c>
      <c r="I218" s="11" t="s">
        <v>1761</v>
      </c>
    </row>
    <row r="219" ht="45.0" customHeight="1">
      <c r="A219" s="11">
        <v>218.0</v>
      </c>
      <c r="B219" s="11" t="s">
        <v>961</v>
      </c>
      <c r="C219" s="93" t="s">
        <v>962</v>
      </c>
      <c r="D219" s="215" t="s">
        <v>891</v>
      </c>
      <c r="E219" s="216">
        <v>10.0</v>
      </c>
      <c r="F219" s="11" t="s">
        <v>178</v>
      </c>
      <c r="G219" s="93" t="s">
        <v>1947</v>
      </c>
      <c r="H219" s="11" t="str">
        <f>IMAGE("https://robu.in/wp-content/uploads/2016/02/617hpF6cJbL._SL1000_.jpg",1)</f>
        <v/>
      </c>
      <c r="I219" s="221" t="s">
        <v>2093</v>
      </c>
    </row>
    <row r="220" ht="45.0" customHeight="1">
      <c r="A220" s="11">
        <v>219.0</v>
      </c>
      <c r="B220" s="11" t="s">
        <v>918</v>
      </c>
      <c r="C220" s="93" t="s">
        <v>1820</v>
      </c>
      <c r="D220" s="215" t="s">
        <v>891</v>
      </c>
      <c r="E220" s="216">
        <v>10.0</v>
      </c>
      <c r="F220" s="11" t="s">
        <v>178</v>
      </c>
      <c r="G220" s="93" t="s">
        <v>1905</v>
      </c>
      <c r="H220" s="11" t="str">
        <f>IMAGE("https://rukminim1.flixcart.com/image/850/1000/k62i5jk0/solar-panel/7/g/q/diy-projects-6v-80ma-wire-attached-mini-power-solar-cells-for-original-imafzm93vcqqnsat.jpeg?q=20")</f>
        <v/>
      </c>
      <c r="I220" s="221" t="s">
        <v>1830</v>
      </c>
    </row>
    <row r="221" ht="45.0" customHeight="1">
      <c r="A221" s="11">
        <v>220.0</v>
      </c>
      <c r="B221" s="11" t="s">
        <v>933</v>
      </c>
      <c r="C221" s="93" t="s">
        <v>934</v>
      </c>
      <c r="D221" s="215" t="s">
        <v>891</v>
      </c>
      <c r="E221" s="11">
        <v>15.0</v>
      </c>
      <c r="F221" s="11" t="s">
        <v>178</v>
      </c>
      <c r="G221" s="93" t="s">
        <v>1909</v>
      </c>
      <c r="H221" s="11" t="str">
        <f>IMAGE("https://robu.in/wp-content/uploads/2020/10/TP4056-1A-Li-ion-lithium-Battery-Charging-Module-With-Current-Protection-Type-C-2.png",1)</f>
        <v/>
      </c>
      <c r="I221" s="222"/>
    </row>
    <row r="222" ht="45.0" customHeight="1">
      <c r="A222" s="11">
        <v>221.0</v>
      </c>
      <c r="B222" s="11" t="s">
        <v>906</v>
      </c>
      <c r="C222" s="93" t="s">
        <v>1955</v>
      </c>
      <c r="D222" s="215" t="s">
        <v>891</v>
      </c>
      <c r="E222" s="216">
        <v>10.0</v>
      </c>
      <c r="F222" s="11" t="s">
        <v>178</v>
      </c>
      <c r="G222" s="93" t="s">
        <v>1956</v>
      </c>
      <c r="H222" s="11" t="str">
        <f>IMAGE("https://5.imimg.com/data5/II/UT/SO/SELLER-1968074/16x2-lcd-display-500x500.jpg",1)</f>
        <v/>
      </c>
      <c r="I222" s="221" t="s">
        <v>2088</v>
      </c>
    </row>
    <row r="223" ht="45.0" customHeight="1">
      <c r="A223" s="11">
        <v>222.0</v>
      </c>
      <c r="B223" s="11" t="s">
        <v>914</v>
      </c>
      <c r="C223" s="93" t="s">
        <v>1811</v>
      </c>
      <c r="D223" s="215" t="s">
        <v>891</v>
      </c>
      <c r="E223" s="216">
        <v>10.0</v>
      </c>
      <c r="F223" s="11" t="s">
        <v>178</v>
      </c>
      <c r="G223" s="93" t="s">
        <v>1956</v>
      </c>
      <c r="H223" s="11" t="str">
        <f>IMAGE("https://m.media-amazon.com/images/I/51l+Qhaiu3L._SL1000_.jpg",1)</f>
        <v/>
      </c>
      <c r="I223" s="11" t="s">
        <v>1812</v>
      </c>
    </row>
    <row r="224" ht="45.0" customHeight="1">
      <c r="A224" s="11">
        <v>223.0</v>
      </c>
      <c r="B224" s="11" t="s">
        <v>910</v>
      </c>
      <c r="C224" s="93" t="s">
        <v>911</v>
      </c>
      <c r="D224" s="215" t="s">
        <v>891</v>
      </c>
      <c r="E224" s="216">
        <v>20.0</v>
      </c>
      <c r="F224" s="11" t="s">
        <v>178</v>
      </c>
      <c r="G224" s="93" t="s">
        <v>1903</v>
      </c>
      <c r="H224" s="11" t="str">
        <f>IMAGE("https://ashokaonlineshop.in/wp-content/uploads/2022/11/650nm-Mini-Laser-Dot-Diode-Module1.jpeg",1)</f>
        <v/>
      </c>
      <c r="I224" s="11" t="s">
        <v>1752</v>
      </c>
    </row>
    <row r="225" ht="45.0" customHeight="1">
      <c r="A225" s="11">
        <v>224.0</v>
      </c>
      <c r="B225" s="11" t="s">
        <v>902</v>
      </c>
      <c r="C225" s="93" t="s">
        <v>903</v>
      </c>
      <c r="D225" s="215" t="s">
        <v>891</v>
      </c>
      <c r="E225" s="216">
        <v>5.0</v>
      </c>
      <c r="F225" s="11" t="s">
        <v>178</v>
      </c>
      <c r="G225" s="93" t="s">
        <v>1954</v>
      </c>
      <c r="H225" s="11" t="str">
        <f>IMAGE("https://makerbazar.in/cdn/shop/files/6015fanwithwire_600x.jpg?v=1695792315",1)</f>
        <v/>
      </c>
      <c r="I225" s="11" t="s">
        <v>2087</v>
      </c>
    </row>
    <row r="226" ht="45.0" customHeight="1">
      <c r="A226" s="11">
        <v>225.0</v>
      </c>
      <c r="B226" s="11" t="s">
        <v>929</v>
      </c>
      <c r="C226" s="93" t="s">
        <v>930</v>
      </c>
      <c r="D226" s="215" t="s">
        <v>891</v>
      </c>
      <c r="E226" s="216">
        <v>10.0</v>
      </c>
      <c r="F226" s="11" t="s">
        <v>178</v>
      </c>
      <c r="G226" s="93" t="s">
        <v>1954</v>
      </c>
      <c r="H226" s="11" t="str">
        <f>IMAGE("https://5.imimg.com/data5/SELLER/Default/2023/2/OP/GV/HH/182244990/water-pump-module-1000x1000.jpg",1)</f>
        <v/>
      </c>
      <c r="I226" s="11" t="s">
        <v>2092</v>
      </c>
    </row>
    <row r="227" ht="45.0" customHeight="1">
      <c r="A227" s="11">
        <v>226.0</v>
      </c>
      <c r="B227" s="11" t="s">
        <v>926</v>
      </c>
      <c r="C227" s="93" t="s">
        <v>927</v>
      </c>
      <c r="D227" s="215" t="s">
        <v>891</v>
      </c>
      <c r="E227" s="216">
        <v>10.0</v>
      </c>
      <c r="F227" s="11" t="s">
        <v>178</v>
      </c>
      <c r="G227" s="93" t="s">
        <v>1941</v>
      </c>
      <c r="H227" s="11" t="str">
        <f>IMAGE("https://robu.in/wp-content/uploads/2021/05/0.5W-8OHM-Trumpet-Diameter-36mm-1.jpeg",1)</f>
        <v/>
      </c>
      <c r="I227" s="11" t="s">
        <v>2091</v>
      </c>
    </row>
    <row r="228" ht="45.0" customHeight="1">
      <c r="A228" s="11">
        <v>227.0</v>
      </c>
      <c r="B228" s="271"/>
      <c r="C228" s="272" t="s">
        <v>2167</v>
      </c>
      <c r="D228" s="273" t="s">
        <v>891</v>
      </c>
      <c r="E228" s="274">
        <v>10.0</v>
      </c>
      <c r="F228" s="280" t="s">
        <v>178</v>
      </c>
      <c r="G228" s="275"/>
      <c r="H228" s="275"/>
      <c r="I228" s="275"/>
      <c r="J228" s="276"/>
    </row>
    <row r="229" ht="45.0" customHeight="1">
      <c r="A229" s="11">
        <v>228.0</v>
      </c>
      <c r="B229" s="271"/>
      <c r="C229" s="272" t="s">
        <v>2168</v>
      </c>
      <c r="D229" s="273" t="s">
        <v>891</v>
      </c>
      <c r="E229" s="274">
        <v>10.0</v>
      </c>
      <c r="F229" s="280" t="s">
        <v>178</v>
      </c>
      <c r="G229" s="275"/>
      <c r="H229" s="275"/>
      <c r="I229" s="275"/>
      <c r="J229" s="276"/>
    </row>
    <row r="230" ht="45.0" customHeight="1">
      <c r="A230" s="11">
        <v>229.0</v>
      </c>
      <c r="B230" s="271"/>
      <c r="C230" s="272" t="s">
        <v>2169</v>
      </c>
      <c r="D230" s="273" t="s">
        <v>891</v>
      </c>
      <c r="E230" s="274">
        <v>10.0</v>
      </c>
      <c r="F230" s="280" t="s">
        <v>178</v>
      </c>
      <c r="G230" s="275"/>
      <c r="H230" s="275"/>
      <c r="I230" s="275"/>
      <c r="J230" s="276"/>
    </row>
    <row r="231" ht="45.0" customHeight="1">
      <c r="A231" s="11">
        <v>230.0</v>
      </c>
      <c r="B231" s="271"/>
      <c r="C231" s="272" t="s">
        <v>2170</v>
      </c>
      <c r="D231" s="273" t="s">
        <v>891</v>
      </c>
      <c r="E231" s="274">
        <v>4.0</v>
      </c>
      <c r="F231" s="280" t="s">
        <v>178</v>
      </c>
      <c r="G231" s="275"/>
      <c r="H231" s="275"/>
      <c r="I231" s="275"/>
      <c r="J231" s="276"/>
    </row>
    <row r="232" ht="45.0" customHeight="1">
      <c r="A232" s="11">
        <v>231.0</v>
      </c>
      <c r="B232" s="11" t="s">
        <v>1512</v>
      </c>
      <c r="C232" s="93" t="s">
        <v>1767</v>
      </c>
      <c r="D232" s="269" t="s">
        <v>891</v>
      </c>
      <c r="E232" s="216">
        <v>10.0</v>
      </c>
      <c r="F232" s="11" t="s">
        <v>178</v>
      </c>
      <c r="G232" s="215" t="s">
        <v>1514</v>
      </c>
      <c r="H232" s="11" t="str">
        <f>IMAGE("https://m.media-amazon.com/images/I/61PFvg8BbeL._SL1500_.jpg",1)</f>
        <v/>
      </c>
      <c r="I232" s="11" t="s">
        <v>1768</v>
      </c>
    </row>
    <row r="233" ht="45.0" customHeight="1">
      <c r="A233" s="11">
        <v>232.0</v>
      </c>
      <c r="B233" s="11" t="s">
        <v>1248</v>
      </c>
      <c r="C233" s="93" t="s">
        <v>1249</v>
      </c>
      <c r="D233" s="215" t="s">
        <v>1250</v>
      </c>
      <c r="E233" s="281">
        <v>5.0</v>
      </c>
      <c r="F233" s="11" t="s">
        <v>178</v>
      </c>
      <c r="G233" s="93" t="s">
        <v>1964</v>
      </c>
      <c r="H233" s="11" t="str">
        <f>IMAGE("https://www.atel-electronics.eu/pic_cache/10/06158.jpg",1)</f>
        <v/>
      </c>
      <c r="I233" s="11" t="s">
        <v>2123</v>
      </c>
    </row>
    <row r="234" ht="45.0" customHeight="1">
      <c r="A234" s="11">
        <v>233.0</v>
      </c>
      <c r="B234" s="11" t="s">
        <v>1253</v>
      </c>
      <c r="C234" s="93" t="s">
        <v>1254</v>
      </c>
      <c r="D234" s="215" t="s">
        <v>1250</v>
      </c>
      <c r="E234" s="216">
        <v>1.0</v>
      </c>
      <c r="F234" s="11" t="s">
        <v>178</v>
      </c>
      <c r="G234" s="93" t="s">
        <v>1964</v>
      </c>
      <c r="H234" s="11" t="str">
        <f>IMAGE("https://in.element14.com/productimages/large/en_GB/IN07444-40.jpg",1)</f>
        <v/>
      </c>
      <c r="I234" s="11" t="s">
        <v>2123</v>
      </c>
    </row>
    <row r="235" ht="45.0" customHeight="1">
      <c r="A235" s="11">
        <v>234.0</v>
      </c>
      <c r="B235" s="11" t="s">
        <v>1257</v>
      </c>
      <c r="C235" s="93" t="s">
        <v>1258</v>
      </c>
      <c r="D235" s="215" t="s">
        <v>1250</v>
      </c>
      <c r="E235" s="216">
        <v>1.0</v>
      </c>
      <c r="F235" s="11" t="s">
        <v>178</v>
      </c>
      <c r="G235" s="93" t="s">
        <v>1964</v>
      </c>
      <c r="H235" s="11" t="str">
        <f>IMAGE("https://m.media-amazon.com/images/I/51LxodXCiyS._SL1000_.jpg",1)</f>
        <v/>
      </c>
      <c r="I235" s="11" t="s">
        <v>2104</v>
      </c>
    </row>
    <row r="236" ht="45.0" customHeight="1">
      <c r="A236" s="11">
        <v>235.0</v>
      </c>
      <c r="B236" s="11" t="s">
        <v>1261</v>
      </c>
      <c r="C236" s="93" t="s">
        <v>1262</v>
      </c>
      <c r="D236" s="215" t="s">
        <v>1250</v>
      </c>
      <c r="E236" s="216">
        <v>1.0</v>
      </c>
      <c r="F236" s="11" t="s">
        <v>178</v>
      </c>
      <c r="G236" s="93" t="s">
        <v>1907</v>
      </c>
      <c r="H236" s="11" t="str">
        <f>IMAGE("https://m.media-amazon.com/images/I/61WLNOGJ4JS.jpg")</f>
        <v/>
      </c>
      <c r="I236" s="222" t="s">
        <v>2104</v>
      </c>
    </row>
    <row r="237" ht="45.0" customHeight="1">
      <c r="A237" s="11">
        <v>236.0</v>
      </c>
      <c r="B237" s="11" t="s">
        <v>1265</v>
      </c>
      <c r="C237" s="93" t="s">
        <v>1266</v>
      </c>
      <c r="D237" s="215" t="s">
        <v>1250</v>
      </c>
      <c r="E237" s="216">
        <v>1.0</v>
      </c>
      <c r="F237" s="11" t="s">
        <v>178</v>
      </c>
      <c r="G237" s="93" t="s">
        <v>1628</v>
      </c>
      <c r="H237" s="11" t="str">
        <f>IMAGE("https://cdn.shopify.com/s/files/1/0559/1970/6265/products/4_61325b1b-840f-41dd-a6d9-0ddb00c5c7bc_1024x1024@2x.png?v=1670588177",1)</f>
        <v/>
      </c>
      <c r="I237" s="11" t="s">
        <v>2104</v>
      </c>
    </row>
    <row r="238" ht="45.0" customHeight="1">
      <c r="A238" s="11">
        <v>237.0</v>
      </c>
      <c r="B238" s="11" t="s">
        <v>1328</v>
      </c>
      <c r="C238" s="93" t="s">
        <v>1329</v>
      </c>
      <c r="D238" s="215" t="s">
        <v>1330</v>
      </c>
      <c r="E238" s="11">
        <v>100.0</v>
      </c>
      <c r="F238" s="11" t="s">
        <v>178</v>
      </c>
      <c r="G238" s="93" t="s">
        <v>1331</v>
      </c>
      <c r="H238" s="11" t="str">
        <f>IMAGE("https://m.media-amazon.com/images/I/61vUDUTouNL._SL1500_.jpg",1)</f>
        <v/>
      </c>
      <c r="I238" s="221" t="s">
        <v>2126</v>
      </c>
    </row>
    <row r="239" ht="45.0" customHeight="1">
      <c r="A239" s="11">
        <v>238.0</v>
      </c>
      <c r="B239" s="11" t="s">
        <v>1334</v>
      </c>
      <c r="C239" s="93" t="s">
        <v>1335</v>
      </c>
      <c r="D239" s="215" t="s">
        <v>1330</v>
      </c>
      <c r="E239" s="11">
        <v>100.0</v>
      </c>
      <c r="F239" s="11" t="s">
        <v>178</v>
      </c>
      <c r="G239" s="93" t="s">
        <v>1331</v>
      </c>
      <c r="H239" s="11" t="str">
        <f>IMAGE("https://m.media-amazon.com/images/I/31ye7Xw2PpL.jpg",1)</f>
        <v/>
      </c>
      <c r="I239" s="221" t="s">
        <v>2126</v>
      </c>
    </row>
    <row r="240" ht="45.0" customHeight="1">
      <c r="A240" s="11">
        <v>239.0</v>
      </c>
      <c r="B240" s="11" t="s">
        <v>1338</v>
      </c>
      <c r="C240" s="93" t="s">
        <v>1339</v>
      </c>
      <c r="D240" s="215" t="s">
        <v>1330</v>
      </c>
      <c r="E240" s="11">
        <v>10.0</v>
      </c>
      <c r="F240" s="11" t="s">
        <v>178</v>
      </c>
      <c r="G240" s="93" t="s">
        <v>1331</v>
      </c>
      <c r="H240" s="11" t="str">
        <f>IMAGE("https://m.media-amazon.com/images/I/414cC-M+nlL._SL1000_.jpg",1)</f>
        <v/>
      </c>
      <c r="I240" s="11" t="s">
        <v>2127</v>
      </c>
    </row>
    <row r="241" ht="45.0" customHeight="1">
      <c r="A241" s="11">
        <v>240.0</v>
      </c>
      <c r="B241" s="11" t="s">
        <v>1343</v>
      </c>
      <c r="C241" s="93" t="s">
        <v>1344</v>
      </c>
      <c r="D241" s="215" t="s">
        <v>1330</v>
      </c>
      <c r="E241" s="11">
        <v>100.0</v>
      </c>
      <c r="F241" s="11" t="s">
        <v>178</v>
      </c>
      <c r="G241" s="93" t="s">
        <v>1331</v>
      </c>
      <c r="H241" s="11" t="str">
        <f>IMAGE("https://m.media-amazon.com/images/I/31nb9BadkoL.jpg",1)</f>
        <v/>
      </c>
      <c r="I241" s="221" t="s">
        <v>2126</v>
      </c>
    </row>
    <row r="242" ht="45.0" customHeight="1">
      <c r="A242" s="11">
        <v>241.0</v>
      </c>
      <c r="B242" s="11" t="s">
        <v>1357</v>
      </c>
      <c r="C242" s="93" t="s">
        <v>1358</v>
      </c>
      <c r="D242" s="215" t="s">
        <v>1359</v>
      </c>
      <c r="E242" s="216">
        <v>15.0</v>
      </c>
      <c r="F242" s="11" t="s">
        <v>178</v>
      </c>
      <c r="G242" s="93" t="s">
        <v>1954</v>
      </c>
      <c r="H242" s="11" t="str">
        <f>IMAGE("https://robu.in/wp-content/uploads/2017/11/mg995-high-speed-digital-metal-gear-2bb-torque-rc-for-servo-hpi-savage-xl-2.jpg",1)</f>
        <v/>
      </c>
      <c r="I242" s="11" t="s">
        <v>2129</v>
      </c>
    </row>
    <row r="243" ht="45.0" customHeight="1">
      <c r="A243" s="11">
        <v>242.0</v>
      </c>
      <c r="B243" s="11" t="s">
        <v>1362</v>
      </c>
      <c r="C243" s="93" t="s">
        <v>1363</v>
      </c>
      <c r="D243" s="215" t="s">
        <v>1359</v>
      </c>
      <c r="E243" s="216">
        <v>30.0</v>
      </c>
      <c r="F243" s="11" t="s">
        <v>178</v>
      </c>
      <c r="G243" s="93" t="s">
        <v>1954</v>
      </c>
      <c r="H243" s="11" t="str">
        <f t="shared" ref="H243:H244" si="13">IMAGE("https://m.media-amazon.com/images/W/MEDIAX_792452-T2/images/I/21bgQSzvxLL.jpg",1)</f>
        <v/>
      </c>
      <c r="I243" s="11" t="s">
        <v>2130</v>
      </c>
    </row>
    <row r="244" ht="45.0" customHeight="1">
      <c r="A244" s="11">
        <v>243.0</v>
      </c>
      <c r="B244" s="11" t="s">
        <v>1366</v>
      </c>
      <c r="C244" s="93" t="s">
        <v>1367</v>
      </c>
      <c r="D244" s="215" t="s">
        <v>1359</v>
      </c>
      <c r="E244" s="216">
        <v>30.0</v>
      </c>
      <c r="F244" s="11" t="s">
        <v>178</v>
      </c>
      <c r="G244" s="93" t="s">
        <v>1954</v>
      </c>
      <c r="H244" s="11" t="str">
        <f t="shared" si="13"/>
        <v/>
      </c>
      <c r="I244" s="11" t="s">
        <v>2131</v>
      </c>
    </row>
    <row r="245" ht="45.0" customHeight="1">
      <c r="A245" s="11">
        <v>244.0</v>
      </c>
      <c r="B245" s="11" t="s">
        <v>1371</v>
      </c>
      <c r="C245" s="93" t="s">
        <v>1372</v>
      </c>
      <c r="D245" s="215" t="s">
        <v>1359</v>
      </c>
      <c r="E245" s="216">
        <v>30.0</v>
      </c>
      <c r="F245" s="11" t="s">
        <v>178</v>
      </c>
      <c r="G245" s="93" t="s">
        <v>1954</v>
      </c>
      <c r="H245" s="11" t="str">
        <f>IMAGE("https://5.imimg.com/data5/DJ/PF/TV/SELLER-95692783/bo-wheel-500x500.jpg",1)</f>
        <v/>
      </c>
      <c r="I245" s="11" t="s">
        <v>2132</v>
      </c>
    </row>
    <row r="246" ht="45.0" customHeight="1">
      <c r="A246" s="11">
        <v>245.0</v>
      </c>
      <c r="B246" s="11" t="s">
        <v>1375</v>
      </c>
      <c r="C246" s="93" t="s">
        <v>1376</v>
      </c>
      <c r="D246" s="215" t="s">
        <v>1359</v>
      </c>
      <c r="E246" s="216">
        <v>20.0</v>
      </c>
      <c r="F246" s="11" t="s">
        <v>178</v>
      </c>
      <c r="G246" s="93" t="s">
        <v>1954</v>
      </c>
      <c r="H246" s="11" t="str">
        <f>IMAGE("https://aryabot.in/wp-content/uploads/2023/10/castor-wheel-big-550x550w.webp",1)</f>
        <v/>
      </c>
      <c r="I246" s="11" t="s">
        <v>2133</v>
      </c>
    </row>
    <row r="247" ht="45.0" customHeight="1">
      <c r="A247" s="11">
        <v>246.0</v>
      </c>
      <c r="B247" s="11" t="s">
        <v>1379</v>
      </c>
      <c r="C247" s="93" t="s">
        <v>1380</v>
      </c>
      <c r="D247" s="215" t="s">
        <v>1359</v>
      </c>
      <c r="E247" s="216">
        <v>10.0</v>
      </c>
      <c r="F247" s="11" t="s">
        <v>178</v>
      </c>
      <c r="G247" s="93" t="s">
        <v>1954</v>
      </c>
      <c r="H247" s="11" t="str">
        <f>IMAGE("https://robu.in/wp-content/uploads/2020/09/DC3-6V-130-DIY-Toy-Motor-2-Pcs.-1.png",1)</f>
        <v/>
      </c>
      <c r="I247" s="221" t="s">
        <v>1831</v>
      </c>
    </row>
    <row r="248" ht="45.0" customHeight="1">
      <c r="A248" s="11">
        <v>247.0</v>
      </c>
      <c r="B248" s="11" t="s">
        <v>1383</v>
      </c>
      <c r="C248" s="93" t="s">
        <v>1384</v>
      </c>
      <c r="D248" s="215" t="s">
        <v>1359</v>
      </c>
      <c r="E248" s="216">
        <v>30.0</v>
      </c>
      <c r="F248" s="11" t="s">
        <v>178</v>
      </c>
      <c r="G248" s="93" t="s">
        <v>1954</v>
      </c>
      <c r="H248" s="11" t="str">
        <f>IMAGE("https://i0.wp.com/www.circuituncle.com/wp-content/uploads/2019/10/mg90s.png?fit=1001%2C1001&amp;ssl=1",1)</f>
        <v/>
      </c>
      <c r="I248" s="11" t="s">
        <v>2129</v>
      </c>
    </row>
    <row r="249" ht="45.0" customHeight="1">
      <c r="A249" s="11">
        <v>248.0</v>
      </c>
      <c r="B249" s="11" t="s">
        <v>1387</v>
      </c>
      <c r="C249" s="93" t="s">
        <v>1388</v>
      </c>
      <c r="D249" s="215" t="s">
        <v>1359</v>
      </c>
      <c r="E249" s="216">
        <v>5.0</v>
      </c>
      <c r="F249" s="11" t="s">
        <v>178</v>
      </c>
      <c r="G249" s="93" t="s">
        <v>1954</v>
      </c>
      <c r="H249" s="11" t="str">
        <f>IMAGE("https://robu.in/wp-content/uploads/2016/04/61nEdk-NxSL._SY355_.jpg",1)</f>
        <v/>
      </c>
      <c r="I249" s="221" t="s">
        <v>1823</v>
      </c>
    </row>
    <row r="250" ht="45.0" customHeight="1">
      <c r="A250" s="11">
        <v>249.0</v>
      </c>
      <c r="B250" s="11" t="s">
        <v>1390</v>
      </c>
      <c r="C250" s="93" t="s">
        <v>1391</v>
      </c>
      <c r="D250" s="215" t="s">
        <v>1359</v>
      </c>
      <c r="E250" s="237">
        <v>21.0</v>
      </c>
      <c r="F250" s="11" t="s">
        <v>178</v>
      </c>
      <c r="G250" s="93" t="s">
        <v>1954</v>
      </c>
      <c r="H250" s="11" t="str">
        <f>IMAGE("https://robu.in/wp-content/uploads/2023/09/34.jpg",1)</f>
        <v/>
      </c>
      <c r="I250" s="256" t="s">
        <v>2134</v>
      </c>
    </row>
    <row r="251" ht="45.0" customHeight="1">
      <c r="A251" s="11">
        <v>250.0</v>
      </c>
      <c r="B251" s="11" t="s">
        <v>1394</v>
      </c>
      <c r="C251" s="93" t="s">
        <v>1395</v>
      </c>
      <c r="D251" s="215" t="s">
        <v>1359</v>
      </c>
      <c r="E251" s="216">
        <v>15.0</v>
      </c>
      <c r="F251" s="11" t="s">
        <v>178</v>
      </c>
      <c r="G251" s="93" t="s">
        <v>1954</v>
      </c>
      <c r="H251" s="11" t="str">
        <f>IMAGE("https://cdn.shopify.com/s/files/1/0088/0056/7392/products/Stepper_motor_with_Driver_board.jpg?v=1552579276",1)</f>
        <v/>
      </c>
      <c r="I251" s="11" t="s">
        <v>2135</v>
      </c>
    </row>
    <row r="252" ht="45.0" customHeight="1">
      <c r="A252" s="11">
        <v>251.0</v>
      </c>
      <c r="B252" s="11" t="s">
        <v>1517</v>
      </c>
      <c r="C252" s="93" t="s">
        <v>1824</v>
      </c>
      <c r="D252" s="215" t="s">
        <v>1514</v>
      </c>
      <c r="E252" s="216">
        <v>5.0</v>
      </c>
      <c r="F252" s="11" t="s">
        <v>178</v>
      </c>
      <c r="G252" s="215" t="s">
        <v>1514</v>
      </c>
      <c r="H252" s="11" t="str">
        <f>IMAGE("https://robu.in/wp-content/uploads/2017/06/31100-2.jpg",1)</f>
        <v/>
      </c>
      <c r="I252" s="221" t="s">
        <v>1774</v>
      </c>
    </row>
    <row r="253" ht="45.0" customHeight="1">
      <c r="A253" s="11">
        <v>252.0</v>
      </c>
      <c r="B253" s="11" t="s">
        <v>1521</v>
      </c>
      <c r="C253" s="93" t="s">
        <v>1744</v>
      </c>
      <c r="D253" s="215" t="s">
        <v>1514</v>
      </c>
      <c r="E253" s="216">
        <v>5.0</v>
      </c>
      <c r="F253" s="11" t="s">
        <v>178</v>
      </c>
      <c r="G253" s="215" t="s">
        <v>1514</v>
      </c>
      <c r="H253" s="11" t="str">
        <f>IMAGE("https://m.media-amazon.com/images/W/MEDIAX_792452-T2/images/I/71PSVpNRPuL._SL1500_.jpg",1)</f>
        <v/>
      </c>
      <c r="I253" s="221" t="s">
        <v>1766</v>
      </c>
    </row>
    <row r="254" ht="45.0" customHeight="1">
      <c r="A254" s="11">
        <v>253.0</v>
      </c>
      <c r="B254" s="11" t="s">
        <v>1525</v>
      </c>
      <c r="C254" s="93" t="s">
        <v>1526</v>
      </c>
      <c r="D254" s="215" t="s">
        <v>1514</v>
      </c>
      <c r="E254" s="216">
        <v>5.0</v>
      </c>
      <c r="F254" s="11" t="s">
        <v>178</v>
      </c>
      <c r="G254" s="215" t="s">
        <v>1514</v>
      </c>
      <c r="H254" s="11" t="str">
        <f>IMAGE("https://robu.in/wp-content/uploads/2016/08/2-1.jpg",1)</f>
        <v/>
      </c>
      <c r="I254" s="11" t="s">
        <v>1784</v>
      </c>
    </row>
    <row r="255" ht="45.0" customHeight="1">
      <c r="A255" s="11">
        <v>254.0</v>
      </c>
      <c r="B255" s="11" t="s">
        <v>1529</v>
      </c>
      <c r="C255" s="93" t="s">
        <v>1530</v>
      </c>
      <c r="D255" s="215" t="s">
        <v>1514</v>
      </c>
      <c r="E255" s="216">
        <v>5.0</v>
      </c>
      <c r="F255" s="11" t="s">
        <v>178</v>
      </c>
      <c r="G255" s="215" t="s">
        <v>1514</v>
      </c>
      <c r="H255" s="11" t="str">
        <f>IMAGE("https://5.imimg.com/data5/SELLER/Default/2023/1/KQ/RE/WN/37611021/unique-india-force-pressure-sensor-square-500x500.jpg",1)</f>
        <v/>
      </c>
      <c r="I255" s="11" t="s">
        <v>1783</v>
      </c>
    </row>
    <row r="256" ht="45.0" customHeight="1">
      <c r="A256" s="11">
        <v>255.0</v>
      </c>
      <c r="B256" s="11" t="s">
        <v>1533</v>
      </c>
      <c r="C256" s="93" t="s">
        <v>1781</v>
      </c>
      <c r="D256" s="215" t="s">
        <v>1514</v>
      </c>
      <c r="E256" s="216">
        <v>10.0</v>
      </c>
      <c r="F256" s="11" t="s">
        <v>178</v>
      </c>
      <c r="G256" s="215" t="s">
        <v>1514</v>
      </c>
      <c r="H256" s="11" t="str">
        <f>IMAGE("https://m.media-amazon.com/images/W/MEDIAX_792452-T2/images/I/61e+2rew8OL._SL1011_.jpg",1)</f>
        <v/>
      </c>
      <c r="I256" s="11" t="s">
        <v>1782</v>
      </c>
    </row>
    <row r="257" ht="45.0" customHeight="1">
      <c r="A257" s="11">
        <v>256.0</v>
      </c>
      <c r="B257" s="11" t="s">
        <v>1537</v>
      </c>
      <c r="C257" s="93" t="s">
        <v>1791</v>
      </c>
      <c r="D257" s="215" t="s">
        <v>1514</v>
      </c>
      <c r="E257" s="216">
        <v>5.0</v>
      </c>
      <c r="F257" s="11" t="s">
        <v>178</v>
      </c>
      <c r="G257" s="215" t="s">
        <v>1514</v>
      </c>
      <c r="H257" s="11" t="str">
        <f>IMAGE("https://makerbazar.in/cdn/shop/products/IR_transmitter-receiver_-_TSOP_1738_600x.jpg?v=1582114496",1)</f>
        <v/>
      </c>
      <c r="I257" s="11" t="s">
        <v>1788</v>
      </c>
    </row>
    <row r="258" ht="45.0" customHeight="1">
      <c r="A258" s="11">
        <v>257.0</v>
      </c>
      <c r="B258" s="11" t="s">
        <v>1541</v>
      </c>
      <c r="C258" s="93" t="s">
        <v>1786</v>
      </c>
      <c r="D258" s="215" t="s">
        <v>1514</v>
      </c>
      <c r="E258" s="216">
        <v>5.0</v>
      </c>
      <c r="F258" s="11" t="s">
        <v>178</v>
      </c>
      <c r="G258" s="215" t="s">
        <v>1514</v>
      </c>
      <c r="H258" s="11" t="str">
        <f>IMAGE("https://makerbazar.in/cdn/shop/products/IR-Array_2048x2048_29f53719-c65f-4f67-a7f9-06b99966bf49_400x.jpg?v=1628014848",1)</f>
        <v/>
      </c>
      <c r="I258" s="11" t="s">
        <v>1787</v>
      </c>
    </row>
    <row r="259" ht="45.0" customHeight="1">
      <c r="A259" s="11">
        <v>258.0</v>
      </c>
      <c r="B259" s="11" t="s">
        <v>1545</v>
      </c>
      <c r="C259" s="93" t="s">
        <v>1546</v>
      </c>
      <c r="D259" s="215" t="s">
        <v>1514</v>
      </c>
      <c r="E259" s="216">
        <v>10.0</v>
      </c>
      <c r="F259" s="11" t="s">
        <v>178</v>
      </c>
      <c r="G259" s="215" t="s">
        <v>1514</v>
      </c>
      <c r="H259" s="11" t="str">
        <f>IMAGE("https://robu.in/wp-content/uploads/2017/05/LDR-module-1.png",1)</f>
        <v/>
      </c>
      <c r="I259" s="11" t="s">
        <v>1782</v>
      </c>
    </row>
    <row r="260" ht="45.0" customHeight="1">
      <c r="A260" s="11">
        <v>259.0</v>
      </c>
      <c r="B260" s="11" t="s">
        <v>1549</v>
      </c>
      <c r="C260" s="93" t="s">
        <v>1775</v>
      </c>
      <c r="D260" s="215" t="s">
        <v>1514</v>
      </c>
      <c r="E260" s="216">
        <v>5.0</v>
      </c>
      <c r="F260" s="11" t="s">
        <v>178</v>
      </c>
      <c r="G260" s="215" t="s">
        <v>1514</v>
      </c>
      <c r="H260" s="253" t="str">
        <f>IMAGE("https://m.media-amazon.com/images/W/MEDIAX_792452-T2/images/I/7158I82c4bL._SL1500_.jpg",1)</f>
        <v/>
      </c>
      <c r="I260" s="11" t="s">
        <v>1776</v>
      </c>
    </row>
    <row r="261" ht="45.0" customHeight="1">
      <c r="A261" s="11">
        <v>260.0</v>
      </c>
      <c r="B261" s="11" t="s">
        <v>1553</v>
      </c>
      <c r="C261" s="93" t="s">
        <v>1822</v>
      </c>
      <c r="D261" s="215" t="s">
        <v>1514</v>
      </c>
      <c r="E261" s="216">
        <v>5.0</v>
      </c>
      <c r="F261" s="11" t="s">
        <v>178</v>
      </c>
      <c r="G261" s="215" t="s">
        <v>1514</v>
      </c>
      <c r="H261" s="12" t="str">
        <f>IMAGE("https://robu.in/wp-content/uploads/2017/09/download-1-2.jpg",1)</f>
        <v/>
      </c>
      <c r="I261" s="221" t="s">
        <v>1770</v>
      </c>
    </row>
    <row r="262" ht="45.0" customHeight="1">
      <c r="A262" s="11">
        <v>261.0</v>
      </c>
      <c r="B262" s="11" t="s">
        <v>1557</v>
      </c>
      <c r="C262" s="93" t="s">
        <v>1758</v>
      </c>
      <c r="D262" s="215" t="s">
        <v>1514</v>
      </c>
      <c r="E262" s="216">
        <v>10.0</v>
      </c>
      <c r="F262" s="11" t="s">
        <v>178</v>
      </c>
      <c r="G262" s="215" t="s">
        <v>1514</v>
      </c>
      <c r="H262" s="11" t="str">
        <f>IMAGE("https://cdn.shopify.com/s/files/1/0088/0056/7392/products/Sound_Detector_Module.jpg?v=1566646449",1)</f>
        <v/>
      </c>
      <c r="I262" s="11" t="s">
        <v>1759</v>
      </c>
    </row>
    <row r="263" ht="45.0" customHeight="1">
      <c r="A263" s="11">
        <v>262.0</v>
      </c>
      <c r="B263" s="11" t="s">
        <v>1560</v>
      </c>
      <c r="C263" s="93" t="s">
        <v>1789</v>
      </c>
      <c r="D263" s="215" t="s">
        <v>1514</v>
      </c>
      <c r="E263" s="216">
        <v>10.0</v>
      </c>
      <c r="F263" s="11" t="s">
        <v>178</v>
      </c>
      <c r="G263" s="215" t="s">
        <v>1514</v>
      </c>
      <c r="H263" s="11" t="str">
        <f>IMAGE("https://encrypted-tbn0.gstatic.com/images?q=tbn:ANd9GcRrIyUWjQ1rnIJDwYms78skSv9zbdkdml4sTR1WfoKl6GFD5OWnZULG8H98AB-i394c3VQ&amp;usqp=CAU",1)</f>
        <v/>
      </c>
      <c r="I263" s="11" t="s">
        <v>1790</v>
      </c>
    </row>
    <row r="264" ht="45.0" customHeight="1">
      <c r="A264" s="11">
        <v>263.0</v>
      </c>
      <c r="B264" s="11" t="s">
        <v>1564</v>
      </c>
      <c r="C264" s="93" t="s">
        <v>2149</v>
      </c>
      <c r="D264" s="215" t="s">
        <v>1514</v>
      </c>
      <c r="E264" s="216">
        <v>5.0</v>
      </c>
      <c r="F264" s="11" t="s">
        <v>178</v>
      </c>
      <c r="G264" s="215" t="s">
        <v>1514</v>
      </c>
      <c r="H264" s="11" t="str">
        <f>IMAGE("https://robu.in/wp-content/uploads/2019/05/MAX30100-Pulse-Oximeter-Heart-Rate-Sensor-Module-2.jpg",1)</f>
        <v/>
      </c>
      <c r="I264" s="221" t="s">
        <v>1803</v>
      </c>
    </row>
    <row r="265" ht="45.0" customHeight="1">
      <c r="A265" s="11">
        <v>264.0</v>
      </c>
      <c r="B265" s="11" t="s">
        <v>1568</v>
      </c>
      <c r="C265" s="93" t="s">
        <v>1769</v>
      </c>
      <c r="D265" s="215" t="s">
        <v>1514</v>
      </c>
      <c r="E265" s="216">
        <v>5.0</v>
      </c>
      <c r="F265" s="11" t="s">
        <v>178</v>
      </c>
      <c r="G265" s="215" t="s">
        <v>1514</v>
      </c>
      <c r="H265" s="11" t="str">
        <f>IMAGE("https://makerbazar.in/cdn/shop/products/Untitled-1_39_1_60x.jpg?v=1637233670",1)</f>
        <v/>
      </c>
      <c r="I265" s="221" t="s">
        <v>1803</v>
      </c>
    </row>
    <row r="266" ht="45.0" customHeight="1">
      <c r="A266" s="11">
        <v>265.0</v>
      </c>
      <c r="B266" s="11" t="s">
        <v>1571</v>
      </c>
      <c r="C266" s="93" t="s">
        <v>1772</v>
      </c>
      <c r="D266" s="215" t="s">
        <v>1514</v>
      </c>
      <c r="E266" s="216">
        <v>5.0</v>
      </c>
      <c r="F266" s="11" t="s">
        <v>178</v>
      </c>
      <c r="G266" s="215" t="s">
        <v>1514</v>
      </c>
      <c r="H266" s="11" t="str">
        <f>IMAGE("https://5.imimg.com/data5/SELLER/Default/2021/6/XN/UI/NS/84973740/mq2-flammable-gas-and-smoke-sensor-module-500x500.jpg",1)</f>
        <v/>
      </c>
      <c r="I266" s="11" t="s">
        <v>1773</v>
      </c>
    </row>
    <row r="267" ht="45.0" customHeight="1">
      <c r="A267" s="11">
        <v>266.0</v>
      </c>
      <c r="B267" s="11" t="s">
        <v>1575</v>
      </c>
      <c r="C267" s="93" t="s">
        <v>1576</v>
      </c>
      <c r="D267" s="215" t="s">
        <v>1514</v>
      </c>
      <c r="E267" s="216">
        <v>10.0</v>
      </c>
      <c r="F267" s="11" t="s">
        <v>178</v>
      </c>
      <c r="G267" s="215" t="s">
        <v>1514</v>
      </c>
      <c r="H267" s="11" t="str">
        <f>IMAGE("https://robu.in/wp-content/uploads/2016/03/12251.jpg",1)</f>
        <v/>
      </c>
      <c r="I267" s="11" t="s">
        <v>1794</v>
      </c>
    </row>
    <row r="268" ht="45.0" customHeight="1">
      <c r="A268" s="11">
        <v>267.0</v>
      </c>
      <c r="B268" s="11" t="s">
        <v>1579</v>
      </c>
      <c r="C268" s="258" t="s">
        <v>1763</v>
      </c>
      <c r="D268" s="215" t="s">
        <v>1514</v>
      </c>
      <c r="E268" s="216">
        <v>5.0</v>
      </c>
      <c r="F268" s="11" t="s">
        <v>178</v>
      </c>
      <c r="G268" s="215" t="s">
        <v>1514</v>
      </c>
      <c r="H268" s="11" t="str">
        <f>IMAGE("https://m.media-amazon.com/images/W/MEDIAX_792452-T2/images/I/61QNSpIV-GL._SL1000_.jpg",1)</f>
        <v/>
      </c>
      <c r="I268" s="11" t="s">
        <v>1764</v>
      </c>
    </row>
    <row r="269" ht="45.0" customHeight="1">
      <c r="A269" s="11">
        <v>268.0</v>
      </c>
      <c r="B269" s="11" t="s">
        <v>1583</v>
      </c>
      <c r="C269" s="93" t="s">
        <v>1584</v>
      </c>
      <c r="D269" s="215" t="s">
        <v>1514</v>
      </c>
      <c r="E269" s="216">
        <v>10.0</v>
      </c>
      <c r="F269" s="11" t="s">
        <v>178</v>
      </c>
      <c r="G269" s="215" t="s">
        <v>1514</v>
      </c>
      <c r="H269" s="11" t="str">
        <f>IMAGE("https://projecthubbharat.com/wp-content/uploads/2022/02/dht-11-sensor-module-india-800x800-1.jpg",1)</f>
        <v/>
      </c>
      <c r="I269" s="11" t="s">
        <v>1797</v>
      </c>
    </row>
    <row r="270" ht="45.0" customHeight="1">
      <c r="A270" s="11">
        <v>269.0</v>
      </c>
      <c r="B270" s="11" t="s">
        <v>1587</v>
      </c>
      <c r="C270" s="93" t="s">
        <v>1795</v>
      </c>
      <c r="D270" s="215" t="s">
        <v>1514</v>
      </c>
      <c r="E270" s="216">
        <v>10.0</v>
      </c>
      <c r="F270" s="11" t="s">
        <v>178</v>
      </c>
      <c r="G270" s="215" t="s">
        <v>1514</v>
      </c>
      <c r="H270" s="11" t="str">
        <f>IMAGE("https://potentiallabs.com/cart/image/cache/catalog/nov-dec/DS18B20-500x500-500x500.jpg",1)</f>
        <v/>
      </c>
      <c r="I270" s="11" t="s">
        <v>1796</v>
      </c>
    </row>
    <row r="271" ht="45.0" customHeight="1">
      <c r="A271" s="11">
        <v>270.0</v>
      </c>
      <c r="B271" s="11" t="s">
        <v>1591</v>
      </c>
      <c r="C271" s="93" t="s">
        <v>1798</v>
      </c>
      <c r="D271" s="215" t="s">
        <v>1514</v>
      </c>
      <c r="E271" s="216">
        <v>20.0</v>
      </c>
      <c r="F271" s="11" t="s">
        <v>178</v>
      </c>
      <c r="G271" s="215" t="s">
        <v>1514</v>
      </c>
      <c r="H271" s="216" t="str">
        <f>IMAGE("https://5.imimg.com/data5/SELLER/Default/2021/9/HF/RK/UF/37611021/10k-ohm-ntc-thermistor-500x500.jpg",1)</f>
        <v/>
      </c>
      <c r="I271" s="11" t="s">
        <v>1796</v>
      </c>
    </row>
    <row r="272" ht="45.0" customHeight="1">
      <c r="A272" s="11">
        <v>271.0</v>
      </c>
      <c r="B272" s="11" t="s">
        <v>1595</v>
      </c>
      <c r="C272" s="93" t="s">
        <v>1777</v>
      </c>
      <c r="D272" s="215" t="s">
        <v>1514</v>
      </c>
      <c r="E272" s="216">
        <v>5.0</v>
      </c>
      <c r="F272" s="11" t="s">
        <v>178</v>
      </c>
      <c r="G272" s="215" t="s">
        <v>1514</v>
      </c>
      <c r="H272" s="11" t="str">
        <f>IMAGE("https://media.distrelec.com/Web/WebShopImages/landscape_large/7-/01/Adafruit_163_30129187-01.jpg",1)</f>
        <v/>
      </c>
      <c r="I272" s="11" t="s">
        <v>1778</v>
      </c>
    </row>
    <row r="273" ht="45.0" customHeight="1">
      <c r="A273" s="11">
        <v>272.0</v>
      </c>
      <c r="B273" s="11" t="s">
        <v>1618</v>
      </c>
      <c r="C273" s="93" t="s">
        <v>1619</v>
      </c>
      <c r="D273" s="215" t="s">
        <v>1514</v>
      </c>
      <c r="E273" s="216">
        <v>10.0</v>
      </c>
      <c r="F273" s="11" t="s">
        <v>178</v>
      </c>
      <c r="G273" s="215" t="s">
        <v>1514</v>
      </c>
      <c r="H273" s="11" t="str">
        <f>IMAGE("https://i0.wp.com/superbtech.in/wp-content/uploads/2020/07/2-60.jpg?fit=500%2C500&amp;ssl=1",1)</f>
        <v/>
      </c>
      <c r="I273" s="11" t="s">
        <v>1801</v>
      </c>
    </row>
    <row r="274" ht="45.0" customHeight="1">
      <c r="A274" s="11">
        <v>273.0</v>
      </c>
      <c r="B274" s="11" t="s">
        <v>1622</v>
      </c>
      <c r="C274" s="93" t="s">
        <v>1623</v>
      </c>
      <c r="D274" s="215" t="s">
        <v>1514</v>
      </c>
      <c r="E274" s="216">
        <v>5.0</v>
      </c>
      <c r="F274" s="11" t="s">
        <v>178</v>
      </c>
      <c r="G274" s="215" t="s">
        <v>1514</v>
      </c>
      <c r="H274" s="11" t="str">
        <f>IMAGE("https://cdn.shopify.com/s/files/1/0559/1970/6265/products/1_9713a8db-db1e-42d0-a3e7-eebb7f66c4e9.jpg?v=1670581925",1)</f>
        <v/>
      </c>
      <c r="I274" s="11" t="s">
        <v>2150</v>
      </c>
    </row>
    <row r="275" ht="45.0" customHeight="1">
      <c r="A275" s="11">
        <v>274.0</v>
      </c>
      <c r="B275" s="11" t="s">
        <v>1626</v>
      </c>
      <c r="C275" s="93" t="s">
        <v>1627</v>
      </c>
      <c r="D275" s="215" t="s">
        <v>1628</v>
      </c>
      <c r="E275" s="216">
        <v>10.0</v>
      </c>
      <c r="F275" s="11" t="s">
        <v>178</v>
      </c>
      <c r="G275" s="93" t="s">
        <v>1628</v>
      </c>
      <c r="H275" s="11" t="str">
        <f>IMAGE("https://m.media-amazon.com/images/W/MEDIAX_792452-T2/images/I/419leG1YjXL.jpg",1)</f>
        <v/>
      </c>
      <c r="I275" s="11" t="s">
        <v>2127</v>
      </c>
    </row>
    <row r="276" ht="45.0" customHeight="1">
      <c r="A276" s="11">
        <v>275.0</v>
      </c>
      <c r="B276" s="11" t="s">
        <v>1632</v>
      </c>
      <c r="C276" s="93" t="s">
        <v>1633</v>
      </c>
      <c r="D276" s="215" t="s">
        <v>1628</v>
      </c>
      <c r="E276" s="216">
        <v>10.0</v>
      </c>
      <c r="F276" s="11" t="s">
        <v>178</v>
      </c>
      <c r="G276" s="93" t="s">
        <v>1628</v>
      </c>
      <c r="H276" s="11" t="str">
        <f>IMAGE("https://i0.wp.com/armsol.in/wp-content/uploads/2021/08/1-5-rotated.jpg?fit=600%2C600&amp;ssl=1",1)</f>
        <v/>
      </c>
      <c r="I276" s="11" t="s">
        <v>2127</v>
      </c>
    </row>
    <row r="277" ht="45.0" customHeight="1">
      <c r="A277" s="11">
        <v>276.0</v>
      </c>
      <c r="B277" s="11" t="s">
        <v>1636</v>
      </c>
      <c r="C277" s="93" t="s">
        <v>1988</v>
      </c>
      <c r="D277" s="215" t="s">
        <v>1628</v>
      </c>
      <c r="E277" s="216">
        <v>30.0</v>
      </c>
      <c r="F277" s="11" t="s">
        <v>178</v>
      </c>
      <c r="G277" s="93" t="s">
        <v>1628</v>
      </c>
      <c r="H277" s="11" t="str">
        <f>IMAGE("https://www.voltaat.com/cdn/shop/products/voltaat-soldering-board-5cm-x-7cm-10728457568358_1024x1024.jpg?v=1628445244")</f>
        <v/>
      </c>
      <c r="I277" s="11" t="s">
        <v>2153</v>
      </c>
    </row>
    <row r="278" ht="45.0" customHeight="1">
      <c r="A278" s="11">
        <v>277.0</v>
      </c>
      <c r="B278" s="11" t="s">
        <v>1641</v>
      </c>
      <c r="C278" s="93" t="s">
        <v>1989</v>
      </c>
      <c r="D278" s="215" t="s">
        <v>1628</v>
      </c>
      <c r="E278" s="216">
        <v>10.0</v>
      </c>
      <c r="F278" s="11" t="s">
        <v>178</v>
      </c>
      <c r="G278" s="93" t="s">
        <v>1628</v>
      </c>
      <c r="H278" s="11" t="str">
        <f>IMAGE("https://m.media-amazon.com/images/W/MEDIAX_792452-T2/images/I/91hMIBtDtPS._SL1500_.jpg")</f>
        <v/>
      </c>
      <c r="I278" s="11" t="s">
        <v>2153</v>
      </c>
    </row>
    <row r="279" ht="45.0" customHeight="1">
      <c r="A279" s="11">
        <v>278.0</v>
      </c>
      <c r="B279" s="11" t="s">
        <v>1645</v>
      </c>
      <c r="C279" s="93" t="s">
        <v>1646</v>
      </c>
      <c r="D279" s="215" t="s">
        <v>1628</v>
      </c>
      <c r="E279" s="216">
        <v>5.0</v>
      </c>
      <c r="F279" s="11" t="s">
        <v>178</v>
      </c>
      <c r="G279" s="93" t="s">
        <v>1628</v>
      </c>
      <c r="H279" s="11" t="str">
        <f>IMAGE("https://5.imimg.com/data5/SELLER/Default/2022/1/IK/KY/AC/131638211/31tvrpe7ijl-500x500.jpg")</f>
        <v/>
      </c>
      <c r="I279" s="11" t="s">
        <v>2127</v>
      </c>
    </row>
    <row r="280" ht="45.0" customHeight="1">
      <c r="A280" s="11">
        <v>279.0</v>
      </c>
      <c r="B280" s="11" t="s">
        <v>1649</v>
      </c>
      <c r="C280" s="93" t="s">
        <v>1650</v>
      </c>
      <c r="D280" s="215" t="s">
        <v>1628</v>
      </c>
      <c r="E280" s="216">
        <v>10.0</v>
      </c>
      <c r="F280" s="11" t="s">
        <v>178</v>
      </c>
      <c r="G280" s="93" t="s">
        <v>1628</v>
      </c>
      <c r="H280" s="11" t="str">
        <f>IMAGE("https://i0.wp.com/roboticsdna.in/wp-content/uploads/2020/11/IRON-TIP-1.png?fit=1000%2C1000&amp;ssl=1",1)</f>
        <v/>
      </c>
      <c r="I280" s="11" t="s">
        <v>2127</v>
      </c>
    </row>
    <row r="281" ht="45.0" customHeight="1">
      <c r="A281" s="11">
        <v>280.0</v>
      </c>
      <c r="B281" s="11" t="s">
        <v>1653</v>
      </c>
      <c r="C281" s="93" t="s">
        <v>1654</v>
      </c>
      <c r="D281" s="215" t="s">
        <v>1628</v>
      </c>
      <c r="E281" s="216">
        <v>10.0</v>
      </c>
      <c r="F281" s="11" t="s">
        <v>178</v>
      </c>
      <c r="G281" s="93" t="s">
        <v>1628</v>
      </c>
      <c r="H281" s="11" t="str">
        <f>IMAGE("https://www.toolworld.in/storage/media/product/1656317774.jpg",1)</f>
        <v/>
      </c>
      <c r="I281" s="11" t="s">
        <v>2127</v>
      </c>
    </row>
    <row r="282" ht="45.0" customHeight="1">
      <c r="A282" s="11">
        <v>281.0</v>
      </c>
      <c r="B282" s="11" t="s">
        <v>1657</v>
      </c>
      <c r="C282" s="93" t="s">
        <v>1658</v>
      </c>
      <c r="D282" s="215" t="s">
        <v>1628</v>
      </c>
      <c r="E282" s="216">
        <v>10.0</v>
      </c>
      <c r="F282" s="11" t="s">
        <v>178</v>
      </c>
      <c r="G282" s="93" t="s">
        <v>1628</v>
      </c>
      <c r="H282" s="11" t="str">
        <f>IMAGE("https://m.media-amazon.com/images/W/MEDIAX_792452-T2/images/I/41OjS3jnL4L.jpg",1)</f>
        <v/>
      </c>
      <c r="I282" s="11" t="s">
        <v>2127</v>
      </c>
    </row>
    <row r="283" ht="45.0" customHeight="1">
      <c r="A283" s="11">
        <v>282.0</v>
      </c>
      <c r="B283" s="11" t="s">
        <v>1661</v>
      </c>
      <c r="C283" s="93" t="s">
        <v>1662</v>
      </c>
      <c r="D283" s="215" t="s">
        <v>1628</v>
      </c>
      <c r="E283" s="216">
        <v>2.0</v>
      </c>
      <c r="F283" s="11" t="s">
        <v>178</v>
      </c>
      <c r="G283" s="93" t="s">
        <v>1628</v>
      </c>
      <c r="H283" s="11" t="str">
        <f>IMAGE("https://m.media-amazon.com/images/W/MEDIAX_792452-T2/images/I/61gvV3Wc-NL._SL1024_.jpg")</f>
        <v/>
      </c>
      <c r="I283" s="11" t="s">
        <v>2104</v>
      </c>
    </row>
    <row r="284" ht="45.0" customHeight="1">
      <c r="A284" s="11">
        <v>283.0</v>
      </c>
      <c r="B284" s="11" t="s">
        <v>1665</v>
      </c>
      <c r="C284" s="93" t="s">
        <v>1666</v>
      </c>
      <c r="D284" s="215" t="s">
        <v>1628</v>
      </c>
      <c r="E284" s="216">
        <v>10.0</v>
      </c>
      <c r="F284" s="11" t="s">
        <v>178</v>
      </c>
      <c r="G284" s="93" t="s">
        <v>1628</v>
      </c>
      <c r="H284" s="11" t="str">
        <f>IMAGE("https://robu.in/wp-content/uploads/2015/10/Soldron-25-Watt-Iron-Soldering-Gun-5.jpg")</f>
        <v/>
      </c>
      <c r="I284" s="11" t="s">
        <v>2127</v>
      </c>
    </row>
    <row r="285" ht="45.0" customHeight="1">
      <c r="A285" s="11">
        <v>284.0</v>
      </c>
      <c r="B285" s="11" t="s">
        <v>1669</v>
      </c>
      <c r="C285" s="93" t="s">
        <v>1670</v>
      </c>
      <c r="D285" s="215" t="s">
        <v>1628</v>
      </c>
      <c r="E285" s="216">
        <v>1.0</v>
      </c>
      <c r="F285" s="11" t="s">
        <v>178</v>
      </c>
      <c r="G285" s="93" t="s">
        <v>1628</v>
      </c>
      <c r="H285" s="11" t="str">
        <f>IMAGE("https://m.media-amazon.com/images/I/71Nb2wKaZgS._SL1500_.jpg", 1)</f>
        <v/>
      </c>
      <c r="I285" s="11" t="s">
        <v>2127</v>
      </c>
    </row>
    <row r="286" ht="45.0" customHeight="1">
      <c r="A286" s="11">
        <v>285.0</v>
      </c>
      <c r="B286" s="11" t="s">
        <v>1673</v>
      </c>
      <c r="C286" s="93" t="s">
        <v>1674</v>
      </c>
      <c r="D286" s="215" t="s">
        <v>1628</v>
      </c>
      <c r="E286" s="216">
        <v>10.0</v>
      </c>
      <c r="F286" s="11" t="s">
        <v>178</v>
      </c>
      <c r="G286" s="93" t="s">
        <v>1628</v>
      </c>
      <c r="H286" s="11" t="str">
        <f>IMAGE("https://m.media-amazon.com/images/W/MEDIAX_792452-T2/images/I/511g3IePVzL.jpg",1)</f>
        <v/>
      </c>
      <c r="I286" s="11" t="s">
        <v>2127</v>
      </c>
    </row>
    <row r="287" ht="45.0" customHeight="1">
      <c r="A287" s="11">
        <v>286.0</v>
      </c>
      <c r="B287" s="11" t="s">
        <v>1677</v>
      </c>
      <c r="C287" s="93" t="s">
        <v>1678</v>
      </c>
      <c r="D287" s="215" t="s">
        <v>1628</v>
      </c>
      <c r="E287" s="216">
        <v>10.0</v>
      </c>
      <c r="F287" s="11" t="s">
        <v>178</v>
      </c>
      <c r="G287" s="93" t="s">
        <v>1628</v>
      </c>
      <c r="H287" s="11" t="str">
        <f>IMAGE("https://5.imimg.com/data5/FT/MG/MY-9316309/soldering-wire-500x500.jpg",1)</f>
        <v/>
      </c>
      <c r="I287" s="11" t="s">
        <v>2127</v>
      </c>
    </row>
    <row r="288" ht="45.0" customHeight="1">
      <c r="A288" s="11">
        <v>287.0</v>
      </c>
      <c r="B288" s="11" t="s">
        <v>323</v>
      </c>
      <c r="C288" s="93" t="s">
        <v>324</v>
      </c>
      <c r="D288" s="215" t="s">
        <v>325</v>
      </c>
      <c r="E288" s="11">
        <v>1.0</v>
      </c>
      <c r="F288" s="11" t="s">
        <v>326</v>
      </c>
      <c r="G288" s="93" t="s">
        <v>1925</v>
      </c>
      <c r="H288" s="11" t="str">
        <f>IMAGE("https://5.imimg.com/data5/PL/FV/MY-11916319/synthetic-angle-broom-500x500.jpg",1)</f>
        <v/>
      </c>
      <c r="I288" s="11" t="s">
        <v>2049</v>
      </c>
    </row>
    <row r="289" ht="45.0" customHeight="1">
      <c r="A289" s="11">
        <v>288.0</v>
      </c>
      <c r="B289" s="11" t="s">
        <v>328</v>
      </c>
      <c r="C289" s="93" t="s">
        <v>329</v>
      </c>
      <c r="D289" s="215" t="s">
        <v>325</v>
      </c>
      <c r="E289" s="11">
        <v>1.0</v>
      </c>
      <c r="F289" s="11" t="s">
        <v>326</v>
      </c>
      <c r="G289" s="93" t="s">
        <v>1925</v>
      </c>
      <c r="H289" s="11" t="str">
        <f>IMAGE("https://m.media-amazon.com/images/W/MEDIAX_792452-T2/images/I/61z4uqZdmPL._AC_UF1000,1000_QL80_.jpg",1)</f>
        <v/>
      </c>
      <c r="I289" s="11" t="s">
        <v>2049</v>
      </c>
    </row>
    <row r="290" ht="45.0" customHeight="1">
      <c r="A290" s="11">
        <v>289.0</v>
      </c>
      <c r="B290" s="11" t="s">
        <v>332</v>
      </c>
      <c r="C290" s="93" t="s">
        <v>333</v>
      </c>
      <c r="D290" s="215" t="s">
        <v>325</v>
      </c>
      <c r="E290" s="11">
        <v>5.0</v>
      </c>
      <c r="F290" s="11" t="s">
        <v>326</v>
      </c>
      <c r="G290" s="93" t="s">
        <v>1925</v>
      </c>
      <c r="H290" s="11" t="str">
        <f>IMAGE("https://m.media-amazon.com/images/W/MEDIAX_792452-T2/images/I/61Njm4X2d2L._AC_UF1000,1000_QL80_.jpg",1)</f>
        <v/>
      </c>
      <c r="I290" s="11" t="s">
        <v>2049</v>
      </c>
    </row>
    <row r="291" ht="45.0" customHeight="1">
      <c r="A291" s="11">
        <v>290.0</v>
      </c>
      <c r="B291" s="11" t="s">
        <v>340</v>
      </c>
      <c r="C291" s="93" t="s">
        <v>341</v>
      </c>
      <c r="D291" s="215" t="s">
        <v>325</v>
      </c>
      <c r="E291" s="11">
        <v>3.0</v>
      </c>
      <c r="F291" s="11" t="s">
        <v>326</v>
      </c>
      <c r="G291" s="93" t="s">
        <v>1925</v>
      </c>
      <c r="H291" s="11" t="str">
        <f>IMAGE("https://rukminim2.flixcart.com/image/850/1000/kshtxu80/dustbin/p/l/y/swaccha-bharat-champaign-dry-and-wet-waste-bins-small-11ltr-original-imag6fnfj6pqmsba.jpeg?q=20",1)</f>
        <v/>
      </c>
      <c r="I291" s="11" t="s">
        <v>2049</v>
      </c>
    </row>
    <row r="292" ht="45.0" customHeight="1">
      <c r="A292" s="11">
        <v>291.0</v>
      </c>
      <c r="B292" s="11" t="s">
        <v>965</v>
      </c>
      <c r="C292" s="93" t="s">
        <v>1959</v>
      </c>
      <c r="D292" s="215" t="s">
        <v>326</v>
      </c>
      <c r="E292" s="216">
        <v>6.0</v>
      </c>
      <c r="F292" s="11" t="s">
        <v>326</v>
      </c>
      <c r="G292" s="93" t="s">
        <v>1901</v>
      </c>
      <c r="H292" s="11" t="str">
        <f>IMAGE("https://www.220converters.com/resize/Shared/images/Product/Seven-Star-ES5C-220-Volt-Universal-5-Outlet-Power-Strip-With-Surge-Protection-220V-240V/es5c.jpg?bw=500&amp;bh=500",1)</f>
        <v/>
      </c>
      <c r="I292" s="11" t="s">
        <v>2094</v>
      </c>
    </row>
    <row r="293" ht="45.0" customHeight="1">
      <c r="A293" s="11">
        <v>292.0</v>
      </c>
      <c r="B293" s="11" t="s">
        <v>969</v>
      </c>
      <c r="C293" s="93" t="s">
        <v>970</v>
      </c>
      <c r="D293" s="215" t="s">
        <v>326</v>
      </c>
      <c r="E293" s="216">
        <v>1.0</v>
      </c>
      <c r="F293" s="11" t="s">
        <v>326</v>
      </c>
      <c r="G293" s="93" t="s">
        <v>1901</v>
      </c>
      <c r="H293" s="11" t="str">
        <f>IMAGE("https://www.jiomart.com/images/product/original/491503417/mi-home-security-camera-digital-o491503417-p590045677-0-202010110622.jpeg")</f>
        <v/>
      </c>
      <c r="I293" s="11" t="s">
        <v>2095</v>
      </c>
    </row>
    <row r="294" ht="45.0" customHeight="1">
      <c r="A294" s="11">
        <v>293.0</v>
      </c>
      <c r="B294" s="271"/>
      <c r="C294" s="272" t="s">
        <v>2171</v>
      </c>
      <c r="D294" s="273" t="s">
        <v>2172</v>
      </c>
      <c r="E294" s="274">
        <v>2.0</v>
      </c>
      <c r="F294" s="282" t="s">
        <v>142</v>
      </c>
      <c r="G294" s="275"/>
      <c r="H294" s="275"/>
      <c r="I294" s="275"/>
      <c r="J294" s="276"/>
    </row>
    <row r="295" ht="45.0" customHeight="1">
      <c r="A295" s="11">
        <v>294.0</v>
      </c>
      <c r="B295" s="11" t="s">
        <v>139</v>
      </c>
      <c r="C295" s="93" t="s">
        <v>140</v>
      </c>
      <c r="D295" s="215" t="s">
        <v>141</v>
      </c>
      <c r="E295" s="11">
        <v>1.0</v>
      </c>
      <c r="F295" s="11" t="s">
        <v>142</v>
      </c>
      <c r="G295" s="93" t="s">
        <v>1901</v>
      </c>
      <c r="H295" s="11" t="e">
        <v>#VALUE!</v>
      </c>
      <c r="I295" s="11" t="s">
        <v>2025</v>
      </c>
    </row>
    <row r="296" ht="45.0" customHeight="1">
      <c r="A296" s="11">
        <v>295.0</v>
      </c>
      <c r="B296" s="11" t="s">
        <v>154</v>
      </c>
      <c r="C296" s="93" t="s">
        <v>155</v>
      </c>
      <c r="D296" s="215" t="s">
        <v>141</v>
      </c>
      <c r="E296" s="216">
        <v>1.0</v>
      </c>
      <c r="F296" s="11" t="s">
        <v>142</v>
      </c>
      <c r="G296" s="93" t="s">
        <v>1901</v>
      </c>
      <c r="H296" s="11" t="str">
        <f>IMAGE("https://m.media-amazon.com/images/I/61Zlcg+2mNL.jpg")</f>
        <v/>
      </c>
      <c r="I296" s="11" t="s">
        <v>2028</v>
      </c>
    </row>
    <row r="297" ht="45.0" customHeight="1">
      <c r="A297" s="11">
        <v>296.0</v>
      </c>
      <c r="B297" s="11" t="s">
        <v>158</v>
      </c>
      <c r="C297" s="93" t="s">
        <v>159</v>
      </c>
      <c r="D297" s="215" t="s">
        <v>141</v>
      </c>
      <c r="E297" s="216">
        <v>1.0</v>
      </c>
      <c r="F297" s="11" t="s">
        <v>142</v>
      </c>
      <c r="G297" s="93" t="s">
        <v>1901</v>
      </c>
      <c r="H297" s="11" t="str">
        <f>IMAGE("https://c1.neweggimages.com/Productimage/24-001-864-04.jpg",1)</f>
        <v/>
      </c>
      <c r="I297" s="11" t="s">
        <v>2029</v>
      </c>
    </row>
    <row r="298" ht="45.0" customHeight="1">
      <c r="A298" s="11">
        <v>297.0</v>
      </c>
      <c r="B298" s="11" t="s">
        <v>162</v>
      </c>
      <c r="C298" s="93" t="s">
        <v>163</v>
      </c>
      <c r="D298" s="215" t="s">
        <v>141</v>
      </c>
      <c r="E298" s="216">
        <v>1.0</v>
      </c>
      <c r="F298" s="11" t="s">
        <v>142</v>
      </c>
      <c r="G298" s="93" t="s">
        <v>1901</v>
      </c>
      <c r="H298" s="11" t="str">
        <f>IMAGE("https://m.media-amazon.com/images/I/6100FnINmsL._SL1468_.jpg",1)</f>
        <v/>
      </c>
      <c r="I298" s="11" t="s">
        <v>2030</v>
      </c>
    </row>
    <row r="299" ht="45.0" customHeight="1">
      <c r="A299" s="11">
        <v>298.0</v>
      </c>
      <c r="B299" s="11" t="s">
        <v>166</v>
      </c>
      <c r="C299" s="93" t="s">
        <v>167</v>
      </c>
      <c r="D299" s="215" t="s">
        <v>141</v>
      </c>
      <c r="E299" s="216">
        <v>1.0</v>
      </c>
      <c r="F299" s="11" t="s">
        <v>142</v>
      </c>
      <c r="G299" s="93" t="s">
        <v>1901</v>
      </c>
      <c r="H299" s="11" t="str">
        <f>IMAGE("https://encrypted-tbn1.gstatic.com/shopping?q=tbn:ANd9GcSwk1vUmWwFhmXgluT27_kpt_1XbFeMGM9voPktN2V8FycBha0_9qycLyoE5G3LsPm9IAaz9ZK9JsFmIAo5gwJtywrUheHD9Zzv6NIaMNLbw1go2XSC6Z0l&amp;usqp=CAE",1)</f>
        <v/>
      </c>
      <c r="I299" s="11" t="s">
        <v>2031</v>
      </c>
    </row>
    <row r="300" ht="45.0" customHeight="1">
      <c r="A300" s="11">
        <v>299.0</v>
      </c>
      <c r="B300" s="11" t="s">
        <v>170</v>
      </c>
      <c r="C300" s="93" t="s">
        <v>171</v>
      </c>
      <c r="D300" s="215" t="s">
        <v>141</v>
      </c>
      <c r="E300" s="216">
        <v>1.0</v>
      </c>
      <c r="F300" s="11" t="s">
        <v>142</v>
      </c>
      <c r="G300" s="93" t="s">
        <v>1901</v>
      </c>
      <c r="H300" s="11" t="str">
        <f>IMAGE("https://www.designinfo.in/wp-content/uploads/nc/p/5/1/4/9/0/51490-485x485.jpg",1)</f>
        <v/>
      </c>
      <c r="I300" s="11" t="s">
        <v>2032</v>
      </c>
    </row>
    <row r="301" ht="45.0" customHeight="1">
      <c r="A301" s="11">
        <v>300.0</v>
      </c>
      <c r="B301" s="11" t="s">
        <v>244</v>
      </c>
      <c r="C301" s="93" t="s">
        <v>245</v>
      </c>
      <c r="D301" s="215" t="s">
        <v>237</v>
      </c>
      <c r="E301" s="11">
        <v>1.0</v>
      </c>
      <c r="F301" s="11" t="s">
        <v>142</v>
      </c>
      <c r="G301" s="93" t="s">
        <v>237</v>
      </c>
      <c r="H301" s="11" t="str">
        <f>IMAGE("https://m.media-amazon.com/images/I/61YPX7I4aSL._SL1500_.jpg",1)</f>
        <v/>
      </c>
      <c r="I301" s="11" t="s">
        <v>2026</v>
      </c>
    </row>
    <row r="302" ht="45.0" customHeight="1">
      <c r="A302" s="11">
        <v>301.0</v>
      </c>
      <c r="B302" s="11" t="s">
        <v>973</v>
      </c>
      <c r="C302" s="93" t="s">
        <v>974</v>
      </c>
      <c r="D302" s="215" t="s">
        <v>326</v>
      </c>
      <c r="E302" s="216">
        <v>1.0</v>
      </c>
      <c r="F302" s="11" t="s">
        <v>142</v>
      </c>
      <c r="G302" s="93" t="s">
        <v>1901</v>
      </c>
      <c r="H302" s="11" t="str">
        <f>IMAGE("https://cdn.ttgtmedia.com/rms/onlineimages/hp_elitebook_mobile.jpg",1)</f>
        <v/>
      </c>
      <c r="I302" s="11" t="s">
        <v>2096</v>
      </c>
    </row>
    <row r="303" ht="45.0" customHeight="1">
      <c r="A303" s="11">
        <v>302.0</v>
      </c>
      <c r="B303" s="11" t="s">
        <v>976</v>
      </c>
      <c r="C303" s="93" t="s">
        <v>977</v>
      </c>
      <c r="D303" s="215" t="s">
        <v>326</v>
      </c>
      <c r="E303" s="216">
        <v>1.0</v>
      </c>
      <c r="F303" s="11" t="s">
        <v>142</v>
      </c>
      <c r="G303" s="93" t="s">
        <v>1901</v>
      </c>
      <c r="H303" s="11" t="str">
        <f>IMAGE("https://m.media-amazon.com/images/W/MEDIAX_792452-T2/images/I/51UzU+2x3OS._SL1000_.jpg")</f>
        <v/>
      </c>
      <c r="I303" s="11" t="s">
        <v>2095</v>
      </c>
    </row>
    <row r="304" ht="45.0" customHeight="1">
      <c r="A304" s="11">
        <v>303.0</v>
      </c>
      <c r="B304" s="11" t="s">
        <v>1474</v>
      </c>
      <c r="C304" s="93" t="s">
        <v>1475</v>
      </c>
      <c r="D304" s="215" t="s">
        <v>1476</v>
      </c>
      <c r="E304" s="216">
        <v>1.0</v>
      </c>
      <c r="F304" s="11" t="s">
        <v>1477</v>
      </c>
      <c r="G304" s="93" t="s">
        <v>1986</v>
      </c>
      <c r="H304" s="11" t="str">
        <f>IMAGE("https://rukminim1.flixcart.com/image/416/416/jj367bk0/fire-extinguisher-mount/w/s/y/2-kg-abc-type-fire-extinguisher-safepro-original-imaf6h7fkdngmbqd.jpeg?q=70",1)</f>
        <v/>
      </c>
      <c r="I304" s="222" t="s">
        <v>2144</v>
      </c>
    </row>
    <row r="305" ht="45.0" customHeight="1">
      <c r="A305" s="11">
        <v>304.0</v>
      </c>
      <c r="B305" s="11" t="s">
        <v>1480</v>
      </c>
      <c r="C305" s="93" t="s">
        <v>1481</v>
      </c>
      <c r="D305" s="215" t="s">
        <v>1476</v>
      </c>
      <c r="E305" s="216">
        <v>1.0</v>
      </c>
      <c r="F305" s="11" t="s">
        <v>1477</v>
      </c>
      <c r="G305" s="93" t="s">
        <v>1986</v>
      </c>
      <c r="H305" s="11" t="str">
        <f>IMAGE("https://m.media-amazon.com/images/I/61UHX6mp+wL._AC_UF894,1000_QL80_.jpg",1)</f>
        <v/>
      </c>
      <c r="I305" s="222" t="s">
        <v>2144</v>
      </c>
    </row>
    <row r="306" ht="45.0" customHeight="1">
      <c r="A306" s="11">
        <v>305.0</v>
      </c>
      <c r="B306" s="11" t="s">
        <v>1484</v>
      </c>
      <c r="C306" s="93" t="s">
        <v>1485</v>
      </c>
      <c r="D306" s="215" t="s">
        <v>1476</v>
      </c>
      <c r="E306" s="216">
        <v>1.0</v>
      </c>
      <c r="F306" s="11" t="s">
        <v>1477</v>
      </c>
      <c r="G306" s="93" t="s">
        <v>1986</v>
      </c>
      <c r="H306" s="11" t="str">
        <f>IMAGE("https://m.media-amazon.com/images/I/41yRsXk89rS._SX355_.jpg",1)</f>
        <v/>
      </c>
      <c r="I306" s="222" t="s">
        <v>2144</v>
      </c>
    </row>
    <row r="307" ht="45.0" customHeight="1">
      <c r="A307" s="11">
        <v>306.0</v>
      </c>
      <c r="B307" s="11" t="s">
        <v>1488</v>
      </c>
      <c r="C307" s="93" t="s">
        <v>1489</v>
      </c>
      <c r="D307" s="215" t="s">
        <v>1476</v>
      </c>
      <c r="E307" s="11">
        <v>5.0</v>
      </c>
      <c r="F307" s="11" t="s">
        <v>1477</v>
      </c>
      <c r="G307" s="93" t="s">
        <v>1986</v>
      </c>
      <c r="H307" s="11" t="str">
        <f>IMAGE("https://5.imimg.com/data5/AR/LM/NG/SELLER-21409398/lab-uniform-500x500.jpg",1)</f>
        <v/>
      </c>
      <c r="I307" s="221" t="s">
        <v>2145</v>
      </c>
    </row>
    <row r="308" ht="45.0" customHeight="1">
      <c r="A308" s="11">
        <v>307.0</v>
      </c>
      <c r="B308" s="11" t="s">
        <v>1492</v>
      </c>
      <c r="C308" s="93" t="s">
        <v>1493</v>
      </c>
      <c r="D308" s="215" t="s">
        <v>1476</v>
      </c>
      <c r="E308" s="216">
        <v>2.0</v>
      </c>
      <c r="F308" s="11" t="s">
        <v>1477</v>
      </c>
      <c r="G308" s="93" t="s">
        <v>1986</v>
      </c>
      <c r="H308" s="11" t="str">
        <f>IMAGE("https://cdn.moglix.com/p/oBWcDtePyNEFP.jpg",1)</f>
        <v/>
      </c>
      <c r="I308" s="221" t="s">
        <v>2145</v>
      </c>
    </row>
    <row r="309" ht="45.0" customHeight="1">
      <c r="A309" s="11">
        <v>308.0</v>
      </c>
      <c r="B309" s="11" t="s">
        <v>1496</v>
      </c>
      <c r="C309" s="93" t="s">
        <v>1497</v>
      </c>
      <c r="D309" s="215" t="s">
        <v>1476</v>
      </c>
      <c r="E309" s="11">
        <v>5.0</v>
      </c>
      <c r="F309" s="11" t="s">
        <v>1477</v>
      </c>
      <c r="G309" s="93" t="s">
        <v>1986</v>
      </c>
      <c r="H309" s="11" t="str">
        <f>IMAGE("https://5.imimg.com/data5/SELLER/Default/2023/5/311302937/IM/IY/MO/34533827/safety-rubber-apron-1000x1000.jpg", 1)</f>
        <v/>
      </c>
      <c r="I309" s="221" t="s">
        <v>2145</v>
      </c>
    </row>
    <row r="310" ht="45.0" customHeight="1">
      <c r="A310" s="11">
        <v>309.0</v>
      </c>
      <c r="B310" s="11" t="s">
        <v>1500</v>
      </c>
      <c r="C310" s="93" t="s">
        <v>1501</v>
      </c>
      <c r="D310" s="215" t="s">
        <v>1476</v>
      </c>
      <c r="E310" s="216">
        <v>15.0</v>
      </c>
      <c r="F310" s="11" t="s">
        <v>1477</v>
      </c>
      <c r="G310" s="93" t="s">
        <v>1986</v>
      </c>
      <c r="H310" s="11" t="str">
        <f>IMAGE("https://5.imimg.com/data5/DM/UP/MY-3422722/latex-coated-gloves-500x500.jpg",1)</f>
        <v/>
      </c>
      <c r="I310" s="257" t="s">
        <v>2146</v>
      </c>
    </row>
    <row r="311" ht="45.0" customHeight="1">
      <c r="A311" s="11">
        <v>310.0</v>
      </c>
      <c r="B311" s="11" t="s">
        <v>1504</v>
      </c>
      <c r="C311" s="93" t="s">
        <v>1505</v>
      </c>
      <c r="D311" s="215" t="s">
        <v>1476</v>
      </c>
      <c r="E311" s="216">
        <v>30.0</v>
      </c>
      <c r="F311" s="11" t="s">
        <v>1477</v>
      </c>
      <c r="G311" s="93" t="s">
        <v>1986</v>
      </c>
      <c r="H311" s="11" t="str">
        <f>IMAGE("https://5.imimg.com/data5/RD/NQ/ZF/SELLER-67911650/safety-goggles.jpg")</f>
        <v/>
      </c>
      <c r="I311" s="257" t="s">
        <v>2147</v>
      </c>
    </row>
    <row r="312" ht="45.0" customHeight="1">
      <c r="A312" s="11">
        <v>311.0</v>
      </c>
      <c r="B312" s="11" t="s">
        <v>1508</v>
      </c>
      <c r="C312" s="93" t="s">
        <v>1509</v>
      </c>
      <c r="D312" s="215" t="s">
        <v>1476</v>
      </c>
      <c r="E312" s="216">
        <v>60.0</v>
      </c>
      <c r="F312" s="11" t="s">
        <v>1477</v>
      </c>
      <c r="G312" s="93" t="s">
        <v>1986</v>
      </c>
      <c r="H312" s="11" t="str">
        <f>IMAGE("https://img2.exportersindia.com/product_images/bc-full/dir_151/4514764/dust-masks-1499837104-3125900.jpg",1)</f>
        <v/>
      </c>
      <c r="I312" s="221" t="s">
        <v>2148</v>
      </c>
    </row>
    <row r="313" ht="45.0" customHeight="1">
      <c r="A313" s="11">
        <v>312.0</v>
      </c>
      <c r="B313" s="11" t="s">
        <v>150</v>
      </c>
      <c r="C313" s="93" t="s">
        <v>151</v>
      </c>
      <c r="D313" s="269" t="s">
        <v>326</v>
      </c>
      <c r="E313" s="216">
        <v>2.0</v>
      </c>
      <c r="F313" s="11" t="s">
        <v>1157</v>
      </c>
      <c r="G313" s="93" t="s">
        <v>1903</v>
      </c>
      <c r="H313" s="11" t="str">
        <f>IMAGE("https://m.media-amazon.com/images/I/51KO2QtXE8L._SL1000_.jpg", 1)</f>
        <v/>
      </c>
      <c r="I313" s="222" t="s">
        <v>2027</v>
      </c>
    </row>
    <row r="314" ht="45.0" customHeight="1">
      <c r="A314" s="11">
        <v>313.0</v>
      </c>
      <c r="B314" s="271"/>
      <c r="C314" s="283" t="s">
        <v>2173</v>
      </c>
      <c r="D314" s="284" t="s">
        <v>2174</v>
      </c>
      <c r="E314" s="285">
        <v>1.0</v>
      </c>
      <c r="F314" s="286" t="s">
        <v>1157</v>
      </c>
      <c r="G314" s="287"/>
      <c r="H314" s="275"/>
      <c r="I314" s="275"/>
      <c r="J314" s="276"/>
    </row>
    <row r="315" ht="45.0" customHeight="1">
      <c r="A315" s="11">
        <v>314.0</v>
      </c>
      <c r="B315" s="271"/>
      <c r="C315" s="288" t="s">
        <v>2175</v>
      </c>
      <c r="D315" s="289" t="s">
        <v>2174</v>
      </c>
      <c r="E315" s="290">
        <v>1.0</v>
      </c>
      <c r="F315" s="286" t="s">
        <v>1157</v>
      </c>
      <c r="G315" s="275"/>
      <c r="H315" s="275"/>
      <c r="I315" s="275"/>
      <c r="J315" s="276"/>
    </row>
    <row r="316" ht="45.0" customHeight="1">
      <c r="A316" s="11">
        <v>315.0</v>
      </c>
      <c r="B316" s="271"/>
      <c r="C316" s="283" t="s">
        <v>2176</v>
      </c>
      <c r="D316" s="284" t="s">
        <v>2174</v>
      </c>
      <c r="E316" s="285">
        <v>1.0</v>
      </c>
      <c r="F316" s="286" t="s">
        <v>1157</v>
      </c>
      <c r="G316" s="275"/>
      <c r="H316" s="275"/>
      <c r="I316" s="275"/>
      <c r="J316" s="276"/>
    </row>
    <row r="317" ht="45.0" customHeight="1">
      <c r="A317" s="11">
        <v>316.0</v>
      </c>
      <c r="B317" s="271"/>
      <c r="C317" s="288" t="s">
        <v>2177</v>
      </c>
      <c r="D317" s="289" t="s">
        <v>2174</v>
      </c>
      <c r="E317" s="290">
        <v>1.0</v>
      </c>
      <c r="F317" s="286" t="s">
        <v>1157</v>
      </c>
      <c r="G317" s="275"/>
      <c r="H317" s="275"/>
      <c r="I317" s="275"/>
      <c r="J317" s="276"/>
    </row>
    <row r="318" ht="45.0" customHeight="1">
      <c r="A318" s="11">
        <v>317.0</v>
      </c>
      <c r="B318" s="271"/>
      <c r="C318" s="283" t="s">
        <v>2178</v>
      </c>
      <c r="D318" s="284" t="s">
        <v>2174</v>
      </c>
      <c r="E318" s="285">
        <v>10.0</v>
      </c>
      <c r="F318" s="286" t="s">
        <v>1157</v>
      </c>
      <c r="G318" s="275"/>
      <c r="H318" s="275"/>
      <c r="I318" s="275"/>
      <c r="J318" s="276"/>
    </row>
    <row r="319" ht="45.0" customHeight="1">
      <c r="A319" s="11">
        <v>318.0</v>
      </c>
      <c r="B319" s="271"/>
      <c r="C319" s="288" t="s">
        <v>2179</v>
      </c>
      <c r="D319" s="289" t="s">
        <v>2174</v>
      </c>
      <c r="E319" s="290">
        <v>2.0</v>
      </c>
      <c r="F319" s="286" t="s">
        <v>1157</v>
      </c>
      <c r="G319" s="275"/>
      <c r="H319" s="275"/>
      <c r="I319" s="275"/>
      <c r="J319" s="276"/>
    </row>
    <row r="320" ht="45.0" customHeight="1">
      <c r="A320" s="11">
        <v>319.0</v>
      </c>
      <c r="B320" s="271"/>
      <c r="C320" s="272" t="s">
        <v>2180</v>
      </c>
      <c r="D320" s="291" t="s">
        <v>2174</v>
      </c>
      <c r="E320" s="274" t="s">
        <v>2181</v>
      </c>
      <c r="F320" s="286" t="s">
        <v>1157</v>
      </c>
      <c r="G320" s="275"/>
      <c r="H320" s="275"/>
      <c r="I320" s="275"/>
      <c r="J320" s="276"/>
    </row>
    <row r="321" ht="45.0" customHeight="1">
      <c r="A321" s="11">
        <v>320.0</v>
      </c>
      <c r="B321" s="271"/>
      <c r="C321" s="272" t="s">
        <v>2182</v>
      </c>
      <c r="D321" s="291" t="s">
        <v>2174</v>
      </c>
      <c r="E321" s="274" t="s">
        <v>2183</v>
      </c>
      <c r="F321" s="286" t="s">
        <v>1157</v>
      </c>
      <c r="G321" s="275"/>
      <c r="H321" s="275"/>
      <c r="I321" s="275"/>
      <c r="J321" s="276"/>
    </row>
    <row r="322" ht="45.0" customHeight="1">
      <c r="A322" s="11">
        <v>321.0</v>
      </c>
      <c r="B322" s="271"/>
      <c r="C322" s="272" t="s">
        <v>2184</v>
      </c>
      <c r="D322" s="284" t="s">
        <v>2185</v>
      </c>
      <c r="E322" s="285">
        <v>20.0</v>
      </c>
      <c r="F322" s="280" t="s">
        <v>1157</v>
      </c>
      <c r="G322" s="275"/>
      <c r="H322" s="275"/>
      <c r="I322" s="275"/>
      <c r="J322" s="276"/>
    </row>
    <row r="323" ht="45.0" customHeight="1">
      <c r="A323" s="11">
        <v>322.0</v>
      </c>
      <c r="B323" s="271"/>
      <c r="C323" s="292" t="s">
        <v>2186</v>
      </c>
      <c r="D323" s="293" t="s">
        <v>1156</v>
      </c>
      <c r="E323" s="285">
        <v>2.0</v>
      </c>
      <c r="F323" s="280" t="s">
        <v>1157</v>
      </c>
      <c r="G323" s="275"/>
      <c r="H323" s="275"/>
      <c r="I323" s="275"/>
      <c r="J323" s="276"/>
    </row>
    <row r="324" ht="45.0" customHeight="1">
      <c r="A324" s="11">
        <v>323.0</v>
      </c>
      <c r="B324" s="11" t="s">
        <v>1171</v>
      </c>
      <c r="C324" s="93" t="s">
        <v>1172</v>
      </c>
      <c r="D324" s="215" t="s">
        <v>1156</v>
      </c>
      <c r="E324" s="255">
        <v>1.0</v>
      </c>
      <c r="F324" s="11" t="s">
        <v>1157</v>
      </c>
      <c r="G324" s="215" t="s">
        <v>111</v>
      </c>
      <c r="H324" s="11" t="str">
        <f>IMAGE("https://www.sigmaaldrich.com/deepweb/content/dam/sigma-aldrich/product2/017/wha2200110.tif/_jcr_content/renditions/wha2200110-large.jpg", 1)</f>
        <v/>
      </c>
      <c r="I324" s="11" t="s">
        <v>2113</v>
      </c>
    </row>
    <row r="325" ht="45.0" customHeight="1">
      <c r="A325" s="11">
        <v>324.0</v>
      </c>
      <c r="B325" s="11" t="s">
        <v>1183</v>
      </c>
      <c r="C325" s="93" t="s">
        <v>1184</v>
      </c>
      <c r="D325" s="215" t="s">
        <v>1156</v>
      </c>
      <c r="E325" s="11">
        <v>1.0</v>
      </c>
      <c r="F325" s="11" t="s">
        <v>1157</v>
      </c>
      <c r="G325" s="93" t="s">
        <v>1975</v>
      </c>
      <c r="H325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I325" s="11" t="s">
        <v>2115</v>
      </c>
    </row>
    <row r="326" ht="45.0" customHeight="1">
      <c r="A326" s="11">
        <v>325.0</v>
      </c>
      <c r="B326" s="11" t="s">
        <v>1187</v>
      </c>
      <c r="C326" s="93" t="s">
        <v>1188</v>
      </c>
      <c r="D326" s="215" t="s">
        <v>1156</v>
      </c>
      <c r="E326" s="216">
        <v>1.0</v>
      </c>
      <c r="F326" s="11" t="s">
        <v>1157</v>
      </c>
      <c r="G326" s="93" t="s">
        <v>1975</v>
      </c>
      <c r="H326" s="11" t="str">
        <f>IMAGE("https://m.media-amazon.com/images/I/61ra1C535pL._SL1500_.jpg", 1)</f>
        <v/>
      </c>
      <c r="I326" s="11" t="s">
        <v>2116</v>
      </c>
    </row>
    <row r="327" ht="45.0" customHeight="1">
      <c r="A327" s="11">
        <v>326.0</v>
      </c>
      <c r="B327" s="11" t="s">
        <v>1154</v>
      </c>
      <c r="C327" s="93" t="s">
        <v>2110</v>
      </c>
      <c r="D327" s="215" t="s">
        <v>1156</v>
      </c>
      <c r="E327" s="216">
        <v>10.0</v>
      </c>
      <c r="F327" s="11" t="s">
        <v>1157</v>
      </c>
      <c r="G327" s="93" t="s">
        <v>1968</v>
      </c>
      <c r="H327" s="11" t="str">
        <f>IMAGE("https://5.imimg.com/data5/SB/TW/SA/SELLER-91497159/glass-beaker-500x500.jpg",1)</f>
        <v/>
      </c>
      <c r="I327" s="221" t="s">
        <v>2111</v>
      </c>
    </row>
    <row r="328" ht="45.0" customHeight="1">
      <c r="A328" s="11">
        <v>327.0</v>
      </c>
      <c r="B328" s="11" t="s">
        <v>1159</v>
      </c>
      <c r="C328" s="93" t="s">
        <v>1160</v>
      </c>
      <c r="D328" s="215" t="s">
        <v>1156</v>
      </c>
      <c r="E328" s="11">
        <v>5.0</v>
      </c>
      <c r="F328" s="11" t="s">
        <v>1157</v>
      </c>
      <c r="G328" s="93" t="s">
        <v>1968</v>
      </c>
      <c r="H328" s="11" t="str">
        <f>IMAGE("https://m.media-amazon.com/images/I/41vGxqzVasL.jpg",1)</f>
        <v/>
      </c>
      <c r="I328" s="221" t="s">
        <v>2111</v>
      </c>
    </row>
    <row r="329" ht="45.0" customHeight="1">
      <c r="A329" s="11">
        <v>328.0</v>
      </c>
      <c r="B329" s="11" t="s">
        <v>1163</v>
      </c>
      <c r="C329" s="93" t="s">
        <v>1164</v>
      </c>
      <c r="D329" s="215" t="s">
        <v>1156</v>
      </c>
      <c r="E329" s="216">
        <v>8.0</v>
      </c>
      <c r="F329" s="11" t="s">
        <v>1157</v>
      </c>
      <c r="G329" s="93" t="s">
        <v>1968</v>
      </c>
      <c r="H329" s="11" t="str">
        <f>IMAGE("https://m.media-amazon.com/images/I/31b1KCUwqyL.jpg", 1)</f>
        <v/>
      </c>
      <c r="I329" s="221" t="s">
        <v>2111</v>
      </c>
    </row>
    <row r="330" ht="45.0" customHeight="1">
      <c r="A330" s="11">
        <v>329.0</v>
      </c>
      <c r="B330" s="11" t="s">
        <v>1175</v>
      </c>
      <c r="C330" s="93" t="s">
        <v>1176</v>
      </c>
      <c r="D330" s="215" t="s">
        <v>1156</v>
      </c>
      <c r="E330" s="216">
        <v>1.0</v>
      </c>
      <c r="F330" s="11" t="s">
        <v>1157</v>
      </c>
      <c r="G330" s="93" t="s">
        <v>1968</v>
      </c>
      <c r="H330" s="11" t="str">
        <f>IMAGE("https://m.media-amazon.com/images/I/A1PFWcAysAL.jpg", 1)</f>
        <v/>
      </c>
      <c r="I330" s="11" t="s">
        <v>2112</v>
      </c>
    </row>
    <row r="331" ht="45.0" customHeight="1">
      <c r="A331" s="11">
        <v>330.0</v>
      </c>
      <c r="B331" s="11" t="s">
        <v>1204</v>
      </c>
      <c r="C331" s="93" t="s">
        <v>1205</v>
      </c>
      <c r="D331" s="215" t="s">
        <v>1156</v>
      </c>
      <c r="E331" s="216">
        <v>30.0</v>
      </c>
      <c r="F331" s="11" t="s">
        <v>1157</v>
      </c>
      <c r="G331" s="93" t="s">
        <v>1968</v>
      </c>
      <c r="H331" s="11" t="str">
        <f>IMAGE("https://www.abdoslifesciences.com/wp-content/uploads/Abdos_Delhi2-107_P10911-to-P10918-2.png",1)</f>
        <v/>
      </c>
      <c r="I331" s="222" t="s">
        <v>2119</v>
      </c>
    </row>
    <row r="332" ht="45.0" customHeight="1">
      <c r="A332" s="11">
        <v>331.0</v>
      </c>
      <c r="B332" s="11" t="s">
        <v>1208</v>
      </c>
      <c r="C332" s="93" t="s">
        <v>1209</v>
      </c>
      <c r="D332" s="215" t="s">
        <v>1156</v>
      </c>
      <c r="E332" s="11">
        <v>2.0</v>
      </c>
      <c r="F332" s="11" t="s">
        <v>1157</v>
      </c>
      <c r="G332" s="93" t="s">
        <v>1968</v>
      </c>
      <c r="H332" s="11" t="str">
        <f>IMAGE("https://pim-resources.coleparmer.com/product/l/dwk-life-sciences-kimble-dwk-kimble-babcock-pipettes-14663.jpg",1)</f>
        <v/>
      </c>
      <c r="I332" s="11" t="s">
        <v>2117</v>
      </c>
    </row>
    <row r="333" ht="45.0" customHeight="1">
      <c r="A333" s="11">
        <v>332.0</v>
      </c>
      <c r="B333" s="11" t="s">
        <v>1228</v>
      </c>
      <c r="C333" s="93" t="s">
        <v>1229</v>
      </c>
      <c r="D333" s="215" t="s">
        <v>1156</v>
      </c>
      <c r="E333" s="11">
        <v>1.0</v>
      </c>
      <c r="F333" s="11" t="s">
        <v>1157</v>
      </c>
      <c r="G333" s="93" t="s">
        <v>1968</v>
      </c>
      <c r="H333" s="11" t="str">
        <f>IMAGE("https://m.media-amazon.com/images/I/51+vdFGMMML._SL1001_.jpg",1)</f>
        <v/>
      </c>
      <c r="I333" s="11" t="s">
        <v>2027</v>
      </c>
    </row>
    <row r="334" ht="45.0" customHeight="1">
      <c r="A334" s="11">
        <v>333.0</v>
      </c>
      <c r="B334" s="11" t="s">
        <v>1232</v>
      </c>
      <c r="C334" s="93" t="s">
        <v>1233</v>
      </c>
      <c r="D334" s="215" t="s">
        <v>1156</v>
      </c>
      <c r="E334" s="216">
        <v>10.0</v>
      </c>
      <c r="F334" s="11" t="s">
        <v>1157</v>
      </c>
      <c r="G334" s="93" t="s">
        <v>1968</v>
      </c>
      <c r="H334" s="11" t="str">
        <f>IMAGE("https://5.imimg.com/data5/SELLER/Default/2022/10/RF/ME/PW/7444604/12x100mm-glass-test-tube-500x500.jpg", 1)</f>
        <v/>
      </c>
      <c r="I334" s="11" t="s">
        <v>2121</v>
      </c>
    </row>
    <row r="335" ht="45.0" customHeight="1">
      <c r="A335" s="11">
        <v>334.0</v>
      </c>
      <c r="B335" s="11" t="s">
        <v>1236</v>
      </c>
      <c r="C335" s="93" t="s">
        <v>1237</v>
      </c>
      <c r="D335" s="215" t="s">
        <v>1156</v>
      </c>
      <c r="E335" s="216">
        <v>2.0</v>
      </c>
      <c r="F335" s="11" t="s">
        <v>1157</v>
      </c>
      <c r="G335" s="93" t="s">
        <v>1968</v>
      </c>
      <c r="H335" s="11" t="str">
        <f>IMAGE("https://www.abdoslifesciences.com/wp-content/uploads/p10.jpg", 1)</f>
        <v/>
      </c>
      <c r="I335" s="11" t="s">
        <v>2027</v>
      </c>
    </row>
    <row r="336" ht="45.0" customHeight="1">
      <c r="A336" s="11">
        <v>335.0</v>
      </c>
      <c r="B336" s="11" t="s">
        <v>1244</v>
      </c>
      <c r="C336" s="93" t="s">
        <v>1245</v>
      </c>
      <c r="D336" s="215" t="s">
        <v>1156</v>
      </c>
      <c r="E336" s="11">
        <v>10.0</v>
      </c>
      <c r="F336" s="11" t="s">
        <v>1157</v>
      </c>
      <c r="G336" s="93" t="s">
        <v>1968</v>
      </c>
      <c r="H336" s="11" t="str">
        <f>IMAGE("https://m.media-amazon.com/images/I/31U00ndDv2L._SX679_.jpg",1)</f>
        <v/>
      </c>
      <c r="I336" s="11" t="s">
        <v>2122</v>
      </c>
    </row>
    <row r="337" ht="45.0" customHeight="1">
      <c r="A337" s="11">
        <v>336.0</v>
      </c>
      <c r="B337" s="11" t="s">
        <v>1167</v>
      </c>
      <c r="C337" s="93" t="s">
        <v>1168</v>
      </c>
      <c r="D337" s="215" t="s">
        <v>1156</v>
      </c>
      <c r="E337" s="11">
        <v>2.0</v>
      </c>
      <c r="F337" s="11" t="s">
        <v>1157</v>
      </c>
      <c r="G337" s="93" t="s">
        <v>1969</v>
      </c>
      <c r="H337" s="11" t="str">
        <f>IMAGE("https://m.media-amazon.com/images/W/MEDIAX_792452-T2/images/I/71veIL4opPL.jpg",1)</f>
        <v/>
      </c>
      <c r="I337" s="11" t="s">
        <v>2112</v>
      </c>
    </row>
    <row r="338" ht="45.0" customHeight="1">
      <c r="A338" s="11">
        <v>337.0</v>
      </c>
      <c r="B338" s="11" t="s">
        <v>1212</v>
      </c>
      <c r="C338" s="93" t="s">
        <v>1213</v>
      </c>
      <c r="D338" s="215" t="s">
        <v>1156</v>
      </c>
      <c r="E338" s="216">
        <v>10.0</v>
      </c>
      <c r="F338" s="11" t="s">
        <v>1157</v>
      </c>
      <c r="G338" s="93" t="s">
        <v>1969</v>
      </c>
      <c r="H338" s="11" t="str">
        <f>IMAGE("https://5.imimg.com/data5/QC/NX/MY-932240/clear-plastic-funnel-250x250.jpg", 1)</f>
        <v/>
      </c>
      <c r="I338" s="11" t="s">
        <v>2113</v>
      </c>
    </row>
    <row r="339" ht="45.0" customHeight="1">
      <c r="A339" s="11">
        <v>338.0</v>
      </c>
      <c r="B339" s="11" t="s">
        <v>1216</v>
      </c>
      <c r="C339" s="93" t="s">
        <v>1217</v>
      </c>
      <c r="D339" s="215" t="s">
        <v>1156</v>
      </c>
      <c r="E339" s="216">
        <v>10.0</v>
      </c>
      <c r="F339" s="11" t="s">
        <v>1157</v>
      </c>
      <c r="G339" s="93" t="s">
        <v>1969</v>
      </c>
      <c r="H339" s="11" t="str">
        <f>IMAGE("https://www.reagecon.com/product/image/medium/6267270_1.jpg",1)</f>
        <v/>
      </c>
      <c r="I339" s="11" t="s">
        <v>2113</v>
      </c>
    </row>
    <row r="340" ht="45.0" customHeight="1">
      <c r="A340" s="11">
        <v>339.0</v>
      </c>
      <c r="B340" s="11" t="s">
        <v>1224</v>
      </c>
      <c r="C340" s="93" t="s">
        <v>1225</v>
      </c>
      <c r="D340" s="215" t="s">
        <v>1156</v>
      </c>
      <c r="E340" s="216">
        <v>100.0</v>
      </c>
      <c r="F340" s="11" t="s">
        <v>1157</v>
      </c>
      <c r="G340" s="93" t="s">
        <v>1969</v>
      </c>
      <c r="H340" s="11" t="str">
        <f>IMAGE("https://5.imimg.com/data5/GX/OE/MY-972879/30ml-specimen-container-500x500.jpg", 1)</f>
        <v/>
      </c>
      <c r="I340" s="222" t="s">
        <v>2120</v>
      </c>
    </row>
    <row r="341" ht="45.0" customHeight="1">
      <c r="A341" s="11">
        <v>340.0</v>
      </c>
      <c r="B341" s="11" t="s">
        <v>1240</v>
      </c>
      <c r="C341" s="93" t="s">
        <v>1241</v>
      </c>
      <c r="D341" s="215" t="s">
        <v>1156</v>
      </c>
      <c r="E341" s="216">
        <v>2.0</v>
      </c>
      <c r="F341" s="11" t="s">
        <v>1157</v>
      </c>
      <c r="G341" s="93" t="s">
        <v>1969</v>
      </c>
      <c r="H341" s="11" t="str">
        <f>IMAGE("https://www.abdoslifesciences.com/wp-content/uploads/Wash-Bottle-LDPE-day-20376.jpg", 1)</f>
        <v/>
      </c>
      <c r="I341" s="221" t="s">
        <v>2116</v>
      </c>
    </row>
    <row r="342" ht="45.0" customHeight="1">
      <c r="A342" s="11">
        <v>341.0</v>
      </c>
      <c r="B342" s="11" t="s">
        <v>1191</v>
      </c>
      <c r="C342" s="93" t="s">
        <v>1192</v>
      </c>
      <c r="D342" s="215" t="s">
        <v>1156</v>
      </c>
      <c r="E342" s="11">
        <v>1.0</v>
      </c>
      <c r="F342" s="11" t="s">
        <v>1157</v>
      </c>
      <c r="G342" s="93" t="s">
        <v>1971</v>
      </c>
      <c r="H342" s="11" t="str">
        <f>IMAGE("https://5.imimg.com/data5/SI/VL/MY-6819814/multi-volume-adjustable-micropipette.jpg",1)</f>
        <v/>
      </c>
      <c r="I342" s="222" t="s">
        <v>2117</v>
      </c>
    </row>
    <row r="343" ht="45.0" customHeight="1">
      <c r="A343" s="11">
        <v>342.0</v>
      </c>
      <c r="B343" s="11" t="s">
        <v>1195</v>
      </c>
      <c r="C343" s="93" t="s">
        <v>1196</v>
      </c>
      <c r="D343" s="215" t="s">
        <v>1156</v>
      </c>
      <c r="E343" s="216">
        <v>1.0</v>
      </c>
      <c r="F343" s="11" t="s">
        <v>1157</v>
      </c>
      <c r="G343" s="93" t="s">
        <v>1971</v>
      </c>
      <c r="H343" s="11" t="str">
        <f>IMAGE("https://5.imimg.com/data5/SELLER/Default/2021/7/IF/DT/PV/116258883/microscope-cover-glass-250x250.JPG",1)</f>
        <v/>
      </c>
      <c r="I343" s="222" t="s">
        <v>2118</v>
      </c>
    </row>
    <row r="344" ht="45.0" customHeight="1">
      <c r="A344" s="11">
        <v>343.0</v>
      </c>
      <c r="B344" s="11" t="s">
        <v>1200</v>
      </c>
      <c r="C344" s="93" t="s">
        <v>1201</v>
      </c>
      <c r="D344" s="215" t="s">
        <v>1156</v>
      </c>
      <c r="E344" s="216">
        <v>1.0</v>
      </c>
      <c r="F344" s="11" t="s">
        <v>1157</v>
      </c>
      <c r="G344" s="93" t="s">
        <v>1971</v>
      </c>
      <c r="H344" s="11" t="str">
        <f>IMAGE("https://5.imimg.com/data5/AZ/OD/EC/SELLER-20177713/laboratory-slides-500x500.jpg",1)</f>
        <v/>
      </c>
      <c r="I344" s="222" t="s">
        <v>2118</v>
      </c>
    </row>
    <row r="345" ht="45.0" customHeight="1">
      <c r="A345" s="11">
        <v>344.0</v>
      </c>
      <c r="B345" s="11" t="s">
        <v>1179</v>
      </c>
      <c r="C345" s="93" t="s">
        <v>1180</v>
      </c>
      <c r="D345" s="215" t="s">
        <v>1156</v>
      </c>
      <c r="E345" s="216">
        <v>20.0</v>
      </c>
      <c r="F345" s="11" t="s">
        <v>1157</v>
      </c>
      <c r="G345" s="93" t="s">
        <v>1970</v>
      </c>
      <c r="H345" s="11" t="str">
        <f>IMAGE("https://www.domo.in/image/cache/catalog/nHance/LNSS4201/Display-228x228.jpg")</f>
        <v/>
      </c>
      <c r="I345" s="222" t="s">
        <v>2114</v>
      </c>
    </row>
    <row r="346" ht="45.0" customHeight="1">
      <c r="A346" s="11">
        <v>345.0</v>
      </c>
      <c r="B346" s="259" t="s">
        <v>1998</v>
      </c>
      <c r="C346" s="260" t="s">
        <v>1999</v>
      </c>
      <c r="D346" s="215" t="s">
        <v>1156</v>
      </c>
      <c r="E346" s="216">
        <v>4.0</v>
      </c>
      <c r="F346" s="11" t="s">
        <v>1157</v>
      </c>
      <c r="G346" s="270" t="s">
        <v>2187</v>
      </c>
      <c r="H346" s="11"/>
      <c r="I346" s="11" t="s">
        <v>2155</v>
      </c>
    </row>
    <row r="347" ht="45.0" customHeight="1">
      <c r="A347" s="11">
        <v>346.0</v>
      </c>
      <c r="B347" s="11" t="s">
        <v>1269</v>
      </c>
      <c r="C347" s="37" t="s">
        <v>1270</v>
      </c>
      <c r="D347" s="215" t="s">
        <v>1250</v>
      </c>
      <c r="E347" s="11">
        <v>1.0</v>
      </c>
      <c r="F347" s="11" t="s">
        <v>1157</v>
      </c>
      <c r="G347" s="93" t="s">
        <v>1975</v>
      </c>
      <c r="H347" s="11" t="str">
        <f>IMAGE("https://m.media-amazon.com/images/I/61USTYJ+OPL._SL1500_.jpg",1)</f>
        <v/>
      </c>
      <c r="I347" s="11" t="s">
        <v>2027</v>
      </c>
    </row>
    <row r="348" ht="45.0" customHeight="1">
      <c r="A348" s="11">
        <v>347.0</v>
      </c>
      <c r="B348" s="11" t="s">
        <v>1301</v>
      </c>
      <c r="C348" s="93" t="s">
        <v>1302</v>
      </c>
      <c r="D348" s="215" t="s">
        <v>1250</v>
      </c>
      <c r="E348" s="216">
        <v>1.0</v>
      </c>
      <c r="F348" s="11" t="s">
        <v>1157</v>
      </c>
      <c r="G348" s="93" t="s">
        <v>1975</v>
      </c>
      <c r="H348" s="11" t="str">
        <f>IMAGE("https://5.imimg.com/data5/XG/YW/VV/SELLER-219478/hot-plate-round-250x250.jpg",1)</f>
        <v/>
      </c>
      <c r="I348" s="11" t="s">
        <v>2027</v>
      </c>
    </row>
    <row r="349" ht="45.0" customHeight="1">
      <c r="A349" s="11">
        <v>348.0</v>
      </c>
      <c r="B349" s="11" t="s">
        <v>1284</v>
      </c>
      <c r="C349" s="93" t="s">
        <v>1285</v>
      </c>
      <c r="D349" s="215" t="s">
        <v>1250</v>
      </c>
      <c r="E349" s="11">
        <v>1.0</v>
      </c>
      <c r="F349" s="11" t="s">
        <v>1157</v>
      </c>
      <c r="G349" s="93" t="s">
        <v>1964</v>
      </c>
      <c r="H349" s="11"/>
      <c r="I349" s="222" t="s">
        <v>2124</v>
      </c>
    </row>
    <row r="350" ht="45.0" customHeight="1">
      <c r="A350" s="11">
        <v>349.0</v>
      </c>
      <c r="B350" s="11" t="s">
        <v>1305</v>
      </c>
      <c r="C350" s="93" t="s">
        <v>1306</v>
      </c>
      <c r="D350" s="215" t="s">
        <v>1250</v>
      </c>
      <c r="E350" s="216">
        <v>1.0</v>
      </c>
      <c r="F350" s="11" t="s">
        <v>1157</v>
      </c>
      <c r="G350" s="93" t="s">
        <v>1964</v>
      </c>
      <c r="H350" s="11" t="str">
        <f>IMAGE("https://image.made-in-china.com/202f0j00DeSTmvGBnZpR/Electronic-Weighing-Scale-Digital-Scale-of-High-Precision-HWA-.jpg",1)</f>
        <v/>
      </c>
      <c r="I350" s="11" t="s">
        <v>2027</v>
      </c>
    </row>
    <row r="351" ht="45.0" customHeight="1">
      <c r="A351" s="11">
        <v>350.0</v>
      </c>
      <c r="B351" s="11" t="s">
        <v>1309</v>
      </c>
      <c r="C351" s="93" t="s">
        <v>1310</v>
      </c>
      <c r="D351" s="215" t="s">
        <v>1250</v>
      </c>
      <c r="E351" s="216">
        <v>1.0</v>
      </c>
      <c r="F351" s="11" t="s">
        <v>1157</v>
      </c>
      <c r="G351" s="93" t="s">
        <v>1964</v>
      </c>
      <c r="H351" s="11" t="str">
        <f>IMAGE("https://m.media-amazon.com/images/I/71-uBViGV+L._SX522_.jpg",1)</f>
        <v/>
      </c>
      <c r="I351" s="222" t="s">
        <v>2027</v>
      </c>
    </row>
    <row r="352" ht="45.0" customHeight="1">
      <c r="A352" s="11">
        <v>351.0</v>
      </c>
      <c r="B352" s="11" t="s">
        <v>1297</v>
      </c>
      <c r="C352" s="93" t="s">
        <v>1976</v>
      </c>
      <c r="D352" s="215" t="s">
        <v>1250</v>
      </c>
      <c r="E352" s="216">
        <v>20.0</v>
      </c>
      <c r="F352" s="11" t="s">
        <v>1157</v>
      </c>
      <c r="G352" s="93" t="s">
        <v>1971</v>
      </c>
      <c r="H352" s="11" t="str">
        <f>IMAGE("https://m.media-amazon.com/images/I/71O3EMayekL.jpg",1)</f>
        <v/>
      </c>
      <c r="I352" s="222" t="s">
        <v>2125</v>
      </c>
    </row>
    <row r="353" ht="45.0" customHeight="1">
      <c r="A353" s="11">
        <v>352.0</v>
      </c>
      <c r="B353" s="11" t="s">
        <v>1313</v>
      </c>
      <c r="C353" s="93" t="s">
        <v>1314</v>
      </c>
      <c r="D353" s="215" t="s">
        <v>1250</v>
      </c>
      <c r="E353" s="11">
        <v>1.0</v>
      </c>
      <c r="F353" s="11" t="s">
        <v>1157</v>
      </c>
      <c r="G353" s="93" t="s">
        <v>1971</v>
      </c>
      <c r="H353" s="11" t="str">
        <f>IMAGE("https://m.media-amazon.com/images/I/61MstERkLZL._SL1500_.jpg",1)</f>
        <v/>
      </c>
      <c r="I353" s="11" t="s">
        <v>2027</v>
      </c>
    </row>
    <row r="354" ht="45.0" customHeight="1">
      <c r="A354" s="11">
        <v>353.0</v>
      </c>
      <c r="B354" s="11" t="s">
        <v>1321</v>
      </c>
      <c r="C354" s="93" t="s">
        <v>1322</v>
      </c>
      <c r="D354" s="215" t="s">
        <v>1250</v>
      </c>
      <c r="E354" s="216">
        <v>1.0</v>
      </c>
      <c r="F354" s="11" t="s">
        <v>1157</v>
      </c>
      <c r="G354" s="93" t="s">
        <v>1971</v>
      </c>
      <c r="H354" s="11" t="str">
        <f>IMAGE("https://m.media-amazon.com/images/I/61yYBr4qxBL._SL1276_.jpg",1)</f>
        <v/>
      </c>
      <c r="I354" s="222" t="s">
        <v>2027</v>
      </c>
    </row>
    <row r="355" ht="45.0" customHeight="1">
      <c r="A355" s="11">
        <v>354.0</v>
      </c>
      <c r="B355" s="271"/>
      <c r="C355" s="288" t="s">
        <v>2188</v>
      </c>
      <c r="D355" s="289" t="s">
        <v>2189</v>
      </c>
      <c r="E355" s="290">
        <v>2.0</v>
      </c>
      <c r="F355" s="294" t="s">
        <v>1157</v>
      </c>
      <c r="G355" s="275"/>
      <c r="H355" s="275"/>
      <c r="I355" s="275"/>
      <c r="J355" s="276"/>
    </row>
    <row r="356" ht="45.0" customHeight="1">
      <c r="A356" s="11">
        <v>355.0</v>
      </c>
      <c r="B356" s="271"/>
      <c r="C356" s="283" t="s">
        <v>2190</v>
      </c>
      <c r="D356" s="284" t="s">
        <v>2189</v>
      </c>
      <c r="E356" s="285">
        <v>2.0</v>
      </c>
      <c r="F356" s="295" t="s">
        <v>1157</v>
      </c>
      <c r="G356" s="275"/>
      <c r="H356" s="275"/>
      <c r="I356" s="275"/>
      <c r="J356" s="276"/>
    </row>
    <row r="357" ht="45.0" customHeight="1">
      <c r="A357" s="11">
        <v>356.0</v>
      </c>
      <c r="B357" s="271"/>
      <c r="C357" s="296" t="s">
        <v>2191</v>
      </c>
      <c r="D357" s="297" t="s">
        <v>1156</v>
      </c>
      <c r="E357" s="290">
        <v>1.0</v>
      </c>
      <c r="F357" s="294" t="s">
        <v>1157</v>
      </c>
      <c r="G357" s="275"/>
      <c r="H357" s="275"/>
      <c r="I357" s="275"/>
      <c r="J357" s="276"/>
    </row>
    <row r="358" ht="45.0" customHeight="1">
      <c r="A358" s="11">
        <v>357.0</v>
      </c>
      <c r="B358" s="271"/>
      <c r="C358" s="288" t="s">
        <v>2192</v>
      </c>
      <c r="D358" s="289" t="s">
        <v>2193</v>
      </c>
      <c r="E358" s="290">
        <v>2.0</v>
      </c>
      <c r="F358" s="294" t="s">
        <v>1157</v>
      </c>
      <c r="G358" s="275"/>
      <c r="H358" s="275"/>
      <c r="I358" s="275"/>
      <c r="J358" s="276"/>
    </row>
    <row r="359" ht="45.0" customHeight="1">
      <c r="A359" s="11">
        <v>358.0</v>
      </c>
      <c r="B359" s="271"/>
      <c r="C359" s="283" t="s">
        <v>2194</v>
      </c>
      <c r="D359" s="284" t="s">
        <v>2193</v>
      </c>
      <c r="E359" s="285">
        <v>2.0</v>
      </c>
      <c r="F359" s="295" t="s">
        <v>1157</v>
      </c>
      <c r="G359" s="275"/>
      <c r="H359" s="275"/>
      <c r="I359" s="275"/>
      <c r="J359" s="276"/>
    </row>
    <row r="360" ht="45.0" customHeight="1">
      <c r="A360" s="11">
        <v>359.0</v>
      </c>
      <c r="B360" s="11" t="s">
        <v>344</v>
      </c>
      <c r="C360" s="93" t="s">
        <v>345</v>
      </c>
      <c r="D360" s="215" t="s">
        <v>346</v>
      </c>
      <c r="E360" s="216">
        <v>2.0</v>
      </c>
      <c r="F360" s="11" t="s">
        <v>347</v>
      </c>
      <c r="G360" s="215" t="s">
        <v>346</v>
      </c>
      <c r="H360" s="11" t="str">
        <f>IMAGE("https://m.media-amazon.com/images/I/71NdWJD1LKL._SL1500_.jpg",1)</f>
        <v/>
      </c>
      <c r="I360" s="11" t="s">
        <v>2050</v>
      </c>
    </row>
    <row r="361" ht="45.0" customHeight="1">
      <c r="A361" s="11">
        <v>360.0</v>
      </c>
      <c r="B361" s="11" t="s">
        <v>350</v>
      </c>
      <c r="C361" s="93" t="s">
        <v>351</v>
      </c>
      <c r="D361" s="215" t="s">
        <v>346</v>
      </c>
      <c r="E361" s="216">
        <v>2.0</v>
      </c>
      <c r="F361" s="11" t="s">
        <v>347</v>
      </c>
      <c r="G361" s="215" t="s">
        <v>346</v>
      </c>
      <c r="H361" s="11" t="str">
        <f>IMAGE("https://m.media-amazon.com/images/I/41GBeFsg3kL.jpg",1)</f>
        <v/>
      </c>
      <c r="I361" s="11" t="s">
        <v>2051</v>
      </c>
    </row>
    <row r="362" ht="45.0" customHeight="1">
      <c r="A362" s="11">
        <v>361.0</v>
      </c>
      <c r="B362" s="11" t="s">
        <v>355</v>
      </c>
      <c r="C362" s="93" t="s">
        <v>356</v>
      </c>
      <c r="D362" s="215" t="s">
        <v>346</v>
      </c>
      <c r="E362" s="216">
        <v>1.0</v>
      </c>
      <c r="F362" s="11" t="s">
        <v>347</v>
      </c>
      <c r="G362" s="215" t="s">
        <v>346</v>
      </c>
      <c r="H362" s="11" t="str">
        <f>IMAGE("https://services.ibo.com/media/v1/products/images/db78032d-e5ba-4c4c-bc8f-110fa0021b77/stanley-sta7221xjin-16-pc-drilling-and-screwdriving-set-1.jpeg",1)</f>
        <v/>
      </c>
      <c r="I362" s="11" t="s">
        <v>2050</v>
      </c>
    </row>
    <row r="363" ht="45.0" customHeight="1">
      <c r="A363" s="11">
        <v>362.0</v>
      </c>
      <c r="B363" s="11" t="s">
        <v>359</v>
      </c>
      <c r="C363" s="93" t="s">
        <v>360</v>
      </c>
      <c r="D363" s="215" t="s">
        <v>346</v>
      </c>
      <c r="E363" s="216">
        <v>1.0</v>
      </c>
      <c r="F363" s="11" t="s">
        <v>347</v>
      </c>
      <c r="G363" s="215" t="s">
        <v>346</v>
      </c>
      <c r="H363" s="11" t="str">
        <f>IMAGE("https://cdn.moglix.com/p/Rn8lZopeAizs5-xxlarge.jpg",1)</f>
        <v/>
      </c>
      <c r="I363" s="11" t="s">
        <v>2050</v>
      </c>
    </row>
    <row r="364" ht="45.0" customHeight="1">
      <c r="A364" s="11">
        <v>363.0</v>
      </c>
      <c r="B364" s="11" t="s">
        <v>363</v>
      </c>
      <c r="C364" s="93" t="s">
        <v>364</v>
      </c>
      <c r="D364" s="215" t="s">
        <v>346</v>
      </c>
      <c r="E364" s="216">
        <v>1.0</v>
      </c>
      <c r="F364" s="11" t="s">
        <v>347</v>
      </c>
      <c r="G364" s="215" t="s">
        <v>346</v>
      </c>
      <c r="H364" s="11" t="str">
        <f>IMAGE("https://m.media-amazon.com/images/I/51wli9aWH9S._SL1000_.jpg",1)</f>
        <v/>
      </c>
      <c r="I364" s="11" t="s">
        <v>2050</v>
      </c>
    </row>
    <row r="365" ht="45.0" customHeight="1">
      <c r="A365" s="11">
        <v>364.0</v>
      </c>
      <c r="B365" s="11" t="s">
        <v>367</v>
      </c>
      <c r="C365" s="93" t="s">
        <v>368</v>
      </c>
      <c r="D365" s="215" t="s">
        <v>346</v>
      </c>
      <c r="E365" s="216">
        <v>20.0</v>
      </c>
      <c r="F365" s="11" t="s">
        <v>347</v>
      </c>
      <c r="G365" s="215" t="s">
        <v>346</v>
      </c>
      <c r="H365" s="11" t="str">
        <f>IMAGE("https://res.cloudinary.com/rsc/image/upload/b_rgb:FFFFFF,c_pad,dpr_1.0,f_auto,q_auto,w_700/c_pad,w_700/C4847566-05",1)</f>
        <v/>
      </c>
      <c r="I365" s="11" t="s">
        <v>2051</v>
      </c>
    </row>
    <row r="366" ht="45.0" customHeight="1">
      <c r="A366" s="11">
        <v>365.0</v>
      </c>
      <c r="B366" s="11" t="s">
        <v>371</v>
      </c>
      <c r="C366" s="93" t="s">
        <v>372</v>
      </c>
      <c r="D366" s="215" t="s">
        <v>346</v>
      </c>
      <c r="E366" s="216">
        <v>2.0</v>
      </c>
      <c r="F366" s="11" t="s">
        <v>347</v>
      </c>
      <c r="G366" s="215" t="s">
        <v>346</v>
      </c>
      <c r="H366" s="11" t="str">
        <f>IMAGE("https://5.imimg.com/data5/JR/LF/GK/SELLER-30390418/hacksaw-500x500.png",1)</f>
        <v/>
      </c>
      <c r="I366" s="11" t="s">
        <v>2053</v>
      </c>
    </row>
    <row r="367" ht="45.0" customHeight="1">
      <c r="A367" s="11">
        <v>366.0</v>
      </c>
      <c r="B367" s="11" t="s">
        <v>374</v>
      </c>
      <c r="C367" s="93" t="s">
        <v>375</v>
      </c>
      <c r="D367" s="215" t="s">
        <v>346</v>
      </c>
      <c r="E367" s="216">
        <v>5.0</v>
      </c>
      <c r="F367" s="11" t="s">
        <v>347</v>
      </c>
      <c r="G367" s="215" t="s">
        <v>346</v>
      </c>
      <c r="H367" s="11" t="str">
        <f>IMAGE("https://encrypted-tbn0.gstatic.com/images?q=tbn:ANd9GcRnlFGDkPLnXJSjTXFe7fzQ2kj51brspxAcjVtkmgU5NgUWN5-EbmbNTptE-Y3t4g8lr84&amp;usqp=CAU",1)</f>
        <v/>
      </c>
      <c r="I367" s="11" t="s">
        <v>2053</v>
      </c>
    </row>
    <row r="368" ht="45.0" customHeight="1">
      <c r="A368" s="11">
        <v>367.0</v>
      </c>
      <c r="B368" s="11" t="s">
        <v>378</v>
      </c>
      <c r="C368" s="93" t="s">
        <v>379</v>
      </c>
      <c r="D368" s="215" t="s">
        <v>346</v>
      </c>
      <c r="E368" s="216">
        <v>2.0</v>
      </c>
      <c r="F368" s="11" t="s">
        <v>347</v>
      </c>
      <c r="G368" s="215" t="s">
        <v>346</v>
      </c>
      <c r="H368" s="11" t="str">
        <f>IMAGE("https://www.stanleytools.me/EMEA/PRODUCT/IMAGES/HIRES/STHT0-10194/STHT0-10194_1.jpg?resize=530x530",1)</f>
        <v/>
      </c>
      <c r="I368" s="11" t="s">
        <v>2050</v>
      </c>
    </row>
    <row r="369" ht="45.0" customHeight="1">
      <c r="A369" s="11">
        <v>368.0</v>
      </c>
      <c r="B369" s="11" t="s">
        <v>381</v>
      </c>
      <c r="C369" s="93" t="s">
        <v>382</v>
      </c>
      <c r="D369" s="215" t="s">
        <v>346</v>
      </c>
      <c r="E369" s="216">
        <v>10.0</v>
      </c>
      <c r="F369" s="11" t="s">
        <v>347</v>
      </c>
      <c r="G369" s="215" t="s">
        <v>346</v>
      </c>
      <c r="H369" s="11" t="str">
        <f>IMAGE("https://sc04.alicdn.com/kf/HTB1fK8lXPvuK1Rjy0Faq6x2aVXa5.jpg",1)</f>
        <v/>
      </c>
      <c r="I369" s="11" t="s">
        <v>2054</v>
      </c>
    </row>
    <row r="370" ht="45.0" customHeight="1">
      <c r="A370" s="11">
        <v>369.0</v>
      </c>
      <c r="B370" s="11" t="s">
        <v>385</v>
      </c>
      <c r="C370" s="93" t="s">
        <v>1926</v>
      </c>
      <c r="D370" s="215" t="s">
        <v>346</v>
      </c>
      <c r="E370" s="11">
        <v>1.0</v>
      </c>
      <c r="F370" s="11" t="s">
        <v>347</v>
      </c>
      <c r="G370" s="215" t="s">
        <v>346</v>
      </c>
      <c r="H370" s="11" t="str">
        <f>IMAGE("https://asia.blackanddecker.global/ASIA/PRODUCT/IMAGES/HIRES/RT18KA-B1/RT18KA_1.jpg?resize=530x530", 1)</f>
        <v/>
      </c>
      <c r="I370" s="11" t="s">
        <v>2050</v>
      </c>
    </row>
    <row r="371" ht="45.0" customHeight="1">
      <c r="A371" s="11">
        <v>370.0</v>
      </c>
      <c r="B371" s="11" t="s">
        <v>388</v>
      </c>
      <c r="C371" s="93" t="s">
        <v>1927</v>
      </c>
      <c r="D371" s="215" t="s">
        <v>346</v>
      </c>
      <c r="E371" s="216">
        <v>5.0</v>
      </c>
      <c r="F371" s="11" t="s">
        <v>347</v>
      </c>
      <c r="G371" s="215" t="s">
        <v>346</v>
      </c>
      <c r="H371" s="11" t="str">
        <f>IMAGE("https://m.media-amazon.com/images/I/518vUksgebL._SL1100_.jpg",1)</f>
        <v/>
      </c>
      <c r="I371" s="11" t="s">
        <v>2055</v>
      </c>
    </row>
    <row r="372" ht="45.0" customHeight="1">
      <c r="A372" s="11">
        <v>371.0</v>
      </c>
      <c r="B372" s="11" t="s">
        <v>392</v>
      </c>
      <c r="C372" s="93" t="s">
        <v>1928</v>
      </c>
      <c r="D372" s="215" t="s">
        <v>346</v>
      </c>
      <c r="E372" s="216">
        <v>5.0</v>
      </c>
      <c r="F372" s="11" t="s">
        <v>347</v>
      </c>
      <c r="G372" s="215" t="s">
        <v>346</v>
      </c>
      <c r="H372" s="11" t="str">
        <f>IMAGE("https://rukminim1.flixcart.com/image/416/416/jidg9zk0/art-craft-kit/f/g/a/9mm-snap-off-precision-blades-30-degree-blades-100-blade-pack-1-original-imaf66g6ahvgzem3.jpeg?q=70",1)</f>
        <v/>
      </c>
      <c r="I372" s="11" t="s">
        <v>2055</v>
      </c>
    </row>
    <row r="373" ht="45.0" customHeight="1">
      <c r="A373" s="11">
        <v>372.0</v>
      </c>
      <c r="B373" s="11" t="s">
        <v>396</v>
      </c>
      <c r="C373" s="93" t="s">
        <v>1929</v>
      </c>
      <c r="D373" s="215" t="s">
        <v>346</v>
      </c>
      <c r="E373" s="216">
        <v>5.0</v>
      </c>
      <c r="F373" s="11" t="s">
        <v>347</v>
      </c>
      <c r="G373" s="215" t="s">
        <v>346</v>
      </c>
      <c r="H373" s="11" t="str">
        <f>IMAGE("https://m.media-amazon.com/images/I/31u15vg7r0L._SX342_.jpg",1)</f>
        <v/>
      </c>
      <c r="I373" s="11" t="s">
        <v>2056</v>
      </c>
    </row>
    <row r="374" ht="45.0" customHeight="1">
      <c r="A374" s="11">
        <v>373.0</v>
      </c>
      <c r="B374" s="11" t="s">
        <v>400</v>
      </c>
      <c r="C374" s="93" t="s">
        <v>1930</v>
      </c>
      <c r="D374" s="215" t="s">
        <v>346</v>
      </c>
      <c r="E374" s="216">
        <v>10.0</v>
      </c>
      <c r="F374" s="11" t="s">
        <v>347</v>
      </c>
      <c r="G374" s="215" t="s">
        <v>346</v>
      </c>
      <c r="H374" s="11" t="str">
        <f>IMAGE("https://hydetools.com/wp-content/uploads/2019/09/42046b.jpg",1)</f>
        <v/>
      </c>
      <c r="I374" s="11" t="s">
        <v>2056</v>
      </c>
    </row>
    <row r="375" ht="45.0" customHeight="1">
      <c r="A375" s="11">
        <v>374.0</v>
      </c>
      <c r="B375" s="11" t="s">
        <v>404</v>
      </c>
      <c r="C375" s="93" t="s">
        <v>405</v>
      </c>
      <c r="D375" s="215" t="s">
        <v>346</v>
      </c>
      <c r="E375" s="216">
        <v>10.0</v>
      </c>
      <c r="F375" s="11" t="s">
        <v>347</v>
      </c>
      <c r="G375" s="215" t="s">
        <v>346</v>
      </c>
      <c r="H375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I375" s="11" t="s">
        <v>2057</v>
      </c>
    </row>
    <row r="376" ht="45.0" customHeight="1">
      <c r="A376" s="11">
        <v>375.0</v>
      </c>
      <c r="B376" s="11" t="s">
        <v>407</v>
      </c>
      <c r="C376" s="93" t="s">
        <v>408</v>
      </c>
      <c r="D376" s="215" t="s">
        <v>346</v>
      </c>
      <c r="E376" s="216">
        <v>10.0</v>
      </c>
      <c r="F376" s="11" t="s">
        <v>347</v>
      </c>
      <c r="G376" s="215" t="s">
        <v>346</v>
      </c>
      <c r="H376" s="11" t="str">
        <f>IMAGE("https://cdn-reichelt.de/bilder/web/xxl_ws/I210/LEITZ_54166095.png",1)</f>
        <v/>
      </c>
      <c r="I376" s="11" t="s">
        <v>2057</v>
      </c>
    </row>
    <row r="377" ht="45.0" customHeight="1">
      <c r="A377" s="11">
        <v>376.0</v>
      </c>
      <c r="B377" s="11" t="s">
        <v>1022</v>
      </c>
      <c r="C377" s="93" t="s">
        <v>1023</v>
      </c>
      <c r="D377" s="215" t="s">
        <v>981</v>
      </c>
      <c r="E377" s="216">
        <v>10.0</v>
      </c>
      <c r="F377" s="11" t="s">
        <v>347</v>
      </c>
      <c r="G377" s="215" t="s">
        <v>981</v>
      </c>
      <c r="H377" s="11" t="str">
        <f>IMAGE("https://www.shaanstationery.com/image/cache/catalog/kangaro/kangaro-stapler-no-10-corner-view-1000x1000.jpg",1)</f>
        <v/>
      </c>
      <c r="I377" s="11" t="s">
        <v>2100</v>
      </c>
    </row>
    <row r="378" ht="45.0" customHeight="1">
      <c r="A378" s="11">
        <v>377.0</v>
      </c>
      <c r="B378" s="11" t="s">
        <v>1026</v>
      </c>
      <c r="C378" s="93" t="s">
        <v>1027</v>
      </c>
      <c r="D378" s="215" t="s">
        <v>981</v>
      </c>
      <c r="E378" s="216">
        <v>10.0</v>
      </c>
      <c r="F378" s="11" t="s">
        <v>347</v>
      </c>
      <c r="G378" s="215" t="s">
        <v>981</v>
      </c>
      <c r="H378" s="11" t="str">
        <f>IMAGE("https://sc04.alicdn.com/kf/HTB1f9mqOZbpK1RjSZFyq6x_qFXaz.jpg",1)</f>
        <v/>
      </c>
      <c r="I378" s="11" t="s">
        <v>2100</v>
      </c>
    </row>
    <row r="379" ht="45.0" customHeight="1">
      <c r="A379" s="11">
        <v>378.0</v>
      </c>
      <c r="B379" s="11" t="s">
        <v>1077</v>
      </c>
      <c r="C379" s="93" t="s">
        <v>1078</v>
      </c>
      <c r="D379" s="215" t="s">
        <v>1032</v>
      </c>
      <c r="E379" s="216">
        <v>50.0</v>
      </c>
      <c r="F379" s="11" t="s">
        <v>347</v>
      </c>
      <c r="G379" s="93" t="s">
        <v>23</v>
      </c>
      <c r="H379" s="11" t="str">
        <f>IMAGE("https://m.media-amazon.com/images/I/51OTKanSUXL._SL1024_.jpg",1)</f>
        <v/>
      </c>
      <c r="I379" s="11" t="s">
        <v>2103</v>
      </c>
    </row>
    <row r="380" ht="45.0" customHeight="1">
      <c r="A380" s="11">
        <v>379.0</v>
      </c>
      <c r="B380" s="11" t="s">
        <v>1127</v>
      </c>
      <c r="C380" s="93" t="s">
        <v>1128</v>
      </c>
      <c r="D380" s="215" t="s">
        <v>1032</v>
      </c>
      <c r="E380" s="216">
        <v>1.0</v>
      </c>
      <c r="F380" s="11" t="s">
        <v>347</v>
      </c>
      <c r="G380" s="93" t="s">
        <v>23</v>
      </c>
      <c r="H380" s="11" t="str">
        <f>IMAGE("https://cdn.bmstores.co.uk/images/hpcProductImage/imgFull/369783-stanley-sealant-gun-diy.jpg",1)</f>
        <v/>
      </c>
      <c r="I380" s="11" t="s">
        <v>2050</v>
      </c>
    </row>
    <row r="381" ht="45.0" customHeight="1">
      <c r="A381" s="11">
        <v>380.0</v>
      </c>
      <c r="B381" s="11" t="s">
        <v>1131</v>
      </c>
      <c r="C381" s="93" t="s">
        <v>1132</v>
      </c>
      <c r="D381" s="215" t="s">
        <v>1032</v>
      </c>
      <c r="E381" s="216">
        <v>1.0</v>
      </c>
      <c r="F381" s="11" t="s">
        <v>347</v>
      </c>
      <c r="G381" s="93" t="s">
        <v>23</v>
      </c>
      <c r="H381" s="11" t="str">
        <f>IMAGE("https://5.imimg.com/data5/SELLER/Default/2020/12/RU/ZP/SZ/45671901/alstone-silicone-sealant-500x500.jpeg",1)</f>
        <v/>
      </c>
      <c r="I381" s="231" t="s">
        <v>2107</v>
      </c>
    </row>
    <row r="382" ht="45.0" customHeight="1">
      <c r="A382" s="11">
        <v>381.0</v>
      </c>
      <c r="B382" s="11" t="s">
        <v>1030</v>
      </c>
      <c r="C382" s="93" t="s">
        <v>1031</v>
      </c>
      <c r="D382" s="215" t="s">
        <v>1032</v>
      </c>
      <c r="E382" s="11">
        <v>1.0</v>
      </c>
      <c r="F382" s="11" t="s">
        <v>347</v>
      </c>
      <c r="G382" s="215" t="s">
        <v>1032</v>
      </c>
      <c r="H382" s="11" t="str">
        <f>IMAGE("https://m.media-amazon.com/images/I/61+L7sYwiBL._SL1500_.jpg",1)</f>
        <v/>
      </c>
      <c r="I382" s="11" t="s">
        <v>2050</v>
      </c>
    </row>
    <row r="383" ht="45.0" customHeight="1">
      <c r="A383" s="11">
        <v>382.0</v>
      </c>
      <c r="B383" s="11" t="s">
        <v>1035</v>
      </c>
      <c r="C383" s="93" t="s">
        <v>1036</v>
      </c>
      <c r="D383" s="215" t="s">
        <v>1032</v>
      </c>
      <c r="E383" s="216">
        <v>2.0</v>
      </c>
      <c r="F383" s="11" t="s">
        <v>347</v>
      </c>
      <c r="G383" s="215" t="s">
        <v>1032</v>
      </c>
      <c r="H383" s="11" t="e">
        <v>#VALUE!</v>
      </c>
      <c r="I383" s="11" t="s">
        <v>2050</v>
      </c>
    </row>
    <row r="384" ht="45.0" customHeight="1">
      <c r="A384" s="11">
        <v>383.0</v>
      </c>
      <c r="B384" s="11" t="s">
        <v>1038</v>
      </c>
      <c r="C384" s="93" t="s">
        <v>1039</v>
      </c>
      <c r="D384" s="215" t="s">
        <v>1032</v>
      </c>
      <c r="E384" s="216">
        <v>1.0</v>
      </c>
      <c r="F384" s="11" t="s">
        <v>347</v>
      </c>
      <c r="G384" s="215" t="s">
        <v>1032</v>
      </c>
      <c r="H384" s="11" t="str">
        <f>IMAGE("https://m.media-amazon.com/images/I/71qyUXJ5i6L._AC_UF1000,1000_QL80_.jpg",1)</f>
        <v/>
      </c>
      <c r="I384" s="11" t="s">
        <v>2050</v>
      </c>
    </row>
    <row r="385" ht="45.0" customHeight="1">
      <c r="A385" s="11">
        <v>384.0</v>
      </c>
      <c r="B385" s="11" t="s">
        <v>1042</v>
      </c>
      <c r="C385" s="93" t="s">
        <v>1043</v>
      </c>
      <c r="D385" s="215" t="s">
        <v>1032</v>
      </c>
      <c r="E385" s="216">
        <v>1.0</v>
      </c>
      <c r="F385" s="11" t="s">
        <v>347</v>
      </c>
      <c r="G385" s="215" t="s">
        <v>1032</v>
      </c>
      <c r="H385" s="11" t="str">
        <f>IMAGE("https://5.imimg.com/data5/TS/AU/MY-11200044/steel-shaft-claw-hammer-500x500.jpg",1)</f>
        <v/>
      </c>
      <c r="I385" s="11" t="s">
        <v>2050</v>
      </c>
    </row>
    <row r="386" ht="45.0" customHeight="1">
      <c r="A386" s="11">
        <v>385.0</v>
      </c>
      <c r="B386" s="11" t="s">
        <v>1046</v>
      </c>
      <c r="C386" s="93" t="s">
        <v>1047</v>
      </c>
      <c r="D386" s="215" t="s">
        <v>1032</v>
      </c>
      <c r="E386" s="216">
        <v>1.0</v>
      </c>
      <c r="F386" s="11" t="s">
        <v>347</v>
      </c>
      <c r="G386" s="215" t="s">
        <v>1032</v>
      </c>
      <c r="H386" s="11" t="str">
        <f>IMAGE("https://5.imimg.com/data5/GU/RT/MY-2970994/bench-clamp.jpg",1)</f>
        <v/>
      </c>
      <c r="I386" s="11" t="s">
        <v>2050</v>
      </c>
    </row>
    <row r="387" ht="45.0" customHeight="1">
      <c r="A387" s="11">
        <v>386.0</v>
      </c>
      <c r="B387" s="11" t="s">
        <v>1050</v>
      </c>
      <c r="C387" s="93" t="s">
        <v>1051</v>
      </c>
      <c r="D387" s="215" t="s">
        <v>1032</v>
      </c>
      <c r="E387" s="216">
        <v>1.0</v>
      </c>
      <c r="F387" s="11" t="s">
        <v>347</v>
      </c>
      <c r="G387" s="215" t="s">
        <v>1032</v>
      </c>
      <c r="H387" s="11" t="str">
        <f>IMAGE("https://images.jdmagicbox.com/quickquotes/images_main/plier-381885296-5n4zf.jpg",1)</f>
        <v/>
      </c>
      <c r="I387" s="11" t="s">
        <v>2050</v>
      </c>
    </row>
    <row r="388" ht="45.0" customHeight="1">
      <c r="A388" s="11">
        <v>387.0</v>
      </c>
      <c r="B388" s="11" t="s">
        <v>1054</v>
      </c>
      <c r="C388" s="93" t="s">
        <v>1055</v>
      </c>
      <c r="D388" s="215" t="s">
        <v>1032</v>
      </c>
      <c r="E388" s="216">
        <v>1.0</v>
      </c>
      <c r="F388" s="11" t="s">
        <v>347</v>
      </c>
      <c r="G388" s="215" t="s">
        <v>1032</v>
      </c>
      <c r="H388" s="11" t="str">
        <f>IMAGE("https://m.media-amazon.com/images/I/613WSFIoSjL._SL1500_.jpg",1)</f>
        <v/>
      </c>
      <c r="I388" s="11" t="s">
        <v>2050</v>
      </c>
    </row>
    <row r="389" ht="45.0" customHeight="1">
      <c r="A389" s="11">
        <v>388.0</v>
      </c>
      <c r="B389" s="11" t="s">
        <v>1058</v>
      </c>
      <c r="C389" s="93" t="s">
        <v>1059</v>
      </c>
      <c r="D389" s="215" t="s">
        <v>1032</v>
      </c>
      <c r="E389" s="216">
        <v>1.0</v>
      </c>
      <c r="F389" s="11" t="s">
        <v>347</v>
      </c>
      <c r="G389" s="215" t="s">
        <v>1032</v>
      </c>
      <c r="H389" s="11" t="str">
        <f>IMAGE("https://in.misumi-ec.com/linked/material/fs/FUJ1/PHOTO/223000817171_001.jpg?$product_main$",1)</f>
        <v/>
      </c>
      <c r="I389" s="11" t="s">
        <v>2050</v>
      </c>
    </row>
    <row r="390" ht="45.0" customHeight="1">
      <c r="A390" s="11">
        <v>389.0</v>
      </c>
      <c r="B390" s="11" t="s">
        <v>1062</v>
      </c>
      <c r="C390" s="93" t="s">
        <v>1063</v>
      </c>
      <c r="D390" s="215" t="s">
        <v>1032</v>
      </c>
      <c r="E390" s="216">
        <v>2.0</v>
      </c>
      <c r="F390" s="11" t="s">
        <v>347</v>
      </c>
      <c r="G390" s="215" t="s">
        <v>1032</v>
      </c>
      <c r="H390" s="11" t="str">
        <f>IMAGE("https://i.ebayimg.com/images/g/QLMAAOSwETxj4~0j/s-l1600.jpg",1)</f>
        <v/>
      </c>
      <c r="I390" s="222" t="s">
        <v>2195</v>
      </c>
    </row>
    <row r="391" ht="45.0" customHeight="1">
      <c r="A391" s="11">
        <v>390.0</v>
      </c>
      <c r="B391" s="11" t="s">
        <v>1066</v>
      </c>
      <c r="C391" s="93" t="s">
        <v>1067</v>
      </c>
      <c r="D391" s="215" t="s">
        <v>1032</v>
      </c>
      <c r="E391" s="216">
        <v>1.0</v>
      </c>
      <c r="F391" s="11" t="s">
        <v>347</v>
      </c>
      <c r="G391" s="215" t="s">
        <v>1032</v>
      </c>
      <c r="H391" s="11" t="str">
        <f>IMAGE("https://res.cloudinary.com/rsc/image/upload/b_rgb:FFFFFF,c_pad,dpr_1.0,f_auto,q_auto,w_700/c_pad,w_700/C1985249-01",1)</f>
        <v/>
      </c>
      <c r="I391" s="11" t="s">
        <v>2050</v>
      </c>
    </row>
    <row r="392" ht="45.0" customHeight="1">
      <c r="A392" s="11">
        <v>391.0</v>
      </c>
      <c r="B392" s="11" t="s">
        <v>1070</v>
      </c>
      <c r="C392" s="93" t="s">
        <v>1071</v>
      </c>
      <c r="D392" s="215" t="s">
        <v>1032</v>
      </c>
      <c r="E392" s="216">
        <v>10.0</v>
      </c>
      <c r="F392" s="11" t="s">
        <v>347</v>
      </c>
      <c r="G392" s="215" t="s">
        <v>1032</v>
      </c>
      <c r="H392" s="11" t="str">
        <f>IMAGE("https://cdn.shopify.com/s/files/1/0064/3412/7939/products/71vpWrfPgFL._SL1000_9c7ae600-0e17-44f0-97b0-7a8fa32a55cc_2048x.jpg?v=1540199513",1)</f>
        <v/>
      </c>
      <c r="I392" s="231" t="s">
        <v>2101</v>
      </c>
      <c r="J392" s="298"/>
    </row>
    <row r="393" ht="45.0" customHeight="1">
      <c r="A393" s="11">
        <v>392.0</v>
      </c>
      <c r="B393" s="11" t="s">
        <v>1074</v>
      </c>
      <c r="C393" s="93" t="s">
        <v>1075</v>
      </c>
      <c r="D393" s="215" t="s">
        <v>1032</v>
      </c>
      <c r="E393" s="216">
        <v>4.0</v>
      </c>
      <c r="F393" s="11" t="s">
        <v>347</v>
      </c>
      <c r="G393" s="215" t="s">
        <v>1032</v>
      </c>
      <c r="H393" s="11" t="str">
        <f>IMAGE("https://cdn.shopify.com/s/files/1/0088/0056/7392/products/71GahpQFYhL._SL1500_1024x.jpg?v=1634034762",1)</f>
        <v/>
      </c>
      <c r="I393" s="11" t="s">
        <v>2102</v>
      </c>
      <c r="J393" s="298"/>
    </row>
    <row r="394" ht="45.0" customHeight="1">
      <c r="A394" s="11">
        <v>393.0</v>
      </c>
      <c r="B394" s="11" t="s">
        <v>1081</v>
      </c>
      <c r="C394" s="93" t="s">
        <v>1082</v>
      </c>
      <c r="D394" s="215" t="s">
        <v>1032</v>
      </c>
      <c r="E394" s="216">
        <v>1.0</v>
      </c>
      <c r="F394" s="12" t="s">
        <v>347</v>
      </c>
      <c r="G394" s="35" t="s">
        <v>1032</v>
      </c>
      <c r="H394" s="12" t="str">
        <f>IMAGE("https://m.media-amazon.com/images/I/41XSpNsGoiL._SL1024_.jpg",1)</f>
        <v/>
      </c>
      <c r="I394" s="12" t="s">
        <v>2104</v>
      </c>
    </row>
    <row r="395" ht="45.0" customHeight="1">
      <c r="A395" s="11">
        <v>394.0</v>
      </c>
      <c r="B395" s="11" t="s">
        <v>1093</v>
      </c>
      <c r="C395" s="93" t="s">
        <v>1094</v>
      </c>
      <c r="D395" s="215" t="s">
        <v>1032</v>
      </c>
      <c r="E395" s="216">
        <v>2.0</v>
      </c>
      <c r="F395" s="12" t="s">
        <v>347</v>
      </c>
      <c r="G395" s="35" t="s">
        <v>1032</v>
      </c>
      <c r="H395" s="12" t="str">
        <f>IMAGE("https://m.media-amazon.com/images/I/41pgJCdOd0L._AC_SX522_.jpg", 1)</f>
        <v/>
      </c>
      <c r="I395" s="12" t="s">
        <v>2050</v>
      </c>
    </row>
    <row r="396" ht="45.0" customHeight="1">
      <c r="A396" s="11">
        <v>395.0</v>
      </c>
      <c r="B396" s="11" t="s">
        <v>1097</v>
      </c>
      <c r="C396" s="93" t="s">
        <v>1098</v>
      </c>
      <c r="D396" s="215" t="s">
        <v>1032</v>
      </c>
      <c r="E396" s="216">
        <v>25.0</v>
      </c>
      <c r="F396" s="12" t="s">
        <v>347</v>
      </c>
      <c r="G396" s="35" t="s">
        <v>1032</v>
      </c>
      <c r="H396" s="12" t="str">
        <f>IMAGE("https://5.imimg.com/data5/UF/DF/MY-45635244/sand-paper-500x500.jpg",1)</f>
        <v/>
      </c>
      <c r="I396" s="12" t="s">
        <v>2051</v>
      </c>
    </row>
    <row r="397" ht="45.0" customHeight="1">
      <c r="A397" s="11">
        <v>396.0</v>
      </c>
      <c r="B397" s="11" t="s">
        <v>1100</v>
      </c>
      <c r="C397" s="93" t="s">
        <v>1101</v>
      </c>
      <c r="D397" s="215" t="s">
        <v>1032</v>
      </c>
      <c r="E397" s="281">
        <v>2.0</v>
      </c>
      <c r="F397" s="12" t="s">
        <v>347</v>
      </c>
      <c r="G397" s="35" t="s">
        <v>1032</v>
      </c>
      <c r="H397" s="89" t="e">
        <v>#VALUE!</v>
      </c>
      <c r="I397" s="12" t="s">
        <v>2050</v>
      </c>
    </row>
    <row r="398" ht="45.0" customHeight="1">
      <c r="A398" s="11">
        <v>397.0</v>
      </c>
      <c r="B398" s="11" t="s">
        <v>1103</v>
      </c>
      <c r="C398" s="93" t="s">
        <v>1104</v>
      </c>
      <c r="D398" s="215" t="s">
        <v>1032</v>
      </c>
      <c r="E398" s="281">
        <v>2.0</v>
      </c>
      <c r="F398" s="12" t="s">
        <v>347</v>
      </c>
      <c r="G398" s="35" t="s">
        <v>1032</v>
      </c>
      <c r="H398" s="89" t="e">
        <v>#VALUE!</v>
      </c>
      <c r="I398" s="12" t="s">
        <v>2050</v>
      </c>
    </row>
    <row r="399" ht="45.0" customHeight="1">
      <c r="A399" s="11">
        <v>398.0</v>
      </c>
      <c r="B399" s="11" t="s">
        <v>1106</v>
      </c>
      <c r="C399" s="107" t="s">
        <v>1107</v>
      </c>
      <c r="D399" s="215" t="s">
        <v>1032</v>
      </c>
      <c r="E399" s="281">
        <v>2.0</v>
      </c>
      <c r="F399" s="12" t="s">
        <v>347</v>
      </c>
      <c r="G399" s="35" t="s">
        <v>1032</v>
      </c>
      <c r="H399" s="89" t="e">
        <v>#VALUE!</v>
      </c>
      <c r="I399" s="12" t="s">
        <v>2050</v>
      </c>
    </row>
    <row r="400" ht="45.0" customHeight="1">
      <c r="A400" s="11">
        <v>399.0</v>
      </c>
      <c r="B400" s="11" t="s">
        <v>1109</v>
      </c>
      <c r="C400" s="107" t="s">
        <v>1110</v>
      </c>
      <c r="D400" s="215" t="s">
        <v>1032</v>
      </c>
      <c r="E400" s="281">
        <v>2.0</v>
      </c>
      <c r="F400" s="12" t="s">
        <v>347</v>
      </c>
      <c r="G400" s="35" t="s">
        <v>1032</v>
      </c>
      <c r="H400" s="262" t="e">
        <v>#VALUE!</v>
      </c>
      <c r="I400" s="12" t="s">
        <v>2050</v>
      </c>
    </row>
    <row r="401" ht="45.0" customHeight="1">
      <c r="A401" s="11">
        <v>400.0</v>
      </c>
      <c r="B401" s="11" t="s">
        <v>1113</v>
      </c>
      <c r="C401" s="93" t="s">
        <v>1114</v>
      </c>
      <c r="D401" s="215" t="s">
        <v>1032</v>
      </c>
      <c r="E401" s="281">
        <v>1.0</v>
      </c>
      <c r="F401" s="12" t="s">
        <v>347</v>
      </c>
      <c r="G401" s="35" t="s">
        <v>1032</v>
      </c>
      <c r="H401" s="262" t="e">
        <v>#VALUE!</v>
      </c>
      <c r="I401" s="12" t="s">
        <v>2050</v>
      </c>
    </row>
    <row r="402" ht="45.0" customHeight="1">
      <c r="A402" s="11">
        <v>401.0</v>
      </c>
      <c r="B402" s="11" t="s">
        <v>1116</v>
      </c>
      <c r="C402" s="93" t="s">
        <v>1117</v>
      </c>
      <c r="D402" s="215" t="s">
        <v>1032</v>
      </c>
      <c r="E402" s="281">
        <v>1.0</v>
      </c>
      <c r="F402" s="12" t="s">
        <v>347</v>
      </c>
      <c r="G402" s="35" t="s">
        <v>1032</v>
      </c>
      <c r="H402" s="262" t="e">
        <v>#VALUE!</v>
      </c>
      <c r="I402" s="12" t="s">
        <v>2050</v>
      </c>
    </row>
    <row r="403" ht="45.0" customHeight="1">
      <c r="A403" s="11">
        <v>402.0</v>
      </c>
      <c r="B403" s="11" t="s">
        <v>1120</v>
      </c>
      <c r="C403" s="93" t="s">
        <v>1121</v>
      </c>
      <c r="D403" s="215" t="s">
        <v>1032</v>
      </c>
      <c r="E403" s="216">
        <v>1.0</v>
      </c>
      <c r="F403" s="12" t="s">
        <v>347</v>
      </c>
      <c r="G403" s="35" t="s">
        <v>1032</v>
      </c>
      <c r="H403" s="12" t="str">
        <f>IMAGE("https://5.imimg.com/data5/DH/NE/PV/SELLER-4135781/6-pc-precision-screwdriver-set-500x500.jpg",1)</f>
        <v/>
      </c>
      <c r="I403" s="12" t="s">
        <v>2050</v>
      </c>
    </row>
    <row r="404" ht="45.0" customHeight="1">
      <c r="A404" s="11">
        <v>403.0</v>
      </c>
      <c r="B404" s="11" t="s">
        <v>1135</v>
      </c>
      <c r="C404" s="93" t="s">
        <v>1136</v>
      </c>
      <c r="D404" s="215" t="s">
        <v>1032</v>
      </c>
      <c r="E404" s="216">
        <v>1.0</v>
      </c>
      <c r="F404" s="12" t="s">
        <v>347</v>
      </c>
      <c r="G404" s="35" t="s">
        <v>1032</v>
      </c>
      <c r="H404" s="12" t="str">
        <f>IMAGE("https://ravimachines.com/wp-content/uploads/2016/07/full_13.jpg",1)</f>
        <v/>
      </c>
      <c r="I404" s="12" t="s">
        <v>2050</v>
      </c>
    </row>
    <row r="405" ht="45.0" customHeight="1">
      <c r="A405" s="11">
        <v>404.0</v>
      </c>
      <c r="B405" s="11" t="s">
        <v>1139</v>
      </c>
      <c r="C405" s="217" t="s">
        <v>1140</v>
      </c>
      <c r="D405" s="215" t="s">
        <v>1032</v>
      </c>
      <c r="E405" s="11">
        <v>10.0</v>
      </c>
      <c r="F405" s="12" t="s">
        <v>347</v>
      </c>
      <c r="G405" s="35" t="s">
        <v>1032</v>
      </c>
      <c r="H405" s="12" t="str">
        <f>IMAGE("https://m.media-amazon.com/images/I/61O+7azby+L.jpg",1)</f>
        <v/>
      </c>
      <c r="I405" s="12" t="s">
        <v>2058</v>
      </c>
    </row>
    <row r="406" ht="45.0" customHeight="1">
      <c r="A406" s="11">
        <v>405.0</v>
      </c>
      <c r="B406" s="11" t="s">
        <v>1143</v>
      </c>
      <c r="C406" s="93" t="s">
        <v>1144</v>
      </c>
      <c r="D406" s="215" t="s">
        <v>1032</v>
      </c>
      <c r="E406" s="216">
        <v>1.0</v>
      </c>
      <c r="F406" s="12" t="s">
        <v>347</v>
      </c>
      <c r="G406" s="35" t="s">
        <v>1032</v>
      </c>
      <c r="H406" s="12" t="str">
        <f>IMAGE("https://5.imimg.com/data5/SELLER/Default/2021/4/UH/ZY/EE/41301440/machine.jpeg",1)</f>
        <v/>
      </c>
      <c r="I406" s="12" t="s">
        <v>2050</v>
      </c>
    </row>
    <row r="407" ht="45.0" customHeight="1">
      <c r="A407" s="11">
        <v>406.0</v>
      </c>
      <c r="B407" s="11" t="s">
        <v>1147</v>
      </c>
      <c r="C407" s="93" t="s">
        <v>1148</v>
      </c>
      <c r="D407" s="215" t="s">
        <v>1032</v>
      </c>
      <c r="E407" s="216">
        <v>2.0</v>
      </c>
      <c r="F407" s="12" t="s">
        <v>347</v>
      </c>
      <c r="G407" s="35" t="s">
        <v>1032</v>
      </c>
      <c r="H407" s="12"/>
      <c r="I407" s="12" t="s">
        <v>2108</v>
      </c>
    </row>
    <row r="408" ht="45.0" customHeight="1">
      <c r="A408" s="11">
        <v>407.0</v>
      </c>
      <c r="B408" s="11" t="s">
        <v>1150</v>
      </c>
      <c r="C408" s="93" t="s">
        <v>1151</v>
      </c>
      <c r="D408" s="215" t="s">
        <v>1032</v>
      </c>
      <c r="E408" s="216">
        <v>10.0</v>
      </c>
      <c r="F408" s="12" t="s">
        <v>347</v>
      </c>
      <c r="G408" s="35" t="s">
        <v>1032</v>
      </c>
      <c r="H408" s="12" t="str">
        <f>IMAGE("https://5.imimg.com/data5/SELLER/Default/2020/10/KC/AV/BY/25174136/150b-cutter-stripper-250x250.jpg",1)</f>
        <v/>
      </c>
      <c r="I408" s="12" t="s">
        <v>2109</v>
      </c>
    </row>
    <row r="409" ht="45.0" customHeight="1">
      <c r="A409" s="11">
        <v>408.0</v>
      </c>
      <c r="B409" s="11" t="s">
        <v>1085</v>
      </c>
      <c r="C409" s="93" t="s">
        <v>1086</v>
      </c>
      <c r="D409" s="215" t="s">
        <v>1032</v>
      </c>
      <c r="E409" s="216">
        <v>2.0</v>
      </c>
      <c r="F409" s="12" t="s">
        <v>347</v>
      </c>
      <c r="G409" s="37" t="s">
        <v>1964</v>
      </c>
      <c r="H409" s="12" t="str">
        <f>IMAGE("https://m.media-amazon.com/images/I/513ZkVzGbdL._AC_.jpg", 1)</f>
        <v/>
      </c>
      <c r="I409" s="12" t="s">
        <v>2050</v>
      </c>
    </row>
    <row r="410" ht="45.0" customHeight="1">
      <c r="A410" s="11">
        <v>409.0</v>
      </c>
      <c r="B410" s="11" t="s">
        <v>1089</v>
      </c>
      <c r="C410" s="93" t="s">
        <v>1090</v>
      </c>
      <c r="D410" s="215" t="s">
        <v>1032</v>
      </c>
      <c r="E410" s="216">
        <v>2.0</v>
      </c>
      <c r="F410" s="12" t="s">
        <v>347</v>
      </c>
      <c r="G410" s="37" t="s">
        <v>1964</v>
      </c>
      <c r="H410" s="12" t="str">
        <f>IMAGE("https://m.media-amazon.com/images/I/41V47za3aNL.jpg",1)</f>
        <v/>
      </c>
      <c r="I410" s="12" t="s">
        <v>2050</v>
      </c>
    </row>
    <row r="411" ht="45.0" customHeight="1">
      <c r="A411" s="11">
        <v>410.0</v>
      </c>
      <c r="B411" s="11" t="s">
        <v>1324</v>
      </c>
      <c r="C411" s="93" t="s">
        <v>1325</v>
      </c>
      <c r="D411" s="215" t="s">
        <v>1250</v>
      </c>
      <c r="E411" s="216">
        <v>1.0</v>
      </c>
      <c r="F411" s="12" t="s">
        <v>347</v>
      </c>
      <c r="G411" s="37" t="s">
        <v>1964</v>
      </c>
      <c r="H411" s="12" t="e">
        <v>#VALUE!</v>
      </c>
      <c r="I411" s="12" t="s">
        <v>2050</v>
      </c>
    </row>
    <row r="412" ht="45.0" customHeight="1">
      <c r="A412" s="11">
        <v>411.0</v>
      </c>
      <c r="B412" s="11" t="s">
        <v>1349</v>
      </c>
      <c r="C412" s="93" t="s">
        <v>1350</v>
      </c>
      <c r="D412" s="215" t="s">
        <v>1330</v>
      </c>
      <c r="E412" s="11">
        <v>1.0</v>
      </c>
      <c r="F412" s="11" t="s">
        <v>347</v>
      </c>
      <c r="G412" s="93" t="s">
        <v>1331</v>
      </c>
      <c r="H412" s="12" t="str">
        <f>IMAGE("https://5.imimg.com/data5/SELLER/Default/2023/1/CR/QN/CU/119456209/b22-cap-punching-tool-1000x1000.jpg",1)</f>
        <v/>
      </c>
      <c r="I412" s="12" t="s">
        <v>2128</v>
      </c>
    </row>
    <row r="413" ht="45.0" customHeight="1">
      <c r="A413" s="11">
        <v>412.0</v>
      </c>
      <c r="B413" s="11" t="s">
        <v>1353</v>
      </c>
      <c r="C413" s="93" t="s">
        <v>1354</v>
      </c>
      <c r="D413" s="215" t="s">
        <v>1330</v>
      </c>
      <c r="E413" s="11">
        <v>1.0</v>
      </c>
      <c r="F413" s="12" t="s">
        <v>347</v>
      </c>
      <c r="G413" s="37" t="s">
        <v>1331</v>
      </c>
      <c r="H413" s="12" t="str">
        <f>IMAGE("https://m.media-amazon.com/images/I/31xTdt3sfiL.jpg",1)</f>
        <v/>
      </c>
      <c r="I413" s="12" t="s">
        <v>2128</v>
      </c>
    </row>
    <row r="414" ht="45.0" customHeight="1">
      <c r="A414" s="11">
        <v>413.0</v>
      </c>
      <c r="B414" s="11" t="s">
        <v>1398</v>
      </c>
      <c r="C414" s="93" t="s">
        <v>1399</v>
      </c>
      <c r="D414" s="215" t="s">
        <v>1400</v>
      </c>
      <c r="E414" s="11">
        <v>1.0</v>
      </c>
      <c r="F414" s="12" t="s">
        <v>347</v>
      </c>
      <c r="G414" s="37" t="s">
        <v>1980</v>
      </c>
      <c r="H414" s="12" t="str">
        <f>IMAGE("https://m.media-amazon.com/images/I/41giw5t2ycL.jpg",1)</f>
        <v/>
      </c>
      <c r="I414" s="299" t="s">
        <v>2136</v>
      </c>
    </row>
    <row r="415" ht="45.0" customHeight="1">
      <c r="A415" s="11">
        <v>414.0</v>
      </c>
      <c r="B415" s="11" t="s">
        <v>1403</v>
      </c>
      <c r="C415" s="93" t="s">
        <v>1404</v>
      </c>
      <c r="D415" s="215" t="s">
        <v>1400</v>
      </c>
      <c r="E415" s="11">
        <v>1.0</v>
      </c>
      <c r="F415" s="12" t="s">
        <v>347</v>
      </c>
      <c r="G415" s="37" t="s">
        <v>1980</v>
      </c>
      <c r="H415" s="12" t="str">
        <f>IMAGE("https://m.media-amazon.com/images/I/71vAZkeQh9L._SL1500_.jpg",1)</f>
        <v/>
      </c>
      <c r="I415" s="299" t="s">
        <v>2136</v>
      </c>
    </row>
    <row r="416" ht="45.0" customHeight="1">
      <c r="A416" s="11">
        <v>415.0</v>
      </c>
      <c r="B416" s="11" t="s">
        <v>1411</v>
      </c>
      <c r="C416" s="93" t="s">
        <v>1412</v>
      </c>
      <c r="D416" s="215" t="s">
        <v>1400</v>
      </c>
      <c r="E416" s="11">
        <v>5.0</v>
      </c>
      <c r="F416" s="12" t="s">
        <v>347</v>
      </c>
      <c r="G416" s="37" t="s">
        <v>1980</v>
      </c>
      <c r="H416" s="12" t="str">
        <f>IMAGE("https://m.media-amazon.com/images/I/61saUYFEn9L._SL1500_.jpg",1)</f>
        <v/>
      </c>
      <c r="I416" s="299" t="s">
        <v>2138</v>
      </c>
    </row>
    <row r="417" ht="45.0" customHeight="1">
      <c r="A417" s="11">
        <v>416.0</v>
      </c>
      <c r="B417" s="11" t="s">
        <v>1415</v>
      </c>
      <c r="C417" s="93" t="s">
        <v>1416</v>
      </c>
      <c r="D417" s="215" t="s">
        <v>1400</v>
      </c>
      <c r="E417" s="11">
        <v>1.0</v>
      </c>
      <c r="F417" s="12" t="s">
        <v>347</v>
      </c>
      <c r="G417" s="37" t="s">
        <v>1980</v>
      </c>
      <c r="H417" s="12" t="str">
        <f>IMAGE("https://m.media-amazon.com/images/I/61zRix8Lt0L._SL1500_.jpg",1)</f>
        <v/>
      </c>
      <c r="I417" s="299" t="s">
        <v>2136</v>
      </c>
    </row>
    <row r="418" ht="45.0" customHeight="1">
      <c r="A418" s="11">
        <v>417.0</v>
      </c>
      <c r="B418" s="11" t="s">
        <v>1610</v>
      </c>
      <c r="C418" s="93" t="s">
        <v>1611</v>
      </c>
      <c r="D418" s="215" t="s">
        <v>1601</v>
      </c>
      <c r="E418" s="11">
        <v>5.0</v>
      </c>
      <c r="F418" s="12" t="s">
        <v>347</v>
      </c>
      <c r="G418" s="37" t="s">
        <v>1987</v>
      </c>
      <c r="H418" s="12" t="str">
        <f>IMAGE("https://delhi6online.in/cdn/shop/products/S1_800x.jpg?v=1545883083.jpg",1)</f>
        <v/>
      </c>
      <c r="I418" s="12" t="s">
        <v>2151</v>
      </c>
    </row>
    <row r="419" ht="45.0" customHeight="1">
      <c r="A419" s="11">
        <v>418.0</v>
      </c>
      <c r="B419" s="11" t="s">
        <v>1614</v>
      </c>
      <c r="C419" s="93" t="s">
        <v>1615</v>
      </c>
      <c r="D419" s="215" t="s">
        <v>1601</v>
      </c>
      <c r="E419" s="11">
        <v>5.0</v>
      </c>
      <c r="F419" s="12" t="s">
        <v>347</v>
      </c>
      <c r="G419" s="37" t="s">
        <v>1987</v>
      </c>
      <c r="H419" s="12" t="str">
        <f>IMAGE("https://4.imimg.com/data4/JF/WX/MY-2704359/thread-cutter-1000x1000.jpg",1)</f>
        <v/>
      </c>
      <c r="I419" s="12" t="s">
        <v>2152</v>
      </c>
    </row>
  </sheetData>
  <autoFilter ref="$A$1:$I$393">
    <sortState ref="A1:I393">
      <sortCondition ref="D1:D393"/>
      <sortCondition ref="A1:A393"/>
      <sortCondition ref="I1:I393"/>
      <sortCondition ref="B1:B393"/>
    </sortState>
  </autoFilter>
  <conditionalFormatting sqref="B2:D2">
    <cfRule type="containsBlanks" dxfId="0" priority="1">
      <formula>LEN(TRIM(B2))=0</formula>
    </cfRule>
  </conditionalFormatting>
  <conditionalFormatting sqref="I1:I419">
    <cfRule type="cellIs" dxfId="3" priority="2" operator="equal">
      <formula>1</formula>
    </cfRule>
  </conditionalFormatting>
  <conditionalFormatting sqref="I1:I419">
    <cfRule type="cellIs" dxfId="8" priority="3" operator="equal">
      <formula>2</formula>
    </cfRule>
  </conditionalFormatting>
  <conditionalFormatting sqref="I1:I419">
    <cfRule type="cellIs" dxfId="9" priority="4" operator="equal">
      <formula>3</formula>
    </cfRule>
  </conditionalFormatting>
  <conditionalFormatting sqref="I1:I419">
    <cfRule type="cellIs" dxfId="5" priority="5" operator="equal">
      <formula>4</formula>
    </cfRule>
  </conditionalFormatting>
  <conditionalFormatting sqref="I1:I419">
    <cfRule type="notContainsBlanks" dxfId="10" priority="6">
      <formula>LEN(TRIM(I1))&gt;0</formula>
    </cfRule>
  </conditionalFormatting>
  <dataValidations>
    <dataValidation type="list" allowBlank="1" showErrorMessage="1" sqref="F1:F54 F56:F419">
      <formula1>Sheet1!$C$1:$C$8</formula1>
    </dataValidation>
    <dataValidation type="list" allowBlank="1" showErrorMessage="1" sqref="G13:G16 G23:G25 G28 G44 G52:G54 G123:G128 G140 G142 G144 G237 G242:G251 G275:G293 G297:G300 G302:G303 G342:G344 G352:G354 G411 G414:G415 D1:D419 G418:G419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22.0"/>
    <col customWidth="1" min="3" max="3" width="50.71"/>
    <col customWidth="1" min="4" max="4" width="21.71"/>
    <col customWidth="1" min="5" max="5" width="14.29"/>
    <col customWidth="1" min="6" max="6" width="25.14"/>
    <col customWidth="1" min="7" max="7" width="23.57"/>
    <col customWidth="1" min="8" max="8" width="20.86"/>
    <col customWidth="1" min="9" max="9" width="24.14"/>
    <col hidden="1" min="10" max="10" width="14.43"/>
  </cols>
  <sheetData>
    <row r="1" ht="45.0" customHeight="1">
      <c r="A1" s="210" t="s">
        <v>0</v>
      </c>
      <c r="B1" s="210" t="s">
        <v>1</v>
      </c>
      <c r="C1" s="211" t="s">
        <v>2</v>
      </c>
      <c r="D1" s="210" t="s">
        <v>3</v>
      </c>
      <c r="E1" s="210" t="s">
        <v>2004</v>
      </c>
      <c r="F1" s="210" t="s">
        <v>8</v>
      </c>
      <c r="G1" s="212" t="s">
        <v>11</v>
      </c>
      <c r="H1" s="213" t="s">
        <v>13</v>
      </c>
      <c r="I1" s="214" t="s">
        <v>2005</v>
      </c>
    </row>
    <row r="2" ht="44.25" customHeight="1">
      <c r="A2" s="11">
        <v>1.0</v>
      </c>
      <c r="B2" s="11" t="s">
        <v>17</v>
      </c>
      <c r="C2" s="93" t="s">
        <v>18</v>
      </c>
      <c r="D2" s="215" t="s">
        <v>19</v>
      </c>
      <c r="E2" s="216">
        <v>6.0</v>
      </c>
      <c r="F2" s="11" t="s">
        <v>20</v>
      </c>
      <c r="G2" s="93" t="s">
        <v>23</v>
      </c>
      <c r="H2" s="11" t="str">
        <f>IMAGE("https://m.media-amazon.com/images/I/61ZBVWoGgCL._SL1500_.jpg",1)</f>
        <v/>
      </c>
      <c r="I2" s="11" t="s">
        <v>2006</v>
      </c>
    </row>
    <row r="3" ht="45.0" customHeight="1">
      <c r="A3" s="11">
        <v>2.0</v>
      </c>
      <c r="B3" s="11" t="s">
        <v>26</v>
      </c>
      <c r="C3" s="93" t="s">
        <v>27</v>
      </c>
      <c r="D3" s="215" t="s">
        <v>19</v>
      </c>
      <c r="E3" s="216">
        <v>2.0</v>
      </c>
      <c r="F3" s="11" t="s">
        <v>20</v>
      </c>
      <c r="G3" s="93" t="s">
        <v>23</v>
      </c>
      <c r="H3" s="11" t="str">
        <f>IMAGE("https://5.imimg.com/data5/BN/FC/MY-25588345/omega-cell-tape-dispenser-500x500.jpg",1)</f>
        <v/>
      </c>
      <c r="I3" s="11" t="s">
        <v>2007</v>
      </c>
    </row>
    <row r="4" ht="45.0" customHeight="1">
      <c r="A4" s="11">
        <v>3.0</v>
      </c>
      <c r="B4" s="11" t="s">
        <v>30</v>
      </c>
      <c r="C4" s="93" t="s">
        <v>31</v>
      </c>
      <c r="D4" s="215" t="s">
        <v>19</v>
      </c>
      <c r="E4" s="216">
        <v>6.0</v>
      </c>
      <c r="F4" s="11" t="s">
        <v>20</v>
      </c>
      <c r="G4" s="93" t="s">
        <v>23</v>
      </c>
      <c r="H4" s="11" t="str">
        <f>IMAGE("https://m.media-amazon.com/images/I/21wXjA1iP5L.jpg",1)</f>
        <v/>
      </c>
      <c r="I4" s="11" t="s">
        <v>2009</v>
      </c>
    </row>
    <row r="5" ht="45.0" customHeight="1">
      <c r="A5" s="11">
        <v>4.0</v>
      </c>
      <c r="B5" s="11" t="s">
        <v>34</v>
      </c>
      <c r="C5" s="93" t="s">
        <v>35</v>
      </c>
      <c r="D5" s="215" t="s">
        <v>19</v>
      </c>
      <c r="E5" s="216">
        <v>6.0</v>
      </c>
      <c r="F5" s="11" t="s">
        <v>20</v>
      </c>
      <c r="G5" s="93" t="s">
        <v>23</v>
      </c>
      <c r="H5" s="11" t="str">
        <f>IMAGE("https://5.imimg.com/data5/YG/CD/MY-4112616/transparent-tape-500x500.jpg",1)</f>
        <v/>
      </c>
      <c r="I5" s="11" t="s">
        <v>2006</v>
      </c>
    </row>
    <row r="6" ht="45.0" customHeight="1">
      <c r="A6" s="11">
        <v>5.0</v>
      </c>
      <c r="B6" s="11" t="s">
        <v>37</v>
      </c>
      <c r="C6" s="93" t="s">
        <v>1886</v>
      </c>
      <c r="D6" s="215" t="s">
        <v>19</v>
      </c>
      <c r="E6" s="216">
        <v>6.0</v>
      </c>
      <c r="F6" s="11" t="s">
        <v>20</v>
      </c>
      <c r="G6" s="93" t="s">
        <v>23</v>
      </c>
      <c r="H6" s="11" t="str">
        <f>IMAGE("https://m.media-amazon.com/images/I/61JiUrBk2-L._SL1082_.jpg",1)</f>
        <v/>
      </c>
      <c r="I6" s="11" t="s">
        <v>2009</v>
      </c>
    </row>
    <row r="7" ht="45.0" customHeight="1">
      <c r="A7" s="11">
        <v>6.0</v>
      </c>
      <c r="B7" s="11" t="s">
        <v>41</v>
      </c>
      <c r="C7" s="93" t="s">
        <v>42</v>
      </c>
      <c r="D7" s="215" t="s">
        <v>19</v>
      </c>
      <c r="E7" s="216">
        <v>6.0</v>
      </c>
      <c r="F7" s="11" t="s">
        <v>20</v>
      </c>
      <c r="G7" s="93" t="s">
        <v>23</v>
      </c>
      <c r="H7" s="11" t="str">
        <f>IMAGE("https://m.media-amazon.com/images/I/51JAsOuirxL._SL1000_.jpg",1)</f>
        <v/>
      </c>
      <c r="I7" s="11" t="s">
        <v>2010</v>
      </c>
    </row>
    <row r="8" ht="45.0" customHeight="1">
      <c r="A8" s="11">
        <v>7.0</v>
      </c>
      <c r="B8" s="11" t="s">
        <v>45</v>
      </c>
      <c r="C8" s="93" t="s">
        <v>46</v>
      </c>
      <c r="D8" s="215" t="s">
        <v>19</v>
      </c>
      <c r="E8" s="11">
        <v>10.0</v>
      </c>
      <c r="F8" s="11" t="s">
        <v>20</v>
      </c>
      <c r="G8" s="93" t="s">
        <v>23</v>
      </c>
      <c r="H8" s="11" t="str">
        <f>IMAGE("https://m.media-amazon.com/images/I/81zdeTxqkLL._SL1500_.jpg",1)</f>
        <v/>
      </c>
      <c r="I8" s="11" t="s">
        <v>2011</v>
      </c>
    </row>
    <row r="9" ht="45.0" customHeight="1">
      <c r="A9" s="11">
        <v>8.0</v>
      </c>
      <c r="B9" s="11" t="s">
        <v>50</v>
      </c>
      <c r="C9" s="93" t="s">
        <v>51</v>
      </c>
      <c r="D9" s="215" t="s">
        <v>19</v>
      </c>
      <c r="E9" s="216">
        <v>5.0</v>
      </c>
      <c r="F9" s="11" t="s">
        <v>20</v>
      </c>
      <c r="G9" s="93" t="s">
        <v>23</v>
      </c>
      <c r="H9" s="11" t="str">
        <f>IMAGE("https://megahardwarett.com/wp-content/uploads/2022/03/71TQZaRi6yL._AC_SX425_.jpg",1)</f>
        <v/>
      </c>
      <c r="I9" s="11" t="s">
        <v>2013</v>
      </c>
    </row>
    <row r="10" ht="45.0" customHeight="1">
      <c r="A10" s="11">
        <v>9.0</v>
      </c>
      <c r="B10" s="11" t="s">
        <v>54</v>
      </c>
      <c r="C10" s="93" t="s">
        <v>1887</v>
      </c>
      <c r="D10" s="215" t="s">
        <v>19</v>
      </c>
      <c r="E10" s="216">
        <v>10.0</v>
      </c>
      <c r="F10" s="11" t="s">
        <v>20</v>
      </c>
      <c r="G10" s="93" t="s">
        <v>23</v>
      </c>
      <c r="H10" s="11" t="str">
        <f>IMAGE("https://m.media-amazon.com/images/I/51xkFZnkVFL._SX466_.jpg",1)</f>
        <v/>
      </c>
      <c r="I10" s="11" t="s">
        <v>2011</v>
      </c>
    </row>
    <row r="11" ht="45.0" customHeight="1">
      <c r="A11" s="11">
        <v>10.0</v>
      </c>
      <c r="B11" s="11" t="s">
        <v>58</v>
      </c>
      <c r="C11" s="93" t="s">
        <v>1888</v>
      </c>
      <c r="D11" s="215" t="s">
        <v>19</v>
      </c>
      <c r="E11" s="216">
        <v>10.0</v>
      </c>
      <c r="F11" s="11" t="s">
        <v>20</v>
      </c>
      <c r="G11" s="93" t="s">
        <v>23</v>
      </c>
      <c r="H11" s="11" t="str">
        <f>IMAGE("https://5.imimg.com/data5/LJ/PW/MY-3849711/loctite-401-super-glue-500x500.jpg",1)</f>
        <v/>
      </c>
      <c r="I11" s="11" t="s">
        <v>2011</v>
      </c>
    </row>
    <row r="12" ht="45.0" customHeight="1">
      <c r="A12" s="11">
        <v>11.0</v>
      </c>
      <c r="B12" s="11" t="s">
        <v>75</v>
      </c>
      <c r="C12" s="93" t="s">
        <v>1891</v>
      </c>
      <c r="D12" s="215" t="s">
        <v>64</v>
      </c>
      <c r="E12" s="11">
        <v>10.0</v>
      </c>
      <c r="F12" s="11" t="s">
        <v>20</v>
      </c>
      <c r="G12" s="93" t="s">
        <v>1892</v>
      </c>
      <c r="H12" s="11" t="str">
        <f>IMAGE("https://m.media-amazon.com/images/W/MEDIAX_792452-T2/images/I/611Q9E31rML._SL1500_.jpg",1)</f>
        <v/>
      </c>
      <c r="I12" s="11" t="s">
        <v>2015</v>
      </c>
    </row>
    <row r="13" ht="45.0" customHeight="1">
      <c r="A13" s="11">
        <v>12.0</v>
      </c>
      <c r="B13" s="11" t="s">
        <v>70</v>
      </c>
      <c r="C13" s="93" t="s">
        <v>71</v>
      </c>
      <c r="D13" s="215" t="s">
        <v>64</v>
      </c>
      <c r="E13" s="216">
        <v>25.0</v>
      </c>
      <c r="F13" s="11" t="s">
        <v>20</v>
      </c>
      <c r="G13" s="93" t="s">
        <v>111</v>
      </c>
      <c r="H13" s="11" t="str">
        <f>IMAGE("https://helloaugust.in/wp-content/uploads/2020/04/dark-colour-chart-paper-full-size-300x300.jpg",1)</f>
        <v/>
      </c>
      <c r="I13" s="11" t="s">
        <v>1984</v>
      </c>
    </row>
    <row r="14" ht="45.0" customHeight="1">
      <c r="A14" s="11">
        <v>13.0</v>
      </c>
      <c r="B14" s="11" t="s">
        <v>80</v>
      </c>
      <c r="C14" s="93" t="s">
        <v>352</v>
      </c>
      <c r="D14" s="215" t="s">
        <v>64</v>
      </c>
      <c r="E14" s="216">
        <v>5.0</v>
      </c>
      <c r="F14" s="11" t="s">
        <v>20</v>
      </c>
      <c r="G14" s="93" t="s">
        <v>111</v>
      </c>
      <c r="H14" s="11" t="str">
        <f>IMAGE("https://4.imimg.com/data4/TN/NP/MY-32886991/a4-colour-paper-500x500.jpg",1)</f>
        <v/>
      </c>
      <c r="I14" s="11" t="s">
        <v>1984</v>
      </c>
    </row>
    <row r="15" ht="45.0" customHeight="1">
      <c r="A15" s="11">
        <v>14.0</v>
      </c>
      <c r="B15" s="11" t="s">
        <v>86</v>
      </c>
      <c r="C15" s="93" t="s">
        <v>1893</v>
      </c>
      <c r="D15" s="215" t="s">
        <v>64</v>
      </c>
      <c r="E15" s="216">
        <v>5.0</v>
      </c>
      <c r="F15" s="11" t="s">
        <v>20</v>
      </c>
      <c r="G15" s="93" t="s">
        <v>111</v>
      </c>
      <c r="H15" s="11" t="str">
        <f>IMAGE("https://www.htconline.in/images/thumbs/0019821_camlin-drawing-pencils-set-of-6.jpeg",1)</f>
        <v/>
      </c>
      <c r="I15" s="11" t="s">
        <v>2016</v>
      </c>
    </row>
    <row r="16" ht="45.0" customHeight="1">
      <c r="A16" s="11">
        <v>15.0</v>
      </c>
      <c r="B16" s="11" t="s">
        <v>90</v>
      </c>
      <c r="C16" s="93" t="s">
        <v>91</v>
      </c>
      <c r="D16" s="215" t="s">
        <v>64</v>
      </c>
      <c r="E16" s="216">
        <v>20.0</v>
      </c>
      <c r="F16" s="11" t="s">
        <v>20</v>
      </c>
      <c r="G16" s="93" t="s">
        <v>111</v>
      </c>
      <c r="H16" s="11" t="str">
        <f>IMAGE("https://upload.wikimedia.org/wikipedia/commons/e/e8/Office-pink-erasers.jpg",1)</f>
        <v/>
      </c>
      <c r="I16" s="11" t="s">
        <v>2016</v>
      </c>
    </row>
    <row r="17" ht="45.0" customHeight="1">
      <c r="A17" s="11">
        <v>16.0</v>
      </c>
      <c r="B17" s="11" t="s">
        <v>94</v>
      </c>
      <c r="C17" s="93" t="s">
        <v>95</v>
      </c>
      <c r="D17" s="215" t="s">
        <v>64</v>
      </c>
      <c r="E17" s="216">
        <v>10.0</v>
      </c>
      <c r="F17" s="11" t="s">
        <v>20</v>
      </c>
      <c r="G17" s="93" t="s">
        <v>111</v>
      </c>
      <c r="H17" s="11" t="str">
        <f>IMAGE("https://cdn.shopify.com/s/files/1/0064/3412/7939/products/Main-2_2baab3ae-c700-4dd7-acd2-e9442aee0358_2048x.jpg?v=1669799264",1)</f>
        <v/>
      </c>
      <c r="I17" s="11" t="s">
        <v>2016</v>
      </c>
    </row>
    <row r="18" ht="45.0" customHeight="1">
      <c r="A18" s="11">
        <v>17.0</v>
      </c>
      <c r="B18" s="11" t="s">
        <v>97</v>
      </c>
      <c r="C18" s="93" t="s">
        <v>1894</v>
      </c>
      <c r="D18" s="215" t="s">
        <v>64</v>
      </c>
      <c r="E18" s="216">
        <v>10.0</v>
      </c>
      <c r="F18" s="11" t="s">
        <v>20</v>
      </c>
      <c r="G18" s="93" t="s">
        <v>111</v>
      </c>
      <c r="H18" s="11" t="e">
        <v>#VALUE!</v>
      </c>
      <c r="I18" s="11" t="s">
        <v>2016</v>
      </c>
    </row>
    <row r="19" ht="45.0" customHeight="1">
      <c r="A19" s="11">
        <v>18.0</v>
      </c>
      <c r="B19" s="11" t="s">
        <v>108</v>
      </c>
      <c r="C19" s="93" t="s">
        <v>1896</v>
      </c>
      <c r="D19" s="215" t="s">
        <v>64</v>
      </c>
      <c r="E19" s="216">
        <v>1.0</v>
      </c>
      <c r="F19" s="11" t="s">
        <v>20</v>
      </c>
      <c r="G19" s="93" t="s">
        <v>111</v>
      </c>
      <c r="H19" s="11" t="str">
        <f>IMAGE("https://i5.walmartimages.com/asr/093150f9-deec-44c1-a07d-a6985f3f45c7.dad44d94862d81eed55b6d8aef2937c1.jpeg?odnHeight=612&amp;odnWidth=612&amp;odnBg=FFFFFF",1)</f>
        <v/>
      </c>
      <c r="I19" s="11" t="s">
        <v>2019</v>
      </c>
    </row>
    <row r="20" ht="45.0" customHeight="1">
      <c r="A20" s="11">
        <v>19.0</v>
      </c>
      <c r="B20" s="11" t="s">
        <v>114</v>
      </c>
      <c r="C20" s="93" t="s">
        <v>115</v>
      </c>
      <c r="D20" s="215" t="s">
        <v>64</v>
      </c>
      <c r="E20" s="216">
        <v>10.0</v>
      </c>
      <c r="F20" s="11" t="s">
        <v>20</v>
      </c>
      <c r="G20" s="93" t="s">
        <v>111</v>
      </c>
      <c r="H20" s="11" t="str">
        <f>IMAGE("https://m.media-amazon.com/images/I/81XeaSXczEL._SL1500_.jpg",1)</f>
        <v/>
      </c>
      <c r="I20" s="11" t="s">
        <v>2020</v>
      </c>
    </row>
    <row r="21" ht="45.0" customHeight="1">
      <c r="A21" s="11">
        <v>20.0</v>
      </c>
      <c r="B21" s="11" t="s">
        <v>126</v>
      </c>
      <c r="C21" s="93" t="s">
        <v>127</v>
      </c>
      <c r="D21" s="215" t="s">
        <v>64</v>
      </c>
      <c r="E21" s="216">
        <v>5.0</v>
      </c>
      <c r="F21" s="11" t="s">
        <v>20</v>
      </c>
      <c r="G21" s="93" t="s">
        <v>111</v>
      </c>
      <c r="H21" s="11" t="e">
        <v>#VALUE!</v>
      </c>
      <c r="I21" s="11" t="s">
        <v>1900</v>
      </c>
    </row>
    <row r="22" ht="45.0" customHeight="1">
      <c r="A22" s="11">
        <v>21.0</v>
      </c>
      <c r="B22" s="11" t="s">
        <v>62</v>
      </c>
      <c r="C22" s="93" t="s">
        <v>1889</v>
      </c>
      <c r="D22" s="215" t="s">
        <v>64</v>
      </c>
      <c r="E22" s="216">
        <v>60.0</v>
      </c>
      <c r="F22" s="11" t="s">
        <v>20</v>
      </c>
      <c r="G22" s="93" t="s">
        <v>1890</v>
      </c>
      <c r="H22" s="11" t="str">
        <f>IMAGE("https://5.imimg.com/data5/SELLER/Default/2020/9/EF/FR/SW/13763930/fevicryte-acrylic-colors-500x500.jpg",1)</f>
        <v/>
      </c>
      <c r="I22" s="11" t="s">
        <v>2014</v>
      </c>
    </row>
    <row r="23" ht="45.0" customHeight="1">
      <c r="A23" s="11">
        <v>22.0</v>
      </c>
      <c r="B23" s="11" t="s">
        <v>100</v>
      </c>
      <c r="C23" s="93" t="s">
        <v>101</v>
      </c>
      <c r="D23" s="215" t="s">
        <v>64</v>
      </c>
      <c r="E23" s="216">
        <v>10.0</v>
      </c>
      <c r="F23" s="11" t="s">
        <v>20</v>
      </c>
      <c r="G23" s="93" t="s">
        <v>1890</v>
      </c>
      <c r="H23" s="11" t="str">
        <f>IMAGE("https://i5.walmartimages.com/asr/2f51619b-ee1e-4e7f-9717-927459ae38b6.1308a61cc28d473c3122e46595affb79.jpeg",1)</f>
        <v/>
      </c>
      <c r="I23" s="11" t="s">
        <v>2017</v>
      </c>
    </row>
    <row r="24" ht="45.0" customHeight="1">
      <c r="A24" s="11">
        <v>23.0</v>
      </c>
      <c r="B24" s="11" t="s">
        <v>104</v>
      </c>
      <c r="C24" s="93" t="s">
        <v>105</v>
      </c>
      <c r="D24" s="215" t="s">
        <v>64</v>
      </c>
      <c r="E24" s="216">
        <v>5.0</v>
      </c>
      <c r="F24" s="11" t="s">
        <v>20</v>
      </c>
      <c r="G24" s="93" t="s">
        <v>1890</v>
      </c>
      <c r="H24" s="11" t="str">
        <f>IMAGE("https://c8.alamy.com/comp/R7TP32/paint-palette-with-various-acrylic-paints-and-a-brush-R7TP32.jpg",1)</f>
        <v/>
      </c>
      <c r="I24" s="11" t="s">
        <v>2018</v>
      </c>
    </row>
    <row r="25" ht="45.0" customHeight="1">
      <c r="A25" s="11">
        <v>24.0</v>
      </c>
      <c r="B25" s="11" t="s">
        <v>134</v>
      </c>
      <c r="C25" s="93" t="s">
        <v>135</v>
      </c>
      <c r="D25" s="215" t="s">
        <v>64</v>
      </c>
      <c r="E25" s="216">
        <v>10.0</v>
      </c>
      <c r="F25" s="11" t="s">
        <v>20</v>
      </c>
      <c r="G25" s="93" t="s">
        <v>1890</v>
      </c>
      <c r="H25" s="11" t="str">
        <f>IMAGE("https://m.media-amazon.com/images/I/717edTeWYZL._SL1500_.jpg",1)</f>
        <v/>
      </c>
      <c r="I25" s="11" t="s">
        <v>2024</v>
      </c>
    </row>
    <row r="26" ht="45.0" customHeight="1">
      <c r="A26" s="11">
        <v>25.0</v>
      </c>
      <c r="B26" s="11" t="s">
        <v>118</v>
      </c>
      <c r="C26" s="93" t="s">
        <v>1897</v>
      </c>
      <c r="D26" s="215" t="s">
        <v>64</v>
      </c>
      <c r="E26" s="216">
        <v>10.0</v>
      </c>
      <c r="F26" s="11" t="s">
        <v>20</v>
      </c>
      <c r="G26" s="93" t="s">
        <v>1898</v>
      </c>
      <c r="H26" s="11" t="str">
        <f>IMAGE("https://www.faithfulltools.com/images/xxlarge/FAIRULE150SS.jpg",1)</f>
        <v/>
      </c>
      <c r="I26" s="11" t="s">
        <v>2021</v>
      </c>
    </row>
    <row r="27" ht="45.0" customHeight="1">
      <c r="A27" s="11">
        <v>26.0</v>
      </c>
      <c r="B27" s="11" t="s">
        <v>130</v>
      </c>
      <c r="C27" s="93" t="s">
        <v>131</v>
      </c>
      <c r="D27" s="215" t="s">
        <v>64</v>
      </c>
      <c r="E27" s="216">
        <v>10.0</v>
      </c>
      <c r="F27" s="11" t="s">
        <v>20</v>
      </c>
      <c r="G27" s="93" t="s">
        <v>1898</v>
      </c>
      <c r="H27" s="11" t="str">
        <f>IMAGE("https://5.imimg.com/data5/AO/GN/AU/SELLER-10873750/floppy-disk-1000x1000.jpg",1)</f>
        <v/>
      </c>
      <c r="I27" s="11" t="s">
        <v>2016</v>
      </c>
    </row>
    <row r="28" ht="45.0" customHeight="1">
      <c r="A28" s="11">
        <v>27.0</v>
      </c>
      <c r="B28" s="11" t="s">
        <v>122</v>
      </c>
      <c r="C28" s="93" t="s">
        <v>123</v>
      </c>
      <c r="D28" s="215" t="s">
        <v>64</v>
      </c>
      <c r="E28" s="216">
        <v>10.0</v>
      </c>
      <c r="F28" s="11" t="s">
        <v>20</v>
      </c>
      <c r="G28" s="93" t="s">
        <v>1899</v>
      </c>
      <c r="H28" s="11" t="str">
        <f>IMAGE("https://images.meesho.com/images/products/60299132/dranx_512.jpg",1)</f>
        <v/>
      </c>
      <c r="I28" s="11" t="s">
        <v>2023</v>
      </c>
    </row>
    <row r="29" ht="45.0" customHeight="1">
      <c r="A29" s="11">
        <v>28.0</v>
      </c>
      <c r="B29" s="259" t="s">
        <v>2000</v>
      </c>
      <c r="C29" s="260" t="s">
        <v>2001</v>
      </c>
      <c r="D29" s="269" t="s">
        <v>346</v>
      </c>
      <c r="E29" s="216">
        <v>5.0</v>
      </c>
      <c r="F29" s="221" t="s">
        <v>20</v>
      </c>
      <c r="G29" s="93"/>
      <c r="H29" s="11"/>
      <c r="I29" s="11" t="s">
        <v>2156</v>
      </c>
    </row>
    <row r="30" ht="45.0" customHeight="1">
      <c r="A30" s="11">
        <v>29.0</v>
      </c>
      <c r="B30" s="11" t="s">
        <v>1007</v>
      </c>
      <c r="C30" s="93" t="s">
        <v>1008</v>
      </c>
      <c r="D30" s="215" t="s">
        <v>981</v>
      </c>
      <c r="E30" s="216">
        <v>1.0</v>
      </c>
      <c r="F30" s="11" t="s">
        <v>20</v>
      </c>
      <c r="G30" s="93" t="s">
        <v>111</v>
      </c>
      <c r="H30" s="11" t="str">
        <f>IMAGE("https://5.imimg.com/data5/KE/BV/MY-37063415/elastic-rubber-band-500x500.jpg",1)</f>
        <v/>
      </c>
      <c r="I30" s="11" t="s">
        <v>2099</v>
      </c>
    </row>
    <row r="31" ht="45.0" customHeight="1">
      <c r="A31" s="11">
        <v>30.0</v>
      </c>
      <c r="B31" s="11" t="s">
        <v>1011</v>
      </c>
      <c r="C31" s="93" t="s">
        <v>1012</v>
      </c>
      <c r="D31" s="215" t="s">
        <v>981</v>
      </c>
      <c r="E31" s="216">
        <v>1.0</v>
      </c>
      <c r="F31" s="11" t="s">
        <v>20</v>
      </c>
      <c r="G31" s="93" t="s">
        <v>111</v>
      </c>
      <c r="H31" s="11" t="str">
        <f>IMAGE("https://5.imimg.com/data5/BN/VV/MY-31202642/rubber-band-500x500.jpg",1)</f>
        <v/>
      </c>
      <c r="I31" s="11" t="s">
        <v>2099</v>
      </c>
    </row>
    <row r="32" ht="45.0" customHeight="1">
      <c r="A32" s="11">
        <v>31.0</v>
      </c>
      <c r="B32" s="11" t="s">
        <v>1015</v>
      </c>
      <c r="C32" s="93" t="s">
        <v>1016</v>
      </c>
      <c r="D32" s="215" t="s">
        <v>981</v>
      </c>
      <c r="E32" s="216">
        <v>1.0</v>
      </c>
      <c r="F32" s="11" t="s">
        <v>20</v>
      </c>
      <c r="G32" s="93" t="s">
        <v>111</v>
      </c>
      <c r="H32" s="11" t="str">
        <f>IMAGE("https://5.imimg.com/data5/YV/DJ/MY-7514996/rubber-band-500x500.jpg",1)</f>
        <v/>
      </c>
      <c r="I32" s="11" t="s">
        <v>2099</v>
      </c>
    </row>
    <row r="33" ht="45.0" customHeight="1">
      <c r="A33" s="11">
        <v>32.0</v>
      </c>
      <c r="B33" s="11" t="s">
        <v>979</v>
      </c>
      <c r="C33" s="93" t="s">
        <v>980</v>
      </c>
      <c r="D33" s="215" t="s">
        <v>981</v>
      </c>
      <c r="E33" s="216">
        <v>5.0</v>
      </c>
      <c r="F33" s="11" t="s">
        <v>20</v>
      </c>
      <c r="G33" s="215" t="s">
        <v>981</v>
      </c>
      <c r="H33" s="11" t="str">
        <f t="shared" ref="H33:H35" si="1">IMAGE("https://encrypted-tbn0.gstatic.com/=IMAGEs?q=tbn:ANd9GcSdcvov5296EXdnf0Fj0qF-G6iK-nu0n6Z4THAWosUzBx_wQ7GuJyrL0Rnbt1uBxLroiao&amp;usqp=CAU",1)</f>
        <v/>
      </c>
      <c r="I33" s="11" t="s">
        <v>2097</v>
      </c>
    </row>
    <row r="34" ht="45.0" customHeight="1">
      <c r="A34" s="11">
        <v>33.0</v>
      </c>
      <c r="B34" s="11" t="s">
        <v>984</v>
      </c>
      <c r="C34" s="93" t="s">
        <v>985</v>
      </c>
      <c r="D34" s="215" t="s">
        <v>981</v>
      </c>
      <c r="E34" s="216">
        <v>5.0</v>
      </c>
      <c r="F34" s="11" t="s">
        <v>20</v>
      </c>
      <c r="G34" s="215" t="s">
        <v>981</v>
      </c>
      <c r="H34" s="11" t="str">
        <f t="shared" si="1"/>
        <v/>
      </c>
      <c r="I34" s="11" t="s">
        <v>2097</v>
      </c>
    </row>
    <row r="35" ht="45.0" customHeight="1">
      <c r="A35" s="11">
        <v>34.0</v>
      </c>
      <c r="B35" s="11" t="s">
        <v>988</v>
      </c>
      <c r="C35" s="93" t="s">
        <v>989</v>
      </c>
      <c r="D35" s="215" t="s">
        <v>981</v>
      </c>
      <c r="E35" s="216">
        <v>2.0</v>
      </c>
      <c r="F35" s="11" t="s">
        <v>20</v>
      </c>
      <c r="G35" s="93" t="s">
        <v>981</v>
      </c>
      <c r="H35" s="11" t="str">
        <f t="shared" si="1"/>
        <v/>
      </c>
      <c r="I35" s="11" t="s">
        <v>2097</v>
      </c>
    </row>
    <row r="36" ht="45.0" customHeight="1">
      <c r="A36" s="11">
        <v>35.0</v>
      </c>
      <c r="B36" s="11" t="s">
        <v>992</v>
      </c>
      <c r="C36" s="93" t="s">
        <v>993</v>
      </c>
      <c r="D36" s="215" t="s">
        <v>981</v>
      </c>
      <c r="E36" s="216">
        <v>5.0</v>
      </c>
      <c r="F36" s="11" t="s">
        <v>20</v>
      </c>
      <c r="G36" s="215" t="s">
        <v>981</v>
      </c>
      <c r="H36" s="11" t="str">
        <f t="shared" ref="H36:H38" si="2">IMAGE("https://encrypted-tbn0.gstatic.com/=IMAGEs?q=tbn:ANd9GcTv3YU2gmM00qoI79XpKhq-dV1wM5aPXrLsmrVwQWwEda0tuTarN0ncQ0DMg_JUYk4IBe4&amp;usqp=CAU",1)</f>
        <v/>
      </c>
      <c r="I36" s="11" t="s">
        <v>2098</v>
      </c>
    </row>
    <row r="37" ht="45.0" customHeight="1">
      <c r="A37" s="11">
        <v>36.0</v>
      </c>
      <c r="B37" s="11" t="s">
        <v>996</v>
      </c>
      <c r="C37" s="93" t="s">
        <v>997</v>
      </c>
      <c r="D37" s="215" t="s">
        <v>981</v>
      </c>
      <c r="E37" s="216">
        <v>5.0</v>
      </c>
      <c r="F37" s="11" t="s">
        <v>20</v>
      </c>
      <c r="G37" s="215" t="s">
        <v>981</v>
      </c>
      <c r="H37" s="11" t="str">
        <f t="shared" si="2"/>
        <v/>
      </c>
      <c r="I37" s="11" t="s">
        <v>2098</v>
      </c>
    </row>
    <row r="38" ht="45.0" customHeight="1">
      <c r="A38" s="11">
        <v>37.0</v>
      </c>
      <c r="B38" s="11" t="s">
        <v>999</v>
      </c>
      <c r="C38" s="93" t="s">
        <v>1000</v>
      </c>
      <c r="D38" s="215" t="s">
        <v>981</v>
      </c>
      <c r="E38" s="216">
        <v>5.0</v>
      </c>
      <c r="F38" s="11" t="s">
        <v>20</v>
      </c>
      <c r="G38" s="215" t="s">
        <v>981</v>
      </c>
      <c r="H38" s="11" t="str">
        <f t="shared" si="2"/>
        <v/>
      </c>
      <c r="I38" s="11" t="s">
        <v>2098</v>
      </c>
    </row>
    <row r="39" ht="45.0" customHeight="1">
      <c r="A39" s="11">
        <v>38.0</v>
      </c>
      <c r="B39" s="11" t="s">
        <v>1003</v>
      </c>
      <c r="C39" s="93" t="s">
        <v>1004</v>
      </c>
      <c r="D39" s="215" t="s">
        <v>981</v>
      </c>
      <c r="E39" s="216">
        <v>1.0</v>
      </c>
      <c r="F39" s="11" t="s">
        <v>20</v>
      </c>
      <c r="G39" s="215" t="s">
        <v>981</v>
      </c>
      <c r="H39" s="11" t="str">
        <f>IMAGE("https://3.imimg.com/data3/QQ/JR/MY-2/plastic-twine-500x500.jpg",1)</f>
        <v/>
      </c>
      <c r="I39" s="11" t="s">
        <v>2013</v>
      </c>
    </row>
    <row r="40" ht="45.0" customHeight="1">
      <c r="A40" s="11">
        <v>39.0</v>
      </c>
      <c r="B40" s="11" t="s">
        <v>1018</v>
      </c>
      <c r="C40" s="93" t="s">
        <v>1019</v>
      </c>
      <c r="D40" s="215" t="s">
        <v>981</v>
      </c>
      <c r="E40" s="216">
        <v>1.0</v>
      </c>
      <c r="F40" s="11" t="s">
        <v>20</v>
      </c>
      <c r="G40" s="215" t="s">
        <v>981</v>
      </c>
      <c r="H40" s="11" t="str">
        <f>IMAGE("https://m.media-amazon.com/images/I/51XnX9DfiFL._SL1166_.jpg",1)</f>
        <v/>
      </c>
      <c r="I40" s="11" t="s">
        <v>2099</v>
      </c>
    </row>
    <row r="41" ht="45.0" customHeight="1">
      <c r="A41" s="11">
        <v>40.0</v>
      </c>
      <c r="B41" s="11" t="s">
        <v>1433</v>
      </c>
      <c r="C41" s="93" t="s">
        <v>1982</v>
      </c>
      <c r="D41" s="215" t="s">
        <v>1421</v>
      </c>
      <c r="E41" s="216">
        <v>1.0</v>
      </c>
      <c r="F41" s="11" t="s">
        <v>20</v>
      </c>
      <c r="G41" s="93" t="s">
        <v>1983</v>
      </c>
      <c r="H41" s="11" t="str">
        <f>IMAGE("https://m.media-amazon.com/images/I/81PowerIGsL._SL1500_.jpg")</f>
        <v/>
      </c>
      <c r="I41" s="222" t="s">
        <v>2007</v>
      </c>
    </row>
    <row r="42" ht="45.0" customHeight="1">
      <c r="A42" s="11">
        <v>41.0</v>
      </c>
      <c r="B42" s="11" t="s">
        <v>1438</v>
      </c>
      <c r="C42" s="93" t="s">
        <v>1439</v>
      </c>
      <c r="D42" s="215" t="s">
        <v>1421</v>
      </c>
      <c r="E42" s="216">
        <v>5.0</v>
      </c>
      <c r="F42" s="11" t="s">
        <v>20</v>
      </c>
      <c r="G42" s="93" t="s">
        <v>1983</v>
      </c>
      <c r="H42" s="11" t="str">
        <f>IMAGE("https://cdn.shopify.com/s/files/1/0032/5448/5037/products/suvidha-aluminium-foil-72-meters-pack-of-12_800x.jpg?v=1562920856",1)</f>
        <v/>
      </c>
      <c r="I42" s="11" t="s">
        <v>2140</v>
      </c>
    </row>
    <row r="43" ht="45.0" customHeight="1">
      <c r="A43" s="11">
        <v>42.0</v>
      </c>
      <c r="B43" s="11" t="s">
        <v>1424</v>
      </c>
      <c r="C43" s="93" t="s">
        <v>1425</v>
      </c>
      <c r="D43" s="215" t="s">
        <v>1421</v>
      </c>
      <c r="E43" s="11">
        <v>5.0</v>
      </c>
      <c r="F43" s="11" t="s">
        <v>20</v>
      </c>
      <c r="G43" s="93" t="s">
        <v>1892</v>
      </c>
      <c r="H43" s="11" t="str">
        <f>IMAGE("https://imgs.michaels.com/MAM/assets/1/5E3C12034D34434F8A9BAAFDDF0F8E1B/img/5CDBB82051B44720A8F8901B4AABD77C/10446567_2.jpg",1)</f>
        <v/>
      </c>
      <c r="I43" s="11" t="s">
        <v>2011</v>
      </c>
    </row>
    <row r="44" ht="45.0" customHeight="1">
      <c r="A44" s="11">
        <v>43.0</v>
      </c>
      <c r="B44" s="11" t="s">
        <v>1429</v>
      </c>
      <c r="C44" s="93" t="s">
        <v>1981</v>
      </c>
      <c r="D44" s="215" t="s">
        <v>1421</v>
      </c>
      <c r="E44" s="11">
        <v>5.0</v>
      </c>
      <c r="F44" s="11" t="s">
        <v>20</v>
      </c>
      <c r="G44" s="93" t="s">
        <v>1892</v>
      </c>
      <c r="H44" s="11" t="str">
        <f>IMAGE("https://upload.wikimedia.org/wikipedia/commons/7/79/Polymer_clay_examples.jpg",1)</f>
        <v/>
      </c>
      <c r="I44" s="11" t="s">
        <v>2139</v>
      </c>
    </row>
    <row r="45" ht="45.0" customHeight="1">
      <c r="A45" s="11">
        <v>44.0</v>
      </c>
      <c r="B45" s="11" t="s">
        <v>1442</v>
      </c>
      <c r="C45" s="93" t="s">
        <v>936</v>
      </c>
      <c r="D45" s="215" t="s">
        <v>1421</v>
      </c>
      <c r="E45" s="216">
        <v>4.0</v>
      </c>
      <c r="F45" s="11" t="s">
        <v>20</v>
      </c>
      <c r="G45" s="93" t="s">
        <v>111</v>
      </c>
      <c r="H45" s="11" t="str">
        <f>IMAGE("https://m.media-amazon.com/images/I/61ywjiydpbS._SL1500_.jpg",1)</f>
        <v/>
      </c>
      <c r="I45" s="222" t="s">
        <v>2019</v>
      </c>
    </row>
    <row r="46" ht="45.0" customHeight="1">
      <c r="A46" s="11">
        <v>45.0</v>
      </c>
      <c r="B46" s="11" t="s">
        <v>1453</v>
      </c>
      <c r="C46" s="93" t="s">
        <v>1454</v>
      </c>
      <c r="D46" s="215" t="s">
        <v>1421</v>
      </c>
      <c r="E46" s="216">
        <v>50.0</v>
      </c>
      <c r="F46" s="11" t="s">
        <v>20</v>
      </c>
      <c r="G46" s="93" t="s">
        <v>111</v>
      </c>
      <c r="H46" s="11" t="str">
        <f>IMAGE("https://cdn11.bigcommerce.com/s-33iv1gdknl/images/stencil/1280x1280/products/115465/70691/prd_32014_5797121027228__12010.1559545680.jpg?c=2",1)</f>
        <v/>
      </c>
      <c r="I46" s="11" t="s">
        <v>2141</v>
      </c>
    </row>
    <row r="47" ht="45.0" customHeight="1">
      <c r="A47" s="11">
        <v>46.0</v>
      </c>
      <c r="B47" s="11" t="s">
        <v>1469</v>
      </c>
      <c r="C47" s="93" t="s">
        <v>1470</v>
      </c>
      <c r="D47" s="215" t="s">
        <v>1421</v>
      </c>
      <c r="E47" s="216">
        <v>1.0</v>
      </c>
      <c r="F47" s="11" t="s">
        <v>20</v>
      </c>
      <c r="G47" s="93" t="s">
        <v>111</v>
      </c>
      <c r="H47" s="11" t="str">
        <f>IMAGE("https://www.wpiinc.com/media/catalog/product/cache/57a65487c9a4c9d3ba2482ad45cfc757/5/0/503023.jpg",1)</f>
        <v/>
      </c>
      <c r="I47" s="11" t="s">
        <v>2007</v>
      </c>
    </row>
    <row r="48" ht="45.0" customHeight="1">
      <c r="A48" s="11">
        <v>47.0</v>
      </c>
      <c r="B48" s="11" t="s">
        <v>1457</v>
      </c>
      <c r="C48" s="93" t="s">
        <v>1458</v>
      </c>
      <c r="D48" s="215" t="s">
        <v>1421</v>
      </c>
      <c r="E48" s="216">
        <v>10.0</v>
      </c>
      <c r="F48" s="11" t="s">
        <v>20</v>
      </c>
      <c r="G48" s="93" t="s">
        <v>1985</v>
      </c>
      <c r="H48" s="11" t="str">
        <f>IMAGE("https://assetscdn1.paytm.com/images/catalog/product/S/ST/STAEVA-FOAM-SHEKAPI63599336D8CB51/1563562065545_0..jpg?imwidth=320&amp;impolicy=hq",1)</f>
        <v/>
      </c>
      <c r="I48" s="11" t="s">
        <v>2142</v>
      </c>
    </row>
    <row r="49" ht="45.0" customHeight="1">
      <c r="A49" s="11">
        <v>48.0</v>
      </c>
      <c r="B49" s="11" t="s">
        <v>1445</v>
      </c>
      <c r="C49" s="93" t="s">
        <v>1446</v>
      </c>
      <c r="D49" s="215" t="s">
        <v>1421</v>
      </c>
      <c r="E49" s="216">
        <v>5.0</v>
      </c>
      <c r="F49" s="11" t="s">
        <v>20</v>
      </c>
      <c r="G49" s="93" t="s">
        <v>1985</v>
      </c>
      <c r="H49" s="11" t="str">
        <f t="shared" ref="H49:H50" si="3">IMAGE("https://m.media-amazon.com/images/I/51FB8cHTJyL._SL1500_.jpg",1)</f>
        <v/>
      </c>
      <c r="I49" s="11" t="s">
        <v>2143</v>
      </c>
    </row>
    <row r="50" ht="45.0" customHeight="1">
      <c r="A50" s="11">
        <v>49.0</v>
      </c>
      <c r="B50" s="11" t="s">
        <v>1449</v>
      </c>
      <c r="C50" s="93" t="s">
        <v>1450</v>
      </c>
      <c r="D50" s="215" t="s">
        <v>1421</v>
      </c>
      <c r="E50" s="216">
        <v>5.0</v>
      </c>
      <c r="F50" s="11" t="s">
        <v>20</v>
      </c>
      <c r="G50" s="93" t="s">
        <v>1985</v>
      </c>
      <c r="H50" s="11" t="str">
        <f t="shared" si="3"/>
        <v/>
      </c>
      <c r="I50" s="11" t="s">
        <v>2143</v>
      </c>
    </row>
    <row r="51" ht="45.0" customHeight="1">
      <c r="A51" s="11">
        <v>50.0</v>
      </c>
      <c r="B51" s="11" t="s">
        <v>1465</v>
      </c>
      <c r="C51" s="93" t="s">
        <v>1466</v>
      </c>
      <c r="D51" s="215" t="s">
        <v>1421</v>
      </c>
      <c r="E51" s="216">
        <v>10.0</v>
      </c>
      <c r="F51" s="11" t="s">
        <v>20</v>
      </c>
      <c r="G51" s="93" t="s">
        <v>1985</v>
      </c>
      <c r="H51" s="11" t="str">
        <f>IMAGE("https://www.ramsayrubber.com/wp-content/uploads/2020/01/Rolls-Sheeting-Polyurethane-Foam-Rolls2-1.jpg",1)</f>
        <v/>
      </c>
      <c r="I51" s="222" t="s">
        <v>2142</v>
      </c>
    </row>
    <row r="52" ht="45.0" customHeight="1">
      <c r="A52" s="11">
        <v>51.0</v>
      </c>
      <c r="B52" s="11" t="s">
        <v>1460</v>
      </c>
      <c r="C52" s="93" t="s">
        <v>1461</v>
      </c>
      <c r="D52" s="215" t="s">
        <v>1421</v>
      </c>
      <c r="E52" s="216">
        <v>1.0</v>
      </c>
      <c r="F52" s="11" t="s">
        <v>20</v>
      </c>
      <c r="G52" s="93" t="s">
        <v>1899</v>
      </c>
      <c r="H52" s="11" t="str">
        <f>IMAGE("https://5.imimg.com/data5/NA/SV/MA/SELLER-5806248/transparent-ohp-sheet-1000x1000.jpg",1)</f>
        <v/>
      </c>
      <c r="I52" s="11" t="s">
        <v>1984</v>
      </c>
    </row>
    <row r="53" ht="45.0" customHeight="1">
      <c r="A53" s="11">
        <v>52.0</v>
      </c>
      <c r="B53" s="11" t="s">
        <v>1603</v>
      </c>
      <c r="C53" s="93" t="s">
        <v>1604</v>
      </c>
      <c r="D53" s="215" t="s">
        <v>1601</v>
      </c>
      <c r="E53" s="11">
        <v>1.0</v>
      </c>
      <c r="F53" s="11" t="s">
        <v>20</v>
      </c>
      <c r="G53" s="93" t="s">
        <v>1987</v>
      </c>
      <c r="H53" s="11" t="str">
        <f>IMAGE("https://3.imimg.com/data3/HA/PB/MY-3231014/sewing-needle.jpg",1)</f>
        <v/>
      </c>
      <c r="I53" s="11" t="s">
        <v>2151</v>
      </c>
    </row>
    <row r="54" ht="45.0" customHeight="1">
      <c r="A54" s="11">
        <v>53.0</v>
      </c>
      <c r="B54" s="11" t="s">
        <v>1607</v>
      </c>
      <c r="C54" s="93" t="s">
        <v>1608</v>
      </c>
      <c r="D54" s="215" t="s">
        <v>1601</v>
      </c>
      <c r="E54" s="11">
        <v>2.0</v>
      </c>
      <c r="F54" s="11" t="s">
        <v>20</v>
      </c>
      <c r="G54" s="93" t="s">
        <v>1987</v>
      </c>
      <c r="H54" s="11" t="str">
        <f>IMAGE("https://m.media-amazon.com/images/W/MEDIAX_792452-T2/images/I/71vxqqo9r7L.jpg",1)</f>
        <v/>
      </c>
      <c r="I54" s="11" t="s">
        <v>2151</v>
      </c>
    </row>
    <row r="55" ht="45.0" customHeight="1">
      <c r="A55" s="11">
        <v>54.0</v>
      </c>
      <c r="B55" s="11" t="s">
        <v>463</v>
      </c>
      <c r="C55" s="93" t="s">
        <v>464</v>
      </c>
      <c r="D55" s="215" t="s">
        <v>465</v>
      </c>
      <c r="E55" s="216">
        <v>5.0</v>
      </c>
      <c r="F55" s="11" t="s">
        <v>466</v>
      </c>
      <c r="G55" s="93" t="s">
        <v>1938</v>
      </c>
      <c r="H55" s="11" t="str">
        <f>IMAGE("https://5.imimg.com/data5/SELLER/Default/2020/10/MN/BG/IF/24066098/sunlu-sl-300-3d-pen-green-500x500.jpg",1)</f>
        <v/>
      </c>
      <c r="I55" s="11" t="s">
        <v>2065</v>
      </c>
    </row>
    <row r="56" ht="45.0" customHeight="1">
      <c r="A56" s="11">
        <v>55.0</v>
      </c>
      <c r="B56" s="11" t="s">
        <v>470</v>
      </c>
      <c r="C56" s="93" t="s">
        <v>471</v>
      </c>
      <c r="D56" s="215" t="s">
        <v>465</v>
      </c>
      <c r="E56" s="216">
        <v>1.0</v>
      </c>
      <c r="F56" s="11" t="s">
        <v>466</v>
      </c>
      <c r="G56" s="93" t="s">
        <v>1938</v>
      </c>
      <c r="H56" s="11" t="str">
        <f>IMAGE("https://m.media-amazon.com/images/I/61UtNlSmPaL._SX342_.jpg",1)</f>
        <v/>
      </c>
      <c r="I56" s="11" t="s">
        <v>2066</v>
      </c>
    </row>
    <row r="57" ht="45.0" customHeight="1">
      <c r="A57" s="11">
        <v>56.0</v>
      </c>
      <c r="B57" s="11" t="s">
        <v>474</v>
      </c>
      <c r="C57" s="93" t="s">
        <v>475</v>
      </c>
      <c r="D57" s="215" t="s">
        <v>465</v>
      </c>
      <c r="E57" s="216">
        <v>1.0</v>
      </c>
      <c r="F57" s="11" t="s">
        <v>466</v>
      </c>
      <c r="G57" s="93" t="s">
        <v>1938</v>
      </c>
      <c r="H57" s="11"/>
      <c r="I57" s="11" t="s">
        <v>2067</v>
      </c>
    </row>
    <row r="58" ht="45.0" customHeight="1">
      <c r="A58" s="11">
        <v>57.0</v>
      </c>
      <c r="B58" s="11" t="s">
        <v>478</v>
      </c>
      <c r="C58" s="93" t="s">
        <v>479</v>
      </c>
      <c r="D58" s="215" t="s">
        <v>465</v>
      </c>
      <c r="E58" s="216">
        <v>3.0</v>
      </c>
      <c r="F58" s="11" t="s">
        <v>466</v>
      </c>
      <c r="G58" s="93" t="s">
        <v>1938</v>
      </c>
      <c r="H58" s="11" t="str">
        <f>IMAGE("https://5.imimg.com/data5/LA/TM/JO/SELLER-79394111/3d-printer-nylon-filament-500x500.jpg",1)</f>
        <v/>
      </c>
      <c r="I58" s="222" t="s">
        <v>2069</v>
      </c>
    </row>
    <row r="59" ht="45.0" customHeight="1">
      <c r="A59" s="11">
        <v>58.0</v>
      </c>
      <c r="B59" s="259" t="s">
        <v>1994</v>
      </c>
      <c r="C59" s="260" t="s">
        <v>1995</v>
      </c>
      <c r="D59" s="215" t="s">
        <v>465</v>
      </c>
      <c r="E59" s="216">
        <v>1.0</v>
      </c>
      <c r="F59" s="11" t="s">
        <v>466</v>
      </c>
      <c r="G59" s="93" t="s">
        <v>1991</v>
      </c>
      <c r="H59" s="11"/>
      <c r="I59" s="11" t="s">
        <v>2066</v>
      </c>
    </row>
    <row r="60" ht="45.0" customHeight="1">
      <c r="A60" s="11">
        <v>59.0</v>
      </c>
      <c r="B60" s="259" t="s">
        <v>1996</v>
      </c>
      <c r="C60" s="260" t="s">
        <v>1997</v>
      </c>
      <c r="D60" s="215" t="s">
        <v>465</v>
      </c>
      <c r="E60" s="216">
        <v>1.0</v>
      </c>
      <c r="F60" s="11" t="s">
        <v>466</v>
      </c>
      <c r="G60" s="93" t="s">
        <v>1991</v>
      </c>
      <c r="H60" s="11"/>
      <c r="I60" s="222" t="s">
        <v>2154</v>
      </c>
    </row>
    <row r="61" ht="45.0" customHeight="1">
      <c r="A61" s="11">
        <v>60.0</v>
      </c>
      <c r="B61" s="11" t="s">
        <v>1124</v>
      </c>
      <c r="C61" s="93" t="s">
        <v>1125</v>
      </c>
      <c r="D61" s="215" t="s">
        <v>1032</v>
      </c>
      <c r="E61" s="216">
        <v>1.0</v>
      </c>
      <c r="F61" s="11" t="s">
        <v>466</v>
      </c>
      <c r="G61" s="215" t="s">
        <v>1032</v>
      </c>
      <c r="H61" s="11" t="str">
        <f>IMAGE("https://cdn.shopify.com/s/files/1/0276/7382/1286/products/57_1a2e82a1-0306-49dc-8a29-0c0b2110ddb8_600x.jpg?v=1632245164",1)</f>
        <v/>
      </c>
      <c r="I61" s="222" t="s">
        <v>2106</v>
      </c>
    </row>
    <row r="62" ht="45.0" customHeight="1">
      <c r="A62" s="11">
        <v>61.0</v>
      </c>
      <c r="B62" s="11" t="s">
        <v>175</v>
      </c>
      <c r="C62" s="93" t="s">
        <v>176</v>
      </c>
      <c r="D62" s="215" t="s">
        <v>177</v>
      </c>
      <c r="E62" s="216">
        <v>5.0</v>
      </c>
      <c r="F62" s="11" t="s">
        <v>178</v>
      </c>
      <c r="G62" s="93" t="s">
        <v>1905</v>
      </c>
      <c r="H62" s="11" t="str">
        <f>IMAGE("https://robu.in/wp-content/uploads/2021/05/EU-Plug-Universal-Battery-Charger-For-18650-16340-14500-Li-ion-Rechargeable-Battery-Charger-3.jpg",1)</f>
        <v/>
      </c>
      <c r="I62" s="11" t="s">
        <v>2033</v>
      </c>
    </row>
    <row r="63" ht="45.0" customHeight="1">
      <c r="A63" s="11">
        <v>62.0</v>
      </c>
      <c r="B63" s="11" t="s">
        <v>219</v>
      </c>
      <c r="C63" s="93" t="s">
        <v>220</v>
      </c>
      <c r="D63" s="215" t="s">
        <v>177</v>
      </c>
      <c r="E63" s="216">
        <v>5.0</v>
      </c>
      <c r="F63" s="11" t="s">
        <v>178</v>
      </c>
      <c r="G63" s="93" t="s">
        <v>1905</v>
      </c>
      <c r="H63" s="11" t="str">
        <f>IMAGE("https://i02.psgsm.net/gsm.com/p/887576/480/power-bank-hoco-j26-10000-mah-micro-usb-type-b-input-5v-2a-2-usb-outputs-5-v-2-1-a-139-70-16-mm-with-micro-usb-cable-type-b-black.jpg",1)</f>
        <v/>
      </c>
      <c r="I63" s="221" t="s">
        <v>2039</v>
      </c>
    </row>
    <row r="64" ht="45.0" customHeight="1">
      <c r="A64" s="11">
        <v>63.0</v>
      </c>
      <c r="B64" s="11" t="s">
        <v>223</v>
      </c>
      <c r="C64" s="93" t="s">
        <v>1741</v>
      </c>
      <c r="D64" s="215" t="s">
        <v>177</v>
      </c>
      <c r="E64" s="216">
        <v>10.0</v>
      </c>
      <c r="F64" s="11" t="s">
        <v>178</v>
      </c>
      <c r="G64" s="93" t="s">
        <v>1905</v>
      </c>
      <c r="H64" s="11" t="str">
        <f>IMAGE("https://images-na.ssl-images-amazon.com/images/I/51p4KPR9o1L.SS700.jpg",1)</f>
        <v/>
      </c>
      <c r="I64" s="11" t="s">
        <v>2040</v>
      </c>
    </row>
    <row r="65" ht="45.0" customHeight="1">
      <c r="A65" s="11">
        <v>64.0</v>
      </c>
      <c r="B65" s="11" t="s">
        <v>227</v>
      </c>
      <c r="C65" s="93" t="s">
        <v>228</v>
      </c>
      <c r="D65" s="215" t="s">
        <v>177</v>
      </c>
      <c r="E65" s="216">
        <v>10.0</v>
      </c>
      <c r="F65" s="11" t="s">
        <v>178</v>
      </c>
      <c r="G65" s="93" t="s">
        <v>1905</v>
      </c>
      <c r="H65" s="11" t="str">
        <f>IMAGE("https://5.imimg.com/data5/SELLER/Default/2021/7/XA/OZ/BW/6610292/9v-power-plus-nimh-rechargeable-battery-500x500.jpg",1)</f>
        <v/>
      </c>
      <c r="I65" s="11" t="s">
        <v>2038</v>
      </c>
    </row>
    <row r="66" ht="45.0" customHeight="1">
      <c r="A66" s="11">
        <v>65.0</v>
      </c>
      <c r="B66" s="11" t="s">
        <v>231</v>
      </c>
      <c r="C66" s="93" t="s">
        <v>232</v>
      </c>
      <c r="D66" s="215" t="s">
        <v>177</v>
      </c>
      <c r="E66" s="216">
        <v>20.0</v>
      </c>
      <c r="F66" s="11" t="s">
        <v>178</v>
      </c>
      <c r="G66" s="93" t="s">
        <v>1905</v>
      </c>
      <c r="H66" s="11" t="str">
        <f>IMAGE("https://images-cdn.ubuy.co.in/6578382306deda07ed788ca4-rechargeable-aa-batteries-aa.jpg",1)</f>
        <v/>
      </c>
      <c r="I66" s="11" t="s">
        <v>2041</v>
      </c>
    </row>
    <row r="67" ht="45.0" customHeight="1">
      <c r="A67" s="11">
        <v>66.0</v>
      </c>
      <c r="B67" s="11" t="s">
        <v>187</v>
      </c>
      <c r="C67" s="93" t="s">
        <v>1908</v>
      </c>
      <c r="D67" s="215" t="s">
        <v>177</v>
      </c>
      <c r="E67" s="216">
        <v>5.0</v>
      </c>
      <c r="F67" s="11" t="s">
        <v>178</v>
      </c>
      <c r="G67" s="93" t="s">
        <v>1909</v>
      </c>
      <c r="H67" s="11" t="str">
        <f>IMAGE("https://m.media-amazon.com/images/I/6161NXWtz-L._SL1500_.jpg",1)</f>
        <v/>
      </c>
      <c r="I67" s="11" t="s">
        <v>2035</v>
      </c>
    </row>
    <row r="68" ht="45.0" customHeight="1">
      <c r="A68" s="11">
        <v>67.0</v>
      </c>
      <c r="B68" s="11" t="s">
        <v>191</v>
      </c>
      <c r="C68" s="93" t="s">
        <v>1910</v>
      </c>
      <c r="D68" s="215" t="s">
        <v>177</v>
      </c>
      <c r="E68" s="216">
        <v>20.0</v>
      </c>
      <c r="F68" s="11" t="s">
        <v>178</v>
      </c>
      <c r="G68" s="93" t="s">
        <v>1909</v>
      </c>
      <c r="H68" s="11" t="str">
        <f>IMAGE("https://i0.wp.com/www.rytronics.in/wp-content/uploads/2021/09/9v-batter-connector-snap-connector02.jpg?fit=1000%2C1000&amp;ssl=1",1)</f>
        <v/>
      </c>
      <c r="I68" s="221" t="s">
        <v>2036</v>
      </c>
    </row>
    <row r="69" ht="45.0" customHeight="1">
      <c r="A69" s="11">
        <v>68.0</v>
      </c>
      <c r="B69" s="11" t="s">
        <v>197</v>
      </c>
      <c r="C69" s="93" t="s">
        <v>1911</v>
      </c>
      <c r="D69" s="215" t="s">
        <v>177</v>
      </c>
      <c r="E69" s="216">
        <v>15.0</v>
      </c>
      <c r="F69" s="11" t="s">
        <v>178</v>
      </c>
      <c r="G69" s="93" t="s">
        <v>1909</v>
      </c>
      <c r="H69" s="11" t="str">
        <f>IMAGE("https://m.media-amazon.com/images/W/MEDIAX_792452-T2/images/I/61UPqH4BXuL.SS700.jpg",1)</f>
        <v/>
      </c>
      <c r="I69" s="221" t="s">
        <v>2036</v>
      </c>
    </row>
    <row r="70" ht="45.0" customHeight="1">
      <c r="A70" s="11">
        <v>69.0</v>
      </c>
      <c r="B70" s="11" t="s">
        <v>201</v>
      </c>
      <c r="C70" s="93" t="s">
        <v>1912</v>
      </c>
      <c r="D70" s="215" t="s">
        <v>177</v>
      </c>
      <c r="E70" s="216">
        <v>10.0</v>
      </c>
      <c r="F70" s="11" t="s">
        <v>178</v>
      </c>
      <c r="G70" s="93" t="s">
        <v>1909</v>
      </c>
      <c r="H70" s="11" t="str">
        <f>IMAGE("https://robotools.in/wp-content/uploads/2022/09/18650-x-2-battery-holder-with-cover-and-OnOff-Switch-5.jpg",1)</f>
        <v/>
      </c>
      <c r="I70" s="11" t="s">
        <v>2037</v>
      </c>
    </row>
    <row r="71" ht="45.0" customHeight="1">
      <c r="A71" s="11">
        <v>70.0</v>
      </c>
      <c r="B71" s="11" t="s">
        <v>206</v>
      </c>
      <c r="C71" s="93" t="s">
        <v>1913</v>
      </c>
      <c r="D71" s="215" t="s">
        <v>177</v>
      </c>
      <c r="E71" s="216">
        <v>30.0</v>
      </c>
      <c r="F71" s="11" t="s">
        <v>178</v>
      </c>
      <c r="G71" s="93" t="s">
        <v>1909</v>
      </c>
      <c r="H71" s="11" t="str">
        <f>IMAGE("https://robu.in/wp-content/uploads/2019/03/2-x-1.5V-AA-battery-holder-with-cover-and-OnOff-Switch-6.jpg",1)</f>
        <v/>
      </c>
      <c r="I71" s="11" t="s">
        <v>2037</v>
      </c>
    </row>
    <row r="72" ht="45.0" customHeight="1">
      <c r="A72" s="11">
        <v>71.0</v>
      </c>
      <c r="B72" s="11" t="s">
        <v>210</v>
      </c>
      <c r="C72" s="93" t="s">
        <v>1914</v>
      </c>
      <c r="D72" s="215" t="s">
        <v>177</v>
      </c>
      <c r="E72" s="216">
        <v>20.0</v>
      </c>
      <c r="F72" s="11" t="s">
        <v>178</v>
      </c>
      <c r="G72" s="93" t="s">
        <v>1909</v>
      </c>
      <c r="H72" s="11" t="str">
        <f>IMAGE("https://probots.co.in/pub/media/catalog/product/cache/d8ddd0f9b0cd008b57085cd218b48832/4/-/4-x-1.5v-aa-battery-holder01.jpg",1)</f>
        <v/>
      </c>
      <c r="I72" s="11" t="s">
        <v>2037</v>
      </c>
    </row>
    <row r="73" ht="45.0" customHeight="1">
      <c r="A73" s="11">
        <v>72.0</v>
      </c>
      <c r="B73" s="11" t="s">
        <v>214</v>
      </c>
      <c r="C73" s="93" t="s">
        <v>1915</v>
      </c>
      <c r="D73" s="215" t="s">
        <v>177</v>
      </c>
      <c r="E73" s="216">
        <v>20.0</v>
      </c>
      <c r="F73" s="11" t="s">
        <v>178</v>
      </c>
      <c r="G73" s="93" t="s">
        <v>1909</v>
      </c>
      <c r="H73" s="11" t="str">
        <f>IMAGE("https://robu.in/wp-content/uploads/2022/06/510c1Z93PDL._SX679_.jpg",1)</f>
        <v/>
      </c>
      <c r="I73" s="11" t="s">
        <v>2038</v>
      </c>
    </row>
    <row r="74" ht="45.0" customHeight="1">
      <c r="A74" s="11">
        <v>73.0</v>
      </c>
      <c r="B74" s="11" t="s">
        <v>182</v>
      </c>
      <c r="C74" s="93" t="s">
        <v>1906</v>
      </c>
      <c r="D74" s="215" t="s">
        <v>177</v>
      </c>
      <c r="E74" s="216">
        <v>5.0</v>
      </c>
      <c r="F74" s="11" t="s">
        <v>178</v>
      </c>
      <c r="G74" s="93" t="s">
        <v>1907</v>
      </c>
      <c r="H74" s="11" t="str">
        <f>IMAGE("https://rukminim2.flixcart.com/image/832/832/krs40i80/worldwide-adaptor/f/7/g/pack-of-1-power-adapter-12v-2-amp-dual-pin-for-charger-with-original-imag5hmbvgzazbzz.jpeg?q=70",1)</f>
        <v/>
      </c>
      <c r="I74" s="11" t="s">
        <v>2034</v>
      </c>
    </row>
    <row r="75" ht="45.0" customHeight="1">
      <c r="A75" s="11">
        <v>74.0</v>
      </c>
      <c r="B75" s="11" t="s">
        <v>235</v>
      </c>
      <c r="C75" s="93" t="s">
        <v>1916</v>
      </c>
      <c r="D75" s="215" t="s">
        <v>237</v>
      </c>
      <c r="E75" s="216">
        <v>20.0</v>
      </c>
      <c r="F75" s="11" t="s">
        <v>178</v>
      </c>
      <c r="G75" s="93" t="s">
        <v>237</v>
      </c>
      <c r="H75" s="11" t="str">
        <f>IMAGE("https://robu.in/wp-content/uploads/2017/04/Alligator-Clips-Electrical-DIY-Test-Leads-10pcs-For-Test-Leads-Double-ended-Crocodile-Clips-Roach-Clip-2.jpg",1)</f>
        <v/>
      </c>
      <c r="I75" s="11" t="s">
        <v>2042</v>
      </c>
    </row>
    <row r="76" ht="45.0" customHeight="1">
      <c r="A76" s="11">
        <v>75.0</v>
      </c>
      <c r="B76" s="11" t="s">
        <v>240</v>
      </c>
      <c r="C76" s="93" t="s">
        <v>241</v>
      </c>
      <c r="D76" s="215" t="s">
        <v>237</v>
      </c>
      <c r="E76" s="216">
        <v>20.0</v>
      </c>
      <c r="F76" s="11" t="s">
        <v>178</v>
      </c>
      <c r="G76" s="93" t="s">
        <v>237</v>
      </c>
      <c r="H76" s="11" t="str">
        <f>IMAGE("https://makerbazar.in/cdn/shop/products/dcmalejackwithwire2_600x.jpg?v=1642675074",1)</f>
        <v/>
      </c>
      <c r="I76" s="221" t="s">
        <v>2036</v>
      </c>
    </row>
    <row r="77" ht="45.0" customHeight="1">
      <c r="A77" s="11">
        <v>76.0</v>
      </c>
      <c r="B77" s="11" t="s">
        <v>317</v>
      </c>
      <c r="C77" s="93" t="s">
        <v>1924</v>
      </c>
      <c r="D77" s="215" t="s">
        <v>237</v>
      </c>
      <c r="E77" s="216">
        <v>10.0</v>
      </c>
      <c r="F77" s="11" t="s">
        <v>178</v>
      </c>
      <c r="G77" s="93" t="s">
        <v>237</v>
      </c>
      <c r="H77" s="11" t="str">
        <f>IMAGE("https://robu.in/wp-content/uploads/2019/06/3.5mm-Audio-Plug-3-Pole-Gold-plated-Earphone-Adapter-For-DIY-Stereo-Headset-5.jpg",1)</f>
        <v/>
      </c>
      <c r="I77" s="221" t="s">
        <v>2036</v>
      </c>
    </row>
    <row r="78" ht="45.0" customHeight="1">
      <c r="A78" s="11">
        <v>77.0</v>
      </c>
      <c r="B78" s="11" t="s">
        <v>247</v>
      </c>
      <c r="C78" s="93" t="s">
        <v>1918</v>
      </c>
      <c r="D78" s="215" t="s">
        <v>237</v>
      </c>
      <c r="E78" s="216">
        <v>1.0</v>
      </c>
      <c r="F78" s="11" t="s">
        <v>178</v>
      </c>
      <c r="G78" s="93" t="s">
        <v>250</v>
      </c>
      <c r="H78" s="11" t="str">
        <f>IMAGE("https://rukminim2.flixcart.com/image/832/832/k8t3jbk0/cable-sleeve/j/c/q/black-2mm-polyolefin-heat-shrink-tube-sleeve-for-wrap-60-meter-original-imafqq3y2g2v9vzz.jpeg?q=70",1)</f>
        <v/>
      </c>
      <c r="I78" s="11" t="s">
        <v>2043</v>
      </c>
    </row>
    <row r="79" ht="45.0" customHeight="1">
      <c r="A79" s="11">
        <v>78.0</v>
      </c>
      <c r="B79" s="11" t="s">
        <v>253</v>
      </c>
      <c r="C79" s="93" t="s">
        <v>1919</v>
      </c>
      <c r="D79" s="215" t="s">
        <v>237</v>
      </c>
      <c r="E79" s="216">
        <v>1.0</v>
      </c>
      <c r="F79" s="11" t="s">
        <v>178</v>
      </c>
      <c r="G79" s="93" t="s">
        <v>250</v>
      </c>
      <c r="H79" s="11" t="str">
        <f>IMAGE("https://m.media-amazon.com/images/I/61zJ0n1EqGS._AC_SL1500_.jpg",1)</f>
        <v/>
      </c>
      <c r="I79" s="11" t="s">
        <v>2043</v>
      </c>
    </row>
    <row r="80" ht="45.0" customHeight="1">
      <c r="A80" s="11">
        <v>79.0</v>
      </c>
      <c r="B80" s="11" t="s">
        <v>257</v>
      </c>
      <c r="C80" s="93" t="s">
        <v>1920</v>
      </c>
      <c r="D80" s="215" t="s">
        <v>237</v>
      </c>
      <c r="E80" s="216">
        <v>1.0</v>
      </c>
      <c r="F80" s="11" t="s">
        <v>178</v>
      </c>
      <c r="G80" s="93" t="s">
        <v>250</v>
      </c>
      <c r="H80" s="11" t="str">
        <f>IMAGE("https://m.media-amazon.com/images/W/MEDIAX_792452-T2/images/I/417I5BCQPSL.jpg",1)</f>
        <v/>
      </c>
      <c r="I80" s="11" t="s">
        <v>2043</v>
      </c>
    </row>
    <row r="81" ht="45.0" customHeight="1">
      <c r="A81" s="11">
        <v>80.0</v>
      </c>
      <c r="B81" s="11" t="s">
        <v>261</v>
      </c>
      <c r="C81" s="93" t="s">
        <v>1921</v>
      </c>
      <c r="D81" s="215" t="s">
        <v>237</v>
      </c>
      <c r="E81" s="216">
        <v>1.0</v>
      </c>
      <c r="F81" s="11" t="s">
        <v>178</v>
      </c>
      <c r="G81" s="93" t="s">
        <v>250</v>
      </c>
      <c r="H81" s="11" t="str">
        <f>IMAGE("https://m.media-amazon.com/images/I/61zJ0n1EqGS._AC_SL1500_.jpg",1)</f>
        <v/>
      </c>
      <c r="I81" s="11" t="s">
        <v>2043</v>
      </c>
    </row>
    <row r="82" ht="45.0" customHeight="1">
      <c r="A82" s="11">
        <v>81.0</v>
      </c>
      <c r="B82" s="11" t="s">
        <v>265</v>
      </c>
      <c r="C82" s="93" t="s">
        <v>266</v>
      </c>
      <c r="D82" s="215" t="s">
        <v>237</v>
      </c>
      <c r="E82" s="216">
        <v>20.0</v>
      </c>
      <c r="F82" s="11" t="s">
        <v>178</v>
      </c>
      <c r="G82" s="93" t="s">
        <v>267</v>
      </c>
      <c r="H82" s="11" t="str">
        <f t="shared" ref="H82:H86" si="4">IMAGE("https://i.ebayimg.com/images/g/xCYAAOSwjvJlEQU8/s-l1600.jpg",1)</f>
        <v/>
      </c>
      <c r="I82" s="11" t="s">
        <v>2044</v>
      </c>
    </row>
    <row r="83" ht="45.0" customHeight="1">
      <c r="A83" s="11">
        <v>82.0</v>
      </c>
      <c r="B83" s="11" t="s">
        <v>270</v>
      </c>
      <c r="C83" s="93" t="s">
        <v>271</v>
      </c>
      <c r="D83" s="215" t="s">
        <v>237</v>
      </c>
      <c r="E83" s="216">
        <v>20.0</v>
      </c>
      <c r="F83" s="11" t="s">
        <v>178</v>
      </c>
      <c r="G83" s="93" t="s">
        <v>267</v>
      </c>
      <c r="H83" s="11" t="str">
        <f t="shared" si="4"/>
        <v/>
      </c>
      <c r="I83" s="11" t="s">
        <v>2044</v>
      </c>
    </row>
    <row r="84" ht="45.0" customHeight="1">
      <c r="A84" s="11">
        <v>83.0</v>
      </c>
      <c r="B84" s="11" t="s">
        <v>274</v>
      </c>
      <c r="C84" s="93" t="s">
        <v>275</v>
      </c>
      <c r="D84" s="215" t="s">
        <v>237</v>
      </c>
      <c r="E84" s="216">
        <v>20.0</v>
      </c>
      <c r="F84" s="11" t="s">
        <v>178</v>
      </c>
      <c r="G84" s="93" t="s">
        <v>267</v>
      </c>
      <c r="H84" s="11" t="str">
        <f t="shared" si="4"/>
        <v/>
      </c>
      <c r="I84" s="11" t="s">
        <v>2044</v>
      </c>
    </row>
    <row r="85" ht="45.0" customHeight="1">
      <c r="A85" s="11">
        <v>84.0</v>
      </c>
      <c r="B85" s="11" t="s">
        <v>278</v>
      </c>
      <c r="C85" s="93" t="s">
        <v>279</v>
      </c>
      <c r="D85" s="215" t="s">
        <v>237</v>
      </c>
      <c r="E85" s="216">
        <v>20.0</v>
      </c>
      <c r="F85" s="11" t="s">
        <v>178</v>
      </c>
      <c r="G85" s="93" t="s">
        <v>267</v>
      </c>
      <c r="H85" s="11" t="str">
        <f t="shared" si="4"/>
        <v/>
      </c>
      <c r="I85" s="11" t="s">
        <v>2044</v>
      </c>
    </row>
    <row r="86" ht="45.0" customHeight="1">
      <c r="A86" s="11">
        <v>85.0</v>
      </c>
      <c r="B86" s="11" t="s">
        <v>282</v>
      </c>
      <c r="C86" s="93" t="s">
        <v>283</v>
      </c>
      <c r="D86" s="215" t="s">
        <v>237</v>
      </c>
      <c r="E86" s="216">
        <v>20.0</v>
      </c>
      <c r="F86" s="11" t="s">
        <v>178</v>
      </c>
      <c r="G86" s="93" t="s">
        <v>267</v>
      </c>
      <c r="H86" s="11" t="str">
        <f t="shared" si="4"/>
        <v/>
      </c>
      <c r="I86" s="11" t="s">
        <v>2044</v>
      </c>
    </row>
    <row r="87" ht="45.0" customHeight="1">
      <c r="A87" s="11">
        <v>86.0</v>
      </c>
      <c r="B87" s="11" t="s">
        <v>286</v>
      </c>
      <c r="C87" s="93" t="s">
        <v>287</v>
      </c>
      <c r="D87" s="215" t="s">
        <v>237</v>
      </c>
      <c r="E87" s="216">
        <v>20.0</v>
      </c>
      <c r="F87" s="11" t="s">
        <v>178</v>
      </c>
      <c r="G87" s="93" t="s">
        <v>1922</v>
      </c>
      <c r="H87" s="11" t="str">
        <f t="shared" ref="H87:H89" si="5">IMAGE("https://cdn.shopify.com/s/files/1/0527/2692/3444/products/M-M10CM_800x.jpg?v=1620840829",1)</f>
        <v/>
      </c>
      <c r="I87" s="221" t="s">
        <v>2045</v>
      </c>
    </row>
    <row r="88" ht="45.0" customHeight="1">
      <c r="A88" s="11">
        <v>87.0</v>
      </c>
      <c r="B88" s="11" t="s">
        <v>291</v>
      </c>
      <c r="C88" s="93" t="s">
        <v>292</v>
      </c>
      <c r="D88" s="215" t="s">
        <v>237</v>
      </c>
      <c r="E88" s="216">
        <v>20.0</v>
      </c>
      <c r="F88" s="11" t="s">
        <v>178</v>
      </c>
      <c r="G88" s="93" t="s">
        <v>1922</v>
      </c>
      <c r="H88" s="11" t="str">
        <f t="shared" si="5"/>
        <v/>
      </c>
      <c r="I88" s="221" t="s">
        <v>2045</v>
      </c>
    </row>
    <row r="89" ht="45.0" customHeight="1">
      <c r="A89" s="11">
        <v>88.0</v>
      </c>
      <c r="B89" s="11" t="s">
        <v>295</v>
      </c>
      <c r="C89" s="93" t="s">
        <v>296</v>
      </c>
      <c r="D89" s="215" t="s">
        <v>237</v>
      </c>
      <c r="E89" s="216">
        <v>20.0</v>
      </c>
      <c r="F89" s="11" t="s">
        <v>178</v>
      </c>
      <c r="G89" s="93" t="s">
        <v>1922</v>
      </c>
      <c r="H89" s="11" t="str">
        <f t="shared" si="5"/>
        <v/>
      </c>
      <c r="I89" s="221" t="s">
        <v>2045</v>
      </c>
    </row>
    <row r="90" ht="45.0" customHeight="1">
      <c r="A90" s="11">
        <v>89.0</v>
      </c>
      <c r="B90" s="11" t="s">
        <v>299</v>
      </c>
      <c r="C90" s="93" t="s">
        <v>300</v>
      </c>
      <c r="D90" s="215" t="s">
        <v>237</v>
      </c>
      <c r="E90" s="216">
        <v>10.0</v>
      </c>
      <c r="F90" s="11" t="s">
        <v>178</v>
      </c>
      <c r="G90" s="93" t="s">
        <v>300</v>
      </c>
      <c r="H90" s="11" t="str">
        <f>IMAGE("https://encrypted-tbn0.gstatic.com/images?q=tbn:ANd9GcR4A79FMiemvwjtYU3z1SGV0ayCZPtc8oNMobr5AuvlhGOJoeuq78aTh7JjRPQlfFrsXfE&amp;usqp=CAU",1)</f>
        <v/>
      </c>
      <c r="I90" s="11" t="s">
        <v>2046</v>
      </c>
    </row>
    <row r="91" ht="45.0" customHeight="1">
      <c r="A91" s="11">
        <v>90.0</v>
      </c>
      <c r="B91" s="11" t="s">
        <v>303</v>
      </c>
      <c r="C91" s="93" t="s">
        <v>304</v>
      </c>
      <c r="D91" s="215" t="s">
        <v>237</v>
      </c>
      <c r="E91" s="216">
        <v>10.0</v>
      </c>
      <c r="F91" s="11" t="s">
        <v>178</v>
      </c>
      <c r="G91" s="93" t="s">
        <v>304</v>
      </c>
      <c r="H91" s="11" t="str">
        <f>IMAGE("https://robu.in/wp-content/uploads/2018/07/50-CM-Micro-USB-Cable-1.jpg",1)</f>
        <v/>
      </c>
      <c r="I91" s="221" t="s">
        <v>2047</v>
      </c>
    </row>
    <row r="92" ht="45.0" customHeight="1">
      <c r="A92" s="11">
        <v>91.0</v>
      </c>
      <c r="B92" s="11" t="s">
        <v>413</v>
      </c>
      <c r="C92" s="93" t="s">
        <v>1931</v>
      </c>
      <c r="D92" s="215" t="s">
        <v>415</v>
      </c>
      <c r="E92" s="237">
        <v>7.0</v>
      </c>
      <c r="F92" s="11" t="s">
        <v>178</v>
      </c>
      <c r="G92" s="93" t="s">
        <v>1932</v>
      </c>
      <c r="H92" s="11" t="str">
        <f>IMAGE("https://www.electronicscomp.com/image/cache/catalog/cnc-shield-v3-400x400.jpg",1)</f>
        <v/>
      </c>
      <c r="I92" s="222" t="s">
        <v>2059</v>
      </c>
    </row>
    <row r="93" ht="45.0" customHeight="1">
      <c r="A93" s="11">
        <v>92.0</v>
      </c>
      <c r="B93" s="11" t="s">
        <v>419</v>
      </c>
      <c r="C93" s="93" t="s">
        <v>420</v>
      </c>
      <c r="D93" s="215" t="s">
        <v>415</v>
      </c>
      <c r="E93" s="216">
        <v>15.0</v>
      </c>
      <c r="F93" s="11" t="s">
        <v>178</v>
      </c>
      <c r="G93" s="93" t="s">
        <v>1932</v>
      </c>
      <c r="H93" s="11" t="str">
        <f>IMAGE("https://5.imimg.com/data5/VS/XC/MY-4167793/arduino-nano-500x500.jpg",1)</f>
        <v/>
      </c>
      <c r="I93" s="11" t="s">
        <v>2060</v>
      </c>
    </row>
    <row r="94" ht="45.0" customHeight="1">
      <c r="A94" s="11">
        <v>93.0</v>
      </c>
      <c r="B94" s="11" t="s">
        <v>424</v>
      </c>
      <c r="C94" s="93" t="s">
        <v>1933</v>
      </c>
      <c r="D94" s="215" t="s">
        <v>415</v>
      </c>
      <c r="E94" s="216">
        <v>10.0</v>
      </c>
      <c r="F94" s="11" t="s">
        <v>178</v>
      </c>
      <c r="G94" s="93" t="s">
        <v>1932</v>
      </c>
      <c r="H94" s="11" t="str">
        <f>IMAGE("https://robu.in/wp-content/uploads/2017/04/Arduino_NANO_expansion1.jpg",1)</f>
        <v/>
      </c>
      <c r="I94" s="221" t="s">
        <v>2061</v>
      </c>
    </row>
    <row r="95" ht="45.0" customHeight="1">
      <c r="A95" s="11">
        <v>94.0</v>
      </c>
      <c r="B95" s="11" t="s">
        <v>428</v>
      </c>
      <c r="C95" s="93" t="s">
        <v>1934</v>
      </c>
      <c r="D95" s="215" t="s">
        <v>415</v>
      </c>
      <c r="E95" s="216">
        <v>15.0</v>
      </c>
      <c r="F95" s="11" t="s">
        <v>178</v>
      </c>
      <c r="G95" s="93" t="s">
        <v>1932</v>
      </c>
      <c r="H95" s="11" t="str">
        <f>IMAGE("https://robu.in/wp-content/uploads/2017/10/Uno-R3-CH340G-ATmega328p-Development-Board-Compatible-with-Arduino2.png",1)</f>
        <v/>
      </c>
      <c r="I95" s="11" t="s">
        <v>2060</v>
      </c>
    </row>
    <row r="96" ht="45.0" customHeight="1">
      <c r="A96" s="11">
        <v>95.0</v>
      </c>
      <c r="B96" s="11" t="s">
        <v>437</v>
      </c>
      <c r="C96" s="93" t="s">
        <v>438</v>
      </c>
      <c r="D96" s="215" t="s">
        <v>415</v>
      </c>
      <c r="E96" s="216">
        <v>10.0</v>
      </c>
      <c r="F96" s="11" t="s">
        <v>178</v>
      </c>
      <c r="G96" s="93" t="s">
        <v>1937</v>
      </c>
      <c r="H96" s="11" t="str">
        <f>IMAGE("https://www.electronicscomp.com/image/cache/catalog/esp8266-esp01-wifi-module-india-800x800.jpg",1)</f>
        <v/>
      </c>
      <c r="I96" s="106" t="s">
        <v>1806</v>
      </c>
    </row>
    <row r="97" ht="45.0" customHeight="1">
      <c r="A97" s="11">
        <v>96.0</v>
      </c>
      <c r="B97" s="11" t="s">
        <v>440</v>
      </c>
      <c r="C97" s="93" t="s">
        <v>441</v>
      </c>
      <c r="D97" s="215" t="s">
        <v>415</v>
      </c>
      <c r="E97" s="216">
        <v>10.0</v>
      </c>
      <c r="F97" s="11" t="s">
        <v>178</v>
      </c>
      <c r="G97" s="93" t="s">
        <v>1937</v>
      </c>
      <c r="H97" s="11" t="str">
        <f>IMAGE("https://makerselectronics.com/wp-content/uploads/2020/07/ESP32-CAM-2.jpg",1)</f>
        <v/>
      </c>
      <c r="I97" s="11" t="s">
        <v>2063</v>
      </c>
    </row>
    <row r="98" ht="45.0" customHeight="1">
      <c r="A98" s="11">
        <v>97.0</v>
      </c>
      <c r="B98" s="11" t="s">
        <v>445</v>
      </c>
      <c r="C98" s="93" t="s">
        <v>446</v>
      </c>
      <c r="D98" s="215" t="s">
        <v>415</v>
      </c>
      <c r="E98" s="216">
        <v>10.0</v>
      </c>
      <c r="F98" s="11" t="s">
        <v>178</v>
      </c>
      <c r="G98" s="93" t="s">
        <v>1937</v>
      </c>
      <c r="H98" s="11" t="str">
        <f>IMAGE("https://www.berrybase.de/media/image/c5/26/b6/ID_186599_orig_600x600.jpg",1)</f>
        <v/>
      </c>
      <c r="I98" s="11" t="s">
        <v>2063</v>
      </c>
    </row>
    <row r="99" ht="45.0" customHeight="1">
      <c r="A99" s="11">
        <v>98.0</v>
      </c>
      <c r="B99" s="11" t="s">
        <v>449</v>
      </c>
      <c r="C99" s="93" t="s">
        <v>450</v>
      </c>
      <c r="D99" s="215" t="s">
        <v>415</v>
      </c>
      <c r="E99" s="216">
        <v>15.0</v>
      </c>
      <c r="F99" s="11" t="s">
        <v>178</v>
      </c>
      <c r="G99" s="93" t="s">
        <v>1937</v>
      </c>
      <c r="H99" s="11" t="str">
        <f>IMAGE("https://m.media-amazon.com/images/I/61rcnccrByL._SL1238_.jpg",1)</f>
        <v/>
      </c>
      <c r="I99" s="11" t="s">
        <v>2063</v>
      </c>
    </row>
    <row r="100" ht="45.0" customHeight="1">
      <c r="A100" s="11">
        <v>99.0</v>
      </c>
      <c r="B100" s="11" t="s">
        <v>453</v>
      </c>
      <c r="C100" s="93" t="s">
        <v>454</v>
      </c>
      <c r="D100" s="215" t="s">
        <v>415</v>
      </c>
      <c r="E100" s="216">
        <v>15.0</v>
      </c>
      <c r="F100" s="11" t="s">
        <v>178</v>
      </c>
      <c r="G100" s="93" t="s">
        <v>455</v>
      </c>
      <c r="H100" s="11" t="str">
        <f>IMAGE("https://m.media-amazon.com/images/W/MEDIAX_792452-T2/images/I/61t+lNeiChL._SL1443_.jpg",1)</f>
        <v/>
      </c>
      <c r="I100" s="11" t="s">
        <v>2064</v>
      </c>
    </row>
    <row r="101" ht="45.0" customHeight="1">
      <c r="A101" s="11">
        <v>100.0</v>
      </c>
      <c r="B101" s="11" t="s">
        <v>458</v>
      </c>
      <c r="C101" s="107" t="s">
        <v>459</v>
      </c>
      <c r="D101" s="215" t="s">
        <v>415</v>
      </c>
      <c r="E101" s="216">
        <v>10.0</v>
      </c>
      <c r="F101" s="11" t="s">
        <v>178</v>
      </c>
      <c r="G101" s="93" t="s">
        <v>455</v>
      </c>
      <c r="H101" s="11" t="str">
        <f>IMAGE("https://m.media-amazon.com/images/W/MEDIAX_792452-T2/images/I/61xb9SMx4AL._SL1440_.jpg",1)</f>
        <v/>
      </c>
      <c r="I101" s="11" t="s">
        <v>2064</v>
      </c>
    </row>
    <row r="102" ht="45.0" customHeight="1">
      <c r="A102" s="11">
        <v>101.0</v>
      </c>
      <c r="B102" s="221" t="s">
        <v>2159</v>
      </c>
      <c r="C102" s="270" t="s">
        <v>2160</v>
      </c>
      <c r="D102" s="215" t="s">
        <v>415</v>
      </c>
      <c r="E102" s="237">
        <v>21.0</v>
      </c>
      <c r="F102" s="221" t="s">
        <v>178</v>
      </c>
      <c r="G102" s="93"/>
      <c r="H102" s="11" t="str">
        <f>IMAGE("https://sumeetinstruments.com/image/cache/catalog/3dprinter/A4988-Stepper-Motor-Driver-Module-Heat-Sink-3D-Printer-Parts.-550x550.jpg",1)</f>
        <v/>
      </c>
      <c r="I102" s="222" t="s">
        <v>2059</v>
      </c>
    </row>
    <row r="103" ht="45.0" customHeight="1">
      <c r="A103" s="11">
        <v>102.0</v>
      </c>
      <c r="B103" s="271"/>
      <c r="C103" s="272" t="s">
        <v>2161</v>
      </c>
      <c r="D103" s="273" t="s">
        <v>415</v>
      </c>
      <c r="E103" s="274">
        <v>10.0</v>
      </c>
      <c r="F103" s="221" t="s">
        <v>178</v>
      </c>
      <c r="G103" s="275"/>
      <c r="H103" s="275"/>
      <c r="I103" s="275"/>
      <c r="J103" s="276"/>
    </row>
    <row r="104" ht="45.0" customHeight="1">
      <c r="A104" s="11">
        <v>103.0</v>
      </c>
      <c r="B104" s="271"/>
      <c r="C104" s="272" t="s">
        <v>2162</v>
      </c>
      <c r="D104" s="273" t="s">
        <v>415</v>
      </c>
      <c r="E104" s="274">
        <v>2.0</v>
      </c>
      <c r="F104" s="221" t="s">
        <v>178</v>
      </c>
      <c r="G104" s="275"/>
      <c r="H104" s="275"/>
      <c r="I104" s="275"/>
      <c r="J104" s="276"/>
    </row>
    <row r="105" ht="45.0" customHeight="1">
      <c r="A105" s="11">
        <v>104.0</v>
      </c>
      <c r="B105" s="11" t="s">
        <v>504</v>
      </c>
      <c r="C105" s="93" t="s">
        <v>505</v>
      </c>
      <c r="D105" s="215" t="s">
        <v>489</v>
      </c>
      <c r="E105" s="216">
        <v>100.0</v>
      </c>
      <c r="F105" s="11" t="s">
        <v>178</v>
      </c>
      <c r="G105" s="93" t="s">
        <v>23</v>
      </c>
      <c r="H105" s="11" t="str">
        <f>IMAGE("https://rukminim2.flixcart.com/image/832/832/ks243gw0/electronic-hobby-kit/x/f/2/2mm-pitch-female-burg-strip-40-pin-5-pcs-prime-intact-original-imag5pxpqjxcdsgh.jpeg?q=70",1)</f>
        <v/>
      </c>
      <c r="I105" s="221" t="s">
        <v>2075</v>
      </c>
    </row>
    <row r="106" ht="45.0" customHeight="1">
      <c r="A106" s="11">
        <v>105.0</v>
      </c>
      <c r="B106" s="11" t="s">
        <v>625</v>
      </c>
      <c r="C106" s="93" t="s">
        <v>626</v>
      </c>
      <c r="D106" s="215" t="s">
        <v>489</v>
      </c>
      <c r="E106" s="216">
        <v>20.0</v>
      </c>
      <c r="F106" s="11" t="s">
        <v>178</v>
      </c>
      <c r="G106" s="93" t="s">
        <v>1947</v>
      </c>
      <c r="H106" s="11" t="str">
        <f>IMAGE("https://5.imimg.com/data5/AH/OG/AM/SELLER-5278310/mkc-27701-changeover-reed-switch-500x500.jpg",1)</f>
        <v/>
      </c>
      <c r="I106" s="11" t="s">
        <v>1788</v>
      </c>
    </row>
    <row r="107" ht="45.0" customHeight="1">
      <c r="A107" s="11">
        <v>106.0</v>
      </c>
      <c r="B107" s="11" t="s">
        <v>492</v>
      </c>
      <c r="C107" s="93" t="s">
        <v>1942</v>
      </c>
      <c r="D107" s="215" t="s">
        <v>489</v>
      </c>
      <c r="E107" s="216">
        <v>10.0</v>
      </c>
      <c r="F107" s="11" t="s">
        <v>178</v>
      </c>
      <c r="G107" s="93" t="s">
        <v>493</v>
      </c>
      <c r="H107" s="11" t="str">
        <f>IMAGE("https://5.imimg.com/data5/SR/JZ/RD/SELLER-80355495/large-breadboard-800-points--500x500.jpg",1)</f>
        <v/>
      </c>
      <c r="I107" s="11" t="s">
        <v>2071</v>
      </c>
    </row>
    <row r="108" ht="45.0" customHeight="1">
      <c r="A108" s="11">
        <v>107.0</v>
      </c>
      <c r="B108" s="11" t="s">
        <v>496</v>
      </c>
      <c r="C108" s="93" t="s">
        <v>497</v>
      </c>
      <c r="D108" s="215" t="s">
        <v>489</v>
      </c>
      <c r="E108" s="216">
        <v>10.0</v>
      </c>
      <c r="F108" s="11" t="s">
        <v>178</v>
      </c>
      <c r="G108" s="93" t="s">
        <v>493</v>
      </c>
      <c r="H108" s="11" t="str">
        <f>IMAGE("https://5.imimg.com/data5/SELLER/Default/2020/12/GY/DK/LM/59387089/400-point-solderless-breadboard-500x500.jpg",1)</f>
        <v/>
      </c>
      <c r="I108" s="11" t="s">
        <v>2072</v>
      </c>
    </row>
    <row r="109" ht="45.0" customHeight="1">
      <c r="A109" s="11">
        <v>108.0</v>
      </c>
      <c r="B109" s="11" t="s">
        <v>500</v>
      </c>
      <c r="C109" s="93" t="s">
        <v>501</v>
      </c>
      <c r="D109" s="215" t="s">
        <v>489</v>
      </c>
      <c r="E109" s="216">
        <v>10.0</v>
      </c>
      <c r="F109" s="11" t="s">
        <v>178</v>
      </c>
      <c r="G109" s="93" t="s">
        <v>493</v>
      </c>
      <c r="H109" s="11" t="str">
        <f>IMAGE("https://1ohm.in/wp-content/uploads/2021/07/MB102-3.3V5V-Breadboard-Power-Supply-Module.png",1)</f>
        <v/>
      </c>
      <c r="I109" s="11" t="s">
        <v>2073</v>
      </c>
    </row>
    <row r="110" ht="45.0" customHeight="1">
      <c r="A110" s="11">
        <v>109.0</v>
      </c>
      <c r="B110" s="11" t="s">
        <v>508</v>
      </c>
      <c r="C110" s="93" t="s">
        <v>509</v>
      </c>
      <c r="D110" s="215" t="s">
        <v>489</v>
      </c>
      <c r="E110" s="216">
        <v>50.0</v>
      </c>
      <c r="F110" s="11" t="s">
        <v>178</v>
      </c>
      <c r="G110" s="93" t="s">
        <v>237</v>
      </c>
      <c r="H110" s="11" t="str">
        <f>IMAGE("https://5.imimg.com/data5/OF/VW/IL/SELLER-9316309/burg-strips-500x500.jpg",1)</f>
        <v/>
      </c>
      <c r="I110" s="221" t="s">
        <v>2076</v>
      </c>
    </row>
    <row r="111" ht="45.0" customHeight="1">
      <c r="A111" s="11">
        <v>110.0</v>
      </c>
      <c r="B111" s="241" t="s">
        <v>512</v>
      </c>
      <c r="C111" s="242" t="s">
        <v>513</v>
      </c>
      <c r="D111" s="215" t="s">
        <v>489</v>
      </c>
      <c r="E111" s="216">
        <v>50.0</v>
      </c>
      <c r="F111" s="11" t="s">
        <v>178</v>
      </c>
      <c r="G111" s="93" t="s">
        <v>237</v>
      </c>
      <c r="H111" s="11" t="str">
        <f>IMAGE("https://www.tomsonelectronics.com/cdn/shop/products/40X1MALERAI_2048x2048.jpg?v=1602835171",1)</f>
        <v/>
      </c>
      <c r="I111" s="221" t="s">
        <v>2077</v>
      </c>
    </row>
    <row r="112" ht="45.0" customHeight="1">
      <c r="A112" s="11">
        <v>111.0</v>
      </c>
      <c r="B112" s="239" t="s">
        <v>521</v>
      </c>
      <c r="C112" s="240" t="s">
        <v>522</v>
      </c>
      <c r="D112" s="215" t="s">
        <v>489</v>
      </c>
      <c r="E112" s="216">
        <v>100.0</v>
      </c>
      <c r="F112" s="11" t="s">
        <v>178</v>
      </c>
      <c r="G112" s="93" t="s">
        <v>1943</v>
      </c>
      <c r="H112" s="11" t="str">
        <f>IMAGE("https://projectpoint.in/image/cache/catalog/102-672x504.jpg",1)</f>
        <v/>
      </c>
      <c r="I112" s="11" t="s">
        <v>1844</v>
      </c>
    </row>
    <row r="113" ht="45.0" customHeight="1">
      <c r="A113" s="11">
        <v>112.0</v>
      </c>
      <c r="B113" s="239" t="s">
        <v>516</v>
      </c>
      <c r="C113" s="240" t="s">
        <v>517</v>
      </c>
      <c r="D113" s="215" t="s">
        <v>489</v>
      </c>
      <c r="E113" s="216">
        <v>100.0</v>
      </c>
      <c r="F113" s="11" t="s">
        <v>178</v>
      </c>
      <c r="G113" s="93" t="s">
        <v>1943</v>
      </c>
      <c r="H113" s="11" t="str">
        <f t="shared" ref="H113:H114" si="6">IMAGE("https://projectpoint.in/image/cache/catalog/103-672x504.jpg",1)</f>
        <v/>
      </c>
      <c r="I113" s="11" t="s">
        <v>1844</v>
      </c>
    </row>
    <row r="114" ht="45.0" customHeight="1">
      <c r="A114" s="11">
        <v>113.0</v>
      </c>
      <c r="B114" s="239" t="s">
        <v>529</v>
      </c>
      <c r="C114" s="240" t="s">
        <v>530</v>
      </c>
      <c r="D114" s="215" t="s">
        <v>489</v>
      </c>
      <c r="E114" s="216">
        <v>100.0</v>
      </c>
      <c r="F114" s="11" t="s">
        <v>178</v>
      </c>
      <c r="G114" s="93" t="s">
        <v>1943</v>
      </c>
      <c r="H114" s="11" t="str">
        <f t="shared" si="6"/>
        <v/>
      </c>
      <c r="I114" s="11" t="s">
        <v>1845</v>
      </c>
    </row>
    <row r="115" ht="45.0" customHeight="1">
      <c r="A115" s="11">
        <v>114.0</v>
      </c>
      <c r="B115" s="239" t="s">
        <v>525</v>
      </c>
      <c r="C115" s="240" t="s">
        <v>526</v>
      </c>
      <c r="D115" s="215" t="s">
        <v>489</v>
      </c>
      <c r="E115" s="216">
        <v>100.0</v>
      </c>
      <c r="F115" s="11" t="s">
        <v>178</v>
      </c>
      <c r="G115" s="93" t="s">
        <v>1943</v>
      </c>
      <c r="H115" s="11" t="str">
        <f t="shared" ref="H115:H117" si="7">IMAGE("https://www.ato.com/content/images/thumbs/0011952_01f-50v-disc-ceramic-capacitor_550.jpeg",1)</f>
        <v/>
      </c>
      <c r="I115" s="11" t="s">
        <v>1845</v>
      </c>
    </row>
    <row r="116" ht="45.0" customHeight="1">
      <c r="A116" s="11">
        <v>115.0</v>
      </c>
      <c r="B116" s="239" t="s">
        <v>565</v>
      </c>
      <c r="C116" s="240" t="s">
        <v>566</v>
      </c>
      <c r="D116" s="215" t="s">
        <v>489</v>
      </c>
      <c r="E116" s="216">
        <v>50.0</v>
      </c>
      <c r="F116" s="11" t="s">
        <v>178</v>
      </c>
      <c r="G116" s="93" t="s">
        <v>1943</v>
      </c>
      <c r="H116" s="11" t="str">
        <f t="shared" si="7"/>
        <v/>
      </c>
      <c r="I116" s="11" t="s">
        <v>1846</v>
      </c>
    </row>
    <row r="117" ht="45.0" customHeight="1">
      <c r="A117" s="11">
        <v>116.0</v>
      </c>
      <c r="B117" s="239" t="s">
        <v>573</v>
      </c>
      <c r="C117" s="240" t="s">
        <v>574</v>
      </c>
      <c r="D117" s="215" t="s">
        <v>489</v>
      </c>
      <c r="E117" s="216">
        <v>50.0</v>
      </c>
      <c r="F117" s="11" t="s">
        <v>178</v>
      </c>
      <c r="G117" s="93" t="s">
        <v>1943</v>
      </c>
      <c r="H117" s="11" t="str">
        <f t="shared" si="7"/>
        <v/>
      </c>
      <c r="I117" s="11" t="s">
        <v>1846</v>
      </c>
    </row>
    <row r="118" ht="45.0" customHeight="1">
      <c r="A118" s="11">
        <v>117.0</v>
      </c>
      <c r="B118" s="239" t="s">
        <v>533</v>
      </c>
      <c r="C118" s="240" t="s">
        <v>534</v>
      </c>
      <c r="D118" s="215" t="s">
        <v>489</v>
      </c>
      <c r="E118" s="216">
        <v>20.0</v>
      </c>
      <c r="F118" s="11" t="s">
        <v>178</v>
      </c>
      <c r="G118" s="93" t="s">
        <v>1943</v>
      </c>
      <c r="H118" s="11" t="str">
        <f>IMAGE("https://projectpoint.in/image/cache/catalog/22uf-450v-672x504.jpg",1)</f>
        <v/>
      </c>
      <c r="I118" s="11" t="s">
        <v>1850</v>
      </c>
    </row>
    <row r="119" ht="45.0" customHeight="1">
      <c r="A119" s="11">
        <v>118.0</v>
      </c>
      <c r="B119" s="239" t="s">
        <v>549</v>
      </c>
      <c r="C119" s="240" t="s">
        <v>550</v>
      </c>
      <c r="D119" s="215" t="s">
        <v>489</v>
      </c>
      <c r="E119" s="216">
        <v>20.0</v>
      </c>
      <c r="F119" s="11" t="s">
        <v>178</v>
      </c>
      <c r="G119" s="93" t="s">
        <v>1943</v>
      </c>
      <c r="H119" s="11" t="str">
        <f>IMAGE("https://res.cloudinary.com/rsc/image/upload/b_rgb:FFFFFF,c_pad,dpr_1.0,f_auto,q_auto,w_700/c_pad,w_700/F5201539-01",1)</f>
        <v/>
      </c>
      <c r="I119" s="11" t="s">
        <v>1850</v>
      </c>
    </row>
    <row r="120" ht="45.0" customHeight="1">
      <c r="A120" s="11">
        <v>119.0</v>
      </c>
      <c r="B120" s="239" t="s">
        <v>569</v>
      </c>
      <c r="C120" s="240" t="s">
        <v>570</v>
      </c>
      <c r="D120" s="215" t="s">
        <v>489</v>
      </c>
      <c r="E120" s="216">
        <v>50.0</v>
      </c>
      <c r="F120" s="11" t="s">
        <v>178</v>
      </c>
      <c r="G120" s="93" t="s">
        <v>1943</v>
      </c>
      <c r="H120" s="11" t="str">
        <f>IMAGE("https://sharvielectronics.com/wp-content/uploads/2020/02/2.2uF-50V-Electrolytic-Capacitor.jpg",1)</f>
        <v/>
      </c>
      <c r="I120" s="11" t="s">
        <v>1851</v>
      </c>
    </row>
    <row r="121" ht="45.0" customHeight="1">
      <c r="A121" s="11">
        <v>120.0</v>
      </c>
      <c r="B121" s="239" t="s">
        <v>537</v>
      </c>
      <c r="C121" s="240" t="s">
        <v>538</v>
      </c>
      <c r="D121" s="215" t="s">
        <v>489</v>
      </c>
      <c r="E121" s="216">
        <v>50.0</v>
      </c>
      <c r="F121" s="11" t="s">
        <v>178</v>
      </c>
      <c r="G121" s="93" t="s">
        <v>1943</v>
      </c>
      <c r="H121" s="11" t="str">
        <f>IMAGE("https://projectpoint.in/image/cache/catalog/22uf-450v-672x504.jpg",1)</f>
        <v/>
      </c>
      <c r="I121" s="11" t="s">
        <v>1851</v>
      </c>
    </row>
    <row r="122" ht="45.0" customHeight="1">
      <c r="A122" s="11">
        <v>121.0</v>
      </c>
      <c r="B122" s="239" t="s">
        <v>553</v>
      </c>
      <c r="C122" s="240" t="s">
        <v>554</v>
      </c>
      <c r="D122" s="215" t="s">
        <v>489</v>
      </c>
      <c r="E122" s="216">
        <v>20.0</v>
      </c>
      <c r="F122" s="11" t="s">
        <v>178</v>
      </c>
      <c r="G122" s="93" t="s">
        <v>1943</v>
      </c>
      <c r="H122" s="11" t="str">
        <f>IMAGE("https://5.imimg.com/data5/SP/GM/AD/SELLER-84581978/keltron-2200uf-35-v-electrolytic-capacitors-500x500.jpg",1)</f>
        <v/>
      </c>
      <c r="I122" s="11" t="s">
        <v>1852</v>
      </c>
    </row>
    <row r="123" ht="45.0" customHeight="1">
      <c r="A123" s="11">
        <v>122.0</v>
      </c>
      <c r="B123" s="239" t="s">
        <v>577</v>
      </c>
      <c r="C123" s="240" t="s">
        <v>578</v>
      </c>
      <c r="D123" s="215" t="s">
        <v>489</v>
      </c>
      <c r="E123" s="216">
        <v>20.0</v>
      </c>
      <c r="F123" s="11" t="s">
        <v>178</v>
      </c>
      <c r="G123" s="93" t="s">
        <v>1943</v>
      </c>
      <c r="H123" s="11" t="str">
        <f>IMAGE("https://5.imimg.com/data5/QO/AU/MY-77080729/uge-electrolytic-capacitors-500x375-500x500.jpg",1)</f>
        <v/>
      </c>
      <c r="I123" s="11" t="s">
        <v>1852</v>
      </c>
    </row>
    <row r="124" ht="45.0" customHeight="1">
      <c r="A124" s="11">
        <v>123.0</v>
      </c>
      <c r="B124" s="239" t="s">
        <v>541</v>
      </c>
      <c r="C124" s="240" t="s">
        <v>542</v>
      </c>
      <c r="D124" s="215" t="s">
        <v>489</v>
      </c>
      <c r="E124" s="216">
        <v>100.0</v>
      </c>
      <c r="F124" s="11" t="s">
        <v>178</v>
      </c>
      <c r="G124" s="93" t="s">
        <v>1943</v>
      </c>
      <c r="H124" s="11"/>
      <c r="I124" s="11" t="s">
        <v>1853</v>
      </c>
    </row>
    <row r="125" ht="45.0" customHeight="1">
      <c r="A125" s="11">
        <v>124.0</v>
      </c>
      <c r="B125" s="239" t="s">
        <v>557</v>
      </c>
      <c r="C125" s="240" t="s">
        <v>558</v>
      </c>
      <c r="D125" s="215" t="s">
        <v>489</v>
      </c>
      <c r="E125" s="216">
        <v>100.0</v>
      </c>
      <c r="F125" s="11" t="s">
        <v>178</v>
      </c>
      <c r="G125" s="93" t="s">
        <v>1943</v>
      </c>
      <c r="H125" s="11" t="str">
        <f>IMAGE("https://5.imimg.com/data5/SP/GM/AD/SELLER-84581978/keltron-2200uf-35-v-electrolytic-capacitors-500x500.jpg",1)</f>
        <v/>
      </c>
      <c r="I125" s="11" t="s">
        <v>1853</v>
      </c>
    </row>
    <row r="126" ht="45.0" customHeight="1">
      <c r="A126" s="11">
        <v>125.0</v>
      </c>
      <c r="B126" s="116" t="s">
        <v>581</v>
      </c>
      <c r="C126" s="115" t="s">
        <v>582</v>
      </c>
      <c r="D126" s="215" t="s">
        <v>489</v>
      </c>
      <c r="E126" s="216">
        <v>50.0</v>
      </c>
      <c r="F126" s="11" t="s">
        <v>178</v>
      </c>
      <c r="G126" s="93" t="s">
        <v>1943</v>
      </c>
      <c r="H126" s="11" t="str">
        <f>IMAGE("https://5.imimg.com/data5/JL/JS/ZA/SELLER-21614932/4-7uf-400v-keltron-capacitor-500x500.jpg",1)</f>
        <v/>
      </c>
      <c r="I126" s="11" t="s">
        <v>1854</v>
      </c>
    </row>
    <row r="127" ht="45.0" customHeight="1">
      <c r="A127" s="11">
        <v>126.0</v>
      </c>
      <c r="B127" s="116" t="s">
        <v>545</v>
      </c>
      <c r="C127" s="115" t="s">
        <v>546</v>
      </c>
      <c r="D127" s="215" t="s">
        <v>489</v>
      </c>
      <c r="E127" s="216">
        <v>50.0</v>
      </c>
      <c r="F127" s="11" t="s">
        <v>178</v>
      </c>
      <c r="G127" s="93" t="s">
        <v>1943</v>
      </c>
      <c r="H127" s="11" t="str">
        <f>IMAGE("https://projectpoint.in/image/cache/catalog/47uf-250v-672x504.jpg",1)</f>
        <v/>
      </c>
      <c r="I127" s="11" t="s">
        <v>1854</v>
      </c>
    </row>
    <row r="128" ht="45.0" customHeight="1">
      <c r="A128" s="11">
        <v>127.0</v>
      </c>
      <c r="B128" s="116" t="s">
        <v>561</v>
      </c>
      <c r="C128" s="115" t="s">
        <v>562</v>
      </c>
      <c r="D128" s="215" t="s">
        <v>489</v>
      </c>
      <c r="E128" s="216">
        <v>20.0</v>
      </c>
      <c r="F128" s="11" t="s">
        <v>178</v>
      </c>
      <c r="G128" s="93" t="s">
        <v>1943</v>
      </c>
      <c r="H128" s="11" t="str">
        <f>IMAGE("https://5.imimg.com/data5/QO/AU/MY-77080729/uge-electrolytic-capacitors-500x375-500x500.jpg",1)</f>
        <v/>
      </c>
      <c r="I128" s="11" t="s">
        <v>1855</v>
      </c>
    </row>
    <row r="129" ht="45.0" customHeight="1">
      <c r="A129" s="11">
        <v>128.0</v>
      </c>
      <c r="B129" s="11" t="s">
        <v>589</v>
      </c>
      <c r="C129" s="93" t="s">
        <v>590</v>
      </c>
      <c r="D129" s="215" t="s">
        <v>489</v>
      </c>
      <c r="E129" s="216">
        <v>20.0</v>
      </c>
      <c r="F129" s="11" t="s">
        <v>178</v>
      </c>
      <c r="G129" s="93" t="s">
        <v>1945</v>
      </c>
      <c r="H129" s="11" t="str">
        <f t="shared" ref="H129:H130" si="8">IMAGE("https://m.media-amazon.com/images/W/MEDIAX_792452-T2/images/I/41A+MQfyyEL.jpg",1)</f>
        <v/>
      </c>
      <c r="I129" s="11" t="s">
        <v>1842</v>
      </c>
    </row>
    <row r="130" ht="45.0" customHeight="1">
      <c r="A130" s="11">
        <v>129.0</v>
      </c>
      <c r="B130" s="11" t="s">
        <v>593</v>
      </c>
      <c r="C130" s="93" t="s">
        <v>594</v>
      </c>
      <c r="D130" s="215" t="s">
        <v>489</v>
      </c>
      <c r="E130" s="216">
        <v>20.0</v>
      </c>
      <c r="F130" s="11" t="s">
        <v>178</v>
      </c>
      <c r="G130" s="93" t="s">
        <v>1945</v>
      </c>
      <c r="H130" s="11" t="str">
        <f t="shared" si="8"/>
        <v/>
      </c>
      <c r="I130" s="11" t="s">
        <v>1842</v>
      </c>
    </row>
    <row r="131" ht="45.0" customHeight="1">
      <c r="A131" s="11">
        <v>130.0</v>
      </c>
      <c r="B131" s="11" t="s">
        <v>585</v>
      </c>
      <c r="C131" s="93" t="s">
        <v>1860</v>
      </c>
      <c r="D131" s="215" t="s">
        <v>489</v>
      </c>
      <c r="E131" s="216">
        <v>20.0</v>
      </c>
      <c r="F131" s="11" t="s">
        <v>178</v>
      </c>
      <c r="G131" s="93" t="s">
        <v>1944</v>
      </c>
      <c r="H131" s="11" t="str">
        <f>IMAGE("https://www.electronicscomp.com/image/cache/catalog/cd4033-5-stage-johnson-decade-counter-ic-dip-16-800x800.jpg",1)</f>
        <v/>
      </c>
      <c r="I131" s="221" t="s">
        <v>1863</v>
      </c>
    </row>
    <row r="132" ht="45.0" customHeight="1">
      <c r="A132" s="11">
        <v>131.0</v>
      </c>
      <c r="B132" s="11" t="s">
        <v>597</v>
      </c>
      <c r="C132" s="93" t="s">
        <v>1862</v>
      </c>
      <c r="D132" s="215" t="s">
        <v>489</v>
      </c>
      <c r="E132" s="216">
        <v>20.0</v>
      </c>
      <c r="F132" s="11" t="s">
        <v>178</v>
      </c>
      <c r="G132" s="93" t="s">
        <v>1944</v>
      </c>
      <c r="H132" s="11" t="str">
        <f>IMAGE("https://robu.in/wp-content/uploads/2018/11/LM358P-PDIP-8-High-Gain-Operational-Amplifier-Pack-of-5-ICs-9.jpg",1)</f>
        <v/>
      </c>
      <c r="I132" s="221" t="s">
        <v>1864</v>
      </c>
    </row>
    <row r="133" ht="45.0" customHeight="1">
      <c r="A133" s="11">
        <v>132.0</v>
      </c>
      <c r="B133" s="11" t="s">
        <v>845</v>
      </c>
      <c r="C133" s="93" t="s">
        <v>2085</v>
      </c>
      <c r="D133" s="215" t="s">
        <v>489</v>
      </c>
      <c r="E133" s="216">
        <v>20.0</v>
      </c>
      <c r="F133" s="11" t="s">
        <v>178</v>
      </c>
      <c r="G133" s="93" t="s">
        <v>1944</v>
      </c>
      <c r="H133" s="11" t="str">
        <f>IMAGE("https://potentiallabs.com/cart/image/cache/catalog/2021/555-timer-ic-400x400.jpeg",1)</f>
        <v/>
      </c>
      <c r="I133" s="248" t="s">
        <v>2086</v>
      </c>
    </row>
    <row r="134" ht="45.0" customHeight="1">
      <c r="A134" s="11">
        <v>133.0</v>
      </c>
      <c r="B134" s="11" t="s">
        <v>602</v>
      </c>
      <c r="C134" s="93" t="s">
        <v>603</v>
      </c>
      <c r="D134" s="215" t="s">
        <v>489</v>
      </c>
      <c r="E134" s="216">
        <v>500.0</v>
      </c>
      <c r="F134" s="11" t="s">
        <v>178</v>
      </c>
      <c r="G134" s="93" t="s">
        <v>1946</v>
      </c>
      <c r="H134" s="11" t="str">
        <f>IMAGE("https://rukminim2.flixcart.com/image/832/832/xif0q/electronic-hobby-kit/d/o/s/50-pcs-blue-led-5mm-kitsguru-original-imaghfqbjbn4hshz.jpeg?q=70",1)</f>
        <v/>
      </c>
      <c r="I134" s="244" t="s">
        <v>2079</v>
      </c>
    </row>
    <row r="135" ht="45.0" customHeight="1">
      <c r="A135" s="11">
        <v>134.0</v>
      </c>
      <c r="B135" s="11" t="s">
        <v>606</v>
      </c>
      <c r="C135" s="93" t="s">
        <v>607</v>
      </c>
      <c r="D135" s="215" t="s">
        <v>489</v>
      </c>
      <c r="E135" s="216">
        <v>500.0</v>
      </c>
      <c r="F135" s="11" t="s">
        <v>178</v>
      </c>
      <c r="G135" s="93" t="s">
        <v>1946</v>
      </c>
      <c r="H135" s="11" t="str">
        <f>IMAGE("https://rukminim2.flixcart.com/image/832/832/krz97rk0/electronic-hobby-kit/r/p/r/5mm-green-led-light-emitting-diode-highlight-for-arduino-pack-of-original-imag5n63ad6pnxqe.jpeg?q=70", 1)</f>
        <v/>
      </c>
      <c r="I135" s="244" t="s">
        <v>2080</v>
      </c>
    </row>
    <row r="136" ht="45.0" customHeight="1">
      <c r="A136" s="11">
        <v>135.0</v>
      </c>
      <c r="B136" s="11" t="s">
        <v>609</v>
      </c>
      <c r="C136" s="93" t="s">
        <v>610</v>
      </c>
      <c r="D136" s="215" t="s">
        <v>489</v>
      </c>
      <c r="E136" s="216">
        <v>500.0</v>
      </c>
      <c r="F136" s="11" t="s">
        <v>178</v>
      </c>
      <c r="G136" s="93" t="s">
        <v>1946</v>
      </c>
      <c r="H136" s="11" t="str">
        <f>IMAGE("https://rukminim2.flixcart.com/image/832/832/ktrk13k0/electronic-hobby-kit/u/f/w/10-pcs-5mm-round-diffused-red-color-led-light-bulb-lamp-light-original-imag7ff6rchccrbz.jpeg?q=70", 1)</f>
        <v/>
      </c>
      <c r="I136" s="244" t="s">
        <v>2081</v>
      </c>
    </row>
    <row r="137" ht="45.0" customHeight="1">
      <c r="A137" s="11">
        <v>136.0</v>
      </c>
      <c r="B137" s="11" t="s">
        <v>613</v>
      </c>
      <c r="C137" s="93" t="s">
        <v>614</v>
      </c>
      <c r="D137" s="215" t="s">
        <v>489</v>
      </c>
      <c r="E137" s="216">
        <v>500.0</v>
      </c>
      <c r="F137" s="11" t="s">
        <v>178</v>
      </c>
      <c r="G137" s="93" t="s">
        <v>1946</v>
      </c>
      <c r="H137" s="11" t="str">
        <f>IMAGE("https://robu.in/wp-content/uploads/2020/10/5mm-DIP-Led-White.png", 1)</f>
        <v/>
      </c>
      <c r="I137" s="244" t="s">
        <v>2082</v>
      </c>
    </row>
    <row r="138" ht="45.0" customHeight="1">
      <c r="A138" s="11">
        <v>137.0</v>
      </c>
      <c r="B138" s="11" t="s">
        <v>617</v>
      </c>
      <c r="C138" s="93" t="s">
        <v>618</v>
      </c>
      <c r="D138" s="215" t="s">
        <v>489</v>
      </c>
      <c r="E138" s="216">
        <v>500.0</v>
      </c>
      <c r="F138" s="11" t="s">
        <v>178</v>
      </c>
      <c r="G138" s="93" t="s">
        <v>1946</v>
      </c>
      <c r="H138" s="11" t="str">
        <f>IMAGE("https://robu.in/wp-content/uploads/2020/10/5-mm-DIP-Led-Yellow.png", 1)</f>
        <v/>
      </c>
      <c r="I138" s="244" t="s">
        <v>2083</v>
      </c>
    </row>
    <row r="139" ht="45.0" customHeight="1">
      <c r="A139" s="11">
        <v>138.0</v>
      </c>
      <c r="B139" s="11" t="s">
        <v>621</v>
      </c>
      <c r="C139" s="93" t="s">
        <v>622</v>
      </c>
      <c r="D139" s="215" t="s">
        <v>489</v>
      </c>
      <c r="E139" s="216">
        <v>100.0</v>
      </c>
      <c r="F139" s="11" t="s">
        <v>178</v>
      </c>
      <c r="G139" s="93" t="s">
        <v>1946</v>
      </c>
      <c r="H139" s="11" t="str">
        <f>IMAGE("https://image.robotistan.com/5mm-transparent-rgb-led-2633-11-O.jpg", 1)</f>
        <v/>
      </c>
      <c r="I139" s="244" t="s">
        <v>2084</v>
      </c>
    </row>
    <row r="140" ht="45.0" customHeight="1">
      <c r="A140" s="11">
        <v>139.0</v>
      </c>
      <c r="B140" s="11" t="s">
        <v>629</v>
      </c>
      <c r="C140" s="93" t="s">
        <v>630</v>
      </c>
      <c r="D140" s="215" t="s">
        <v>489</v>
      </c>
      <c r="E140" s="216">
        <v>20.0</v>
      </c>
      <c r="F140" s="11" t="s">
        <v>178</v>
      </c>
      <c r="G140" s="93" t="s">
        <v>1948</v>
      </c>
      <c r="H140" s="11" t="str">
        <f t="shared" ref="H140:H141" si="9">IMAGE("https://www.electronicscomp.com/image/cache/catalog/irfz44-n-channel-power-mosfet-1-800x800.JPG",1)</f>
        <v/>
      </c>
      <c r="I140" s="11" t="s">
        <v>1843</v>
      </c>
    </row>
    <row r="141" ht="45.0" customHeight="1">
      <c r="A141" s="11">
        <v>140.0</v>
      </c>
      <c r="B141" s="11" t="s">
        <v>633</v>
      </c>
      <c r="C141" s="93" t="s">
        <v>634</v>
      </c>
      <c r="D141" s="215" t="s">
        <v>489</v>
      </c>
      <c r="E141" s="216">
        <v>20.0</v>
      </c>
      <c r="F141" s="11" t="s">
        <v>178</v>
      </c>
      <c r="G141" s="93" t="s">
        <v>1948</v>
      </c>
      <c r="H141" s="11" t="str">
        <f t="shared" si="9"/>
        <v/>
      </c>
      <c r="I141" s="11" t="s">
        <v>1843</v>
      </c>
    </row>
    <row r="142" ht="45.0" customHeight="1">
      <c r="A142" s="11">
        <v>141.0</v>
      </c>
      <c r="B142" s="11" t="s">
        <v>885</v>
      </c>
      <c r="C142" s="93" t="s">
        <v>886</v>
      </c>
      <c r="D142" s="215" t="s">
        <v>489</v>
      </c>
      <c r="E142" s="216">
        <v>20.0</v>
      </c>
      <c r="F142" s="11" t="s">
        <v>178</v>
      </c>
      <c r="G142" s="93" t="s">
        <v>1954</v>
      </c>
      <c r="H142" s="11" t="str">
        <f>IMAGE("https://www.olelectronics.in/wp-content/uploads/Miniature-Vibration-Motor.png",1)</f>
        <v/>
      </c>
      <c r="I142" s="221" t="s">
        <v>1819</v>
      </c>
    </row>
    <row r="143" ht="45.0" customHeight="1">
      <c r="A143" s="11">
        <v>142.0</v>
      </c>
      <c r="B143" s="11" t="s">
        <v>641</v>
      </c>
      <c r="C143" s="93" t="s">
        <v>642</v>
      </c>
      <c r="D143" s="215" t="s">
        <v>489</v>
      </c>
      <c r="E143" s="216">
        <v>20.0</v>
      </c>
      <c r="F143" s="11" t="s">
        <v>178</v>
      </c>
      <c r="G143" s="93" t="s">
        <v>1949</v>
      </c>
      <c r="H143" s="11" t="str">
        <f t="shared" ref="H143:H146" si="10">IMAGE("https://m.media-amazon.com/images/I/31ALofIyvBL._SX466_.jpg",1)</f>
        <v/>
      </c>
      <c r="I143" s="11" t="s">
        <v>1828</v>
      </c>
    </row>
    <row r="144" ht="45.0" customHeight="1">
      <c r="A144" s="11">
        <v>143.0</v>
      </c>
      <c r="B144" s="11" t="s">
        <v>645</v>
      </c>
      <c r="C144" s="93" t="s">
        <v>646</v>
      </c>
      <c r="D144" s="215" t="s">
        <v>489</v>
      </c>
      <c r="E144" s="216">
        <v>20.0</v>
      </c>
      <c r="F144" s="11" t="s">
        <v>178</v>
      </c>
      <c r="G144" s="93" t="s">
        <v>1949</v>
      </c>
      <c r="H144" s="11" t="str">
        <f t="shared" si="10"/>
        <v/>
      </c>
      <c r="I144" s="245" t="s">
        <v>1826</v>
      </c>
    </row>
    <row r="145" ht="45.0" customHeight="1">
      <c r="A145" s="11">
        <v>144.0</v>
      </c>
      <c r="B145" s="241" t="s">
        <v>649</v>
      </c>
      <c r="C145" s="242" t="s">
        <v>650</v>
      </c>
      <c r="D145" s="215" t="s">
        <v>489</v>
      </c>
      <c r="E145" s="216">
        <v>20.0</v>
      </c>
      <c r="F145" s="11" t="s">
        <v>178</v>
      </c>
      <c r="G145" s="93" t="s">
        <v>1949</v>
      </c>
      <c r="H145" s="11" t="str">
        <f t="shared" si="10"/>
        <v/>
      </c>
      <c r="I145" s="245" t="s">
        <v>1826</v>
      </c>
    </row>
    <row r="146" ht="45.0" customHeight="1">
      <c r="A146" s="11">
        <v>145.0</v>
      </c>
      <c r="B146" s="241" t="s">
        <v>653</v>
      </c>
      <c r="C146" s="242" t="s">
        <v>654</v>
      </c>
      <c r="D146" s="215" t="s">
        <v>489</v>
      </c>
      <c r="E146" s="216">
        <v>20.0</v>
      </c>
      <c r="F146" s="11" t="s">
        <v>178</v>
      </c>
      <c r="G146" s="93" t="s">
        <v>1949</v>
      </c>
      <c r="H146" s="11" t="str">
        <f t="shared" si="10"/>
        <v/>
      </c>
      <c r="I146" s="11" t="s">
        <v>1828</v>
      </c>
    </row>
    <row r="147" ht="45.0" customHeight="1">
      <c r="A147" s="11">
        <v>146.0</v>
      </c>
      <c r="B147" s="241" t="s">
        <v>873</v>
      </c>
      <c r="C147" s="242" t="s">
        <v>874</v>
      </c>
      <c r="D147" s="215" t="s">
        <v>489</v>
      </c>
      <c r="E147" s="216">
        <v>20.0</v>
      </c>
      <c r="F147" s="11" t="s">
        <v>178</v>
      </c>
      <c r="G147" s="93" t="s">
        <v>1949</v>
      </c>
      <c r="H147" s="11" t="str">
        <f t="shared" ref="H147:H149" si="11">IMAGE("https://probots.co.in/pub/media/catalog/product/cache/d8ddd0f9b0cd008b57085cd218b48832/1/k/1k_ohm_variable_resistor_potentiometer1-1000x1000_12.jpg",1)</f>
        <v/>
      </c>
      <c r="I147" s="11" t="s">
        <v>1841</v>
      </c>
    </row>
    <row r="148" ht="45.0" customHeight="1">
      <c r="A148" s="11">
        <v>147.0</v>
      </c>
      <c r="B148" s="241" t="s">
        <v>877</v>
      </c>
      <c r="C148" s="242" t="s">
        <v>878</v>
      </c>
      <c r="D148" s="215" t="s">
        <v>489</v>
      </c>
      <c r="E148" s="216">
        <v>20.0</v>
      </c>
      <c r="F148" s="11" t="s">
        <v>178</v>
      </c>
      <c r="G148" s="93" t="s">
        <v>1949</v>
      </c>
      <c r="H148" s="11" t="str">
        <f t="shared" si="11"/>
        <v/>
      </c>
      <c r="I148" s="11" t="s">
        <v>1841</v>
      </c>
    </row>
    <row r="149" ht="45.0" customHeight="1">
      <c r="A149" s="11">
        <v>148.0</v>
      </c>
      <c r="B149" s="241" t="s">
        <v>881</v>
      </c>
      <c r="C149" s="242" t="s">
        <v>882</v>
      </c>
      <c r="D149" s="215" t="s">
        <v>489</v>
      </c>
      <c r="E149" s="216">
        <v>20.0</v>
      </c>
      <c r="F149" s="11" t="s">
        <v>178</v>
      </c>
      <c r="G149" s="93" t="s">
        <v>1949</v>
      </c>
      <c r="H149" s="11" t="str">
        <f t="shared" si="11"/>
        <v/>
      </c>
      <c r="I149" s="11" t="s">
        <v>1841</v>
      </c>
    </row>
    <row r="150" ht="45.0" customHeight="1">
      <c r="A150" s="11">
        <v>149.0</v>
      </c>
      <c r="B150" s="239" t="s">
        <v>661</v>
      </c>
      <c r="C150" s="240" t="s">
        <v>662</v>
      </c>
      <c r="D150" s="215" t="s">
        <v>489</v>
      </c>
      <c r="E150" s="216">
        <v>100.0</v>
      </c>
      <c r="F150" s="11" t="s">
        <v>178</v>
      </c>
      <c r="G150" s="93" t="s">
        <v>1950</v>
      </c>
      <c r="H150" s="11" t="str">
        <f t="shared" ref="H150:H191" si="12">IMAGE("https://projectpoint.in/image/cache/catalog/CFR_Resistor_Kit-672x504.jpg",1)</f>
        <v/>
      </c>
      <c r="I150" s="11" t="s">
        <v>1753</v>
      </c>
    </row>
    <row r="151" ht="45.0" customHeight="1">
      <c r="A151" s="11">
        <v>150.0</v>
      </c>
      <c r="B151" s="239" t="s">
        <v>789</v>
      </c>
      <c r="C151" s="240" t="s">
        <v>1757</v>
      </c>
      <c r="D151" s="215" t="s">
        <v>489</v>
      </c>
      <c r="E151" s="216">
        <v>100.0</v>
      </c>
      <c r="F151" s="11" t="s">
        <v>178</v>
      </c>
      <c r="G151" s="93" t="s">
        <v>1950</v>
      </c>
      <c r="H151" s="11" t="str">
        <f t="shared" si="12"/>
        <v/>
      </c>
      <c r="I151" s="11" t="s">
        <v>1753</v>
      </c>
    </row>
    <row r="152" ht="45.0" customHeight="1">
      <c r="A152" s="11">
        <v>151.0</v>
      </c>
      <c r="B152" s="239" t="s">
        <v>697</v>
      </c>
      <c r="C152" s="240" t="s">
        <v>698</v>
      </c>
      <c r="D152" s="215" t="s">
        <v>489</v>
      </c>
      <c r="E152" s="216">
        <v>100.0</v>
      </c>
      <c r="F152" s="11" t="s">
        <v>178</v>
      </c>
      <c r="G152" s="93" t="s">
        <v>1950</v>
      </c>
      <c r="H152" s="11" t="str">
        <f t="shared" si="12"/>
        <v/>
      </c>
      <c r="I152" s="11" t="s">
        <v>1762</v>
      </c>
    </row>
    <row r="153" ht="45.0" customHeight="1">
      <c r="A153" s="11">
        <v>152.0</v>
      </c>
      <c r="B153" s="239" t="s">
        <v>705</v>
      </c>
      <c r="C153" s="240" t="s">
        <v>706</v>
      </c>
      <c r="D153" s="215" t="s">
        <v>489</v>
      </c>
      <c r="E153" s="216">
        <v>100.0</v>
      </c>
      <c r="F153" s="11" t="s">
        <v>178</v>
      </c>
      <c r="G153" s="93" t="s">
        <v>1950</v>
      </c>
      <c r="H153" s="11" t="str">
        <f t="shared" si="12"/>
        <v/>
      </c>
      <c r="I153" s="11" t="s">
        <v>1762</v>
      </c>
    </row>
    <row r="154" ht="45.0" customHeight="1">
      <c r="A154" s="11">
        <v>153.0</v>
      </c>
      <c r="B154" s="239" t="s">
        <v>717</v>
      </c>
      <c r="C154" s="240" t="s">
        <v>718</v>
      </c>
      <c r="D154" s="215" t="s">
        <v>489</v>
      </c>
      <c r="E154" s="216">
        <v>100.0</v>
      </c>
      <c r="F154" s="11" t="s">
        <v>178</v>
      </c>
      <c r="G154" s="93" t="s">
        <v>1950</v>
      </c>
      <c r="H154" s="11" t="str">
        <f t="shared" si="12"/>
        <v/>
      </c>
      <c r="I154" s="11" t="s">
        <v>1771</v>
      </c>
    </row>
    <row r="155" ht="45.0" customHeight="1">
      <c r="A155" s="11">
        <v>154.0</v>
      </c>
      <c r="B155" s="239" t="s">
        <v>733</v>
      </c>
      <c r="C155" s="240" t="s">
        <v>734</v>
      </c>
      <c r="D155" s="215" t="s">
        <v>489</v>
      </c>
      <c r="E155" s="216">
        <v>100.0</v>
      </c>
      <c r="F155" s="11" t="s">
        <v>178</v>
      </c>
      <c r="G155" s="93" t="s">
        <v>1950</v>
      </c>
      <c r="H155" s="11" t="str">
        <f t="shared" si="12"/>
        <v/>
      </c>
      <c r="I155" s="11" t="s">
        <v>1771</v>
      </c>
    </row>
    <row r="156" ht="45.0" customHeight="1">
      <c r="A156" s="11">
        <v>155.0</v>
      </c>
      <c r="B156" s="239" t="s">
        <v>817</v>
      </c>
      <c r="C156" s="240" t="s">
        <v>1779</v>
      </c>
      <c r="D156" s="215" t="s">
        <v>489</v>
      </c>
      <c r="E156" s="216">
        <v>100.0</v>
      </c>
      <c r="F156" s="11" t="s">
        <v>178</v>
      </c>
      <c r="G156" s="93" t="s">
        <v>1950</v>
      </c>
      <c r="H156" s="11" t="str">
        <f t="shared" si="12"/>
        <v/>
      </c>
      <c r="I156" s="246" t="s">
        <v>1780</v>
      </c>
    </row>
    <row r="157" ht="45.0" customHeight="1">
      <c r="A157" s="11">
        <v>156.0</v>
      </c>
      <c r="B157" s="239" t="s">
        <v>753</v>
      </c>
      <c r="C157" s="240" t="s">
        <v>754</v>
      </c>
      <c r="D157" s="215" t="s">
        <v>489</v>
      </c>
      <c r="E157" s="216">
        <v>100.0</v>
      </c>
      <c r="F157" s="11" t="s">
        <v>178</v>
      </c>
      <c r="G157" s="93" t="s">
        <v>1950</v>
      </c>
      <c r="H157" s="11" t="str">
        <f t="shared" si="12"/>
        <v/>
      </c>
      <c r="I157" s="246" t="s">
        <v>1780</v>
      </c>
    </row>
    <row r="158" ht="45.0" customHeight="1">
      <c r="A158" s="11">
        <v>157.0</v>
      </c>
      <c r="B158" s="239" t="s">
        <v>773</v>
      </c>
      <c r="C158" s="240" t="s">
        <v>774</v>
      </c>
      <c r="D158" s="215" t="s">
        <v>489</v>
      </c>
      <c r="E158" s="216">
        <v>100.0</v>
      </c>
      <c r="F158" s="11" t="s">
        <v>178</v>
      </c>
      <c r="G158" s="93" t="s">
        <v>1950</v>
      </c>
      <c r="H158" s="11" t="str">
        <f t="shared" si="12"/>
        <v/>
      </c>
      <c r="I158" s="246" t="s">
        <v>1785</v>
      </c>
    </row>
    <row r="159" ht="45.0" customHeight="1">
      <c r="A159" s="11">
        <v>158.0</v>
      </c>
      <c r="B159" s="239" t="s">
        <v>657</v>
      </c>
      <c r="C159" s="240" t="s">
        <v>658</v>
      </c>
      <c r="D159" s="215" t="s">
        <v>489</v>
      </c>
      <c r="E159" s="216">
        <v>100.0</v>
      </c>
      <c r="F159" s="11" t="s">
        <v>178</v>
      </c>
      <c r="G159" s="93" t="s">
        <v>1950</v>
      </c>
      <c r="H159" s="11" t="str">
        <f t="shared" si="12"/>
        <v/>
      </c>
      <c r="I159" s="246" t="s">
        <v>1785</v>
      </c>
    </row>
    <row r="160" ht="45.0" customHeight="1">
      <c r="A160" s="11">
        <v>159.0</v>
      </c>
      <c r="B160" s="239" t="s">
        <v>781</v>
      </c>
      <c r="C160" s="240" t="s">
        <v>1792</v>
      </c>
      <c r="D160" s="215" t="s">
        <v>489</v>
      </c>
      <c r="E160" s="216">
        <v>100.0</v>
      </c>
      <c r="F160" s="11" t="s">
        <v>178</v>
      </c>
      <c r="G160" s="93" t="s">
        <v>1950</v>
      </c>
      <c r="H160" s="11" t="str">
        <f t="shared" si="12"/>
        <v/>
      </c>
      <c r="I160" s="246" t="s">
        <v>1793</v>
      </c>
    </row>
    <row r="161" ht="45.0" customHeight="1">
      <c r="A161" s="11">
        <v>160.0</v>
      </c>
      <c r="B161" s="239" t="s">
        <v>689</v>
      </c>
      <c r="C161" s="240" t="s">
        <v>690</v>
      </c>
      <c r="D161" s="215" t="s">
        <v>489</v>
      </c>
      <c r="E161" s="216">
        <v>100.0</v>
      </c>
      <c r="F161" s="11" t="s">
        <v>178</v>
      </c>
      <c r="G161" s="93" t="s">
        <v>1950</v>
      </c>
      <c r="H161" s="11" t="str">
        <f t="shared" si="12"/>
        <v/>
      </c>
      <c r="I161" s="246" t="s">
        <v>1793</v>
      </c>
    </row>
    <row r="162" ht="45.0" customHeight="1">
      <c r="A162" s="11">
        <v>161.0</v>
      </c>
      <c r="B162" s="239" t="s">
        <v>797</v>
      </c>
      <c r="C162" s="240" t="s">
        <v>1799</v>
      </c>
      <c r="D162" s="215" t="s">
        <v>489</v>
      </c>
      <c r="E162" s="216">
        <v>100.0</v>
      </c>
      <c r="F162" s="11" t="s">
        <v>178</v>
      </c>
      <c r="G162" s="93" t="s">
        <v>1950</v>
      </c>
      <c r="H162" s="11" t="str">
        <f t="shared" si="12"/>
        <v/>
      </c>
      <c r="I162" s="246" t="s">
        <v>1800</v>
      </c>
    </row>
    <row r="163" ht="45.0" customHeight="1">
      <c r="A163" s="11">
        <v>162.0</v>
      </c>
      <c r="B163" s="239" t="s">
        <v>709</v>
      </c>
      <c r="C163" s="240" t="s">
        <v>710</v>
      </c>
      <c r="D163" s="215" t="s">
        <v>489</v>
      </c>
      <c r="E163" s="216">
        <v>100.0</v>
      </c>
      <c r="F163" s="11" t="s">
        <v>178</v>
      </c>
      <c r="G163" s="93" t="s">
        <v>1950</v>
      </c>
      <c r="H163" s="11" t="str">
        <f t="shared" si="12"/>
        <v/>
      </c>
      <c r="I163" s="246" t="s">
        <v>1800</v>
      </c>
    </row>
    <row r="164" ht="45.0" customHeight="1">
      <c r="A164" s="11">
        <v>163.0</v>
      </c>
      <c r="B164" s="239" t="s">
        <v>725</v>
      </c>
      <c r="C164" s="240" t="s">
        <v>726</v>
      </c>
      <c r="D164" s="215" t="s">
        <v>489</v>
      </c>
      <c r="E164" s="216">
        <v>100.0</v>
      </c>
      <c r="F164" s="11" t="s">
        <v>178</v>
      </c>
      <c r="G164" s="93" t="s">
        <v>1950</v>
      </c>
      <c r="H164" s="11" t="str">
        <f t="shared" si="12"/>
        <v/>
      </c>
      <c r="I164" s="246" t="s">
        <v>1805</v>
      </c>
    </row>
    <row r="165" ht="45.0" customHeight="1">
      <c r="A165" s="11">
        <v>164.0</v>
      </c>
      <c r="B165" s="239" t="s">
        <v>809</v>
      </c>
      <c r="C165" s="240" t="s">
        <v>1808</v>
      </c>
      <c r="D165" s="215" t="s">
        <v>489</v>
      </c>
      <c r="E165" s="216">
        <v>100.0</v>
      </c>
      <c r="F165" s="11" t="s">
        <v>178</v>
      </c>
      <c r="G165" s="93" t="s">
        <v>1950</v>
      </c>
      <c r="H165" s="11" t="str">
        <f t="shared" si="12"/>
        <v/>
      </c>
      <c r="I165" s="246" t="s">
        <v>1805</v>
      </c>
    </row>
    <row r="166" ht="45.0" customHeight="1">
      <c r="A166" s="11">
        <v>165.0</v>
      </c>
      <c r="B166" s="239" t="s">
        <v>745</v>
      </c>
      <c r="C166" s="240" t="s">
        <v>746</v>
      </c>
      <c r="D166" s="215" t="s">
        <v>489</v>
      </c>
      <c r="E166" s="216">
        <v>100.0</v>
      </c>
      <c r="F166" s="11" t="s">
        <v>178</v>
      </c>
      <c r="G166" s="93" t="s">
        <v>1950</v>
      </c>
      <c r="H166" s="11" t="str">
        <f t="shared" si="12"/>
        <v/>
      </c>
      <c r="I166" s="246" t="s">
        <v>1810</v>
      </c>
    </row>
    <row r="167" ht="45.0" customHeight="1">
      <c r="A167" s="11">
        <v>166.0</v>
      </c>
      <c r="B167" s="239" t="s">
        <v>765</v>
      </c>
      <c r="C167" s="240" t="s">
        <v>766</v>
      </c>
      <c r="D167" s="215" t="s">
        <v>489</v>
      </c>
      <c r="E167" s="216">
        <v>100.0</v>
      </c>
      <c r="F167" s="11" t="s">
        <v>178</v>
      </c>
      <c r="G167" s="93" t="s">
        <v>1950</v>
      </c>
      <c r="H167" s="11" t="str">
        <f t="shared" si="12"/>
        <v/>
      </c>
      <c r="I167" s="246" t="s">
        <v>1810</v>
      </c>
    </row>
    <row r="168" ht="45.0" customHeight="1">
      <c r="A168" s="11">
        <v>167.0</v>
      </c>
      <c r="B168" s="239" t="s">
        <v>677</v>
      </c>
      <c r="C168" s="240" t="s">
        <v>678</v>
      </c>
      <c r="D168" s="215" t="s">
        <v>489</v>
      </c>
      <c r="E168" s="216">
        <v>100.0</v>
      </c>
      <c r="F168" s="11" t="s">
        <v>178</v>
      </c>
      <c r="G168" s="93" t="s">
        <v>1950</v>
      </c>
      <c r="H168" s="11" t="str">
        <f t="shared" si="12"/>
        <v/>
      </c>
      <c r="I168" s="246" t="s">
        <v>1816</v>
      </c>
    </row>
    <row r="169" ht="45.0" customHeight="1">
      <c r="A169" s="11">
        <v>168.0</v>
      </c>
      <c r="B169" s="239" t="s">
        <v>685</v>
      </c>
      <c r="C169" s="240" t="s">
        <v>686</v>
      </c>
      <c r="D169" s="215" t="s">
        <v>489</v>
      </c>
      <c r="E169" s="216">
        <v>100.0</v>
      </c>
      <c r="F169" s="11" t="s">
        <v>178</v>
      </c>
      <c r="G169" s="93" t="s">
        <v>1950</v>
      </c>
      <c r="H169" s="11" t="str">
        <f t="shared" si="12"/>
        <v/>
      </c>
      <c r="I169" s="246" t="s">
        <v>1816</v>
      </c>
    </row>
    <row r="170" ht="45.0" customHeight="1">
      <c r="A170" s="11">
        <v>169.0</v>
      </c>
      <c r="B170" s="239" t="s">
        <v>741</v>
      </c>
      <c r="C170" s="240" t="s">
        <v>742</v>
      </c>
      <c r="D170" s="215" t="s">
        <v>489</v>
      </c>
      <c r="E170" s="216">
        <v>100.0</v>
      </c>
      <c r="F170" s="11" t="s">
        <v>178</v>
      </c>
      <c r="G170" s="93" t="s">
        <v>1950</v>
      </c>
      <c r="H170" s="11" t="str">
        <f t="shared" si="12"/>
        <v/>
      </c>
      <c r="I170" s="246" t="s">
        <v>1821</v>
      </c>
    </row>
    <row r="171" ht="45.0" customHeight="1">
      <c r="A171" s="11">
        <v>170.0</v>
      </c>
      <c r="B171" s="239" t="s">
        <v>665</v>
      </c>
      <c r="C171" s="240" t="s">
        <v>666</v>
      </c>
      <c r="D171" s="215" t="s">
        <v>489</v>
      </c>
      <c r="E171" s="216">
        <v>100.0</v>
      </c>
      <c r="F171" s="11" t="s">
        <v>178</v>
      </c>
      <c r="G171" s="93" t="s">
        <v>1950</v>
      </c>
      <c r="H171" s="11" t="str">
        <f t="shared" si="12"/>
        <v/>
      </c>
      <c r="I171" s="246" t="s">
        <v>1821</v>
      </c>
    </row>
    <row r="172" ht="45.0" customHeight="1">
      <c r="A172" s="11">
        <v>171.0</v>
      </c>
      <c r="B172" s="239" t="s">
        <v>793</v>
      </c>
      <c r="C172" s="240" t="s">
        <v>794</v>
      </c>
      <c r="D172" s="215" t="s">
        <v>489</v>
      </c>
      <c r="E172" s="216">
        <v>100.0</v>
      </c>
      <c r="F172" s="11" t="s">
        <v>178</v>
      </c>
      <c r="G172" s="93" t="s">
        <v>1950</v>
      </c>
      <c r="H172" s="11" t="str">
        <f t="shared" si="12"/>
        <v/>
      </c>
      <c r="I172" s="246" t="s">
        <v>1825</v>
      </c>
    </row>
    <row r="173" ht="45.0" customHeight="1">
      <c r="A173" s="11">
        <v>172.0</v>
      </c>
      <c r="B173" s="239" t="s">
        <v>701</v>
      </c>
      <c r="C173" s="240" t="s">
        <v>702</v>
      </c>
      <c r="D173" s="215" t="s">
        <v>489</v>
      </c>
      <c r="E173" s="216">
        <v>100.0</v>
      </c>
      <c r="F173" s="11" t="s">
        <v>178</v>
      </c>
      <c r="G173" s="93" t="s">
        <v>1950</v>
      </c>
      <c r="H173" s="11" t="str">
        <f t="shared" si="12"/>
        <v/>
      </c>
      <c r="I173" s="246" t="s">
        <v>1825</v>
      </c>
    </row>
    <row r="174" ht="45.0" customHeight="1">
      <c r="A174" s="11">
        <v>173.0</v>
      </c>
      <c r="B174" s="239" t="s">
        <v>805</v>
      </c>
      <c r="C174" s="240" t="s">
        <v>806</v>
      </c>
      <c r="D174" s="215" t="s">
        <v>489</v>
      </c>
      <c r="E174" s="216">
        <v>100.0</v>
      </c>
      <c r="F174" s="11" t="s">
        <v>178</v>
      </c>
      <c r="G174" s="93" t="s">
        <v>1950</v>
      </c>
      <c r="H174" s="11" t="str">
        <f t="shared" si="12"/>
        <v/>
      </c>
      <c r="I174" s="246" t="s">
        <v>1827</v>
      </c>
    </row>
    <row r="175" ht="45.0" customHeight="1">
      <c r="A175" s="11">
        <v>174.0</v>
      </c>
      <c r="B175" s="239" t="s">
        <v>721</v>
      </c>
      <c r="C175" s="240" t="s">
        <v>722</v>
      </c>
      <c r="D175" s="215" t="s">
        <v>489</v>
      </c>
      <c r="E175" s="216">
        <v>100.0</v>
      </c>
      <c r="F175" s="11" t="s">
        <v>178</v>
      </c>
      <c r="G175" s="93" t="s">
        <v>1950</v>
      </c>
      <c r="H175" s="11" t="str">
        <f t="shared" si="12"/>
        <v/>
      </c>
      <c r="I175" s="246" t="s">
        <v>1827</v>
      </c>
    </row>
    <row r="176" ht="45.0" customHeight="1">
      <c r="A176" s="11">
        <v>175.0</v>
      </c>
      <c r="B176" s="239" t="s">
        <v>737</v>
      </c>
      <c r="C176" s="240" t="s">
        <v>738</v>
      </c>
      <c r="D176" s="215" t="s">
        <v>489</v>
      </c>
      <c r="E176" s="216">
        <v>100.0</v>
      </c>
      <c r="F176" s="11" t="s">
        <v>178</v>
      </c>
      <c r="G176" s="93" t="s">
        <v>1950</v>
      </c>
      <c r="H176" s="11" t="str">
        <f t="shared" si="12"/>
        <v/>
      </c>
      <c r="I176" s="246" t="s">
        <v>1829</v>
      </c>
    </row>
    <row r="177" ht="45.0" customHeight="1">
      <c r="A177" s="11">
        <v>176.0</v>
      </c>
      <c r="B177" s="239" t="s">
        <v>821</v>
      </c>
      <c r="C177" s="240" t="s">
        <v>822</v>
      </c>
      <c r="D177" s="215" t="s">
        <v>489</v>
      </c>
      <c r="E177" s="216">
        <v>100.0</v>
      </c>
      <c r="F177" s="11" t="s">
        <v>178</v>
      </c>
      <c r="G177" s="93" t="s">
        <v>1950</v>
      </c>
      <c r="H177" s="11" t="str">
        <f t="shared" si="12"/>
        <v/>
      </c>
      <c r="I177" s="246" t="s">
        <v>1829</v>
      </c>
    </row>
    <row r="178" ht="45.0" customHeight="1">
      <c r="A178" s="11">
        <v>177.0</v>
      </c>
      <c r="B178" s="239" t="s">
        <v>757</v>
      </c>
      <c r="C178" s="240" t="s">
        <v>758</v>
      </c>
      <c r="D178" s="215" t="s">
        <v>489</v>
      </c>
      <c r="E178" s="216">
        <v>100.0</v>
      </c>
      <c r="F178" s="11" t="s">
        <v>178</v>
      </c>
      <c r="G178" s="93" t="s">
        <v>1950</v>
      </c>
      <c r="H178" s="11" t="str">
        <f t="shared" si="12"/>
        <v/>
      </c>
      <c r="I178" s="246" t="s">
        <v>1832</v>
      </c>
    </row>
    <row r="179" ht="45.0" customHeight="1">
      <c r="A179" s="11">
        <v>178.0</v>
      </c>
      <c r="B179" s="239" t="s">
        <v>777</v>
      </c>
      <c r="C179" s="240" t="s">
        <v>778</v>
      </c>
      <c r="D179" s="215" t="s">
        <v>489</v>
      </c>
      <c r="E179" s="216">
        <v>100.0</v>
      </c>
      <c r="F179" s="11" t="s">
        <v>178</v>
      </c>
      <c r="G179" s="93" t="s">
        <v>1950</v>
      </c>
      <c r="H179" s="11" t="str">
        <f t="shared" si="12"/>
        <v/>
      </c>
      <c r="I179" s="246" t="s">
        <v>1832</v>
      </c>
    </row>
    <row r="180" ht="45.0" customHeight="1">
      <c r="A180" s="11">
        <v>179.0</v>
      </c>
      <c r="B180" s="239" t="s">
        <v>669</v>
      </c>
      <c r="C180" s="240" t="s">
        <v>670</v>
      </c>
      <c r="D180" s="215" t="s">
        <v>489</v>
      </c>
      <c r="E180" s="216">
        <v>100.0</v>
      </c>
      <c r="F180" s="11" t="s">
        <v>178</v>
      </c>
      <c r="G180" s="93" t="s">
        <v>1950</v>
      </c>
      <c r="H180" s="11" t="str">
        <f t="shared" si="12"/>
        <v/>
      </c>
      <c r="I180" s="246" t="s">
        <v>1835</v>
      </c>
    </row>
    <row r="181" ht="45.0" customHeight="1">
      <c r="A181" s="11">
        <v>180.0</v>
      </c>
      <c r="B181" s="239" t="s">
        <v>785</v>
      </c>
      <c r="C181" s="240" t="s">
        <v>786</v>
      </c>
      <c r="D181" s="215" t="s">
        <v>489</v>
      </c>
      <c r="E181" s="216">
        <v>100.0</v>
      </c>
      <c r="F181" s="11" t="s">
        <v>178</v>
      </c>
      <c r="G181" s="93" t="s">
        <v>1950</v>
      </c>
      <c r="H181" s="11" t="str">
        <f t="shared" si="12"/>
        <v/>
      </c>
      <c r="I181" s="246" t="s">
        <v>1835</v>
      </c>
    </row>
    <row r="182" ht="45.0" customHeight="1">
      <c r="A182" s="11">
        <v>181.0</v>
      </c>
      <c r="B182" s="239" t="s">
        <v>673</v>
      </c>
      <c r="C182" s="240" t="s">
        <v>674</v>
      </c>
      <c r="D182" s="215" t="s">
        <v>489</v>
      </c>
      <c r="E182" s="216">
        <v>100.0</v>
      </c>
      <c r="F182" s="11" t="s">
        <v>178</v>
      </c>
      <c r="G182" s="93" t="s">
        <v>1950</v>
      </c>
      <c r="H182" s="11" t="str">
        <f t="shared" si="12"/>
        <v/>
      </c>
      <c r="I182" s="246" t="s">
        <v>1836</v>
      </c>
    </row>
    <row r="183" ht="45.0" customHeight="1">
      <c r="A183" s="11">
        <v>182.0</v>
      </c>
      <c r="B183" s="239" t="s">
        <v>693</v>
      </c>
      <c r="C183" s="240" t="s">
        <v>694</v>
      </c>
      <c r="D183" s="215" t="s">
        <v>489</v>
      </c>
      <c r="E183" s="216">
        <v>100.0</v>
      </c>
      <c r="F183" s="11" t="s">
        <v>178</v>
      </c>
      <c r="G183" s="93" t="s">
        <v>1950</v>
      </c>
      <c r="H183" s="11" t="str">
        <f t="shared" si="12"/>
        <v/>
      </c>
      <c r="I183" s="246" t="s">
        <v>1836</v>
      </c>
    </row>
    <row r="184" ht="45.0" customHeight="1">
      <c r="A184" s="11">
        <v>183.0</v>
      </c>
      <c r="B184" s="239" t="s">
        <v>801</v>
      </c>
      <c r="C184" s="240" t="s">
        <v>802</v>
      </c>
      <c r="D184" s="215" t="s">
        <v>489</v>
      </c>
      <c r="E184" s="216">
        <v>100.0</v>
      </c>
      <c r="F184" s="11" t="s">
        <v>178</v>
      </c>
      <c r="G184" s="93" t="s">
        <v>1950</v>
      </c>
      <c r="H184" s="11" t="str">
        <f t="shared" si="12"/>
        <v/>
      </c>
      <c r="I184" s="246" t="s">
        <v>1837</v>
      </c>
    </row>
    <row r="185" ht="45.0" customHeight="1">
      <c r="A185" s="11">
        <v>184.0</v>
      </c>
      <c r="B185" s="239" t="s">
        <v>713</v>
      </c>
      <c r="C185" s="240" t="s">
        <v>714</v>
      </c>
      <c r="D185" s="215" t="s">
        <v>489</v>
      </c>
      <c r="E185" s="216">
        <v>100.0</v>
      </c>
      <c r="F185" s="11" t="s">
        <v>178</v>
      </c>
      <c r="G185" s="93" t="s">
        <v>1950</v>
      </c>
      <c r="H185" s="11" t="str">
        <f t="shared" si="12"/>
        <v/>
      </c>
      <c r="I185" s="246" t="s">
        <v>1837</v>
      </c>
    </row>
    <row r="186" ht="45.0" customHeight="1">
      <c r="A186" s="11">
        <v>185.0</v>
      </c>
      <c r="B186" s="116" t="s">
        <v>729</v>
      </c>
      <c r="C186" s="115" t="s">
        <v>730</v>
      </c>
      <c r="D186" s="215" t="s">
        <v>489</v>
      </c>
      <c r="E186" s="216">
        <v>100.0</v>
      </c>
      <c r="F186" s="11" t="s">
        <v>178</v>
      </c>
      <c r="G186" s="93" t="s">
        <v>1950</v>
      </c>
      <c r="H186" s="11" t="str">
        <f t="shared" si="12"/>
        <v/>
      </c>
      <c r="I186" s="246" t="s">
        <v>1838</v>
      </c>
    </row>
    <row r="187" ht="45.0" customHeight="1">
      <c r="A187" s="11">
        <v>186.0</v>
      </c>
      <c r="B187" s="116" t="s">
        <v>813</v>
      </c>
      <c r="C187" s="115" t="s">
        <v>814</v>
      </c>
      <c r="D187" s="215" t="s">
        <v>489</v>
      </c>
      <c r="E187" s="216">
        <v>100.0</v>
      </c>
      <c r="F187" s="11" t="s">
        <v>178</v>
      </c>
      <c r="G187" s="93" t="s">
        <v>1950</v>
      </c>
      <c r="H187" s="11" t="str">
        <f t="shared" si="12"/>
        <v/>
      </c>
      <c r="I187" s="246" t="s">
        <v>1838</v>
      </c>
    </row>
    <row r="188" ht="45.0" customHeight="1">
      <c r="A188" s="11">
        <v>187.0</v>
      </c>
      <c r="B188" s="116" t="s">
        <v>749</v>
      </c>
      <c r="C188" s="115" t="s">
        <v>750</v>
      </c>
      <c r="D188" s="215" t="s">
        <v>489</v>
      </c>
      <c r="E188" s="216">
        <v>100.0</v>
      </c>
      <c r="F188" s="11" t="s">
        <v>178</v>
      </c>
      <c r="G188" s="93" t="s">
        <v>1950</v>
      </c>
      <c r="H188" s="11" t="str">
        <f t="shared" si="12"/>
        <v/>
      </c>
      <c r="I188" s="246" t="s">
        <v>1839</v>
      </c>
    </row>
    <row r="189" ht="45.0" customHeight="1">
      <c r="A189" s="11">
        <v>188.0</v>
      </c>
      <c r="B189" s="116" t="s">
        <v>761</v>
      </c>
      <c r="C189" s="115" t="s">
        <v>762</v>
      </c>
      <c r="D189" s="215" t="s">
        <v>489</v>
      </c>
      <c r="E189" s="216">
        <v>100.0</v>
      </c>
      <c r="F189" s="11" t="s">
        <v>178</v>
      </c>
      <c r="G189" s="93" t="s">
        <v>1950</v>
      </c>
      <c r="H189" s="11" t="str">
        <f t="shared" si="12"/>
        <v/>
      </c>
      <c r="I189" s="246" t="s">
        <v>1839</v>
      </c>
    </row>
    <row r="190" ht="45.0" customHeight="1">
      <c r="A190" s="11">
        <v>189.0</v>
      </c>
      <c r="B190" s="116" t="s">
        <v>769</v>
      </c>
      <c r="C190" s="115" t="s">
        <v>770</v>
      </c>
      <c r="D190" s="215" t="s">
        <v>489</v>
      </c>
      <c r="E190" s="216">
        <v>100.0</v>
      </c>
      <c r="F190" s="11" t="s">
        <v>178</v>
      </c>
      <c r="G190" s="93" t="s">
        <v>1950</v>
      </c>
      <c r="H190" s="11" t="str">
        <f t="shared" si="12"/>
        <v/>
      </c>
      <c r="I190" s="246" t="s">
        <v>1840</v>
      </c>
    </row>
    <row r="191" ht="45.0" customHeight="1">
      <c r="A191" s="11">
        <v>190.0</v>
      </c>
      <c r="B191" s="116" t="s">
        <v>681</v>
      </c>
      <c r="C191" s="115" t="s">
        <v>682</v>
      </c>
      <c r="D191" s="215" t="s">
        <v>489</v>
      </c>
      <c r="E191" s="216">
        <v>100.0</v>
      </c>
      <c r="F191" s="11" t="s">
        <v>178</v>
      </c>
      <c r="G191" s="93" t="s">
        <v>1950</v>
      </c>
      <c r="H191" s="11" t="str">
        <f t="shared" si="12"/>
        <v/>
      </c>
      <c r="I191" s="246" t="s">
        <v>1840</v>
      </c>
    </row>
    <row r="192" ht="45.0" customHeight="1">
      <c r="A192" s="11">
        <v>191.0</v>
      </c>
      <c r="B192" s="11" t="s">
        <v>487</v>
      </c>
      <c r="C192" s="93" t="s">
        <v>488</v>
      </c>
      <c r="D192" s="215" t="s">
        <v>489</v>
      </c>
      <c r="E192" s="216">
        <v>20.0</v>
      </c>
      <c r="F192" s="11" t="s">
        <v>178</v>
      </c>
      <c r="G192" s="93" t="s">
        <v>1941</v>
      </c>
      <c r="H192" s="11" t="str">
        <f>IMAGE("https://m.media-amazon.com/images/I/51BByYhTjOL._SX425_.jpg",1)</f>
        <v/>
      </c>
      <c r="I192" s="11" t="s">
        <v>1802</v>
      </c>
    </row>
    <row r="193" ht="45.0" customHeight="1">
      <c r="A193" s="11">
        <v>192.0</v>
      </c>
      <c r="B193" s="11" t="s">
        <v>637</v>
      </c>
      <c r="C193" s="93" t="s">
        <v>1804</v>
      </c>
      <c r="D193" s="215" t="s">
        <v>489</v>
      </c>
      <c r="E193" s="216">
        <v>20.0</v>
      </c>
      <c r="F193" s="11" t="s">
        <v>178</v>
      </c>
      <c r="G193" s="93" t="s">
        <v>1941</v>
      </c>
      <c r="H193" s="11" t="str">
        <f>IMAGE("https://5.imimg.com/data5/FI/FV/DZ/SELLER-22718366/27-mm-3p-piezoelectric-buzzer-plate-500x500.jpg",1)</f>
        <v/>
      </c>
      <c r="I193" s="11" t="s">
        <v>1802</v>
      </c>
    </row>
    <row r="194" ht="45.0" customHeight="1">
      <c r="A194" s="11">
        <v>193.0</v>
      </c>
      <c r="B194" s="11" t="s">
        <v>825</v>
      </c>
      <c r="C194" s="93" t="s">
        <v>826</v>
      </c>
      <c r="D194" s="215" t="s">
        <v>489</v>
      </c>
      <c r="E194" s="216">
        <v>100.0</v>
      </c>
      <c r="F194" s="11" t="s">
        <v>178</v>
      </c>
      <c r="G194" s="93" t="s">
        <v>1951</v>
      </c>
      <c r="H194" s="11" t="str">
        <f>IMAGE("https://encrypted-tbn0.gstatic.com/images?q=tbn:ANd9GcR-ur1Cl_3Rq82qZ9KbLtZX3U_7cevDQWdUVA&amp;usqp=CAU",1)</f>
        <v/>
      </c>
      <c r="I194" s="11" t="s">
        <v>1857</v>
      </c>
    </row>
    <row r="195" ht="45.0" customHeight="1">
      <c r="A195" s="11">
        <v>194.0</v>
      </c>
      <c r="B195" s="11" t="s">
        <v>829</v>
      </c>
      <c r="C195" s="93" t="s">
        <v>830</v>
      </c>
      <c r="D195" s="215" t="s">
        <v>489</v>
      </c>
      <c r="E195" s="216">
        <v>50.0</v>
      </c>
      <c r="F195" s="11" t="s">
        <v>178</v>
      </c>
      <c r="G195" s="93" t="s">
        <v>1951</v>
      </c>
      <c r="H195" s="11" t="str">
        <f>IMAGE("https://m.media-amazon.com/images/I/51khY6g46VL._AC_SL1500_.jpg",1)</f>
        <v/>
      </c>
      <c r="I195" s="221" t="s">
        <v>1859</v>
      </c>
    </row>
    <row r="196" ht="45.0" customHeight="1">
      <c r="A196" s="11">
        <v>195.0</v>
      </c>
      <c r="B196" s="11" t="s">
        <v>833</v>
      </c>
      <c r="C196" s="93" t="s">
        <v>834</v>
      </c>
      <c r="D196" s="215" t="s">
        <v>489</v>
      </c>
      <c r="E196" s="216">
        <v>50.0</v>
      </c>
      <c r="F196" s="11" t="s">
        <v>178</v>
      </c>
      <c r="G196" s="93" t="s">
        <v>1951</v>
      </c>
      <c r="H196" s="11" t="str">
        <f>IMAGE("https://etstore.in/wp-content/uploads/2021/12/IMG_20201130_100203.png",1)</f>
        <v/>
      </c>
      <c r="I196" s="247" t="s">
        <v>1834</v>
      </c>
    </row>
    <row r="197" ht="45.0" customHeight="1">
      <c r="A197" s="11">
        <v>196.0</v>
      </c>
      <c r="B197" s="11" t="s">
        <v>837</v>
      </c>
      <c r="C197" s="93" t="s">
        <v>838</v>
      </c>
      <c r="D197" s="215" t="s">
        <v>489</v>
      </c>
      <c r="E197" s="216">
        <v>50.0</v>
      </c>
      <c r="F197" s="11" t="s">
        <v>178</v>
      </c>
      <c r="G197" s="93" t="s">
        <v>1951</v>
      </c>
      <c r="H197" s="11" t="str">
        <f>IMAGE("https://m.media-amazon.com/images/I/71UDXftBeaL._SX466_.jpg",1)</f>
        <v/>
      </c>
      <c r="I197" s="244" t="s">
        <v>1861</v>
      </c>
    </row>
    <row r="198" ht="45.0" customHeight="1">
      <c r="A198" s="11">
        <v>197.0</v>
      </c>
      <c r="B198" s="11" t="s">
        <v>841</v>
      </c>
      <c r="C198" s="93" t="s">
        <v>842</v>
      </c>
      <c r="D198" s="215" t="s">
        <v>489</v>
      </c>
      <c r="E198" s="216">
        <v>50.0</v>
      </c>
      <c r="F198" s="11" t="s">
        <v>178</v>
      </c>
      <c r="G198" s="93" t="s">
        <v>1951</v>
      </c>
      <c r="H198" s="11" t="str">
        <f>IMAGE("https://m.media-amazon.com/images/I/4116hBQx0XL._SX425_.jpg",1)</f>
        <v/>
      </c>
      <c r="I198" s="245" t="s">
        <v>1833</v>
      </c>
    </row>
    <row r="199" ht="45.0" customHeight="1">
      <c r="A199" s="11">
        <v>198.0</v>
      </c>
      <c r="B199" s="11" t="s">
        <v>849</v>
      </c>
      <c r="C199" s="93" t="s">
        <v>850</v>
      </c>
      <c r="D199" s="215" t="s">
        <v>489</v>
      </c>
      <c r="E199" s="216">
        <v>100.0</v>
      </c>
      <c r="F199" s="11" t="s">
        <v>178</v>
      </c>
      <c r="G199" s="93" t="s">
        <v>1953</v>
      </c>
      <c r="H199" s="11" t="str">
        <f>IMAGE("https://5.imimg.com/data5/SELLER/Default/2020/8/IJ/BD/HA/84543611/2n3904-transistor-500x500.jpg",1)</f>
        <v/>
      </c>
      <c r="I199" s="246" t="s">
        <v>1847</v>
      </c>
    </row>
    <row r="200" ht="45.0" customHeight="1">
      <c r="A200" s="11">
        <v>199.0</v>
      </c>
      <c r="B200" s="11" t="s">
        <v>853</v>
      </c>
      <c r="C200" s="93" t="s">
        <v>854</v>
      </c>
      <c r="D200" s="215" t="s">
        <v>489</v>
      </c>
      <c r="E200" s="216">
        <v>100.0</v>
      </c>
      <c r="F200" s="11" t="s">
        <v>178</v>
      </c>
      <c r="G200" s="93" t="s">
        <v>1953</v>
      </c>
      <c r="H200" s="11" t="str">
        <f>IMAGE("https://rukminim2.flixcart.com/image/832/832/k44hksw0/transistor/d/m/d/100-pics-bc547-npn-transistor-sme-original-imafn3dfw2fqwgxg.jpeg?q=70",1)</f>
        <v/>
      </c>
      <c r="I200" s="249" t="s">
        <v>1848</v>
      </c>
    </row>
    <row r="201" ht="45.0" customHeight="1">
      <c r="A201" s="11">
        <v>200.0</v>
      </c>
      <c r="B201" s="11" t="s">
        <v>857</v>
      </c>
      <c r="C201" s="93" t="s">
        <v>858</v>
      </c>
      <c r="D201" s="215" t="s">
        <v>489</v>
      </c>
      <c r="E201" s="216">
        <v>100.0</v>
      </c>
      <c r="F201" s="11" t="s">
        <v>178</v>
      </c>
      <c r="G201" s="93" t="s">
        <v>1953</v>
      </c>
      <c r="H201" s="11" t="str">
        <f>IMAGE("https://m.media-amazon.com/images/W/MEDIAX_792452-T2/images/I/31po6g2eu+L.jpg",1)</f>
        <v/>
      </c>
      <c r="I201" s="11" t="s">
        <v>1848</v>
      </c>
    </row>
    <row r="202" ht="45.0" customHeight="1">
      <c r="A202" s="11">
        <v>201.0</v>
      </c>
      <c r="B202" s="11" t="s">
        <v>861</v>
      </c>
      <c r="C202" s="93" t="s">
        <v>862</v>
      </c>
      <c r="D202" s="215" t="s">
        <v>489</v>
      </c>
      <c r="E202" s="216">
        <v>100.0</v>
      </c>
      <c r="F202" s="11" t="s">
        <v>178</v>
      </c>
      <c r="G202" s="93" t="s">
        <v>1953</v>
      </c>
      <c r="H202" s="11" t="str">
        <f>IMAGE("https://5.imimg.com/data5/MA/XW/GW/SELLER-84581978/cdil-transistor-bc557-500x500.jpg",1)</f>
        <v/>
      </c>
      <c r="I202" s="11" t="s">
        <v>1848</v>
      </c>
    </row>
    <row r="203" ht="45.0" customHeight="1">
      <c r="A203" s="11">
        <v>202.0</v>
      </c>
      <c r="B203" s="11" t="s">
        <v>865</v>
      </c>
      <c r="C203" s="93" t="s">
        <v>866</v>
      </c>
      <c r="D203" s="215" t="s">
        <v>489</v>
      </c>
      <c r="E203" s="216">
        <v>100.0</v>
      </c>
      <c r="F203" s="11" t="s">
        <v>178</v>
      </c>
      <c r="G203" s="93" t="s">
        <v>1953</v>
      </c>
      <c r="H203" s="11" t="str">
        <f>IMAGE("https://www.chipmart.in/wp-content/uploads/2022/08/SL100-NPN-General-Purpose-Medium-Power-Transistor-50V-500mA.png",1)</f>
        <v/>
      </c>
      <c r="I203" s="245" t="s">
        <v>1849</v>
      </c>
    </row>
    <row r="204" ht="45.0" customHeight="1">
      <c r="A204" s="11">
        <v>203.0</v>
      </c>
      <c r="B204" s="11" t="s">
        <v>869</v>
      </c>
      <c r="C204" s="93" t="s">
        <v>870</v>
      </c>
      <c r="D204" s="215" t="s">
        <v>489</v>
      </c>
      <c r="E204" s="216">
        <v>100.0</v>
      </c>
      <c r="F204" s="11" t="s">
        <v>178</v>
      </c>
      <c r="G204" s="93" t="s">
        <v>1953</v>
      </c>
      <c r="H204" s="11" t="str">
        <f>IMAGE("https://5.imimg.com/data5/WJ/EW/MY-25117786/2n2222-npn-transistors-500x500.jpg",1)</f>
        <v/>
      </c>
      <c r="I204" s="11" t="s">
        <v>1847</v>
      </c>
    </row>
    <row r="205" ht="45.0" customHeight="1">
      <c r="A205" s="11">
        <v>204.0</v>
      </c>
      <c r="B205" s="11"/>
      <c r="C205" s="270" t="s">
        <v>2157</v>
      </c>
      <c r="D205" s="269" t="s">
        <v>489</v>
      </c>
      <c r="E205" s="281">
        <v>100.0</v>
      </c>
      <c r="F205" s="221" t="s">
        <v>178</v>
      </c>
      <c r="G205" s="93"/>
      <c r="H205" s="11"/>
      <c r="I205" s="221" t="s">
        <v>2158</v>
      </c>
    </row>
    <row r="206" ht="45.0" customHeight="1">
      <c r="A206" s="11">
        <v>205.0</v>
      </c>
      <c r="B206" s="271"/>
      <c r="C206" s="272" t="s">
        <v>2163</v>
      </c>
      <c r="D206" s="273" t="s">
        <v>489</v>
      </c>
      <c r="E206" s="274">
        <v>3.0</v>
      </c>
      <c r="F206" s="221" t="s">
        <v>178</v>
      </c>
      <c r="G206" s="275"/>
      <c r="H206" s="275"/>
      <c r="I206" s="275"/>
      <c r="J206" s="276"/>
    </row>
    <row r="207" ht="45.0" customHeight="1">
      <c r="A207" s="11">
        <v>206.0</v>
      </c>
      <c r="B207" s="271"/>
      <c r="C207" s="272" t="s">
        <v>2164</v>
      </c>
      <c r="D207" s="273" t="s">
        <v>489</v>
      </c>
      <c r="E207" s="274">
        <v>20.0</v>
      </c>
      <c r="F207" s="221" t="s">
        <v>178</v>
      </c>
      <c r="G207" s="275"/>
      <c r="H207" s="275"/>
      <c r="I207" s="275"/>
      <c r="J207" s="276"/>
    </row>
    <row r="208" ht="45.0" customHeight="1">
      <c r="A208" s="11">
        <v>207.0</v>
      </c>
      <c r="B208" s="271"/>
      <c r="C208" s="272" t="s">
        <v>2165</v>
      </c>
      <c r="D208" s="273" t="s">
        <v>489</v>
      </c>
      <c r="E208" s="274">
        <v>4.0</v>
      </c>
      <c r="F208" s="221" t="s">
        <v>178</v>
      </c>
      <c r="G208" s="275"/>
      <c r="H208" s="275"/>
      <c r="I208" s="275"/>
      <c r="J208" s="276"/>
    </row>
    <row r="209" ht="45.0" customHeight="1">
      <c r="A209" s="11">
        <v>208.0</v>
      </c>
      <c r="B209" s="271"/>
      <c r="C209" s="277" t="s">
        <v>2166</v>
      </c>
      <c r="D209" s="278" t="s">
        <v>489</v>
      </c>
      <c r="E209" s="279">
        <v>2.0</v>
      </c>
      <c r="F209" s="221" t="s">
        <v>178</v>
      </c>
      <c r="G209" s="275"/>
      <c r="H209" s="275"/>
      <c r="I209" s="275"/>
      <c r="J209" s="276"/>
    </row>
    <row r="210" ht="45.0" customHeight="1">
      <c r="A210" s="11">
        <v>209.0</v>
      </c>
      <c r="B210" s="11" t="s">
        <v>889</v>
      </c>
      <c r="C210" s="93" t="s">
        <v>1754</v>
      </c>
      <c r="D210" s="215" t="s">
        <v>891</v>
      </c>
      <c r="E210" s="216">
        <v>10.0</v>
      </c>
      <c r="F210" s="11" t="s">
        <v>178</v>
      </c>
      <c r="G210" s="93" t="s">
        <v>1947</v>
      </c>
      <c r="H210" s="11" t="str">
        <f>IMAGE("https://encrypted-tbn0.gstatic.com/images?q=tbn:ANd9GcQ9HdcUbkhENGQnNmIni640zFk33IAUdUx_x0uluq_AFf1Hud04FBhhZQFZXM2xrHw_7W4&amp;usqp=CAU",1)</f>
        <v/>
      </c>
      <c r="I210" s="11" t="s">
        <v>1755</v>
      </c>
    </row>
    <row r="211" ht="45.0" customHeight="1">
      <c r="A211" s="11">
        <v>210.0</v>
      </c>
      <c r="B211" s="11" t="s">
        <v>894</v>
      </c>
      <c r="C211" s="93" t="s">
        <v>895</v>
      </c>
      <c r="D211" s="215" t="s">
        <v>891</v>
      </c>
      <c r="E211" s="216">
        <v>10.0</v>
      </c>
      <c r="F211" s="11" t="s">
        <v>178</v>
      </c>
      <c r="G211" s="93" t="s">
        <v>1947</v>
      </c>
      <c r="H211" s="11" t="str">
        <f>IMAGE("https://m.media-amazon.com/images/W/MEDIAX_792452-T2/images/I/612Fb4y5P6S._SL1100_.jpg",1)</f>
        <v/>
      </c>
      <c r="I211" s="11" t="s">
        <v>1756</v>
      </c>
    </row>
    <row r="212" ht="45.0" customHeight="1">
      <c r="A212" s="11">
        <v>211.0</v>
      </c>
      <c r="B212" s="222" t="s">
        <v>898</v>
      </c>
      <c r="C212" s="232" t="s">
        <v>899</v>
      </c>
      <c r="D212" s="233" t="s">
        <v>891</v>
      </c>
      <c r="E212" s="222">
        <v>1.0</v>
      </c>
      <c r="F212" s="222" t="s">
        <v>178</v>
      </c>
      <c r="G212" s="232" t="s">
        <v>1947</v>
      </c>
      <c r="H212" s="222" t="str">
        <f>IMAGE("https://robu.in/wp-content/uploads/2021/05/DC-DC-Boost-Module-0.9V5V-to-5V-600MA-USB-Step-up-Board-5V-Output-1.png",1)</f>
        <v/>
      </c>
      <c r="I212" s="222"/>
    </row>
    <row r="213" ht="45.0" customHeight="1">
      <c r="A213" s="11">
        <v>212.0</v>
      </c>
      <c r="B213" s="11" t="s">
        <v>922</v>
      </c>
      <c r="C213" s="93" t="s">
        <v>923</v>
      </c>
      <c r="D213" s="215" t="s">
        <v>891</v>
      </c>
      <c r="E213" s="216">
        <v>5.0</v>
      </c>
      <c r="F213" s="11" t="s">
        <v>178</v>
      </c>
      <c r="G213" s="93" t="s">
        <v>1947</v>
      </c>
      <c r="H213" s="11" t="str">
        <f>IMAGE("https://robu.in/wp-content/uploads/2017/06/robu-3-13.jpg",1)</f>
        <v/>
      </c>
      <c r="I213" s="250" t="s">
        <v>2090</v>
      </c>
    </row>
    <row r="214" ht="45.0" customHeight="1">
      <c r="A214" s="11">
        <v>213.0</v>
      </c>
      <c r="B214" s="11" t="s">
        <v>939</v>
      </c>
      <c r="C214" s="93" t="s">
        <v>940</v>
      </c>
      <c r="D214" s="215" t="s">
        <v>891</v>
      </c>
      <c r="E214" s="216">
        <v>5.0</v>
      </c>
      <c r="F214" s="11" t="s">
        <v>178</v>
      </c>
      <c r="G214" s="93" t="s">
        <v>1947</v>
      </c>
      <c r="H214" s="11" t="str">
        <f>IMAGE("https://robu.in/wp-content/uploads/2016/03/Ublox-Neo-6M-GPS.jpg",1)</f>
        <v/>
      </c>
      <c r="I214" s="11" t="s">
        <v>1814</v>
      </c>
    </row>
    <row r="215" ht="45.0" customHeight="1">
      <c r="A215" s="11">
        <v>214.0</v>
      </c>
      <c r="B215" s="11" t="s">
        <v>942</v>
      </c>
      <c r="C215" s="93" t="s">
        <v>943</v>
      </c>
      <c r="D215" s="215" t="s">
        <v>891</v>
      </c>
      <c r="E215" s="216">
        <v>5.0</v>
      </c>
      <c r="F215" s="11" t="s">
        <v>178</v>
      </c>
      <c r="G215" s="93" t="s">
        <v>1947</v>
      </c>
      <c r="H215" s="11" t="str">
        <f>IMAGE("https://m.media-amazon.com/images/W/MEDIAX_792452-T2/images/I/51cWZAAMiWL._SL1000_.jpg",1)</f>
        <v/>
      </c>
      <c r="I215" s="11" t="s">
        <v>1815</v>
      </c>
    </row>
    <row r="216" ht="45.0" customHeight="1">
      <c r="A216" s="11">
        <v>215.0</v>
      </c>
      <c r="B216" s="11" t="s">
        <v>946</v>
      </c>
      <c r="C216" s="93" t="s">
        <v>947</v>
      </c>
      <c r="D216" s="215" t="s">
        <v>891</v>
      </c>
      <c r="E216" s="216">
        <v>5.0</v>
      </c>
      <c r="F216" s="11" t="s">
        <v>178</v>
      </c>
      <c r="G216" s="93" t="s">
        <v>1947</v>
      </c>
      <c r="H216" s="11" t="str">
        <f>IMAGE("https://m.media-amazon.com/images/W/MEDIAX_792452-T2/images/I/61wbYlIdx0L._SL1500_.jpg",1)</f>
        <v/>
      </c>
      <c r="I216" s="11" t="s">
        <v>1819</v>
      </c>
    </row>
    <row r="217" ht="45.0" customHeight="1">
      <c r="A217" s="11">
        <v>216.0</v>
      </c>
      <c r="B217" s="11" t="s">
        <v>949</v>
      </c>
      <c r="C217" s="93" t="s">
        <v>950</v>
      </c>
      <c r="D217" s="215" t="s">
        <v>891</v>
      </c>
      <c r="E217" s="216">
        <v>10.0</v>
      </c>
      <c r="F217" s="11" t="s">
        <v>178</v>
      </c>
      <c r="G217" s="93" t="s">
        <v>1947</v>
      </c>
      <c r="H217" s="11" t="str">
        <f>IMAGE("https://5.imimg.com/data5/SELLER/Default/2022/9/HX/YZ/GJ/43948449/micro-sd-card-adapter-with-level-shifter-500x500.png",1)</f>
        <v/>
      </c>
      <c r="I217" s="11" t="s">
        <v>1809</v>
      </c>
    </row>
    <row r="218" ht="45.0" customHeight="1">
      <c r="A218" s="11">
        <v>217.0</v>
      </c>
      <c r="B218" s="11" t="s">
        <v>953</v>
      </c>
      <c r="C218" s="93" t="s">
        <v>1958</v>
      </c>
      <c r="D218" s="215" t="s">
        <v>891</v>
      </c>
      <c r="E218" s="216">
        <v>10.0</v>
      </c>
      <c r="F218" s="11" t="s">
        <v>178</v>
      </c>
      <c r="G218" s="93" t="s">
        <v>1947</v>
      </c>
      <c r="H218" s="11" t="str">
        <f>IMAGE("https://robu.in/wp-content/uploads/2020/09/L298P-Motor-Driver-Shield-for-Arduino-3.jpg",1)</f>
        <v/>
      </c>
      <c r="I218" s="221" t="s">
        <v>2061</v>
      </c>
    </row>
    <row r="219" ht="45.0" customHeight="1">
      <c r="A219" s="11">
        <v>218.0</v>
      </c>
      <c r="B219" s="11" t="s">
        <v>957</v>
      </c>
      <c r="C219" s="93" t="s">
        <v>1760</v>
      </c>
      <c r="D219" s="215" t="s">
        <v>891</v>
      </c>
      <c r="E219" s="216">
        <v>5.0</v>
      </c>
      <c r="F219" s="11" t="s">
        <v>178</v>
      </c>
      <c r="G219" s="93" t="s">
        <v>1947</v>
      </c>
      <c r="H219" s="11" t="str">
        <f>IMAGE("https://m.media-amazon.com/images/I/41Y-5b4TQcL.jpg",1)</f>
        <v/>
      </c>
      <c r="I219" s="11" t="s">
        <v>1761</v>
      </c>
    </row>
    <row r="220" ht="45.0" customHeight="1">
      <c r="A220" s="11">
        <v>219.0</v>
      </c>
      <c r="B220" s="11" t="s">
        <v>961</v>
      </c>
      <c r="C220" s="93" t="s">
        <v>962</v>
      </c>
      <c r="D220" s="215" t="s">
        <v>891</v>
      </c>
      <c r="E220" s="216">
        <v>10.0</v>
      </c>
      <c r="F220" s="11" t="s">
        <v>178</v>
      </c>
      <c r="G220" s="93" t="s">
        <v>1947</v>
      </c>
      <c r="H220" s="11" t="str">
        <f>IMAGE("https://robu.in/wp-content/uploads/2016/02/617hpF6cJbL._SL1000_.jpg",1)</f>
        <v/>
      </c>
      <c r="I220" s="221" t="s">
        <v>2093</v>
      </c>
    </row>
    <row r="221" ht="45.0" customHeight="1">
      <c r="A221" s="11">
        <v>220.0</v>
      </c>
      <c r="B221" s="11" t="s">
        <v>918</v>
      </c>
      <c r="C221" s="93" t="s">
        <v>1820</v>
      </c>
      <c r="D221" s="215" t="s">
        <v>891</v>
      </c>
      <c r="E221" s="216">
        <v>10.0</v>
      </c>
      <c r="F221" s="11" t="s">
        <v>178</v>
      </c>
      <c r="G221" s="93" t="s">
        <v>1905</v>
      </c>
      <c r="H221" s="11" t="str">
        <f>IMAGE("https://rukminim1.flixcart.com/image/850/1000/k62i5jk0/solar-panel/7/g/q/diy-projects-6v-80ma-wire-attached-mini-power-solar-cells-for-original-imafzm93vcqqnsat.jpeg?q=20")</f>
        <v/>
      </c>
      <c r="I221" s="221" t="s">
        <v>1830</v>
      </c>
    </row>
    <row r="222" ht="45.0" customHeight="1">
      <c r="A222" s="11">
        <v>221.0</v>
      </c>
      <c r="B222" s="11" t="s">
        <v>933</v>
      </c>
      <c r="C222" s="93" t="s">
        <v>934</v>
      </c>
      <c r="D222" s="215" t="s">
        <v>891</v>
      </c>
      <c r="E222" s="11">
        <v>15.0</v>
      </c>
      <c r="F222" s="11" t="s">
        <v>178</v>
      </c>
      <c r="G222" s="93" t="s">
        <v>1909</v>
      </c>
      <c r="H222" s="11" t="str">
        <f>IMAGE("https://robu.in/wp-content/uploads/2020/10/TP4056-1A-Li-ion-lithium-Battery-Charging-Module-With-Current-Protection-Type-C-2.png",1)</f>
        <v/>
      </c>
      <c r="I222" s="222"/>
    </row>
    <row r="223" ht="45.0" customHeight="1">
      <c r="A223" s="11">
        <v>222.0</v>
      </c>
      <c r="B223" s="11" t="s">
        <v>906</v>
      </c>
      <c r="C223" s="93" t="s">
        <v>1955</v>
      </c>
      <c r="D223" s="215" t="s">
        <v>891</v>
      </c>
      <c r="E223" s="216">
        <v>10.0</v>
      </c>
      <c r="F223" s="11" t="s">
        <v>178</v>
      </c>
      <c r="G223" s="93" t="s">
        <v>1956</v>
      </c>
      <c r="H223" s="11" t="str">
        <f>IMAGE("https://5.imimg.com/data5/II/UT/SO/SELLER-1968074/16x2-lcd-display-500x500.jpg",1)</f>
        <v/>
      </c>
      <c r="I223" s="221" t="s">
        <v>2088</v>
      </c>
    </row>
    <row r="224" ht="45.0" customHeight="1">
      <c r="A224" s="11">
        <v>223.0</v>
      </c>
      <c r="B224" s="11" t="s">
        <v>914</v>
      </c>
      <c r="C224" s="93" t="s">
        <v>1811</v>
      </c>
      <c r="D224" s="215" t="s">
        <v>891</v>
      </c>
      <c r="E224" s="216">
        <v>10.0</v>
      </c>
      <c r="F224" s="11" t="s">
        <v>178</v>
      </c>
      <c r="G224" s="93" t="s">
        <v>1956</v>
      </c>
      <c r="H224" s="11" t="str">
        <f>IMAGE("https://m.media-amazon.com/images/I/51l+Qhaiu3L._SL1000_.jpg",1)</f>
        <v/>
      </c>
      <c r="I224" s="11" t="s">
        <v>1812</v>
      </c>
    </row>
    <row r="225" ht="45.0" customHeight="1">
      <c r="A225" s="11">
        <v>224.0</v>
      </c>
      <c r="B225" s="11" t="s">
        <v>910</v>
      </c>
      <c r="C225" s="93" t="s">
        <v>911</v>
      </c>
      <c r="D225" s="215" t="s">
        <v>891</v>
      </c>
      <c r="E225" s="216">
        <v>20.0</v>
      </c>
      <c r="F225" s="11" t="s">
        <v>178</v>
      </c>
      <c r="G225" s="93" t="s">
        <v>1903</v>
      </c>
      <c r="H225" s="11" t="str">
        <f>IMAGE("https://ashokaonlineshop.in/wp-content/uploads/2022/11/650nm-Mini-Laser-Dot-Diode-Module1.jpeg",1)</f>
        <v/>
      </c>
      <c r="I225" s="11" t="s">
        <v>1752</v>
      </c>
    </row>
    <row r="226" ht="45.0" customHeight="1">
      <c r="A226" s="11">
        <v>225.0</v>
      </c>
      <c r="B226" s="11" t="s">
        <v>902</v>
      </c>
      <c r="C226" s="93" t="s">
        <v>903</v>
      </c>
      <c r="D226" s="215" t="s">
        <v>891</v>
      </c>
      <c r="E226" s="216">
        <v>5.0</v>
      </c>
      <c r="F226" s="11" t="s">
        <v>178</v>
      </c>
      <c r="G226" s="93" t="s">
        <v>1954</v>
      </c>
      <c r="H226" s="11" t="str">
        <f>IMAGE("https://makerbazar.in/cdn/shop/files/6015fanwithwire_600x.jpg?v=1695792315",1)</f>
        <v/>
      </c>
      <c r="I226" s="11" t="s">
        <v>2087</v>
      </c>
    </row>
    <row r="227" ht="45.0" customHeight="1">
      <c r="A227" s="11">
        <v>226.0</v>
      </c>
      <c r="B227" s="11" t="s">
        <v>929</v>
      </c>
      <c r="C227" s="93" t="s">
        <v>930</v>
      </c>
      <c r="D227" s="215" t="s">
        <v>891</v>
      </c>
      <c r="E227" s="216">
        <v>10.0</v>
      </c>
      <c r="F227" s="11" t="s">
        <v>178</v>
      </c>
      <c r="G227" s="93" t="s">
        <v>1954</v>
      </c>
      <c r="H227" s="11" t="str">
        <f>IMAGE("https://5.imimg.com/data5/SELLER/Default/2023/2/OP/GV/HH/182244990/water-pump-module-1000x1000.jpg",1)</f>
        <v/>
      </c>
      <c r="I227" s="11" t="s">
        <v>2092</v>
      </c>
    </row>
    <row r="228" ht="45.0" customHeight="1">
      <c r="A228" s="11">
        <v>227.0</v>
      </c>
      <c r="B228" s="11" t="s">
        <v>926</v>
      </c>
      <c r="C228" s="93" t="s">
        <v>927</v>
      </c>
      <c r="D228" s="215" t="s">
        <v>891</v>
      </c>
      <c r="E228" s="216">
        <v>10.0</v>
      </c>
      <c r="F228" s="11" t="s">
        <v>178</v>
      </c>
      <c r="G228" s="93" t="s">
        <v>1941</v>
      </c>
      <c r="H228" s="11" t="str">
        <f>IMAGE("https://robu.in/wp-content/uploads/2021/05/0.5W-8OHM-Trumpet-Diameter-36mm-1.jpeg",1)</f>
        <v/>
      </c>
      <c r="I228" s="11" t="s">
        <v>2091</v>
      </c>
    </row>
    <row r="229" ht="45.0" customHeight="1">
      <c r="A229" s="11">
        <v>228.0</v>
      </c>
      <c r="B229" s="271"/>
      <c r="C229" s="272" t="s">
        <v>2167</v>
      </c>
      <c r="D229" s="273" t="s">
        <v>891</v>
      </c>
      <c r="E229" s="274">
        <v>10.0</v>
      </c>
      <c r="F229" s="280" t="s">
        <v>178</v>
      </c>
      <c r="G229" s="275"/>
      <c r="H229" s="275"/>
      <c r="I229" s="275"/>
      <c r="J229" s="276"/>
    </row>
    <row r="230" ht="45.0" customHeight="1">
      <c r="A230" s="11">
        <v>229.0</v>
      </c>
      <c r="B230" s="271"/>
      <c r="C230" s="272" t="s">
        <v>2168</v>
      </c>
      <c r="D230" s="273" t="s">
        <v>891</v>
      </c>
      <c r="E230" s="274">
        <v>10.0</v>
      </c>
      <c r="F230" s="280" t="s">
        <v>178</v>
      </c>
      <c r="G230" s="275"/>
      <c r="H230" s="275"/>
      <c r="I230" s="275"/>
      <c r="J230" s="276"/>
    </row>
    <row r="231" ht="45.0" customHeight="1">
      <c r="A231" s="11">
        <v>230.0</v>
      </c>
      <c r="B231" s="271"/>
      <c r="C231" s="272" t="s">
        <v>2169</v>
      </c>
      <c r="D231" s="273" t="s">
        <v>891</v>
      </c>
      <c r="E231" s="274">
        <v>10.0</v>
      </c>
      <c r="F231" s="280" t="s">
        <v>178</v>
      </c>
      <c r="G231" s="275"/>
      <c r="H231" s="275"/>
      <c r="I231" s="275"/>
      <c r="J231" s="276"/>
    </row>
    <row r="232" ht="45.0" customHeight="1">
      <c r="A232" s="11">
        <v>231.0</v>
      </c>
      <c r="B232" s="271"/>
      <c r="C232" s="272" t="s">
        <v>2170</v>
      </c>
      <c r="D232" s="273" t="s">
        <v>891</v>
      </c>
      <c r="E232" s="274">
        <v>4.0</v>
      </c>
      <c r="F232" s="280" t="s">
        <v>178</v>
      </c>
      <c r="G232" s="275"/>
      <c r="H232" s="275"/>
      <c r="I232" s="275"/>
      <c r="J232" s="276"/>
    </row>
    <row r="233" ht="45.0" customHeight="1">
      <c r="A233" s="11">
        <v>232.0</v>
      </c>
      <c r="B233" s="11" t="s">
        <v>1512</v>
      </c>
      <c r="C233" s="93" t="s">
        <v>1767</v>
      </c>
      <c r="D233" s="269" t="s">
        <v>891</v>
      </c>
      <c r="E233" s="216">
        <v>10.0</v>
      </c>
      <c r="F233" s="11" t="s">
        <v>178</v>
      </c>
      <c r="G233" s="215" t="s">
        <v>1514</v>
      </c>
      <c r="H233" s="11" t="str">
        <f>IMAGE("https://m.media-amazon.com/images/I/61PFvg8BbeL._SL1500_.jpg",1)</f>
        <v/>
      </c>
      <c r="I233" s="11" t="s">
        <v>1768</v>
      </c>
    </row>
    <row r="234" ht="45.0" customHeight="1">
      <c r="A234" s="11">
        <v>233.0</v>
      </c>
      <c r="B234" s="11" t="s">
        <v>1248</v>
      </c>
      <c r="C234" s="93" t="s">
        <v>1249</v>
      </c>
      <c r="D234" s="215" t="s">
        <v>1250</v>
      </c>
      <c r="E234" s="216">
        <v>7.0</v>
      </c>
      <c r="F234" s="11" t="s">
        <v>178</v>
      </c>
      <c r="G234" s="93" t="s">
        <v>1964</v>
      </c>
      <c r="H234" s="11" t="str">
        <f>IMAGE("https://www.atel-electronics.eu/pic_cache/10/06158.jpg",1)</f>
        <v/>
      </c>
      <c r="I234" s="11" t="s">
        <v>2123</v>
      </c>
    </row>
    <row r="235" ht="45.0" customHeight="1">
      <c r="A235" s="11">
        <v>234.0</v>
      </c>
      <c r="B235" s="11" t="s">
        <v>1253</v>
      </c>
      <c r="C235" s="93" t="s">
        <v>1254</v>
      </c>
      <c r="D235" s="215" t="s">
        <v>1250</v>
      </c>
      <c r="E235" s="216">
        <v>1.0</v>
      </c>
      <c r="F235" s="11" t="s">
        <v>178</v>
      </c>
      <c r="G235" s="93" t="s">
        <v>1964</v>
      </c>
      <c r="H235" s="11" t="str">
        <f>IMAGE("https://in.element14.com/productimages/large/en_GB/IN07444-40.jpg",1)</f>
        <v/>
      </c>
      <c r="I235" s="11" t="s">
        <v>2123</v>
      </c>
    </row>
    <row r="236" ht="45.0" customHeight="1">
      <c r="A236" s="11">
        <v>235.0</v>
      </c>
      <c r="B236" s="11" t="s">
        <v>1257</v>
      </c>
      <c r="C236" s="93" t="s">
        <v>1258</v>
      </c>
      <c r="D236" s="215" t="s">
        <v>1250</v>
      </c>
      <c r="E236" s="216">
        <v>1.0</v>
      </c>
      <c r="F236" s="11" t="s">
        <v>178</v>
      </c>
      <c r="G236" s="93" t="s">
        <v>1964</v>
      </c>
      <c r="H236" s="11" t="str">
        <f>IMAGE("https://m.media-amazon.com/images/I/51LxodXCiyS._SL1000_.jpg",1)</f>
        <v/>
      </c>
      <c r="I236" s="11" t="s">
        <v>2104</v>
      </c>
    </row>
    <row r="237" ht="45.0" customHeight="1">
      <c r="A237" s="11">
        <v>236.0</v>
      </c>
      <c r="B237" s="11" t="s">
        <v>1261</v>
      </c>
      <c r="C237" s="93" t="s">
        <v>1262</v>
      </c>
      <c r="D237" s="215" t="s">
        <v>1250</v>
      </c>
      <c r="E237" s="216">
        <v>1.0</v>
      </c>
      <c r="F237" s="11" t="s">
        <v>178</v>
      </c>
      <c r="G237" s="93" t="s">
        <v>1907</v>
      </c>
      <c r="H237" s="11" t="str">
        <f>IMAGE("https://m.media-amazon.com/images/I/61WLNOGJ4JS.jpg")</f>
        <v/>
      </c>
      <c r="I237" s="222" t="s">
        <v>2104</v>
      </c>
    </row>
    <row r="238" ht="45.0" customHeight="1">
      <c r="A238" s="11">
        <v>237.0</v>
      </c>
      <c r="B238" s="11" t="s">
        <v>1265</v>
      </c>
      <c r="C238" s="93" t="s">
        <v>1266</v>
      </c>
      <c r="D238" s="215" t="s">
        <v>1250</v>
      </c>
      <c r="E238" s="216">
        <v>1.0</v>
      </c>
      <c r="F238" s="11" t="s">
        <v>178</v>
      </c>
      <c r="G238" s="93" t="s">
        <v>1628</v>
      </c>
      <c r="H238" s="11" t="str">
        <f>IMAGE("https://cdn.shopify.com/s/files/1/0559/1970/6265/products/4_61325b1b-840f-41dd-a6d9-0ddb00c5c7bc_1024x1024@2x.png?v=1670588177",1)</f>
        <v/>
      </c>
      <c r="I238" s="11" t="s">
        <v>2104</v>
      </c>
    </row>
    <row r="239" ht="45.0" customHeight="1">
      <c r="A239" s="11">
        <v>238.0</v>
      </c>
      <c r="B239" s="11" t="s">
        <v>1328</v>
      </c>
      <c r="C239" s="93" t="s">
        <v>1329</v>
      </c>
      <c r="D239" s="215" t="s">
        <v>1330</v>
      </c>
      <c r="E239" s="11">
        <v>100.0</v>
      </c>
      <c r="F239" s="11" t="s">
        <v>178</v>
      </c>
      <c r="G239" s="93" t="s">
        <v>1331</v>
      </c>
      <c r="H239" s="11" t="str">
        <f>IMAGE("https://m.media-amazon.com/images/I/61vUDUTouNL._SL1500_.jpg",1)</f>
        <v/>
      </c>
      <c r="I239" s="221" t="s">
        <v>2126</v>
      </c>
    </row>
    <row r="240" ht="45.0" customHeight="1">
      <c r="A240" s="11">
        <v>239.0</v>
      </c>
      <c r="B240" s="11" t="s">
        <v>1334</v>
      </c>
      <c r="C240" s="93" t="s">
        <v>1335</v>
      </c>
      <c r="D240" s="215" t="s">
        <v>1330</v>
      </c>
      <c r="E240" s="11">
        <v>100.0</v>
      </c>
      <c r="F240" s="11" t="s">
        <v>178</v>
      </c>
      <c r="G240" s="93" t="s">
        <v>1331</v>
      </c>
      <c r="H240" s="11" t="str">
        <f>IMAGE("https://m.media-amazon.com/images/I/31ye7Xw2PpL.jpg",1)</f>
        <v/>
      </c>
      <c r="I240" s="221" t="s">
        <v>2126</v>
      </c>
    </row>
    <row r="241" ht="45.0" customHeight="1">
      <c r="A241" s="11">
        <v>240.0</v>
      </c>
      <c r="B241" s="11" t="s">
        <v>1338</v>
      </c>
      <c r="C241" s="93" t="s">
        <v>1339</v>
      </c>
      <c r="D241" s="215" t="s">
        <v>1330</v>
      </c>
      <c r="E241" s="11">
        <v>10.0</v>
      </c>
      <c r="F241" s="11" t="s">
        <v>178</v>
      </c>
      <c r="G241" s="93" t="s">
        <v>1331</v>
      </c>
      <c r="H241" s="11" t="str">
        <f>IMAGE("https://m.media-amazon.com/images/I/414cC-M+nlL._SL1000_.jpg",1)</f>
        <v/>
      </c>
      <c r="I241" s="11" t="s">
        <v>2127</v>
      </c>
    </row>
    <row r="242" ht="45.0" customHeight="1">
      <c r="A242" s="11">
        <v>241.0</v>
      </c>
      <c r="B242" s="11" t="s">
        <v>1343</v>
      </c>
      <c r="C242" s="93" t="s">
        <v>1344</v>
      </c>
      <c r="D242" s="215" t="s">
        <v>1330</v>
      </c>
      <c r="E242" s="11">
        <v>100.0</v>
      </c>
      <c r="F242" s="11" t="s">
        <v>178</v>
      </c>
      <c r="G242" s="93" t="s">
        <v>1331</v>
      </c>
      <c r="H242" s="11" t="str">
        <f>IMAGE("https://m.media-amazon.com/images/I/31nb9BadkoL.jpg",1)</f>
        <v/>
      </c>
      <c r="I242" s="221" t="s">
        <v>2126</v>
      </c>
    </row>
    <row r="243" ht="45.0" customHeight="1">
      <c r="A243" s="11">
        <v>242.0</v>
      </c>
      <c r="B243" s="11" t="s">
        <v>1357</v>
      </c>
      <c r="C243" s="93" t="s">
        <v>1358</v>
      </c>
      <c r="D243" s="215" t="s">
        <v>1359</v>
      </c>
      <c r="E243" s="216">
        <v>15.0</v>
      </c>
      <c r="F243" s="11" t="s">
        <v>178</v>
      </c>
      <c r="G243" s="93" t="s">
        <v>1954</v>
      </c>
      <c r="H243" s="11" t="str">
        <f>IMAGE("https://robu.in/wp-content/uploads/2017/11/mg995-high-speed-digital-metal-gear-2bb-torque-rc-for-servo-hpi-savage-xl-2.jpg",1)</f>
        <v/>
      </c>
      <c r="I243" s="11" t="s">
        <v>2129</v>
      </c>
    </row>
    <row r="244" ht="45.0" customHeight="1">
      <c r="A244" s="11">
        <v>243.0</v>
      </c>
      <c r="B244" s="11" t="s">
        <v>1362</v>
      </c>
      <c r="C244" s="93" t="s">
        <v>1363</v>
      </c>
      <c r="D244" s="215" t="s">
        <v>1359</v>
      </c>
      <c r="E244" s="216">
        <v>30.0</v>
      </c>
      <c r="F244" s="11" t="s">
        <v>178</v>
      </c>
      <c r="G244" s="93" t="s">
        <v>1954</v>
      </c>
      <c r="H244" s="11" t="str">
        <f t="shared" ref="H244:H245" si="13">IMAGE("https://m.media-amazon.com/images/W/MEDIAX_792452-T2/images/I/21bgQSzvxLL.jpg",1)</f>
        <v/>
      </c>
      <c r="I244" s="11" t="s">
        <v>2130</v>
      </c>
    </row>
    <row r="245" ht="45.0" customHeight="1">
      <c r="A245" s="11">
        <v>244.0</v>
      </c>
      <c r="B245" s="11" t="s">
        <v>1366</v>
      </c>
      <c r="C245" s="93" t="s">
        <v>1367</v>
      </c>
      <c r="D245" s="215" t="s">
        <v>1359</v>
      </c>
      <c r="E245" s="216">
        <v>30.0</v>
      </c>
      <c r="F245" s="11" t="s">
        <v>178</v>
      </c>
      <c r="G245" s="93" t="s">
        <v>1954</v>
      </c>
      <c r="H245" s="11" t="str">
        <f t="shared" si="13"/>
        <v/>
      </c>
      <c r="I245" s="11" t="s">
        <v>2131</v>
      </c>
    </row>
    <row r="246" ht="45.0" customHeight="1">
      <c r="A246" s="11">
        <v>245.0</v>
      </c>
      <c r="B246" s="11" t="s">
        <v>1371</v>
      </c>
      <c r="C246" s="93" t="s">
        <v>1372</v>
      </c>
      <c r="D246" s="215" t="s">
        <v>1359</v>
      </c>
      <c r="E246" s="216">
        <v>30.0</v>
      </c>
      <c r="F246" s="11" t="s">
        <v>178</v>
      </c>
      <c r="G246" s="93" t="s">
        <v>1954</v>
      </c>
      <c r="H246" s="11" t="str">
        <f>IMAGE("https://5.imimg.com/data5/DJ/PF/TV/SELLER-95692783/bo-wheel-500x500.jpg",1)</f>
        <v/>
      </c>
      <c r="I246" s="11" t="s">
        <v>2132</v>
      </c>
    </row>
    <row r="247" ht="45.0" customHeight="1">
      <c r="A247" s="11">
        <v>246.0</v>
      </c>
      <c r="B247" s="11" t="s">
        <v>1375</v>
      </c>
      <c r="C247" s="93" t="s">
        <v>1376</v>
      </c>
      <c r="D247" s="215" t="s">
        <v>1359</v>
      </c>
      <c r="E247" s="216">
        <v>20.0</v>
      </c>
      <c r="F247" s="11" t="s">
        <v>178</v>
      </c>
      <c r="G247" s="93" t="s">
        <v>1954</v>
      </c>
      <c r="H247" s="11" t="str">
        <f>IMAGE("https://aryabot.in/wp-content/uploads/2023/10/castor-wheel-big-550x550w.webp",1)</f>
        <v/>
      </c>
      <c r="I247" s="11" t="s">
        <v>2133</v>
      </c>
    </row>
    <row r="248" ht="45.0" customHeight="1">
      <c r="A248" s="11">
        <v>247.0</v>
      </c>
      <c r="B248" s="11" t="s">
        <v>1379</v>
      </c>
      <c r="C248" s="93" t="s">
        <v>1380</v>
      </c>
      <c r="D248" s="215" t="s">
        <v>1359</v>
      </c>
      <c r="E248" s="216">
        <v>10.0</v>
      </c>
      <c r="F248" s="11" t="s">
        <v>178</v>
      </c>
      <c r="G248" s="93" t="s">
        <v>1954</v>
      </c>
      <c r="H248" s="11" t="str">
        <f>IMAGE("https://robu.in/wp-content/uploads/2020/09/DC3-6V-130-DIY-Toy-Motor-2-Pcs.-1.png",1)</f>
        <v/>
      </c>
      <c r="I248" s="221" t="s">
        <v>1831</v>
      </c>
    </row>
    <row r="249" ht="45.0" customHeight="1">
      <c r="A249" s="11">
        <v>248.0</v>
      </c>
      <c r="B249" s="11" t="s">
        <v>1383</v>
      </c>
      <c r="C249" s="93" t="s">
        <v>1384</v>
      </c>
      <c r="D249" s="215" t="s">
        <v>1359</v>
      </c>
      <c r="E249" s="216">
        <v>30.0</v>
      </c>
      <c r="F249" s="11" t="s">
        <v>178</v>
      </c>
      <c r="G249" s="93" t="s">
        <v>1954</v>
      </c>
      <c r="H249" s="11" t="str">
        <f>IMAGE("https://i0.wp.com/www.circuituncle.com/wp-content/uploads/2019/10/mg90s.png?fit=1001%2C1001&amp;ssl=1",1)</f>
        <v/>
      </c>
      <c r="I249" s="11" t="s">
        <v>2129</v>
      </c>
    </row>
    <row r="250" ht="45.0" customHeight="1">
      <c r="A250" s="11">
        <v>249.0</v>
      </c>
      <c r="B250" s="11" t="s">
        <v>1387</v>
      </c>
      <c r="C250" s="93" t="s">
        <v>1388</v>
      </c>
      <c r="D250" s="215" t="s">
        <v>1359</v>
      </c>
      <c r="E250" s="216">
        <v>5.0</v>
      </c>
      <c r="F250" s="11" t="s">
        <v>178</v>
      </c>
      <c r="G250" s="93" t="s">
        <v>1954</v>
      </c>
      <c r="H250" s="11" t="str">
        <f>IMAGE("https://robu.in/wp-content/uploads/2016/04/61nEdk-NxSL._SY355_.jpg",1)</f>
        <v/>
      </c>
      <c r="I250" s="221" t="s">
        <v>1823</v>
      </c>
    </row>
    <row r="251" ht="45.0" customHeight="1">
      <c r="A251" s="11">
        <v>250.0</v>
      </c>
      <c r="B251" s="11" t="s">
        <v>1390</v>
      </c>
      <c r="C251" s="93" t="s">
        <v>1391</v>
      </c>
      <c r="D251" s="215" t="s">
        <v>1359</v>
      </c>
      <c r="E251" s="237">
        <v>21.0</v>
      </c>
      <c r="F251" s="11" t="s">
        <v>178</v>
      </c>
      <c r="G251" s="93" t="s">
        <v>1954</v>
      </c>
      <c r="H251" s="11" t="str">
        <f>IMAGE("https://robu.in/wp-content/uploads/2023/09/34.jpg",1)</f>
        <v/>
      </c>
      <c r="I251" s="256" t="s">
        <v>2134</v>
      </c>
    </row>
    <row r="252" ht="45.0" customHeight="1">
      <c r="A252" s="11">
        <v>251.0</v>
      </c>
      <c r="B252" s="11" t="s">
        <v>1394</v>
      </c>
      <c r="C252" s="93" t="s">
        <v>1395</v>
      </c>
      <c r="D252" s="215" t="s">
        <v>1359</v>
      </c>
      <c r="E252" s="216">
        <v>15.0</v>
      </c>
      <c r="F252" s="11" t="s">
        <v>178</v>
      </c>
      <c r="G252" s="93" t="s">
        <v>1954</v>
      </c>
      <c r="H252" s="11" t="str">
        <f>IMAGE("https://cdn.shopify.com/s/files/1/0088/0056/7392/products/Stepper_motor_with_Driver_board.jpg?v=1552579276",1)</f>
        <v/>
      </c>
      <c r="I252" s="11" t="s">
        <v>2135</v>
      </c>
    </row>
    <row r="253" ht="45.0" customHeight="1">
      <c r="A253" s="11">
        <v>252.0</v>
      </c>
      <c r="B253" s="11" t="s">
        <v>1517</v>
      </c>
      <c r="C253" s="93" t="s">
        <v>1824</v>
      </c>
      <c r="D253" s="215" t="s">
        <v>1514</v>
      </c>
      <c r="E253" s="216">
        <v>5.0</v>
      </c>
      <c r="F253" s="11" t="s">
        <v>178</v>
      </c>
      <c r="G253" s="215" t="s">
        <v>1514</v>
      </c>
      <c r="H253" s="11" t="str">
        <f>IMAGE("https://robu.in/wp-content/uploads/2017/06/31100-2.jpg",1)</f>
        <v/>
      </c>
      <c r="I253" s="221" t="s">
        <v>1774</v>
      </c>
    </row>
    <row r="254" ht="45.0" customHeight="1">
      <c r="A254" s="11">
        <v>253.0</v>
      </c>
      <c r="B254" s="11" t="s">
        <v>1521</v>
      </c>
      <c r="C254" s="93" t="s">
        <v>1744</v>
      </c>
      <c r="D254" s="215" t="s">
        <v>1514</v>
      </c>
      <c r="E254" s="216">
        <v>5.0</v>
      </c>
      <c r="F254" s="11" t="s">
        <v>178</v>
      </c>
      <c r="G254" s="215" t="s">
        <v>1514</v>
      </c>
      <c r="H254" s="11" t="str">
        <f>IMAGE("https://m.media-amazon.com/images/W/MEDIAX_792452-T2/images/I/71PSVpNRPuL._SL1500_.jpg",1)</f>
        <v/>
      </c>
      <c r="I254" s="221" t="s">
        <v>1766</v>
      </c>
    </row>
    <row r="255" ht="45.0" customHeight="1">
      <c r="A255" s="11">
        <v>254.0</v>
      </c>
      <c r="B255" s="11" t="s">
        <v>1525</v>
      </c>
      <c r="C255" s="93" t="s">
        <v>1526</v>
      </c>
      <c r="D255" s="215" t="s">
        <v>1514</v>
      </c>
      <c r="E255" s="216">
        <v>5.0</v>
      </c>
      <c r="F255" s="11" t="s">
        <v>178</v>
      </c>
      <c r="G255" s="215" t="s">
        <v>1514</v>
      </c>
      <c r="H255" s="11" t="str">
        <f>IMAGE("https://robu.in/wp-content/uploads/2016/08/2-1.jpg",1)</f>
        <v/>
      </c>
      <c r="I255" s="11" t="s">
        <v>1784</v>
      </c>
    </row>
    <row r="256" ht="45.0" customHeight="1">
      <c r="A256" s="11">
        <v>255.0</v>
      </c>
      <c r="B256" s="11" t="s">
        <v>1529</v>
      </c>
      <c r="C256" s="93" t="s">
        <v>1530</v>
      </c>
      <c r="D256" s="215" t="s">
        <v>1514</v>
      </c>
      <c r="E256" s="216">
        <v>5.0</v>
      </c>
      <c r="F256" s="11" t="s">
        <v>178</v>
      </c>
      <c r="G256" s="215" t="s">
        <v>1514</v>
      </c>
      <c r="H256" s="11" t="str">
        <f>IMAGE("https://5.imimg.com/data5/SELLER/Default/2023/1/KQ/RE/WN/37611021/unique-india-force-pressure-sensor-square-500x500.jpg",1)</f>
        <v/>
      </c>
      <c r="I256" s="11" t="s">
        <v>1783</v>
      </c>
    </row>
    <row r="257" ht="45.0" customHeight="1">
      <c r="A257" s="11">
        <v>256.0</v>
      </c>
      <c r="B257" s="11" t="s">
        <v>1533</v>
      </c>
      <c r="C257" s="93" t="s">
        <v>1781</v>
      </c>
      <c r="D257" s="215" t="s">
        <v>1514</v>
      </c>
      <c r="E257" s="216">
        <v>10.0</v>
      </c>
      <c r="F257" s="11" t="s">
        <v>178</v>
      </c>
      <c r="G257" s="215" t="s">
        <v>1514</v>
      </c>
      <c r="H257" s="11" t="str">
        <f>IMAGE("https://m.media-amazon.com/images/W/MEDIAX_792452-T2/images/I/61e+2rew8OL._SL1011_.jpg",1)</f>
        <v/>
      </c>
      <c r="I257" s="11" t="s">
        <v>1782</v>
      </c>
    </row>
    <row r="258" ht="45.0" customHeight="1">
      <c r="A258" s="11">
        <v>257.0</v>
      </c>
      <c r="B258" s="11" t="s">
        <v>1537</v>
      </c>
      <c r="C258" s="93" t="s">
        <v>1791</v>
      </c>
      <c r="D258" s="215" t="s">
        <v>1514</v>
      </c>
      <c r="E258" s="216">
        <v>5.0</v>
      </c>
      <c r="F258" s="11" t="s">
        <v>178</v>
      </c>
      <c r="G258" s="215" t="s">
        <v>1514</v>
      </c>
      <c r="H258" s="11" t="str">
        <f>IMAGE("https://makerbazar.in/cdn/shop/products/IR_transmitter-receiver_-_TSOP_1738_600x.jpg?v=1582114496",1)</f>
        <v/>
      </c>
      <c r="I258" s="11" t="s">
        <v>1788</v>
      </c>
    </row>
    <row r="259" ht="45.0" customHeight="1">
      <c r="A259" s="11">
        <v>258.0</v>
      </c>
      <c r="B259" s="11" t="s">
        <v>1541</v>
      </c>
      <c r="C259" s="93" t="s">
        <v>1786</v>
      </c>
      <c r="D259" s="215" t="s">
        <v>1514</v>
      </c>
      <c r="E259" s="216">
        <v>5.0</v>
      </c>
      <c r="F259" s="11" t="s">
        <v>178</v>
      </c>
      <c r="G259" s="215" t="s">
        <v>1514</v>
      </c>
      <c r="H259" s="11" t="str">
        <f>IMAGE("https://makerbazar.in/cdn/shop/products/IR-Array_2048x2048_29f53719-c65f-4f67-a7f9-06b99966bf49_400x.jpg?v=1628014848",1)</f>
        <v/>
      </c>
      <c r="I259" s="11" t="s">
        <v>1787</v>
      </c>
    </row>
    <row r="260" ht="45.0" customHeight="1">
      <c r="A260" s="11">
        <v>259.0</v>
      </c>
      <c r="B260" s="11" t="s">
        <v>1545</v>
      </c>
      <c r="C260" s="93" t="s">
        <v>1546</v>
      </c>
      <c r="D260" s="215" t="s">
        <v>1514</v>
      </c>
      <c r="E260" s="216">
        <v>10.0</v>
      </c>
      <c r="F260" s="11" t="s">
        <v>178</v>
      </c>
      <c r="G260" s="215" t="s">
        <v>1514</v>
      </c>
      <c r="H260" s="11" t="str">
        <f>IMAGE("https://robu.in/wp-content/uploads/2017/05/LDR-module-1.png",1)</f>
        <v/>
      </c>
      <c r="I260" s="11" t="s">
        <v>1782</v>
      </c>
    </row>
    <row r="261" ht="45.0" customHeight="1">
      <c r="A261" s="11">
        <v>260.0</v>
      </c>
      <c r="B261" s="11" t="s">
        <v>1549</v>
      </c>
      <c r="C261" s="93" t="s">
        <v>1775</v>
      </c>
      <c r="D261" s="215" t="s">
        <v>1514</v>
      </c>
      <c r="E261" s="216">
        <v>5.0</v>
      </c>
      <c r="F261" s="11" t="s">
        <v>178</v>
      </c>
      <c r="G261" s="215" t="s">
        <v>1514</v>
      </c>
      <c r="H261" s="253" t="str">
        <f>IMAGE("https://m.media-amazon.com/images/W/MEDIAX_792452-T2/images/I/7158I82c4bL._SL1500_.jpg",1)</f>
        <v/>
      </c>
      <c r="I261" s="11" t="s">
        <v>1776</v>
      </c>
    </row>
    <row r="262" ht="45.0" customHeight="1">
      <c r="A262" s="11">
        <v>261.0</v>
      </c>
      <c r="B262" s="11" t="s">
        <v>1553</v>
      </c>
      <c r="C262" s="93" t="s">
        <v>1822</v>
      </c>
      <c r="D262" s="215" t="s">
        <v>1514</v>
      </c>
      <c r="E262" s="216">
        <v>5.0</v>
      </c>
      <c r="F262" s="11" t="s">
        <v>178</v>
      </c>
      <c r="G262" s="215" t="s">
        <v>1514</v>
      </c>
      <c r="H262" s="12" t="str">
        <f>IMAGE("https://robu.in/wp-content/uploads/2017/09/download-1-2.jpg",1)</f>
        <v/>
      </c>
      <c r="I262" s="221" t="s">
        <v>1770</v>
      </c>
    </row>
    <row r="263" ht="45.0" customHeight="1">
      <c r="A263" s="11">
        <v>262.0</v>
      </c>
      <c r="B263" s="11" t="s">
        <v>1557</v>
      </c>
      <c r="C263" s="93" t="s">
        <v>1758</v>
      </c>
      <c r="D263" s="215" t="s">
        <v>1514</v>
      </c>
      <c r="E263" s="216">
        <v>10.0</v>
      </c>
      <c r="F263" s="11" t="s">
        <v>178</v>
      </c>
      <c r="G263" s="215" t="s">
        <v>1514</v>
      </c>
      <c r="H263" s="11" t="str">
        <f>IMAGE("https://cdn.shopify.com/s/files/1/0088/0056/7392/products/Sound_Detector_Module.jpg?v=1566646449",1)</f>
        <v/>
      </c>
      <c r="I263" s="11" t="s">
        <v>1759</v>
      </c>
    </row>
    <row r="264" ht="45.0" customHeight="1">
      <c r="A264" s="11">
        <v>263.0</v>
      </c>
      <c r="B264" s="11" t="s">
        <v>1560</v>
      </c>
      <c r="C264" s="93" t="s">
        <v>1789</v>
      </c>
      <c r="D264" s="215" t="s">
        <v>1514</v>
      </c>
      <c r="E264" s="216">
        <v>10.0</v>
      </c>
      <c r="F264" s="11" t="s">
        <v>178</v>
      </c>
      <c r="G264" s="215" t="s">
        <v>1514</v>
      </c>
      <c r="H264" s="11" t="str">
        <f>IMAGE("https://encrypted-tbn0.gstatic.com/images?q=tbn:ANd9GcRrIyUWjQ1rnIJDwYms78skSv9zbdkdml4sTR1WfoKl6GFD5OWnZULG8H98AB-i394c3VQ&amp;usqp=CAU",1)</f>
        <v/>
      </c>
      <c r="I264" s="11" t="s">
        <v>1790</v>
      </c>
    </row>
    <row r="265" ht="45.0" customHeight="1">
      <c r="A265" s="11">
        <v>264.0</v>
      </c>
      <c r="B265" s="11" t="s">
        <v>1564</v>
      </c>
      <c r="C265" s="93" t="s">
        <v>2149</v>
      </c>
      <c r="D265" s="215" t="s">
        <v>1514</v>
      </c>
      <c r="E265" s="216">
        <v>5.0</v>
      </c>
      <c r="F265" s="11" t="s">
        <v>178</v>
      </c>
      <c r="G265" s="215" t="s">
        <v>1514</v>
      </c>
      <c r="H265" s="11" t="str">
        <f>IMAGE("https://robu.in/wp-content/uploads/2019/05/MAX30100-Pulse-Oximeter-Heart-Rate-Sensor-Module-2.jpg",1)</f>
        <v/>
      </c>
      <c r="I265" s="221" t="s">
        <v>1803</v>
      </c>
    </row>
    <row r="266" ht="45.0" customHeight="1">
      <c r="A266" s="11">
        <v>265.0</v>
      </c>
      <c r="B266" s="11" t="s">
        <v>1568</v>
      </c>
      <c r="C266" s="93" t="s">
        <v>1769</v>
      </c>
      <c r="D266" s="215" t="s">
        <v>1514</v>
      </c>
      <c r="E266" s="216">
        <v>5.0</v>
      </c>
      <c r="F266" s="11" t="s">
        <v>178</v>
      </c>
      <c r="G266" s="215" t="s">
        <v>1514</v>
      </c>
      <c r="H266" s="11" t="str">
        <f>IMAGE("https://makerbazar.in/cdn/shop/products/Untitled-1_39_1_60x.jpg?v=1637233670",1)</f>
        <v/>
      </c>
      <c r="I266" s="221" t="s">
        <v>1803</v>
      </c>
    </row>
    <row r="267" ht="45.0" customHeight="1">
      <c r="A267" s="11">
        <v>266.0</v>
      </c>
      <c r="B267" s="11" t="s">
        <v>1571</v>
      </c>
      <c r="C267" s="93" t="s">
        <v>1772</v>
      </c>
      <c r="D267" s="215" t="s">
        <v>1514</v>
      </c>
      <c r="E267" s="216">
        <v>5.0</v>
      </c>
      <c r="F267" s="11" t="s">
        <v>178</v>
      </c>
      <c r="G267" s="215" t="s">
        <v>1514</v>
      </c>
      <c r="H267" s="11" t="str">
        <f>IMAGE("https://5.imimg.com/data5/SELLER/Default/2021/6/XN/UI/NS/84973740/mq2-flammable-gas-and-smoke-sensor-module-500x500.jpg",1)</f>
        <v/>
      </c>
      <c r="I267" s="11" t="s">
        <v>1773</v>
      </c>
    </row>
    <row r="268" ht="45.0" customHeight="1">
      <c r="A268" s="11">
        <v>267.0</v>
      </c>
      <c r="B268" s="11" t="s">
        <v>1575</v>
      </c>
      <c r="C268" s="93" t="s">
        <v>1576</v>
      </c>
      <c r="D268" s="215" t="s">
        <v>1514</v>
      </c>
      <c r="E268" s="216">
        <v>10.0</v>
      </c>
      <c r="F268" s="11" t="s">
        <v>178</v>
      </c>
      <c r="G268" s="215" t="s">
        <v>1514</v>
      </c>
      <c r="H268" s="11" t="str">
        <f>IMAGE("https://robu.in/wp-content/uploads/2016/03/12251.jpg",1)</f>
        <v/>
      </c>
      <c r="I268" s="11" t="s">
        <v>1794</v>
      </c>
    </row>
    <row r="269" ht="45.0" customHeight="1">
      <c r="A269" s="11">
        <v>268.0</v>
      </c>
      <c r="B269" s="11" t="s">
        <v>1579</v>
      </c>
      <c r="C269" s="258" t="s">
        <v>1763</v>
      </c>
      <c r="D269" s="215" t="s">
        <v>1514</v>
      </c>
      <c r="E269" s="216">
        <v>5.0</v>
      </c>
      <c r="F269" s="11" t="s">
        <v>178</v>
      </c>
      <c r="G269" s="215" t="s">
        <v>1514</v>
      </c>
      <c r="H269" s="11" t="str">
        <f>IMAGE("https://m.media-amazon.com/images/W/MEDIAX_792452-T2/images/I/61QNSpIV-GL._SL1000_.jpg",1)</f>
        <v/>
      </c>
      <c r="I269" s="11" t="s">
        <v>1764</v>
      </c>
    </row>
    <row r="270" ht="45.0" customHeight="1">
      <c r="A270" s="11">
        <v>269.0</v>
      </c>
      <c r="B270" s="11" t="s">
        <v>1583</v>
      </c>
      <c r="C270" s="93" t="s">
        <v>1584</v>
      </c>
      <c r="D270" s="215" t="s">
        <v>1514</v>
      </c>
      <c r="E270" s="216">
        <v>10.0</v>
      </c>
      <c r="F270" s="11" t="s">
        <v>178</v>
      </c>
      <c r="G270" s="215" t="s">
        <v>1514</v>
      </c>
      <c r="H270" s="11" t="str">
        <f>IMAGE("https://projecthubbharat.com/wp-content/uploads/2022/02/dht-11-sensor-module-india-800x800-1.jpg",1)</f>
        <v/>
      </c>
      <c r="I270" s="11" t="s">
        <v>1797</v>
      </c>
    </row>
    <row r="271" ht="45.0" customHeight="1">
      <c r="A271" s="11">
        <v>270.0</v>
      </c>
      <c r="B271" s="11" t="s">
        <v>1587</v>
      </c>
      <c r="C271" s="93" t="s">
        <v>1795</v>
      </c>
      <c r="D271" s="215" t="s">
        <v>1514</v>
      </c>
      <c r="E271" s="216">
        <v>10.0</v>
      </c>
      <c r="F271" s="11" t="s">
        <v>178</v>
      </c>
      <c r="G271" s="215" t="s">
        <v>1514</v>
      </c>
      <c r="H271" s="11" t="str">
        <f>IMAGE("https://potentiallabs.com/cart/image/cache/catalog/nov-dec/DS18B20-500x500-500x500.jpg",1)</f>
        <v/>
      </c>
      <c r="I271" s="11" t="s">
        <v>1796</v>
      </c>
    </row>
    <row r="272" ht="45.0" customHeight="1">
      <c r="A272" s="11">
        <v>271.0</v>
      </c>
      <c r="B272" s="11" t="s">
        <v>1591</v>
      </c>
      <c r="C272" s="93" t="s">
        <v>1798</v>
      </c>
      <c r="D272" s="215" t="s">
        <v>1514</v>
      </c>
      <c r="E272" s="216">
        <v>20.0</v>
      </c>
      <c r="F272" s="11" t="s">
        <v>178</v>
      </c>
      <c r="G272" s="215" t="s">
        <v>1514</v>
      </c>
      <c r="H272" s="216" t="str">
        <f>IMAGE("https://5.imimg.com/data5/SELLER/Default/2021/9/HF/RK/UF/37611021/10k-ohm-ntc-thermistor-500x500.jpg",1)</f>
        <v/>
      </c>
      <c r="I272" s="11" t="s">
        <v>1796</v>
      </c>
    </row>
    <row r="273" ht="45.0" customHeight="1">
      <c r="A273" s="11">
        <v>272.0</v>
      </c>
      <c r="B273" s="11" t="s">
        <v>1595</v>
      </c>
      <c r="C273" s="93" t="s">
        <v>1777</v>
      </c>
      <c r="D273" s="215" t="s">
        <v>1514</v>
      </c>
      <c r="E273" s="216">
        <v>5.0</v>
      </c>
      <c r="F273" s="11" t="s">
        <v>178</v>
      </c>
      <c r="G273" s="215" t="s">
        <v>1514</v>
      </c>
      <c r="H273" s="11" t="str">
        <f>IMAGE("https://media.distrelec.com/Web/WebShopImages/landscape_large/7-/01/Adafruit_163_30129187-01.jpg",1)</f>
        <v/>
      </c>
      <c r="I273" s="11" t="s">
        <v>1778</v>
      </c>
    </row>
    <row r="274" ht="45.0" customHeight="1">
      <c r="A274" s="11">
        <v>273.0</v>
      </c>
      <c r="B274" s="11" t="s">
        <v>1618</v>
      </c>
      <c r="C274" s="93" t="s">
        <v>1619</v>
      </c>
      <c r="D274" s="215" t="s">
        <v>1514</v>
      </c>
      <c r="E274" s="216">
        <v>10.0</v>
      </c>
      <c r="F274" s="11" t="s">
        <v>178</v>
      </c>
      <c r="G274" s="215" t="s">
        <v>1514</v>
      </c>
      <c r="H274" s="11" t="str">
        <f>IMAGE("https://i0.wp.com/superbtech.in/wp-content/uploads/2020/07/2-60.jpg?fit=500%2C500&amp;ssl=1",1)</f>
        <v/>
      </c>
      <c r="I274" s="11" t="s">
        <v>1801</v>
      </c>
    </row>
    <row r="275" ht="45.0" customHeight="1">
      <c r="A275" s="11">
        <v>274.0</v>
      </c>
      <c r="B275" s="11" t="s">
        <v>1622</v>
      </c>
      <c r="C275" s="93" t="s">
        <v>1623</v>
      </c>
      <c r="D275" s="215" t="s">
        <v>1514</v>
      </c>
      <c r="E275" s="216">
        <v>5.0</v>
      </c>
      <c r="F275" s="11" t="s">
        <v>178</v>
      </c>
      <c r="G275" s="215" t="s">
        <v>1514</v>
      </c>
      <c r="H275" s="11" t="str">
        <f>IMAGE("https://cdn.shopify.com/s/files/1/0559/1970/6265/products/1_9713a8db-db1e-42d0-a3e7-eebb7f66c4e9.jpg?v=1670581925",1)</f>
        <v/>
      </c>
      <c r="I275" s="11" t="s">
        <v>2150</v>
      </c>
    </row>
    <row r="276" ht="45.0" customHeight="1">
      <c r="A276" s="11">
        <v>275.0</v>
      </c>
      <c r="B276" s="11" t="s">
        <v>1626</v>
      </c>
      <c r="C276" s="93" t="s">
        <v>1627</v>
      </c>
      <c r="D276" s="215" t="s">
        <v>1628</v>
      </c>
      <c r="E276" s="216">
        <v>10.0</v>
      </c>
      <c r="F276" s="11" t="s">
        <v>178</v>
      </c>
      <c r="G276" s="93" t="s">
        <v>1628</v>
      </c>
      <c r="H276" s="11" t="str">
        <f>IMAGE("https://m.media-amazon.com/images/W/MEDIAX_792452-T2/images/I/419leG1YjXL.jpg",1)</f>
        <v/>
      </c>
      <c r="I276" s="11" t="s">
        <v>2127</v>
      </c>
    </row>
    <row r="277" ht="45.0" customHeight="1">
      <c r="A277" s="11">
        <v>276.0</v>
      </c>
      <c r="B277" s="11" t="s">
        <v>1632</v>
      </c>
      <c r="C277" s="93" t="s">
        <v>1633</v>
      </c>
      <c r="D277" s="215" t="s">
        <v>1628</v>
      </c>
      <c r="E277" s="216">
        <v>10.0</v>
      </c>
      <c r="F277" s="11" t="s">
        <v>178</v>
      </c>
      <c r="G277" s="93" t="s">
        <v>1628</v>
      </c>
      <c r="H277" s="11" t="str">
        <f>IMAGE("https://i0.wp.com/armsol.in/wp-content/uploads/2021/08/1-5-rotated.jpg?fit=600%2C600&amp;ssl=1",1)</f>
        <v/>
      </c>
      <c r="I277" s="11" t="s">
        <v>2127</v>
      </c>
    </row>
    <row r="278" ht="45.0" customHeight="1">
      <c r="A278" s="11">
        <v>277.0</v>
      </c>
      <c r="B278" s="11" t="s">
        <v>1636</v>
      </c>
      <c r="C278" s="93" t="s">
        <v>1988</v>
      </c>
      <c r="D278" s="215" t="s">
        <v>1628</v>
      </c>
      <c r="E278" s="216">
        <v>30.0</v>
      </c>
      <c r="F278" s="11" t="s">
        <v>178</v>
      </c>
      <c r="G278" s="93" t="s">
        <v>1628</v>
      </c>
      <c r="H278" s="11" t="str">
        <f>IMAGE("https://www.voltaat.com/cdn/shop/products/voltaat-soldering-board-5cm-x-7cm-10728457568358_1024x1024.jpg?v=1628445244")</f>
        <v/>
      </c>
      <c r="I278" s="11" t="s">
        <v>2153</v>
      </c>
    </row>
    <row r="279" ht="45.0" customHeight="1">
      <c r="A279" s="11">
        <v>278.0</v>
      </c>
      <c r="B279" s="11" t="s">
        <v>1641</v>
      </c>
      <c r="C279" s="93" t="s">
        <v>1989</v>
      </c>
      <c r="D279" s="215" t="s">
        <v>1628</v>
      </c>
      <c r="E279" s="216">
        <v>10.0</v>
      </c>
      <c r="F279" s="11" t="s">
        <v>178</v>
      </c>
      <c r="G279" s="93" t="s">
        <v>1628</v>
      </c>
      <c r="H279" s="11" t="str">
        <f>IMAGE("https://m.media-amazon.com/images/W/MEDIAX_792452-T2/images/I/91hMIBtDtPS._SL1500_.jpg")</f>
        <v/>
      </c>
      <c r="I279" s="11" t="s">
        <v>2153</v>
      </c>
    </row>
    <row r="280" ht="45.0" customHeight="1">
      <c r="A280" s="11">
        <v>279.0</v>
      </c>
      <c r="B280" s="11" t="s">
        <v>1645</v>
      </c>
      <c r="C280" s="93" t="s">
        <v>1646</v>
      </c>
      <c r="D280" s="215" t="s">
        <v>1628</v>
      </c>
      <c r="E280" s="216">
        <v>5.0</v>
      </c>
      <c r="F280" s="11" t="s">
        <v>178</v>
      </c>
      <c r="G280" s="93" t="s">
        <v>1628</v>
      </c>
      <c r="H280" s="11" t="str">
        <f>IMAGE("https://5.imimg.com/data5/SELLER/Default/2022/1/IK/KY/AC/131638211/31tvrpe7ijl-500x500.jpg")</f>
        <v/>
      </c>
      <c r="I280" s="11" t="s">
        <v>2127</v>
      </c>
    </row>
    <row r="281" ht="45.0" customHeight="1">
      <c r="A281" s="11">
        <v>280.0</v>
      </c>
      <c r="B281" s="11" t="s">
        <v>1649</v>
      </c>
      <c r="C281" s="93" t="s">
        <v>1650</v>
      </c>
      <c r="D281" s="215" t="s">
        <v>1628</v>
      </c>
      <c r="E281" s="216">
        <v>10.0</v>
      </c>
      <c r="F281" s="11" t="s">
        <v>178</v>
      </c>
      <c r="G281" s="93" t="s">
        <v>1628</v>
      </c>
      <c r="H281" s="11" t="str">
        <f>IMAGE("https://i0.wp.com/roboticsdna.in/wp-content/uploads/2020/11/IRON-TIP-1.png?fit=1000%2C1000&amp;ssl=1",1)</f>
        <v/>
      </c>
      <c r="I281" s="11" t="s">
        <v>2127</v>
      </c>
    </row>
    <row r="282" ht="45.0" customHeight="1">
      <c r="A282" s="11">
        <v>281.0</v>
      </c>
      <c r="B282" s="11" t="s">
        <v>1653</v>
      </c>
      <c r="C282" s="93" t="s">
        <v>1654</v>
      </c>
      <c r="D282" s="215" t="s">
        <v>1628</v>
      </c>
      <c r="E282" s="216">
        <v>10.0</v>
      </c>
      <c r="F282" s="11" t="s">
        <v>178</v>
      </c>
      <c r="G282" s="93" t="s">
        <v>1628</v>
      </c>
      <c r="H282" s="11" t="str">
        <f>IMAGE("https://www.toolworld.in/storage/media/product/1656317774.jpg",1)</f>
        <v/>
      </c>
      <c r="I282" s="11" t="s">
        <v>2127</v>
      </c>
    </row>
    <row r="283" ht="45.0" customHeight="1">
      <c r="A283" s="11">
        <v>282.0</v>
      </c>
      <c r="B283" s="11" t="s">
        <v>1657</v>
      </c>
      <c r="C283" s="93" t="s">
        <v>1658</v>
      </c>
      <c r="D283" s="215" t="s">
        <v>1628</v>
      </c>
      <c r="E283" s="216">
        <v>10.0</v>
      </c>
      <c r="F283" s="11" t="s">
        <v>178</v>
      </c>
      <c r="G283" s="93" t="s">
        <v>1628</v>
      </c>
      <c r="H283" s="11" t="str">
        <f>IMAGE("https://m.media-amazon.com/images/W/MEDIAX_792452-T2/images/I/41OjS3jnL4L.jpg",1)</f>
        <v/>
      </c>
      <c r="I283" s="11" t="s">
        <v>2127</v>
      </c>
    </row>
    <row r="284" ht="45.0" customHeight="1">
      <c r="A284" s="11">
        <v>283.0</v>
      </c>
      <c r="B284" s="11" t="s">
        <v>1661</v>
      </c>
      <c r="C284" s="93" t="s">
        <v>1662</v>
      </c>
      <c r="D284" s="215" t="s">
        <v>1628</v>
      </c>
      <c r="E284" s="216">
        <v>2.0</v>
      </c>
      <c r="F284" s="11" t="s">
        <v>178</v>
      </c>
      <c r="G284" s="93" t="s">
        <v>1628</v>
      </c>
      <c r="H284" s="11" t="str">
        <f>IMAGE("https://m.media-amazon.com/images/W/MEDIAX_792452-T2/images/I/61gvV3Wc-NL._SL1024_.jpg")</f>
        <v/>
      </c>
      <c r="I284" s="11" t="s">
        <v>2104</v>
      </c>
    </row>
    <row r="285" ht="45.0" customHeight="1">
      <c r="A285" s="11">
        <v>284.0</v>
      </c>
      <c r="B285" s="11" t="s">
        <v>1665</v>
      </c>
      <c r="C285" s="93" t="s">
        <v>1666</v>
      </c>
      <c r="D285" s="215" t="s">
        <v>1628</v>
      </c>
      <c r="E285" s="216">
        <v>10.0</v>
      </c>
      <c r="F285" s="11" t="s">
        <v>178</v>
      </c>
      <c r="G285" s="93" t="s">
        <v>1628</v>
      </c>
      <c r="H285" s="11" t="str">
        <f>IMAGE("https://robu.in/wp-content/uploads/2015/10/Soldron-25-Watt-Iron-Soldering-Gun-5.jpg")</f>
        <v/>
      </c>
      <c r="I285" s="11" t="s">
        <v>2127</v>
      </c>
    </row>
    <row r="286" ht="45.0" customHeight="1">
      <c r="A286" s="11">
        <v>285.0</v>
      </c>
      <c r="B286" s="11" t="s">
        <v>1669</v>
      </c>
      <c r="C286" s="93" t="s">
        <v>1670</v>
      </c>
      <c r="D286" s="215" t="s">
        <v>1628</v>
      </c>
      <c r="E286" s="216">
        <v>1.0</v>
      </c>
      <c r="F286" s="11" t="s">
        <v>178</v>
      </c>
      <c r="G286" s="93" t="s">
        <v>1628</v>
      </c>
      <c r="H286" s="11" t="str">
        <f>IMAGE("https://m.media-amazon.com/images/I/71Nb2wKaZgS._SL1500_.jpg", 1)</f>
        <v/>
      </c>
      <c r="I286" s="11" t="s">
        <v>2127</v>
      </c>
    </row>
    <row r="287" ht="45.0" customHeight="1">
      <c r="A287" s="11">
        <v>286.0</v>
      </c>
      <c r="B287" s="11" t="s">
        <v>1673</v>
      </c>
      <c r="C287" s="93" t="s">
        <v>1674</v>
      </c>
      <c r="D287" s="215" t="s">
        <v>1628</v>
      </c>
      <c r="E287" s="216">
        <v>10.0</v>
      </c>
      <c r="F287" s="11" t="s">
        <v>178</v>
      </c>
      <c r="G287" s="93" t="s">
        <v>1628</v>
      </c>
      <c r="H287" s="11" t="str">
        <f>IMAGE("https://m.media-amazon.com/images/W/MEDIAX_792452-T2/images/I/511g3IePVzL.jpg",1)</f>
        <v/>
      </c>
      <c r="I287" s="11" t="s">
        <v>2127</v>
      </c>
    </row>
    <row r="288" ht="45.0" customHeight="1">
      <c r="A288" s="11">
        <v>287.0</v>
      </c>
      <c r="B288" s="11" t="s">
        <v>1677</v>
      </c>
      <c r="C288" s="93" t="s">
        <v>1678</v>
      </c>
      <c r="D288" s="215" t="s">
        <v>1628</v>
      </c>
      <c r="E288" s="216">
        <v>10.0</v>
      </c>
      <c r="F288" s="11" t="s">
        <v>178</v>
      </c>
      <c r="G288" s="93" t="s">
        <v>1628</v>
      </c>
      <c r="H288" s="11" t="str">
        <f>IMAGE("https://5.imimg.com/data5/FT/MG/MY-9316309/soldering-wire-500x500.jpg",1)</f>
        <v/>
      </c>
      <c r="I288" s="11" t="s">
        <v>2127</v>
      </c>
    </row>
    <row r="289" ht="45.0" customHeight="1">
      <c r="A289" s="11">
        <v>288.0</v>
      </c>
      <c r="B289" s="11" t="s">
        <v>323</v>
      </c>
      <c r="C289" s="93" t="s">
        <v>324</v>
      </c>
      <c r="D289" s="215" t="s">
        <v>325</v>
      </c>
      <c r="E289" s="11">
        <v>1.0</v>
      </c>
      <c r="F289" s="11" t="s">
        <v>326</v>
      </c>
      <c r="G289" s="93" t="s">
        <v>1925</v>
      </c>
      <c r="H289" s="11" t="str">
        <f>IMAGE("https://5.imimg.com/data5/PL/FV/MY-11916319/synthetic-angle-broom-500x500.jpg",1)</f>
        <v/>
      </c>
      <c r="I289" s="11" t="s">
        <v>2049</v>
      </c>
    </row>
    <row r="290" ht="45.0" customHeight="1">
      <c r="A290" s="11">
        <v>289.0</v>
      </c>
      <c r="B290" s="11" t="s">
        <v>328</v>
      </c>
      <c r="C290" s="93" t="s">
        <v>329</v>
      </c>
      <c r="D290" s="215" t="s">
        <v>325</v>
      </c>
      <c r="E290" s="11">
        <v>1.0</v>
      </c>
      <c r="F290" s="11" t="s">
        <v>326</v>
      </c>
      <c r="G290" s="93" t="s">
        <v>1925</v>
      </c>
      <c r="H290" s="11" t="str">
        <f>IMAGE("https://m.media-amazon.com/images/W/MEDIAX_792452-T2/images/I/61z4uqZdmPL._AC_UF1000,1000_QL80_.jpg",1)</f>
        <v/>
      </c>
      <c r="I290" s="11" t="s">
        <v>2049</v>
      </c>
    </row>
    <row r="291" ht="45.0" customHeight="1">
      <c r="A291" s="11">
        <v>290.0</v>
      </c>
      <c r="B291" s="11" t="s">
        <v>332</v>
      </c>
      <c r="C291" s="93" t="s">
        <v>333</v>
      </c>
      <c r="D291" s="215" t="s">
        <v>325</v>
      </c>
      <c r="E291" s="11">
        <v>5.0</v>
      </c>
      <c r="F291" s="11" t="s">
        <v>326</v>
      </c>
      <c r="G291" s="93" t="s">
        <v>1925</v>
      </c>
      <c r="H291" s="11" t="str">
        <f>IMAGE("https://m.media-amazon.com/images/W/MEDIAX_792452-T2/images/I/61Njm4X2d2L._AC_UF1000,1000_QL80_.jpg",1)</f>
        <v/>
      </c>
      <c r="I291" s="11" t="s">
        <v>2049</v>
      </c>
    </row>
    <row r="292" ht="45.0" customHeight="1">
      <c r="A292" s="11">
        <v>291.0</v>
      </c>
      <c r="B292" s="11" t="s">
        <v>340</v>
      </c>
      <c r="C292" s="93" t="s">
        <v>341</v>
      </c>
      <c r="D292" s="215" t="s">
        <v>325</v>
      </c>
      <c r="E292" s="11">
        <v>3.0</v>
      </c>
      <c r="F292" s="11" t="s">
        <v>326</v>
      </c>
      <c r="G292" s="93" t="s">
        <v>1925</v>
      </c>
      <c r="H292" s="11" t="str">
        <f>IMAGE("https://rukminim2.flixcart.com/image/850/1000/kshtxu80/dustbin/p/l/y/swaccha-bharat-champaign-dry-and-wet-waste-bins-small-11ltr-original-imag6fnfj6pqmsba.jpeg?q=20",1)</f>
        <v/>
      </c>
      <c r="I292" s="11" t="s">
        <v>2049</v>
      </c>
    </row>
    <row r="293" ht="45.0" customHeight="1">
      <c r="A293" s="11">
        <v>292.0</v>
      </c>
      <c r="B293" s="11" t="s">
        <v>965</v>
      </c>
      <c r="C293" s="93" t="s">
        <v>1959</v>
      </c>
      <c r="D293" s="215" t="s">
        <v>326</v>
      </c>
      <c r="E293" s="216">
        <v>6.0</v>
      </c>
      <c r="F293" s="11" t="s">
        <v>326</v>
      </c>
      <c r="G293" s="93" t="s">
        <v>1901</v>
      </c>
      <c r="H293" s="11" t="str">
        <f>IMAGE("https://www.220converters.com/resize/Shared/images/Product/Seven-Star-ES5C-220-Volt-Universal-5-Outlet-Power-Strip-With-Surge-Protection-220V-240V/es5c.jpg?bw=500&amp;bh=500",1)</f>
        <v/>
      </c>
      <c r="I293" s="11" t="s">
        <v>2094</v>
      </c>
    </row>
    <row r="294" ht="45.0" customHeight="1">
      <c r="A294" s="11">
        <v>293.0</v>
      </c>
      <c r="B294" s="11" t="s">
        <v>969</v>
      </c>
      <c r="C294" s="93" t="s">
        <v>970</v>
      </c>
      <c r="D294" s="215" t="s">
        <v>326</v>
      </c>
      <c r="E294" s="216">
        <v>1.0</v>
      </c>
      <c r="F294" s="11" t="s">
        <v>326</v>
      </c>
      <c r="G294" s="93" t="s">
        <v>1901</v>
      </c>
      <c r="H294" s="11" t="str">
        <f>IMAGE("https://www.jiomart.com/images/product/original/491503417/mi-home-security-camera-digital-o491503417-p590045677-0-202010110622.jpeg")</f>
        <v/>
      </c>
      <c r="I294" s="11" t="s">
        <v>2095</v>
      </c>
    </row>
    <row r="295" ht="45.0" customHeight="1">
      <c r="A295" s="11">
        <v>294.0</v>
      </c>
      <c r="B295" s="271"/>
      <c r="C295" s="272" t="s">
        <v>2171</v>
      </c>
      <c r="D295" s="273" t="s">
        <v>2172</v>
      </c>
      <c r="E295" s="274">
        <v>2.0</v>
      </c>
      <c r="F295" s="282" t="s">
        <v>142</v>
      </c>
      <c r="G295" s="275"/>
      <c r="H295" s="275"/>
      <c r="I295" s="275"/>
      <c r="J295" s="276"/>
    </row>
    <row r="296" ht="45.0" customHeight="1">
      <c r="A296" s="11">
        <v>295.0</v>
      </c>
      <c r="B296" s="11" t="s">
        <v>139</v>
      </c>
      <c r="C296" s="93" t="s">
        <v>140</v>
      </c>
      <c r="D296" s="215" t="s">
        <v>141</v>
      </c>
      <c r="E296" s="11">
        <v>1.0</v>
      </c>
      <c r="F296" s="11" t="s">
        <v>142</v>
      </c>
      <c r="G296" s="93" t="s">
        <v>1901</v>
      </c>
      <c r="H296" s="11" t="e">
        <v>#VALUE!</v>
      </c>
      <c r="I296" s="11" t="s">
        <v>2025</v>
      </c>
    </row>
    <row r="297" ht="45.0" customHeight="1">
      <c r="A297" s="11">
        <v>296.0</v>
      </c>
      <c r="B297" s="11" t="s">
        <v>154</v>
      </c>
      <c r="C297" s="93" t="s">
        <v>155</v>
      </c>
      <c r="D297" s="215" t="s">
        <v>141</v>
      </c>
      <c r="E297" s="216">
        <v>1.0</v>
      </c>
      <c r="F297" s="11" t="s">
        <v>142</v>
      </c>
      <c r="G297" s="93" t="s">
        <v>1901</v>
      </c>
      <c r="H297" s="11" t="str">
        <f>IMAGE("https://m.media-amazon.com/images/I/61Zlcg+2mNL.jpg")</f>
        <v/>
      </c>
      <c r="I297" s="11" t="s">
        <v>2028</v>
      </c>
    </row>
    <row r="298" ht="45.0" customHeight="1">
      <c r="A298" s="11">
        <v>297.0</v>
      </c>
      <c r="B298" s="11" t="s">
        <v>158</v>
      </c>
      <c r="C298" s="93" t="s">
        <v>159</v>
      </c>
      <c r="D298" s="215" t="s">
        <v>141</v>
      </c>
      <c r="E298" s="216">
        <v>1.0</v>
      </c>
      <c r="F298" s="11" t="s">
        <v>142</v>
      </c>
      <c r="G298" s="93" t="s">
        <v>1901</v>
      </c>
      <c r="H298" s="11" t="str">
        <f>IMAGE("https://c1.neweggimages.com/Productimage/24-001-864-04.jpg",1)</f>
        <v/>
      </c>
      <c r="I298" s="11" t="s">
        <v>2029</v>
      </c>
    </row>
    <row r="299" ht="45.0" customHeight="1">
      <c r="A299" s="11">
        <v>298.0</v>
      </c>
      <c r="B299" s="11" t="s">
        <v>162</v>
      </c>
      <c r="C299" s="93" t="s">
        <v>163</v>
      </c>
      <c r="D299" s="215" t="s">
        <v>141</v>
      </c>
      <c r="E299" s="216">
        <v>1.0</v>
      </c>
      <c r="F299" s="11" t="s">
        <v>142</v>
      </c>
      <c r="G299" s="93" t="s">
        <v>1901</v>
      </c>
      <c r="H299" s="11" t="str">
        <f>IMAGE("https://m.media-amazon.com/images/I/6100FnINmsL._SL1468_.jpg",1)</f>
        <v/>
      </c>
      <c r="I299" s="11" t="s">
        <v>2030</v>
      </c>
    </row>
    <row r="300" ht="45.0" customHeight="1">
      <c r="A300" s="11">
        <v>299.0</v>
      </c>
      <c r="B300" s="11" t="s">
        <v>166</v>
      </c>
      <c r="C300" s="93" t="s">
        <v>167</v>
      </c>
      <c r="D300" s="215" t="s">
        <v>141</v>
      </c>
      <c r="E300" s="216">
        <v>1.0</v>
      </c>
      <c r="F300" s="11" t="s">
        <v>142</v>
      </c>
      <c r="G300" s="93" t="s">
        <v>1901</v>
      </c>
      <c r="H300" s="11" t="str">
        <f>IMAGE("https://encrypted-tbn1.gstatic.com/shopping?q=tbn:ANd9GcSwk1vUmWwFhmXgluT27_kpt_1XbFeMGM9voPktN2V8FycBha0_9qycLyoE5G3LsPm9IAaz9ZK9JsFmIAo5gwJtywrUheHD9Zzv6NIaMNLbw1go2XSC6Z0l&amp;usqp=CAE",1)</f>
        <v/>
      </c>
      <c r="I300" s="11" t="s">
        <v>2031</v>
      </c>
    </row>
    <row r="301" ht="45.0" customHeight="1">
      <c r="A301" s="11">
        <v>300.0</v>
      </c>
      <c r="B301" s="11" t="s">
        <v>170</v>
      </c>
      <c r="C301" s="93" t="s">
        <v>171</v>
      </c>
      <c r="D301" s="215" t="s">
        <v>141</v>
      </c>
      <c r="E301" s="216">
        <v>1.0</v>
      </c>
      <c r="F301" s="11" t="s">
        <v>142</v>
      </c>
      <c r="G301" s="93" t="s">
        <v>1901</v>
      </c>
      <c r="H301" s="11" t="str">
        <f>IMAGE("https://www.designinfo.in/wp-content/uploads/nc/p/5/1/4/9/0/51490-485x485.jpg",1)</f>
        <v/>
      </c>
      <c r="I301" s="11" t="s">
        <v>2032</v>
      </c>
    </row>
    <row r="302" ht="45.0" customHeight="1">
      <c r="A302" s="11">
        <v>301.0</v>
      </c>
      <c r="B302" s="11" t="s">
        <v>244</v>
      </c>
      <c r="C302" s="93" t="s">
        <v>245</v>
      </c>
      <c r="D302" s="215" t="s">
        <v>237</v>
      </c>
      <c r="E302" s="11">
        <v>1.0</v>
      </c>
      <c r="F302" s="11" t="s">
        <v>142</v>
      </c>
      <c r="G302" s="93" t="s">
        <v>237</v>
      </c>
      <c r="H302" s="11" t="str">
        <f>IMAGE("https://m.media-amazon.com/images/I/61YPX7I4aSL._SL1500_.jpg",1)</f>
        <v/>
      </c>
      <c r="I302" s="11" t="s">
        <v>2026</v>
      </c>
    </row>
    <row r="303" ht="45.0" customHeight="1">
      <c r="A303" s="11">
        <v>302.0</v>
      </c>
      <c r="B303" s="11" t="s">
        <v>973</v>
      </c>
      <c r="C303" s="93" t="s">
        <v>974</v>
      </c>
      <c r="D303" s="215" t="s">
        <v>326</v>
      </c>
      <c r="E303" s="216">
        <v>1.0</v>
      </c>
      <c r="F303" s="11" t="s">
        <v>142</v>
      </c>
      <c r="G303" s="93" t="s">
        <v>1901</v>
      </c>
      <c r="H303" s="11" t="str">
        <f>IMAGE("https://cdn.ttgtmedia.com/rms/onlineimages/hp_elitebook_mobile.jpg",1)</f>
        <v/>
      </c>
      <c r="I303" s="11" t="s">
        <v>2096</v>
      </c>
    </row>
    <row r="304" ht="45.0" customHeight="1">
      <c r="A304" s="11">
        <v>303.0</v>
      </c>
      <c r="B304" s="11" t="s">
        <v>976</v>
      </c>
      <c r="C304" s="93" t="s">
        <v>977</v>
      </c>
      <c r="D304" s="215" t="s">
        <v>326</v>
      </c>
      <c r="E304" s="216">
        <v>1.0</v>
      </c>
      <c r="F304" s="11" t="s">
        <v>142</v>
      </c>
      <c r="G304" s="93" t="s">
        <v>1901</v>
      </c>
      <c r="H304" s="11" t="str">
        <f>IMAGE("https://m.media-amazon.com/images/W/MEDIAX_792452-T2/images/I/51UzU+2x3OS._SL1000_.jpg")</f>
        <v/>
      </c>
      <c r="I304" s="11" t="s">
        <v>2095</v>
      </c>
    </row>
    <row r="305" ht="45.0" customHeight="1">
      <c r="A305" s="11">
        <v>304.0</v>
      </c>
      <c r="B305" s="11" t="s">
        <v>1474</v>
      </c>
      <c r="C305" s="93" t="s">
        <v>1475</v>
      </c>
      <c r="D305" s="215" t="s">
        <v>1476</v>
      </c>
      <c r="E305" s="216">
        <v>1.0</v>
      </c>
      <c r="F305" s="11" t="s">
        <v>1477</v>
      </c>
      <c r="G305" s="93" t="s">
        <v>1986</v>
      </c>
      <c r="H305" s="11" t="str">
        <f>IMAGE("https://rukminim1.flixcart.com/image/416/416/jj367bk0/fire-extinguisher-mount/w/s/y/2-kg-abc-type-fire-extinguisher-safepro-original-imaf6h7fkdngmbqd.jpeg?q=70",1)</f>
        <v/>
      </c>
      <c r="I305" s="222" t="s">
        <v>2144</v>
      </c>
    </row>
    <row r="306" ht="45.0" customHeight="1">
      <c r="A306" s="11">
        <v>305.0</v>
      </c>
      <c r="B306" s="11" t="s">
        <v>1480</v>
      </c>
      <c r="C306" s="93" t="s">
        <v>1481</v>
      </c>
      <c r="D306" s="215" t="s">
        <v>1476</v>
      </c>
      <c r="E306" s="216">
        <v>1.0</v>
      </c>
      <c r="F306" s="11" t="s">
        <v>1477</v>
      </c>
      <c r="G306" s="93" t="s">
        <v>1986</v>
      </c>
      <c r="H306" s="11" t="str">
        <f>IMAGE("https://m.media-amazon.com/images/I/61UHX6mp+wL._AC_UF894,1000_QL80_.jpg",1)</f>
        <v/>
      </c>
      <c r="I306" s="222" t="s">
        <v>2144</v>
      </c>
    </row>
    <row r="307" ht="45.0" customHeight="1">
      <c r="A307" s="11">
        <v>306.0</v>
      </c>
      <c r="B307" s="11" t="s">
        <v>1484</v>
      </c>
      <c r="C307" s="93" t="s">
        <v>1485</v>
      </c>
      <c r="D307" s="215" t="s">
        <v>1476</v>
      </c>
      <c r="E307" s="216">
        <v>1.0</v>
      </c>
      <c r="F307" s="11" t="s">
        <v>1477</v>
      </c>
      <c r="G307" s="93" t="s">
        <v>1986</v>
      </c>
      <c r="H307" s="11" t="str">
        <f>IMAGE("https://m.media-amazon.com/images/I/41yRsXk89rS._SX355_.jpg",1)</f>
        <v/>
      </c>
      <c r="I307" s="222" t="s">
        <v>2144</v>
      </c>
    </row>
    <row r="308" ht="45.0" customHeight="1">
      <c r="A308" s="11">
        <v>307.0</v>
      </c>
      <c r="B308" s="11" t="s">
        <v>1488</v>
      </c>
      <c r="C308" s="93" t="s">
        <v>1489</v>
      </c>
      <c r="D308" s="215" t="s">
        <v>1476</v>
      </c>
      <c r="E308" s="11">
        <v>5.0</v>
      </c>
      <c r="F308" s="11" t="s">
        <v>1477</v>
      </c>
      <c r="G308" s="93" t="s">
        <v>1986</v>
      </c>
      <c r="H308" s="11" t="str">
        <f>IMAGE("https://5.imimg.com/data5/AR/LM/NG/SELLER-21409398/lab-uniform-500x500.jpg",1)</f>
        <v/>
      </c>
      <c r="I308" s="221" t="s">
        <v>2145</v>
      </c>
    </row>
    <row r="309" ht="45.0" customHeight="1">
      <c r="A309" s="11">
        <v>308.0</v>
      </c>
      <c r="B309" s="11" t="s">
        <v>1492</v>
      </c>
      <c r="C309" s="93" t="s">
        <v>1493</v>
      </c>
      <c r="D309" s="215" t="s">
        <v>1476</v>
      </c>
      <c r="E309" s="216">
        <v>2.0</v>
      </c>
      <c r="F309" s="11" t="s">
        <v>1477</v>
      </c>
      <c r="G309" s="93" t="s">
        <v>1986</v>
      </c>
      <c r="H309" s="11" t="str">
        <f>IMAGE("https://cdn.moglix.com/p/oBWcDtePyNEFP.jpg",1)</f>
        <v/>
      </c>
      <c r="I309" s="221" t="s">
        <v>2145</v>
      </c>
    </row>
    <row r="310" ht="45.0" customHeight="1">
      <c r="A310" s="11">
        <v>309.0</v>
      </c>
      <c r="B310" s="11" t="s">
        <v>1496</v>
      </c>
      <c r="C310" s="93" t="s">
        <v>1497</v>
      </c>
      <c r="D310" s="215" t="s">
        <v>1476</v>
      </c>
      <c r="E310" s="11">
        <v>5.0</v>
      </c>
      <c r="F310" s="11" t="s">
        <v>1477</v>
      </c>
      <c r="G310" s="93" t="s">
        <v>1986</v>
      </c>
      <c r="H310" s="11" t="str">
        <f>IMAGE("https://5.imimg.com/data5/SELLER/Default/2023/5/311302937/IM/IY/MO/34533827/safety-rubber-apron-1000x1000.jpg", 1)</f>
        <v/>
      </c>
      <c r="I310" s="221" t="s">
        <v>2145</v>
      </c>
    </row>
    <row r="311" ht="45.0" customHeight="1">
      <c r="A311" s="11">
        <v>310.0</v>
      </c>
      <c r="B311" s="11" t="s">
        <v>1500</v>
      </c>
      <c r="C311" s="93" t="s">
        <v>1501</v>
      </c>
      <c r="D311" s="215" t="s">
        <v>1476</v>
      </c>
      <c r="E311" s="216">
        <v>15.0</v>
      </c>
      <c r="F311" s="11" t="s">
        <v>1477</v>
      </c>
      <c r="G311" s="93" t="s">
        <v>1986</v>
      </c>
      <c r="H311" s="11" t="str">
        <f>IMAGE("https://5.imimg.com/data5/DM/UP/MY-3422722/latex-coated-gloves-500x500.jpg",1)</f>
        <v/>
      </c>
      <c r="I311" s="257" t="s">
        <v>2146</v>
      </c>
    </row>
    <row r="312" ht="45.0" customHeight="1">
      <c r="A312" s="11">
        <v>311.0</v>
      </c>
      <c r="B312" s="11" t="s">
        <v>1504</v>
      </c>
      <c r="C312" s="93" t="s">
        <v>1505</v>
      </c>
      <c r="D312" s="215" t="s">
        <v>1476</v>
      </c>
      <c r="E312" s="216">
        <v>30.0</v>
      </c>
      <c r="F312" s="11" t="s">
        <v>1477</v>
      </c>
      <c r="G312" s="93" t="s">
        <v>1986</v>
      </c>
      <c r="H312" s="11" t="str">
        <f>IMAGE("https://5.imimg.com/data5/RD/NQ/ZF/SELLER-67911650/safety-goggles.jpg")</f>
        <v/>
      </c>
      <c r="I312" s="257" t="s">
        <v>2147</v>
      </c>
    </row>
    <row r="313" ht="45.0" customHeight="1">
      <c r="A313" s="11">
        <v>312.0</v>
      </c>
      <c r="B313" s="11" t="s">
        <v>1508</v>
      </c>
      <c r="C313" s="93" t="s">
        <v>1509</v>
      </c>
      <c r="D313" s="215" t="s">
        <v>1476</v>
      </c>
      <c r="E313" s="216">
        <v>60.0</v>
      </c>
      <c r="F313" s="11" t="s">
        <v>1477</v>
      </c>
      <c r="G313" s="93" t="s">
        <v>1986</v>
      </c>
      <c r="H313" s="11" t="str">
        <f>IMAGE("https://img2.exportersindia.com/product_images/bc-full/dir_151/4514764/dust-masks-1499837104-3125900.jpg",1)</f>
        <v/>
      </c>
      <c r="I313" s="221" t="s">
        <v>2148</v>
      </c>
    </row>
    <row r="314" ht="45.0" customHeight="1">
      <c r="A314" s="11">
        <v>313.0</v>
      </c>
      <c r="B314" s="11" t="s">
        <v>150</v>
      </c>
      <c r="C314" s="93" t="s">
        <v>151</v>
      </c>
      <c r="D314" s="269" t="s">
        <v>326</v>
      </c>
      <c r="E314" s="216">
        <v>2.0</v>
      </c>
      <c r="F314" s="11" t="s">
        <v>1157</v>
      </c>
      <c r="G314" s="93" t="s">
        <v>1903</v>
      </c>
      <c r="H314" s="11" t="str">
        <f>IMAGE("https://m.media-amazon.com/images/I/51KO2QtXE8L._SL1000_.jpg", 1)</f>
        <v/>
      </c>
      <c r="I314" s="222" t="s">
        <v>2027</v>
      </c>
    </row>
    <row r="315" ht="45.0" customHeight="1">
      <c r="A315" s="11">
        <v>314.0</v>
      </c>
      <c r="B315" s="271"/>
      <c r="C315" s="283" t="s">
        <v>2173</v>
      </c>
      <c r="D315" s="284" t="s">
        <v>2174</v>
      </c>
      <c r="E315" s="285">
        <v>1.0</v>
      </c>
      <c r="F315" s="286" t="s">
        <v>1157</v>
      </c>
      <c r="G315" s="287"/>
      <c r="H315" s="275"/>
      <c r="I315" s="275"/>
      <c r="J315" s="276"/>
    </row>
    <row r="316" ht="45.0" customHeight="1">
      <c r="A316" s="11">
        <v>315.0</v>
      </c>
      <c r="B316" s="271"/>
      <c r="C316" s="288" t="s">
        <v>2175</v>
      </c>
      <c r="D316" s="289" t="s">
        <v>2174</v>
      </c>
      <c r="E316" s="290">
        <v>1.0</v>
      </c>
      <c r="F316" s="286" t="s">
        <v>1157</v>
      </c>
      <c r="G316" s="275"/>
      <c r="H316" s="275"/>
      <c r="I316" s="275"/>
      <c r="J316" s="276"/>
    </row>
    <row r="317" ht="45.0" customHeight="1">
      <c r="A317" s="11">
        <v>316.0</v>
      </c>
      <c r="B317" s="271"/>
      <c r="C317" s="283" t="s">
        <v>2176</v>
      </c>
      <c r="D317" s="284" t="s">
        <v>2174</v>
      </c>
      <c r="E317" s="285">
        <v>1.0</v>
      </c>
      <c r="F317" s="286" t="s">
        <v>1157</v>
      </c>
      <c r="G317" s="275"/>
      <c r="H317" s="275"/>
      <c r="I317" s="275"/>
      <c r="J317" s="276"/>
    </row>
    <row r="318" ht="45.0" customHeight="1">
      <c r="A318" s="11">
        <v>317.0</v>
      </c>
      <c r="B318" s="271"/>
      <c r="C318" s="288" t="s">
        <v>2177</v>
      </c>
      <c r="D318" s="289" t="s">
        <v>2174</v>
      </c>
      <c r="E318" s="290">
        <v>1.0</v>
      </c>
      <c r="F318" s="286" t="s">
        <v>1157</v>
      </c>
      <c r="G318" s="275"/>
      <c r="H318" s="275"/>
      <c r="I318" s="275"/>
      <c r="J318" s="276"/>
    </row>
    <row r="319" ht="45.0" customHeight="1">
      <c r="A319" s="11">
        <v>318.0</v>
      </c>
      <c r="B319" s="271"/>
      <c r="C319" s="283" t="s">
        <v>2178</v>
      </c>
      <c r="D319" s="284" t="s">
        <v>2174</v>
      </c>
      <c r="E319" s="285">
        <v>10.0</v>
      </c>
      <c r="F319" s="286" t="s">
        <v>1157</v>
      </c>
      <c r="G319" s="275"/>
      <c r="H319" s="275"/>
      <c r="I319" s="275"/>
      <c r="J319" s="276"/>
    </row>
    <row r="320" ht="45.0" customHeight="1">
      <c r="A320" s="11">
        <v>319.0</v>
      </c>
      <c r="B320" s="271"/>
      <c r="C320" s="288" t="s">
        <v>2179</v>
      </c>
      <c r="D320" s="289" t="s">
        <v>2174</v>
      </c>
      <c r="E320" s="290">
        <v>2.0</v>
      </c>
      <c r="F320" s="286" t="s">
        <v>1157</v>
      </c>
      <c r="G320" s="275"/>
      <c r="H320" s="275"/>
      <c r="I320" s="275"/>
      <c r="J320" s="276"/>
    </row>
    <row r="321" ht="45.0" customHeight="1">
      <c r="A321" s="11">
        <v>320.0</v>
      </c>
      <c r="B321" s="271"/>
      <c r="C321" s="272" t="s">
        <v>2180</v>
      </c>
      <c r="D321" s="291" t="s">
        <v>2174</v>
      </c>
      <c r="E321" s="274" t="s">
        <v>2181</v>
      </c>
      <c r="F321" s="286" t="s">
        <v>1157</v>
      </c>
      <c r="G321" s="275"/>
      <c r="H321" s="275"/>
      <c r="I321" s="275"/>
      <c r="J321" s="276"/>
    </row>
    <row r="322" ht="45.0" customHeight="1">
      <c r="A322" s="11">
        <v>321.0</v>
      </c>
      <c r="B322" s="271"/>
      <c r="C322" s="272" t="s">
        <v>2182</v>
      </c>
      <c r="D322" s="291" t="s">
        <v>2174</v>
      </c>
      <c r="E322" s="274" t="s">
        <v>2183</v>
      </c>
      <c r="F322" s="286" t="s">
        <v>1157</v>
      </c>
      <c r="G322" s="275"/>
      <c r="H322" s="275"/>
      <c r="I322" s="275"/>
      <c r="J322" s="276"/>
    </row>
    <row r="323" ht="45.0" customHeight="1">
      <c r="A323" s="11">
        <v>322.0</v>
      </c>
      <c r="B323" s="271"/>
      <c r="C323" s="272" t="s">
        <v>2184</v>
      </c>
      <c r="D323" s="284" t="s">
        <v>2185</v>
      </c>
      <c r="E323" s="285">
        <v>20.0</v>
      </c>
      <c r="F323" s="280" t="s">
        <v>1157</v>
      </c>
      <c r="G323" s="275"/>
      <c r="H323" s="275"/>
      <c r="I323" s="275"/>
      <c r="J323" s="276"/>
    </row>
    <row r="324" ht="45.0" customHeight="1">
      <c r="A324" s="11">
        <v>323.0</v>
      </c>
      <c r="B324" s="271"/>
      <c r="C324" s="292" t="s">
        <v>2186</v>
      </c>
      <c r="D324" s="293" t="s">
        <v>1156</v>
      </c>
      <c r="E324" s="285">
        <v>2.0</v>
      </c>
      <c r="F324" s="280" t="s">
        <v>1157</v>
      </c>
      <c r="G324" s="275"/>
      <c r="H324" s="275"/>
      <c r="I324" s="275"/>
      <c r="J324" s="276"/>
    </row>
    <row r="325" ht="45.0" customHeight="1">
      <c r="A325" s="11">
        <v>324.0</v>
      </c>
      <c r="B325" s="11" t="s">
        <v>1171</v>
      </c>
      <c r="C325" s="93" t="s">
        <v>1172</v>
      </c>
      <c r="D325" s="215" t="s">
        <v>1156</v>
      </c>
      <c r="E325" s="255">
        <v>1.0</v>
      </c>
      <c r="F325" s="11" t="s">
        <v>1157</v>
      </c>
      <c r="G325" s="215" t="s">
        <v>111</v>
      </c>
      <c r="H325" s="11" t="str">
        <f>IMAGE("https://www.sigmaaldrich.com/deepweb/content/dam/sigma-aldrich/product2/017/wha2200110.tif/_jcr_content/renditions/wha2200110-large.jpg", 1)</f>
        <v/>
      </c>
      <c r="I325" s="11" t="s">
        <v>2113</v>
      </c>
    </row>
    <row r="326" ht="45.0" customHeight="1">
      <c r="A326" s="11">
        <v>325.0</v>
      </c>
      <c r="B326" s="11" t="s">
        <v>1183</v>
      </c>
      <c r="C326" s="93" t="s">
        <v>1184</v>
      </c>
      <c r="D326" s="215" t="s">
        <v>1156</v>
      </c>
      <c r="E326" s="11">
        <v>1.0</v>
      </c>
      <c r="F326" s="11" t="s">
        <v>1157</v>
      </c>
      <c r="G326" s="93" t="s">
        <v>1975</v>
      </c>
      <c r="H326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I326" s="11" t="s">
        <v>2115</v>
      </c>
    </row>
    <row r="327" ht="45.0" customHeight="1">
      <c r="A327" s="11">
        <v>326.0</v>
      </c>
      <c r="B327" s="11" t="s">
        <v>1187</v>
      </c>
      <c r="C327" s="93" t="s">
        <v>1188</v>
      </c>
      <c r="D327" s="215" t="s">
        <v>1156</v>
      </c>
      <c r="E327" s="216">
        <v>1.0</v>
      </c>
      <c r="F327" s="11" t="s">
        <v>1157</v>
      </c>
      <c r="G327" s="93" t="s">
        <v>1975</v>
      </c>
      <c r="H327" s="11" t="str">
        <f>IMAGE("https://m.media-amazon.com/images/I/61ra1C535pL._SL1500_.jpg", 1)</f>
        <v/>
      </c>
      <c r="I327" s="11" t="s">
        <v>2116</v>
      </c>
    </row>
    <row r="328" ht="45.0" customHeight="1">
      <c r="A328" s="11">
        <v>327.0</v>
      </c>
      <c r="B328" s="11" t="s">
        <v>1154</v>
      </c>
      <c r="C328" s="93" t="s">
        <v>2110</v>
      </c>
      <c r="D328" s="215" t="s">
        <v>1156</v>
      </c>
      <c r="E328" s="216">
        <v>10.0</v>
      </c>
      <c r="F328" s="11" t="s">
        <v>1157</v>
      </c>
      <c r="G328" s="93" t="s">
        <v>1968</v>
      </c>
      <c r="H328" s="11" t="str">
        <f>IMAGE("https://5.imimg.com/data5/SB/TW/SA/SELLER-91497159/glass-beaker-500x500.jpg",1)</f>
        <v/>
      </c>
      <c r="I328" s="221" t="s">
        <v>2111</v>
      </c>
    </row>
    <row r="329" ht="45.0" customHeight="1">
      <c r="A329" s="11">
        <v>328.0</v>
      </c>
      <c r="B329" s="11" t="s">
        <v>1159</v>
      </c>
      <c r="C329" s="93" t="s">
        <v>1160</v>
      </c>
      <c r="D329" s="215" t="s">
        <v>1156</v>
      </c>
      <c r="E329" s="11">
        <v>5.0</v>
      </c>
      <c r="F329" s="11" t="s">
        <v>1157</v>
      </c>
      <c r="G329" s="93" t="s">
        <v>1968</v>
      </c>
      <c r="H329" s="11" t="str">
        <f>IMAGE("https://m.media-amazon.com/images/I/41vGxqzVasL.jpg",1)</f>
        <v/>
      </c>
      <c r="I329" s="221" t="s">
        <v>2111</v>
      </c>
    </row>
    <row r="330" ht="45.0" customHeight="1">
      <c r="A330" s="11">
        <v>329.0</v>
      </c>
      <c r="B330" s="11" t="s">
        <v>1163</v>
      </c>
      <c r="C330" s="93" t="s">
        <v>1164</v>
      </c>
      <c r="D330" s="215" t="s">
        <v>1156</v>
      </c>
      <c r="E330" s="216">
        <v>8.0</v>
      </c>
      <c r="F330" s="11" t="s">
        <v>1157</v>
      </c>
      <c r="G330" s="93" t="s">
        <v>1968</v>
      </c>
      <c r="H330" s="11" t="str">
        <f>IMAGE("https://m.media-amazon.com/images/I/31b1KCUwqyL.jpg", 1)</f>
        <v/>
      </c>
      <c r="I330" s="221" t="s">
        <v>2111</v>
      </c>
    </row>
    <row r="331" ht="45.0" customHeight="1">
      <c r="A331" s="11">
        <v>330.0</v>
      </c>
      <c r="B331" s="11" t="s">
        <v>1175</v>
      </c>
      <c r="C331" s="93" t="s">
        <v>1176</v>
      </c>
      <c r="D331" s="215" t="s">
        <v>1156</v>
      </c>
      <c r="E331" s="216">
        <v>1.0</v>
      </c>
      <c r="F331" s="11" t="s">
        <v>1157</v>
      </c>
      <c r="G331" s="93" t="s">
        <v>1968</v>
      </c>
      <c r="H331" s="11" t="str">
        <f>IMAGE("https://m.media-amazon.com/images/I/A1PFWcAysAL.jpg", 1)</f>
        <v/>
      </c>
      <c r="I331" s="11" t="s">
        <v>2112</v>
      </c>
    </row>
    <row r="332" ht="45.0" customHeight="1">
      <c r="A332" s="11">
        <v>331.0</v>
      </c>
      <c r="B332" s="11" t="s">
        <v>1204</v>
      </c>
      <c r="C332" s="93" t="s">
        <v>1205</v>
      </c>
      <c r="D332" s="215" t="s">
        <v>1156</v>
      </c>
      <c r="E332" s="216">
        <v>30.0</v>
      </c>
      <c r="F332" s="11" t="s">
        <v>1157</v>
      </c>
      <c r="G332" s="93" t="s">
        <v>1968</v>
      </c>
      <c r="H332" s="11" t="str">
        <f>IMAGE("https://www.abdoslifesciences.com/wp-content/uploads/Abdos_Delhi2-107_P10911-to-P10918-2.png",1)</f>
        <v/>
      </c>
      <c r="I332" s="222" t="s">
        <v>2119</v>
      </c>
    </row>
    <row r="333" ht="45.0" customHeight="1">
      <c r="A333" s="11">
        <v>332.0</v>
      </c>
      <c r="B333" s="11" t="s">
        <v>1208</v>
      </c>
      <c r="C333" s="93" t="s">
        <v>1209</v>
      </c>
      <c r="D333" s="215" t="s">
        <v>1156</v>
      </c>
      <c r="E333" s="11">
        <v>2.0</v>
      </c>
      <c r="F333" s="11" t="s">
        <v>1157</v>
      </c>
      <c r="G333" s="93" t="s">
        <v>1968</v>
      </c>
      <c r="H333" s="11" t="str">
        <f>IMAGE("https://pim-resources.coleparmer.com/product/l/dwk-life-sciences-kimble-dwk-kimble-babcock-pipettes-14663.jpg",1)</f>
        <v/>
      </c>
      <c r="I333" s="11" t="s">
        <v>2117</v>
      </c>
    </row>
    <row r="334" ht="45.0" customHeight="1">
      <c r="A334" s="11">
        <v>333.0</v>
      </c>
      <c r="B334" s="11" t="s">
        <v>1228</v>
      </c>
      <c r="C334" s="93" t="s">
        <v>1229</v>
      </c>
      <c r="D334" s="215" t="s">
        <v>1156</v>
      </c>
      <c r="E334" s="11">
        <v>1.0</v>
      </c>
      <c r="F334" s="11" t="s">
        <v>1157</v>
      </c>
      <c r="G334" s="93" t="s">
        <v>1968</v>
      </c>
      <c r="H334" s="11" t="str">
        <f>IMAGE("https://m.media-amazon.com/images/I/51+vdFGMMML._SL1001_.jpg",1)</f>
        <v/>
      </c>
      <c r="I334" s="11" t="s">
        <v>2027</v>
      </c>
    </row>
    <row r="335" ht="45.0" customHeight="1">
      <c r="A335" s="11">
        <v>334.0</v>
      </c>
      <c r="B335" s="11" t="s">
        <v>1232</v>
      </c>
      <c r="C335" s="93" t="s">
        <v>1233</v>
      </c>
      <c r="D335" s="215" t="s">
        <v>1156</v>
      </c>
      <c r="E335" s="216">
        <v>10.0</v>
      </c>
      <c r="F335" s="11" t="s">
        <v>1157</v>
      </c>
      <c r="G335" s="93" t="s">
        <v>1968</v>
      </c>
      <c r="H335" s="11" t="str">
        <f>IMAGE("https://5.imimg.com/data5/SELLER/Default/2022/10/RF/ME/PW/7444604/12x100mm-glass-test-tube-500x500.jpg", 1)</f>
        <v/>
      </c>
      <c r="I335" s="11" t="s">
        <v>2121</v>
      </c>
    </row>
    <row r="336" ht="45.0" customHeight="1">
      <c r="A336" s="11">
        <v>335.0</v>
      </c>
      <c r="B336" s="11" t="s">
        <v>1236</v>
      </c>
      <c r="C336" s="93" t="s">
        <v>1237</v>
      </c>
      <c r="D336" s="215" t="s">
        <v>1156</v>
      </c>
      <c r="E336" s="216">
        <v>2.0</v>
      </c>
      <c r="F336" s="11" t="s">
        <v>1157</v>
      </c>
      <c r="G336" s="93" t="s">
        <v>1968</v>
      </c>
      <c r="H336" s="11" t="str">
        <f>IMAGE("https://www.abdoslifesciences.com/wp-content/uploads/p10.jpg", 1)</f>
        <v/>
      </c>
      <c r="I336" s="11" t="s">
        <v>2027</v>
      </c>
    </row>
    <row r="337" ht="45.0" customHeight="1">
      <c r="A337" s="11">
        <v>336.0</v>
      </c>
      <c r="B337" s="11" t="s">
        <v>1244</v>
      </c>
      <c r="C337" s="93" t="s">
        <v>1245</v>
      </c>
      <c r="D337" s="215" t="s">
        <v>1156</v>
      </c>
      <c r="E337" s="11">
        <v>10.0</v>
      </c>
      <c r="F337" s="11" t="s">
        <v>1157</v>
      </c>
      <c r="G337" s="93" t="s">
        <v>1968</v>
      </c>
      <c r="H337" s="11" t="str">
        <f>IMAGE("https://m.media-amazon.com/images/I/31U00ndDv2L._SX679_.jpg",1)</f>
        <v/>
      </c>
      <c r="I337" s="11" t="s">
        <v>2122</v>
      </c>
    </row>
    <row r="338" ht="45.0" customHeight="1">
      <c r="A338" s="11">
        <v>337.0</v>
      </c>
      <c r="B338" s="11" t="s">
        <v>1167</v>
      </c>
      <c r="C338" s="93" t="s">
        <v>1168</v>
      </c>
      <c r="D338" s="215" t="s">
        <v>1156</v>
      </c>
      <c r="E338" s="11">
        <v>2.0</v>
      </c>
      <c r="F338" s="11" t="s">
        <v>1157</v>
      </c>
      <c r="G338" s="93" t="s">
        <v>1969</v>
      </c>
      <c r="H338" s="11" t="str">
        <f>IMAGE("https://m.media-amazon.com/images/W/MEDIAX_792452-T2/images/I/71veIL4opPL.jpg",1)</f>
        <v/>
      </c>
      <c r="I338" s="11" t="s">
        <v>2112</v>
      </c>
    </row>
    <row r="339" ht="45.0" customHeight="1">
      <c r="A339" s="11">
        <v>338.0</v>
      </c>
      <c r="B339" s="11" t="s">
        <v>1212</v>
      </c>
      <c r="C339" s="93" t="s">
        <v>1213</v>
      </c>
      <c r="D339" s="215" t="s">
        <v>1156</v>
      </c>
      <c r="E339" s="216">
        <v>10.0</v>
      </c>
      <c r="F339" s="11" t="s">
        <v>1157</v>
      </c>
      <c r="G339" s="93" t="s">
        <v>1969</v>
      </c>
      <c r="H339" s="11" t="str">
        <f>IMAGE("https://5.imimg.com/data5/QC/NX/MY-932240/clear-plastic-funnel-250x250.jpg", 1)</f>
        <v/>
      </c>
      <c r="I339" s="11" t="s">
        <v>2113</v>
      </c>
    </row>
    <row r="340" ht="45.0" customHeight="1">
      <c r="A340" s="11">
        <v>339.0</v>
      </c>
      <c r="B340" s="11" t="s">
        <v>1216</v>
      </c>
      <c r="C340" s="93" t="s">
        <v>1217</v>
      </c>
      <c r="D340" s="215" t="s">
        <v>1156</v>
      </c>
      <c r="E340" s="216">
        <v>10.0</v>
      </c>
      <c r="F340" s="11" t="s">
        <v>1157</v>
      </c>
      <c r="G340" s="93" t="s">
        <v>1969</v>
      </c>
      <c r="H340" s="11" t="str">
        <f>IMAGE("https://www.reagecon.com/product/image/medium/6267270_1.jpg",1)</f>
        <v/>
      </c>
      <c r="I340" s="11" t="s">
        <v>2113</v>
      </c>
    </row>
    <row r="341" ht="45.0" customHeight="1">
      <c r="A341" s="11">
        <v>340.0</v>
      </c>
      <c r="B341" s="11" t="s">
        <v>1224</v>
      </c>
      <c r="C341" s="93" t="s">
        <v>1225</v>
      </c>
      <c r="D341" s="215" t="s">
        <v>1156</v>
      </c>
      <c r="E341" s="216">
        <v>100.0</v>
      </c>
      <c r="F341" s="11" t="s">
        <v>1157</v>
      </c>
      <c r="G341" s="93" t="s">
        <v>1969</v>
      </c>
      <c r="H341" s="11" t="str">
        <f>IMAGE("https://5.imimg.com/data5/GX/OE/MY-972879/30ml-specimen-container-500x500.jpg", 1)</f>
        <v/>
      </c>
      <c r="I341" s="222" t="s">
        <v>2120</v>
      </c>
    </row>
    <row r="342" ht="45.0" customHeight="1">
      <c r="A342" s="11">
        <v>341.0</v>
      </c>
      <c r="B342" s="11" t="s">
        <v>1240</v>
      </c>
      <c r="C342" s="93" t="s">
        <v>1241</v>
      </c>
      <c r="D342" s="215" t="s">
        <v>1156</v>
      </c>
      <c r="E342" s="216">
        <v>2.0</v>
      </c>
      <c r="F342" s="11" t="s">
        <v>1157</v>
      </c>
      <c r="G342" s="93" t="s">
        <v>1969</v>
      </c>
      <c r="H342" s="11" t="str">
        <f>IMAGE("https://www.abdoslifesciences.com/wp-content/uploads/Wash-Bottle-LDPE-day-20376.jpg", 1)</f>
        <v/>
      </c>
      <c r="I342" s="221" t="s">
        <v>2116</v>
      </c>
    </row>
    <row r="343" ht="45.0" customHeight="1">
      <c r="A343" s="11">
        <v>342.0</v>
      </c>
      <c r="B343" s="11" t="s">
        <v>1191</v>
      </c>
      <c r="C343" s="93" t="s">
        <v>1192</v>
      </c>
      <c r="D343" s="215" t="s">
        <v>1156</v>
      </c>
      <c r="E343" s="11">
        <v>1.0</v>
      </c>
      <c r="F343" s="11" t="s">
        <v>1157</v>
      </c>
      <c r="G343" s="93" t="s">
        <v>1971</v>
      </c>
      <c r="H343" s="11" t="str">
        <f>IMAGE("https://5.imimg.com/data5/SI/VL/MY-6819814/multi-volume-adjustable-micropipette.jpg",1)</f>
        <v/>
      </c>
      <c r="I343" s="222" t="s">
        <v>2117</v>
      </c>
    </row>
    <row r="344" ht="45.0" customHeight="1">
      <c r="A344" s="11">
        <v>343.0</v>
      </c>
      <c r="B344" s="11" t="s">
        <v>1195</v>
      </c>
      <c r="C344" s="93" t="s">
        <v>1196</v>
      </c>
      <c r="D344" s="215" t="s">
        <v>1156</v>
      </c>
      <c r="E344" s="216">
        <v>1.0</v>
      </c>
      <c r="F344" s="11" t="s">
        <v>1157</v>
      </c>
      <c r="G344" s="93" t="s">
        <v>1971</v>
      </c>
      <c r="H344" s="11" t="str">
        <f>IMAGE("https://5.imimg.com/data5/SELLER/Default/2021/7/IF/DT/PV/116258883/microscope-cover-glass-250x250.JPG",1)</f>
        <v/>
      </c>
      <c r="I344" s="222" t="s">
        <v>2118</v>
      </c>
    </row>
    <row r="345" ht="45.0" customHeight="1">
      <c r="A345" s="11">
        <v>344.0</v>
      </c>
      <c r="B345" s="11" t="s">
        <v>1200</v>
      </c>
      <c r="C345" s="93" t="s">
        <v>1201</v>
      </c>
      <c r="D345" s="215" t="s">
        <v>1156</v>
      </c>
      <c r="E345" s="216">
        <v>1.0</v>
      </c>
      <c r="F345" s="11" t="s">
        <v>1157</v>
      </c>
      <c r="G345" s="93" t="s">
        <v>1971</v>
      </c>
      <c r="H345" s="11" t="str">
        <f>IMAGE("https://5.imimg.com/data5/AZ/OD/EC/SELLER-20177713/laboratory-slides-500x500.jpg",1)</f>
        <v/>
      </c>
      <c r="I345" s="222" t="s">
        <v>2118</v>
      </c>
    </row>
    <row r="346" ht="45.0" customHeight="1">
      <c r="A346" s="11">
        <v>345.0</v>
      </c>
      <c r="B346" s="11" t="s">
        <v>1179</v>
      </c>
      <c r="C346" s="93" t="s">
        <v>1180</v>
      </c>
      <c r="D346" s="215" t="s">
        <v>1156</v>
      </c>
      <c r="E346" s="216">
        <v>20.0</v>
      </c>
      <c r="F346" s="11" t="s">
        <v>1157</v>
      </c>
      <c r="G346" s="93" t="s">
        <v>1970</v>
      </c>
      <c r="H346" s="11" t="str">
        <f>IMAGE("https://www.domo.in/image/cache/catalog/nHance/LNSS4201/Display-228x228.jpg")</f>
        <v/>
      </c>
      <c r="I346" s="222" t="s">
        <v>2114</v>
      </c>
    </row>
    <row r="347" ht="45.0" customHeight="1">
      <c r="A347" s="11">
        <v>346.0</v>
      </c>
      <c r="B347" s="259" t="s">
        <v>1998</v>
      </c>
      <c r="C347" s="260" t="s">
        <v>1999</v>
      </c>
      <c r="D347" s="215" t="s">
        <v>1156</v>
      </c>
      <c r="E347" s="216">
        <v>4.0</v>
      </c>
      <c r="F347" s="11" t="s">
        <v>1157</v>
      </c>
      <c r="G347" s="270" t="s">
        <v>2187</v>
      </c>
      <c r="H347" s="11"/>
      <c r="I347" s="11" t="s">
        <v>2155</v>
      </c>
    </row>
    <row r="348" ht="45.0" customHeight="1">
      <c r="A348" s="11">
        <v>347.0</v>
      </c>
      <c r="B348" s="11" t="s">
        <v>1269</v>
      </c>
      <c r="C348" s="37" t="s">
        <v>1270</v>
      </c>
      <c r="D348" s="215" t="s">
        <v>1250</v>
      </c>
      <c r="E348" s="11">
        <v>1.0</v>
      </c>
      <c r="F348" s="11" t="s">
        <v>1157</v>
      </c>
      <c r="G348" s="93" t="s">
        <v>1975</v>
      </c>
      <c r="H348" s="11" t="str">
        <f>IMAGE("https://m.media-amazon.com/images/I/61USTYJ+OPL._SL1500_.jpg",1)</f>
        <v/>
      </c>
      <c r="I348" s="11" t="s">
        <v>2027</v>
      </c>
    </row>
    <row r="349" ht="45.0" customHeight="1">
      <c r="A349" s="11">
        <v>348.0</v>
      </c>
      <c r="B349" s="11" t="s">
        <v>1301</v>
      </c>
      <c r="C349" s="93" t="s">
        <v>1302</v>
      </c>
      <c r="D349" s="215" t="s">
        <v>1250</v>
      </c>
      <c r="E349" s="216">
        <v>1.0</v>
      </c>
      <c r="F349" s="11" t="s">
        <v>1157</v>
      </c>
      <c r="G349" s="93" t="s">
        <v>1975</v>
      </c>
      <c r="H349" s="11" t="str">
        <f>IMAGE("https://5.imimg.com/data5/XG/YW/VV/SELLER-219478/hot-plate-round-250x250.jpg",1)</f>
        <v/>
      </c>
      <c r="I349" s="11" t="s">
        <v>2027</v>
      </c>
    </row>
    <row r="350" ht="45.0" customHeight="1">
      <c r="A350" s="11">
        <v>349.0</v>
      </c>
      <c r="B350" s="11" t="s">
        <v>1284</v>
      </c>
      <c r="C350" s="93" t="s">
        <v>1285</v>
      </c>
      <c r="D350" s="215" t="s">
        <v>1250</v>
      </c>
      <c r="E350" s="11">
        <v>1.0</v>
      </c>
      <c r="F350" s="11" t="s">
        <v>1157</v>
      </c>
      <c r="G350" s="93" t="s">
        <v>1964</v>
      </c>
      <c r="H350" s="11"/>
      <c r="I350" s="222" t="s">
        <v>2124</v>
      </c>
    </row>
    <row r="351" ht="45.0" customHeight="1">
      <c r="A351" s="11">
        <v>350.0</v>
      </c>
      <c r="B351" s="11" t="s">
        <v>1305</v>
      </c>
      <c r="C351" s="93" t="s">
        <v>1306</v>
      </c>
      <c r="D351" s="215" t="s">
        <v>1250</v>
      </c>
      <c r="E351" s="216">
        <v>1.0</v>
      </c>
      <c r="F351" s="11" t="s">
        <v>1157</v>
      </c>
      <c r="G351" s="93" t="s">
        <v>1964</v>
      </c>
      <c r="H351" s="11" t="str">
        <f>IMAGE("https://image.made-in-china.com/202f0j00DeSTmvGBnZpR/Electronic-Weighing-Scale-Digital-Scale-of-High-Precision-HWA-.jpg",1)</f>
        <v/>
      </c>
      <c r="I351" s="11" t="s">
        <v>2027</v>
      </c>
    </row>
    <row r="352" ht="45.0" customHeight="1">
      <c r="A352" s="11">
        <v>351.0</v>
      </c>
      <c r="B352" s="11" t="s">
        <v>1309</v>
      </c>
      <c r="C352" s="93" t="s">
        <v>1310</v>
      </c>
      <c r="D352" s="215" t="s">
        <v>1250</v>
      </c>
      <c r="E352" s="216">
        <v>1.0</v>
      </c>
      <c r="F352" s="11" t="s">
        <v>1157</v>
      </c>
      <c r="G352" s="93" t="s">
        <v>1964</v>
      </c>
      <c r="H352" s="11" t="str">
        <f>IMAGE("https://m.media-amazon.com/images/I/71-uBViGV+L._SX522_.jpg",1)</f>
        <v/>
      </c>
      <c r="I352" s="222" t="s">
        <v>2027</v>
      </c>
    </row>
    <row r="353" ht="45.0" customHeight="1">
      <c r="A353" s="11">
        <v>352.0</v>
      </c>
      <c r="B353" s="11" t="s">
        <v>1297</v>
      </c>
      <c r="C353" s="93" t="s">
        <v>1976</v>
      </c>
      <c r="D353" s="215" t="s">
        <v>1250</v>
      </c>
      <c r="E353" s="216">
        <v>20.0</v>
      </c>
      <c r="F353" s="11" t="s">
        <v>1157</v>
      </c>
      <c r="G353" s="93" t="s">
        <v>1971</v>
      </c>
      <c r="H353" s="11" t="str">
        <f>IMAGE("https://m.media-amazon.com/images/I/71O3EMayekL.jpg",1)</f>
        <v/>
      </c>
      <c r="I353" s="222" t="s">
        <v>2125</v>
      </c>
    </row>
    <row r="354" ht="45.0" customHeight="1">
      <c r="A354" s="11">
        <v>353.0</v>
      </c>
      <c r="B354" s="11" t="s">
        <v>1313</v>
      </c>
      <c r="C354" s="93" t="s">
        <v>1314</v>
      </c>
      <c r="D354" s="215" t="s">
        <v>1250</v>
      </c>
      <c r="E354" s="11">
        <v>1.0</v>
      </c>
      <c r="F354" s="11" t="s">
        <v>1157</v>
      </c>
      <c r="G354" s="93" t="s">
        <v>1971</v>
      </c>
      <c r="H354" s="11" t="str">
        <f>IMAGE("https://m.media-amazon.com/images/I/61MstERkLZL._SL1500_.jpg",1)</f>
        <v/>
      </c>
      <c r="I354" s="11" t="s">
        <v>2027</v>
      </c>
    </row>
    <row r="355" ht="45.0" customHeight="1">
      <c r="A355" s="11">
        <v>354.0</v>
      </c>
      <c r="B355" s="11" t="s">
        <v>1321</v>
      </c>
      <c r="C355" s="93" t="s">
        <v>1322</v>
      </c>
      <c r="D355" s="215" t="s">
        <v>1250</v>
      </c>
      <c r="E355" s="216">
        <v>1.0</v>
      </c>
      <c r="F355" s="11" t="s">
        <v>1157</v>
      </c>
      <c r="G355" s="93" t="s">
        <v>1971</v>
      </c>
      <c r="H355" s="11" t="str">
        <f>IMAGE("https://m.media-amazon.com/images/I/61yYBr4qxBL._SL1276_.jpg",1)</f>
        <v/>
      </c>
      <c r="I355" s="222" t="s">
        <v>2027</v>
      </c>
    </row>
    <row r="356" ht="45.0" customHeight="1">
      <c r="A356" s="11">
        <v>355.0</v>
      </c>
      <c r="B356" s="271"/>
      <c r="C356" s="288" t="s">
        <v>2188</v>
      </c>
      <c r="D356" s="289" t="s">
        <v>2189</v>
      </c>
      <c r="E356" s="290">
        <v>2.0</v>
      </c>
      <c r="F356" s="294" t="s">
        <v>1157</v>
      </c>
      <c r="G356" s="275"/>
      <c r="H356" s="275"/>
      <c r="I356" s="275"/>
      <c r="J356" s="276"/>
    </row>
    <row r="357" ht="45.0" customHeight="1">
      <c r="A357" s="11">
        <v>356.0</v>
      </c>
      <c r="B357" s="271"/>
      <c r="C357" s="283" t="s">
        <v>2190</v>
      </c>
      <c r="D357" s="284" t="s">
        <v>2189</v>
      </c>
      <c r="E357" s="285">
        <v>2.0</v>
      </c>
      <c r="F357" s="295" t="s">
        <v>1157</v>
      </c>
      <c r="G357" s="275"/>
      <c r="H357" s="275"/>
      <c r="I357" s="275"/>
      <c r="J357" s="276"/>
    </row>
    <row r="358" ht="45.0" customHeight="1">
      <c r="A358" s="11">
        <v>357.0</v>
      </c>
      <c r="B358" s="271"/>
      <c r="C358" s="296" t="s">
        <v>2191</v>
      </c>
      <c r="D358" s="297" t="s">
        <v>1156</v>
      </c>
      <c r="E358" s="290">
        <v>1.0</v>
      </c>
      <c r="F358" s="294" t="s">
        <v>1157</v>
      </c>
      <c r="G358" s="275"/>
      <c r="H358" s="275"/>
      <c r="I358" s="275"/>
      <c r="J358" s="276"/>
    </row>
    <row r="359" ht="45.0" customHeight="1">
      <c r="A359" s="11">
        <v>358.0</v>
      </c>
      <c r="B359" s="271"/>
      <c r="C359" s="288" t="s">
        <v>2192</v>
      </c>
      <c r="D359" s="289" t="s">
        <v>2193</v>
      </c>
      <c r="E359" s="290">
        <v>2.0</v>
      </c>
      <c r="F359" s="294" t="s">
        <v>1157</v>
      </c>
      <c r="G359" s="275"/>
      <c r="H359" s="275"/>
      <c r="I359" s="275"/>
      <c r="J359" s="276"/>
    </row>
    <row r="360" ht="45.0" customHeight="1">
      <c r="A360" s="11">
        <v>359.0</v>
      </c>
      <c r="B360" s="271"/>
      <c r="C360" s="283" t="s">
        <v>2194</v>
      </c>
      <c r="D360" s="284" t="s">
        <v>2193</v>
      </c>
      <c r="E360" s="285">
        <v>2.0</v>
      </c>
      <c r="F360" s="295" t="s">
        <v>1157</v>
      </c>
      <c r="G360" s="275"/>
      <c r="H360" s="275"/>
      <c r="I360" s="275"/>
      <c r="J360" s="276"/>
    </row>
    <row r="361" ht="45.0" customHeight="1">
      <c r="A361" s="11">
        <v>360.0</v>
      </c>
      <c r="B361" s="11" t="s">
        <v>344</v>
      </c>
      <c r="C361" s="93" t="s">
        <v>345</v>
      </c>
      <c r="D361" s="215" t="s">
        <v>346</v>
      </c>
      <c r="E361" s="216">
        <v>2.0</v>
      </c>
      <c r="F361" s="11" t="s">
        <v>347</v>
      </c>
      <c r="G361" s="215" t="s">
        <v>346</v>
      </c>
      <c r="H361" s="11" t="str">
        <f>IMAGE("https://m.media-amazon.com/images/I/71NdWJD1LKL._SL1500_.jpg",1)</f>
        <v/>
      </c>
      <c r="I361" s="11" t="s">
        <v>2050</v>
      </c>
    </row>
    <row r="362" ht="45.0" customHeight="1">
      <c r="A362" s="11">
        <v>361.0</v>
      </c>
      <c r="B362" s="11" t="s">
        <v>350</v>
      </c>
      <c r="C362" s="93" t="s">
        <v>351</v>
      </c>
      <c r="D362" s="215" t="s">
        <v>346</v>
      </c>
      <c r="E362" s="216">
        <v>2.0</v>
      </c>
      <c r="F362" s="11" t="s">
        <v>347</v>
      </c>
      <c r="G362" s="215" t="s">
        <v>346</v>
      </c>
      <c r="H362" s="11" t="str">
        <f>IMAGE("https://m.media-amazon.com/images/I/41GBeFsg3kL.jpg",1)</f>
        <v/>
      </c>
      <c r="I362" s="11" t="s">
        <v>2051</v>
      </c>
    </row>
    <row r="363" ht="45.0" customHeight="1">
      <c r="A363" s="11">
        <v>362.0</v>
      </c>
      <c r="B363" s="11" t="s">
        <v>355</v>
      </c>
      <c r="C363" s="93" t="s">
        <v>356</v>
      </c>
      <c r="D363" s="215" t="s">
        <v>346</v>
      </c>
      <c r="E363" s="216">
        <v>1.0</v>
      </c>
      <c r="F363" s="11" t="s">
        <v>347</v>
      </c>
      <c r="G363" s="215" t="s">
        <v>346</v>
      </c>
      <c r="H363" s="11" t="str">
        <f>IMAGE("https://services.ibo.com/media/v1/products/images/db78032d-e5ba-4c4c-bc8f-110fa0021b77/stanley-sta7221xjin-16-pc-drilling-and-screwdriving-set-1.jpeg",1)</f>
        <v/>
      </c>
      <c r="I363" s="11" t="s">
        <v>2050</v>
      </c>
    </row>
    <row r="364" ht="45.0" customHeight="1">
      <c r="A364" s="11">
        <v>363.0</v>
      </c>
      <c r="B364" s="11" t="s">
        <v>359</v>
      </c>
      <c r="C364" s="93" t="s">
        <v>360</v>
      </c>
      <c r="D364" s="215" t="s">
        <v>346</v>
      </c>
      <c r="E364" s="216">
        <v>1.0</v>
      </c>
      <c r="F364" s="11" t="s">
        <v>347</v>
      </c>
      <c r="G364" s="215" t="s">
        <v>346</v>
      </c>
      <c r="H364" s="11" t="str">
        <f>IMAGE("https://cdn.moglix.com/p/Rn8lZopeAizs5-xxlarge.jpg",1)</f>
        <v/>
      </c>
      <c r="I364" s="11" t="s">
        <v>2050</v>
      </c>
    </row>
    <row r="365" ht="45.0" customHeight="1">
      <c r="A365" s="11">
        <v>364.0</v>
      </c>
      <c r="B365" s="11" t="s">
        <v>363</v>
      </c>
      <c r="C365" s="93" t="s">
        <v>364</v>
      </c>
      <c r="D365" s="215" t="s">
        <v>346</v>
      </c>
      <c r="E365" s="216">
        <v>1.0</v>
      </c>
      <c r="F365" s="11" t="s">
        <v>347</v>
      </c>
      <c r="G365" s="215" t="s">
        <v>346</v>
      </c>
      <c r="H365" s="11" t="str">
        <f>IMAGE("https://m.media-amazon.com/images/I/51wli9aWH9S._SL1000_.jpg",1)</f>
        <v/>
      </c>
      <c r="I365" s="11" t="s">
        <v>2050</v>
      </c>
    </row>
    <row r="366" ht="45.0" customHeight="1">
      <c r="A366" s="11">
        <v>365.0</v>
      </c>
      <c r="B366" s="11" t="s">
        <v>367</v>
      </c>
      <c r="C366" s="93" t="s">
        <v>368</v>
      </c>
      <c r="D366" s="215" t="s">
        <v>346</v>
      </c>
      <c r="E366" s="216">
        <v>20.0</v>
      </c>
      <c r="F366" s="11" t="s">
        <v>347</v>
      </c>
      <c r="G366" s="215" t="s">
        <v>346</v>
      </c>
      <c r="H366" s="11" t="str">
        <f>IMAGE("https://res.cloudinary.com/rsc/image/upload/b_rgb:FFFFFF,c_pad,dpr_1.0,f_auto,q_auto,w_700/c_pad,w_700/C4847566-05",1)</f>
        <v/>
      </c>
      <c r="I366" s="11" t="s">
        <v>2051</v>
      </c>
    </row>
    <row r="367" ht="45.0" customHeight="1">
      <c r="A367" s="11">
        <v>366.0</v>
      </c>
      <c r="B367" s="11" t="s">
        <v>371</v>
      </c>
      <c r="C367" s="93" t="s">
        <v>372</v>
      </c>
      <c r="D367" s="215" t="s">
        <v>346</v>
      </c>
      <c r="E367" s="216">
        <v>2.0</v>
      </c>
      <c r="F367" s="11" t="s">
        <v>347</v>
      </c>
      <c r="G367" s="215" t="s">
        <v>346</v>
      </c>
      <c r="H367" s="11" t="str">
        <f>IMAGE("https://5.imimg.com/data5/JR/LF/GK/SELLER-30390418/hacksaw-500x500.png",1)</f>
        <v/>
      </c>
      <c r="I367" s="11" t="s">
        <v>2053</v>
      </c>
    </row>
    <row r="368" ht="45.0" customHeight="1">
      <c r="A368" s="11">
        <v>367.0</v>
      </c>
      <c r="B368" s="11" t="s">
        <v>374</v>
      </c>
      <c r="C368" s="93" t="s">
        <v>375</v>
      </c>
      <c r="D368" s="215" t="s">
        <v>346</v>
      </c>
      <c r="E368" s="216">
        <v>5.0</v>
      </c>
      <c r="F368" s="11" t="s">
        <v>347</v>
      </c>
      <c r="G368" s="215" t="s">
        <v>346</v>
      </c>
      <c r="H368" s="11" t="str">
        <f>IMAGE("https://encrypted-tbn0.gstatic.com/images?q=tbn:ANd9GcRnlFGDkPLnXJSjTXFe7fzQ2kj51brspxAcjVtkmgU5NgUWN5-EbmbNTptE-Y3t4g8lr84&amp;usqp=CAU",1)</f>
        <v/>
      </c>
      <c r="I368" s="11" t="s">
        <v>2053</v>
      </c>
    </row>
    <row r="369" ht="45.0" customHeight="1">
      <c r="A369" s="11">
        <v>368.0</v>
      </c>
      <c r="B369" s="11" t="s">
        <v>378</v>
      </c>
      <c r="C369" s="93" t="s">
        <v>379</v>
      </c>
      <c r="D369" s="215" t="s">
        <v>346</v>
      </c>
      <c r="E369" s="216">
        <v>2.0</v>
      </c>
      <c r="F369" s="11" t="s">
        <v>347</v>
      </c>
      <c r="G369" s="215" t="s">
        <v>346</v>
      </c>
      <c r="H369" s="11" t="str">
        <f>IMAGE("https://www.stanleytools.me/EMEA/PRODUCT/IMAGES/HIRES/STHT0-10194/STHT0-10194_1.jpg?resize=530x530",1)</f>
        <v/>
      </c>
      <c r="I369" s="11" t="s">
        <v>2050</v>
      </c>
    </row>
    <row r="370" ht="45.0" customHeight="1">
      <c r="A370" s="11">
        <v>369.0</v>
      </c>
      <c r="B370" s="11" t="s">
        <v>381</v>
      </c>
      <c r="C370" s="93" t="s">
        <v>382</v>
      </c>
      <c r="D370" s="215" t="s">
        <v>346</v>
      </c>
      <c r="E370" s="216">
        <v>10.0</v>
      </c>
      <c r="F370" s="11" t="s">
        <v>347</v>
      </c>
      <c r="G370" s="215" t="s">
        <v>346</v>
      </c>
      <c r="H370" s="11" t="str">
        <f>IMAGE("https://sc04.alicdn.com/kf/HTB1fK8lXPvuK1Rjy0Faq6x2aVXa5.jpg",1)</f>
        <v/>
      </c>
      <c r="I370" s="11" t="s">
        <v>2054</v>
      </c>
    </row>
    <row r="371" ht="45.0" customHeight="1">
      <c r="A371" s="11">
        <v>370.0</v>
      </c>
      <c r="B371" s="11" t="s">
        <v>385</v>
      </c>
      <c r="C371" s="93" t="s">
        <v>1926</v>
      </c>
      <c r="D371" s="215" t="s">
        <v>346</v>
      </c>
      <c r="E371" s="11">
        <v>1.0</v>
      </c>
      <c r="F371" s="11" t="s">
        <v>347</v>
      </c>
      <c r="G371" s="215" t="s">
        <v>346</v>
      </c>
      <c r="H371" s="11" t="str">
        <f>IMAGE("https://asia.blackanddecker.global/ASIA/PRODUCT/IMAGES/HIRES/RT18KA-B1/RT18KA_1.jpg?resize=530x530", 1)</f>
        <v/>
      </c>
      <c r="I371" s="11" t="s">
        <v>2050</v>
      </c>
    </row>
    <row r="372" ht="45.0" customHeight="1">
      <c r="A372" s="11">
        <v>371.0</v>
      </c>
      <c r="B372" s="11" t="s">
        <v>388</v>
      </c>
      <c r="C372" s="93" t="s">
        <v>1927</v>
      </c>
      <c r="D372" s="215" t="s">
        <v>346</v>
      </c>
      <c r="E372" s="216">
        <v>5.0</v>
      </c>
      <c r="F372" s="11" t="s">
        <v>347</v>
      </c>
      <c r="G372" s="215" t="s">
        <v>346</v>
      </c>
      <c r="H372" s="11" t="str">
        <f>IMAGE("https://m.media-amazon.com/images/I/518vUksgebL._SL1100_.jpg",1)</f>
        <v/>
      </c>
      <c r="I372" s="11" t="s">
        <v>2055</v>
      </c>
    </row>
    <row r="373" ht="45.0" customHeight="1">
      <c r="A373" s="11">
        <v>372.0</v>
      </c>
      <c r="B373" s="11" t="s">
        <v>392</v>
      </c>
      <c r="C373" s="93" t="s">
        <v>1928</v>
      </c>
      <c r="D373" s="215" t="s">
        <v>346</v>
      </c>
      <c r="E373" s="216">
        <v>5.0</v>
      </c>
      <c r="F373" s="11" t="s">
        <v>347</v>
      </c>
      <c r="G373" s="215" t="s">
        <v>346</v>
      </c>
      <c r="H373" s="11" t="str">
        <f>IMAGE("https://rukminim1.flixcart.com/image/416/416/jidg9zk0/art-craft-kit/f/g/a/9mm-snap-off-precision-blades-30-degree-blades-100-blade-pack-1-original-imaf66g6ahvgzem3.jpeg?q=70",1)</f>
        <v/>
      </c>
      <c r="I373" s="11" t="s">
        <v>2055</v>
      </c>
    </row>
    <row r="374" ht="45.0" customHeight="1">
      <c r="A374" s="11">
        <v>373.0</v>
      </c>
      <c r="B374" s="11" t="s">
        <v>396</v>
      </c>
      <c r="C374" s="93" t="s">
        <v>1929</v>
      </c>
      <c r="D374" s="215" t="s">
        <v>346</v>
      </c>
      <c r="E374" s="216">
        <v>5.0</v>
      </c>
      <c r="F374" s="11" t="s">
        <v>347</v>
      </c>
      <c r="G374" s="215" t="s">
        <v>346</v>
      </c>
      <c r="H374" s="11" t="str">
        <f>IMAGE("https://m.media-amazon.com/images/I/31u15vg7r0L._SX342_.jpg",1)</f>
        <v/>
      </c>
      <c r="I374" s="11" t="s">
        <v>2056</v>
      </c>
    </row>
    <row r="375" ht="45.0" customHeight="1">
      <c r="A375" s="11">
        <v>374.0</v>
      </c>
      <c r="B375" s="11" t="s">
        <v>400</v>
      </c>
      <c r="C375" s="93" t="s">
        <v>1930</v>
      </c>
      <c r="D375" s="215" t="s">
        <v>346</v>
      </c>
      <c r="E375" s="216">
        <v>10.0</v>
      </c>
      <c r="F375" s="11" t="s">
        <v>347</v>
      </c>
      <c r="G375" s="215" t="s">
        <v>346</v>
      </c>
      <c r="H375" s="11" t="str">
        <f>IMAGE("https://hydetools.com/wp-content/uploads/2019/09/42046b.jpg",1)</f>
        <v/>
      </c>
      <c r="I375" s="11" t="s">
        <v>2056</v>
      </c>
    </row>
    <row r="376" ht="45.0" customHeight="1">
      <c r="A376" s="11">
        <v>375.0</v>
      </c>
      <c r="B376" s="11" t="s">
        <v>404</v>
      </c>
      <c r="C376" s="93" t="s">
        <v>405</v>
      </c>
      <c r="D376" s="215" t="s">
        <v>346</v>
      </c>
      <c r="E376" s="216">
        <v>10.0</v>
      </c>
      <c r="F376" s="11" t="s">
        <v>347</v>
      </c>
      <c r="G376" s="215" t="s">
        <v>346</v>
      </c>
      <c r="H376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I376" s="11" t="s">
        <v>2057</v>
      </c>
    </row>
    <row r="377" ht="45.0" customHeight="1">
      <c r="A377" s="11">
        <v>376.0</v>
      </c>
      <c r="B377" s="11" t="s">
        <v>407</v>
      </c>
      <c r="C377" s="93" t="s">
        <v>408</v>
      </c>
      <c r="D377" s="215" t="s">
        <v>346</v>
      </c>
      <c r="E377" s="216">
        <v>10.0</v>
      </c>
      <c r="F377" s="11" t="s">
        <v>347</v>
      </c>
      <c r="G377" s="215" t="s">
        <v>346</v>
      </c>
      <c r="H377" s="11" t="str">
        <f>IMAGE("https://cdn-reichelt.de/bilder/web/xxl_ws/I210/LEITZ_54166095.png",1)</f>
        <v/>
      </c>
      <c r="I377" s="11" t="s">
        <v>2057</v>
      </c>
    </row>
    <row r="378" ht="45.0" customHeight="1">
      <c r="A378" s="11">
        <v>377.0</v>
      </c>
      <c r="B378" s="11" t="s">
        <v>1022</v>
      </c>
      <c r="C378" s="93" t="s">
        <v>1023</v>
      </c>
      <c r="D378" s="215" t="s">
        <v>981</v>
      </c>
      <c r="E378" s="216">
        <v>10.0</v>
      </c>
      <c r="F378" s="11" t="s">
        <v>347</v>
      </c>
      <c r="G378" s="215" t="s">
        <v>981</v>
      </c>
      <c r="H378" s="11" t="str">
        <f>IMAGE("https://www.shaanstationery.com/image/cache/catalog/kangaro/kangaro-stapler-no-10-corner-view-1000x1000.jpg",1)</f>
        <v/>
      </c>
      <c r="I378" s="11" t="s">
        <v>2100</v>
      </c>
    </row>
    <row r="379" ht="45.0" customHeight="1">
      <c r="A379" s="11">
        <v>378.0</v>
      </c>
      <c r="B379" s="11" t="s">
        <v>1026</v>
      </c>
      <c r="C379" s="93" t="s">
        <v>1027</v>
      </c>
      <c r="D379" s="215" t="s">
        <v>981</v>
      </c>
      <c r="E379" s="216">
        <v>10.0</v>
      </c>
      <c r="F379" s="11" t="s">
        <v>347</v>
      </c>
      <c r="G379" s="215" t="s">
        <v>981</v>
      </c>
      <c r="H379" s="11" t="str">
        <f>IMAGE("https://sc04.alicdn.com/kf/HTB1f9mqOZbpK1RjSZFyq6x_qFXaz.jpg",1)</f>
        <v/>
      </c>
      <c r="I379" s="11" t="s">
        <v>2100</v>
      </c>
    </row>
    <row r="380" ht="45.0" customHeight="1">
      <c r="A380" s="11">
        <v>379.0</v>
      </c>
      <c r="B380" s="11" t="s">
        <v>1077</v>
      </c>
      <c r="C380" s="93" t="s">
        <v>1078</v>
      </c>
      <c r="D380" s="215" t="s">
        <v>1032</v>
      </c>
      <c r="E380" s="216">
        <v>50.0</v>
      </c>
      <c r="F380" s="11" t="s">
        <v>347</v>
      </c>
      <c r="G380" s="93" t="s">
        <v>23</v>
      </c>
      <c r="H380" s="11" t="str">
        <f>IMAGE("https://m.media-amazon.com/images/I/51OTKanSUXL._SL1024_.jpg",1)</f>
        <v/>
      </c>
      <c r="I380" s="11" t="s">
        <v>2103</v>
      </c>
    </row>
    <row r="381" ht="45.0" customHeight="1">
      <c r="A381" s="11">
        <v>380.0</v>
      </c>
      <c r="B381" s="11" t="s">
        <v>1127</v>
      </c>
      <c r="C381" s="93" t="s">
        <v>1128</v>
      </c>
      <c r="D381" s="215" t="s">
        <v>1032</v>
      </c>
      <c r="E381" s="216">
        <v>1.0</v>
      </c>
      <c r="F381" s="11" t="s">
        <v>347</v>
      </c>
      <c r="G381" s="93" t="s">
        <v>23</v>
      </c>
      <c r="H381" s="11" t="str">
        <f>IMAGE("https://cdn.bmstores.co.uk/images/hpcProductImage/imgFull/369783-stanley-sealant-gun-diy.jpg",1)</f>
        <v/>
      </c>
      <c r="I381" s="11" t="s">
        <v>2050</v>
      </c>
    </row>
    <row r="382" ht="45.0" customHeight="1">
      <c r="A382" s="11">
        <v>381.0</v>
      </c>
      <c r="B382" s="11" t="s">
        <v>1131</v>
      </c>
      <c r="C382" s="93" t="s">
        <v>1132</v>
      </c>
      <c r="D382" s="215" t="s">
        <v>1032</v>
      </c>
      <c r="E382" s="216">
        <v>1.0</v>
      </c>
      <c r="F382" s="11" t="s">
        <v>347</v>
      </c>
      <c r="G382" s="93" t="s">
        <v>23</v>
      </c>
      <c r="H382" s="11" t="str">
        <f>IMAGE("https://5.imimg.com/data5/SELLER/Default/2020/12/RU/ZP/SZ/45671901/alstone-silicone-sealant-500x500.jpeg",1)</f>
        <v/>
      </c>
      <c r="I382" s="231" t="s">
        <v>2107</v>
      </c>
    </row>
    <row r="383" ht="45.0" customHeight="1">
      <c r="A383" s="11">
        <v>382.0</v>
      </c>
      <c r="B383" s="11" t="s">
        <v>1030</v>
      </c>
      <c r="C383" s="93" t="s">
        <v>1031</v>
      </c>
      <c r="D383" s="215" t="s">
        <v>1032</v>
      </c>
      <c r="E383" s="11">
        <v>1.0</v>
      </c>
      <c r="F383" s="11" t="s">
        <v>347</v>
      </c>
      <c r="G383" s="215" t="s">
        <v>1032</v>
      </c>
      <c r="H383" s="11" t="str">
        <f>IMAGE("https://m.media-amazon.com/images/I/61+L7sYwiBL._SL1500_.jpg",1)</f>
        <v/>
      </c>
      <c r="I383" s="11" t="s">
        <v>2050</v>
      </c>
    </row>
    <row r="384" ht="45.0" customHeight="1">
      <c r="A384" s="11">
        <v>383.0</v>
      </c>
      <c r="B384" s="11" t="s">
        <v>1035</v>
      </c>
      <c r="C384" s="93" t="s">
        <v>1036</v>
      </c>
      <c r="D384" s="215" t="s">
        <v>1032</v>
      </c>
      <c r="E384" s="216">
        <v>2.0</v>
      </c>
      <c r="F384" s="11" t="s">
        <v>347</v>
      </c>
      <c r="G384" s="215" t="s">
        <v>1032</v>
      </c>
      <c r="H384" s="11" t="e">
        <v>#VALUE!</v>
      </c>
      <c r="I384" s="11" t="s">
        <v>2050</v>
      </c>
    </row>
    <row r="385" ht="45.0" customHeight="1">
      <c r="A385" s="11">
        <v>384.0</v>
      </c>
      <c r="B385" s="11" t="s">
        <v>1038</v>
      </c>
      <c r="C385" s="93" t="s">
        <v>1039</v>
      </c>
      <c r="D385" s="215" t="s">
        <v>1032</v>
      </c>
      <c r="E385" s="216">
        <v>1.0</v>
      </c>
      <c r="F385" s="11" t="s">
        <v>347</v>
      </c>
      <c r="G385" s="215" t="s">
        <v>1032</v>
      </c>
      <c r="H385" s="11" t="str">
        <f>IMAGE("https://m.media-amazon.com/images/I/71qyUXJ5i6L._AC_UF1000,1000_QL80_.jpg",1)</f>
        <v/>
      </c>
      <c r="I385" s="11" t="s">
        <v>2050</v>
      </c>
    </row>
    <row r="386" ht="45.0" customHeight="1">
      <c r="A386" s="11">
        <v>385.0</v>
      </c>
      <c r="B386" s="11" t="s">
        <v>1042</v>
      </c>
      <c r="C386" s="93" t="s">
        <v>1043</v>
      </c>
      <c r="D386" s="215" t="s">
        <v>1032</v>
      </c>
      <c r="E386" s="216">
        <v>1.0</v>
      </c>
      <c r="F386" s="11" t="s">
        <v>347</v>
      </c>
      <c r="G386" s="215" t="s">
        <v>1032</v>
      </c>
      <c r="H386" s="11" t="str">
        <f>IMAGE("https://5.imimg.com/data5/TS/AU/MY-11200044/steel-shaft-claw-hammer-500x500.jpg",1)</f>
        <v/>
      </c>
      <c r="I386" s="11" t="s">
        <v>2050</v>
      </c>
    </row>
    <row r="387" ht="45.0" customHeight="1">
      <c r="A387" s="11">
        <v>386.0</v>
      </c>
      <c r="B387" s="11" t="s">
        <v>1046</v>
      </c>
      <c r="C387" s="93" t="s">
        <v>1047</v>
      </c>
      <c r="D387" s="215" t="s">
        <v>1032</v>
      </c>
      <c r="E387" s="216">
        <v>1.0</v>
      </c>
      <c r="F387" s="11" t="s">
        <v>347</v>
      </c>
      <c r="G387" s="215" t="s">
        <v>1032</v>
      </c>
      <c r="H387" s="11" t="str">
        <f>IMAGE("https://5.imimg.com/data5/GU/RT/MY-2970994/bench-clamp.jpg",1)</f>
        <v/>
      </c>
      <c r="I387" s="11" t="s">
        <v>2050</v>
      </c>
    </row>
    <row r="388" ht="45.0" customHeight="1">
      <c r="A388" s="11">
        <v>387.0</v>
      </c>
      <c r="B388" s="11" t="s">
        <v>1050</v>
      </c>
      <c r="C388" s="93" t="s">
        <v>1051</v>
      </c>
      <c r="D388" s="215" t="s">
        <v>1032</v>
      </c>
      <c r="E388" s="216">
        <v>1.0</v>
      </c>
      <c r="F388" s="11" t="s">
        <v>347</v>
      </c>
      <c r="G388" s="215" t="s">
        <v>1032</v>
      </c>
      <c r="H388" s="11" t="str">
        <f>IMAGE("https://images.jdmagicbox.com/quickquotes/images_main/plier-381885296-5n4zf.jpg",1)</f>
        <v/>
      </c>
      <c r="I388" s="11" t="s">
        <v>2050</v>
      </c>
    </row>
    <row r="389" ht="45.0" customHeight="1">
      <c r="A389" s="11">
        <v>388.0</v>
      </c>
      <c r="B389" s="11" t="s">
        <v>1054</v>
      </c>
      <c r="C389" s="93" t="s">
        <v>1055</v>
      </c>
      <c r="D389" s="215" t="s">
        <v>1032</v>
      </c>
      <c r="E389" s="216">
        <v>1.0</v>
      </c>
      <c r="F389" s="11" t="s">
        <v>347</v>
      </c>
      <c r="G389" s="215" t="s">
        <v>1032</v>
      </c>
      <c r="H389" s="11" t="str">
        <f>IMAGE("https://m.media-amazon.com/images/I/613WSFIoSjL._SL1500_.jpg",1)</f>
        <v/>
      </c>
      <c r="I389" s="11" t="s">
        <v>2050</v>
      </c>
    </row>
    <row r="390" ht="45.0" customHeight="1">
      <c r="A390" s="11">
        <v>389.0</v>
      </c>
      <c r="B390" s="11" t="s">
        <v>1058</v>
      </c>
      <c r="C390" s="93" t="s">
        <v>1059</v>
      </c>
      <c r="D390" s="215" t="s">
        <v>1032</v>
      </c>
      <c r="E390" s="216">
        <v>1.0</v>
      </c>
      <c r="F390" s="11" t="s">
        <v>347</v>
      </c>
      <c r="G390" s="215" t="s">
        <v>1032</v>
      </c>
      <c r="H390" s="11" t="str">
        <f>IMAGE("https://in.misumi-ec.com/linked/material/fs/FUJ1/PHOTO/223000817171_001.jpg?$product_main$",1)</f>
        <v/>
      </c>
      <c r="I390" s="11" t="s">
        <v>2050</v>
      </c>
    </row>
    <row r="391" ht="45.0" customHeight="1">
      <c r="A391" s="11">
        <v>390.0</v>
      </c>
      <c r="B391" s="11" t="s">
        <v>1062</v>
      </c>
      <c r="C391" s="93" t="s">
        <v>1063</v>
      </c>
      <c r="D391" s="215" t="s">
        <v>1032</v>
      </c>
      <c r="E391" s="216">
        <v>2.0</v>
      </c>
      <c r="F391" s="11" t="s">
        <v>347</v>
      </c>
      <c r="G391" s="215" t="s">
        <v>1032</v>
      </c>
      <c r="H391" s="11" t="str">
        <f>IMAGE("https://i.ebayimg.com/images/g/QLMAAOSwETxj4~0j/s-l1600.jpg",1)</f>
        <v/>
      </c>
      <c r="I391" s="222" t="s">
        <v>2195</v>
      </c>
    </row>
    <row r="392" ht="45.0" customHeight="1">
      <c r="A392" s="11">
        <v>391.0</v>
      </c>
      <c r="B392" s="11" t="s">
        <v>1066</v>
      </c>
      <c r="C392" s="93" t="s">
        <v>1067</v>
      </c>
      <c r="D392" s="215" t="s">
        <v>1032</v>
      </c>
      <c r="E392" s="216">
        <v>1.0</v>
      </c>
      <c r="F392" s="11" t="s">
        <v>347</v>
      </c>
      <c r="G392" s="215" t="s">
        <v>1032</v>
      </c>
      <c r="H392" s="11" t="str">
        <f>IMAGE("https://res.cloudinary.com/rsc/image/upload/b_rgb:FFFFFF,c_pad,dpr_1.0,f_auto,q_auto,w_700/c_pad,w_700/C1985249-01",1)</f>
        <v/>
      </c>
      <c r="I392" s="11" t="s">
        <v>2050</v>
      </c>
    </row>
    <row r="393" ht="45.0" customHeight="1">
      <c r="A393" s="11">
        <v>392.0</v>
      </c>
      <c r="B393" s="11" t="s">
        <v>1070</v>
      </c>
      <c r="C393" s="93" t="s">
        <v>1071</v>
      </c>
      <c r="D393" s="215" t="s">
        <v>1032</v>
      </c>
      <c r="E393" s="216">
        <v>10.0</v>
      </c>
      <c r="F393" s="11" t="s">
        <v>347</v>
      </c>
      <c r="G393" s="215" t="s">
        <v>1032</v>
      </c>
      <c r="H393" s="11" t="str">
        <f>IMAGE("https://cdn.shopify.com/s/files/1/0064/3412/7939/products/71vpWrfPgFL._SL1000_9c7ae600-0e17-44f0-97b0-7a8fa32a55cc_2048x.jpg?v=1540199513",1)</f>
        <v/>
      </c>
      <c r="I393" s="231" t="s">
        <v>2101</v>
      </c>
      <c r="J393" s="298"/>
    </row>
    <row r="394" ht="45.0" customHeight="1">
      <c r="A394" s="11">
        <v>393.0</v>
      </c>
      <c r="B394" s="11" t="s">
        <v>1074</v>
      </c>
      <c r="C394" s="93" t="s">
        <v>1075</v>
      </c>
      <c r="D394" s="215" t="s">
        <v>1032</v>
      </c>
      <c r="E394" s="216">
        <v>4.0</v>
      </c>
      <c r="F394" s="11" t="s">
        <v>347</v>
      </c>
      <c r="G394" s="215" t="s">
        <v>1032</v>
      </c>
      <c r="H394" s="11" t="str">
        <f>IMAGE("https://cdn.shopify.com/s/files/1/0088/0056/7392/products/71GahpQFYhL._SL1500_1024x.jpg?v=1634034762",1)</f>
        <v/>
      </c>
      <c r="I394" s="11" t="s">
        <v>2102</v>
      </c>
      <c r="J394" s="298"/>
    </row>
    <row r="395" ht="45.0" customHeight="1">
      <c r="A395" s="11">
        <v>394.0</v>
      </c>
      <c r="B395" s="11" t="s">
        <v>1081</v>
      </c>
      <c r="C395" s="93" t="s">
        <v>1082</v>
      </c>
      <c r="D395" s="215" t="s">
        <v>1032</v>
      </c>
      <c r="E395" s="216">
        <v>1.0</v>
      </c>
      <c r="F395" s="12" t="s">
        <v>347</v>
      </c>
      <c r="G395" s="35" t="s">
        <v>1032</v>
      </c>
      <c r="H395" s="12" t="str">
        <f>IMAGE("https://m.media-amazon.com/images/I/41XSpNsGoiL._SL1024_.jpg",1)</f>
        <v/>
      </c>
      <c r="I395" s="12" t="s">
        <v>2104</v>
      </c>
    </row>
    <row r="396" ht="45.0" customHeight="1">
      <c r="A396" s="11">
        <v>395.0</v>
      </c>
      <c r="B396" s="11" t="s">
        <v>1093</v>
      </c>
      <c r="C396" s="93" t="s">
        <v>1094</v>
      </c>
      <c r="D396" s="215" t="s">
        <v>1032</v>
      </c>
      <c r="E396" s="216">
        <v>2.0</v>
      </c>
      <c r="F396" s="12" t="s">
        <v>347</v>
      </c>
      <c r="G396" s="35" t="s">
        <v>1032</v>
      </c>
      <c r="H396" s="12" t="str">
        <f>IMAGE("https://m.media-amazon.com/images/I/41pgJCdOd0L._AC_SX522_.jpg", 1)</f>
        <v/>
      </c>
      <c r="I396" s="12" t="s">
        <v>2050</v>
      </c>
    </row>
    <row r="397" ht="45.0" customHeight="1">
      <c r="A397" s="11">
        <v>396.0</v>
      </c>
      <c r="B397" s="11" t="s">
        <v>1097</v>
      </c>
      <c r="C397" s="93" t="s">
        <v>1098</v>
      </c>
      <c r="D397" s="215" t="s">
        <v>1032</v>
      </c>
      <c r="E397" s="216">
        <v>25.0</v>
      </c>
      <c r="F397" s="12" t="s">
        <v>347</v>
      </c>
      <c r="G397" s="35" t="s">
        <v>1032</v>
      </c>
      <c r="H397" s="12" t="str">
        <f>IMAGE("https://5.imimg.com/data5/UF/DF/MY-45635244/sand-paper-500x500.jpg",1)</f>
        <v/>
      </c>
      <c r="I397" s="12" t="s">
        <v>2051</v>
      </c>
    </row>
    <row r="398" ht="45.0" customHeight="1">
      <c r="A398" s="11">
        <v>397.0</v>
      </c>
      <c r="B398" s="11" t="s">
        <v>1100</v>
      </c>
      <c r="C398" s="93" t="s">
        <v>1101</v>
      </c>
      <c r="D398" s="215" t="s">
        <v>1032</v>
      </c>
      <c r="E398" s="281">
        <v>2.0</v>
      </c>
      <c r="F398" s="12" t="s">
        <v>347</v>
      </c>
      <c r="G398" s="35" t="s">
        <v>1032</v>
      </c>
      <c r="H398" s="89" t="e">
        <v>#VALUE!</v>
      </c>
      <c r="I398" s="12" t="s">
        <v>2050</v>
      </c>
    </row>
    <row r="399" ht="45.0" customHeight="1">
      <c r="A399" s="11">
        <v>398.0</v>
      </c>
      <c r="B399" s="11" t="s">
        <v>1103</v>
      </c>
      <c r="C399" s="93" t="s">
        <v>1104</v>
      </c>
      <c r="D399" s="215" t="s">
        <v>1032</v>
      </c>
      <c r="E399" s="281">
        <v>2.0</v>
      </c>
      <c r="F399" s="12" t="s">
        <v>347</v>
      </c>
      <c r="G399" s="35" t="s">
        <v>1032</v>
      </c>
      <c r="H399" s="89" t="e">
        <v>#VALUE!</v>
      </c>
      <c r="I399" s="12" t="s">
        <v>2050</v>
      </c>
    </row>
    <row r="400" ht="45.0" customHeight="1">
      <c r="A400" s="11">
        <v>399.0</v>
      </c>
      <c r="B400" s="11" t="s">
        <v>1106</v>
      </c>
      <c r="C400" s="107" t="s">
        <v>1107</v>
      </c>
      <c r="D400" s="215" t="s">
        <v>1032</v>
      </c>
      <c r="E400" s="281">
        <v>2.0</v>
      </c>
      <c r="F400" s="12" t="s">
        <v>347</v>
      </c>
      <c r="G400" s="35" t="s">
        <v>1032</v>
      </c>
      <c r="H400" s="89" t="e">
        <v>#VALUE!</v>
      </c>
      <c r="I400" s="12" t="s">
        <v>2050</v>
      </c>
    </row>
    <row r="401" ht="45.0" customHeight="1">
      <c r="A401" s="11">
        <v>400.0</v>
      </c>
      <c r="B401" s="11" t="s">
        <v>1109</v>
      </c>
      <c r="C401" s="107" t="s">
        <v>1110</v>
      </c>
      <c r="D401" s="215" t="s">
        <v>1032</v>
      </c>
      <c r="E401" s="281">
        <v>2.0</v>
      </c>
      <c r="F401" s="12" t="s">
        <v>347</v>
      </c>
      <c r="G401" s="35" t="s">
        <v>1032</v>
      </c>
      <c r="H401" s="262" t="e">
        <v>#VALUE!</v>
      </c>
      <c r="I401" s="12" t="s">
        <v>2050</v>
      </c>
    </row>
    <row r="402" ht="45.0" customHeight="1">
      <c r="A402" s="11">
        <v>401.0</v>
      </c>
      <c r="B402" s="11" t="s">
        <v>1113</v>
      </c>
      <c r="C402" s="93" t="s">
        <v>1114</v>
      </c>
      <c r="D402" s="215" t="s">
        <v>1032</v>
      </c>
      <c r="E402" s="281">
        <v>1.0</v>
      </c>
      <c r="F402" s="12" t="s">
        <v>347</v>
      </c>
      <c r="G402" s="35" t="s">
        <v>1032</v>
      </c>
      <c r="H402" s="262" t="e">
        <v>#VALUE!</v>
      </c>
      <c r="I402" s="12" t="s">
        <v>2050</v>
      </c>
    </row>
    <row r="403" ht="45.0" customHeight="1">
      <c r="A403" s="11">
        <v>402.0</v>
      </c>
      <c r="B403" s="11" t="s">
        <v>1116</v>
      </c>
      <c r="C403" s="93" t="s">
        <v>1117</v>
      </c>
      <c r="D403" s="215" t="s">
        <v>1032</v>
      </c>
      <c r="E403" s="281">
        <v>1.0</v>
      </c>
      <c r="F403" s="12" t="s">
        <v>347</v>
      </c>
      <c r="G403" s="35" t="s">
        <v>1032</v>
      </c>
      <c r="H403" s="262" t="e">
        <v>#VALUE!</v>
      </c>
      <c r="I403" s="12" t="s">
        <v>2050</v>
      </c>
    </row>
    <row r="404" ht="45.0" customHeight="1">
      <c r="A404" s="11">
        <v>403.0</v>
      </c>
      <c r="B404" s="11" t="s">
        <v>1120</v>
      </c>
      <c r="C404" s="93" t="s">
        <v>1121</v>
      </c>
      <c r="D404" s="215" t="s">
        <v>1032</v>
      </c>
      <c r="E404" s="216">
        <v>1.0</v>
      </c>
      <c r="F404" s="12" t="s">
        <v>347</v>
      </c>
      <c r="G404" s="35" t="s">
        <v>1032</v>
      </c>
      <c r="H404" s="12" t="str">
        <f>IMAGE("https://5.imimg.com/data5/DH/NE/PV/SELLER-4135781/6-pc-precision-screwdriver-set-500x500.jpg",1)</f>
        <v/>
      </c>
      <c r="I404" s="12" t="s">
        <v>2050</v>
      </c>
    </row>
    <row r="405" ht="45.0" customHeight="1">
      <c r="A405" s="11">
        <v>404.0</v>
      </c>
      <c r="B405" s="11" t="s">
        <v>1135</v>
      </c>
      <c r="C405" s="93" t="s">
        <v>1136</v>
      </c>
      <c r="D405" s="215" t="s">
        <v>1032</v>
      </c>
      <c r="E405" s="216">
        <v>1.0</v>
      </c>
      <c r="F405" s="12" t="s">
        <v>347</v>
      </c>
      <c r="G405" s="35" t="s">
        <v>1032</v>
      </c>
      <c r="H405" s="12" t="str">
        <f>IMAGE("https://ravimachines.com/wp-content/uploads/2016/07/full_13.jpg",1)</f>
        <v/>
      </c>
      <c r="I405" s="12" t="s">
        <v>2050</v>
      </c>
    </row>
    <row r="406" ht="45.0" customHeight="1">
      <c r="A406" s="11">
        <v>405.0</v>
      </c>
      <c r="B406" s="11" t="s">
        <v>1139</v>
      </c>
      <c r="C406" s="217" t="s">
        <v>1140</v>
      </c>
      <c r="D406" s="215" t="s">
        <v>1032</v>
      </c>
      <c r="E406" s="11">
        <v>10.0</v>
      </c>
      <c r="F406" s="12" t="s">
        <v>347</v>
      </c>
      <c r="G406" s="35" t="s">
        <v>1032</v>
      </c>
      <c r="H406" s="12" t="str">
        <f>IMAGE("https://m.media-amazon.com/images/I/61O+7azby+L.jpg",1)</f>
        <v/>
      </c>
      <c r="I406" s="12" t="s">
        <v>2058</v>
      </c>
    </row>
    <row r="407" ht="45.0" customHeight="1">
      <c r="A407" s="11">
        <v>406.0</v>
      </c>
      <c r="B407" s="11" t="s">
        <v>1143</v>
      </c>
      <c r="C407" s="93" t="s">
        <v>1144</v>
      </c>
      <c r="D407" s="215" t="s">
        <v>1032</v>
      </c>
      <c r="E407" s="216">
        <v>1.0</v>
      </c>
      <c r="F407" s="12" t="s">
        <v>347</v>
      </c>
      <c r="G407" s="35" t="s">
        <v>1032</v>
      </c>
      <c r="H407" s="12" t="str">
        <f>IMAGE("https://5.imimg.com/data5/SELLER/Default/2021/4/UH/ZY/EE/41301440/machine.jpeg",1)</f>
        <v/>
      </c>
      <c r="I407" s="12" t="s">
        <v>2050</v>
      </c>
    </row>
    <row r="408" ht="45.0" customHeight="1">
      <c r="A408" s="11">
        <v>407.0</v>
      </c>
      <c r="B408" s="11" t="s">
        <v>1147</v>
      </c>
      <c r="C408" s="93" t="s">
        <v>1148</v>
      </c>
      <c r="D408" s="215" t="s">
        <v>1032</v>
      </c>
      <c r="E408" s="216">
        <v>2.0</v>
      </c>
      <c r="F408" s="12" t="s">
        <v>347</v>
      </c>
      <c r="G408" s="35" t="s">
        <v>1032</v>
      </c>
      <c r="H408" s="12"/>
      <c r="I408" s="12" t="s">
        <v>2108</v>
      </c>
    </row>
    <row r="409" ht="45.0" customHeight="1">
      <c r="A409" s="11">
        <v>408.0</v>
      </c>
      <c r="B409" s="11" t="s">
        <v>1150</v>
      </c>
      <c r="C409" s="93" t="s">
        <v>1151</v>
      </c>
      <c r="D409" s="215" t="s">
        <v>1032</v>
      </c>
      <c r="E409" s="216">
        <v>10.0</v>
      </c>
      <c r="F409" s="12" t="s">
        <v>347</v>
      </c>
      <c r="G409" s="35" t="s">
        <v>1032</v>
      </c>
      <c r="H409" s="12" t="str">
        <f>IMAGE("https://5.imimg.com/data5/SELLER/Default/2020/10/KC/AV/BY/25174136/150b-cutter-stripper-250x250.jpg",1)</f>
        <v/>
      </c>
      <c r="I409" s="12" t="s">
        <v>2109</v>
      </c>
    </row>
    <row r="410" ht="45.0" customHeight="1">
      <c r="A410" s="11">
        <v>409.0</v>
      </c>
      <c r="B410" s="11" t="s">
        <v>1085</v>
      </c>
      <c r="C410" s="93" t="s">
        <v>1086</v>
      </c>
      <c r="D410" s="215" t="s">
        <v>1032</v>
      </c>
      <c r="E410" s="216">
        <v>2.0</v>
      </c>
      <c r="F410" s="12" t="s">
        <v>347</v>
      </c>
      <c r="G410" s="37" t="s">
        <v>1964</v>
      </c>
      <c r="H410" s="12" t="str">
        <f>IMAGE("https://m.media-amazon.com/images/I/513ZkVzGbdL._AC_.jpg", 1)</f>
        <v/>
      </c>
      <c r="I410" s="12" t="s">
        <v>2050</v>
      </c>
    </row>
    <row r="411" ht="45.0" customHeight="1">
      <c r="A411" s="11">
        <v>410.0</v>
      </c>
      <c r="B411" s="11" t="s">
        <v>1089</v>
      </c>
      <c r="C411" s="93" t="s">
        <v>1090</v>
      </c>
      <c r="D411" s="215" t="s">
        <v>1032</v>
      </c>
      <c r="E411" s="216">
        <v>2.0</v>
      </c>
      <c r="F411" s="12" t="s">
        <v>347</v>
      </c>
      <c r="G411" s="37" t="s">
        <v>1964</v>
      </c>
      <c r="H411" s="12" t="str">
        <f>IMAGE("https://m.media-amazon.com/images/I/41V47za3aNL.jpg",1)</f>
        <v/>
      </c>
      <c r="I411" s="12" t="s">
        <v>2050</v>
      </c>
    </row>
    <row r="412" ht="45.0" customHeight="1">
      <c r="A412" s="11">
        <v>411.0</v>
      </c>
      <c r="B412" s="11" t="s">
        <v>1324</v>
      </c>
      <c r="C412" s="93" t="s">
        <v>1325</v>
      </c>
      <c r="D412" s="215" t="s">
        <v>1250</v>
      </c>
      <c r="E412" s="216">
        <v>1.0</v>
      </c>
      <c r="F412" s="12" t="s">
        <v>347</v>
      </c>
      <c r="G412" s="37" t="s">
        <v>1964</v>
      </c>
      <c r="H412" s="12" t="e">
        <v>#VALUE!</v>
      </c>
      <c r="I412" s="12" t="s">
        <v>2050</v>
      </c>
    </row>
    <row r="413" ht="45.0" customHeight="1">
      <c r="A413" s="11">
        <v>412.0</v>
      </c>
      <c r="B413" s="11" t="s">
        <v>1349</v>
      </c>
      <c r="C413" s="93" t="s">
        <v>1350</v>
      </c>
      <c r="D413" s="215" t="s">
        <v>1330</v>
      </c>
      <c r="E413" s="11">
        <v>1.0</v>
      </c>
      <c r="F413" s="11" t="s">
        <v>347</v>
      </c>
      <c r="G413" s="93" t="s">
        <v>1331</v>
      </c>
      <c r="H413" s="12" t="str">
        <f>IMAGE("https://5.imimg.com/data5/SELLER/Default/2023/1/CR/QN/CU/119456209/b22-cap-punching-tool-1000x1000.jpg",1)</f>
        <v/>
      </c>
      <c r="I413" s="12" t="s">
        <v>2128</v>
      </c>
    </row>
    <row r="414" ht="45.0" customHeight="1">
      <c r="A414" s="11">
        <v>413.0</v>
      </c>
      <c r="B414" s="11" t="s">
        <v>1353</v>
      </c>
      <c r="C414" s="93" t="s">
        <v>1354</v>
      </c>
      <c r="D414" s="215" t="s">
        <v>1330</v>
      </c>
      <c r="E414" s="11">
        <v>1.0</v>
      </c>
      <c r="F414" s="12" t="s">
        <v>347</v>
      </c>
      <c r="G414" s="37" t="s">
        <v>1331</v>
      </c>
      <c r="H414" s="12" t="str">
        <f>IMAGE("https://m.media-amazon.com/images/I/31xTdt3sfiL.jpg",1)</f>
        <v/>
      </c>
      <c r="I414" s="12" t="s">
        <v>2128</v>
      </c>
    </row>
    <row r="415" ht="45.0" customHeight="1">
      <c r="A415" s="11">
        <v>414.0</v>
      </c>
      <c r="B415" s="11" t="s">
        <v>1398</v>
      </c>
      <c r="C415" s="93" t="s">
        <v>1399</v>
      </c>
      <c r="D415" s="215" t="s">
        <v>1400</v>
      </c>
      <c r="E415" s="11">
        <v>1.0</v>
      </c>
      <c r="F415" s="12" t="s">
        <v>347</v>
      </c>
      <c r="G415" s="37" t="s">
        <v>1980</v>
      </c>
      <c r="H415" s="12" t="str">
        <f>IMAGE("https://m.media-amazon.com/images/I/41giw5t2ycL.jpg",1)</f>
        <v/>
      </c>
      <c r="I415" s="299" t="s">
        <v>2136</v>
      </c>
    </row>
    <row r="416" ht="45.0" customHeight="1">
      <c r="A416" s="11">
        <v>415.0</v>
      </c>
      <c r="B416" s="11" t="s">
        <v>1403</v>
      </c>
      <c r="C416" s="93" t="s">
        <v>1404</v>
      </c>
      <c r="D416" s="215" t="s">
        <v>1400</v>
      </c>
      <c r="E416" s="11">
        <v>1.0</v>
      </c>
      <c r="F416" s="12" t="s">
        <v>347</v>
      </c>
      <c r="G416" s="37" t="s">
        <v>1980</v>
      </c>
      <c r="H416" s="12" t="str">
        <f>IMAGE("https://m.media-amazon.com/images/I/71vAZkeQh9L._SL1500_.jpg",1)</f>
        <v/>
      </c>
      <c r="I416" s="299" t="s">
        <v>2136</v>
      </c>
    </row>
    <row r="417" ht="45.0" customHeight="1">
      <c r="A417" s="11">
        <v>416.0</v>
      </c>
      <c r="B417" s="11" t="s">
        <v>1411</v>
      </c>
      <c r="C417" s="93" t="s">
        <v>1412</v>
      </c>
      <c r="D417" s="215" t="s">
        <v>1400</v>
      </c>
      <c r="E417" s="11">
        <v>5.0</v>
      </c>
      <c r="F417" s="12" t="s">
        <v>347</v>
      </c>
      <c r="G417" s="37" t="s">
        <v>1980</v>
      </c>
      <c r="H417" s="12" t="str">
        <f>IMAGE("https://m.media-amazon.com/images/I/61saUYFEn9L._SL1500_.jpg",1)</f>
        <v/>
      </c>
      <c r="I417" s="299" t="s">
        <v>2138</v>
      </c>
    </row>
    <row r="418" ht="45.0" customHeight="1">
      <c r="A418" s="11">
        <v>417.0</v>
      </c>
      <c r="B418" s="11" t="s">
        <v>1415</v>
      </c>
      <c r="C418" s="93" t="s">
        <v>1416</v>
      </c>
      <c r="D418" s="215" t="s">
        <v>1400</v>
      </c>
      <c r="E418" s="11">
        <v>1.0</v>
      </c>
      <c r="F418" s="12" t="s">
        <v>347</v>
      </c>
      <c r="G418" s="37" t="s">
        <v>1980</v>
      </c>
      <c r="H418" s="12" t="str">
        <f>IMAGE("https://m.media-amazon.com/images/I/61zRix8Lt0L._SL1500_.jpg",1)</f>
        <v/>
      </c>
      <c r="I418" s="299" t="s">
        <v>2136</v>
      </c>
    </row>
    <row r="419" ht="45.0" customHeight="1">
      <c r="A419" s="11">
        <v>418.0</v>
      </c>
      <c r="B419" s="11" t="s">
        <v>1610</v>
      </c>
      <c r="C419" s="93" t="s">
        <v>1611</v>
      </c>
      <c r="D419" s="215" t="s">
        <v>1601</v>
      </c>
      <c r="E419" s="11">
        <v>5.0</v>
      </c>
      <c r="F419" s="12" t="s">
        <v>347</v>
      </c>
      <c r="G419" s="37" t="s">
        <v>1987</v>
      </c>
      <c r="H419" s="12" t="str">
        <f>IMAGE("https://delhi6online.in/cdn/shop/products/S1_800x.jpg?v=1545883083.jpg",1)</f>
        <v/>
      </c>
      <c r="I419" s="12" t="s">
        <v>2151</v>
      </c>
    </row>
    <row r="420" ht="45.0" customHeight="1">
      <c r="A420" s="11">
        <v>419.0</v>
      </c>
      <c r="B420" s="11" t="s">
        <v>1614</v>
      </c>
      <c r="C420" s="93" t="s">
        <v>1615</v>
      </c>
      <c r="D420" s="215" t="s">
        <v>1601</v>
      </c>
      <c r="E420" s="11">
        <v>5.0</v>
      </c>
      <c r="F420" s="12" t="s">
        <v>347</v>
      </c>
      <c r="G420" s="37" t="s">
        <v>1987</v>
      </c>
      <c r="H420" s="12" t="str">
        <f>IMAGE("https://4.imimg.com/data4/JF/WX/MY-2704359/thread-cutter-1000x1000.jpg",1)</f>
        <v/>
      </c>
      <c r="I420" s="12" t="s">
        <v>2152</v>
      </c>
    </row>
  </sheetData>
  <autoFilter ref="$A$1:$I$394">
    <sortState ref="A1:I394">
      <sortCondition ref="D1:D394"/>
      <sortCondition ref="A1:A394"/>
      <sortCondition ref="I1:I394"/>
      <sortCondition ref="B1:B394"/>
    </sortState>
  </autoFilter>
  <conditionalFormatting sqref="B2:D2">
    <cfRule type="containsBlanks" dxfId="0" priority="1">
      <formula>LEN(TRIM(B2))=0</formula>
    </cfRule>
  </conditionalFormatting>
  <conditionalFormatting sqref="I1:I420">
    <cfRule type="cellIs" dxfId="3" priority="2" operator="equal">
      <formula>1</formula>
    </cfRule>
  </conditionalFormatting>
  <conditionalFormatting sqref="I1:I420">
    <cfRule type="cellIs" dxfId="8" priority="3" operator="equal">
      <formula>2</formula>
    </cfRule>
  </conditionalFormatting>
  <conditionalFormatting sqref="I1:I420">
    <cfRule type="cellIs" dxfId="9" priority="4" operator="equal">
      <formula>3</formula>
    </cfRule>
  </conditionalFormatting>
  <conditionalFormatting sqref="I1:I420">
    <cfRule type="cellIs" dxfId="5" priority="5" operator="equal">
      <formula>4</formula>
    </cfRule>
  </conditionalFormatting>
  <conditionalFormatting sqref="I1:I420">
    <cfRule type="notContainsBlanks" dxfId="10" priority="6">
      <formula>LEN(TRIM(I1))&gt;0</formula>
    </cfRule>
  </conditionalFormatting>
  <dataValidations>
    <dataValidation type="list" allowBlank="1" showErrorMessage="1" sqref="F1:F54 F56:F420">
      <formula1>Sheet1!$C$1:$C$8</formula1>
    </dataValidation>
    <dataValidation type="list" allowBlank="1" showErrorMessage="1" sqref="G13:G16 G23:G25 G28 G44 G52:G54 G123:G128 G140 G142 G144 G205 G238 G243:G252 G276:G294 G298:G301 G303:G304 G343:G345 G353:G355 G412 G415:G416 D1:D420 G419:G420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50.71"/>
    <col customWidth="1" min="3" max="3" width="20.86"/>
    <col customWidth="1" min="4" max="4" width="21.71"/>
    <col customWidth="1" min="5" max="5" width="25.14"/>
    <col customWidth="1" min="6" max="6" width="14.29"/>
    <col customWidth="1" min="7" max="7" width="23.57"/>
    <col customWidth="1" min="8" max="8" width="37.14"/>
    <col hidden="1" min="9" max="9" width="14.43"/>
  </cols>
  <sheetData>
    <row r="1" ht="45.0" customHeight="1">
      <c r="A1" s="210" t="s">
        <v>0</v>
      </c>
      <c r="B1" s="211" t="s">
        <v>2</v>
      </c>
      <c r="C1" s="213" t="s">
        <v>13</v>
      </c>
      <c r="D1" s="210" t="s">
        <v>3</v>
      </c>
      <c r="E1" s="210" t="s">
        <v>8</v>
      </c>
      <c r="F1" s="210" t="s">
        <v>2004</v>
      </c>
      <c r="G1" s="300" t="s">
        <v>2196</v>
      </c>
      <c r="H1" s="214"/>
    </row>
    <row r="2" ht="44.25" customHeight="1">
      <c r="A2" s="11">
        <v>1.0</v>
      </c>
      <c r="B2" s="93" t="s">
        <v>18</v>
      </c>
      <c r="C2" s="11" t="str">
        <f>IMAGE("https://m.media-amazon.com/images/I/61ZBVWoGgCL._SL1500_.jpg",1)</f>
        <v/>
      </c>
      <c r="D2" s="215" t="s">
        <v>19</v>
      </c>
      <c r="E2" s="11" t="s">
        <v>20</v>
      </c>
      <c r="F2" s="216">
        <v>6.0</v>
      </c>
      <c r="G2" s="93"/>
      <c r="H2" s="11"/>
    </row>
    <row r="3" ht="45.0" customHeight="1">
      <c r="A3" s="11">
        <v>2.0</v>
      </c>
      <c r="B3" s="93" t="s">
        <v>27</v>
      </c>
      <c r="C3" s="11" t="str">
        <f>IMAGE("https://5.imimg.com/data5/BN/FC/MY-25588345/omega-cell-tape-dispenser-500x500.jpg",1)</f>
        <v/>
      </c>
      <c r="D3" s="215" t="s">
        <v>19</v>
      </c>
      <c r="E3" s="11" t="s">
        <v>20</v>
      </c>
      <c r="F3" s="216">
        <v>2.0</v>
      </c>
      <c r="G3" s="93"/>
      <c r="H3" s="11"/>
    </row>
    <row r="4" ht="45.0" customHeight="1">
      <c r="A4" s="11">
        <v>3.0</v>
      </c>
      <c r="B4" s="93" t="s">
        <v>31</v>
      </c>
      <c r="C4" s="11" t="str">
        <f>IMAGE("https://m.media-amazon.com/images/I/21wXjA1iP5L.jpg",1)</f>
        <v/>
      </c>
      <c r="D4" s="215" t="s">
        <v>19</v>
      </c>
      <c r="E4" s="11" t="s">
        <v>20</v>
      </c>
      <c r="F4" s="216">
        <v>6.0</v>
      </c>
      <c r="G4" s="93"/>
      <c r="H4" s="11"/>
    </row>
    <row r="5" ht="45.0" customHeight="1">
      <c r="A5" s="11">
        <v>4.0</v>
      </c>
      <c r="B5" s="93" t="s">
        <v>35</v>
      </c>
      <c r="C5" s="11" t="str">
        <f>IMAGE("https://5.imimg.com/data5/YG/CD/MY-4112616/transparent-tape-500x500.jpg",1)</f>
        <v/>
      </c>
      <c r="D5" s="215" t="s">
        <v>19</v>
      </c>
      <c r="E5" s="11" t="s">
        <v>20</v>
      </c>
      <c r="F5" s="216">
        <v>6.0</v>
      </c>
      <c r="G5" s="93"/>
      <c r="H5" s="11"/>
    </row>
    <row r="6" ht="45.0" customHeight="1">
      <c r="A6" s="11">
        <v>5.0</v>
      </c>
      <c r="B6" s="93" t="s">
        <v>1886</v>
      </c>
      <c r="C6" s="11" t="str">
        <f>IMAGE("https://m.media-amazon.com/images/I/61JiUrBk2-L._SL1082_.jpg",1)</f>
        <v/>
      </c>
      <c r="D6" s="215" t="s">
        <v>19</v>
      </c>
      <c r="E6" s="11" t="s">
        <v>20</v>
      </c>
      <c r="F6" s="216">
        <v>6.0</v>
      </c>
      <c r="G6" s="93"/>
      <c r="H6" s="11"/>
    </row>
    <row r="7" ht="45.0" customHeight="1">
      <c r="A7" s="11">
        <v>6.0</v>
      </c>
      <c r="B7" s="93" t="s">
        <v>42</v>
      </c>
      <c r="C7" s="11" t="str">
        <f>IMAGE("https://m.media-amazon.com/images/I/51JAsOuirxL._SL1000_.jpg",1)</f>
        <v/>
      </c>
      <c r="D7" s="215" t="s">
        <v>19</v>
      </c>
      <c r="E7" s="11" t="s">
        <v>20</v>
      </c>
      <c r="F7" s="216">
        <v>6.0</v>
      </c>
      <c r="G7" s="93"/>
      <c r="H7" s="11"/>
    </row>
    <row r="8" ht="45.0" customHeight="1">
      <c r="A8" s="11">
        <v>7.0</v>
      </c>
      <c r="B8" s="93" t="s">
        <v>46</v>
      </c>
      <c r="C8" s="11" t="str">
        <f>IMAGE("https://m.media-amazon.com/images/I/81zdeTxqkLL._SL1500_.jpg",1)</f>
        <v/>
      </c>
      <c r="D8" s="215" t="s">
        <v>19</v>
      </c>
      <c r="E8" s="11" t="s">
        <v>20</v>
      </c>
      <c r="F8" s="11">
        <v>10.0</v>
      </c>
      <c r="G8" s="93"/>
      <c r="H8" s="11"/>
    </row>
    <row r="9" ht="45.0" customHeight="1">
      <c r="A9" s="11">
        <v>8.0</v>
      </c>
      <c r="B9" s="93" t="s">
        <v>51</v>
      </c>
      <c r="C9" s="11" t="str">
        <f>IMAGE("https://megahardwarett.com/wp-content/uploads/2022/03/71TQZaRi6yL._AC_SX425_.jpg",1)</f>
        <v/>
      </c>
      <c r="D9" s="215" t="s">
        <v>19</v>
      </c>
      <c r="E9" s="11" t="s">
        <v>20</v>
      </c>
      <c r="F9" s="216">
        <v>5.0</v>
      </c>
      <c r="G9" s="93"/>
      <c r="H9" s="11"/>
    </row>
    <row r="10" ht="45.0" customHeight="1">
      <c r="A10" s="11">
        <v>9.0</v>
      </c>
      <c r="B10" s="93" t="s">
        <v>1887</v>
      </c>
      <c r="C10" s="11" t="str">
        <f>IMAGE("https://m.media-amazon.com/images/I/51xkFZnkVFL._SX466_.jpg",1)</f>
        <v/>
      </c>
      <c r="D10" s="215" t="s">
        <v>19</v>
      </c>
      <c r="E10" s="11" t="s">
        <v>20</v>
      </c>
      <c r="F10" s="216">
        <v>10.0</v>
      </c>
      <c r="G10" s="93"/>
      <c r="H10" s="11"/>
    </row>
    <row r="11" ht="45.0" customHeight="1">
      <c r="A11" s="11">
        <v>10.0</v>
      </c>
      <c r="B11" s="93" t="s">
        <v>1888</v>
      </c>
      <c r="C11" s="11" t="str">
        <f>IMAGE("https://5.imimg.com/data5/LJ/PW/MY-3849711/loctite-401-super-glue-500x500.jpg",1)</f>
        <v/>
      </c>
      <c r="D11" s="215" t="s">
        <v>19</v>
      </c>
      <c r="E11" s="11" t="s">
        <v>20</v>
      </c>
      <c r="F11" s="216">
        <v>10.0</v>
      </c>
      <c r="G11" s="93"/>
      <c r="H11" s="11"/>
    </row>
    <row r="12" ht="45.0" customHeight="1">
      <c r="A12" s="11">
        <v>11.0</v>
      </c>
      <c r="B12" s="93" t="s">
        <v>1891</v>
      </c>
      <c r="C12" s="11" t="str">
        <f>IMAGE("https://m.media-amazon.com/images/W/MEDIAX_792452-T2/images/I/611Q9E31rML._SL1500_.jpg",1)</f>
        <v/>
      </c>
      <c r="D12" s="215" t="s">
        <v>64</v>
      </c>
      <c r="E12" s="11" t="s">
        <v>20</v>
      </c>
      <c r="F12" s="11">
        <v>10.0</v>
      </c>
      <c r="G12" s="93"/>
      <c r="H12" s="11"/>
    </row>
    <row r="13" ht="45.0" customHeight="1">
      <c r="A13" s="11">
        <v>12.0</v>
      </c>
      <c r="B13" s="93" t="s">
        <v>71</v>
      </c>
      <c r="C13" s="11" t="str">
        <f>IMAGE("https://helloaugust.in/wp-content/uploads/2020/04/dark-colour-chart-paper-full-size-300x300.jpg",1)</f>
        <v/>
      </c>
      <c r="D13" s="215" t="s">
        <v>64</v>
      </c>
      <c r="E13" s="11" t="s">
        <v>20</v>
      </c>
      <c r="F13" s="216">
        <v>25.0</v>
      </c>
      <c r="G13" s="93"/>
      <c r="H13" s="11"/>
    </row>
    <row r="14" ht="45.0" customHeight="1">
      <c r="A14" s="11">
        <v>13.0</v>
      </c>
      <c r="B14" s="93" t="s">
        <v>352</v>
      </c>
      <c r="C14" s="11" t="str">
        <f>IMAGE("https://4.imimg.com/data4/TN/NP/MY-32886991/a4-colour-paper-500x500.jpg",1)</f>
        <v/>
      </c>
      <c r="D14" s="215" t="s">
        <v>64</v>
      </c>
      <c r="E14" s="11" t="s">
        <v>20</v>
      </c>
      <c r="F14" s="216">
        <v>5.0</v>
      </c>
      <c r="G14" s="93"/>
      <c r="H14" s="11"/>
    </row>
    <row r="15" ht="45.0" customHeight="1">
      <c r="A15" s="11">
        <v>14.0</v>
      </c>
      <c r="B15" s="93" t="s">
        <v>1893</v>
      </c>
      <c r="C15" s="11" t="str">
        <f>IMAGE("https://www.htconline.in/images/thumbs/0019821_camlin-drawing-pencils-set-of-6.jpeg",1)</f>
        <v/>
      </c>
      <c r="D15" s="215" t="s">
        <v>64</v>
      </c>
      <c r="E15" s="11" t="s">
        <v>20</v>
      </c>
      <c r="F15" s="216">
        <v>5.0</v>
      </c>
      <c r="G15" s="93"/>
      <c r="H15" s="11"/>
    </row>
    <row r="16" ht="45.0" customHeight="1">
      <c r="A16" s="11">
        <v>15.0</v>
      </c>
      <c r="B16" s="93" t="s">
        <v>91</v>
      </c>
      <c r="C16" s="11" t="str">
        <f>IMAGE("https://upload.wikimedia.org/wikipedia/commons/e/e8/Office-pink-erasers.jpg",1)</f>
        <v/>
      </c>
      <c r="D16" s="215" t="s">
        <v>64</v>
      </c>
      <c r="E16" s="11" t="s">
        <v>20</v>
      </c>
      <c r="F16" s="216">
        <v>20.0</v>
      </c>
      <c r="G16" s="93"/>
      <c r="H16" s="11"/>
    </row>
    <row r="17" ht="45.0" customHeight="1">
      <c r="A17" s="11">
        <v>16.0</v>
      </c>
      <c r="B17" s="93" t="s">
        <v>95</v>
      </c>
      <c r="C17" s="11" t="str">
        <f>IMAGE("https://cdn.shopify.com/s/files/1/0064/3412/7939/products/Main-2_2baab3ae-c700-4dd7-acd2-e9442aee0358_2048x.jpg?v=1669799264",1)</f>
        <v/>
      </c>
      <c r="D17" s="215" t="s">
        <v>64</v>
      </c>
      <c r="E17" s="11" t="s">
        <v>20</v>
      </c>
      <c r="F17" s="216">
        <v>10.0</v>
      </c>
      <c r="G17" s="93"/>
      <c r="H17" s="11"/>
    </row>
    <row r="18" ht="45.0" customHeight="1">
      <c r="A18" s="11">
        <v>17.0</v>
      </c>
      <c r="B18" s="93" t="s">
        <v>1894</v>
      </c>
      <c r="C18" s="11" t="e">
        <v>#VALUE!</v>
      </c>
      <c r="D18" s="215" t="s">
        <v>64</v>
      </c>
      <c r="E18" s="11" t="s">
        <v>20</v>
      </c>
      <c r="F18" s="216">
        <v>10.0</v>
      </c>
      <c r="G18" s="93"/>
      <c r="H18" s="11"/>
    </row>
    <row r="19" ht="45.0" customHeight="1">
      <c r="A19" s="11">
        <v>18.0</v>
      </c>
      <c r="B19" s="93" t="s">
        <v>1896</v>
      </c>
      <c r="C19" s="11" t="str">
        <f>IMAGE("https://i5.walmartimages.com/asr/093150f9-deec-44c1-a07d-a6985f3f45c7.dad44d94862d81eed55b6d8aef2937c1.jpeg?odnHeight=612&amp;odnWidth=612&amp;odnBg=FFFFFF",1)</f>
        <v/>
      </c>
      <c r="D19" s="215" t="s">
        <v>64</v>
      </c>
      <c r="E19" s="11" t="s">
        <v>20</v>
      </c>
      <c r="F19" s="216">
        <v>1.0</v>
      </c>
      <c r="G19" s="93"/>
      <c r="H19" s="11"/>
    </row>
    <row r="20" ht="45.0" customHeight="1">
      <c r="A20" s="11">
        <v>19.0</v>
      </c>
      <c r="B20" s="93" t="s">
        <v>115</v>
      </c>
      <c r="C20" s="11" t="str">
        <f>IMAGE("https://m.media-amazon.com/images/I/81XeaSXczEL._SL1500_.jpg",1)</f>
        <v/>
      </c>
      <c r="D20" s="215" t="s">
        <v>64</v>
      </c>
      <c r="E20" s="11" t="s">
        <v>20</v>
      </c>
      <c r="F20" s="216">
        <v>10.0</v>
      </c>
      <c r="G20" s="93"/>
      <c r="H20" s="11"/>
    </row>
    <row r="21" ht="45.0" customHeight="1">
      <c r="A21" s="11">
        <v>20.0</v>
      </c>
      <c r="B21" s="93" t="s">
        <v>127</v>
      </c>
      <c r="C21" s="11" t="e">
        <v>#VALUE!</v>
      </c>
      <c r="D21" s="215" t="s">
        <v>64</v>
      </c>
      <c r="E21" s="11" t="s">
        <v>20</v>
      </c>
      <c r="F21" s="216">
        <v>5.0</v>
      </c>
      <c r="G21" s="93"/>
      <c r="H21" s="11"/>
    </row>
    <row r="22" ht="45.0" customHeight="1">
      <c r="A22" s="11">
        <v>21.0</v>
      </c>
      <c r="B22" s="93" t="s">
        <v>1889</v>
      </c>
      <c r="C22" s="11" t="str">
        <f>IMAGE("https://5.imimg.com/data5/SELLER/Default/2020/9/EF/FR/SW/13763930/fevicryte-acrylic-colors-500x500.jpg",1)</f>
        <v/>
      </c>
      <c r="D22" s="215" t="s">
        <v>64</v>
      </c>
      <c r="E22" s="11" t="s">
        <v>20</v>
      </c>
      <c r="F22" s="216">
        <v>60.0</v>
      </c>
      <c r="G22" s="93"/>
      <c r="H22" s="11"/>
    </row>
    <row r="23" ht="45.0" customHeight="1">
      <c r="A23" s="11">
        <v>22.0</v>
      </c>
      <c r="B23" s="93" t="s">
        <v>101</v>
      </c>
      <c r="C23" s="11" t="str">
        <f>IMAGE("https://i5.walmartimages.com/asr/2f51619b-ee1e-4e7f-9717-927459ae38b6.1308a61cc28d473c3122e46595affb79.jpeg",1)</f>
        <v/>
      </c>
      <c r="D23" s="215" t="s">
        <v>64</v>
      </c>
      <c r="E23" s="11" t="s">
        <v>20</v>
      </c>
      <c r="F23" s="216">
        <v>10.0</v>
      </c>
      <c r="G23" s="93"/>
      <c r="H23" s="11"/>
    </row>
    <row r="24" ht="45.0" customHeight="1">
      <c r="A24" s="11">
        <v>23.0</v>
      </c>
      <c r="B24" s="93" t="s">
        <v>105</v>
      </c>
      <c r="C24" s="11" t="str">
        <f>IMAGE("https://c8.alamy.com/comp/R7TP32/paint-palette-with-various-acrylic-paints-and-a-brush-R7TP32.jpg",1)</f>
        <v/>
      </c>
      <c r="D24" s="215" t="s">
        <v>64</v>
      </c>
      <c r="E24" s="11" t="s">
        <v>20</v>
      </c>
      <c r="F24" s="216">
        <v>5.0</v>
      </c>
      <c r="G24" s="93"/>
      <c r="H24" s="11"/>
    </row>
    <row r="25" ht="45.0" customHeight="1">
      <c r="A25" s="11">
        <v>24.0</v>
      </c>
      <c r="B25" s="93" t="s">
        <v>135</v>
      </c>
      <c r="C25" s="11" t="str">
        <f>IMAGE("https://m.media-amazon.com/images/I/717edTeWYZL._SL1500_.jpg",1)</f>
        <v/>
      </c>
      <c r="D25" s="215" t="s">
        <v>64</v>
      </c>
      <c r="E25" s="11" t="s">
        <v>20</v>
      </c>
      <c r="F25" s="216">
        <v>10.0</v>
      </c>
      <c r="G25" s="93"/>
      <c r="H25" s="11"/>
    </row>
    <row r="26" ht="45.0" customHeight="1">
      <c r="A26" s="11">
        <v>25.0</v>
      </c>
      <c r="B26" s="93" t="s">
        <v>1897</v>
      </c>
      <c r="C26" s="11" t="str">
        <f>IMAGE("https://www.faithfulltools.com/images/xxlarge/FAIRULE150SS.jpg",1)</f>
        <v/>
      </c>
      <c r="D26" s="215" t="s">
        <v>64</v>
      </c>
      <c r="E26" s="11" t="s">
        <v>20</v>
      </c>
      <c r="F26" s="216">
        <v>10.0</v>
      </c>
      <c r="G26" s="93"/>
      <c r="H26" s="11"/>
    </row>
    <row r="27" ht="45.0" customHeight="1">
      <c r="A27" s="11">
        <v>26.0</v>
      </c>
      <c r="B27" s="93" t="s">
        <v>131</v>
      </c>
      <c r="C27" s="11" t="str">
        <f>IMAGE("https://5.imimg.com/data5/AO/GN/AU/SELLER-10873750/floppy-disk-1000x1000.jpg",1)</f>
        <v/>
      </c>
      <c r="D27" s="215" t="s">
        <v>64</v>
      </c>
      <c r="E27" s="11" t="s">
        <v>20</v>
      </c>
      <c r="F27" s="216">
        <v>10.0</v>
      </c>
      <c r="G27" s="93"/>
      <c r="H27" s="11"/>
    </row>
    <row r="28" ht="45.0" customHeight="1">
      <c r="A28" s="11">
        <v>27.0</v>
      </c>
      <c r="B28" s="93" t="s">
        <v>123</v>
      </c>
      <c r="C28" s="11" t="str">
        <f>IMAGE("https://images.meesho.com/images/products/60299132/dranx_512.jpg",1)</f>
        <v/>
      </c>
      <c r="D28" s="215" t="s">
        <v>64</v>
      </c>
      <c r="E28" s="11" t="s">
        <v>20</v>
      </c>
      <c r="F28" s="216">
        <v>10.0</v>
      </c>
      <c r="G28" s="93"/>
      <c r="H28" s="11"/>
    </row>
    <row r="29" ht="45.0" customHeight="1">
      <c r="A29" s="11">
        <v>28.0</v>
      </c>
      <c r="B29" s="260" t="s">
        <v>2001</v>
      </c>
      <c r="C29" s="11"/>
      <c r="D29" s="269" t="s">
        <v>346</v>
      </c>
      <c r="E29" s="221" t="s">
        <v>20</v>
      </c>
      <c r="F29" s="216">
        <v>5.0</v>
      </c>
      <c r="G29" s="93"/>
      <c r="H29" s="11"/>
    </row>
    <row r="30" ht="45.0" customHeight="1">
      <c r="A30" s="11">
        <v>29.0</v>
      </c>
      <c r="B30" s="93" t="s">
        <v>1008</v>
      </c>
      <c r="C30" s="11" t="str">
        <f>IMAGE("https://5.imimg.com/data5/KE/BV/MY-37063415/elastic-rubber-band-500x500.jpg",1)</f>
        <v/>
      </c>
      <c r="D30" s="215" t="s">
        <v>981</v>
      </c>
      <c r="E30" s="11" t="s">
        <v>20</v>
      </c>
      <c r="F30" s="216">
        <v>1.0</v>
      </c>
      <c r="G30" s="93"/>
      <c r="H30" s="11"/>
    </row>
    <row r="31" ht="45.0" customHeight="1">
      <c r="A31" s="11">
        <v>30.0</v>
      </c>
      <c r="B31" s="93" t="s">
        <v>1012</v>
      </c>
      <c r="C31" s="11" t="str">
        <f>IMAGE("https://5.imimg.com/data5/BN/VV/MY-31202642/rubber-band-500x500.jpg",1)</f>
        <v/>
      </c>
      <c r="D31" s="215" t="s">
        <v>981</v>
      </c>
      <c r="E31" s="11" t="s">
        <v>20</v>
      </c>
      <c r="F31" s="216">
        <v>1.0</v>
      </c>
      <c r="G31" s="93"/>
      <c r="H31" s="11"/>
    </row>
    <row r="32" ht="45.0" customHeight="1">
      <c r="A32" s="11">
        <v>31.0</v>
      </c>
      <c r="B32" s="93" t="s">
        <v>1016</v>
      </c>
      <c r="C32" s="11" t="str">
        <f>IMAGE("https://5.imimg.com/data5/YV/DJ/MY-7514996/rubber-band-500x500.jpg",1)</f>
        <v/>
      </c>
      <c r="D32" s="215" t="s">
        <v>981</v>
      </c>
      <c r="E32" s="11" t="s">
        <v>20</v>
      </c>
      <c r="F32" s="216">
        <v>1.0</v>
      </c>
      <c r="G32" s="93"/>
      <c r="H32" s="11"/>
    </row>
    <row r="33" ht="45.0" customHeight="1">
      <c r="A33" s="11">
        <v>32.0</v>
      </c>
      <c r="B33" s="93" t="s">
        <v>980</v>
      </c>
      <c r="C33" s="11" t="str">
        <f t="shared" ref="C33:C35" si="1">IMAGE("https://encrypted-tbn0.gstatic.com/=IMAGEs?q=tbn:ANd9GcSdcvov5296EXdnf0Fj0qF-G6iK-nu0n6Z4THAWosUzBx_wQ7GuJyrL0Rnbt1uBxLroiao&amp;usqp=CAU",1)</f>
        <v/>
      </c>
      <c r="D33" s="215" t="s">
        <v>981</v>
      </c>
      <c r="E33" s="11" t="s">
        <v>20</v>
      </c>
      <c r="F33" s="216">
        <v>5.0</v>
      </c>
      <c r="G33" s="215"/>
      <c r="H33" s="11"/>
    </row>
    <row r="34" ht="45.0" customHeight="1">
      <c r="A34" s="11">
        <v>33.0</v>
      </c>
      <c r="B34" s="93" t="s">
        <v>985</v>
      </c>
      <c r="C34" s="11" t="str">
        <f t="shared" si="1"/>
        <v/>
      </c>
      <c r="D34" s="215" t="s">
        <v>981</v>
      </c>
      <c r="E34" s="11" t="s">
        <v>20</v>
      </c>
      <c r="F34" s="216">
        <v>5.0</v>
      </c>
      <c r="G34" s="215"/>
      <c r="H34" s="11"/>
    </row>
    <row r="35" ht="45.0" customHeight="1">
      <c r="A35" s="11">
        <v>34.0</v>
      </c>
      <c r="B35" s="93" t="s">
        <v>989</v>
      </c>
      <c r="C35" s="11" t="str">
        <f t="shared" si="1"/>
        <v/>
      </c>
      <c r="D35" s="215" t="s">
        <v>981</v>
      </c>
      <c r="E35" s="11" t="s">
        <v>20</v>
      </c>
      <c r="F35" s="216">
        <v>2.0</v>
      </c>
      <c r="G35" s="93"/>
      <c r="H35" s="11"/>
    </row>
    <row r="36" ht="45.0" customHeight="1">
      <c r="A36" s="11">
        <v>35.0</v>
      </c>
      <c r="B36" s="93" t="s">
        <v>993</v>
      </c>
      <c r="C36" s="11" t="str">
        <f t="shared" ref="C36:C38" si="2">IMAGE("https://encrypted-tbn0.gstatic.com/=IMAGEs?q=tbn:ANd9GcTv3YU2gmM00qoI79XpKhq-dV1wM5aPXrLsmrVwQWwEda0tuTarN0ncQ0DMg_JUYk4IBe4&amp;usqp=CAU",1)</f>
        <v/>
      </c>
      <c r="D36" s="215" t="s">
        <v>981</v>
      </c>
      <c r="E36" s="11" t="s">
        <v>20</v>
      </c>
      <c r="F36" s="216">
        <v>5.0</v>
      </c>
      <c r="G36" s="215"/>
      <c r="H36" s="11"/>
    </row>
    <row r="37" ht="45.0" customHeight="1">
      <c r="A37" s="11">
        <v>36.0</v>
      </c>
      <c r="B37" s="93" t="s">
        <v>997</v>
      </c>
      <c r="C37" s="11" t="str">
        <f t="shared" si="2"/>
        <v/>
      </c>
      <c r="D37" s="215" t="s">
        <v>981</v>
      </c>
      <c r="E37" s="11" t="s">
        <v>20</v>
      </c>
      <c r="F37" s="216">
        <v>5.0</v>
      </c>
      <c r="G37" s="215"/>
      <c r="H37" s="11"/>
    </row>
    <row r="38" ht="45.0" customHeight="1">
      <c r="A38" s="11">
        <v>37.0</v>
      </c>
      <c r="B38" s="93" t="s">
        <v>1000</v>
      </c>
      <c r="C38" s="11" t="str">
        <f t="shared" si="2"/>
        <v/>
      </c>
      <c r="D38" s="215" t="s">
        <v>981</v>
      </c>
      <c r="E38" s="11" t="s">
        <v>20</v>
      </c>
      <c r="F38" s="216">
        <v>5.0</v>
      </c>
      <c r="G38" s="215"/>
      <c r="H38" s="11"/>
    </row>
    <row r="39" ht="45.0" customHeight="1">
      <c r="A39" s="11">
        <v>38.0</v>
      </c>
      <c r="B39" s="93" t="s">
        <v>1004</v>
      </c>
      <c r="C39" s="11" t="str">
        <f>IMAGE("https://3.imimg.com/data3/QQ/JR/MY-2/plastic-twine-500x500.jpg",1)</f>
        <v/>
      </c>
      <c r="D39" s="215" t="s">
        <v>981</v>
      </c>
      <c r="E39" s="11" t="s">
        <v>20</v>
      </c>
      <c r="F39" s="216">
        <v>1.0</v>
      </c>
      <c r="G39" s="215"/>
      <c r="H39" s="11"/>
    </row>
    <row r="40" ht="45.0" customHeight="1">
      <c r="A40" s="11">
        <v>39.0</v>
      </c>
      <c r="B40" s="93" t="s">
        <v>1019</v>
      </c>
      <c r="C40" s="11" t="str">
        <f>IMAGE("https://m.media-amazon.com/images/I/51XnX9DfiFL._SL1166_.jpg",1)</f>
        <v/>
      </c>
      <c r="D40" s="215" t="s">
        <v>981</v>
      </c>
      <c r="E40" s="11" t="s">
        <v>20</v>
      </c>
      <c r="F40" s="216">
        <v>1.0</v>
      </c>
      <c r="G40" s="215"/>
      <c r="H40" s="11"/>
    </row>
    <row r="41" ht="45.0" customHeight="1">
      <c r="A41" s="11">
        <v>40.0</v>
      </c>
      <c r="B41" s="93" t="s">
        <v>1982</v>
      </c>
      <c r="C41" s="11" t="str">
        <f>IMAGE("https://m.media-amazon.com/images/I/81PowerIGsL._SL1500_.jpg")</f>
        <v/>
      </c>
      <c r="D41" s="215" t="s">
        <v>1421</v>
      </c>
      <c r="E41" s="11" t="s">
        <v>20</v>
      </c>
      <c r="F41" s="216">
        <v>1.0</v>
      </c>
      <c r="G41" s="93"/>
      <c r="H41" s="11"/>
    </row>
    <row r="42" ht="45.0" customHeight="1">
      <c r="A42" s="11">
        <v>41.0</v>
      </c>
      <c r="B42" s="93" t="s">
        <v>1439</v>
      </c>
      <c r="C42" s="11" t="str">
        <f>IMAGE("https://cdn.shopify.com/s/files/1/0032/5448/5037/products/suvidha-aluminium-foil-72-meters-pack-of-12_800x.jpg?v=1562920856",1)</f>
        <v/>
      </c>
      <c r="D42" s="215" t="s">
        <v>1421</v>
      </c>
      <c r="E42" s="11" t="s">
        <v>20</v>
      </c>
      <c r="F42" s="216">
        <v>5.0</v>
      </c>
      <c r="G42" s="93"/>
      <c r="H42" s="11"/>
    </row>
    <row r="43" ht="45.0" customHeight="1">
      <c r="A43" s="11">
        <v>42.0</v>
      </c>
      <c r="B43" s="93" t="s">
        <v>1425</v>
      </c>
      <c r="C43" s="11" t="str">
        <f>IMAGE("https://imgs.michaels.com/MAM/assets/1/5E3C12034D34434F8A9BAAFDDF0F8E1B/img/5CDBB82051B44720A8F8901B4AABD77C/10446567_2.jpg",1)</f>
        <v/>
      </c>
      <c r="D43" s="215" t="s">
        <v>1421</v>
      </c>
      <c r="E43" s="11" t="s">
        <v>20</v>
      </c>
      <c r="F43" s="11">
        <v>5.0</v>
      </c>
      <c r="G43" s="93"/>
      <c r="H43" s="11"/>
    </row>
    <row r="44" ht="45.0" customHeight="1">
      <c r="A44" s="11">
        <v>43.0</v>
      </c>
      <c r="B44" s="93" t="s">
        <v>1981</v>
      </c>
      <c r="C44" s="11" t="str">
        <f>IMAGE("https://upload.wikimedia.org/wikipedia/commons/7/79/Polymer_clay_examples.jpg",1)</f>
        <v/>
      </c>
      <c r="D44" s="215" t="s">
        <v>1421</v>
      </c>
      <c r="E44" s="11" t="s">
        <v>20</v>
      </c>
      <c r="F44" s="11">
        <v>5.0</v>
      </c>
      <c r="G44" s="93"/>
      <c r="H44" s="11"/>
    </row>
    <row r="45" ht="45.0" customHeight="1">
      <c r="A45" s="11">
        <v>44.0</v>
      </c>
      <c r="B45" s="93" t="s">
        <v>936</v>
      </c>
      <c r="C45" s="11" t="str">
        <f>IMAGE("https://m.media-amazon.com/images/I/61ywjiydpbS._SL1500_.jpg",1)</f>
        <v/>
      </c>
      <c r="D45" s="215" t="s">
        <v>1421</v>
      </c>
      <c r="E45" s="11" t="s">
        <v>20</v>
      </c>
      <c r="F45" s="216">
        <v>4.0</v>
      </c>
      <c r="G45" s="93"/>
      <c r="H45" s="11"/>
    </row>
    <row r="46" ht="45.0" customHeight="1">
      <c r="A46" s="11">
        <v>45.0</v>
      </c>
      <c r="B46" s="93" t="s">
        <v>1454</v>
      </c>
      <c r="C46" s="11" t="str">
        <f>IMAGE("https://cdn11.bigcommerce.com/s-33iv1gdknl/images/stencil/1280x1280/products/115465/70691/prd_32014_5797121027228__12010.1559545680.jpg?c=2",1)</f>
        <v/>
      </c>
      <c r="D46" s="215" t="s">
        <v>1421</v>
      </c>
      <c r="E46" s="11" t="s">
        <v>20</v>
      </c>
      <c r="F46" s="216">
        <v>50.0</v>
      </c>
      <c r="G46" s="93"/>
      <c r="H46" s="11"/>
    </row>
    <row r="47" ht="45.0" customHeight="1">
      <c r="A47" s="11">
        <v>46.0</v>
      </c>
      <c r="B47" s="93" t="s">
        <v>1470</v>
      </c>
      <c r="C47" s="11" t="str">
        <f>IMAGE("https://www.wpiinc.com/media/catalog/product/cache/57a65487c9a4c9d3ba2482ad45cfc757/5/0/503023.jpg",1)</f>
        <v/>
      </c>
      <c r="D47" s="215" t="s">
        <v>1421</v>
      </c>
      <c r="E47" s="11" t="s">
        <v>20</v>
      </c>
      <c r="F47" s="216">
        <v>1.0</v>
      </c>
      <c r="G47" s="93"/>
      <c r="H47" s="11"/>
    </row>
    <row r="48" ht="45.0" customHeight="1">
      <c r="A48" s="11">
        <v>47.0</v>
      </c>
      <c r="B48" s="93" t="s">
        <v>1458</v>
      </c>
      <c r="C48" s="11" t="str">
        <f>IMAGE("https://assetscdn1.paytm.com/images/catalog/product/S/ST/STAEVA-FOAM-SHEKAPI63599336D8CB51/1563562065545_0..jpg?imwidth=320&amp;impolicy=hq",1)</f>
        <v/>
      </c>
      <c r="D48" s="215" t="s">
        <v>1421</v>
      </c>
      <c r="E48" s="11" t="s">
        <v>20</v>
      </c>
      <c r="F48" s="216">
        <v>10.0</v>
      </c>
      <c r="G48" s="93"/>
      <c r="H48" s="11"/>
    </row>
    <row r="49" ht="45.0" customHeight="1">
      <c r="A49" s="11">
        <v>48.0</v>
      </c>
      <c r="B49" s="93" t="s">
        <v>1446</v>
      </c>
      <c r="C49" s="11" t="str">
        <f t="shared" ref="C49:C50" si="3">IMAGE("https://m.media-amazon.com/images/I/51FB8cHTJyL._SL1500_.jpg",1)</f>
        <v/>
      </c>
      <c r="D49" s="215" t="s">
        <v>1421</v>
      </c>
      <c r="E49" s="11" t="s">
        <v>20</v>
      </c>
      <c r="F49" s="216">
        <v>5.0</v>
      </c>
      <c r="G49" s="93"/>
      <c r="H49" s="11"/>
    </row>
    <row r="50" ht="45.0" customHeight="1">
      <c r="A50" s="11">
        <v>49.0</v>
      </c>
      <c r="B50" s="93" t="s">
        <v>1450</v>
      </c>
      <c r="C50" s="11" t="str">
        <f t="shared" si="3"/>
        <v/>
      </c>
      <c r="D50" s="215" t="s">
        <v>1421</v>
      </c>
      <c r="E50" s="11" t="s">
        <v>20</v>
      </c>
      <c r="F50" s="216">
        <v>5.0</v>
      </c>
      <c r="G50" s="93"/>
      <c r="H50" s="11"/>
    </row>
    <row r="51" ht="45.0" customHeight="1">
      <c r="A51" s="11">
        <v>50.0</v>
      </c>
      <c r="B51" s="93" t="s">
        <v>1466</v>
      </c>
      <c r="C51" s="11" t="str">
        <f>IMAGE("https://www.ramsayrubber.com/wp-content/uploads/2020/01/Rolls-Sheeting-Polyurethane-Foam-Rolls2-1.jpg",1)</f>
        <v/>
      </c>
      <c r="D51" s="215" t="s">
        <v>1421</v>
      </c>
      <c r="E51" s="11" t="s">
        <v>20</v>
      </c>
      <c r="F51" s="216">
        <v>10.0</v>
      </c>
      <c r="G51" s="93"/>
      <c r="H51" s="11"/>
    </row>
    <row r="52" ht="45.0" customHeight="1">
      <c r="A52" s="11">
        <v>51.0</v>
      </c>
      <c r="B52" s="93" t="s">
        <v>1461</v>
      </c>
      <c r="C52" s="11" t="str">
        <f>IMAGE("https://5.imimg.com/data5/NA/SV/MA/SELLER-5806248/transparent-ohp-sheet-1000x1000.jpg",1)</f>
        <v/>
      </c>
      <c r="D52" s="215" t="s">
        <v>1421</v>
      </c>
      <c r="E52" s="11" t="s">
        <v>20</v>
      </c>
      <c r="F52" s="216">
        <v>1.0</v>
      </c>
      <c r="G52" s="93"/>
      <c r="H52" s="11"/>
    </row>
    <row r="53" ht="45.0" customHeight="1">
      <c r="A53" s="11">
        <v>52.0</v>
      </c>
      <c r="B53" s="93" t="s">
        <v>1604</v>
      </c>
      <c r="C53" s="11" t="str">
        <f>IMAGE("https://3.imimg.com/data3/HA/PB/MY-3231014/sewing-needle.jpg",1)</f>
        <v/>
      </c>
      <c r="D53" s="215" t="s">
        <v>1601</v>
      </c>
      <c r="E53" s="11" t="s">
        <v>20</v>
      </c>
      <c r="F53" s="11">
        <v>1.0</v>
      </c>
      <c r="G53" s="93"/>
      <c r="H53" s="11"/>
    </row>
    <row r="54" ht="45.0" customHeight="1">
      <c r="A54" s="11">
        <v>53.0</v>
      </c>
      <c r="B54" s="93" t="s">
        <v>1608</v>
      </c>
      <c r="C54" s="11" t="str">
        <f>IMAGE("https://m.media-amazon.com/images/W/MEDIAX_792452-T2/images/I/71vxqqo9r7L.jpg",1)</f>
        <v/>
      </c>
      <c r="D54" s="215" t="s">
        <v>1601</v>
      </c>
      <c r="E54" s="11" t="s">
        <v>20</v>
      </c>
      <c r="F54" s="11">
        <v>2.0</v>
      </c>
      <c r="G54" s="93"/>
      <c r="H54" s="11"/>
    </row>
    <row r="55" ht="45.0" customHeight="1">
      <c r="A55" s="11">
        <v>54.0</v>
      </c>
      <c r="B55" s="93" t="s">
        <v>464</v>
      </c>
      <c r="C55" s="11" t="str">
        <f>IMAGE("https://5.imimg.com/data5/SELLER/Default/2020/10/MN/BG/IF/24066098/sunlu-sl-300-3d-pen-green-500x500.jpg",1)</f>
        <v/>
      </c>
      <c r="D55" s="215" t="s">
        <v>465</v>
      </c>
      <c r="E55" s="11" t="s">
        <v>466</v>
      </c>
      <c r="F55" s="216">
        <v>5.0</v>
      </c>
      <c r="G55" s="93"/>
      <c r="H55" s="11"/>
    </row>
    <row r="56" ht="45.0" customHeight="1">
      <c r="A56" s="11">
        <v>55.0</v>
      </c>
      <c r="B56" s="93" t="s">
        <v>471</v>
      </c>
      <c r="C56" s="11" t="str">
        <f>IMAGE("https://m.media-amazon.com/images/I/61UtNlSmPaL._SX342_.jpg",1)</f>
        <v/>
      </c>
      <c r="D56" s="215" t="s">
        <v>465</v>
      </c>
      <c r="E56" s="11" t="s">
        <v>466</v>
      </c>
      <c r="F56" s="216">
        <v>1.0</v>
      </c>
      <c r="G56" s="93"/>
      <c r="H56" s="11"/>
    </row>
    <row r="57" ht="45.0" customHeight="1">
      <c r="A57" s="11">
        <v>56.0</v>
      </c>
      <c r="B57" s="93" t="s">
        <v>475</v>
      </c>
      <c r="C57" s="11"/>
      <c r="D57" s="215" t="s">
        <v>465</v>
      </c>
      <c r="E57" s="11" t="s">
        <v>466</v>
      </c>
      <c r="F57" s="216">
        <v>1.0</v>
      </c>
      <c r="G57" s="93"/>
      <c r="H57" s="11"/>
    </row>
    <row r="58" ht="45.0" customHeight="1">
      <c r="A58" s="11">
        <v>57.0</v>
      </c>
      <c r="B58" s="93" t="s">
        <v>479</v>
      </c>
      <c r="C58" s="11" t="str">
        <f>IMAGE("https://5.imimg.com/data5/LA/TM/JO/SELLER-79394111/3d-printer-nylon-filament-500x500.jpg",1)</f>
        <v/>
      </c>
      <c r="D58" s="215" t="s">
        <v>465</v>
      </c>
      <c r="E58" s="11" t="s">
        <v>466</v>
      </c>
      <c r="F58" s="216">
        <v>3.0</v>
      </c>
      <c r="G58" s="93"/>
      <c r="H58" s="11"/>
    </row>
    <row r="59" ht="45.0" customHeight="1">
      <c r="A59" s="11">
        <v>58.0</v>
      </c>
      <c r="B59" s="260" t="s">
        <v>1995</v>
      </c>
      <c r="C59" s="11"/>
      <c r="D59" s="215" t="s">
        <v>465</v>
      </c>
      <c r="E59" s="11" t="s">
        <v>466</v>
      </c>
      <c r="F59" s="216">
        <v>1.0</v>
      </c>
      <c r="G59" s="93"/>
      <c r="H59" s="11"/>
    </row>
    <row r="60" ht="45.0" customHeight="1">
      <c r="A60" s="11">
        <v>59.0</v>
      </c>
      <c r="B60" s="260" t="s">
        <v>1997</v>
      </c>
      <c r="C60" s="11"/>
      <c r="D60" s="215" t="s">
        <v>465</v>
      </c>
      <c r="E60" s="11" t="s">
        <v>466</v>
      </c>
      <c r="F60" s="216">
        <v>1.0</v>
      </c>
      <c r="G60" s="93"/>
      <c r="H60" s="11"/>
    </row>
    <row r="61" ht="45.0" customHeight="1">
      <c r="A61" s="11">
        <v>60.0</v>
      </c>
      <c r="B61" s="93" t="s">
        <v>1125</v>
      </c>
      <c r="C61" s="11" t="str">
        <f>IMAGE("https://cdn.shopify.com/s/files/1/0276/7382/1286/products/57_1a2e82a1-0306-49dc-8a29-0c0b2110ddb8_600x.jpg?v=1632245164",1)</f>
        <v/>
      </c>
      <c r="D61" s="215" t="s">
        <v>1032</v>
      </c>
      <c r="E61" s="11" t="s">
        <v>466</v>
      </c>
      <c r="F61" s="216">
        <v>1.0</v>
      </c>
      <c r="G61" s="215"/>
      <c r="H61" s="11"/>
    </row>
    <row r="62" ht="45.0" customHeight="1">
      <c r="A62" s="11">
        <v>61.0</v>
      </c>
      <c r="B62" s="93" t="s">
        <v>176</v>
      </c>
      <c r="C62" s="11" t="str">
        <f>IMAGE("https://robu.in/wp-content/uploads/2021/05/EU-Plug-Universal-Battery-Charger-For-18650-16340-14500-Li-ion-Rechargeable-Battery-Charger-3.jpg",1)</f>
        <v/>
      </c>
      <c r="D62" s="215" t="s">
        <v>177</v>
      </c>
      <c r="E62" s="11" t="s">
        <v>178</v>
      </c>
      <c r="F62" s="216">
        <v>5.0</v>
      </c>
      <c r="G62" s="93"/>
      <c r="H62" s="11"/>
    </row>
    <row r="63" ht="45.0" customHeight="1">
      <c r="A63" s="11">
        <v>62.0</v>
      </c>
      <c r="B63" s="93" t="s">
        <v>220</v>
      </c>
      <c r="C63" s="11" t="str">
        <f>IMAGE("https://i02.psgsm.net/gsm.com/p/887576/480/power-bank-hoco-j26-10000-mah-micro-usb-type-b-input-5v-2a-2-usb-outputs-5-v-2-1-a-139-70-16-mm-with-micro-usb-cable-type-b-black.jpg",1)</f>
        <v/>
      </c>
      <c r="D63" s="215" t="s">
        <v>177</v>
      </c>
      <c r="E63" s="11" t="s">
        <v>178</v>
      </c>
      <c r="F63" s="216">
        <v>5.0</v>
      </c>
      <c r="G63" s="93"/>
      <c r="H63" s="221"/>
    </row>
    <row r="64" ht="45.0" customHeight="1">
      <c r="A64" s="11">
        <v>63.0</v>
      </c>
      <c r="B64" s="93" t="s">
        <v>1741</v>
      </c>
      <c r="C64" s="11" t="str">
        <f>IMAGE("https://images-na.ssl-images-amazon.com/images/I/51p4KPR9o1L.SS700.jpg",1)</f>
        <v/>
      </c>
      <c r="D64" s="215" t="s">
        <v>177</v>
      </c>
      <c r="E64" s="11" t="s">
        <v>178</v>
      </c>
      <c r="F64" s="216">
        <v>10.0</v>
      </c>
      <c r="G64" s="93"/>
      <c r="H64" s="11"/>
    </row>
    <row r="65" ht="45.0" customHeight="1">
      <c r="A65" s="11">
        <v>64.0</v>
      </c>
      <c r="B65" s="93" t="s">
        <v>228</v>
      </c>
      <c r="C65" s="11" t="str">
        <f>IMAGE("https://5.imimg.com/data5/SELLER/Default/2021/7/XA/OZ/BW/6610292/9v-power-plus-nimh-rechargeable-battery-500x500.jpg",1)</f>
        <v/>
      </c>
      <c r="D65" s="215" t="s">
        <v>177</v>
      </c>
      <c r="E65" s="11" t="s">
        <v>178</v>
      </c>
      <c r="F65" s="216">
        <v>10.0</v>
      </c>
      <c r="G65" s="93"/>
      <c r="H65" s="11"/>
    </row>
    <row r="66" ht="45.0" customHeight="1">
      <c r="A66" s="11">
        <v>65.0</v>
      </c>
      <c r="B66" s="93" t="s">
        <v>232</v>
      </c>
      <c r="C66" s="11" t="str">
        <f>IMAGE("https://images-cdn.ubuy.co.in/6578382306deda07ed788ca4-rechargeable-aa-batteries-aa.jpg",1)</f>
        <v/>
      </c>
      <c r="D66" s="215" t="s">
        <v>177</v>
      </c>
      <c r="E66" s="11" t="s">
        <v>178</v>
      </c>
      <c r="F66" s="216">
        <v>20.0</v>
      </c>
      <c r="G66" s="93"/>
      <c r="H66" s="11"/>
    </row>
    <row r="67" ht="45.0" customHeight="1">
      <c r="A67" s="11">
        <v>66.0</v>
      </c>
      <c r="B67" s="93" t="s">
        <v>1908</v>
      </c>
      <c r="C67" s="11" t="str">
        <f>IMAGE("https://m.media-amazon.com/images/I/6161NXWtz-L._SL1500_.jpg",1)</f>
        <v/>
      </c>
      <c r="D67" s="215" t="s">
        <v>177</v>
      </c>
      <c r="E67" s="11" t="s">
        <v>178</v>
      </c>
      <c r="F67" s="216">
        <v>5.0</v>
      </c>
      <c r="G67" s="93"/>
      <c r="H67" s="11"/>
    </row>
    <row r="68" ht="45.0" customHeight="1">
      <c r="A68" s="11">
        <v>67.0</v>
      </c>
      <c r="B68" s="93" t="s">
        <v>1910</v>
      </c>
      <c r="C68" s="11" t="str">
        <f>IMAGE("https://i0.wp.com/www.rytronics.in/wp-content/uploads/2021/09/9v-batter-connector-snap-connector02.jpg?fit=1000%2C1000&amp;ssl=1",1)</f>
        <v/>
      </c>
      <c r="D68" s="215" t="s">
        <v>177</v>
      </c>
      <c r="E68" s="11" t="s">
        <v>178</v>
      </c>
      <c r="F68" s="216">
        <v>20.0</v>
      </c>
      <c r="G68" s="93"/>
      <c r="H68" s="221"/>
    </row>
    <row r="69" ht="45.0" customHeight="1">
      <c r="A69" s="11">
        <v>68.0</v>
      </c>
      <c r="B69" s="93" t="s">
        <v>1911</v>
      </c>
      <c r="C69" s="11" t="str">
        <f>IMAGE("https://m.media-amazon.com/images/W/MEDIAX_792452-T2/images/I/61UPqH4BXuL.SS700.jpg",1)</f>
        <v/>
      </c>
      <c r="D69" s="215" t="s">
        <v>177</v>
      </c>
      <c r="E69" s="11" t="s">
        <v>178</v>
      </c>
      <c r="F69" s="216">
        <v>15.0</v>
      </c>
      <c r="G69" s="93"/>
      <c r="H69" s="221"/>
    </row>
    <row r="70" ht="45.0" customHeight="1">
      <c r="A70" s="11">
        <v>69.0</v>
      </c>
      <c r="B70" s="93" t="s">
        <v>1912</v>
      </c>
      <c r="C70" s="11" t="str">
        <f>IMAGE("https://robotools.in/wp-content/uploads/2022/09/18650-x-2-battery-holder-with-cover-and-OnOff-Switch-5.jpg",1)</f>
        <v/>
      </c>
      <c r="D70" s="215" t="s">
        <v>177</v>
      </c>
      <c r="E70" s="11" t="s">
        <v>178</v>
      </c>
      <c r="F70" s="216">
        <v>10.0</v>
      </c>
      <c r="G70" s="93"/>
      <c r="H70" s="11"/>
    </row>
    <row r="71" ht="45.0" customHeight="1">
      <c r="A71" s="11">
        <v>70.0</v>
      </c>
      <c r="B71" s="93" t="s">
        <v>1913</v>
      </c>
      <c r="C71" s="11" t="str">
        <f>IMAGE("https://robu.in/wp-content/uploads/2019/03/2-x-1.5V-AA-battery-holder-with-cover-and-OnOff-Switch-6.jpg",1)</f>
        <v/>
      </c>
      <c r="D71" s="215" t="s">
        <v>177</v>
      </c>
      <c r="E71" s="11" t="s">
        <v>178</v>
      </c>
      <c r="F71" s="216">
        <v>30.0</v>
      </c>
      <c r="G71" s="93"/>
      <c r="H71" s="11"/>
    </row>
    <row r="72" ht="45.0" customHeight="1">
      <c r="A72" s="11">
        <v>71.0</v>
      </c>
      <c r="B72" s="93" t="s">
        <v>1914</v>
      </c>
      <c r="C72" s="11" t="str">
        <f>IMAGE("https://probots.co.in/pub/media/catalog/product/cache/d8ddd0f9b0cd008b57085cd218b48832/4/-/4-x-1.5v-aa-battery-holder01.jpg",1)</f>
        <v/>
      </c>
      <c r="D72" s="215" t="s">
        <v>177</v>
      </c>
      <c r="E72" s="11" t="s">
        <v>178</v>
      </c>
      <c r="F72" s="216">
        <v>20.0</v>
      </c>
      <c r="G72" s="93"/>
      <c r="H72" s="11"/>
    </row>
    <row r="73" ht="45.0" customHeight="1">
      <c r="A73" s="11">
        <v>72.0</v>
      </c>
      <c r="B73" s="93" t="s">
        <v>1915</v>
      </c>
      <c r="C73" s="11" t="str">
        <f>IMAGE("https://robu.in/wp-content/uploads/2022/06/510c1Z93PDL._SX679_.jpg",1)</f>
        <v/>
      </c>
      <c r="D73" s="215" t="s">
        <v>177</v>
      </c>
      <c r="E73" s="11" t="s">
        <v>178</v>
      </c>
      <c r="F73" s="216">
        <v>20.0</v>
      </c>
      <c r="G73" s="93"/>
      <c r="H73" s="11"/>
    </row>
    <row r="74" ht="45.0" customHeight="1">
      <c r="A74" s="11">
        <v>73.0</v>
      </c>
      <c r="B74" s="93" t="s">
        <v>1906</v>
      </c>
      <c r="C74" s="11" t="str">
        <f>IMAGE("https://rukminim2.flixcart.com/image/832/832/krs40i80/worldwide-adaptor/f/7/g/pack-of-1-power-adapter-12v-2-amp-dual-pin-for-charger-with-original-imag5hmbvgzazbzz.jpeg?q=70",1)</f>
        <v/>
      </c>
      <c r="D74" s="215" t="s">
        <v>177</v>
      </c>
      <c r="E74" s="11" t="s">
        <v>178</v>
      </c>
      <c r="F74" s="216">
        <v>5.0</v>
      </c>
      <c r="G74" s="93"/>
      <c r="H74" s="11"/>
    </row>
    <row r="75" ht="45.0" customHeight="1">
      <c r="A75" s="11">
        <v>74.0</v>
      </c>
      <c r="B75" s="93" t="s">
        <v>1916</v>
      </c>
      <c r="C75" s="11" t="str">
        <f>IMAGE("https://robu.in/wp-content/uploads/2017/04/Alligator-Clips-Electrical-DIY-Test-Leads-10pcs-For-Test-Leads-Double-ended-Crocodile-Clips-Roach-Clip-2.jpg",1)</f>
        <v/>
      </c>
      <c r="D75" s="215" t="s">
        <v>237</v>
      </c>
      <c r="E75" s="11" t="s">
        <v>178</v>
      </c>
      <c r="F75" s="216">
        <v>20.0</v>
      </c>
      <c r="G75" s="93"/>
      <c r="H75" s="11"/>
    </row>
    <row r="76" ht="45.0" customHeight="1">
      <c r="A76" s="11">
        <v>75.0</v>
      </c>
      <c r="B76" s="93" t="s">
        <v>241</v>
      </c>
      <c r="C76" s="11" t="str">
        <f>IMAGE("https://makerbazar.in/cdn/shop/products/dcmalejackwithwire2_600x.jpg?v=1642675074",1)</f>
        <v/>
      </c>
      <c r="D76" s="215" t="s">
        <v>237</v>
      </c>
      <c r="E76" s="11" t="s">
        <v>178</v>
      </c>
      <c r="F76" s="216">
        <v>20.0</v>
      </c>
      <c r="G76" s="93"/>
      <c r="H76" s="221"/>
    </row>
    <row r="77" ht="45.0" customHeight="1">
      <c r="A77" s="11">
        <v>76.0</v>
      </c>
      <c r="B77" s="93" t="s">
        <v>1924</v>
      </c>
      <c r="C77" s="11" t="str">
        <f>IMAGE("https://robu.in/wp-content/uploads/2019/06/3.5mm-Audio-Plug-3-Pole-Gold-plated-Earphone-Adapter-For-DIY-Stereo-Headset-5.jpg",1)</f>
        <v/>
      </c>
      <c r="D77" s="215" t="s">
        <v>237</v>
      </c>
      <c r="E77" s="11" t="s">
        <v>178</v>
      </c>
      <c r="F77" s="216">
        <v>10.0</v>
      </c>
      <c r="G77" s="93"/>
      <c r="H77" s="221"/>
    </row>
    <row r="78" ht="45.0" customHeight="1">
      <c r="A78" s="11">
        <v>77.0</v>
      </c>
      <c r="B78" s="93" t="s">
        <v>1918</v>
      </c>
      <c r="C78" s="11" t="str">
        <f>IMAGE("https://rukminim2.flixcart.com/image/832/832/k8t3jbk0/cable-sleeve/j/c/q/black-2mm-polyolefin-heat-shrink-tube-sleeve-for-wrap-60-meter-original-imafqq3y2g2v9vzz.jpeg?q=70",1)</f>
        <v/>
      </c>
      <c r="D78" s="215" t="s">
        <v>237</v>
      </c>
      <c r="E78" s="11" t="s">
        <v>178</v>
      </c>
      <c r="F78" s="216">
        <v>1.0</v>
      </c>
      <c r="G78" s="93"/>
      <c r="H78" s="11"/>
    </row>
    <row r="79" ht="45.0" customHeight="1">
      <c r="A79" s="11">
        <v>78.0</v>
      </c>
      <c r="B79" s="93" t="s">
        <v>1919</v>
      </c>
      <c r="C79" s="11" t="str">
        <f>IMAGE("https://m.media-amazon.com/images/I/61zJ0n1EqGS._AC_SL1500_.jpg",1)</f>
        <v/>
      </c>
      <c r="D79" s="215" t="s">
        <v>237</v>
      </c>
      <c r="E79" s="11" t="s">
        <v>178</v>
      </c>
      <c r="F79" s="216">
        <v>1.0</v>
      </c>
      <c r="G79" s="93"/>
      <c r="H79" s="11"/>
    </row>
    <row r="80" ht="45.0" customHeight="1">
      <c r="A80" s="11">
        <v>79.0</v>
      </c>
      <c r="B80" s="93" t="s">
        <v>1920</v>
      </c>
      <c r="C80" s="11" t="str">
        <f>IMAGE("https://m.media-amazon.com/images/W/MEDIAX_792452-T2/images/I/417I5BCQPSL.jpg",1)</f>
        <v/>
      </c>
      <c r="D80" s="215" t="s">
        <v>237</v>
      </c>
      <c r="E80" s="11" t="s">
        <v>178</v>
      </c>
      <c r="F80" s="216">
        <v>1.0</v>
      </c>
      <c r="G80" s="93"/>
      <c r="H80" s="11"/>
    </row>
    <row r="81" ht="45.0" customHeight="1">
      <c r="A81" s="11">
        <v>80.0</v>
      </c>
      <c r="B81" s="93" t="s">
        <v>1921</v>
      </c>
      <c r="C81" s="11" t="str">
        <f>IMAGE("https://m.media-amazon.com/images/I/61zJ0n1EqGS._AC_SL1500_.jpg",1)</f>
        <v/>
      </c>
      <c r="D81" s="215" t="s">
        <v>237</v>
      </c>
      <c r="E81" s="11" t="s">
        <v>178</v>
      </c>
      <c r="F81" s="216">
        <v>1.0</v>
      </c>
      <c r="G81" s="93"/>
      <c r="H81" s="11"/>
    </row>
    <row r="82" ht="45.0" customHeight="1">
      <c r="A82" s="11">
        <v>81.0</v>
      </c>
      <c r="B82" s="93" t="s">
        <v>266</v>
      </c>
      <c r="C82" s="11" t="str">
        <f t="shared" ref="C82:C86" si="4">IMAGE("https://i.ebayimg.com/images/g/xCYAAOSwjvJlEQU8/s-l1600.jpg",1)</f>
        <v/>
      </c>
      <c r="D82" s="215" t="s">
        <v>237</v>
      </c>
      <c r="E82" s="11" t="s">
        <v>178</v>
      </c>
      <c r="F82" s="216">
        <v>20.0</v>
      </c>
      <c r="G82" s="93"/>
      <c r="H82" s="11"/>
    </row>
    <row r="83" ht="45.0" customHeight="1">
      <c r="A83" s="11">
        <v>82.0</v>
      </c>
      <c r="B83" s="93" t="s">
        <v>271</v>
      </c>
      <c r="C83" s="11" t="str">
        <f t="shared" si="4"/>
        <v/>
      </c>
      <c r="D83" s="215" t="s">
        <v>237</v>
      </c>
      <c r="E83" s="11" t="s">
        <v>178</v>
      </c>
      <c r="F83" s="216">
        <v>20.0</v>
      </c>
      <c r="G83" s="93"/>
      <c r="H83" s="11"/>
    </row>
    <row r="84" ht="45.0" customHeight="1">
      <c r="A84" s="11">
        <v>83.0</v>
      </c>
      <c r="B84" s="93" t="s">
        <v>275</v>
      </c>
      <c r="C84" s="11" t="str">
        <f t="shared" si="4"/>
        <v/>
      </c>
      <c r="D84" s="215" t="s">
        <v>237</v>
      </c>
      <c r="E84" s="11" t="s">
        <v>178</v>
      </c>
      <c r="F84" s="216">
        <v>20.0</v>
      </c>
      <c r="G84" s="93"/>
      <c r="H84" s="11"/>
    </row>
    <row r="85" ht="45.0" customHeight="1">
      <c r="A85" s="11">
        <v>84.0</v>
      </c>
      <c r="B85" s="93" t="s">
        <v>279</v>
      </c>
      <c r="C85" s="11" t="str">
        <f t="shared" si="4"/>
        <v/>
      </c>
      <c r="D85" s="215" t="s">
        <v>237</v>
      </c>
      <c r="E85" s="11" t="s">
        <v>178</v>
      </c>
      <c r="F85" s="216">
        <v>20.0</v>
      </c>
      <c r="G85" s="93"/>
      <c r="H85" s="11"/>
    </row>
    <row r="86" ht="45.0" customHeight="1">
      <c r="A86" s="11">
        <v>85.0</v>
      </c>
      <c r="B86" s="93" t="s">
        <v>283</v>
      </c>
      <c r="C86" s="11" t="str">
        <f t="shared" si="4"/>
        <v/>
      </c>
      <c r="D86" s="215" t="s">
        <v>237</v>
      </c>
      <c r="E86" s="11" t="s">
        <v>178</v>
      </c>
      <c r="F86" s="216">
        <v>20.0</v>
      </c>
      <c r="G86" s="93"/>
      <c r="H86" s="11"/>
    </row>
    <row r="87" ht="45.0" customHeight="1">
      <c r="A87" s="11">
        <v>86.0</v>
      </c>
      <c r="B87" s="93" t="s">
        <v>287</v>
      </c>
      <c r="C87" s="11" t="str">
        <f t="shared" ref="C87:C89" si="5">IMAGE("https://cdn.shopify.com/s/files/1/0527/2692/3444/products/M-M10CM_800x.jpg?v=1620840829",1)</f>
        <v/>
      </c>
      <c r="D87" s="215" t="s">
        <v>237</v>
      </c>
      <c r="E87" s="11" t="s">
        <v>178</v>
      </c>
      <c r="F87" s="216">
        <v>20.0</v>
      </c>
      <c r="G87" s="93"/>
      <c r="H87" s="221"/>
    </row>
    <row r="88" ht="45.0" customHeight="1">
      <c r="A88" s="11">
        <v>87.0</v>
      </c>
      <c r="B88" s="93" t="s">
        <v>292</v>
      </c>
      <c r="C88" s="11" t="str">
        <f t="shared" si="5"/>
        <v/>
      </c>
      <c r="D88" s="215" t="s">
        <v>237</v>
      </c>
      <c r="E88" s="11" t="s">
        <v>178</v>
      </c>
      <c r="F88" s="216">
        <v>20.0</v>
      </c>
      <c r="G88" s="93"/>
      <c r="H88" s="221"/>
    </row>
    <row r="89" ht="45.0" customHeight="1">
      <c r="A89" s="11">
        <v>88.0</v>
      </c>
      <c r="B89" s="93" t="s">
        <v>296</v>
      </c>
      <c r="C89" s="11" t="str">
        <f t="shared" si="5"/>
        <v/>
      </c>
      <c r="D89" s="215" t="s">
        <v>237</v>
      </c>
      <c r="E89" s="11" t="s">
        <v>178</v>
      </c>
      <c r="F89" s="216">
        <v>20.0</v>
      </c>
      <c r="G89" s="93"/>
      <c r="H89" s="221"/>
    </row>
    <row r="90" ht="45.0" customHeight="1">
      <c r="A90" s="11">
        <v>89.0</v>
      </c>
      <c r="B90" s="93" t="s">
        <v>300</v>
      </c>
      <c r="C90" s="11" t="str">
        <f>IMAGE("https://encrypted-tbn0.gstatic.com/images?q=tbn:ANd9GcR4A79FMiemvwjtYU3z1SGV0ayCZPtc8oNMobr5AuvlhGOJoeuq78aTh7JjRPQlfFrsXfE&amp;usqp=CAU",1)</f>
        <v/>
      </c>
      <c r="D90" s="215" t="s">
        <v>237</v>
      </c>
      <c r="E90" s="11" t="s">
        <v>178</v>
      </c>
      <c r="F90" s="216">
        <v>10.0</v>
      </c>
      <c r="G90" s="93"/>
      <c r="H90" s="11"/>
    </row>
    <row r="91" ht="45.0" customHeight="1">
      <c r="A91" s="11">
        <v>90.0</v>
      </c>
      <c r="B91" s="93" t="s">
        <v>304</v>
      </c>
      <c r="C91" s="11" t="str">
        <f>IMAGE("https://robu.in/wp-content/uploads/2018/07/50-CM-Micro-USB-Cable-1.jpg",1)</f>
        <v/>
      </c>
      <c r="D91" s="215" t="s">
        <v>237</v>
      </c>
      <c r="E91" s="11" t="s">
        <v>178</v>
      </c>
      <c r="F91" s="216">
        <v>10.0</v>
      </c>
      <c r="G91" s="93"/>
      <c r="H91" s="221"/>
    </row>
    <row r="92" ht="45.0" customHeight="1">
      <c r="A92" s="11">
        <v>91.0</v>
      </c>
      <c r="B92" s="93" t="s">
        <v>1931</v>
      </c>
      <c r="C92" s="11" t="str">
        <f>IMAGE("https://www.electronicscomp.com/image/cache/catalog/cnc-shield-v3-400x400.jpg",1)</f>
        <v/>
      </c>
      <c r="D92" s="215" t="s">
        <v>415</v>
      </c>
      <c r="E92" s="11" t="s">
        <v>178</v>
      </c>
      <c r="F92" s="237">
        <v>7.0</v>
      </c>
      <c r="G92" s="93"/>
      <c r="H92" s="11"/>
    </row>
    <row r="93" ht="45.0" customHeight="1">
      <c r="A93" s="11">
        <v>92.0</v>
      </c>
      <c r="B93" s="93" t="s">
        <v>420</v>
      </c>
      <c r="C93" s="11" t="str">
        <f>IMAGE("https://5.imimg.com/data5/VS/XC/MY-4167793/arduino-nano-500x500.jpg",1)</f>
        <v/>
      </c>
      <c r="D93" s="215" t="s">
        <v>415</v>
      </c>
      <c r="E93" s="11" t="s">
        <v>178</v>
      </c>
      <c r="F93" s="216">
        <v>15.0</v>
      </c>
      <c r="G93" s="93"/>
      <c r="H93" s="11"/>
    </row>
    <row r="94" ht="45.0" customHeight="1">
      <c r="A94" s="11">
        <v>93.0</v>
      </c>
      <c r="B94" s="93" t="s">
        <v>1933</v>
      </c>
      <c r="C94" s="11" t="str">
        <f>IMAGE("https://robu.in/wp-content/uploads/2017/04/Arduino_NANO_expansion1.jpg",1)</f>
        <v/>
      </c>
      <c r="D94" s="215" t="s">
        <v>415</v>
      </c>
      <c r="E94" s="11" t="s">
        <v>178</v>
      </c>
      <c r="F94" s="216">
        <v>10.0</v>
      </c>
      <c r="G94" s="93"/>
      <c r="H94" s="221"/>
    </row>
    <row r="95" ht="45.0" customHeight="1">
      <c r="A95" s="11">
        <v>94.0</v>
      </c>
      <c r="B95" s="93" t="s">
        <v>1934</v>
      </c>
      <c r="C95" s="11" t="str">
        <f>IMAGE("https://robu.in/wp-content/uploads/2017/10/Uno-R3-CH340G-ATmega328p-Development-Board-Compatible-with-Arduino2.png",1)</f>
        <v/>
      </c>
      <c r="D95" s="215" t="s">
        <v>415</v>
      </c>
      <c r="E95" s="11" t="s">
        <v>178</v>
      </c>
      <c r="F95" s="216">
        <v>15.0</v>
      </c>
      <c r="G95" s="93"/>
      <c r="H95" s="11"/>
    </row>
    <row r="96" ht="45.0" customHeight="1">
      <c r="A96" s="11">
        <v>95.0</v>
      </c>
      <c r="B96" s="93" t="s">
        <v>438</v>
      </c>
      <c r="C96" s="11" t="str">
        <f>IMAGE("https://www.electronicscomp.com/image/cache/catalog/esp8266-esp01-wifi-module-india-800x800.jpg",1)</f>
        <v/>
      </c>
      <c r="D96" s="215" t="s">
        <v>415</v>
      </c>
      <c r="E96" s="11" t="s">
        <v>178</v>
      </c>
      <c r="F96" s="216">
        <v>10.0</v>
      </c>
      <c r="G96" s="93"/>
      <c r="H96" s="106"/>
    </row>
    <row r="97" ht="45.0" customHeight="1">
      <c r="A97" s="11">
        <v>96.0</v>
      </c>
      <c r="B97" s="93" t="s">
        <v>441</v>
      </c>
      <c r="C97" s="11" t="str">
        <f>IMAGE("https://makerselectronics.com/wp-content/uploads/2020/07/ESP32-CAM-2.jpg",1)</f>
        <v/>
      </c>
      <c r="D97" s="215" t="s">
        <v>415</v>
      </c>
      <c r="E97" s="11" t="s">
        <v>178</v>
      </c>
      <c r="F97" s="216">
        <v>10.0</v>
      </c>
      <c r="G97" s="93"/>
      <c r="H97" s="11"/>
    </row>
    <row r="98" ht="45.0" customHeight="1">
      <c r="A98" s="11">
        <v>97.0</v>
      </c>
      <c r="B98" s="93" t="s">
        <v>446</v>
      </c>
      <c r="C98" s="11" t="str">
        <f>IMAGE("https://www.berrybase.de/media/image/c5/26/b6/ID_186599_orig_600x600.jpg",1)</f>
        <v/>
      </c>
      <c r="D98" s="215" t="s">
        <v>415</v>
      </c>
      <c r="E98" s="11" t="s">
        <v>178</v>
      </c>
      <c r="F98" s="216">
        <v>10.0</v>
      </c>
      <c r="G98" s="93"/>
      <c r="H98" s="11"/>
    </row>
    <row r="99" ht="45.0" customHeight="1">
      <c r="A99" s="11">
        <v>98.0</v>
      </c>
      <c r="B99" s="93" t="s">
        <v>450</v>
      </c>
      <c r="C99" s="11" t="str">
        <f>IMAGE("https://m.media-amazon.com/images/I/61rcnccrByL._SL1238_.jpg",1)</f>
        <v/>
      </c>
      <c r="D99" s="215" t="s">
        <v>415</v>
      </c>
      <c r="E99" s="11" t="s">
        <v>178</v>
      </c>
      <c r="F99" s="216">
        <v>15.0</v>
      </c>
      <c r="G99" s="93"/>
      <c r="H99" s="11"/>
    </row>
    <row r="100" ht="45.0" customHeight="1">
      <c r="A100" s="11">
        <v>99.0</v>
      </c>
      <c r="B100" s="93" t="s">
        <v>454</v>
      </c>
      <c r="C100" s="11" t="str">
        <f>IMAGE("https://m.media-amazon.com/images/W/MEDIAX_792452-T2/images/I/61t+lNeiChL._SL1443_.jpg",1)</f>
        <v/>
      </c>
      <c r="D100" s="215" t="s">
        <v>415</v>
      </c>
      <c r="E100" s="11" t="s">
        <v>178</v>
      </c>
      <c r="F100" s="216">
        <v>15.0</v>
      </c>
      <c r="G100" s="93"/>
      <c r="H100" s="11"/>
    </row>
    <row r="101" ht="45.0" customHeight="1">
      <c r="A101" s="11">
        <v>100.0</v>
      </c>
      <c r="B101" s="107" t="s">
        <v>459</v>
      </c>
      <c r="C101" s="11" t="str">
        <f>IMAGE("https://m.media-amazon.com/images/W/MEDIAX_792452-T2/images/I/61xb9SMx4AL._SL1440_.jpg",1)</f>
        <v/>
      </c>
      <c r="D101" s="215" t="s">
        <v>415</v>
      </c>
      <c r="E101" s="11" t="s">
        <v>178</v>
      </c>
      <c r="F101" s="216">
        <v>10.0</v>
      </c>
      <c r="G101" s="93"/>
      <c r="H101" s="11"/>
    </row>
    <row r="102" ht="45.0" customHeight="1">
      <c r="A102" s="11">
        <v>101.0</v>
      </c>
      <c r="B102" s="270" t="s">
        <v>2160</v>
      </c>
      <c r="C102" s="11" t="str">
        <f>IMAGE("https://sumeetinstruments.com/image/cache/catalog/3dprinter/A4988-Stepper-Motor-Driver-Module-Heat-Sink-3D-Printer-Parts.-550x550.jpg",1)</f>
        <v/>
      </c>
      <c r="D102" s="215" t="s">
        <v>415</v>
      </c>
      <c r="E102" s="221" t="s">
        <v>178</v>
      </c>
      <c r="F102" s="237">
        <v>21.0</v>
      </c>
      <c r="G102" s="93"/>
      <c r="H102" s="11"/>
    </row>
    <row r="103" ht="45.0" customHeight="1">
      <c r="A103" s="11">
        <v>102.0</v>
      </c>
      <c r="B103" s="272" t="s">
        <v>2161</v>
      </c>
      <c r="C103" s="275"/>
      <c r="D103" s="273" t="s">
        <v>415</v>
      </c>
      <c r="E103" s="221" t="s">
        <v>178</v>
      </c>
      <c r="F103" s="274">
        <v>10.0</v>
      </c>
      <c r="G103" s="275"/>
      <c r="H103" s="275"/>
      <c r="I103" s="276"/>
    </row>
    <row r="104" ht="45.0" customHeight="1">
      <c r="A104" s="11">
        <v>103.0</v>
      </c>
      <c r="B104" s="272" t="s">
        <v>2162</v>
      </c>
      <c r="C104" s="275"/>
      <c r="D104" s="273" t="s">
        <v>415</v>
      </c>
      <c r="E104" s="221" t="s">
        <v>178</v>
      </c>
      <c r="F104" s="274">
        <v>2.0</v>
      </c>
      <c r="G104" s="275"/>
      <c r="H104" s="275"/>
      <c r="I104" s="276"/>
    </row>
    <row r="105" ht="45.0" customHeight="1">
      <c r="A105" s="11">
        <v>104.0</v>
      </c>
      <c r="B105" s="93" t="s">
        <v>505</v>
      </c>
      <c r="C105" s="11" t="str">
        <f>IMAGE("https://rukminim2.flixcart.com/image/832/832/ks243gw0/electronic-hobby-kit/x/f/2/2mm-pitch-female-burg-strip-40-pin-5-pcs-prime-intact-original-imag5pxpqjxcdsgh.jpeg?q=70",1)</f>
        <v/>
      </c>
      <c r="D105" s="215" t="s">
        <v>489</v>
      </c>
      <c r="E105" s="11" t="s">
        <v>178</v>
      </c>
      <c r="F105" s="216">
        <v>100.0</v>
      </c>
      <c r="G105" s="93"/>
      <c r="H105" s="221"/>
    </row>
    <row r="106" ht="45.0" customHeight="1">
      <c r="A106" s="11">
        <v>105.0</v>
      </c>
      <c r="B106" s="93" t="s">
        <v>626</v>
      </c>
      <c r="C106" s="11" t="str">
        <f>IMAGE("https://5.imimg.com/data5/AH/OG/AM/SELLER-5278310/mkc-27701-changeover-reed-switch-500x500.jpg",1)</f>
        <v/>
      </c>
      <c r="D106" s="215" t="s">
        <v>489</v>
      </c>
      <c r="E106" s="11" t="s">
        <v>178</v>
      </c>
      <c r="F106" s="216">
        <v>20.0</v>
      </c>
      <c r="G106" s="93"/>
      <c r="H106" s="11"/>
    </row>
    <row r="107" ht="45.0" customHeight="1">
      <c r="A107" s="11">
        <v>106.0</v>
      </c>
      <c r="B107" s="93" t="s">
        <v>1942</v>
      </c>
      <c r="C107" s="11" t="str">
        <f>IMAGE("https://5.imimg.com/data5/SR/JZ/RD/SELLER-80355495/large-breadboard-800-points--500x500.jpg",1)</f>
        <v/>
      </c>
      <c r="D107" s="215" t="s">
        <v>489</v>
      </c>
      <c r="E107" s="11" t="s">
        <v>178</v>
      </c>
      <c r="F107" s="216">
        <v>10.0</v>
      </c>
      <c r="G107" s="93"/>
      <c r="H107" s="11"/>
    </row>
    <row r="108" ht="45.0" customHeight="1">
      <c r="A108" s="11">
        <v>107.0</v>
      </c>
      <c r="B108" s="93" t="s">
        <v>497</v>
      </c>
      <c r="C108" s="11" t="str">
        <f>IMAGE("https://5.imimg.com/data5/SELLER/Default/2020/12/GY/DK/LM/59387089/400-point-solderless-breadboard-500x500.jpg",1)</f>
        <v/>
      </c>
      <c r="D108" s="215" t="s">
        <v>489</v>
      </c>
      <c r="E108" s="11" t="s">
        <v>178</v>
      </c>
      <c r="F108" s="216">
        <v>10.0</v>
      </c>
      <c r="G108" s="93"/>
      <c r="H108" s="11"/>
    </row>
    <row r="109" ht="45.0" customHeight="1">
      <c r="A109" s="11">
        <v>108.0</v>
      </c>
      <c r="B109" s="93" t="s">
        <v>501</v>
      </c>
      <c r="C109" s="11" t="str">
        <f>IMAGE("https://1ohm.in/wp-content/uploads/2021/07/MB102-3.3V5V-Breadboard-Power-Supply-Module.png",1)</f>
        <v/>
      </c>
      <c r="D109" s="215" t="s">
        <v>489</v>
      </c>
      <c r="E109" s="11" t="s">
        <v>178</v>
      </c>
      <c r="F109" s="216">
        <v>10.0</v>
      </c>
      <c r="G109" s="93"/>
      <c r="H109" s="11"/>
    </row>
    <row r="110" ht="45.0" customHeight="1">
      <c r="A110" s="11">
        <v>109.0</v>
      </c>
      <c r="B110" s="93" t="s">
        <v>509</v>
      </c>
      <c r="C110" s="11" t="str">
        <f>IMAGE("https://5.imimg.com/data5/OF/VW/IL/SELLER-9316309/burg-strips-500x500.jpg",1)</f>
        <v/>
      </c>
      <c r="D110" s="215" t="s">
        <v>489</v>
      </c>
      <c r="E110" s="11" t="s">
        <v>178</v>
      </c>
      <c r="F110" s="216">
        <v>50.0</v>
      </c>
      <c r="G110" s="93"/>
      <c r="H110" s="221"/>
    </row>
    <row r="111" ht="45.0" customHeight="1">
      <c r="A111" s="11">
        <v>110.0</v>
      </c>
      <c r="B111" s="242" t="s">
        <v>513</v>
      </c>
      <c r="C111" s="11" t="str">
        <f>IMAGE("https://www.tomsonelectronics.com/cdn/shop/products/40X1MALERAI_2048x2048.jpg?v=1602835171",1)</f>
        <v/>
      </c>
      <c r="D111" s="215" t="s">
        <v>489</v>
      </c>
      <c r="E111" s="11" t="s">
        <v>178</v>
      </c>
      <c r="F111" s="216">
        <v>50.0</v>
      </c>
      <c r="G111" s="93"/>
      <c r="H111" s="221"/>
    </row>
    <row r="112" ht="45.0" customHeight="1">
      <c r="A112" s="11">
        <v>111.0</v>
      </c>
      <c r="B112" s="240" t="s">
        <v>522</v>
      </c>
      <c r="C112" s="11" t="str">
        <f>IMAGE("https://projectpoint.in/image/cache/catalog/102-672x504.jpg",1)</f>
        <v/>
      </c>
      <c r="D112" s="215" t="s">
        <v>489</v>
      </c>
      <c r="E112" s="11" t="s">
        <v>178</v>
      </c>
      <c r="F112" s="216">
        <v>100.0</v>
      </c>
      <c r="G112" s="93"/>
      <c r="H112" s="11"/>
    </row>
    <row r="113" ht="45.0" customHeight="1">
      <c r="A113" s="11">
        <v>112.0</v>
      </c>
      <c r="B113" s="240" t="s">
        <v>517</v>
      </c>
      <c r="C113" s="11" t="str">
        <f t="shared" ref="C113:C114" si="6">IMAGE("https://projectpoint.in/image/cache/catalog/103-672x504.jpg",1)</f>
        <v/>
      </c>
      <c r="D113" s="215" t="s">
        <v>489</v>
      </c>
      <c r="E113" s="11" t="s">
        <v>178</v>
      </c>
      <c r="F113" s="216">
        <v>100.0</v>
      </c>
      <c r="G113" s="93"/>
      <c r="H113" s="11"/>
    </row>
    <row r="114" ht="45.0" customHeight="1">
      <c r="A114" s="11">
        <v>113.0</v>
      </c>
      <c r="B114" s="240" t="s">
        <v>530</v>
      </c>
      <c r="C114" s="11" t="str">
        <f t="shared" si="6"/>
        <v/>
      </c>
      <c r="D114" s="215" t="s">
        <v>489</v>
      </c>
      <c r="E114" s="11" t="s">
        <v>178</v>
      </c>
      <c r="F114" s="216">
        <v>100.0</v>
      </c>
      <c r="G114" s="93"/>
      <c r="H114" s="11"/>
    </row>
    <row r="115" ht="45.0" customHeight="1">
      <c r="A115" s="11">
        <v>114.0</v>
      </c>
      <c r="B115" s="240" t="s">
        <v>526</v>
      </c>
      <c r="C115" s="11" t="str">
        <f t="shared" ref="C115:C117" si="7">IMAGE("https://www.ato.com/content/images/thumbs/0011952_01f-50v-disc-ceramic-capacitor_550.jpeg",1)</f>
        <v/>
      </c>
      <c r="D115" s="215" t="s">
        <v>489</v>
      </c>
      <c r="E115" s="11" t="s">
        <v>178</v>
      </c>
      <c r="F115" s="216">
        <v>100.0</v>
      </c>
      <c r="G115" s="93"/>
      <c r="H115" s="11"/>
    </row>
    <row r="116" ht="45.0" customHeight="1">
      <c r="A116" s="11">
        <v>115.0</v>
      </c>
      <c r="B116" s="240" t="s">
        <v>566</v>
      </c>
      <c r="C116" s="11" t="str">
        <f t="shared" si="7"/>
        <v/>
      </c>
      <c r="D116" s="215" t="s">
        <v>489</v>
      </c>
      <c r="E116" s="11" t="s">
        <v>178</v>
      </c>
      <c r="F116" s="216">
        <v>50.0</v>
      </c>
      <c r="G116" s="93"/>
      <c r="H116" s="11"/>
    </row>
    <row r="117" ht="45.0" customHeight="1">
      <c r="A117" s="11">
        <v>116.0</v>
      </c>
      <c r="B117" s="240" t="s">
        <v>574</v>
      </c>
      <c r="C117" s="11" t="str">
        <f t="shared" si="7"/>
        <v/>
      </c>
      <c r="D117" s="215" t="s">
        <v>489</v>
      </c>
      <c r="E117" s="11" t="s">
        <v>178</v>
      </c>
      <c r="F117" s="216">
        <v>50.0</v>
      </c>
      <c r="G117" s="93"/>
      <c r="H117" s="11"/>
    </row>
    <row r="118" ht="45.0" customHeight="1">
      <c r="A118" s="11">
        <v>117.0</v>
      </c>
      <c r="B118" s="240" t="s">
        <v>534</v>
      </c>
      <c r="C118" s="11" t="str">
        <f>IMAGE("https://projectpoint.in/image/cache/catalog/22uf-450v-672x504.jpg",1)</f>
        <v/>
      </c>
      <c r="D118" s="215" t="s">
        <v>489</v>
      </c>
      <c r="E118" s="11" t="s">
        <v>178</v>
      </c>
      <c r="F118" s="216">
        <v>20.0</v>
      </c>
      <c r="G118" s="93"/>
      <c r="H118" s="11"/>
    </row>
    <row r="119" ht="45.0" customHeight="1">
      <c r="A119" s="11">
        <v>118.0</v>
      </c>
      <c r="B119" s="240" t="s">
        <v>550</v>
      </c>
      <c r="C119" s="11" t="str">
        <f>IMAGE("https://res.cloudinary.com/rsc/image/upload/b_rgb:FFFFFF,c_pad,dpr_1.0,f_auto,q_auto,w_700/c_pad,w_700/F5201539-01",1)</f>
        <v/>
      </c>
      <c r="D119" s="215" t="s">
        <v>489</v>
      </c>
      <c r="E119" s="11" t="s">
        <v>178</v>
      </c>
      <c r="F119" s="216">
        <v>20.0</v>
      </c>
      <c r="G119" s="93"/>
      <c r="H119" s="11"/>
    </row>
    <row r="120" ht="45.0" customHeight="1">
      <c r="A120" s="11">
        <v>119.0</v>
      </c>
      <c r="B120" s="240" t="s">
        <v>570</v>
      </c>
      <c r="C120" s="11" t="str">
        <f>IMAGE("https://sharvielectronics.com/wp-content/uploads/2020/02/2.2uF-50V-Electrolytic-Capacitor.jpg",1)</f>
        <v/>
      </c>
      <c r="D120" s="215" t="s">
        <v>489</v>
      </c>
      <c r="E120" s="11" t="s">
        <v>178</v>
      </c>
      <c r="F120" s="216">
        <v>50.0</v>
      </c>
      <c r="G120" s="93"/>
      <c r="H120" s="11"/>
    </row>
    <row r="121" ht="45.0" customHeight="1">
      <c r="A121" s="11">
        <v>120.0</v>
      </c>
      <c r="B121" s="240" t="s">
        <v>538</v>
      </c>
      <c r="C121" s="11" t="str">
        <f>IMAGE("https://projectpoint.in/image/cache/catalog/22uf-450v-672x504.jpg",1)</f>
        <v/>
      </c>
      <c r="D121" s="215" t="s">
        <v>489</v>
      </c>
      <c r="E121" s="11" t="s">
        <v>178</v>
      </c>
      <c r="F121" s="216">
        <v>50.0</v>
      </c>
      <c r="G121" s="93"/>
      <c r="H121" s="11"/>
    </row>
    <row r="122" ht="45.0" customHeight="1">
      <c r="A122" s="11">
        <v>121.0</v>
      </c>
      <c r="B122" s="240" t="s">
        <v>554</v>
      </c>
      <c r="C122" s="11" t="str">
        <f>IMAGE("https://5.imimg.com/data5/SP/GM/AD/SELLER-84581978/keltron-2200uf-35-v-electrolytic-capacitors-500x500.jpg",1)</f>
        <v/>
      </c>
      <c r="D122" s="215" t="s">
        <v>489</v>
      </c>
      <c r="E122" s="11" t="s">
        <v>178</v>
      </c>
      <c r="F122" s="216">
        <v>20.0</v>
      </c>
      <c r="G122" s="93"/>
      <c r="H122" s="11"/>
    </row>
    <row r="123" ht="45.0" customHeight="1">
      <c r="A123" s="11">
        <v>122.0</v>
      </c>
      <c r="B123" s="240" t="s">
        <v>578</v>
      </c>
      <c r="C123" s="11" t="str">
        <f>IMAGE("https://5.imimg.com/data5/QO/AU/MY-77080729/uge-electrolytic-capacitors-500x375-500x500.jpg",1)</f>
        <v/>
      </c>
      <c r="D123" s="215" t="s">
        <v>489</v>
      </c>
      <c r="E123" s="11" t="s">
        <v>178</v>
      </c>
      <c r="F123" s="216">
        <v>20.0</v>
      </c>
      <c r="G123" s="93"/>
      <c r="H123" s="11"/>
    </row>
    <row r="124" ht="45.0" customHeight="1">
      <c r="A124" s="11">
        <v>123.0</v>
      </c>
      <c r="B124" s="240" t="s">
        <v>542</v>
      </c>
      <c r="C124" s="11"/>
      <c r="D124" s="215" t="s">
        <v>489</v>
      </c>
      <c r="E124" s="11" t="s">
        <v>178</v>
      </c>
      <c r="F124" s="216">
        <v>100.0</v>
      </c>
      <c r="G124" s="93"/>
      <c r="H124" s="11"/>
    </row>
    <row r="125" ht="45.0" customHeight="1">
      <c r="A125" s="11">
        <v>124.0</v>
      </c>
      <c r="B125" s="240" t="s">
        <v>558</v>
      </c>
      <c r="C125" s="11" t="str">
        <f>IMAGE("https://5.imimg.com/data5/SP/GM/AD/SELLER-84581978/keltron-2200uf-35-v-electrolytic-capacitors-500x500.jpg",1)</f>
        <v/>
      </c>
      <c r="D125" s="215" t="s">
        <v>489</v>
      </c>
      <c r="E125" s="11" t="s">
        <v>178</v>
      </c>
      <c r="F125" s="216">
        <v>100.0</v>
      </c>
      <c r="G125" s="93"/>
      <c r="H125" s="11"/>
    </row>
    <row r="126" ht="45.0" customHeight="1">
      <c r="A126" s="11">
        <v>125.0</v>
      </c>
      <c r="B126" s="115" t="s">
        <v>582</v>
      </c>
      <c r="C126" s="11" t="str">
        <f>IMAGE("https://5.imimg.com/data5/JL/JS/ZA/SELLER-21614932/4-7uf-400v-keltron-capacitor-500x500.jpg",1)</f>
        <v/>
      </c>
      <c r="D126" s="215" t="s">
        <v>489</v>
      </c>
      <c r="E126" s="11" t="s">
        <v>178</v>
      </c>
      <c r="F126" s="216">
        <v>50.0</v>
      </c>
      <c r="G126" s="93"/>
      <c r="H126" s="11"/>
    </row>
    <row r="127" ht="45.0" customHeight="1">
      <c r="A127" s="11">
        <v>126.0</v>
      </c>
      <c r="B127" s="115" t="s">
        <v>546</v>
      </c>
      <c r="C127" s="11" t="str">
        <f>IMAGE("https://projectpoint.in/image/cache/catalog/47uf-250v-672x504.jpg",1)</f>
        <v/>
      </c>
      <c r="D127" s="215" t="s">
        <v>489</v>
      </c>
      <c r="E127" s="11" t="s">
        <v>178</v>
      </c>
      <c r="F127" s="216">
        <v>50.0</v>
      </c>
      <c r="G127" s="93"/>
      <c r="H127" s="11"/>
    </row>
    <row r="128" ht="45.0" customHeight="1">
      <c r="A128" s="11">
        <v>127.0</v>
      </c>
      <c r="B128" s="115" t="s">
        <v>562</v>
      </c>
      <c r="C128" s="11" t="str">
        <f>IMAGE("https://5.imimg.com/data5/QO/AU/MY-77080729/uge-electrolytic-capacitors-500x375-500x500.jpg",1)</f>
        <v/>
      </c>
      <c r="D128" s="215" t="s">
        <v>489</v>
      </c>
      <c r="E128" s="11" t="s">
        <v>178</v>
      </c>
      <c r="F128" s="216">
        <v>20.0</v>
      </c>
      <c r="G128" s="93"/>
      <c r="H128" s="11"/>
    </row>
    <row r="129" ht="45.0" customHeight="1">
      <c r="A129" s="11">
        <v>128.0</v>
      </c>
      <c r="B129" s="93" t="s">
        <v>590</v>
      </c>
      <c r="C129" s="11" t="str">
        <f t="shared" ref="C129:C130" si="8">IMAGE("https://m.media-amazon.com/images/W/MEDIAX_792452-T2/images/I/41A+MQfyyEL.jpg",1)</f>
        <v/>
      </c>
      <c r="D129" s="215" t="s">
        <v>489</v>
      </c>
      <c r="E129" s="11" t="s">
        <v>178</v>
      </c>
      <c r="F129" s="216">
        <v>20.0</v>
      </c>
      <c r="G129" s="93"/>
      <c r="H129" s="11"/>
    </row>
    <row r="130" ht="45.0" customHeight="1">
      <c r="A130" s="11">
        <v>129.0</v>
      </c>
      <c r="B130" s="93" t="s">
        <v>594</v>
      </c>
      <c r="C130" s="11" t="str">
        <f t="shared" si="8"/>
        <v/>
      </c>
      <c r="D130" s="215" t="s">
        <v>489</v>
      </c>
      <c r="E130" s="11" t="s">
        <v>178</v>
      </c>
      <c r="F130" s="216">
        <v>20.0</v>
      </c>
      <c r="G130" s="93"/>
      <c r="H130" s="11"/>
    </row>
    <row r="131" ht="45.0" customHeight="1">
      <c r="A131" s="11">
        <v>130.0</v>
      </c>
      <c r="B131" s="93" t="s">
        <v>1860</v>
      </c>
      <c r="C131" s="11" t="str">
        <f>IMAGE("https://www.electronicscomp.com/image/cache/catalog/cd4033-5-stage-johnson-decade-counter-ic-dip-16-800x800.jpg",1)</f>
        <v/>
      </c>
      <c r="D131" s="215" t="s">
        <v>489</v>
      </c>
      <c r="E131" s="11" t="s">
        <v>178</v>
      </c>
      <c r="F131" s="216">
        <v>20.0</v>
      </c>
      <c r="G131" s="93"/>
      <c r="H131" s="221"/>
    </row>
    <row r="132" ht="45.0" customHeight="1">
      <c r="A132" s="11">
        <v>131.0</v>
      </c>
      <c r="B132" s="93" t="s">
        <v>1862</v>
      </c>
      <c r="C132" s="11" t="str">
        <f>IMAGE("https://robu.in/wp-content/uploads/2018/11/LM358P-PDIP-8-High-Gain-Operational-Amplifier-Pack-of-5-ICs-9.jpg",1)</f>
        <v/>
      </c>
      <c r="D132" s="215" t="s">
        <v>489</v>
      </c>
      <c r="E132" s="11" t="s">
        <v>178</v>
      </c>
      <c r="F132" s="216">
        <v>20.0</v>
      </c>
      <c r="G132" s="93"/>
      <c r="H132" s="221"/>
    </row>
    <row r="133" ht="45.0" customHeight="1">
      <c r="A133" s="11">
        <v>132.0</v>
      </c>
      <c r="B133" s="93" t="s">
        <v>2085</v>
      </c>
      <c r="C133" s="11" t="str">
        <f>IMAGE("https://potentiallabs.com/cart/image/cache/catalog/2021/555-timer-ic-400x400.jpeg",1)</f>
        <v/>
      </c>
      <c r="D133" s="215" t="s">
        <v>489</v>
      </c>
      <c r="E133" s="11" t="s">
        <v>178</v>
      </c>
      <c r="F133" s="216">
        <v>20.0</v>
      </c>
      <c r="G133" s="93"/>
      <c r="H133" s="248"/>
    </row>
    <row r="134" ht="45.0" customHeight="1">
      <c r="A134" s="11">
        <v>133.0</v>
      </c>
      <c r="B134" s="93" t="s">
        <v>603</v>
      </c>
      <c r="C134" s="11" t="str">
        <f>IMAGE("https://rukminim2.flixcart.com/image/832/832/xif0q/electronic-hobby-kit/d/o/s/50-pcs-blue-led-5mm-kitsguru-original-imaghfqbjbn4hshz.jpeg?q=70",1)</f>
        <v/>
      </c>
      <c r="D134" s="215" t="s">
        <v>489</v>
      </c>
      <c r="E134" s="11" t="s">
        <v>178</v>
      </c>
      <c r="F134" s="216">
        <v>500.0</v>
      </c>
      <c r="G134" s="93"/>
      <c r="H134" s="244"/>
    </row>
    <row r="135" ht="45.0" customHeight="1">
      <c r="A135" s="11">
        <v>134.0</v>
      </c>
      <c r="B135" s="93" t="s">
        <v>607</v>
      </c>
      <c r="C135" s="11" t="str">
        <f>IMAGE("https://rukminim2.flixcart.com/image/832/832/krz97rk0/electronic-hobby-kit/r/p/r/5mm-green-led-light-emitting-diode-highlight-for-arduino-pack-of-original-imag5n63ad6pnxqe.jpeg?q=70", 1)</f>
        <v/>
      </c>
      <c r="D135" s="215" t="s">
        <v>489</v>
      </c>
      <c r="E135" s="11" t="s">
        <v>178</v>
      </c>
      <c r="F135" s="216">
        <v>500.0</v>
      </c>
      <c r="G135" s="93"/>
      <c r="H135" s="244"/>
    </row>
    <row r="136" ht="45.0" customHeight="1">
      <c r="A136" s="11">
        <v>135.0</v>
      </c>
      <c r="B136" s="93" t="s">
        <v>610</v>
      </c>
      <c r="C136" s="11" t="str">
        <f>IMAGE("https://rukminim2.flixcart.com/image/832/832/ktrk13k0/electronic-hobby-kit/u/f/w/10-pcs-5mm-round-diffused-red-color-led-light-bulb-lamp-light-original-imag7ff6rchccrbz.jpeg?q=70", 1)</f>
        <v/>
      </c>
      <c r="D136" s="215" t="s">
        <v>489</v>
      </c>
      <c r="E136" s="11" t="s">
        <v>178</v>
      </c>
      <c r="F136" s="216">
        <v>500.0</v>
      </c>
      <c r="G136" s="93"/>
      <c r="H136" s="244"/>
    </row>
    <row r="137" ht="45.0" customHeight="1">
      <c r="A137" s="11">
        <v>136.0</v>
      </c>
      <c r="B137" s="93" t="s">
        <v>614</v>
      </c>
      <c r="C137" s="11" t="str">
        <f>IMAGE("https://robu.in/wp-content/uploads/2020/10/5mm-DIP-Led-White.png", 1)</f>
        <v/>
      </c>
      <c r="D137" s="215" t="s">
        <v>489</v>
      </c>
      <c r="E137" s="11" t="s">
        <v>178</v>
      </c>
      <c r="F137" s="216">
        <v>500.0</v>
      </c>
      <c r="G137" s="93"/>
      <c r="H137" s="244"/>
    </row>
    <row r="138" ht="45.0" customHeight="1">
      <c r="A138" s="11">
        <v>137.0</v>
      </c>
      <c r="B138" s="93" t="s">
        <v>618</v>
      </c>
      <c r="C138" s="11" t="str">
        <f>IMAGE("https://robu.in/wp-content/uploads/2020/10/5-mm-DIP-Led-Yellow.png", 1)</f>
        <v/>
      </c>
      <c r="D138" s="215" t="s">
        <v>489</v>
      </c>
      <c r="E138" s="11" t="s">
        <v>178</v>
      </c>
      <c r="F138" s="216">
        <v>500.0</v>
      </c>
      <c r="G138" s="93"/>
      <c r="H138" s="244"/>
    </row>
    <row r="139" ht="45.0" customHeight="1">
      <c r="A139" s="11">
        <v>138.0</v>
      </c>
      <c r="B139" s="93" t="s">
        <v>622</v>
      </c>
      <c r="C139" s="11" t="str">
        <f>IMAGE("https://image.robotistan.com/5mm-transparent-rgb-led-2633-11-O.jpg", 1)</f>
        <v/>
      </c>
      <c r="D139" s="215" t="s">
        <v>489</v>
      </c>
      <c r="E139" s="11" t="s">
        <v>178</v>
      </c>
      <c r="F139" s="216">
        <v>100.0</v>
      </c>
      <c r="G139" s="93"/>
      <c r="H139" s="244"/>
    </row>
    <row r="140" ht="45.0" customHeight="1">
      <c r="A140" s="11">
        <v>139.0</v>
      </c>
      <c r="B140" s="93" t="s">
        <v>630</v>
      </c>
      <c r="C140" s="11" t="str">
        <f t="shared" ref="C140:C141" si="9">IMAGE("https://www.electronicscomp.com/image/cache/catalog/irfz44-n-channel-power-mosfet-1-800x800.JPG",1)</f>
        <v/>
      </c>
      <c r="D140" s="215" t="s">
        <v>489</v>
      </c>
      <c r="E140" s="11" t="s">
        <v>178</v>
      </c>
      <c r="F140" s="216">
        <v>20.0</v>
      </c>
      <c r="G140" s="93"/>
      <c r="H140" s="11"/>
    </row>
    <row r="141" ht="45.0" customHeight="1">
      <c r="A141" s="11">
        <v>140.0</v>
      </c>
      <c r="B141" s="93" t="s">
        <v>634</v>
      </c>
      <c r="C141" s="11" t="str">
        <f t="shared" si="9"/>
        <v/>
      </c>
      <c r="D141" s="215" t="s">
        <v>489</v>
      </c>
      <c r="E141" s="11" t="s">
        <v>178</v>
      </c>
      <c r="F141" s="216">
        <v>20.0</v>
      </c>
      <c r="G141" s="93"/>
      <c r="H141" s="11"/>
    </row>
    <row r="142" ht="45.0" customHeight="1">
      <c r="A142" s="11">
        <v>141.0</v>
      </c>
      <c r="B142" s="93" t="s">
        <v>886</v>
      </c>
      <c r="C142" s="11" t="str">
        <f>IMAGE("https://www.olelectronics.in/wp-content/uploads/Miniature-Vibration-Motor.png",1)</f>
        <v/>
      </c>
      <c r="D142" s="215" t="s">
        <v>489</v>
      </c>
      <c r="E142" s="11" t="s">
        <v>178</v>
      </c>
      <c r="F142" s="216">
        <v>20.0</v>
      </c>
      <c r="G142" s="93"/>
      <c r="H142" s="221"/>
    </row>
    <row r="143" ht="45.0" customHeight="1">
      <c r="A143" s="11">
        <v>142.0</v>
      </c>
      <c r="B143" s="93" t="s">
        <v>642</v>
      </c>
      <c r="C143" s="11" t="str">
        <f t="shared" ref="C143:C146" si="10">IMAGE("https://m.media-amazon.com/images/I/31ALofIyvBL._SX466_.jpg",1)</f>
        <v/>
      </c>
      <c r="D143" s="215" t="s">
        <v>489</v>
      </c>
      <c r="E143" s="11" t="s">
        <v>178</v>
      </c>
      <c r="F143" s="216">
        <v>20.0</v>
      </c>
      <c r="G143" s="93"/>
      <c r="H143" s="11"/>
    </row>
    <row r="144" ht="45.0" customHeight="1">
      <c r="A144" s="11">
        <v>143.0</v>
      </c>
      <c r="B144" s="93" t="s">
        <v>646</v>
      </c>
      <c r="C144" s="11" t="str">
        <f t="shared" si="10"/>
        <v/>
      </c>
      <c r="D144" s="215" t="s">
        <v>489</v>
      </c>
      <c r="E144" s="11" t="s">
        <v>178</v>
      </c>
      <c r="F144" s="216">
        <v>20.0</v>
      </c>
      <c r="G144" s="93"/>
      <c r="H144" s="245"/>
    </row>
    <row r="145" ht="45.0" customHeight="1">
      <c r="A145" s="11">
        <v>144.0</v>
      </c>
      <c r="B145" s="242" t="s">
        <v>650</v>
      </c>
      <c r="C145" s="11" t="str">
        <f t="shared" si="10"/>
        <v/>
      </c>
      <c r="D145" s="215" t="s">
        <v>489</v>
      </c>
      <c r="E145" s="11" t="s">
        <v>178</v>
      </c>
      <c r="F145" s="216">
        <v>20.0</v>
      </c>
      <c r="G145" s="93"/>
      <c r="H145" s="245"/>
    </row>
    <row r="146" ht="45.0" customHeight="1">
      <c r="A146" s="11">
        <v>145.0</v>
      </c>
      <c r="B146" s="242" t="s">
        <v>654</v>
      </c>
      <c r="C146" s="11" t="str">
        <f t="shared" si="10"/>
        <v/>
      </c>
      <c r="D146" s="215" t="s">
        <v>489</v>
      </c>
      <c r="E146" s="11" t="s">
        <v>178</v>
      </c>
      <c r="F146" s="216">
        <v>20.0</v>
      </c>
      <c r="G146" s="93"/>
      <c r="H146" s="11"/>
    </row>
    <row r="147" ht="45.0" customHeight="1">
      <c r="A147" s="11">
        <v>146.0</v>
      </c>
      <c r="B147" s="242" t="s">
        <v>874</v>
      </c>
      <c r="C147" s="11" t="str">
        <f t="shared" ref="C147:C149" si="11">IMAGE("https://probots.co.in/pub/media/catalog/product/cache/d8ddd0f9b0cd008b57085cd218b48832/1/k/1k_ohm_variable_resistor_potentiometer1-1000x1000_12.jpg",1)</f>
        <v/>
      </c>
      <c r="D147" s="215" t="s">
        <v>489</v>
      </c>
      <c r="E147" s="11" t="s">
        <v>178</v>
      </c>
      <c r="F147" s="216">
        <v>20.0</v>
      </c>
      <c r="G147" s="93"/>
      <c r="H147" s="11"/>
    </row>
    <row r="148" ht="45.0" customHeight="1">
      <c r="A148" s="11">
        <v>147.0</v>
      </c>
      <c r="B148" s="242" t="s">
        <v>878</v>
      </c>
      <c r="C148" s="11" t="str">
        <f t="shared" si="11"/>
        <v/>
      </c>
      <c r="D148" s="215" t="s">
        <v>489</v>
      </c>
      <c r="E148" s="11" t="s">
        <v>178</v>
      </c>
      <c r="F148" s="216">
        <v>20.0</v>
      </c>
      <c r="G148" s="93"/>
      <c r="H148" s="11"/>
    </row>
    <row r="149" ht="45.0" customHeight="1">
      <c r="A149" s="11">
        <v>148.0</v>
      </c>
      <c r="B149" s="242" t="s">
        <v>882</v>
      </c>
      <c r="C149" s="11" t="str">
        <f t="shared" si="11"/>
        <v/>
      </c>
      <c r="D149" s="215" t="s">
        <v>489</v>
      </c>
      <c r="E149" s="11" t="s">
        <v>178</v>
      </c>
      <c r="F149" s="216">
        <v>20.0</v>
      </c>
      <c r="G149" s="93"/>
      <c r="H149" s="11"/>
    </row>
    <row r="150" ht="45.0" customHeight="1">
      <c r="A150" s="11">
        <v>149.0</v>
      </c>
      <c r="B150" s="240" t="s">
        <v>662</v>
      </c>
      <c r="C150" s="11" t="str">
        <f t="shared" ref="C150:C191" si="12">IMAGE("https://projectpoint.in/image/cache/catalog/CFR_Resistor_Kit-672x504.jpg",1)</f>
        <v/>
      </c>
      <c r="D150" s="215" t="s">
        <v>489</v>
      </c>
      <c r="E150" s="11" t="s">
        <v>178</v>
      </c>
      <c r="F150" s="216">
        <v>100.0</v>
      </c>
      <c r="G150" s="93"/>
      <c r="H150" s="11"/>
    </row>
    <row r="151" ht="45.0" customHeight="1">
      <c r="A151" s="11">
        <v>150.0</v>
      </c>
      <c r="B151" s="240" t="s">
        <v>1757</v>
      </c>
      <c r="C151" s="11" t="str">
        <f t="shared" si="12"/>
        <v/>
      </c>
      <c r="D151" s="215" t="s">
        <v>489</v>
      </c>
      <c r="E151" s="11" t="s">
        <v>178</v>
      </c>
      <c r="F151" s="216">
        <v>100.0</v>
      </c>
      <c r="G151" s="93"/>
      <c r="H151" s="11"/>
    </row>
    <row r="152" ht="45.0" customHeight="1">
      <c r="A152" s="11">
        <v>151.0</v>
      </c>
      <c r="B152" s="240" t="s">
        <v>698</v>
      </c>
      <c r="C152" s="11" t="str">
        <f t="shared" si="12"/>
        <v/>
      </c>
      <c r="D152" s="215" t="s">
        <v>489</v>
      </c>
      <c r="E152" s="11" t="s">
        <v>178</v>
      </c>
      <c r="F152" s="216">
        <v>100.0</v>
      </c>
      <c r="G152" s="93"/>
      <c r="H152" s="11"/>
    </row>
    <row r="153" ht="45.0" customHeight="1">
      <c r="A153" s="11">
        <v>152.0</v>
      </c>
      <c r="B153" s="240" t="s">
        <v>706</v>
      </c>
      <c r="C153" s="11" t="str">
        <f t="shared" si="12"/>
        <v/>
      </c>
      <c r="D153" s="215" t="s">
        <v>489</v>
      </c>
      <c r="E153" s="11" t="s">
        <v>178</v>
      </c>
      <c r="F153" s="216">
        <v>100.0</v>
      </c>
      <c r="G153" s="93"/>
      <c r="H153" s="11"/>
    </row>
    <row r="154" ht="45.0" customHeight="1">
      <c r="A154" s="11">
        <v>153.0</v>
      </c>
      <c r="B154" s="240" t="s">
        <v>718</v>
      </c>
      <c r="C154" s="11" t="str">
        <f t="shared" si="12"/>
        <v/>
      </c>
      <c r="D154" s="215" t="s">
        <v>489</v>
      </c>
      <c r="E154" s="11" t="s">
        <v>178</v>
      </c>
      <c r="F154" s="216">
        <v>100.0</v>
      </c>
      <c r="G154" s="93"/>
      <c r="H154" s="11"/>
    </row>
    <row r="155" ht="45.0" customHeight="1">
      <c r="A155" s="11">
        <v>154.0</v>
      </c>
      <c r="B155" s="240" t="s">
        <v>734</v>
      </c>
      <c r="C155" s="11" t="str">
        <f t="shared" si="12"/>
        <v/>
      </c>
      <c r="D155" s="215" t="s">
        <v>489</v>
      </c>
      <c r="E155" s="11" t="s">
        <v>178</v>
      </c>
      <c r="F155" s="216">
        <v>100.0</v>
      </c>
      <c r="G155" s="93"/>
      <c r="H155" s="11"/>
    </row>
    <row r="156" ht="45.0" customHeight="1">
      <c r="A156" s="11">
        <v>155.0</v>
      </c>
      <c r="B156" s="240" t="s">
        <v>1779</v>
      </c>
      <c r="C156" s="11" t="str">
        <f t="shared" si="12"/>
        <v/>
      </c>
      <c r="D156" s="215" t="s">
        <v>489</v>
      </c>
      <c r="E156" s="11" t="s">
        <v>178</v>
      </c>
      <c r="F156" s="216">
        <v>100.0</v>
      </c>
      <c r="G156" s="93"/>
      <c r="H156" s="246"/>
    </row>
    <row r="157" ht="45.0" customHeight="1">
      <c r="A157" s="11">
        <v>156.0</v>
      </c>
      <c r="B157" s="240" t="s">
        <v>754</v>
      </c>
      <c r="C157" s="11" t="str">
        <f t="shared" si="12"/>
        <v/>
      </c>
      <c r="D157" s="215" t="s">
        <v>489</v>
      </c>
      <c r="E157" s="11" t="s">
        <v>178</v>
      </c>
      <c r="F157" s="216">
        <v>100.0</v>
      </c>
      <c r="G157" s="93"/>
      <c r="H157" s="246"/>
    </row>
    <row r="158" ht="45.0" customHeight="1">
      <c r="A158" s="11">
        <v>157.0</v>
      </c>
      <c r="B158" s="240" t="s">
        <v>774</v>
      </c>
      <c r="C158" s="11" t="str">
        <f t="shared" si="12"/>
        <v/>
      </c>
      <c r="D158" s="215" t="s">
        <v>489</v>
      </c>
      <c r="E158" s="11" t="s">
        <v>178</v>
      </c>
      <c r="F158" s="216">
        <v>100.0</v>
      </c>
      <c r="G158" s="93"/>
      <c r="H158" s="246"/>
    </row>
    <row r="159" ht="45.0" customHeight="1">
      <c r="A159" s="11">
        <v>158.0</v>
      </c>
      <c r="B159" s="240" t="s">
        <v>658</v>
      </c>
      <c r="C159" s="11" t="str">
        <f t="shared" si="12"/>
        <v/>
      </c>
      <c r="D159" s="215" t="s">
        <v>489</v>
      </c>
      <c r="E159" s="11" t="s">
        <v>178</v>
      </c>
      <c r="F159" s="216">
        <v>100.0</v>
      </c>
      <c r="G159" s="93"/>
      <c r="H159" s="246"/>
    </row>
    <row r="160" ht="45.0" customHeight="1">
      <c r="A160" s="11">
        <v>159.0</v>
      </c>
      <c r="B160" s="240" t="s">
        <v>1792</v>
      </c>
      <c r="C160" s="11" t="str">
        <f t="shared" si="12"/>
        <v/>
      </c>
      <c r="D160" s="215" t="s">
        <v>489</v>
      </c>
      <c r="E160" s="11" t="s">
        <v>178</v>
      </c>
      <c r="F160" s="216">
        <v>100.0</v>
      </c>
      <c r="G160" s="93"/>
      <c r="H160" s="246"/>
    </row>
    <row r="161" ht="45.0" customHeight="1">
      <c r="A161" s="11">
        <v>160.0</v>
      </c>
      <c r="B161" s="240" t="s">
        <v>690</v>
      </c>
      <c r="C161" s="11" t="str">
        <f t="shared" si="12"/>
        <v/>
      </c>
      <c r="D161" s="215" t="s">
        <v>489</v>
      </c>
      <c r="E161" s="11" t="s">
        <v>178</v>
      </c>
      <c r="F161" s="216">
        <v>100.0</v>
      </c>
      <c r="G161" s="93"/>
      <c r="H161" s="246"/>
    </row>
    <row r="162" ht="45.0" customHeight="1">
      <c r="A162" s="11">
        <v>161.0</v>
      </c>
      <c r="B162" s="240" t="s">
        <v>1799</v>
      </c>
      <c r="C162" s="11" t="str">
        <f t="shared" si="12"/>
        <v/>
      </c>
      <c r="D162" s="215" t="s">
        <v>489</v>
      </c>
      <c r="E162" s="11" t="s">
        <v>178</v>
      </c>
      <c r="F162" s="216">
        <v>100.0</v>
      </c>
      <c r="G162" s="93"/>
      <c r="H162" s="246"/>
    </row>
    <row r="163" ht="45.0" customHeight="1">
      <c r="A163" s="11">
        <v>162.0</v>
      </c>
      <c r="B163" s="240" t="s">
        <v>710</v>
      </c>
      <c r="C163" s="11" t="str">
        <f t="shared" si="12"/>
        <v/>
      </c>
      <c r="D163" s="215" t="s">
        <v>489</v>
      </c>
      <c r="E163" s="11" t="s">
        <v>178</v>
      </c>
      <c r="F163" s="216">
        <v>100.0</v>
      </c>
      <c r="G163" s="93"/>
      <c r="H163" s="246"/>
    </row>
    <row r="164" ht="45.0" customHeight="1">
      <c r="A164" s="11">
        <v>163.0</v>
      </c>
      <c r="B164" s="240" t="s">
        <v>726</v>
      </c>
      <c r="C164" s="11" t="str">
        <f t="shared" si="12"/>
        <v/>
      </c>
      <c r="D164" s="215" t="s">
        <v>489</v>
      </c>
      <c r="E164" s="11" t="s">
        <v>178</v>
      </c>
      <c r="F164" s="216">
        <v>100.0</v>
      </c>
      <c r="G164" s="93"/>
      <c r="H164" s="246"/>
    </row>
    <row r="165" ht="45.0" customHeight="1">
      <c r="A165" s="11">
        <v>164.0</v>
      </c>
      <c r="B165" s="240" t="s">
        <v>1808</v>
      </c>
      <c r="C165" s="11" t="str">
        <f t="shared" si="12"/>
        <v/>
      </c>
      <c r="D165" s="215" t="s">
        <v>489</v>
      </c>
      <c r="E165" s="11" t="s">
        <v>178</v>
      </c>
      <c r="F165" s="216">
        <v>100.0</v>
      </c>
      <c r="G165" s="93"/>
      <c r="H165" s="246"/>
    </row>
    <row r="166" ht="45.0" customHeight="1">
      <c r="A166" s="11">
        <v>165.0</v>
      </c>
      <c r="B166" s="240" t="s">
        <v>746</v>
      </c>
      <c r="C166" s="11" t="str">
        <f t="shared" si="12"/>
        <v/>
      </c>
      <c r="D166" s="215" t="s">
        <v>489</v>
      </c>
      <c r="E166" s="11" t="s">
        <v>178</v>
      </c>
      <c r="F166" s="216">
        <v>100.0</v>
      </c>
      <c r="G166" s="93"/>
      <c r="H166" s="246"/>
    </row>
    <row r="167" ht="45.0" customHeight="1">
      <c r="A167" s="11">
        <v>166.0</v>
      </c>
      <c r="B167" s="240" t="s">
        <v>766</v>
      </c>
      <c r="C167" s="11" t="str">
        <f t="shared" si="12"/>
        <v/>
      </c>
      <c r="D167" s="215" t="s">
        <v>489</v>
      </c>
      <c r="E167" s="11" t="s">
        <v>178</v>
      </c>
      <c r="F167" s="216">
        <v>100.0</v>
      </c>
      <c r="G167" s="93"/>
      <c r="H167" s="246"/>
    </row>
    <row r="168" ht="45.0" customHeight="1">
      <c r="A168" s="11">
        <v>167.0</v>
      </c>
      <c r="B168" s="240" t="s">
        <v>678</v>
      </c>
      <c r="C168" s="11" t="str">
        <f t="shared" si="12"/>
        <v/>
      </c>
      <c r="D168" s="215" t="s">
        <v>489</v>
      </c>
      <c r="E168" s="11" t="s">
        <v>178</v>
      </c>
      <c r="F168" s="216">
        <v>100.0</v>
      </c>
      <c r="G168" s="93"/>
      <c r="H168" s="246"/>
    </row>
    <row r="169" ht="45.0" customHeight="1">
      <c r="A169" s="11">
        <v>168.0</v>
      </c>
      <c r="B169" s="240" t="s">
        <v>686</v>
      </c>
      <c r="C169" s="11" t="str">
        <f t="shared" si="12"/>
        <v/>
      </c>
      <c r="D169" s="215" t="s">
        <v>489</v>
      </c>
      <c r="E169" s="11" t="s">
        <v>178</v>
      </c>
      <c r="F169" s="216">
        <v>100.0</v>
      </c>
      <c r="G169" s="93"/>
      <c r="H169" s="246"/>
    </row>
    <row r="170" ht="45.0" customHeight="1">
      <c r="A170" s="11">
        <v>169.0</v>
      </c>
      <c r="B170" s="240" t="s">
        <v>742</v>
      </c>
      <c r="C170" s="11" t="str">
        <f t="shared" si="12"/>
        <v/>
      </c>
      <c r="D170" s="215" t="s">
        <v>489</v>
      </c>
      <c r="E170" s="11" t="s">
        <v>178</v>
      </c>
      <c r="F170" s="216">
        <v>100.0</v>
      </c>
      <c r="G170" s="93"/>
      <c r="H170" s="246"/>
    </row>
    <row r="171" ht="45.0" customHeight="1">
      <c r="A171" s="11">
        <v>170.0</v>
      </c>
      <c r="B171" s="240" t="s">
        <v>666</v>
      </c>
      <c r="C171" s="11" t="str">
        <f t="shared" si="12"/>
        <v/>
      </c>
      <c r="D171" s="215" t="s">
        <v>489</v>
      </c>
      <c r="E171" s="11" t="s">
        <v>178</v>
      </c>
      <c r="F171" s="216">
        <v>100.0</v>
      </c>
      <c r="G171" s="93"/>
      <c r="H171" s="246"/>
    </row>
    <row r="172" ht="45.0" customHeight="1">
      <c r="A172" s="11">
        <v>171.0</v>
      </c>
      <c r="B172" s="240" t="s">
        <v>794</v>
      </c>
      <c r="C172" s="11" t="str">
        <f t="shared" si="12"/>
        <v/>
      </c>
      <c r="D172" s="215" t="s">
        <v>489</v>
      </c>
      <c r="E172" s="11" t="s">
        <v>178</v>
      </c>
      <c r="F172" s="216">
        <v>100.0</v>
      </c>
      <c r="G172" s="93"/>
      <c r="H172" s="246"/>
    </row>
    <row r="173" ht="45.0" customHeight="1">
      <c r="A173" s="11">
        <v>172.0</v>
      </c>
      <c r="B173" s="240" t="s">
        <v>702</v>
      </c>
      <c r="C173" s="11" t="str">
        <f t="shared" si="12"/>
        <v/>
      </c>
      <c r="D173" s="215" t="s">
        <v>489</v>
      </c>
      <c r="E173" s="11" t="s">
        <v>178</v>
      </c>
      <c r="F173" s="216">
        <v>100.0</v>
      </c>
      <c r="G173" s="93"/>
      <c r="H173" s="246"/>
    </row>
    <row r="174" ht="45.0" customHeight="1">
      <c r="A174" s="11">
        <v>173.0</v>
      </c>
      <c r="B174" s="240" t="s">
        <v>806</v>
      </c>
      <c r="C174" s="11" t="str">
        <f t="shared" si="12"/>
        <v/>
      </c>
      <c r="D174" s="215" t="s">
        <v>489</v>
      </c>
      <c r="E174" s="11" t="s">
        <v>178</v>
      </c>
      <c r="F174" s="216">
        <v>100.0</v>
      </c>
      <c r="G174" s="93"/>
      <c r="H174" s="246"/>
    </row>
    <row r="175" ht="45.0" customHeight="1">
      <c r="A175" s="11">
        <v>174.0</v>
      </c>
      <c r="B175" s="240" t="s">
        <v>722</v>
      </c>
      <c r="C175" s="11" t="str">
        <f t="shared" si="12"/>
        <v/>
      </c>
      <c r="D175" s="215" t="s">
        <v>489</v>
      </c>
      <c r="E175" s="11" t="s">
        <v>178</v>
      </c>
      <c r="F175" s="216">
        <v>100.0</v>
      </c>
      <c r="G175" s="93"/>
      <c r="H175" s="246"/>
    </row>
    <row r="176" ht="45.0" customHeight="1">
      <c r="A176" s="11">
        <v>175.0</v>
      </c>
      <c r="B176" s="240" t="s">
        <v>738</v>
      </c>
      <c r="C176" s="11" t="str">
        <f t="shared" si="12"/>
        <v/>
      </c>
      <c r="D176" s="215" t="s">
        <v>489</v>
      </c>
      <c r="E176" s="11" t="s">
        <v>178</v>
      </c>
      <c r="F176" s="216">
        <v>100.0</v>
      </c>
      <c r="G176" s="93"/>
      <c r="H176" s="246"/>
    </row>
    <row r="177" ht="45.0" customHeight="1">
      <c r="A177" s="11">
        <v>176.0</v>
      </c>
      <c r="B177" s="240" t="s">
        <v>822</v>
      </c>
      <c r="C177" s="11" t="str">
        <f t="shared" si="12"/>
        <v/>
      </c>
      <c r="D177" s="215" t="s">
        <v>489</v>
      </c>
      <c r="E177" s="11" t="s">
        <v>178</v>
      </c>
      <c r="F177" s="216">
        <v>100.0</v>
      </c>
      <c r="G177" s="93"/>
      <c r="H177" s="246"/>
    </row>
    <row r="178" ht="45.0" customHeight="1">
      <c r="A178" s="11">
        <v>177.0</v>
      </c>
      <c r="B178" s="240" t="s">
        <v>758</v>
      </c>
      <c r="C178" s="11" t="str">
        <f t="shared" si="12"/>
        <v/>
      </c>
      <c r="D178" s="215" t="s">
        <v>489</v>
      </c>
      <c r="E178" s="11" t="s">
        <v>178</v>
      </c>
      <c r="F178" s="216">
        <v>100.0</v>
      </c>
      <c r="G178" s="93"/>
      <c r="H178" s="246"/>
    </row>
    <row r="179" ht="45.0" customHeight="1">
      <c r="A179" s="11">
        <v>178.0</v>
      </c>
      <c r="B179" s="240" t="s">
        <v>778</v>
      </c>
      <c r="C179" s="11" t="str">
        <f t="shared" si="12"/>
        <v/>
      </c>
      <c r="D179" s="215" t="s">
        <v>489</v>
      </c>
      <c r="E179" s="11" t="s">
        <v>178</v>
      </c>
      <c r="F179" s="216">
        <v>100.0</v>
      </c>
      <c r="G179" s="93"/>
      <c r="H179" s="246"/>
    </row>
    <row r="180" ht="45.0" customHeight="1">
      <c r="A180" s="11">
        <v>179.0</v>
      </c>
      <c r="B180" s="240" t="s">
        <v>670</v>
      </c>
      <c r="C180" s="11" t="str">
        <f t="shared" si="12"/>
        <v/>
      </c>
      <c r="D180" s="215" t="s">
        <v>489</v>
      </c>
      <c r="E180" s="11" t="s">
        <v>178</v>
      </c>
      <c r="F180" s="216">
        <v>100.0</v>
      </c>
      <c r="G180" s="93"/>
      <c r="H180" s="246"/>
    </row>
    <row r="181" ht="45.0" customHeight="1">
      <c r="A181" s="11">
        <v>180.0</v>
      </c>
      <c r="B181" s="240" t="s">
        <v>786</v>
      </c>
      <c r="C181" s="11" t="str">
        <f t="shared" si="12"/>
        <v/>
      </c>
      <c r="D181" s="215" t="s">
        <v>489</v>
      </c>
      <c r="E181" s="11" t="s">
        <v>178</v>
      </c>
      <c r="F181" s="216">
        <v>100.0</v>
      </c>
      <c r="G181" s="93"/>
      <c r="H181" s="246"/>
    </row>
    <row r="182" ht="45.0" customHeight="1">
      <c r="A182" s="11">
        <v>181.0</v>
      </c>
      <c r="B182" s="240" t="s">
        <v>674</v>
      </c>
      <c r="C182" s="11" t="str">
        <f t="shared" si="12"/>
        <v/>
      </c>
      <c r="D182" s="215" t="s">
        <v>489</v>
      </c>
      <c r="E182" s="11" t="s">
        <v>178</v>
      </c>
      <c r="F182" s="216">
        <v>100.0</v>
      </c>
      <c r="G182" s="93"/>
      <c r="H182" s="246"/>
    </row>
    <row r="183" ht="45.0" customHeight="1">
      <c r="A183" s="11">
        <v>182.0</v>
      </c>
      <c r="B183" s="240" t="s">
        <v>694</v>
      </c>
      <c r="C183" s="11" t="str">
        <f t="shared" si="12"/>
        <v/>
      </c>
      <c r="D183" s="215" t="s">
        <v>489</v>
      </c>
      <c r="E183" s="11" t="s">
        <v>178</v>
      </c>
      <c r="F183" s="216">
        <v>100.0</v>
      </c>
      <c r="G183" s="93"/>
      <c r="H183" s="246"/>
    </row>
    <row r="184" ht="45.0" customHeight="1">
      <c r="A184" s="11">
        <v>183.0</v>
      </c>
      <c r="B184" s="240" t="s">
        <v>802</v>
      </c>
      <c r="C184" s="11" t="str">
        <f t="shared" si="12"/>
        <v/>
      </c>
      <c r="D184" s="215" t="s">
        <v>489</v>
      </c>
      <c r="E184" s="11" t="s">
        <v>178</v>
      </c>
      <c r="F184" s="216">
        <v>100.0</v>
      </c>
      <c r="G184" s="93"/>
      <c r="H184" s="246"/>
    </row>
    <row r="185" ht="45.0" customHeight="1">
      <c r="A185" s="11">
        <v>184.0</v>
      </c>
      <c r="B185" s="240" t="s">
        <v>714</v>
      </c>
      <c r="C185" s="11" t="str">
        <f t="shared" si="12"/>
        <v/>
      </c>
      <c r="D185" s="215" t="s">
        <v>489</v>
      </c>
      <c r="E185" s="11" t="s">
        <v>178</v>
      </c>
      <c r="F185" s="216">
        <v>100.0</v>
      </c>
      <c r="G185" s="93"/>
      <c r="H185" s="246"/>
    </row>
    <row r="186" ht="45.0" customHeight="1">
      <c r="A186" s="11">
        <v>185.0</v>
      </c>
      <c r="B186" s="115" t="s">
        <v>730</v>
      </c>
      <c r="C186" s="11" t="str">
        <f t="shared" si="12"/>
        <v/>
      </c>
      <c r="D186" s="215" t="s">
        <v>489</v>
      </c>
      <c r="E186" s="11" t="s">
        <v>178</v>
      </c>
      <c r="F186" s="216">
        <v>100.0</v>
      </c>
      <c r="G186" s="93"/>
      <c r="H186" s="246"/>
    </row>
    <row r="187" ht="45.0" customHeight="1">
      <c r="A187" s="11">
        <v>186.0</v>
      </c>
      <c r="B187" s="115" t="s">
        <v>814</v>
      </c>
      <c r="C187" s="11" t="str">
        <f t="shared" si="12"/>
        <v/>
      </c>
      <c r="D187" s="215" t="s">
        <v>489</v>
      </c>
      <c r="E187" s="11" t="s">
        <v>178</v>
      </c>
      <c r="F187" s="216">
        <v>100.0</v>
      </c>
      <c r="G187" s="93"/>
      <c r="H187" s="246"/>
    </row>
    <row r="188" ht="45.0" customHeight="1">
      <c r="A188" s="11">
        <v>187.0</v>
      </c>
      <c r="B188" s="115" t="s">
        <v>750</v>
      </c>
      <c r="C188" s="11" t="str">
        <f t="shared" si="12"/>
        <v/>
      </c>
      <c r="D188" s="215" t="s">
        <v>489</v>
      </c>
      <c r="E188" s="11" t="s">
        <v>178</v>
      </c>
      <c r="F188" s="216">
        <v>100.0</v>
      </c>
      <c r="G188" s="93"/>
      <c r="H188" s="246"/>
    </row>
    <row r="189" ht="45.0" customHeight="1">
      <c r="A189" s="11">
        <v>188.0</v>
      </c>
      <c r="B189" s="115" t="s">
        <v>762</v>
      </c>
      <c r="C189" s="11" t="str">
        <f t="shared" si="12"/>
        <v/>
      </c>
      <c r="D189" s="215" t="s">
        <v>489</v>
      </c>
      <c r="E189" s="11" t="s">
        <v>178</v>
      </c>
      <c r="F189" s="216">
        <v>100.0</v>
      </c>
      <c r="G189" s="93"/>
      <c r="H189" s="246"/>
    </row>
    <row r="190" ht="45.0" customHeight="1">
      <c r="A190" s="11">
        <v>189.0</v>
      </c>
      <c r="B190" s="115" t="s">
        <v>770</v>
      </c>
      <c r="C190" s="11" t="str">
        <f t="shared" si="12"/>
        <v/>
      </c>
      <c r="D190" s="215" t="s">
        <v>489</v>
      </c>
      <c r="E190" s="11" t="s">
        <v>178</v>
      </c>
      <c r="F190" s="216">
        <v>100.0</v>
      </c>
      <c r="G190" s="93"/>
      <c r="H190" s="246"/>
    </row>
    <row r="191" ht="45.0" customHeight="1">
      <c r="A191" s="11">
        <v>190.0</v>
      </c>
      <c r="B191" s="115" t="s">
        <v>682</v>
      </c>
      <c r="C191" s="11" t="str">
        <f t="shared" si="12"/>
        <v/>
      </c>
      <c r="D191" s="215" t="s">
        <v>489</v>
      </c>
      <c r="E191" s="11" t="s">
        <v>178</v>
      </c>
      <c r="F191" s="216">
        <v>100.0</v>
      </c>
      <c r="G191" s="93"/>
      <c r="H191" s="246"/>
    </row>
    <row r="192" ht="45.0" customHeight="1">
      <c r="A192" s="11">
        <v>191.0</v>
      </c>
      <c r="B192" s="93" t="s">
        <v>488</v>
      </c>
      <c r="C192" s="11" t="str">
        <f>IMAGE("https://m.media-amazon.com/images/I/51BByYhTjOL._SX425_.jpg",1)</f>
        <v/>
      </c>
      <c r="D192" s="215" t="s">
        <v>489</v>
      </c>
      <c r="E192" s="11" t="s">
        <v>178</v>
      </c>
      <c r="F192" s="216">
        <v>20.0</v>
      </c>
      <c r="G192" s="93"/>
      <c r="H192" s="11"/>
    </row>
    <row r="193" ht="45.0" customHeight="1">
      <c r="A193" s="11">
        <v>192.0</v>
      </c>
      <c r="B193" s="93" t="s">
        <v>1804</v>
      </c>
      <c r="C193" s="11" t="str">
        <f>IMAGE("https://5.imimg.com/data5/FI/FV/DZ/SELLER-22718366/27-mm-3p-piezoelectric-buzzer-plate-500x500.jpg",1)</f>
        <v/>
      </c>
      <c r="D193" s="215" t="s">
        <v>489</v>
      </c>
      <c r="E193" s="11" t="s">
        <v>178</v>
      </c>
      <c r="F193" s="216">
        <v>20.0</v>
      </c>
      <c r="G193" s="93"/>
      <c r="H193" s="11"/>
    </row>
    <row r="194" ht="45.0" customHeight="1">
      <c r="A194" s="11">
        <v>193.0</v>
      </c>
      <c r="B194" s="93" t="s">
        <v>826</v>
      </c>
      <c r="C194" s="11" t="str">
        <f>IMAGE("https://encrypted-tbn0.gstatic.com/images?q=tbn:ANd9GcR-ur1Cl_3Rq82qZ9KbLtZX3U_7cevDQWdUVA&amp;usqp=CAU",1)</f>
        <v/>
      </c>
      <c r="D194" s="215" t="s">
        <v>489</v>
      </c>
      <c r="E194" s="11" t="s">
        <v>178</v>
      </c>
      <c r="F194" s="216">
        <v>100.0</v>
      </c>
      <c r="G194" s="93"/>
      <c r="H194" s="11"/>
    </row>
    <row r="195" ht="45.0" customHeight="1">
      <c r="A195" s="11">
        <v>194.0</v>
      </c>
      <c r="B195" s="93" t="s">
        <v>830</v>
      </c>
      <c r="C195" s="11" t="str">
        <f>IMAGE("https://m.media-amazon.com/images/I/51khY6g46VL._AC_SL1500_.jpg",1)</f>
        <v/>
      </c>
      <c r="D195" s="215" t="s">
        <v>489</v>
      </c>
      <c r="E195" s="11" t="s">
        <v>178</v>
      </c>
      <c r="F195" s="216">
        <v>50.0</v>
      </c>
      <c r="G195" s="93"/>
      <c r="H195" s="221"/>
    </row>
    <row r="196" ht="45.0" customHeight="1">
      <c r="A196" s="11">
        <v>195.0</v>
      </c>
      <c r="B196" s="93" t="s">
        <v>834</v>
      </c>
      <c r="C196" s="11" t="str">
        <f>IMAGE("https://etstore.in/wp-content/uploads/2021/12/IMG_20201130_100203.png",1)</f>
        <v/>
      </c>
      <c r="D196" s="215" t="s">
        <v>489</v>
      </c>
      <c r="E196" s="11" t="s">
        <v>178</v>
      </c>
      <c r="F196" s="216">
        <v>50.0</v>
      </c>
      <c r="G196" s="93"/>
      <c r="H196" s="247"/>
    </row>
    <row r="197" ht="45.0" customHeight="1">
      <c r="A197" s="11">
        <v>196.0</v>
      </c>
      <c r="B197" s="93" t="s">
        <v>838</v>
      </c>
      <c r="C197" s="11" t="str">
        <f>IMAGE("https://m.media-amazon.com/images/I/71UDXftBeaL._SX466_.jpg",1)</f>
        <v/>
      </c>
      <c r="D197" s="215" t="s">
        <v>489</v>
      </c>
      <c r="E197" s="11" t="s">
        <v>178</v>
      </c>
      <c r="F197" s="216">
        <v>50.0</v>
      </c>
      <c r="G197" s="93"/>
      <c r="H197" s="244"/>
    </row>
    <row r="198" ht="45.0" customHeight="1">
      <c r="A198" s="11">
        <v>197.0</v>
      </c>
      <c r="B198" s="93" t="s">
        <v>842</v>
      </c>
      <c r="C198" s="11" t="str">
        <f>IMAGE("https://m.media-amazon.com/images/I/4116hBQx0XL._SX425_.jpg",1)</f>
        <v/>
      </c>
      <c r="D198" s="215" t="s">
        <v>489</v>
      </c>
      <c r="E198" s="11" t="s">
        <v>178</v>
      </c>
      <c r="F198" s="216">
        <v>50.0</v>
      </c>
      <c r="G198" s="93"/>
      <c r="H198" s="245"/>
    </row>
    <row r="199" ht="45.0" customHeight="1">
      <c r="A199" s="11">
        <v>198.0</v>
      </c>
      <c r="B199" s="93" t="s">
        <v>850</v>
      </c>
      <c r="C199" s="11" t="str">
        <f>IMAGE("https://5.imimg.com/data5/SELLER/Default/2020/8/IJ/BD/HA/84543611/2n3904-transistor-500x500.jpg",1)</f>
        <v/>
      </c>
      <c r="D199" s="215" t="s">
        <v>489</v>
      </c>
      <c r="E199" s="11" t="s">
        <v>178</v>
      </c>
      <c r="F199" s="216">
        <v>100.0</v>
      </c>
      <c r="G199" s="93"/>
      <c r="H199" s="246"/>
    </row>
    <row r="200" ht="45.0" customHeight="1">
      <c r="A200" s="11">
        <v>199.0</v>
      </c>
      <c r="B200" s="93" t="s">
        <v>854</v>
      </c>
      <c r="C200" s="11" t="str">
        <f>IMAGE("https://rukminim2.flixcart.com/image/832/832/k44hksw0/transistor/d/m/d/100-pics-bc547-npn-transistor-sme-original-imafn3dfw2fqwgxg.jpeg?q=70",1)</f>
        <v/>
      </c>
      <c r="D200" s="215" t="s">
        <v>489</v>
      </c>
      <c r="E200" s="11" t="s">
        <v>178</v>
      </c>
      <c r="F200" s="216">
        <v>100.0</v>
      </c>
      <c r="G200" s="93"/>
      <c r="H200" s="249"/>
    </row>
    <row r="201" ht="45.0" customHeight="1">
      <c r="A201" s="11">
        <v>200.0</v>
      </c>
      <c r="B201" s="93" t="s">
        <v>858</v>
      </c>
      <c r="C201" s="11" t="str">
        <f>IMAGE("https://m.media-amazon.com/images/W/MEDIAX_792452-T2/images/I/31po6g2eu+L.jpg",1)</f>
        <v/>
      </c>
      <c r="D201" s="215" t="s">
        <v>489</v>
      </c>
      <c r="E201" s="11" t="s">
        <v>178</v>
      </c>
      <c r="F201" s="216">
        <v>100.0</v>
      </c>
      <c r="G201" s="93"/>
      <c r="H201" s="11"/>
    </row>
    <row r="202" ht="45.0" customHeight="1">
      <c r="A202" s="11">
        <v>201.0</v>
      </c>
      <c r="B202" s="93" t="s">
        <v>862</v>
      </c>
      <c r="C202" s="11" t="str">
        <f>IMAGE("https://5.imimg.com/data5/MA/XW/GW/SELLER-84581978/cdil-transistor-bc557-500x500.jpg",1)</f>
        <v/>
      </c>
      <c r="D202" s="215" t="s">
        <v>489</v>
      </c>
      <c r="E202" s="11" t="s">
        <v>178</v>
      </c>
      <c r="F202" s="216">
        <v>100.0</v>
      </c>
      <c r="G202" s="93"/>
      <c r="H202" s="11"/>
    </row>
    <row r="203" ht="45.0" customHeight="1">
      <c r="A203" s="11">
        <v>202.0</v>
      </c>
      <c r="B203" s="93" t="s">
        <v>866</v>
      </c>
      <c r="C203" s="11" t="str">
        <f>IMAGE("https://www.chipmart.in/wp-content/uploads/2022/08/SL100-NPN-General-Purpose-Medium-Power-Transistor-50V-500mA.png",1)</f>
        <v/>
      </c>
      <c r="D203" s="215" t="s">
        <v>489</v>
      </c>
      <c r="E203" s="11" t="s">
        <v>178</v>
      </c>
      <c r="F203" s="216">
        <v>100.0</v>
      </c>
      <c r="G203" s="93"/>
      <c r="H203" s="245"/>
    </row>
    <row r="204" ht="45.0" customHeight="1">
      <c r="A204" s="11">
        <v>203.0</v>
      </c>
      <c r="B204" s="93" t="s">
        <v>870</v>
      </c>
      <c r="C204" s="11" t="str">
        <f>IMAGE("https://5.imimg.com/data5/WJ/EW/MY-25117786/2n2222-npn-transistors-500x500.jpg",1)</f>
        <v/>
      </c>
      <c r="D204" s="215" t="s">
        <v>489</v>
      </c>
      <c r="E204" s="11" t="s">
        <v>178</v>
      </c>
      <c r="F204" s="216">
        <v>100.0</v>
      </c>
      <c r="G204" s="93"/>
      <c r="H204" s="11"/>
    </row>
    <row r="205" ht="45.0" customHeight="1">
      <c r="A205" s="11">
        <v>204.0</v>
      </c>
      <c r="B205" s="270" t="s">
        <v>2157</v>
      </c>
      <c r="C205" s="11"/>
      <c r="D205" s="269" t="s">
        <v>489</v>
      </c>
      <c r="E205" s="221" t="s">
        <v>178</v>
      </c>
      <c r="F205" s="281">
        <v>100.0</v>
      </c>
      <c r="G205" s="93"/>
      <c r="H205" s="221"/>
    </row>
    <row r="206" ht="45.0" customHeight="1">
      <c r="A206" s="11">
        <v>205.0</v>
      </c>
      <c r="B206" s="272" t="s">
        <v>2163</v>
      </c>
      <c r="C206" s="275"/>
      <c r="D206" s="273" t="s">
        <v>489</v>
      </c>
      <c r="E206" s="221" t="s">
        <v>178</v>
      </c>
      <c r="F206" s="274">
        <v>3.0</v>
      </c>
      <c r="G206" s="275"/>
      <c r="H206" s="275"/>
      <c r="I206" s="276"/>
    </row>
    <row r="207" ht="45.0" customHeight="1">
      <c r="A207" s="11">
        <v>206.0</v>
      </c>
      <c r="B207" s="272" t="s">
        <v>2164</v>
      </c>
      <c r="C207" s="275"/>
      <c r="D207" s="273" t="s">
        <v>489</v>
      </c>
      <c r="E207" s="221" t="s">
        <v>178</v>
      </c>
      <c r="F207" s="274">
        <v>20.0</v>
      </c>
      <c r="G207" s="275"/>
      <c r="H207" s="275"/>
      <c r="I207" s="276"/>
    </row>
    <row r="208" ht="45.0" customHeight="1">
      <c r="A208" s="11">
        <v>207.0</v>
      </c>
      <c r="B208" s="272" t="s">
        <v>2165</v>
      </c>
      <c r="C208" s="275"/>
      <c r="D208" s="273" t="s">
        <v>489</v>
      </c>
      <c r="E208" s="221" t="s">
        <v>178</v>
      </c>
      <c r="F208" s="274">
        <v>4.0</v>
      </c>
      <c r="G208" s="275"/>
      <c r="H208" s="275"/>
      <c r="I208" s="276"/>
    </row>
    <row r="209" ht="45.0" customHeight="1">
      <c r="A209" s="11">
        <v>208.0</v>
      </c>
      <c r="B209" s="277" t="s">
        <v>2166</v>
      </c>
      <c r="C209" s="275"/>
      <c r="D209" s="278" t="s">
        <v>489</v>
      </c>
      <c r="E209" s="221" t="s">
        <v>178</v>
      </c>
      <c r="F209" s="279">
        <v>2.0</v>
      </c>
      <c r="G209" s="275"/>
      <c r="H209" s="275"/>
      <c r="I209" s="276"/>
    </row>
    <row r="210" ht="45.0" customHeight="1">
      <c r="A210" s="11">
        <v>209.0</v>
      </c>
      <c r="B210" s="93" t="s">
        <v>1754</v>
      </c>
      <c r="C210" s="11" t="str">
        <f>IMAGE("https://encrypted-tbn0.gstatic.com/images?q=tbn:ANd9GcQ9HdcUbkhENGQnNmIni640zFk33IAUdUx_x0uluq_AFf1Hud04FBhhZQFZXM2xrHw_7W4&amp;usqp=CAU",1)</f>
        <v/>
      </c>
      <c r="D210" s="215" t="s">
        <v>891</v>
      </c>
      <c r="E210" s="11" t="s">
        <v>178</v>
      </c>
      <c r="F210" s="216">
        <v>10.0</v>
      </c>
      <c r="G210" s="93"/>
      <c r="H210" s="11"/>
    </row>
    <row r="211" ht="45.0" customHeight="1">
      <c r="A211" s="11">
        <v>210.0</v>
      </c>
      <c r="B211" s="93" t="s">
        <v>895</v>
      </c>
      <c r="C211" s="11" t="str">
        <f>IMAGE("https://m.media-amazon.com/images/W/MEDIAX_792452-T2/images/I/612Fb4y5P6S._SL1100_.jpg",1)</f>
        <v/>
      </c>
      <c r="D211" s="215" t="s">
        <v>891</v>
      </c>
      <c r="E211" s="11" t="s">
        <v>178</v>
      </c>
      <c r="F211" s="216">
        <v>10.0</v>
      </c>
      <c r="G211" s="93"/>
      <c r="H211" s="11"/>
    </row>
    <row r="212" ht="45.0" customHeight="1">
      <c r="A212" s="11">
        <v>211.0</v>
      </c>
      <c r="B212" s="232" t="s">
        <v>899</v>
      </c>
      <c r="C212" s="222" t="str">
        <f>IMAGE("https://robu.in/wp-content/uploads/2021/05/DC-DC-Boost-Module-0.9V5V-to-5V-600MA-USB-Step-up-Board-5V-Output-1.png",1)</f>
        <v/>
      </c>
      <c r="D212" s="233" t="s">
        <v>891</v>
      </c>
      <c r="E212" s="222" t="s">
        <v>178</v>
      </c>
      <c r="F212" s="222">
        <v>1.0</v>
      </c>
      <c r="G212" s="93"/>
      <c r="H212" s="11"/>
    </row>
    <row r="213" ht="45.0" customHeight="1">
      <c r="A213" s="11">
        <v>212.0</v>
      </c>
      <c r="B213" s="93" t="s">
        <v>923</v>
      </c>
      <c r="C213" s="11" t="str">
        <f>IMAGE("https://robu.in/wp-content/uploads/2017/06/robu-3-13.jpg",1)</f>
        <v/>
      </c>
      <c r="D213" s="215" t="s">
        <v>891</v>
      </c>
      <c r="E213" s="11" t="s">
        <v>178</v>
      </c>
      <c r="F213" s="216">
        <v>5.0</v>
      </c>
      <c r="G213" s="93"/>
      <c r="H213" s="250"/>
    </row>
    <row r="214" ht="45.0" customHeight="1">
      <c r="A214" s="11">
        <v>213.0</v>
      </c>
      <c r="B214" s="93" t="s">
        <v>940</v>
      </c>
      <c r="C214" s="11" t="str">
        <f>IMAGE("https://robu.in/wp-content/uploads/2016/03/Ublox-Neo-6M-GPS.jpg",1)</f>
        <v/>
      </c>
      <c r="D214" s="215" t="s">
        <v>891</v>
      </c>
      <c r="E214" s="11" t="s">
        <v>178</v>
      </c>
      <c r="F214" s="216">
        <v>5.0</v>
      </c>
      <c r="G214" s="93"/>
      <c r="H214" s="11"/>
    </row>
    <row r="215" ht="45.0" customHeight="1">
      <c r="A215" s="11">
        <v>214.0</v>
      </c>
      <c r="B215" s="93" t="s">
        <v>943</v>
      </c>
      <c r="C215" s="11" t="str">
        <f>IMAGE("https://m.media-amazon.com/images/W/MEDIAX_792452-T2/images/I/51cWZAAMiWL._SL1000_.jpg",1)</f>
        <v/>
      </c>
      <c r="D215" s="215" t="s">
        <v>891</v>
      </c>
      <c r="E215" s="11" t="s">
        <v>178</v>
      </c>
      <c r="F215" s="216">
        <v>5.0</v>
      </c>
      <c r="G215" s="93"/>
      <c r="H215" s="11"/>
    </row>
    <row r="216" ht="45.0" customHeight="1">
      <c r="A216" s="11">
        <v>215.0</v>
      </c>
      <c r="B216" s="93" t="s">
        <v>947</v>
      </c>
      <c r="C216" s="11" t="str">
        <f>IMAGE("https://m.media-amazon.com/images/W/MEDIAX_792452-T2/images/I/61wbYlIdx0L._SL1500_.jpg",1)</f>
        <v/>
      </c>
      <c r="D216" s="215" t="s">
        <v>891</v>
      </c>
      <c r="E216" s="11" t="s">
        <v>178</v>
      </c>
      <c r="F216" s="216">
        <v>5.0</v>
      </c>
      <c r="G216" s="93"/>
      <c r="H216" s="11"/>
    </row>
    <row r="217" ht="45.0" customHeight="1">
      <c r="A217" s="11">
        <v>216.0</v>
      </c>
      <c r="B217" s="93" t="s">
        <v>950</v>
      </c>
      <c r="C217" s="11" t="str">
        <f>IMAGE("https://5.imimg.com/data5/SELLER/Default/2022/9/HX/YZ/GJ/43948449/micro-sd-card-adapter-with-level-shifter-500x500.png",1)</f>
        <v/>
      </c>
      <c r="D217" s="215" t="s">
        <v>891</v>
      </c>
      <c r="E217" s="11" t="s">
        <v>178</v>
      </c>
      <c r="F217" s="216">
        <v>10.0</v>
      </c>
      <c r="G217" s="93"/>
      <c r="H217" s="11"/>
    </row>
    <row r="218" ht="45.0" customHeight="1">
      <c r="A218" s="11">
        <v>217.0</v>
      </c>
      <c r="B218" s="93" t="s">
        <v>1958</v>
      </c>
      <c r="C218" s="11" t="str">
        <f>IMAGE("https://robu.in/wp-content/uploads/2020/09/L298P-Motor-Driver-Shield-for-Arduino-3.jpg",1)</f>
        <v/>
      </c>
      <c r="D218" s="215" t="s">
        <v>891</v>
      </c>
      <c r="E218" s="11" t="s">
        <v>178</v>
      </c>
      <c r="F218" s="216">
        <v>10.0</v>
      </c>
      <c r="G218" s="93"/>
      <c r="H218" s="221"/>
    </row>
    <row r="219" ht="45.0" customHeight="1">
      <c r="A219" s="11">
        <v>218.0</v>
      </c>
      <c r="B219" s="93" t="s">
        <v>1760</v>
      </c>
      <c r="C219" s="11" t="str">
        <f>IMAGE("https://m.media-amazon.com/images/I/41Y-5b4TQcL.jpg",1)</f>
        <v/>
      </c>
      <c r="D219" s="215" t="s">
        <v>891</v>
      </c>
      <c r="E219" s="11" t="s">
        <v>178</v>
      </c>
      <c r="F219" s="216">
        <v>5.0</v>
      </c>
      <c r="G219" s="93"/>
      <c r="H219" s="11"/>
    </row>
    <row r="220" ht="45.0" customHeight="1">
      <c r="A220" s="11">
        <v>219.0</v>
      </c>
      <c r="B220" s="93" t="s">
        <v>962</v>
      </c>
      <c r="C220" s="11" t="str">
        <f>IMAGE("https://robu.in/wp-content/uploads/2016/02/617hpF6cJbL._SL1000_.jpg",1)</f>
        <v/>
      </c>
      <c r="D220" s="215" t="s">
        <v>891</v>
      </c>
      <c r="E220" s="11" t="s">
        <v>178</v>
      </c>
      <c r="F220" s="216">
        <v>10.0</v>
      </c>
      <c r="G220" s="93"/>
      <c r="H220" s="221"/>
    </row>
    <row r="221" ht="45.0" customHeight="1">
      <c r="A221" s="11">
        <v>220.0</v>
      </c>
      <c r="B221" s="93" t="s">
        <v>1820</v>
      </c>
      <c r="C221" s="11" t="str">
        <f>IMAGE("https://rukminim1.flixcart.com/image/850/1000/k62i5jk0/solar-panel/7/g/q/diy-projects-6v-80ma-wire-attached-mini-power-solar-cells-for-original-imafzm93vcqqnsat.jpeg?q=20")</f>
        <v/>
      </c>
      <c r="D221" s="215" t="s">
        <v>891</v>
      </c>
      <c r="E221" s="11" t="s">
        <v>178</v>
      </c>
      <c r="F221" s="216">
        <v>10.0</v>
      </c>
      <c r="G221" s="93"/>
      <c r="H221" s="221"/>
    </row>
    <row r="222" ht="45.0" customHeight="1">
      <c r="A222" s="11">
        <v>221.0</v>
      </c>
      <c r="B222" s="93" t="s">
        <v>934</v>
      </c>
      <c r="C222" s="11" t="str">
        <f>IMAGE("https://robu.in/wp-content/uploads/2020/10/TP4056-1A-Li-ion-lithium-Battery-Charging-Module-With-Current-Protection-Type-C-2.png",1)</f>
        <v/>
      </c>
      <c r="D222" s="215" t="s">
        <v>891</v>
      </c>
      <c r="E222" s="11" t="s">
        <v>178</v>
      </c>
      <c r="F222" s="11">
        <v>15.0</v>
      </c>
      <c r="G222" s="93"/>
      <c r="H222" s="11"/>
    </row>
    <row r="223" ht="45.0" customHeight="1">
      <c r="A223" s="11">
        <v>222.0</v>
      </c>
      <c r="B223" s="93" t="s">
        <v>1955</v>
      </c>
      <c r="C223" s="11" t="str">
        <f>IMAGE("https://5.imimg.com/data5/II/UT/SO/SELLER-1968074/16x2-lcd-display-500x500.jpg",1)</f>
        <v/>
      </c>
      <c r="D223" s="215" t="s">
        <v>891</v>
      </c>
      <c r="E223" s="11" t="s">
        <v>178</v>
      </c>
      <c r="F223" s="216">
        <v>10.0</v>
      </c>
      <c r="G223" s="93"/>
      <c r="H223" s="221"/>
    </row>
    <row r="224" ht="45.0" customHeight="1">
      <c r="A224" s="11">
        <v>223.0</v>
      </c>
      <c r="B224" s="93" t="s">
        <v>1811</v>
      </c>
      <c r="C224" s="11" t="str">
        <f>IMAGE("https://m.media-amazon.com/images/I/51l+Qhaiu3L._SL1000_.jpg",1)</f>
        <v/>
      </c>
      <c r="D224" s="215" t="s">
        <v>891</v>
      </c>
      <c r="E224" s="11" t="s">
        <v>178</v>
      </c>
      <c r="F224" s="216">
        <v>10.0</v>
      </c>
      <c r="G224" s="93"/>
      <c r="H224" s="11"/>
    </row>
    <row r="225" ht="45.0" customHeight="1">
      <c r="A225" s="11">
        <v>224.0</v>
      </c>
      <c r="B225" s="93" t="s">
        <v>911</v>
      </c>
      <c r="C225" s="11" t="str">
        <f>IMAGE("https://ashokaonlineshop.in/wp-content/uploads/2022/11/650nm-Mini-Laser-Dot-Diode-Module1.jpeg",1)</f>
        <v/>
      </c>
      <c r="D225" s="215" t="s">
        <v>891</v>
      </c>
      <c r="E225" s="11" t="s">
        <v>178</v>
      </c>
      <c r="F225" s="216">
        <v>20.0</v>
      </c>
      <c r="G225" s="93"/>
      <c r="H225" s="11"/>
    </row>
    <row r="226" ht="45.0" customHeight="1">
      <c r="A226" s="11">
        <v>225.0</v>
      </c>
      <c r="B226" s="93" t="s">
        <v>903</v>
      </c>
      <c r="C226" s="11" t="str">
        <f>IMAGE("https://makerbazar.in/cdn/shop/files/6015fanwithwire_600x.jpg?v=1695792315",1)</f>
        <v/>
      </c>
      <c r="D226" s="215" t="s">
        <v>891</v>
      </c>
      <c r="E226" s="11" t="s">
        <v>178</v>
      </c>
      <c r="F226" s="216">
        <v>5.0</v>
      </c>
      <c r="G226" s="93"/>
      <c r="H226" s="11"/>
    </row>
    <row r="227" ht="45.0" customHeight="1">
      <c r="A227" s="11">
        <v>226.0</v>
      </c>
      <c r="B227" s="93" t="s">
        <v>930</v>
      </c>
      <c r="C227" s="11" t="str">
        <f>IMAGE("https://5.imimg.com/data5/SELLER/Default/2023/2/OP/GV/HH/182244990/water-pump-module-1000x1000.jpg",1)</f>
        <v/>
      </c>
      <c r="D227" s="215" t="s">
        <v>891</v>
      </c>
      <c r="E227" s="11" t="s">
        <v>178</v>
      </c>
      <c r="F227" s="216">
        <v>10.0</v>
      </c>
      <c r="G227" s="93"/>
      <c r="H227" s="11"/>
    </row>
    <row r="228" ht="45.0" customHeight="1">
      <c r="A228" s="11">
        <v>227.0</v>
      </c>
      <c r="B228" s="93" t="s">
        <v>927</v>
      </c>
      <c r="C228" s="11" t="str">
        <f>IMAGE("https://robu.in/wp-content/uploads/2021/05/0.5W-8OHM-Trumpet-Diameter-36mm-1.jpeg",1)</f>
        <v/>
      </c>
      <c r="D228" s="215" t="s">
        <v>891</v>
      </c>
      <c r="E228" s="11" t="s">
        <v>178</v>
      </c>
      <c r="F228" s="216">
        <v>10.0</v>
      </c>
      <c r="G228" s="93"/>
      <c r="H228" s="11"/>
    </row>
    <row r="229" ht="45.0" customHeight="1">
      <c r="A229" s="11">
        <v>228.0</v>
      </c>
      <c r="B229" s="272" t="s">
        <v>2167</v>
      </c>
      <c r="C229" s="275"/>
      <c r="D229" s="273" t="s">
        <v>891</v>
      </c>
      <c r="E229" s="280" t="s">
        <v>178</v>
      </c>
      <c r="F229" s="274">
        <v>10.0</v>
      </c>
      <c r="G229" s="275"/>
      <c r="H229" s="275"/>
      <c r="I229" s="276"/>
    </row>
    <row r="230" ht="45.0" customHeight="1">
      <c r="A230" s="11">
        <v>229.0</v>
      </c>
      <c r="B230" s="272" t="s">
        <v>2168</v>
      </c>
      <c r="C230" s="275"/>
      <c r="D230" s="273" t="s">
        <v>891</v>
      </c>
      <c r="E230" s="280" t="s">
        <v>178</v>
      </c>
      <c r="F230" s="274">
        <v>10.0</v>
      </c>
      <c r="G230" s="275"/>
      <c r="H230" s="275"/>
      <c r="I230" s="276"/>
    </row>
    <row r="231" ht="45.0" customHeight="1">
      <c r="A231" s="11">
        <v>230.0</v>
      </c>
      <c r="B231" s="272" t="s">
        <v>2169</v>
      </c>
      <c r="C231" s="275"/>
      <c r="D231" s="273" t="s">
        <v>891</v>
      </c>
      <c r="E231" s="280" t="s">
        <v>178</v>
      </c>
      <c r="F231" s="274">
        <v>10.0</v>
      </c>
      <c r="G231" s="275"/>
      <c r="H231" s="275"/>
      <c r="I231" s="276"/>
    </row>
    <row r="232" ht="45.0" customHeight="1">
      <c r="A232" s="11">
        <v>231.0</v>
      </c>
      <c r="B232" s="272" t="s">
        <v>2170</v>
      </c>
      <c r="C232" s="275"/>
      <c r="D232" s="273" t="s">
        <v>891</v>
      </c>
      <c r="E232" s="280" t="s">
        <v>178</v>
      </c>
      <c r="F232" s="274">
        <v>4.0</v>
      </c>
      <c r="G232" s="275"/>
      <c r="H232" s="275"/>
      <c r="I232" s="276"/>
    </row>
    <row r="233" ht="45.0" customHeight="1">
      <c r="A233" s="11">
        <v>232.0</v>
      </c>
      <c r="B233" s="93" t="s">
        <v>1767</v>
      </c>
      <c r="C233" s="11" t="str">
        <f>IMAGE("https://m.media-amazon.com/images/I/61PFvg8BbeL._SL1500_.jpg",1)</f>
        <v/>
      </c>
      <c r="D233" s="269" t="s">
        <v>891</v>
      </c>
      <c r="E233" s="11" t="s">
        <v>178</v>
      </c>
      <c r="F233" s="216">
        <v>10.0</v>
      </c>
      <c r="G233" s="215"/>
      <c r="H233" s="11"/>
    </row>
    <row r="234" ht="45.0" customHeight="1">
      <c r="A234" s="11">
        <v>233.0</v>
      </c>
      <c r="B234" s="93" t="s">
        <v>1249</v>
      </c>
      <c r="C234" s="11" t="str">
        <f>IMAGE("https://www.atel-electronics.eu/pic_cache/10/06158.jpg",1)</f>
        <v/>
      </c>
      <c r="D234" s="215" t="s">
        <v>1250</v>
      </c>
      <c r="E234" s="11" t="s">
        <v>178</v>
      </c>
      <c r="F234" s="216">
        <v>7.0</v>
      </c>
      <c r="G234" s="93"/>
      <c r="H234" s="11"/>
    </row>
    <row r="235" ht="45.0" customHeight="1">
      <c r="A235" s="11">
        <v>234.0</v>
      </c>
      <c r="B235" s="93" t="s">
        <v>1254</v>
      </c>
      <c r="C235" s="11" t="str">
        <f>IMAGE("https://in.element14.com/productimages/large/en_GB/IN07444-40.jpg",1)</f>
        <v/>
      </c>
      <c r="D235" s="215" t="s">
        <v>1250</v>
      </c>
      <c r="E235" s="11" t="s">
        <v>178</v>
      </c>
      <c r="F235" s="216">
        <v>1.0</v>
      </c>
      <c r="G235" s="93"/>
      <c r="H235" s="11"/>
    </row>
    <row r="236" ht="45.0" customHeight="1">
      <c r="A236" s="11">
        <v>235.0</v>
      </c>
      <c r="B236" s="93" t="s">
        <v>1258</v>
      </c>
      <c r="C236" s="11" t="str">
        <f>IMAGE("https://m.media-amazon.com/images/I/51LxodXCiyS._SL1000_.jpg",1)</f>
        <v/>
      </c>
      <c r="D236" s="215" t="s">
        <v>1250</v>
      </c>
      <c r="E236" s="11" t="s">
        <v>178</v>
      </c>
      <c r="F236" s="216">
        <v>1.0</v>
      </c>
      <c r="G236" s="93"/>
      <c r="H236" s="11"/>
    </row>
    <row r="237" ht="45.0" customHeight="1">
      <c r="A237" s="11">
        <v>236.0</v>
      </c>
      <c r="B237" s="93" t="s">
        <v>1262</v>
      </c>
      <c r="C237" s="11" t="str">
        <f>IMAGE("https://m.media-amazon.com/images/I/61WLNOGJ4JS.jpg")</f>
        <v/>
      </c>
      <c r="D237" s="215" t="s">
        <v>1250</v>
      </c>
      <c r="E237" s="11" t="s">
        <v>178</v>
      </c>
      <c r="F237" s="216">
        <v>1.0</v>
      </c>
      <c r="G237" s="93"/>
      <c r="H237" s="11"/>
    </row>
    <row r="238" ht="45.0" customHeight="1">
      <c r="A238" s="11">
        <v>237.0</v>
      </c>
      <c r="B238" s="93" t="s">
        <v>1266</v>
      </c>
      <c r="C238" s="11" t="str">
        <f>IMAGE("https://cdn.shopify.com/s/files/1/0559/1970/6265/products/4_61325b1b-840f-41dd-a6d9-0ddb00c5c7bc_1024x1024@2x.png?v=1670588177",1)</f>
        <v/>
      </c>
      <c r="D238" s="215" t="s">
        <v>1250</v>
      </c>
      <c r="E238" s="11" t="s">
        <v>178</v>
      </c>
      <c r="F238" s="216">
        <v>1.0</v>
      </c>
      <c r="G238" s="93"/>
      <c r="H238" s="11"/>
    </row>
    <row r="239" ht="45.0" customHeight="1">
      <c r="A239" s="11">
        <v>238.0</v>
      </c>
      <c r="B239" s="93" t="s">
        <v>1329</v>
      </c>
      <c r="C239" s="11" t="str">
        <f>IMAGE("https://m.media-amazon.com/images/I/61vUDUTouNL._SL1500_.jpg",1)</f>
        <v/>
      </c>
      <c r="D239" s="215" t="s">
        <v>1330</v>
      </c>
      <c r="E239" s="11" t="s">
        <v>178</v>
      </c>
      <c r="F239" s="11">
        <v>100.0</v>
      </c>
      <c r="G239" s="93"/>
      <c r="H239" s="221"/>
    </row>
    <row r="240" ht="45.0" customHeight="1">
      <c r="A240" s="11">
        <v>239.0</v>
      </c>
      <c r="B240" s="93" t="s">
        <v>1335</v>
      </c>
      <c r="C240" s="11" t="str">
        <f>IMAGE("https://m.media-amazon.com/images/I/31ye7Xw2PpL.jpg",1)</f>
        <v/>
      </c>
      <c r="D240" s="215" t="s">
        <v>1330</v>
      </c>
      <c r="E240" s="11" t="s">
        <v>178</v>
      </c>
      <c r="F240" s="11">
        <v>100.0</v>
      </c>
      <c r="G240" s="93"/>
      <c r="H240" s="221"/>
    </row>
    <row r="241" ht="45.0" customHeight="1">
      <c r="A241" s="11">
        <v>240.0</v>
      </c>
      <c r="B241" s="93" t="s">
        <v>1339</v>
      </c>
      <c r="C241" s="11" t="str">
        <f>IMAGE("https://m.media-amazon.com/images/I/414cC-M+nlL._SL1000_.jpg",1)</f>
        <v/>
      </c>
      <c r="D241" s="215" t="s">
        <v>1330</v>
      </c>
      <c r="E241" s="11" t="s">
        <v>178</v>
      </c>
      <c r="F241" s="11">
        <v>10.0</v>
      </c>
      <c r="G241" s="93"/>
      <c r="H241" s="11"/>
    </row>
    <row r="242" ht="45.0" customHeight="1">
      <c r="A242" s="11">
        <v>241.0</v>
      </c>
      <c r="B242" s="93" t="s">
        <v>1344</v>
      </c>
      <c r="C242" s="11" t="str">
        <f>IMAGE("https://m.media-amazon.com/images/I/31nb9BadkoL.jpg",1)</f>
        <v/>
      </c>
      <c r="D242" s="215" t="s">
        <v>1330</v>
      </c>
      <c r="E242" s="11" t="s">
        <v>178</v>
      </c>
      <c r="F242" s="11">
        <v>100.0</v>
      </c>
      <c r="G242" s="93"/>
      <c r="H242" s="221"/>
    </row>
    <row r="243" ht="45.0" customHeight="1">
      <c r="A243" s="11">
        <v>242.0</v>
      </c>
      <c r="B243" s="93" t="s">
        <v>1358</v>
      </c>
      <c r="C243" s="11" t="str">
        <f>IMAGE("https://robu.in/wp-content/uploads/2017/11/mg995-high-speed-digital-metal-gear-2bb-torque-rc-for-servo-hpi-savage-xl-2.jpg",1)</f>
        <v/>
      </c>
      <c r="D243" s="215" t="s">
        <v>1359</v>
      </c>
      <c r="E243" s="11" t="s">
        <v>178</v>
      </c>
      <c r="F243" s="216">
        <v>15.0</v>
      </c>
      <c r="G243" s="93"/>
      <c r="H243" s="11"/>
    </row>
    <row r="244" ht="45.0" customHeight="1">
      <c r="A244" s="11">
        <v>243.0</v>
      </c>
      <c r="B244" s="93" t="s">
        <v>1363</v>
      </c>
      <c r="C244" s="11" t="str">
        <f t="shared" ref="C244:C245" si="13">IMAGE("https://m.media-amazon.com/images/W/MEDIAX_792452-T2/images/I/21bgQSzvxLL.jpg",1)</f>
        <v/>
      </c>
      <c r="D244" s="215" t="s">
        <v>1359</v>
      </c>
      <c r="E244" s="11" t="s">
        <v>178</v>
      </c>
      <c r="F244" s="216">
        <v>30.0</v>
      </c>
      <c r="G244" s="93"/>
      <c r="H244" s="11"/>
    </row>
    <row r="245" ht="45.0" customHeight="1">
      <c r="A245" s="11">
        <v>244.0</v>
      </c>
      <c r="B245" s="93" t="s">
        <v>1367</v>
      </c>
      <c r="C245" s="11" t="str">
        <f t="shared" si="13"/>
        <v/>
      </c>
      <c r="D245" s="215" t="s">
        <v>1359</v>
      </c>
      <c r="E245" s="11" t="s">
        <v>178</v>
      </c>
      <c r="F245" s="216">
        <v>30.0</v>
      </c>
      <c r="G245" s="93"/>
      <c r="H245" s="11"/>
    </row>
    <row r="246" ht="45.0" customHeight="1">
      <c r="A246" s="11">
        <v>245.0</v>
      </c>
      <c r="B246" s="93" t="s">
        <v>1372</v>
      </c>
      <c r="C246" s="11" t="str">
        <f>IMAGE("https://5.imimg.com/data5/DJ/PF/TV/SELLER-95692783/bo-wheel-500x500.jpg",1)</f>
        <v/>
      </c>
      <c r="D246" s="215" t="s">
        <v>1359</v>
      </c>
      <c r="E246" s="11" t="s">
        <v>178</v>
      </c>
      <c r="F246" s="216">
        <v>30.0</v>
      </c>
      <c r="G246" s="93"/>
      <c r="H246" s="11"/>
    </row>
    <row r="247" ht="45.0" customHeight="1">
      <c r="A247" s="11">
        <v>246.0</v>
      </c>
      <c r="B247" s="93" t="s">
        <v>1376</v>
      </c>
      <c r="C247" s="11" t="str">
        <f>IMAGE("https://aryabot.in/wp-content/uploads/2023/10/castor-wheel-big-550x550w.webp",1)</f>
        <v/>
      </c>
      <c r="D247" s="215" t="s">
        <v>1359</v>
      </c>
      <c r="E247" s="11" t="s">
        <v>178</v>
      </c>
      <c r="F247" s="216">
        <v>20.0</v>
      </c>
      <c r="G247" s="93"/>
      <c r="H247" s="11"/>
    </row>
    <row r="248" ht="45.0" customHeight="1">
      <c r="A248" s="11">
        <v>247.0</v>
      </c>
      <c r="B248" s="93" t="s">
        <v>1380</v>
      </c>
      <c r="C248" s="11" t="str">
        <f>IMAGE("https://robu.in/wp-content/uploads/2020/09/DC3-6V-130-DIY-Toy-Motor-2-Pcs.-1.png",1)</f>
        <v/>
      </c>
      <c r="D248" s="215" t="s">
        <v>1359</v>
      </c>
      <c r="E248" s="11" t="s">
        <v>178</v>
      </c>
      <c r="F248" s="216">
        <v>10.0</v>
      </c>
      <c r="G248" s="93"/>
      <c r="H248" s="221"/>
    </row>
    <row r="249" ht="45.0" customHeight="1">
      <c r="A249" s="11">
        <v>248.0</v>
      </c>
      <c r="B249" s="93" t="s">
        <v>1384</v>
      </c>
      <c r="C249" s="11" t="str">
        <f>IMAGE("https://i0.wp.com/www.circuituncle.com/wp-content/uploads/2019/10/mg90s.png?fit=1001%2C1001&amp;ssl=1",1)</f>
        <v/>
      </c>
      <c r="D249" s="215" t="s">
        <v>1359</v>
      </c>
      <c r="E249" s="11" t="s">
        <v>178</v>
      </c>
      <c r="F249" s="216">
        <v>30.0</v>
      </c>
      <c r="G249" s="93"/>
      <c r="H249" s="11"/>
    </row>
    <row r="250" ht="45.0" customHeight="1">
      <c r="A250" s="11">
        <v>249.0</v>
      </c>
      <c r="B250" s="93" t="s">
        <v>1388</v>
      </c>
      <c r="C250" s="11" t="str">
        <f>IMAGE("https://robu.in/wp-content/uploads/2016/04/61nEdk-NxSL._SY355_.jpg",1)</f>
        <v/>
      </c>
      <c r="D250" s="215" t="s">
        <v>1359</v>
      </c>
      <c r="E250" s="11" t="s">
        <v>178</v>
      </c>
      <c r="F250" s="216">
        <v>5.0</v>
      </c>
      <c r="G250" s="93"/>
      <c r="H250" s="221"/>
    </row>
    <row r="251" ht="45.0" customHeight="1">
      <c r="A251" s="11">
        <v>250.0</v>
      </c>
      <c r="B251" s="93" t="s">
        <v>1391</v>
      </c>
      <c r="C251" s="11" t="str">
        <f>IMAGE("https://robu.in/wp-content/uploads/2023/09/34.jpg",1)</f>
        <v/>
      </c>
      <c r="D251" s="215" t="s">
        <v>1359</v>
      </c>
      <c r="E251" s="11" t="s">
        <v>178</v>
      </c>
      <c r="F251" s="237">
        <v>21.0</v>
      </c>
      <c r="G251" s="93"/>
      <c r="H251" s="256"/>
    </row>
    <row r="252" ht="45.0" customHeight="1">
      <c r="A252" s="11">
        <v>251.0</v>
      </c>
      <c r="B252" s="93" t="s">
        <v>1395</v>
      </c>
      <c r="C252" s="11" t="str">
        <f>IMAGE("https://cdn.shopify.com/s/files/1/0088/0056/7392/products/Stepper_motor_with_Driver_board.jpg?v=1552579276",1)</f>
        <v/>
      </c>
      <c r="D252" s="215" t="s">
        <v>1359</v>
      </c>
      <c r="E252" s="11" t="s">
        <v>178</v>
      </c>
      <c r="F252" s="216">
        <v>15.0</v>
      </c>
      <c r="G252" s="93"/>
      <c r="H252" s="11"/>
    </row>
    <row r="253" ht="45.0" customHeight="1">
      <c r="A253" s="11">
        <v>252.0</v>
      </c>
      <c r="B253" s="93" t="s">
        <v>1824</v>
      </c>
      <c r="C253" s="11" t="str">
        <f>IMAGE("https://robu.in/wp-content/uploads/2017/06/31100-2.jpg",1)</f>
        <v/>
      </c>
      <c r="D253" s="215" t="s">
        <v>1514</v>
      </c>
      <c r="E253" s="11" t="s">
        <v>178</v>
      </c>
      <c r="F253" s="216">
        <v>5.0</v>
      </c>
      <c r="G253" s="215"/>
      <c r="H253" s="221"/>
    </row>
    <row r="254" ht="45.0" customHeight="1">
      <c r="A254" s="11">
        <v>253.0</v>
      </c>
      <c r="B254" s="93" t="s">
        <v>1744</v>
      </c>
      <c r="C254" s="11" t="str">
        <f>IMAGE("https://m.media-amazon.com/images/W/MEDIAX_792452-T2/images/I/71PSVpNRPuL._SL1500_.jpg",1)</f>
        <v/>
      </c>
      <c r="D254" s="215" t="s">
        <v>1514</v>
      </c>
      <c r="E254" s="11" t="s">
        <v>178</v>
      </c>
      <c r="F254" s="216">
        <v>5.0</v>
      </c>
      <c r="G254" s="215"/>
      <c r="H254" s="221"/>
    </row>
    <row r="255" ht="45.0" customHeight="1">
      <c r="A255" s="11">
        <v>254.0</v>
      </c>
      <c r="B255" s="93" t="s">
        <v>1526</v>
      </c>
      <c r="C255" s="11" t="str">
        <f>IMAGE("https://robu.in/wp-content/uploads/2016/08/2-1.jpg",1)</f>
        <v/>
      </c>
      <c r="D255" s="215" t="s">
        <v>1514</v>
      </c>
      <c r="E255" s="11" t="s">
        <v>178</v>
      </c>
      <c r="F255" s="216">
        <v>5.0</v>
      </c>
      <c r="G255" s="215"/>
      <c r="H255" s="11"/>
    </row>
    <row r="256" ht="45.0" customHeight="1">
      <c r="A256" s="11">
        <v>255.0</v>
      </c>
      <c r="B256" s="93" t="s">
        <v>1530</v>
      </c>
      <c r="C256" s="11" t="str">
        <f>IMAGE("https://5.imimg.com/data5/SELLER/Default/2023/1/KQ/RE/WN/37611021/unique-india-force-pressure-sensor-square-500x500.jpg",1)</f>
        <v/>
      </c>
      <c r="D256" s="215" t="s">
        <v>1514</v>
      </c>
      <c r="E256" s="11" t="s">
        <v>178</v>
      </c>
      <c r="F256" s="216">
        <v>5.0</v>
      </c>
      <c r="G256" s="215"/>
      <c r="H256" s="11"/>
    </row>
    <row r="257" ht="45.0" customHeight="1">
      <c r="A257" s="11">
        <v>256.0</v>
      </c>
      <c r="B257" s="93" t="s">
        <v>1781</v>
      </c>
      <c r="C257" s="11" t="str">
        <f>IMAGE("https://m.media-amazon.com/images/W/MEDIAX_792452-T2/images/I/61e+2rew8OL._SL1011_.jpg",1)</f>
        <v/>
      </c>
      <c r="D257" s="215" t="s">
        <v>1514</v>
      </c>
      <c r="E257" s="11" t="s">
        <v>178</v>
      </c>
      <c r="F257" s="216">
        <v>10.0</v>
      </c>
      <c r="G257" s="215"/>
      <c r="H257" s="11"/>
    </row>
    <row r="258" ht="45.0" customHeight="1">
      <c r="A258" s="11">
        <v>257.0</v>
      </c>
      <c r="B258" s="93" t="s">
        <v>1791</v>
      </c>
      <c r="C258" s="11" t="str">
        <f>IMAGE("https://makerbazar.in/cdn/shop/products/IR_transmitter-receiver_-_TSOP_1738_600x.jpg?v=1582114496",1)</f>
        <v/>
      </c>
      <c r="D258" s="215" t="s">
        <v>1514</v>
      </c>
      <c r="E258" s="11" t="s">
        <v>178</v>
      </c>
      <c r="F258" s="216">
        <v>5.0</v>
      </c>
      <c r="G258" s="215"/>
      <c r="H258" s="11"/>
    </row>
    <row r="259" ht="45.0" customHeight="1">
      <c r="A259" s="11">
        <v>258.0</v>
      </c>
      <c r="B259" s="93" t="s">
        <v>1786</v>
      </c>
      <c r="C259" s="11" t="str">
        <f>IMAGE("https://makerbazar.in/cdn/shop/products/IR-Array_2048x2048_29f53719-c65f-4f67-a7f9-06b99966bf49_400x.jpg?v=1628014848",1)</f>
        <v/>
      </c>
      <c r="D259" s="215" t="s">
        <v>1514</v>
      </c>
      <c r="E259" s="11" t="s">
        <v>178</v>
      </c>
      <c r="F259" s="216">
        <v>5.0</v>
      </c>
      <c r="G259" s="215"/>
      <c r="H259" s="11"/>
    </row>
    <row r="260" ht="45.0" customHeight="1">
      <c r="A260" s="11">
        <v>259.0</v>
      </c>
      <c r="B260" s="93" t="s">
        <v>1546</v>
      </c>
      <c r="C260" s="11" t="str">
        <f>IMAGE("https://robu.in/wp-content/uploads/2017/05/LDR-module-1.png",1)</f>
        <v/>
      </c>
      <c r="D260" s="215" t="s">
        <v>1514</v>
      </c>
      <c r="E260" s="11" t="s">
        <v>178</v>
      </c>
      <c r="F260" s="216">
        <v>10.0</v>
      </c>
      <c r="G260" s="215"/>
      <c r="H260" s="11"/>
    </row>
    <row r="261" ht="45.0" customHeight="1">
      <c r="A261" s="11">
        <v>260.0</v>
      </c>
      <c r="B261" s="93" t="s">
        <v>1775</v>
      </c>
      <c r="C261" s="253" t="str">
        <f>IMAGE("https://m.media-amazon.com/images/W/MEDIAX_792452-T2/images/I/7158I82c4bL._SL1500_.jpg",1)</f>
        <v/>
      </c>
      <c r="D261" s="215" t="s">
        <v>1514</v>
      </c>
      <c r="E261" s="11" t="s">
        <v>178</v>
      </c>
      <c r="F261" s="216">
        <v>5.0</v>
      </c>
      <c r="G261" s="215"/>
      <c r="H261" s="11"/>
    </row>
    <row r="262" ht="45.0" customHeight="1">
      <c r="A262" s="11">
        <v>261.0</v>
      </c>
      <c r="B262" s="93" t="s">
        <v>1822</v>
      </c>
      <c r="C262" s="12" t="str">
        <f>IMAGE("https://robu.in/wp-content/uploads/2017/09/download-1-2.jpg",1)</f>
        <v/>
      </c>
      <c r="D262" s="215" t="s">
        <v>1514</v>
      </c>
      <c r="E262" s="11" t="s">
        <v>178</v>
      </c>
      <c r="F262" s="216">
        <v>5.0</v>
      </c>
      <c r="G262" s="215"/>
      <c r="H262" s="221"/>
    </row>
    <row r="263" ht="45.0" customHeight="1">
      <c r="A263" s="11">
        <v>262.0</v>
      </c>
      <c r="B263" s="93" t="s">
        <v>1758</v>
      </c>
      <c r="C263" s="11" t="str">
        <f>IMAGE("https://cdn.shopify.com/s/files/1/0088/0056/7392/products/Sound_Detector_Module.jpg?v=1566646449",1)</f>
        <v/>
      </c>
      <c r="D263" s="215" t="s">
        <v>1514</v>
      </c>
      <c r="E263" s="11" t="s">
        <v>178</v>
      </c>
      <c r="F263" s="216">
        <v>10.0</v>
      </c>
      <c r="G263" s="215"/>
      <c r="H263" s="11"/>
    </row>
    <row r="264" ht="45.0" customHeight="1">
      <c r="A264" s="11">
        <v>263.0</v>
      </c>
      <c r="B264" s="93" t="s">
        <v>1789</v>
      </c>
      <c r="C264" s="11" t="str">
        <f>IMAGE("https://encrypted-tbn0.gstatic.com/images?q=tbn:ANd9GcRrIyUWjQ1rnIJDwYms78skSv9zbdkdml4sTR1WfoKl6GFD5OWnZULG8H98AB-i394c3VQ&amp;usqp=CAU",1)</f>
        <v/>
      </c>
      <c r="D264" s="215" t="s">
        <v>1514</v>
      </c>
      <c r="E264" s="11" t="s">
        <v>178</v>
      </c>
      <c r="F264" s="216">
        <v>10.0</v>
      </c>
      <c r="G264" s="215"/>
      <c r="H264" s="11"/>
    </row>
    <row r="265" ht="45.0" customHeight="1">
      <c r="A265" s="11">
        <v>264.0</v>
      </c>
      <c r="B265" s="93" t="s">
        <v>2149</v>
      </c>
      <c r="C265" s="11" t="str">
        <f>IMAGE("https://robu.in/wp-content/uploads/2019/05/MAX30100-Pulse-Oximeter-Heart-Rate-Sensor-Module-2.jpg",1)</f>
        <v/>
      </c>
      <c r="D265" s="215" t="s">
        <v>1514</v>
      </c>
      <c r="E265" s="11" t="s">
        <v>178</v>
      </c>
      <c r="F265" s="216">
        <v>5.0</v>
      </c>
      <c r="G265" s="215"/>
      <c r="H265" s="221"/>
    </row>
    <row r="266" ht="45.0" customHeight="1">
      <c r="A266" s="11">
        <v>265.0</v>
      </c>
      <c r="B266" s="93" t="s">
        <v>1769</v>
      </c>
      <c r="C266" s="11" t="str">
        <f>IMAGE("https://makerbazar.in/cdn/shop/products/Untitled-1_39_1_60x.jpg?v=1637233670",1)</f>
        <v/>
      </c>
      <c r="D266" s="215" t="s">
        <v>1514</v>
      </c>
      <c r="E266" s="11" t="s">
        <v>178</v>
      </c>
      <c r="F266" s="216">
        <v>5.0</v>
      </c>
      <c r="G266" s="215"/>
      <c r="H266" s="221"/>
    </row>
    <row r="267" ht="45.0" customHeight="1">
      <c r="A267" s="11">
        <v>266.0</v>
      </c>
      <c r="B267" s="93" t="s">
        <v>1772</v>
      </c>
      <c r="C267" s="11" t="str">
        <f>IMAGE("https://5.imimg.com/data5/SELLER/Default/2021/6/XN/UI/NS/84973740/mq2-flammable-gas-and-smoke-sensor-module-500x500.jpg",1)</f>
        <v/>
      </c>
      <c r="D267" s="215" t="s">
        <v>1514</v>
      </c>
      <c r="E267" s="11" t="s">
        <v>178</v>
      </c>
      <c r="F267" s="216">
        <v>5.0</v>
      </c>
      <c r="G267" s="215"/>
      <c r="H267" s="11"/>
    </row>
    <row r="268" ht="45.0" customHeight="1">
      <c r="A268" s="11">
        <v>267.0</v>
      </c>
      <c r="B268" s="93" t="s">
        <v>1576</v>
      </c>
      <c r="C268" s="11" t="str">
        <f>IMAGE("https://robu.in/wp-content/uploads/2016/03/12251.jpg",1)</f>
        <v/>
      </c>
      <c r="D268" s="215" t="s">
        <v>1514</v>
      </c>
      <c r="E268" s="11" t="s">
        <v>178</v>
      </c>
      <c r="F268" s="216">
        <v>10.0</v>
      </c>
      <c r="G268" s="215"/>
      <c r="H268" s="11"/>
    </row>
    <row r="269" ht="45.0" customHeight="1">
      <c r="A269" s="11">
        <v>268.0</v>
      </c>
      <c r="B269" s="258" t="s">
        <v>1763</v>
      </c>
      <c r="C269" s="11" t="str">
        <f>IMAGE("https://m.media-amazon.com/images/W/MEDIAX_792452-T2/images/I/61QNSpIV-GL._SL1000_.jpg",1)</f>
        <v/>
      </c>
      <c r="D269" s="215" t="s">
        <v>1514</v>
      </c>
      <c r="E269" s="11" t="s">
        <v>178</v>
      </c>
      <c r="F269" s="216">
        <v>5.0</v>
      </c>
      <c r="G269" s="215"/>
      <c r="H269" s="11"/>
    </row>
    <row r="270" ht="45.0" customHeight="1">
      <c r="A270" s="11">
        <v>269.0</v>
      </c>
      <c r="B270" s="93" t="s">
        <v>1584</v>
      </c>
      <c r="C270" s="11" t="str">
        <f>IMAGE("https://projecthubbharat.com/wp-content/uploads/2022/02/dht-11-sensor-module-india-800x800-1.jpg",1)</f>
        <v/>
      </c>
      <c r="D270" s="215" t="s">
        <v>1514</v>
      </c>
      <c r="E270" s="11" t="s">
        <v>178</v>
      </c>
      <c r="F270" s="216">
        <v>10.0</v>
      </c>
      <c r="G270" s="215"/>
      <c r="H270" s="11"/>
    </row>
    <row r="271" ht="45.0" customHeight="1">
      <c r="A271" s="11">
        <v>270.0</v>
      </c>
      <c r="B271" s="93" t="s">
        <v>1795</v>
      </c>
      <c r="C271" s="11" t="str">
        <f>IMAGE("https://potentiallabs.com/cart/image/cache/catalog/nov-dec/DS18B20-500x500-500x500.jpg",1)</f>
        <v/>
      </c>
      <c r="D271" s="215" t="s">
        <v>1514</v>
      </c>
      <c r="E271" s="11" t="s">
        <v>178</v>
      </c>
      <c r="F271" s="216">
        <v>10.0</v>
      </c>
      <c r="G271" s="215"/>
      <c r="H271" s="11"/>
    </row>
    <row r="272" ht="45.0" customHeight="1">
      <c r="A272" s="11">
        <v>271.0</v>
      </c>
      <c r="B272" s="93" t="s">
        <v>1798</v>
      </c>
      <c r="C272" s="216" t="str">
        <f>IMAGE("https://5.imimg.com/data5/SELLER/Default/2021/9/HF/RK/UF/37611021/10k-ohm-ntc-thermistor-500x500.jpg",1)</f>
        <v/>
      </c>
      <c r="D272" s="215" t="s">
        <v>1514</v>
      </c>
      <c r="E272" s="11" t="s">
        <v>178</v>
      </c>
      <c r="F272" s="216">
        <v>20.0</v>
      </c>
      <c r="G272" s="215"/>
      <c r="H272" s="11"/>
    </row>
    <row r="273" ht="45.0" customHeight="1">
      <c r="A273" s="11">
        <v>272.0</v>
      </c>
      <c r="B273" s="93" t="s">
        <v>1777</v>
      </c>
      <c r="C273" s="11" t="str">
        <f>IMAGE("https://media.distrelec.com/Web/WebShopImages/landscape_large/7-/01/Adafruit_163_30129187-01.jpg",1)</f>
        <v/>
      </c>
      <c r="D273" s="215" t="s">
        <v>1514</v>
      </c>
      <c r="E273" s="11" t="s">
        <v>178</v>
      </c>
      <c r="F273" s="216">
        <v>5.0</v>
      </c>
      <c r="G273" s="215"/>
      <c r="H273" s="11"/>
    </row>
    <row r="274" ht="45.0" customHeight="1">
      <c r="A274" s="11">
        <v>273.0</v>
      </c>
      <c r="B274" s="93" t="s">
        <v>1619</v>
      </c>
      <c r="C274" s="11" t="str">
        <f>IMAGE("https://i0.wp.com/superbtech.in/wp-content/uploads/2020/07/2-60.jpg?fit=500%2C500&amp;ssl=1",1)</f>
        <v/>
      </c>
      <c r="D274" s="215" t="s">
        <v>1514</v>
      </c>
      <c r="E274" s="11" t="s">
        <v>178</v>
      </c>
      <c r="F274" s="216">
        <v>10.0</v>
      </c>
      <c r="G274" s="215"/>
      <c r="H274" s="11"/>
    </row>
    <row r="275" ht="45.0" customHeight="1">
      <c r="A275" s="11">
        <v>274.0</v>
      </c>
      <c r="B275" s="93" t="s">
        <v>1623</v>
      </c>
      <c r="C275" s="11" t="str">
        <f>IMAGE("https://cdn.shopify.com/s/files/1/0559/1970/6265/products/1_9713a8db-db1e-42d0-a3e7-eebb7f66c4e9.jpg?v=1670581925",1)</f>
        <v/>
      </c>
      <c r="D275" s="215" t="s">
        <v>1514</v>
      </c>
      <c r="E275" s="11" t="s">
        <v>178</v>
      </c>
      <c r="F275" s="216">
        <v>5.0</v>
      </c>
      <c r="G275" s="215"/>
      <c r="H275" s="11"/>
    </row>
    <row r="276" ht="45.0" customHeight="1">
      <c r="A276" s="11">
        <v>275.0</v>
      </c>
      <c r="B276" s="93" t="s">
        <v>1627</v>
      </c>
      <c r="C276" s="11" t="str">
        <f>IMAGE("https://m.media-amazon.com/images/W/MEDIAX_792452-T2/images/I/419leG1YjXL.jpg",1)</f>
        <v/>
      </c>
      <c r="D276" s="215" t="s">
        <v>1628</v>
      </c>
      <c r="E276" s="11" t="s">
        <v>178</v>
      </c>
      <c r="F276" s="216">
        <v>10.0</v>
      </c>
      <c r="G276" s="93"/>
      <c r="H276" s="11"/>
    </row>
    <row r="277" ht="45.0" customHeight="1">
      <c r="A277" s="11">
        <v>276.0</v>
      </c>
      <c r="B277" s="93" t="s">
        <v>1633</v>
      </c>
      <c r="C277" s="11" t="str">
        <f>IMAGE("https://i0.wp.com/armsol.in/wp-content/uploads/2021/08/1-5-rotated.jpg?fit=600%2C600&amp;ssl=1",1)</f>
        <v/>
      </c>
      <c r="D277" s="215" t="s">
        <v>1628</v>
      </c>
      <c r="E277" s="11" t="s">
        <v>178</v>
      </c>
      <c r="F277" s="216">
        <v>10.0</v>
      </c>
      <c r="G277" s="93"/>
      <c r="H277" s="11"/>
    </row>
    <row r="278" ht="45.0" customHeight="1">
      <c r="A278" s="11">
        <v>277.0</v>
      </c>
      <c r="B278" s="93" t="s">
        <v>1988</v>
      </c>
      <c r="C278" s="11" t="str">
        <f>IMAGE("https://www.voltaat.com/cdn/shop/products/voltaat-soldering-board-5cm-x-7cm-10728457568358_1024x1024.jpg?v=1628445244")</f>
        <v/>
      </c>
      <c r="D278" s="215" t="s">
        <v>1628</v>
      </c>
      <c r="E278" s="11" t="s">
        <v>178</v>
      </c>
      <c r="F278" s="216">
        <v>30.0</v>
      </c>
      <c r="G278" s="93"/>
      <c r="H278" s="11"/>
    </row>
    <row r="279" ht="45.0" customHeight="1">
      <c r="A279" s="11">
        <v>278.0</v>
      </c>
      <c r="B279" s="93" t="s">
        <v>1989</v>
      </c>
      <c r="C279" s="11" t="str">
        <f>IMAGE("https://m.media-amazon.com/images/W/MEDIAX_792452-T2/images/I/91hMIBtDtPS._SL1500_.jpg")</f>
        <v/>
      </c>
      <c r="D279" s="215" t="s">
        <v>1628</v>
      </c>
      <c r="E279" s="11" t="s">
        <v>178</v>
      </c>
      <c r="F279" s="216">
        <v>10.0</v>
      </c>
      <c r="G279" s="93"/>
      <c r="H279" s="11"/>
    </row>
    <row r="280" ht="45.0" customHeight="1">
      <c r="A280" s="11">
        <v>279.0</v>
      </c>
      <c r="B280" s="93" t="s">
        <v>1646</v>
      </c>
      <c r="C280" s="11" t="str">
        <f>IMAGE("https://5.imimg.com/data5/SELLER/Default/2022/1/IK/KY/AC/131638211/31tvrpe7ijl-500x500.jpg")</f>
        <v/>
      </c>
      <c r="D280" s="215" t="s">
        <v>1628</v>
      </c>
      <c r="E280" s="11" t="s">
        <v>178</v>
      </c>
      <c r="F280" s="216">
        <v>5.0</v>
      </c>
      <c r="G280" s="93"/>
      <c r="H280" s="11"/>
    </row>
    <row r="281" ht="45.0" customHeight="1">
      <c r="A281" s="11">
        <v>280.0</v>
      </c>
      <c r="B281" s="93" t="s">
        <v>1650</v>
      </c>
      <c r="C281" s="11" t="str">
        <f>IMAGE("https://i0.wp.com/roboticsdna.in/wp-content/uploads/2020/11/IRON-TIP-1.png?fit=1000%2C1000&amp;ssl=1",1)</f>
        <v/>
      </c>
      <c r="D281" s="215" t="s">
        <v>1628</v>
      </c>
      <c r="E281" s="11" t="s">
        <v>178</v>
      </c>
      <c r="F281" s="216">
        <v>10.0</v>
      </c>
      <c r="G281" s="93"/>
      <c r="H281" s="11"/>
    </row>
    <row r="282" ht="45.0" customHeight="1">
      <c r="A282" s="11">
        <v>281.0</v>
      </c>
      <c r="B282" s="93" t="s">
        <v>1654</v>
      </c>
      <c r="C282" s="11" t="str">
        <f>IMAGE("https://www.toolworld.in/storage/media/product/1656317774.jpg",1)</f>
        <v/>
      </c>
      <c r="D282" s="215" t="s">
        <v>1628</v>
      </c>
      <c r="E282" s="11" t="s">
        <v>178</v>
      </c>
      <c r="F282" s="216">
        <v>10.0</v>
      </c>
      <c r="G282" s="93"/>
      <c r="H282" s="11"/>
    </row>
    <row r="283" ht="45.0" customHeight="1">
      <c r="A283" s="11">
        <v>282.0</v>
      </c>
      <c r="B283" s="93" t="s">
        <v>1658</v>
      </c>
      <c r="C283" s="11" t="str">
        <f>IMAGE("https://m.media-amazon.com/images/W/MEDIAX_792452-T2/images/I/41OjS3jnL4L.jpg",1)</f>
        <v/>
      </c>
      <c r="D283" s="215" t="s">
        <v>1628</v>
      </c>
      <c r="E283" s="11" t="s">
        <v>178</v>
      </c>
      <c r="F283" s="216">
        <v>10.0</v>
      </c>
      <c r="G283" s="93"/>
      <c r="H283" s="11"/>
    </row>
    <row r="284" ht="45.0" customHeight="1">
      <c r="A284" s="11">
        <v>283.0</v>
      </c>
      <c r="B284" s="93" t="s">
        <v>1662</v>
      </c>
      <c r="C284" s="11" t="str">
        <f>IMAGE("https://m.media-amazon.com/images/W/MEDIAX_792452-T2/images/I/61gvV3Wc-NL._SL1024_.jpg")</f>
        <v/>
      </c>
      <c r="D284" s="215" t="s">
        <v>1628</v>
      </c>
      <c r="E284" s="11" t="s">
        <v>178</v>
      </c>
      <c r="F284" s="216">
        <v>2.0</v>
      </c>
      <c r="G284" s="93"/>
      <c r="H284" s="11"/>
    </row>
    <row r="285" ht="45.0" customHeight="1">
      <c r="A285" s="11">
        <v>284.0</v>
      </c>
      <c r="B285" s="93" t="s">
        <v>1666</v>
      </c>
      <c r="C285" s="11" t="str">
        <f>IMAGE("https://robu.in/wp-content/uploads/2015/10/Soldron-25-Watt-Iron-Soldering-Gun-5.jpg")</f>
        <v/>
      </c>
      <c r="D285" s="215" t="s">
        <v>1628</v>
      </c>
      <c r="E285" s="11" t="s">
        <v>178</v>
      </c>
      <c r="F285" s="216">
        <v>10.0</v>
      </c>
      <c r="G285" s="93"/>
      <c r="H285" s="11"/>
    </row>
    <row r="286" ht="45.0" customHeight="1">
      <c r="A286" s="11">
        <v>285.0</v>
      </c>
      <c r="B286" s="93" t="s">
        <v>1670</v>
      </c>
      <c r="C286" s="11" t="str">
        <f>IMAGE("https://m.media-amazon.com/images/I/71Nb2wKaZgS._SL1500_.jpg", 1)</f>
        <v/>
      </c>
      <c r="D286" s="215" t="s">
        <v>1628</v>
      </c>
      <c r="E286" s="11" t="s">
        <v>178</v>
      </c>
      <c r="F286" s="216">
        <v>1.0</v>
      </c>
      <c r="G286" s="93"/>
      <c r="H286" s="11"/>
    </row>
    <row r="287" ht="45.0" customHeight="1">
      <c r="A287" s="11">
        <v>286.0</v>
      </c>
      <c r="B287" s="93" t="s">
        <v>1674</v>
      </c>
      <c r="C287" s="11" t="str">
        <f>IMAGE("https://m.media-amazon.com/images/W/MEDIAX_792452-T2/images/I/511g3IePVzL.jpg",1)</f>
        <v/>
      </c>
      <c r="D287" s="215" t="s">
        <v>1628</v>
      </c>
      <c r="E287" s="11" t="s">
        <v>178</v>
      </c>
      <c r="F287" s="216">
        <v>10.0</v>
      </c>
      <c r="G287" s="93"/>
      <c r="H287" s="11"/>
    </row>
    <row r="288" ht="45.0" customHeight="1">
      <c r="A288" s="11">
        <v>287.0</v>
      </c>
      <c r="B288" s="93" t="s">
        <v>1678</v>
      </c>
      <c r="C288" s="11" t="str">
        <f>IMAGE("https://5.imimg.com/data5/FT/MG/MY-9316309/soldering-wire-500x500.jpg",1)</f>
        <v/>
      </c>
      <c r="D288" s="215" t="s">
        <v>1628</v>
      </c>
      <c r="E288" s="11" t="s">
        <v>178</v>
      </c>
      <c r="F288" s="216">
        <v>10.0</v>
      </c>
      <c r="G288" s="93"/>
      <c r="H288" s="11"/>
    </row>
    <row r="289" ht="45.0" customHeight="1">
      <c r="A289" s="11">
        <v>288.0</v>
      </c>
      <c r="B289" s="93" t="s">
        <v>324</v>
      </c>
      <c r="C289" s="11" t="str">
        <f>IMAGE("https://5.imimg.com/data5/PL/FV/MY-11916319/synthetic-angle-broom-500x500.jpg",1)</f>
        <v/>
      </c>
      <c r="D289" s="215" t="s">
        <v>325</v>
      </c>
      <c r="E289" s="11" t="s">
        <v>326</v>
      </c>
      <c r="F289" s="11">
        <v>1.0</v>
      </c>
      <c r="G289" s="93"/>
      <c r="H289" s="11"/>
    </row>
    <row r="290" ht="45.0" customHeight="1">
      <c r="A290" s="11">
        <v>289.0</v>
      </c>
      <c r="B290" s="93" t="s">
        <v>329</v>
      </c>
      <c r="C290" s="11" t="str">
        <f>IMAGE("https://m.media-amazon.com/images/W/MEDIAX_792452-T2/images/I/61z4uqZdmPL._AC_UF1000,1000_QL80_.jpg",1)</f>
        <v/>
      </c>
      <c r="D290" s="215" t="s">
        <v>325</v>
      </c>
      <c r="E290" s="11" t="s">
        <v>326</v>
      </c>
      <c r="F290" s="11">
        <v>1.0</v>
      </c>
      <c r="G290" s="93"/>
      <c r="H290" s="11"/>
    </row>
    <row r="291" ht="45.0" customHeight="1">
      <c r="A291" s="11">
        <v>290.0</v>
      </c>
      <c r="B291" s="93" t="s">
        <v>333</v>
      </c>
      <c r="C291" s="11" t="str">
        <f>IMAGE("https://m.media-amazon.com/images/W/MEDIAX_792452-T2/images/I/61Njm4X2d2L._AC_UF1000,1000_QL80_.jpg",1)</f>
        <v/>
      </c>
      <c r="D291" s="215" t="s">
        <v>325</v>
      </c>
      <c r="E291" s="11" t="s">
        <v>326</v>
      </c>
      <c r="F291" s="11">
        <v>5.0</v>
      </c>
      <c r="G291" s="93"/>
      <c r="H291" s="11"/>
    </row>
    <row r="292" ht="45.0" customHeight="1">
      <c r="A292" s="11">
        <v>291.0</v>
      </c>
      <c r="B292" s="93" t="s">
        <v>341</v>
      </c>
      <c r="C292" s="11" t="str">
        <f>IMAGE("https://rukminim2.flixcart.com/image/850/1000/kshtxu80/dustbin/p/l/y/swaccha-bharat-champaign-dry-and-wet-waste-bins-small-11ltr-original-imag6fnfj6pqmsba.jpeg?q=20",1)</f>
        <v/>
      </c>
      <c r="D292" s="215" t="s">
        <v>325</v>
      </c>
      <c r="E292" s="11" t="s">
        <v>326</v>
      </c>
      <c r="F292" s="11">
        <v>3.0</v>
      </c>
      <c r="G292" s="93"/>
      <c r="H292" s="11"/>
    </row>
    <row r="293" ht="45.0" customHeight="1">
      <c r="A293" s="11">
        <v>292.0</v>
      </c>
      <c r="B293" s="93" t="s">
        <v>1959</v>
      </c>
      <c r="C293" s="11" t="str">
        <f>IMAGE("https://www.220converters.com/resize/Shared/images/Product/Seven-Star-ES5C-220-Volt-Universal-5-Outlet-Power-Strip-With-Surge-Protection-220V-240V/es5c.jpg?bw=500&amp;bh=500",1)</f>
        <v/>
      </c>
      <c r="D293" s="215" t="s">
        <v>326</v>
      </c>
      <c r="E293" s="11" t="s">
        <v>326</v>
      </c>
      <c r="F293" s="216">
        <v>6.0</v>
      </c>
      <c r="G293" s="93"/>
      <c r="H293" s="11"/>
    </row>
    <row r="294" ht="45.0" customHeight="1">
      <c r="A294" s="11">
        <v>293.0</v>
      </c>
      <c r="B294" s="93" t="s">
        <v>970</v>
      </c>
      <c r="C294" s="11" t="str">
        <f>IMAGE("https://www.jiomart.com/images/product/original/491503417/mi-home-security-camera-digital-o491503417-p590045677-0-202010110622.jpeg")</f>
        <v/>
      </c>
      <c r="D294" s="215" t="s">
        <v>326</v>
      </c>
      <c r="E294" s="11" t="s">
        <v>326</v>
      </c>
      <c r="F294" s="216">
        <v>1.0</v>
      </c>
      <c r="G294" s="93"/>
      <c r="H294" s="11"/>
    </row>
    <row r="295" ht="45.0" customHeight="1">
      <c r="A295" s="11">
        <v>294.0</v>
      </c>
      <c r="B295" s="272" t="s">
        <v>2171</v>
      </c>
      <c r="C295" s="275"/>
      <c r="D295" s="273" t="s">
        <v>2172</v>
      </c>
      <c r="E295" s="282" t="s">
        <v>142</v>
      </c>
      <c r="F295" s="274">
        <v>2.0</v>
      </c>
      <c r="G295" s="275"/>
      <c r="H295" s="275"/>
      <c r="I295" s="276"/>
    </row>
    <row r="296" ht="45.0" customHeight="1">
      <c r="A296" s="11">
        <v>295.0</v>
      </c>
      <c r="B296" s="93" t="s">
        <v>140</v>
      </c>
      <c r="C296" s="11" t="e">
        <v>#VALUE!</v>
      </c>
      <c r="D296" s="215" t="s">
        <v>141</v>
      </c>
      <c r="E296" s="11" t="s">
        <v>142</v>
      </c>
      <c r="F296" s="11">
        <v>1.0</v>
      </c>
      <c r="G296" s="93"/>
      <c r="H296" s="11"/>
    </row>
    <row r="297" ht="45.0" customHeight="1">
      <c r="A297" s="11">
        <v>296.0</v>
      </c>
      <c r="B297" s="93" t="s">
        <v>155</v>
      </c>
      <c r="C297" s="11" t="str">
        <f>IMAGE("https://m.media-amazon.com/images/I/61Zlcg+2mNL.jpg")</f>
        <v/>
      </c>
      <c r="D297" s="215" t="s">
        <v>141</v>
      </c>
      <c r="E297" s="11" t="s">
        <v>142</v>
      </c>
      <c r="F297" s="216">
        <v>1.0</v>
      </c>
      <c r="G297" s="93"/>
      <c r="H297" s="11"/>
    </row>
    <row r="298" ht="45.0" customHeight="1">
      <c r="A298" s="11">
        <v>297.0</v>
      </c>
      <c r="B298" s="93" t="s">
        <v>159</v>
      </c>
      <c r="C298" s="11" t="str">
        <f>IMAGE("https://c1.neweggimages.com/Productimage/24-001-864-04.jpg",1)</f>
        <v/>
      </c>
      <c r="D298" s="215" t="s">
        <v>141</v>
      </c>
      <c r="E298" s="11" t="s">
        <v>142</v>
      </c>
      <c r="F298" s="216">
        <v>1.0</v>
      </c>
      <c r="G298" s="93"/>
      <c r="H298" s="11"/>
    </row>
    <row r="299" ht="45.0" customHeight="1">
      <c r="A299" s="11">
        <v>298.0</v>
      </c>
      <c r="B299" s="93" t="s">
        <v>163</v>
      </c>
      <c r="C299" s="11" t="str">
        <f>IMAGE("https://m.media-amazon.com/images/I/6100FnINmsL._SL1468_.jpg",1)</f>
        <v/>
      </c>
      <c r="D299" s="215" t="s">
        <v>141</v>
      </c>
      <c r="E299" s="11" t="s">
        <v>142</v>
      </c>
      <c r="F299" s="216">
        <v>1.0</v>
      </c>
      <c r="G299" s="93"/>
      <c r="H299" s="11"/>
    </row>
    <row r="300" ht="45.0" customHeight="1">
      <c r="A300" s="11">
        <v>299.0</v>
      </c>
      <c r="B300" s="93" t="s">
        <v>167</v>
      </c>
      <c r="C300" s="11" t="str">
        <f>IMAGE("https://encrypted-tbn1.gstatic.com/shopping?q=tbn:ANd9GcSwk1vUmWwFhmXgluT27_kpt_1XbFeMGM9voPktN2V8FycBha0_9qycLyoE5G3LsPm9IAaz9ZK9JsFmIAo5gwJtywrUheHD9Zzv6NIaMNLbw1go2XSC6Z0l&amp;usqp=CAE",1)</f>
        <v/>
      </c>
      <c r="D300" s="215" t="s">
        <v>141</v>
      </c>
      <c r="E300" s="11" t="s">
        <v>142</v>
      </c>
      <c r="F300" s="216">
        <v>1.0</v>
      </c>
      <c r="G300" s="93"/>
      <c r="H300" s="11"/>
    </row>
    <row r="301" ht="45.0" customHeight="1">
      <c r="A301" s="11">
        <v>300.0</v>
      </c>
      <c r="B301" s="93" t="s">
        <v>171</v>
      </c>
      <c r="C301" s="11" t="str">
        <f>IMAGE("https://www.designinfo.in/wp-content/uploads/nc/p/5/1/4/9/0/51490-485x485.jpg",1)</f>
        <v/>
      </c>
      <c r="D301" s="215" t="s">
        <v>141</v>
      </c>
      <c r="E301" s="11" t="s">
        <v>142</v>
      </c>
      <c r="F301" s="216">
        <v>1.0</v>
      </c>
      <c r="G301" s="93"/>
      <c r="H301" s="11"/>
    </row>
    <row r="302" ht="45.0" customHeight="1">
      <c r="A302" s="11">
        <v>301.0</v>
      </c>
      <c r="B302" s="93" t="s">
        <v>245</v>
      </c>
      <c r="C302" s="11" t="str">
        <f>IMAGE("https://m.media-amazon.com/images/I/61YPX7I4aSL._SL1500_.jpg",1)</f>
        <v/>
      </c>
      <c r="D302" s="215" t="s">
        <v>237</v>
      </c>
      <c r="E302" s="11" t="s">
        <v>142</v>
      </c>
      <c r="F302" s="11">
        <v>1.0</v>
      </c>
      <c r="G302" s="93"/>
      <c r="H302" s="11"/>
    </row>
    <row r="303" ht="45.0" customHeight="1">
      <c r="A303" s="11">
        <v>302.0</v>
      </c>
      <c r="B303" s="93" t="s">
        <v>974</v>
      </c>
      <c r="C303" s="11" t="str">
        <f>IMAGE("https://cdn.ttgtmedia.com/rms/onlineimages/hp_elitebook_mobile.jpg",1)</f>
        <v/>
      </c>
      <c r="D303" s="215" t="s">
        <v>326</v>
      </c>
      <c r="E303" s="11" t="s">
        <v>142</v>
      </c>
      <c r="F303" s="216">
        <v>1.0</v>
      </c>
      <c r="G303" s="93"/>
      <c r="H303" s="11"/>
    </row>
    <row r="304" ht="45.0" customHeight="1">
      <c r="A304" s="11">
        <v>303.0</v>
      </c>
      <c r="B304" s="93" t="s">
        <v>977</v>
      </c>
      <c r="C304" s="11" t="str">
        <f>IMAGE("https://m.media-amazon.com/images/W/MEDIAX_792452-T2/images/I/51UzU+2x3OS._SL1000_.jpg")</f>
        <v/>
      </c>
      <c r="D304" s="215" t="s">
        <v>326</v>
      </c>
      <c r="E304" s="11" t="s">
        <v>142</v>
      </c>
      <c r="F304" s="216">
        <v>1.0</v>
      </c>
      <c r="G304" s="93"/>
      <c r="H304" s="11"/>
    </row>
    <row r="305" ht="45.0" customHeight="1">
      <c r="A305" s="11">
        <v>304.0</v>
      </c>
      <c r="B305" s="93" t="s">
        <v>1475</v>
      </c>
      <c r="C305" s="11" t="str">
        <f>IMAGE("https://rukminim1.flixcart.com/image/416/416/jj367bk0/fire-extinguisher-mount/w/s/y/2-kg-abc-type-fire-extinguisher-safepro-original-imaf6h7fkdngmbqd.jpeg?q=70",1)</f>
        <v/>
      </c>
      <c r="D305" s="215" t="s">
        <v>1476</v>
      </c>
      <c r="E305" s="11" t="s">
        <v>1477</v>
      </c>
      <c r="F305" s="216">
        <v>1.0</v>
      </c>
      <c r="G305" s="93"/>
      <c r="H305" s="11"/>
    </row>
    <row r="306" ht="45.0" customHeight="1">
      <c r="A306" s="11">
        <v>305.0</v>
      </c>
      <c r="B306" s="93" t="s">
        <v>1481</v>
      </c>
      <c r="C306" s="11" t="str">
        <f>IMAGE("https://m.media-amazon.com/images/I/61UHX6mp+wL._AC_UF894,1000_QL80_.jpg",1)</f>
        <v/>
      </c>
      <c r="D306" s="215" t="s">
        <v>1476</v>
      </c>
      <c r="E306" s="11" t="s">
        <v>1477</v>
      </c>
      <c r="F306" s="216">
        <v>1.0</v>
      </c>
      <c r="G306" s="93"/>
      <c r="H306" s="11"/>
    </row>
    <row r="307" ht="45.0" customHeight="1">
      <c r="A307" s="11">
        <v>306.0</v>
      </c>
      <c r="B307" s="93" t="s">
        <v>1485</v>
      </c>
      <c r="C307" s="11" t="str">
        <f>IMAGE("https://m.media-amazon.com/images/I/41yRsXk89rS._SX355_.jpg",1)</f>
        <v/>
      </c>
      <c r="D307" s="215" t="s">
        <v>1476</v>
      </c>
      <c r="E307" s="11" t="s">
        <v>1477</v>
      </c>
      <c r="F307" s="216">
        <v>1.0</v>
      </c>
      <c r="G307" s="93"/>
      <c r="H307" s="11"/>
    </row>
    <row r="308" ht="45.0" customHeight="1">
      <c r="A308" s="11">
        <v>307.0</v>
      </c>
      <c r="B308" s="93" t="s">
        <v>1489</v>
      </c>
      <c r="C308" s="11" t="str">
        <f>IMAGE("https://5.imimg.com/data5/AR/LM/NG/SELLER-21409398/lab-uniform-500x500.jpg",1)</f>
        <v/>
      </c>
      <c r="D308" s="215" t="s">
        <v>1476</v>
      </c>
      <c r="E308" s="11" t="s">
        <v>1477</v>
      </c>
      <c r="F308" s="11">
        <v>5.0</v>
      </c>
      <c r="G308" s="93"/>
      <c r="H308" s="221"/>
    </row>
    <row r="309" ht="45.0" customHeight="1">
      <c r="A309" s="11">
        <v>308.0</v>
      </c>
      <c r="B309" s="93" t="s">
        <v>1493</v>
      </c>
      <c r="C309" s="11" t="str">
        <f>IMAGE("https://cdn.moglix.com/p/oBWcDtePyNEFP.jpg",1)</f>
        <v/>
      </c>
      <c r="D309" s="215" t="s">
        <v>1476</v>
      </c>
      <c r="E309" s="11" t="s">
        <v>1477</v>
      </c>
      <c r="F309" s="216">
        <v>2.0</v>
      </c>
      <c r="G309" s="93"/>
      <c r="H309" s="221"/>
    </row>
    <row r="310" ht="45.0" customHeight="1">
      <c r="A310" s="11">
        <v>309.0</v>
      </c>
      <c r="B310" s="93" t="s">
        <v>1497</v>
      </c>
      <c r="C310" s="11" t="str">
        <f>IMAGE("https://5.imimg.com/data5/SELLER/Default/2023/5/311302937/IM/IY/MO/34533827/safety-rubber-apron-1000x1000.jpg", 1)</f>
        <v/>
      </c>
      <c r="D310" s="215" t="s">
        <v>1476</v>
      </c>
      <c r="E310" s="11" t="s">
        <v>1477</v>
      </c>
      <c r="F310" s="11">
        <v>5.0</v>
      </c>
      <c r="G310" s="93"/>
      <c r="H310" s="221"/>
    </row>
    <row r="311" ht="45.0" customHeight="1">
      <c r="A311" s="11">
        <v>310.0</v>
      </c>
      <c r="B311" s="93" t="s">
        <v>1501</v>
      </c>
      <c r="C311" s="11" t="str">
        <f>IMAGE("https://5.imimg.com/data5/DM/UP/MY-3422722/latex-coated-gloves-500x500.jpg",1)</f>
        <v/>
      </c>
      <c r="D311" s="215" t="s">
        <v>1476</v>
      </c>
      <c r="E311" s="11" t="s">
        <v>1477</v>
      </c>
      <c r="F311" s="216">
        <v>15.0</v>
      </c>
      <c r="G311" s="93"/>
      <c r="H311" s="257"/>
    </row>
    <row r="312" ht="45.0" customHeight="1">
      <c r="A312" s="11">
        <v>311.0</v>
      </c>
      <c r="B312" s="93" t="s">
        <v>1505</v>
      </c>
      <c r="C312" s="11" t="str">
        <f>IMAGE("https://5.imimg.com/data5/RD/NQ/ZF/SELLER-67911650/safety-goggles.jpg")</f>
        <v/>
      </c>
      <c r="D312" s="215" t="s">
        <v>1476</v>
      </c>
      <c r="E312" s="11" t="s">
        <v>1477</v>
      </c>
      <c r="F312" s="216">
        <v>30.0</v>
      </c>
      <c r="G312" s="93"/>
      <c r="H312" s="257"/>
    </row>
    <row r="313" ht="45.0" customHeight="1">
      <c r="A313" s="11">
        <v>312.0</v>
      </c>
      <c r="B313" s="93" t="s">
        <v>1509</v>
      </c>
      <c r="C313" s="11" t="str">
        <f>IMAGE("https://img2.exportersindia.com/product_images/bc-full/dir_151/4514764/dust-masks-1499837104-3125900.jpg",1)</f>
        <v/>
      </c>
      <c r="D313" s="215" t="s">
        <v>1476</v>
      </c>
      <c r="E313" s="11" t="s">
        <v>1477</v>
      </c>
      <c r="F313" s="216">
        <v>60.0</v>
      </c>
      <c r="G313" s="93"/>
      <c r="H313" s="221"/>
    </row>
    <row r="314" ht="45.0" customHeight="1">
      <c r="A314" s="11">
        <v>313.0</v>
      </c>
      <c r="B314" s="93" t="s">
        <v>151</v>
      </c>
      <c r="C314" s="11" t="str">
        <f>IMAGE("https://m.media-amazon.com/images/I/51KO2QtXE8L._SL1000_.jpg", 1)</f>
        <v/>
      </c>
      <c r="D314" s="269" t="s">
        <v>326</v>
      </c>
      <c r="E314" s="11" t="s">
        <v>1157</v>
      </c>
      <c r="F314" s="216">
        <v>2.0</v>
      </c>
      <c r="G314" s="93"/>
      <c r="H314" s="11"/>
    </row>
    <row r="315" ht="45.0" customHeight="1">
      <c r="A315" s="11">
        <v>314.0</v>
      </c>
      <c r="B315" s="283" t="s">
        <v>2173</v>
      </c>
      <c r="C315" s="275"/>
      <c r="D315" s="284" t="s">
        <v>2174</v>
      </c>
      <c r="E315" s="286" t="s">
        <v>1157</v>
      </c>
      <c r="F315" s="285">
        <v>1.0</v>
      </c>
      <c r="G315" s="287"/>
      <c r="H315" s="275"/>
      <c r="I315" s="276"/>
    </row>
    <row r="316" ht="45.0" customHeight="1">
      <c r="A316" s="11">
        <v>315.0</v>
      </c>
      <c r="B316" s="288" t="s">
        <v>2175</v>
      </c>
      <c r="C316" s="275"/>
      <c r="D316" s="289" t="s">
        <v>2174</v>
      </c>
      <c r="E316" s="286" t="s">
        <v>1157</v>
      </c>
      <c r="F316" s="290">
        <v>1.0</v>
      </c>
      <c r="G316" s="275"/>
      <c r="H316" s="275"/>
      <c r="I316" s="276"/>
    </row>
    <row r="317" ht="45.0" customHeight="1">
      <c r="A317" s="11">
        <v>316.0</v>
      </c>
      <c r="B317" s="283" t="s">
        <v>2176</v>
      </c>
      <c r="C317" s="275"/>
      <c r="D317" s="284" t="s">
        <v>2174</v>
      </c>
      <c r="E317" s="286" t="s">
        <v>1157</v>
      </c>
      <c r="F317" s="285">
        <v>1.0</v>
      </c>
      <c r="G317" s="275"/>
      <c r="H317" s="275"/>
      <c r="I317" s="276"/>
    </row>
    <row r="318" ht="45.0" customHeight="1">
      <c r="A318" s="11">
        <v>317.0</v>
      </c>
      <c r="B318" s="288" t="s">
        <v>2177</v>
      </c>
      <c r="C318" s="275"/>
      <c r="D318" s="289" t="s">
        <v>2174</v>
      </c>
      <c r="E318" s="286" t="s">
        <v>1157</v>
      </c>
      <c r="F318" s="290">
        <v>1.0</v>
      </c>
      <c r="G318" s="275"/>
      <c r="H318" s="275"/>
      <c r="I318" s="276"/>
    </row>
    <row r="319" ht="45.0" customHeight="1">
      <c r="A319" s="11">
        <v>318.0</v>
      </c>
      <c r="B319" s="283" t="s">
        <v>2178</v>
      </c>
      <c r="C319" s="275"/>
      <c r="D319" s="284" t="s">
        <v>2174</v>
      </c>
      <c r="E319" s="286" t="s">
        <v>1157</v>
      </c>
      <c r="F319" s="285">
        <v>10.0</v>
      </c>
      <c r="G319" s="275"/>
      <c r="H319" s="275"/>
      <c r="I319" s="276"/>
    </row>
    <row r="320" ht="45.0" customHeight="1">
      <c r="A320" s="11">
        <v>319.0</v>
      </c>
      <c r="B320" s="288" t="s">
        <v>2179</v>
      </c>
      <c r="C320" s="275"/>
      <c r="D320" s="289" t="s">
        <v>2174</v>
      </c>
      <c r="E320" s="286" t="s">
        <v>1157</v>
      </c>
      <c r="F320" s="290">
        <v>2.0</v>
      </c>
      <c r="G320" s="275"/>
      <c r="H320" s="275"/>
      <c r="I320" s="276"/>
    </row>
    <row r="321" ht="45.0" customHeight="1">
      <c r="A321" s="11">
        <v>320.0</v>
      </c>
      <c r="B321" s="272" t="s">
        <v>2180</v>
      </c>
      <c r="C321" s="275"/>
      <c r="D321" s="291" t="s">
        <v>2174</v>
      </c>
      <c r="E321" s="286" t="s">
        <v>1157</v>
      </c>
      <c r="F321" s="274" t="s">
        <v>2181</v>
      </c>
      <c r="G321" s="275"/>
      <c r="H321" s="275"/>
      <c r="I321" s="276"/>
    </row>
    <row r="322" ht="45.0" customHeight="1">
      <c r="A322" s="11">
        <v>321.0</v>
      </c>
      <c r="B322" s="272" t="s">
        <v>2182</v>
      </c>
      <c r="C322" s="275"/>
      <c r="D322" s="291" t="s">
        <v>2174</v>
      </c>
      <c r="E322" s="286" t="s">
        <v>1157</v>
      </c>
      <c r="F322" s="274" t="s">
        <v>2183</v>
      </c>
      <c r="G322" s="275"/>
      <c r="H322" s="275"/>
      <c r="I322" s="276"/>
    </row>
    <row r="323" ht="45.0" customHeight="1">
      <c r="A323" s="11">
        <v>322.0</v>
      </c>
      <c r="B323" s="272" t="s">
        <v>2184</v>
      </c>
      <c r="C323" s="275"/>
      <c r="D323" s="284" t="s">
        <v>2185</v>
      </c>
      <c r="E323" s="280" t="s">
        <v>1157</v>
      </c>
      <c r="F323" s="285">
        <v>20.0</v>
      </c>
      <c r="G323" s="275"/>
      <c r="H323" s="275"/>
      <c r="I323" s="276"/>
    </row>
    <row r="324" ht="45.0" customHeight="1">
      <c r="A324" s="11">
        <v>323.0</v>
      </c>
      <c r="B324" s="292" t="s">
        <v>2186</v>
      </c>
      <c r="C324" s="275"/>
      <c r="D324" s="293" t="s">
        <v>1156</v>
      </c>
      <c r="E324" s="280" t="s">
        <v>1157</v>
      </c>
      <c r="F324" s="285">
        <v>2.0</v>
      </c>
      <c r="G324" s="275"/>
      <c r="H324" s="275"/>
      <c r="I324" s="276"/>
    </row>
    <row r="325" ht="45.0" customHeight="1">
      <c r="A325" s="11">
        <v>324.0</v>
      </c>
      <c r="B325" s="93" t="s">
        <v>1172</v>
      </c>
      <c r="C325" s="11" t="str">
        <f>IMAGE("https://www.sigmaaldrich.com/deepweb/content/dam/sigma-aldrich/product2/017/wha2200110.tif/_jcr_content/renditions/wha2200110-large.jpg", 1)</f>
        <v/>
      </c>
      <c r="D325" s="215" t="s">
        <v>1156</v>
      </c>
      <c r="E325" s="11" t="s">
        <v>1157</v>
      </c>
      <c r="F325" s="255">
        <v>1.0</v>
      </c>
      <c r="G325" s="215"/>
      <c r="H325" s="11"/>
    </row>
    <row r="326" ht="45.0" customHeight="1">
      <c r="A326" s="11">
        <v>325.0</v>
      </c>
      <c r="B326" s="93" t="s">
        <v>1184</v>
      </c>
      <c r="C326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D326" s="215" t="s">
        <v>1156</v>
      </c>
      <c r="E326" s="11" t="s">
        <v>1157</v>
      </c>
      <c r="F326" s="11">
        <v>1.0</v>
      </c>
      <c r="G326" s="93"/>
      <c r="H326" s="11"/>
    </row>
    <row r="327" ht="45.0" customHeight="1">
      <c r="A327" s="11">
        <v>326.0</v>
      </c>
      <c r="B327" s="93" t="s">
        <v>1188</v>
      </c>
      <c r="C327" s="11" t="str">
        <f>IMAGE("https://m.media-amazon.com/images/I/61ra1C535pL._SL1500_.jpg", 1)</f>
        <v/>
      </c>
      <c r="D327" s="215" t="s">
        <v>1156</v>
      </c>
      <c r="E327" s="11" t="s">
        <v>1157</v>
      </c>
      <c r="F327" s="216">
        <v>1.0</v>
      </c>
      <c r="G327" s="93"/>
      <c r="H327" s="11"/>
    </row>
    <row r="328" ht="45.0" customHeight="1">
      <c r="A328" s="11">
        <v>327.0</v>
      </c>
      <c r="B328" s="93" t="s">
        <v>2110</v>
      </c>
      <c r="C328" s="11" t="str">
        <f>IMAGE("https://5.imimg.com/data5/SB/TW/SA/SELLER-91497159/glass-beaker-500x500.jpg",1)</f>
        <v/>
      </c>
      <c r="D328" s="215" t="s">
        <v>1156</v>
      </c>
      <c r="E328" s="11" t="s">
        <v>1157</v>
      </c>
      <c r="F328" s="216">
        <v>10.0</v>
      </c>
      <c r="G328" s="93"/>
      <c r="H328" s="221"/>
    </row>
    <row r="329" ht="45.0" customHeight="1">
      <c r="A329" s="11">
        <v>328.0</v>
      </c>
      <c r="B329" s="93" t="s">
        <v>1160</v>
      </c>
      <c r="C329" s="11" t="str">
        <f>IMAGE("https://m.media-amazon.com/images/I/41vGxqzVasL.jpg",1)</f>
        <v/>
      </c>
      <c r="D329" s="215" t="s">
        <v>1156</v>
      </c>
      <c r="E329" s="11" t="s">
        <v>1157</v>
      </c>
      <c r="F329" s="11">
        <v>5.0</v>
      </c>
      <c r="G329" s="93"/>
      <c r="H329" s="221"/>
    </row>
    <row r="330" ht="45.0" customHeight="1">
      <c r="A330" s="11">
        <v>329.0</v>
      </c>
      <c r="B330" s="93" t="s">
        <v>1164</v>
      </c>
      <c r="C330" s="11" t="str">
        <f>IMAGE("https://m.media-amazon.com/images/I/31b1KCUwqyL.jpg", 1)</f>
        <v/>
      </c>
      <c r="D330" s="215" t="s">
        <v>1156</v>
      </c>
      <c r="E330" s="11" t="s">
        <v>1157</v>
      </c>
      <c r="F330" s="216">
        <v>8.0</v>
      </c>
      <c r="G330" s="93"/>
      <c r="H330" s="221"/>
    </row>
    <row r="331" ht="45.0" customHeight="1">
      <c r="A331" s="11">
        <v>330.0</v>
      </c>
      <c r="B331" s="93" t="s">
        <v>1176</v>
      </c>
      <c r="C331" s="11" t="str">
        <f>IMAGE("https://m.media-amazon.com/images/I/A1PFWcAysAL.jpg", 1)</f>
        <v/>
      </c>
      <c r="D331" s="215" t="s">
        <v>1156</v>
      </c>
      <c r="E331" s="11" t="s">
        <v>1157</v>
      </c>
      <c r="F331" s="216">
        <v>1.0</v>
      </c>
      <c r="G331" s="93"/>
      <c r="H331" s="11"/>
    </row>
    <row r="332" ht="45.0" customHeight="1">
      <c r="A332" s="11">
        <v>331.0</v>
      </c>
      <c r="B332" s="93" t="s">
        <v>1205</v>
      </c>
      <c r="C332" s="11" t="str">
        <f>IMAGE("https://www.abdoslifesciences.com/wp-content/uploads/Abdos_Delhi2-107_P10911-to-P10918-2.png",1)</f>
        <v/>
      </c>
      <c r="D332" s="215" t="s">
        <v>1156</v>
      </c>
      <c r="E332" s="11" t="s">
        <v>1157</v>
      </c>
      <c r="F332" s="216">
        <v>30.0</v>
      </c>
      <c r="G332" s="93"/>
      <c r="H332" s="11"/>
    </row>
    <row r="333" ht="45.0" customHeight="1">
      <c r="A333" s="11">
        <v>332.0</v>
      </c>
      <c r="B333" s="93" t="s">
        <v>1209</v>
      </c>
      <c r="C333" s="11" t="str">
        <f>IMAGE("https://pim-resources.coleparmer.com/product/l/dwk-life-sciences-kimble-dwk-kimble-babcock-pipettes-14663.jpg",1)</f>
        <v/>
      </c>
      <c r="D333" s="215" t="s">
        <v>1156</v>
      </c>
      <c r="E333" s="11" t="s">
        <v>1157</v>
      </c>
      <c r="F333" s="11">
        <v>2.0</v>
      </c>
      <c r="G333" s="93"/>
      <c r="H333" s="11"/>
    </row>
    <row r="334" ht="45.0" customHeight="1">
      <c r="A334" s="11">
        <v>333.0</v>
      </c>
      <c r="B334" s="93" t="s">
        <v>1229</v>
      </c>
      <c r="C334" s="11" t="str">
        <f>IMAGE("https://m.media-amazon.com/images/I/51+vdFGMMML._SL1001_.jpg",1)</f>
        <v/>
      </c>
      <c r="D334" s="215" t="s">
        <v>1156</v>
      </c>
      <c r="E334" s="11" t="s">
        <v>1157</v>
      </c>
      <c r="F334" s="11">
        <v>1.0</v>
      </c>
      <c r="G334" s="93"/>
      <c r="H334" s="11"/>
    </row>
    <row r="335" ht="45.0" customHeight="1">
      <c r="A335" s="11">
        <v>334.0</v>
      </c>
      <c r="B335" s="93" t="s">
        <v>1233</v>
      </c>
      <c r="C335" s="11" t="str">
        <f>IMAGE("https://5.imimg.com/data5/SELLER/Default/2022/10/RF/ME/PW/7444604/12x100mm-glass-test-tube-500x500.jpg", 1)</f>
        <v/>
      </c>
      <c r="D335" s="215" t="s">
        <v>1156</v>
      </c>
      <c r="E335" s="11" t="s">
        <v>1157</v>
      </c>
      <c r="F335" s="216">
        <v>10.0</v>
      </c>
      <c r="G335" s="93"/>
      <c r="H335" s="11"/>
    </row>
    <row r="336" ht="45.0" customHeight="1">
      <c r="A336" s="11">
        <v>335.0</v>
      </c>
      <c r="B336" s="93" t="s">
        <v>1237</v>
      </c>
      <c r="C336" s="11" t="str">
        <f>IMAGE("https://www.abdoslifesciences.com/wp-content/uploads/p10.jpg", 1)</f>
        <v/>
      </c>
      <c r="D336" s="215" t="s">
        <v>1156</v>
      </c>
      <c r="E336" s="11" t="s">
        <v>1157</v>
      </c>
      <c r="F336" s="216">
        <v>2.0</v>
      </c>
      <c r="G336" s="93"/>
      <c r="H336" s="11"/>
    </row>
    <row r="337" ht="45.0" customHeight="1">
      <c r="A337" s="11">
        <v>336.0</v>
      </c>
      <c r="B337" s="93" t="s">
        <v>1245</v>
      </c>
      <c r="C337" s="11" t="str">
        <f>IMAGE("https://m.media-amazon.com/images/I/31U00ndDv2L._SX679_.jpg",1)</f>
        <v/>
      </c>
      <c r="D337" s="215" t="s">
        <v>1156</v>
      </c>
      <c r="E337" s="11" t="s">
        <v>1157</v>
      </c>
      <c r="F337" s="11">
        <v>10.0</v>
      </c>
      <c r="G337" s="93"/>
      <c r="H337" s="11"/>
    </row>
    <row r="338" ht="45.0" customHeight="1">
      <c r="A338" s="11">
        <v>337.0</v>
      </c>
      <c r="B338" s="93" t="s">
        <v>1168</v>
      </c>
      <c r="C338" s="11" t="str">
        <f>IMAGE("https://m.media-amazon.com/images/W/MEDIAX_792452-T2/images/I/71veIL4opPL.jpg",1)</f>
        <v/>
      </c>
      <c r="D338" s="215" t="s">
        <v>1156</v>
      </c>
      <c r="E338" s="11" t="s">
        <v>1157</v>
      </c>
      <c r="F338" s="11">
        <v>2.0</v>
      </c>
      <c r="G338" s="93"/>
      <c r="H338" s="11"/>
    </row>
    <row r="339" ht="45.0" customHeight="1">
      <c r="A339" s="11">
        <v>338.0</v>
      </c>
      <c r="B339" s="93" t="s">
        <v>1213</v>
      </c>
      <c r="C339" s="11" t="str">
        <f>IMAGE("https://5.imimg.com/data5/QC/NX/MY-932240/clear-plastic-funnel-250x250.jpg", 1)</f>
        <v/>
      </c>
      <c r="D339" s="215" t="s">
        <v>1156</v>
      </c>
      <c r="E339" s="11" t="s">
        <v>1157</v>
      </c>
      <c r="F339" s="216">
        <v>10.0</v>
      </c>
      <c r="G339" s="93"/>
      <c r="H339" s="11"/>
    </row>
    <row r="340" ht="45.0" customHeight="1">
      <c r="A340" s="11">
        <v>339.0</v>
      </c>
      <c r="B340" s="93" t="s">
        <v>1217</v>
      </c>
      <c r="C340" s="11" t="str">
        <f>IMAGE("https://www.reagecon.com/product/image/medium/6267270_1.jpg",1)</f>
        <v/>
      </c>
      <c r="D340" s="215" t="s">
        <v>1156</v>
      </c>
      <c r="E340" s="11" t="s">
        <v>1157</v>
      </c>
      <c r="F340" s="216">
        <v>10.0</v>
      </c>
      <c r="G340" s="93"/>
      <c r="H340" s="11"/>
    </row>
    <row r="341" ht="45.0" customHeight="1">
      <c r="A341" s="11">
        <v>340.0</v>
      </c>
      <c r="B341" s="93" t="s">
        <v>1225</v>
      </c>
      <c r="C341" s="11" t="str">
        <f>IMAGE("https://5.imimg.com/data5/GX/OE/MY-972879/30ml-specimen-container-500x500.jpg", 1)</f>
        <v/>
      </c>
      <c r="D341" s="215" t="s">
        <v>1156</v>
      </c>
      <c r="E341" s="11" t="s">
        <v>1157</v>
      </c>
      <c r="F341" s="216">
        <v>100.0</v>
      </c>
      <c r="G341" s="93"/>
      <c r="H341" s="11"/>
    </row>
    <row r="342" ht="45.0" customHeight="1">
      <c r="A342" s="11">
        <v>341.0</v>
      </c>
      <c r="B342" s="93" t="s">
        <v>1241</v>
      </c>
      <c r="C342" s="11" t="str">
        <f>IMAGE("https://www.abdoslifesciences.com/wp-content/uploads/Wash-Bottle-LDPE-day-20376.jpg", 1)</f>
        <v/>
      </c>
      <c r="D342" s="215" t="s">
        <v>1156</v>
      </c>
      <c r="E342" s="11" t="s">
        <v>1157</v>
      </c>
      <c r="F342" s="216">
        <v>2.0</v>
      </c>
      <c r="G342" s="93"/>
      <c r="H342" s="221"/>
    </row>
    <row r="343" ht="45.0" customHeight="1">
      <c r="A343" s="11">
        <v>342.0</v>
      </c>
      <c r="B343" s="93" t="s">
        <v>1192</v>
      </c>
      <c r="C343" s="11" t="str">
        <f>IMAGE("https://5.imimg.com/data5/SI/VL/MY-6819814/multi-volume-adjustable-micropipette.jpg",1)</f>
        <v/>
      </c>
      <c r="D343" s="215" t="s">
        <v>1156</v>
      </c>
      <c r="E343" s="11" t="s">
        <v>1157</v>
      </c>
      <c r="F343" s="11">
        <v>1.0</v>
      </c>
      <c r="G343" s="93"/>
      <c r="H343" s="11"/>
    </row>
    <row r="344" ht="45.0" customHeight="1">
      <c r="A344" s="11">
        <v>343.0</v>
      </c>
      <c r="B344" s="93" t="s">
        <v>1196</v>
      </c>
      <c r="C344" s="11" t="str">
        <f>IMAGE("https://5.imimg.com/data5/SELLER/Default/2021/7/IF/DT/PV/116258883/microscope-cover-glass-250x250.JPG",1)</f>
        <v/>
      </c>
      <c r="D344" s="215" t="s">
        <v>1156</v>
      </c>
      <c r="E344" s="11" t="s">
        <v>1157</v>
      </c>
      <c r="F344" s="216">
        <v>1.0</v>
      </c>
      <c r="G344" s="93"/>
      <c r="H344" s="11"/>
    </row>
    <row r="345" ht="45.0" customHeight="1">
      <c r="A345" s="11">
        <v>344.0</v>
      </c>
      <c r="B345" s="93" t="s">
        <v>1201</v>
      </c>
      <c r="C345" s="11" t="str">
        <f>IMAGE("https://5.imimg.com/data5/AZ/OD/EC/SELLER-20177713/laboratory-slides-500x500.jpg",1)</f>
        <v/>
      </c>
      <c r="D345" s="215" t="s">
        <v>1156</v>
      </c>
      <c r="E345" s="11" t="s">
        <v>1157</v>
      </c>
      <c r="F345" s="216">
        <v>1.0</v>
      </c>
      <c r="G345" s="93"/>
      <c r="H345" s="11"/>
    </row>
    <row r="346" ht="45.0" customHeight="1">
      <c r="A346" s="11">
        <v>345.0</v>
      </c>
      <c r="B346" s="93" t="s">
        <v>1180</v>
      </c>
      <c r="C346" s="11" t="str">
        <f>IMAGE("https://www.domo.in/image/cache/catalog/nHance/LNSS4201/Display-228x228.jpg")</f>
        <v/>
      </c>
      <c r="D346" s="215" t="s">
        <v>1156</v>
      </c>
      <c r="E346" s="11" t="s">
        <v>1157</v>
      </c>
      <c r="F346" s="216">
        <v>20.0</v>
      </c>
      <c r="G346" s="93"/>
      <c r="H346" s="11"/>
    </row>
    <row r="347" ht="45.0" customHeight="1">
      <c r="A347" s="11">
        <v>346.0</v>
      </c>
      <c r="B347" s="260" t="s">
        <v>1999</v>
      </c>
      <c r="C347" s="11"/>
      <c r="D347" s="215" t="s">
        <v>1156</v>
      </c>
      <c r="E347" s="11" t="s">
        <v>1157</v>
      </c>
      <c r="F347" s="216">
        <v>4.0</v>
      </c>
      <c r="G347" s="270"/>
      <c r="H347" s="11"/>
    </row>
    <row r="348" ht="45.0" customHeight="1">
      <c r="A348" s="11">
        <v>347.0</v>
      </c>
      <c r="B348" s="37" t="s">
        <v>1270</v>
      </c>
      <c r="C348" s="11" t="str">
        <f>IMAGE("https://m.media-amazon.com/images/I/61USTYJ+OPL._SL1500_.jpg",1)</f>
        <v/>
      </c>
      <c r="D348" s="215" t="s">
        <v>1250</v>
      </c>
      <c r="E348" s="11" t="s">
        <v>1157</v>
      </c>
      <c r="F348" s="11">
        <v>1.0</v>
      </c>
      <c r="G348" s="93"/>
      <c r="H348" s="11"/>
    </row>
    <row r="349" ht="45.0" customHeight="1">
      <c r="A349" s="11">
        <v>348.0</v>
      </c>
      <c r="B349" s="93" t="s">
        <v>1302</v>
      </c>
      <c r="C349" s="11" t="str">
        <f>IMAGE("https://5.imimg.com/data5/XG/YW/VV/SELLER-219478/hot-plate-round-250x250.jpg",1)</f>
        <v/>
      </c>
      <c r="D349" s="215" t="s">
        <v>1250</v>
      </c>
      <c r="E349" s="11" t="s">
        <v>1157</v>
      </c>
      <c r="F349" s="216">
        <v>1.0</v>
      </c>
      <c r="G349" s="93"/>
      <c r="H349" s="11"/>
    </row>
    <row r="350" ht="45.0" customHeight="1">
      <c r="A350" s="11">
        <v>349.0</v>
      </c>
      <c r="B350" s="93" t="s">
        <v>1285</v>
      </c>
      <c r="C350" s="11"/>
      <c r="D350" s="215" t="s">
        <v>1250</v>
      </c>
      <c r="E350" s="11" t="s">
        <v>1157</v>
      </c>
      <c r="F350" s="11">
        <v>1.0</v>
      </c>
      <c r="G350" s="93"/>
      <c r="H350" s="11"/>
    </row>
    <row r="351" ht="45.0" customHeight="1">
      <c r="A351" s="11">
        <v>350.0</v>
      </c>
      <c r="B351" s="93" t="s">
        <v>1306</v>
      </c>
      <c r="C351" s="11" t="str">
        <f>IMAGE("https://image.made-in-china.com/202f0j00DeSTmvGBnZpR/Electronic-Weighing-Scale-Digital-Scale-of-High-Precision-HWA-.jpg",1)</f>
        <v/>
      </c>
      <c r="D351" s="215" t="s">
        <v>1250</v>
      </c>
      <c r="E351" s="11" t="s">
        <v>1157</v>
      </c>
      <c r="F351" s="216">
        <v>1.0</v>
      </c>
      <c r="G351" s="93"/>
      <c r="H351" s="11"/>
    </row>
    <row r="352" ht="45.0" customHeight="1">
      <c r="A352" s="11">
        <v>351.0</v>
      </c>
      <c r="B352" s="93" t="s">
        <v>1310</v>
      </c>
      <c r="C352" s="11" t="str">
        <f>IMAGE("https://m.media-amazon.com/images/I/71-uBViGV+L._SX522_.jpg",1)</f>
        <v/>
      </c>
      <c r="D352" s="215" t="s">
        <v>1250</v>
      </c>
      <c r="E352" s="11" t="s">
        <v>1157</v>
      </c>
      <c r="F352" s="216">
        <v>1.0</v>
      </c>
      <c r="G352" s="93"/>
      <c r="H352" s="11"/>
    </row>
    <row r="353" ht="45.0" customHeight="1">
      <c r="A353" s="11">
        <v>352.0</v>
      </c>
      <c r="B353" s="93" t="s">
        <v>1976</v>
      </c>
      <c r="C353" s="11" t="str">
        <f>IMAGE("https://m.media-amazon.com/images/I/71O3EMayekL.jpg",1)</f>
        <v/>
      </c>
      <c r="D353" s="215" t="s">
        <v>1250</v>
      </c>
      <c r="E353" s="11" t="s">
        <v>1157</v>
      </c>
      <c r="F353" s="216">
        <v>20.0</v>
      </c>
      <c r="G353" s="93"/>
      <c r="H353" s="11"/>
    </row>
    <row r="354" ht="45.0" customHeight="1">
      <c r="A354" s="11">
        <v>353.0</v>
      </c>
      <c r="B354" s="93" t="s">
        <v>1314</v>
      </c>
      <c r="C354" s="11" t="str">
        <f>IMAGE("https://m.media-amazon.com/images/I/61MstERkLZL._SL1500_.jpg",1)</f>
        <v/>
      </c>
      <c r="D354" s="215" t="s">
        <v>1250</v>
      </c>
      <c r="E354" s="11" t="s">
        <v>1157</v>
      </c>
      <c r="F354" s="11">
        <v>1.0</v>
      </c>
      <c r="G354" s="93"/>
      <c r="H354" s="11"/>
    </row>
    <row r="355" ht="45.0" customHeight="1">
      <c r="A355" s="11">
        <v>354.0</v>
      </c>
      <c r="B355" s="93" t="s">
        <v>1322</v>
      </c>
      <c r="C355" s="11" t="str">
        <f>IMAGE("https://m.media-amazon.com/images/I/61yYBr4qxBL._SL1276_.jpg",1)</f>
        <v/>
      </c>
      <c r="D355" s="215" t="s">
        <v>1250</v>
      </c>
      <c r="E355" s="11" t="s">
        <v>1157</v>
      </c>
      <c r="F355" s="216">
        <v>1.0</v>
      </c>
      <c r="G355" s="93"/>
      <c r="H355" s="11"/>
    </row>
    <row r="356" ht="45.0" customHeight="1">
      <c r="A356" s="11">
        <v>355.0</v>
      </c>
      <c r="B356" s="288" t="s">
        <v>2188</v>
      </c>
      <c r="C356" s="275"/>
      <c r="D356" s="289" t="s">
        <v>2189</v>
      </c>
      <c r="E356" s="294" t="s">
        <v>1157</v>
      </c>
      <c r="F356" s="290">
        <v>2.0</v>
      </c>
      <c r="G356" s="275"/>
      <c r="H356" s="275"/>
      <c r="I356" s="276"/>
    </row>
    <row r="357" ht="45.0" customHeight="1">
      <c r="A357" s="11">
        <v>356.0</v>
      </c>
      <c r="B357" s="283" t="s">
        <v>2190</v>
      </c>
      <c r="C357" s="275"/>
      <c r="D357" s="284" t="s">
        <v>2189</v>
      </c>
      <c r="E357" s="295" t="s">
        <v>1157</v>
      </c>
      <c r="F357" s="285">
        <v>2.0</v>
      </c>
      <c r="G357" s="275"/>
      <c r="H357" s="275"/>
      <c r="I357" s="276"/>
    </row>
    <row r="358" ht="45.0" customHeight="1">
      <c r="A358" s="11">
        <v>357.0</v>
      </c>
      <c r="B358" s="296" t="s">
        <v>2191</v>
      </c>
      <c r="C358" s="275"/>
      <c r="D358" s="297" t="s">
        <v>1156</v>
      </c>
      <c r="E358" s="294" t="s">
        <v>1157</v>
      </c>
      <c r="F358" s="290">
        <v>1.0</v>
      </c>
      <c r="G358" s="275"/>
      <c r="H358" s="275"/>
      <c r="I358" s="276"/>
    </row>
    <row r="359" ht="45.0" customHeight="1">
      <c r="A359" s="11">
        <v>358.0</v>
      </c>
      <c r="B359" s="288" t="s">
        <v>2192</v>
      </c>
      <c r="C359" s="275"/>
      <c r="D359" s="289" t="s">
        <v>2193</v>
      </c>
      <c r="E359" s="294" t="s">
        <v>1157</v>
      </c>
      <c r="F359" s="290">
        <v>2.0</v>
      </c>
      <c r="G359" s="275"/>
      <c r="H359" s="275"/>
      <c r="I359" s="276"/>
    </row>
    <row r="360" ht="45.0" customHeight="1">
      <c r="A360" s="11">
        <v>359.0</v>
      </c>
      <c r="B360" s="283" t="s">
        <v>2194</v>
      </c>
      <c r="C360" s="275"/>
      <c r="D360" s="284" t="s">
        <v>2193</v>
      </c>
      <c r="E360" s="295" t="s">
        <v>1157</v>
      </c>
      <c r="F360" s="285">
        <v>2.0</v>
      </c>
      <c r="G360" s="275"/>
      <c r="H360" s="275"/>
      <c r="I360" s="276"/>
    </row>
    <row r="361" ht="45.0" customHeight="1">
      <c r="A361" s="11">
        <v>360.0</v>
      </c>
      <c r="B361" s="93" t="s">
        <v>345</v>
      </c>
      <c r="C361" s="11" t="str">
        <f>IMAGE("https://m.media-amazon.com/images/I/71NdWJD1LKL._SL1500_.jpg",1)</f>
        <v/>
      </c>
      <c r="D361" s="215" t="s">
        <v>346</v>
      </c>
      <c r="E361" s="11" t="s">
        <v>347</v>
      </c>
      <c r="F361" s="216">
        <v>2.0</v>
      </c>
      <c r="G361" s="215"/>
      <c r="H361" s="11"/>
    </row>
    <row r="362" ht="45.0" customHeight="1">
      <c r="A362" s="11">
        <v>361.0</v>
      </c>
      <c r="B362" s="93" t="s">
        <v>351</v>
      </c>
      <c r="C362" s="11" t="str">
        <f>IMAGE("https://m.media-amazon.com/images/I/41GBeFsg3kL.jpg",1)</f>
        <v/>
      </c>
      <c r="D362" s="215" t="s">
        <v>346</v>
      </c>
      <c r="E362" s="11" t="s">
        <v>347</v>
      </c>
      <c r="F362" s="216">
        <v>2.0</v>
      </c>
      <c r="G362" s="215"/>
      <c r="H362" s="11"/>
    </row>
    <row r="363" ht="45.0" customHeight="1">
      <c r="A363" s="11">
        <v>362.0</v>
      </c>
      <c r="B363" s="93" t="s">
        <v>356</v>
      </c>
      <c r="C363" s="11" t="str">
        <f>IMAGE("https://services.ibo.com/media/v1/products/images/db78032d-e5ba-4c4c-bc8f-110fa0021b77/stanley-sta7221xjin-16-pc-drilling-and-screwdriving-set-1.jpeg",1)</f>
        <v/>
      </c>
      <c r="D363" s="215" t="s">
        <v>346</v>
      </c>
      <c r="E363" s="11" t="s">
        <v>347</v>
      </c>
      <c r="F363" s="216">
        <v>1.0</v>
      </c>
      <c r="G363" s="215"/>
      <c r="H363" s="11"/>
    </row>
    <row r="364" ht="45.0" customHeight="1">
      <c r="A364" s="11">
        <v>363.0</v>
      </c>
      <c r="B364" s="93" t="s">
        <v>360</v>
      </c>
      <c r="C364" s="11" t="str">
        <f>IMAGE("https://cdn.moglix.com/p/Rn8lZopeAizs5-xxlarge.jpg",1)</f>
        <v/>
      </c>
      <c r="D364" s="215" t="s">
        <v>346</v>
      </c>
      <c r="E364" s="11" t="s">
        <v>347</v>
      </c>
      <c r="F364" s="216">
        <v>1.0</v>
      </c>
      <c r="G364" s="215"/>
      <c r="H364" s="11"/>
    </row>
    <row r="365" ht="45.0" customHeight="1">
      <c r="A365" s="11">
        <v>364.0</v>
      </c>
      <c r="B365" s="93" t="s">
        <v>364</v>
      </c>
      <c r="C365" s="11" t="str">
        <f>IMAGE("https://m.media-amazon.com/images/I/51wli9aWH9S._SL1000_.jpg",1)</f>
        <v/>
      </c>
      <c r="D365" s="215" t="s">
        <v>346</v>
      </c>
      <c r="E365" s="11" t="s">
        <v>347</v>
      </c>
      <c r="F365" s="216">
        <v>1.0</v>
      </c>
      <c r="G365" s="215"/>
      <c r="H365" s="11"/>
    </row>
    <row r="366" ht="45.0" customHeight="1">
      <c r="A366" s="11">
        <v>365.0</v>
      </c>
      <c r="B366" s="93" t="s">
        <v>368</v>
      </c>
      <c r="C366" s="11" t="str">
        <f>IMAGE("https://res.cloudinary.com/rsc/image/upload/b_rgb:FFFFFF,c_pad,dpr_1.0,f_auto,q_auto,w_700/c_pad,w_700/C4847566-05",1)</f>
        <v/>
      </c>
      <c r="D366" s="215" t="s">
        <v>346</v>
      </c>
      <c r="E366" s="11" t="s">
        <v>347</v>
      </c>
      <c r="F366" s="216">
        <v>20.0</v>
      </c>
      <c r="G366" s="215"/>
      <c r="H366" s="11"/>
    </row>
    <row r="367" ht="45.0" customHeight="1">
      <c r="A367" s="11">
        <v>366.0</v>
      </c>
      <c r="B367" s="93" t="s">
        <v>372</v>
      </c>
      <c r="C367" s="11" t="str">
        <f>IMAGE("https://5.imimg.com/data5/JR/LF/GK/SELLER-30390418/hacksaw-500x500.png",1)</f>
        <v/>
      </c>
      <c r="D367" s="215" t="s">
        <v>346</v>
      </c>
      <c r="E367" s="11" t="s">
        <v>347</v>
      </c>
      <c r="F367" s="216">
        <v>2.0</v>
      </c>
      <c r="G367" s="215"/>
      <c r="H367" s="11"/>
    </row>
    <row r="368" ht="45.0" customHeight="1">
      <c r="A368" s="11">
        <v>367.0</v>
      </c>
      <c r="B368" s="93" t="s">
        <v>375</v>
      </c>
      <c r="C368" s="11" t="str">
        <f>IMAGE("https://encrypted-tbn0.gstatic.com/images?q=tbn:ANd9GcRnlFGDkPLnXJSjTXFe7fzQ2kj51brspxAcjVtkmgU5NgUWN5-EbmbNTptE-Y3t4g8lr84&amp;usqp=CAU",1)</f>
        <v/>
      </c>
      <c r="D368" s="215" t="s">
        <v>346</v>
      </c>
      <c r="E368" s="11" t="s">
        <v>347</v>
      </c>
      <c r="F368" s="216">
        <v>5.0</v>
      </c>
      <c r="G368" s="215"/>
      <c r="H368" s="11"/>
    </row>
    <row r="369" ht="45.0" customHeight="1">
      <c r="A369" s="11">
        <v>368.0</v>
      </c>
      <c r="B369" s="93" t="s">
        <v>379</v>
      </c>
      <c r="C369" s="11" t="str">
        <f>IMAGE("https://www.stanleytools.me/EMEA/PRODUCT/IMAGES/HIRES/STHT0-10194/STHT0-10194_1.jpg?resize=530x530",1)</f>
        <v/>
      </c>
      <c r="D369" s="215" t="s">
        <v>346</v>
      </c>
      <c r="E369" s="11" t="s">
        <v>347</v>
      </c>
      <c r="F369" s="216">
        <v>2.0</v>
      </c>
      <c r="G369" s="215"/>
      <c r="H369" s="11"/>
    </row>
    <row r="370" ht="45.0" customHeight="1">
      <c r="A370" s="11">
        <v>369.0</v>
      </c>
      <c r="B370" s="93" t="s">
        <v>382</v>
      </c>
      <c r="C370" s="11" t="str">
        <f>IMAGE("https://sc04.alicdn.com/kf/HTB1fK8lXPvuK1Rjy0Faq6x2aVXa5.jpg",1)</f>
        <v/>
      </c>
      <c r="D370" s="215" t="s">
        <v>346</v>
      </c>
      <c r="E370" s="11" t="s">
        <v>347</v>
      </c>
      <c r="F370" s="216">
        <v>10.0</v>
      </c>
      <c r="G370" s="215"/>
      <c r="H370" s="11"/>
    </row>
    <row r="371" ht="45.0" customHeight="1">
      <c r="A371" s="11">
        <v>370.0</v>
      </c>
      <c r="B371" s="93" t="s">
        <v>1926</v>
      </c>
      <c r="C371" s="11" t="str">
        <f>IMAGE("https://asia.blackanddecker.global/ASIA/PRODUCT/IMAGES/HIRES/RT18KA-B1/RT18KA_1.jpg?resize=530x530", 1)</f>
        <v/>
      </c>
      <c r="D371" s="215" t="s">
        <v>346</v>
      </c>
      <c r="E371" s="11" t="s">
        <v>347</v>
      </c>
      <c r="F371" s="11">
        <v>1.0</v>
      </c>
      <c r="G371" s="215"/>
      <c r="H371" s="11"/>
    </row>
    <row r="372" ht="45.0" customHeight="1">
      <c r="A372" s="11">
        <v>371.0</v>
      </c>
      <c r="B372" s="93" t="s">
        <v>1927</v>
      </c>
      <c r="C372" s="11" t="str">
        <f>IMAGE("https://m.media-amazon.com/images/I/518vUksgebL._SL1100_.jpg",1)</f>
        <v/>
      </c>
      <c r="D372" s="215" t="s">
        <v>346</v>
      </c>
      <c r="E372" s="11" t="s">
        <v>347</v>
      </c>
      <c r="F372" s="216">
        <v>5.0</v>
      </c>
      <c r="G372" s="215"/>
      <c r="H372" s="11"/>
    </row>
    <row r="373" ht="45.0" customHeight="1">
      <c r="A373" s="11">
        <v>372.0</v>
      </c>
      <c r="B373" s="93" t="s">
        <v>1928</v>
      </c>
      <c r="C373" s="11" t="str">
        <f>IMAGE("https://rukminim1.flixcart.com/image/416/416/jidg9zk0/art-craft-kit/f/g/a/9mm-snap-off-precision-blades-30-degree-blades-100-blade-pack-1-original-imaf66g6ahvgzem3.jpeg?q=70",1)</f>
        <v/>
      </c>
      <c r="D373" s="215" t="s">
        <v>346</v>
      </c>
      <c r="E373" s="11" t="s">
        <v>347</v>
      </c>
      <c r="F373" s="216">
        <v>5.0</v>
      </c>
      <c r="G373" s="215"/>
      <c r="H373" s="11"/>
    </row>
    <row r="374" ht="45.0" customHeight="1">
      <c r="A374" s="11">
        <v>373.0</v>
      </c>
      <c r="B374" s="93" t="s">
        <v>1929</v>
      </c>
      <c r="C374" s="11" t="str">
        <f>IMAGE("https://m.media-amazon.com/images/I/31u15vg7r0L._SX342_.jpg",1)</f>
        <v/>
      </c>
      <c r="D374" s="215" t="s">
        <v>346</v>
      </c>
      <c r="E374" s="11" t="s">
        <v>347</v>
      </c>
      <c r="F374" s="216">
        <v>5.0</v>
      </c>
      <c r="G374" s="215"/>
      <c r="H374" s="11"/>
    </row>
    <row r="375" ht="45.0" customHeight="1">
      <c r="A375" s="11">
        <v>374.0</v>
      </c>
      <c r="B375" s="93" t="s">
        <v>1930</v>
      </c>
      <c r="C375" s="11" t="str">
        <f>IMAGE("https://hydetools.com/wp-content/uploads/2019/09/42046b.jpg",1)</f>
        <v/>
      </c>
      <c r="D375" s="215" t="s">
        <v>346</v>
      </c>
      <c r="E375" s="11" t="s">
        <v>347</v>
      </c>
      <c r="F375" s="216">
        <v>10.0</v>
      </c>
      <c r="G375" s="215"/>
      <c r="H375" s="11"/>
    </row>
    <row r="376" ht="45.0" customHeight="1">
      <c r="A376" s="11">
        <v>375.0</v>
      </c>
      <c r="B376" s="93" t="s">
        <v>405</v>
      </c>
      <c r="C376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D376" s="215" t="s">
        <v>346</v>
      </c>
      <c r="E376" s="11" t="s">
        <v>347</v>
      </c>
      <c r="F376" s="216">
        <v>10.0</v>
      </c>
      <c r="G376" s="215"/>
      <c r="H376" s="11"/>
    </row>
    <row r="377" ht="45.0" customHeight="1">
      <c r="A377" s="11">
        <v>376.0</v>
      </c>
      <c r="B377" s="93" t="s">
        <v>408</v>
      </c>
      <c r="C377" s="11" t="str">
        <f>IMAGE("https://cdn-reichelt.de/bilder/web/xxl_ws/I210/LEITZ_54166095.png",1)</f>
        <v/>
      </c>
      <c r="D377" s="215" t="s">
        <v>346</v>
      </c>
      <c r="E377" s="11" t="s">
        <v>347</v>
      </c>
      <c r="F377" s="216">
        <v>10.0</v>
      </c>
      <c r="G377" s="215"/>
      <c r="H377" s="11"/>
    </row>
    <row r="378" ht="45.0" customHeight="1">
      <c r="A378" s="11">
        <v>377.0</v>
      </c>
      <c r="B378" s="93" t="s">
        <v>1023</v>
      </c>
      <c r="C378" s="11" t="str">
        <f>IMAGE("https://www.shaanstationery.com/image/cache/catalog/kangaro/kangaro-stapler-no-10-corner-view-1000x1000.jpg",1)</f>
        <v/>
      </c>
      <c r="D378" s="215" t="s">
        <v>981</v>
      </c>
      <c r="E378" s="11" t="s">
        <v>347</v>
      </c>
      <c r="F378" s="216">
        <v>10.0</v>
      </c>
      <c r="G378" s="215"/>
      <c r="H378" s="11"/>
    </row>
    <row r="379" ht="45.0" customHeight="1">
      <c r="A379" s="11">
        <v>378.0</v>
      </c>
      <c r="B379" s="93" t="s">
        <v>1027</v>
      </c>
      <c r="C379" s="11" t="str">
        <f>IMAGE("https://sc04.alicdn.com/kf/HTB1f9mqOZbpK1RjSZFyq6x_qFXaz.jpg",1)</f>
        <v/>
      </c>
      <c r="D379" s="215" t="s">
        <v>981</v>
      </c>
      <c r="E379" s="11" t="s">
        <v>347</v>
      </c>
      <c r="F379" s="216">
        <v>10.0</v>
      </c>
      <c r="G379" s="215"/>
      <c r="H379" s="11"/>
    </row>
    <row r="380" ht="45.0" customHeight="1">
      <c r="A380" s="11">
        <v>379.0</v>
      </c>
      <c r="B380" s="93" t="s">
        <v>1078</v>
      </c>
      <c r="C380" s="11" t="str">
        <f>IMAGE("https://m.media-amazon.com/images/I/51OTKanSUXL._SL1024_.jpg",1)</f>
        <v/>
      </c>
      <c r="D380" s="215" t="s">
        <v>1032</v>
      </c>
      <c r="E380" s="11" t="s">
        <v>347</v>
      </c>
      <c r="F380" s="216">
        <v>50.0</v>
      </c>
      <c r="G380" s="93"/>
      <c r="H380" s="11"/>
    </row>
    <row r="381" ht="45.0" customHeight="1">
      <c r="A381" s="11">
        <v>380.0</v>
      </c>
      <c r="B381" s="93" t="s">
        <v>1128</v>
      </c>
      <c r="C381" s="11" t="str">
        <f>IMAGE("https://cdn.bmstores.co.uk/images/hpcProductImage/imgFull/369783-stanley-sealant-gun-diy.jpg",1)</f>
        <v/>
      </c>
      <c r="D381" s="215" t="s">
        <v>1032</v>
      </c>
      <c r="E381" s="11" t="s">
        <v>347</v>
      </c>
      <c r="F381" s="216">
        <v>1.0</v>
      </c>
      <c r="G381" s="93"/>
      <c r="H381" s="11"/>
    </row>
    <row r="382" ht="45.0" customHeight="1">
      <c r="A382" s="11">
        <v>381.0</v>
      </c>
      <c r="B382" s="93" t="s">
        <v>1132</v>
      </c>
      <c r="C382" s="11" t="str">
        <f>IMAGE("https://5.imimg.com/data5/SELLER/Default/2020/12/RU/ZP/SZ/45671901/alstone-silicone-sealant-500x500.jpeg",1)</f>
        <v/>
      </c>
      <c r="D382" s="215" t="s">
        <v>1032</v>
      </c>
      <c r="E382" s="11" t="s">
        <v>347</v>
      </c>
      <c r="F382" s="216">
        <v>1.0</v>
      </c>
      <c r="G382" s="93"/>
      <c r="H382" s="221"/>
    </row>
    <row r="383" ht="45.0" customHeight="1">
      <c r="A383" s="11">
        <v>382.0</v>
      </c>
      <c r="B383" s="93" t="s">
        <v>1031</v>
      </c>
      <c r="C383" s="11" t="str">
        <f>IMAGE("https://m.media-amazon.com/images/I/61+L7sYwiBL._SL1500_.jpg",1)</f>
        <v/>
      </c>
      <c r="D383" s="215" t="s">
        <v>1032</v>
      </c>
      <c r="E383" s="11" t="s">
        <v>347</v>
      </c>
      <c r="F383" s="11">
        <v>1.0</v>
      </c>
      <c r="G383" s="215"/>
      <c r="H383" s="11"/>
    </row>
    <row r="384" ht="45.0" customHeight="1">
      <c r="A384" s="11">
        <v>383.0</v>
      </c>
      <c r="B384" s="93" t="s">
        <v>1036</v>
      </c>
      <c r="C384" s="11" t="e">
        <v>#VALUE!</v>
      </c>
      <c r="D384" s="215" t="s">
        <v>1032</v>
      </c>
      <c r="E384" s="11" t="s">
        <v>347</v>
      </c>
      <c r="F384" s="216">
        <v>2.0</v>
      </c>
      <c r="G384" s="215"/>
      <c r="H384" s="11"/>
    </row>
    <row r="385" ht="45.0" customHeight="1">
      <c r="A385" s="11">
        <v>384.0</v>
      </c>
      <c r="B385" s="93" t="s">
        <v>1039</v>
      </c>
      <c r="C385" s="11" t="str">
        <f>IMAGE("https://m.media-amazon.com/images/I/71qyUXJ5i6L._AC_UF1000,1000_QL80_.jpg",1)</f>
        <v/>
      </c>
      <c r="D385" s="215" t="s">
        <v>1032</v>
      </c>
      <c r="E385" s="11" t="s">
        <v>347</v>
      </c>
      <c r="F385" s="216">
        <v>1.0</v>
      </c>
      <c r="G385" s="215"/>
      <c r="H385" s="11"/>
    </row>
    <row r="386" ht="45.0" customHeight="1">
      <c r="A386" s="11">
        <v>385.0</v>
      </c>
      <c r="B386" s="93" t="s">
        <v>1043</v>
      </c>
      <c r="C386" s="11" t="str">
        <f>IMAGE("https://5.imimg.com/data5/TS/AU/MY-11200044/steel-shaft-claw-hammer-500x500.jpg",1)</f>
        <v/>
      </c>
      <c r="D386" s="215" t="s">
        <v>1032</v>
      </c>
      <c r="E386" s="11" t="s">
        <v>347</v>
      </c>
      <c r="F386" s="216">
        <v>1.0</v>
      </c>
      <c r="G386" s="215"/>
      <c r="H386" s="11"/>
    </row>
    <row r="387" ht="45.0" customHeight="1">
      <c r="A387" s="11">
        <v>386.0</v>
      </c>
      <c r="B387" s="93" t="s">
        <v>1047</v>
      </c>
      <c r="C387" s="11" t="str">
        <f>IMAGE("https://5.imimg.com/data5/GU/RT/MY-2970994/bench-clamp.jpg",1)</f>
        <v/>
      </c>
      <c r="D387" s="215" t="s">
        <v>1032</v>
      </c>
      <c r="E387" s="11" t="s">
        <v>347</v>
      </c>
      <c r="F387" s="216">
        <v>1.0</v>
      </c>
      <c r="G387" s="215"/>
      <c r="H387" s="11"/>
    </row>
    <row r="388" ht="45.0" customHeight="1">
      <c r="A388" s="11">
        <v>387.0</v>
      </c>
      <c r="B388" s="93" t="s">
        <v>1051</v>
      </c>
      <c r="C388" s="11" t="str">
        <f>IMAGE("https://images.jdmagicbox.com/quickquotes/images_main/plier-381885296-5n4zf.jpg",1)</f>
        <v/>
      </c>
      <c r="D388" s="215" t="s">
        <v>1032</v>
      </c>
      <c r="E388" s="11" t="s">
        <v>347</v>
      </c>
      <c r="F388" s="216">
        <v>1.0</v>
      </c>
      <c r="G388" s="215"/>
      <c r="H388" s="11"/>
    </row>
    <row r="389" ht="45.0" customHeight="1">
      <c r="A389" s="11">
        <v>388.0</v>
      </c>
      <c r="B389" s="93" t="s">
        <v>1055</v>
      </c>
      <c r="C389" s="11" t="str">
        <f>IMAGE("https://m.media-amazon.com/images/I/613WSFIoSjL._SL1500_.jpg",1)</f>
        <v/>
      </c>
      <c r="D389" s="215" t="s">
        <v>1032</v>
      </c>
      <c r="E389" s="11" t="s">
        <v>347</v>
      </c>
      <c r="F389" s="216">
        <v>1.0</v>
      </c>
      <c r="G389" s="215"/>
      <c r="H389" s="11"/>
    </row>
    <row r="390" ht="45.0" customHeight="1">
      <c r="A390" s="11">
        <v>389.0</v>
      </c>
      <c r="B390" s="93" t="s">
        <v>1059</v>
      </c>
      <c r="C390" s="11" t="str">
        <f>IMAGE("https://in.misumi-ec.com/linked/material/fs/FUJ1/PHOTO/223000817171_001.jpg?$product_main$",1)</f>
        <v/>
      </c>
      <c r="D390" s="215" t="s">
        <v>1032</v>
      </c>
      <c r="E390" s="11" t="s">
        <v>347</v>
      </c>
      <c r="F390" s="216">
        <v>1.0</v>
      </c>
      <c r="G390" s="215"/>
      <c r="H390" s="11"/>
    </row>
    <row r="391" ht="45.0" customHeight="1">
      <c r="A391" s="11">
        <v>390.0</v>
      </c>
      <c r="B391" s="93" t="s">
        <v>1063</v>
      </c>
      <c r="C391" s="11" t="str">
        <f>IMAGE("https://i.ebayimg.com/images/g/QLMAAOSwETxj4~0j/s-l1600.jpg",1)</f>
        <v/>
      </c>
      <c r="D391" s="215" t="s">
        <v>1032</v>
      </c>
      <c r="E391" s="11" t="s">
        <v>347</v>
      </c>
      <c r="F391" s="216">
        <v>2.0</v>
      </c>
      <c r="G391" s="215"/>
      <c r="H391" s="11"/>
    </row>
    <row r="392" ht="45.0" customHeight="1">
      <c r="A392" s="11">
        <v>391.0</v>
      </c>
      <c r="B392" s="93" t="s">
        <v>1067</v>
      </c>
      <c r="C392" s="11" t="str">
        <f>IMAGE("https://res.cloudinary.com/rsc/image/upload/b_rgb:FFFFFF,c_pad,dpr_1.0,f_auto,q_auto,w_700/c_pad,w_700/C1985249-01",1)</f>
        <v/>
      </c>
      <c r="D392" s="215" t="s">
        <v>1032</v>
      </c>
      <c r="E392" s="11" t="s">
        <v>347</v>
      </c>
      <c r="F392" s="216">
        <v>1.0</v>
      </c>
      <c r="G392" s="215"/>
      <c r="H392" s="11"/>
    </row>
    <row r="393" ht="45.0" customHeight="1">
      <c r="A393" s="11">
        <v>392.0</v>
      </c>
      <c r="B393" s="93" t="s">
        <v>1071</v>
      </c>
      <c r="C393" s="11" t="str">
        <f>IMAGE("https://cdn.shopify.com/s/files/1/0064/3412/7939/products/71vpWrfPgFL._SL1000_9c7ae600-0e17-44f0-97b0-7a8fa32a55cc_2048x.jpg?v=1540199513",1)</f>
        <v/>
      </c>
      <c r="D393" s="215" t="s">
        <v>1032</v>
      </c>
      <c r="E393" s="11" t="s">
        <v>347</v>
      </c>
      <c r="F393" s="216">
        <v>10.0</v>
      </c>
      <c r="G393" s="215"/>
      <c r="H393" s="221"/>
      <c r="I393" s="298"/>
    </row>
    <row r="394" ht="45.0" customHeight="1">
      <c r="A394" s="11">
        <v>393.0</v>
      </c>
      <c r="B394" s="93" t="s">
        <v>1075</v>
      </c>
      <c r="C394" s="11" t="str">
        <f>IMAGE("https://cdn.shopify.com/s/files/1/0088/0056/7392/products/71GahpQFYhL._SL1500_1024x.jpg?v=1634034762",1)</f>
        <v/>
      </c>
      <c r="D394" s="215" t="s">
        <v>1032</v>
      </c>
      <c r="E394" s="11" t="s">
        <v>347</v>
      </c>
      <c r="F394" s="216">
        <v>4.0</v>
      </c>
      <c r="G394" s="215"/>
      <c r="H394" s="11"/>
      <c r="I394" s="298"/>
    </row>
    <row r="395" ht="45.0" customHeight="1">
      <c r="A395" s="11">
        <v>394.0</v>
      </c>
      <c r="B395" s="93" t="s">
        <v>1082</v>
      </c>
      <c r="C395" s="12" t="str">
        <f>IMAGE("https://m.media-amazon.com/images/I/41XSpNsGoiL._SL1024_.jpg",1)</f>
        <v/>
      </c>
      <c r="D395" s="215" t="s">
        <v>1032</v>
      </c>
      <c r="E395" s="12" t="s">
        <v>347</v>
      </c>
      <c r="F395" s="216">
        <v>1.0</v>
      </c>
      <c r="G395" s="215"/>
      <c r="H395" s="11"/>
    </row>
    <row r="396" ht="45.0" customHeight="1">
      <c r="A396" s="11">
        <v>395.0</v>
      </c>
      <c r="B396" s="93" t="s">
        <v>1094</v>
      </c>
      <c r="C396" s="12" t="str">
        <f>IMAGE("https://m.media-amazon.com/images/I/41pgJCdOd0L._AC_SX522_.jpg", 1)</f>
        <v/>
      </c>
      <c r="D396" s="215" t="s">
        <v>1032</v>
      </c>
      <c r="E396" s="12" t="s">
        <v>347</v>
      </c>
      <c r="F396" s="216">
        <v>2.0</v>
      </c>
      <c r="G396" s="215"/>
      <c r="H396" s="11"/>
    </row>
    <row r="397" ht="45.0" customHeight="1">
      <c r="A397" s="11">
        <v>396.0</v>
      </c>
      <c r="B397" s="93" t="s">
        <v>1098</v>
      </c>
      <c r="C397" s="12" t="str">
        <f>IMAGE("https://5.imimg.com/data5/UF/DF/MY-45635244/sand-paper-500x500.jpg",1)</f>
        <v/>
      </c>
      <c r="D397" s="215" t="s">
        <v>1032</v>
      </c>
      <c r="E397" s="12" t="s">
        <v>347</v>
      </c>
      <c r="F397" s="216">
        <v>25.0</v>
      </c>
      <c r="G397" s="215"/>
      <c r="H397" s="11"/>
    </row>
    <row r="398" ht="45.0" customHeight="1">
      <c r="A398" s="11">
        <v>397.0</v>
      </c>
      <c r="B398" s="93" t="s">
        <v>1101</v>
      </c>
      <c r="C398" s="89" t="e">
        <v>#VALUE!</v>
      </c>
      <c r="D398" s="215" t="s">
        <v>1032</v>
      </c>
      <c r="E398" s="12" t="s">
        <v>347</v>
      </c>
      <c r="F398" s="281">
        <v>2.0</v>
      </c>
      <c r="G398" s="215"/>
      <c r="H398" s="11"/>
    </row>
    <row r="399" ht="45.0" customHeight="1">
      <c r="A399" s="11">
        <v>398.0</v>
      </c>
      <c r="B399" s="93" t="s">
        <v>1104</v>
      </c>
      <c r="C399" s="89" t="e">
        <v>#VALUE!</v>
      </c>
      <c r="D399" s="215" t="s">
        <v>1032</v>
      </c>
      <c r="E399" s="12" t="s">
        <v>347</v>
      </c>
      <c r="F399" s="281">
        <v>2.0</v>
      </c>
      <c r="G399" s="215"/>
      <c r="H399" s="11"/>
    </row>
    <row r="400" ht="45.0" customHeight="1">
      <c r="A400" s="11">
        <v>399.0</v>
      </c>
      <c r="B400" s="107" t="s">
        <v>1107</v>
      </c>
      <c r="C400" s="89" t="e">
        <v>#VALUE!</v>
      </c>
      <c r="D400" s="215" t="s">
        <v>1032</v>
      </c>
      <c r="E400" s="12" t="s">
        <v>347</v>
      </c>
      <c r="F400" s="281">
        <v>2.0</v>
      </c>
      <c r="G400" s="215"/>
      <c r="H400" s="11"/>
    </row>
    <row r="401" ht="45.0" customHeight="1">
      <c r="A401" s="11">
        <v>400.0</v>
      </c>
      <c r="B401" s="107" t="s">
        <v>1110</v>
      </c>
      <c r="C401" s="262" t="e">
        <v>#VALUE!</v>
      </c>
      <c r="D401" s="215" t="s">
        <v>1032</v>
      </c>
      <c r="E401" s="12" t="s">
        <v>347</v>
      </c>
      <c r="F401" s="281">
        <v>2.0</v>
      </c>
      <c r="G401" s="215"/>
      <c r="H401" s="11"/>
    </row>
    <row r="402" ht="45.0" customHeight="1">
      <c r="A402" s="11">
        <v>401.0</v>
      </c>
      <c r="B402" s="93" t="s">
        <v>1114</v>
      </c>
      <c r="C402" s="262" t="e">
        <v>#VALUE!</v>
      </c>
      <c r="D402" s="215" t="s">
        <v>1032</v>
      </c>
      <c r="E402" s="12" t="s">
        <v>347</v>
      </c>
      <c r="F402" s="281">
        <v>1.0</v>
      </c>
      <c r="G402" s="215"/>
      <c r="H402" s="11"/>
    </row>
    <row r="403" ht="45.0" customHeight="1">
      <c r="A403" s="11">
        <v>402.0</v>
      </c>
      <c r="B403" s="93" t="s">
        <v>1117</v>
      </c>
      <c r="C403" s="262" t="e">
        <v>#VALUE!</v>
      </c>
      <c r="D403" s="215" t="s">
        <v>1032</v>
      </c>
      <c r="E403" s="12" t="s">
        <v>347</v>
      </c>
      <c r="F403" s="281">
        <v>1.0</v>
      </c>
      <c r="G403" s="215"/>
      <c r="H403" s="11"/>
    </row>
    <row r="404" ht="45.0" customHeight="1">
      <c r="A404" s="11">
        <v>403.0</v>
      </c>
      <c r="B404" s="93" t="s">
        <v>1121</v>
      </c>
      <c r="C404" s="12" t="str">
        <f>IMAGE("https://5.imimg.com/data5/DH/NE/PV/SELLER-4135781/6-pc-precision-screwdriver-set-500x500.jpg",1)</f>
        <v/>
      </c>
      <c r="D404" s="215" t="s">
        <v>1032</v>
      </c>
      <c r="E404" s="12" t="s">
        <v>347</v>
      </c>
      <c r="F404" s="216">
        <v>1.0</v>
      </c>
      <c r="G404" s="215"/>
      <c r="H404" s="11"/>
    </row>
    <row r="405" ht="45.0" customHeight="1">
      <c r="A405" s="11">
        <v>404.0</v>
      </c>
      <c r="B405" s="93" t="s">
        <v>1136</v>
      </c>
      <c r="C405" s="12" t="str">
        <f>IMAGE("https://ravimachines.com/wp-content/uploads/2016/07/full_13.jpg",1)</f>
        <v/>
      </c>
      <c r="D405" s="215" t="s">
        <v>1032</v>
      </c>
      <c r="E405" s="12" t="s">
        <v>347</v>
      </c>
      <c r="F405" s="216">
        <v>1.0</v>
      </c>
      <c r="G405" s="215"/>
      <c r="H405" s="11"/>
    </row>
    <row r="406" ht="45.0" customHeight="1">
      <c r="A406" s="11">
        <v>405.0</v>
      </c>
      <c r="B406" s="217" t="s">
        <v>1140</v>
      </c>
      <c r="C406" s="12" t="str">
        <f>IMAGE("https://m.media-amazon.com/images/I/61O+7azby+L.jpg",1)</f>
        <v/>
      </c>
      <c r="D406" s="215" t="s">
        <v>1032</v>
      </c>
      <c r="E406" s="12" t="s">
        <v>347</v>
      </c>
      <c r="F406" s="11">
        <v>10.0</v>
      </c>
      <c r="G406" s="215"/>
      <c r="H406" s="11"/>
    </row>
    <row r="407" ht="45.0" customHeight="1">
      <c r="A407" s="11">
        <v>406.0</v>
      </c>
      <c r="B407" s="93" t="s">
        <v>1144</v>
      </c>
      <c r="C407" s="12" t="str">
        <f>IMAGE("https://5.imimg.com/data5/SELLER/Default/2021/4/UH/ZY/EE/41301440/machine.jpeg",1)</f>
        <v/>
      </c>
      <c r="D407" s="215" t="s">
        <v>1032</v>
      </c>
      <c r="E407" s="12" t="s">
        <v>347</v>
      </c>
      <c r="F407" s="216">
        <v>1.0</v>
      </c>
      <c r="G407" s="215"/>
      <c r="H407" s="11"/>
    </row>
    <row r="408" ht="45.0" customHeight="1">
      <c r="A408" s="11">
        <v>407.0</v>
      </c>
      <c r="B408" s="93" t="s">
        <v>1148</v>
      </c>
      <c r="C408" s="12"/>
      <c r="D408" s="215" t="s">
        <v>1032</v>
      </c>
      <c r="E408" s="12" t="s">
        <v>347</v>
      </c>
      <c r="F408" s="216">
        <v>2.0</v>
      </c>
      <c r="G408" s="215"/>
      <c r="H408" s="11"/>
    </row>
    <row r="409" ht="45.0" customHeight="1">
      <c r="A409" s="11">
        <v>408.0</v>
      </c>
      <c r="B409" s="93" t="s">
        <v>1151</v>
      </c>
      <c r="C409" s="12" t="str">
        <f>IMAGE("https://5.imimg.com/data5/SELLER/Default/2020/10/KC/AV/BY/25174136/150b-cutter-stripper-250x250.jpg",1)</f>
        <v/>
      </c>
      <c r="D409" s="215" t="s">
        <v>1032</v>
      </c>
      <c r="E409" s="12" t="s">
        <v>347</v>
      </c>
      <c r="F409" s="216">
        <v>10.0</v>
      </c>
      <c r="G409" s="215"/>
      <c r="H409" s="11"/>
    </row>
    <row r="410" ht="45.0" customHeight="1">
      <c r="A410" s="11">
        <v>409.0</v>
      </c>
      <c r="B410" s="93" t="s">
        <v>1086</v>
      </c>
      <c r="C410" s="12" t="str">
        <f>IMAGE("https://m.media-amazon.com/images/I/513ZkVzGbdL._AC_.jpg", 1)</f>
        <v/>
      </c>
      <c r="D410" s="215" t="s">
        <v>1032</v>
      </c>
      <c r="E410" s="12" t="s">
        <v>347</v>
      </c>
      <c r="F410" s="216">
        <v>2.0</v>
      </c>
      <c r="G410" s="93"/>
      <c r="H410" s="11"/>
    </row>
    <row r="411" ht="45.0" customHeight="1">
      <c r="A411" s="11">
        <v>410.0</v>
      </c>
      <c r="B411" s="93" t="s">
        <v>1090</v>
      </c>
      <c r="C411" s="12" t="str">
        <f>IMAGE("https://m.media-amazon.com/images/I/41V47za3aNL.jpg",1)</f>
        <v/>
      </c>
      <c r="D411" s="215" t="s">
        <v>1032</v>
      </c>
      <c r="E411" s="12" t="s">
        <v>347</v>
      </c>
      <c r="F411" s="216">
        <v>2.0</v>
      </c>
      <c r="G411" s="93"/>
      <c r="H411" s="11"/>
    </row>
    <row r="412" ht="45.0" customHeight="1">
      <c r="A412" s="11">
        <v>411.0</v>
      </c>
      <c r="B412" s="93" t="s">
        <v>1325</v>
      </c>
      <c r="C412" s="12" t="e">
        <v>#VALUE!</v>
      </c>
      <c r="D412" s="215" t="s">
        <v>1250</v>
      </c>
      <c r="E412" s="12" t="s">
        <v>347</v>
      </c>
      <c r="F412" s="216">
        <v>1.0</v>
      </c>
      <c r="G412" s="93"/>
      <c r="H412" s="11"/>
    </row>
    <row r="413" ht="45.0" customHeight="1">
      <c r="A413" s="11">
        <v>412.0</v>
      </c>
      <c r="B413" s="93" t="s">
        <v>1350</v>
      </c>
      <c r="C413" s="12" t="str">
        <f>IMAGE("https://5.imimg.com/data5/SELLER/Default/2023/1/CR/QN/CU/119456209/b22-cap-punching-tool-1000x1000.jpg",1)</f>
        <v/>
      </c>
      <c r="D413" s="215" t="s">
        <v>1330</v>
      </c>
      <c r="E413" s="11" t="s">
        <v>347</v>
      </c>
      <c r="F413" s="11">
        <v>1.0</v>
      </c>
      <c r="G413" s="93"/>
      <c r="H413" s="11"/>
    </row>
    <row r="414" ht="45.0" customHeight="1">
      <c r="A414" s="11">
        <v>413.0</v>
      </c>
      <c r="B414" s="93" t="s">
        <v>1354</v>
      </c>
      <c r="C414" s="12" t="str">
        <f>IMAGE("https://m.media-amazon.com/images/I/31xTdt3sfiL.jpg",1)</f>
        <v/>
      </c>
      <c r="D414" s="215" t="s">
        <v>1330</v>
      </c>
      <c r="E414" s="12" t="s">
        <v>347</v>
      </c>
      <c r="F414" s="11">
        <v>1.0</v>
      </c>
      <c r="G414" s="93"/>
      <c r="H414" s="11"/>
    </row>
    <row r="415" ht="45.0" customHeight="1">
      <c r="A415" s="11">
        <v>414.0</v>
      </c>
      <c r="B415" s="93" t="s">
        <v>1399</v>
      </c>
      <c r="C415" s="12" t="str">
        <f>IMAGE("https://m.media-amazon.com/images/I/41giw5t2ycL.jpg",1)</f>
        <v/>
      </c>
      <c r="D415" s="215" t="s">
        <v>1400</v>
      </c>
      <c r="E415" s="12" t="s">
        <v>347</v>
      </c>
      <c r="F415" s="11">
        <v>1.0</v>
      </c>
      <c r="G415" s="93"/>
      <c r="H415" s="11"/>
    </row>
    <row r="416" ht="45.0" customHeight="1">
      <c r="A416" s="11">
        <v>415.0</v>
      </c>
      <c r="B416" s="93" t="s">
        <v>1404</v>
      </c>
      <c r="C416" s="12" t="str">
        <f>IMAGE("https://m.media-amazon.com/images/I/71vAZkeQh9L._SL1500_.jpg",1)</f>
        <v/>
      </c>
      <c r="D416" s="215" t="s">
        <v>1400</v>
      </c>
      <c r="E416" s="12" t="s">
        <v>347</v>
      </c>
      <c r="F416" s="11">
        <v>1.0</v>
      </c>
      <c r="G416" s="93"/>
      <c r="H416" s="11"/>
    </row>
    <row r="417" ht="45.0" customHeight="1">
      <c r="A417" s="11">
        <v>416.0</v>
      </c>
      <c r="B417" s="93" t="s">
        <v>1412</v>
      </c>
      <c r="C417" s="12" t="str">
        <f>IMAGE("https://m.media-amazon.com/images/I/61saUYFEn9L._SL1500_.jpg",1)</f>
        <v/>
      </c>
      <c r="D417" s="215" t="s">
        <v>1400</v>
      </c>
      <c r="E417" s="12" t="s">
        <v>347</v>
      </c>
      <c r="F417" s="11">
        <v>5.0</v>
      </c>
      <c r="G417" s="93"/>
      <c r="H417" s="11"/>
    </row>
    <row r="418" ht="45.0" customHeight="1">
      <c r="A418" s="11">
        <v>417.0</v>
      </c>
      <c r="B418" s="93" t="s">
        <v>1416</v>
      </c>
      <c r="C418" s="12" t="str">
        <f>IMAGE("https://m.media-amazon.com/images/I/61zRix8Lt0L._SL1500_.jpg",1)</f>
        <v/>
      </c>
      <c r="D418" s="215" t="s">
        <v>1400</v>
      </c>
      <c r="E418" s="12" t="s">
        <v>347</v>
      </c>
      <c r="F418" s="11">
        <v>1.0</v>
      </c>
      <c r="G418" s="93"/>
      <c r="H418" s="11"/>
    </row>
    <row r="419" ht="45.0" customHeight="1">
      <c r="A419" s="11">
        <v>418.0</v>
      </c>
      <c r="B419" s="93" t="s">
        <v>1611</v>
      </c>
      <c r="C419" s="12" t="str">
        <f>IMAGE("https://delhi6online.in/cdn/shop/products/S1_800x.jpg?v=1545883083.jpg",1)</f>
        <v/>
      </c>
      <c r="D419" s="215" t="s">
        <v>1601</v>
      </c>
      <c r="E419" s="12" t="s">
        <v>347</v>
      </c>
      <c r="F419" s="11">
        <v>5.0</v>
      </c>
      <c r="G419" s="93"/>
      <c r="H419" s="11"/>
    </row>
    <row r="420" ht="45.0" customHeight="1">
      <c r="A420" s="11">
        <v>419.0</v>
      </c>
      <c r="B420" s="93" t="s">
        <v>1615</v>
      </c>
      <c r="C420" s="12" t="str">
        <f>IMAGE("https://4.imimg.com/data4/JF/WX/MY-2704359/thread-cutter-1000x1000.jpg",1)</f>
        <v/>
      </c>
      <c r="D420" s="215" t="s">
        <v>1601</v>
      </c>
      <c r="E420" s="12" t="s">
        <v>347</v>
      </c>
      <c r="F420" s="11">
        <v>5.0</v>
      </c>
      <c r="G420" s="93"/>
      <c r="H420" s="11"/>
    </row>
  </sheetData>
  <autoFilter ref="$A$1:$H$394">
    <sortState ref="A1:H394">
      <sortCondition ref="D1:D394"/>
      <sortCondition ref="A1:A394"/>
      <sortCondition ref="H1:H394"/>
    </sortState>
  </autoFilter>
  <conditionalFormatting sqref="B2 D2">
    <cfRule type="containsBlanks" dxfId="0" priority="1">
      <formula>LEN(TRIM(B2))=0</formula>
    </cfRule>
  </conditionalFormatting>
  <conditionalFormatting sqref="H1:H420">
    <cfRule type="cellIs" dxfId="3" priority="2" operator="equal">
      <formula>1</formula>
    </cfRule>
  </conditionalFormatting>
  <conditionalFormatting sqref="H1:H420">
    <cfRule type="cellIs" dxfId="8" priority="3" operator="equal">
      <formula>2</formula>
    </cfRule>
  </conditionalFormatting>
  <conditionalFormatting sqref="H1:H420">
    <cfRule type="cellIs" dxfId="9" priority="4" operator="equal">
      <formula>3</formula>
    </cfRule>
  </conditionalFormatting>
  <conditionalFormatting sqref="H1:H420">
    <cfRule type="cellIs" dxfId="5" priority="5" operator="equal">
      <formula>4</formula>
    </cfRule>
  </conditionalFormatting>
  <conditionalFormatting sqref="H1:H420">
    <cfRule type="notContainsBlanks" dxfId="10" priority="6">
      <formula>LEN(TRIM(H1))&gt;0</formula>
    </cfRule>
  </conditionalFormatting>
  <dataValidations>
    <dataValidation type="list" allowBlank="1" showErrorMessage="1" sqref="E1:E54 E56:E420">
      <formula1>Sheet1!$C$1:$C$8</formula1>
    </dataValidation>
    <dataValidation type="list" allowBlank="1" showErrorMessage="1" sqref="G13:G16 G23:G25 G28 G44 G52:G54 G123:G128 G140 G142 G144 G205 G238 G243:G252 G276:G294 G298:G301 G303:G304 G343:G345 G353:G355 G412 G415:G416 D1:D420 G419:G420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50.71"/>
    <col customWidth="1" min="3" max="3" width="20.86"/>
    <col customWidth="1" min="4" max="4" width="21.71"/>
    <col customWidth="1" min="5" max="5" width="25.14"/>
    <col customWidth="1" min="6" max="6" width="14.29"/>
    <col customWidth="1" min="7" max="7" width="23.57"/>
    <col customWidth="1" min="8" max="8" width="37.14"/>
    <col hidden="1" min="9" max="9" width="14.43"/>
  </cols>
  <sheetData>
    <row r="1" ht="45.0" customHeight="1">
      <c r="A1" s="210" t="s">
        <v>0</v>
      </c>
      <c r="B1" s="211" t="s">
        <v>2</v>
      </c>
      <c r="C1" s="213" t="s">
        <v>13</v>
      </c>
      <c r="D1" s="210" t="s">
        <v>3</v>
      </c>
      <c r="E1" s="210" t="s">
        <v>8</v>
      </c>
      <c r="F1" s="210" t="s">
        <v>2004</v>
      </c>
      <c r="G1" s="300" t="s">
        <v>2196</v>
      </c>
      <c r="H1" s="214"/>
    </row>
    <row r="2" ht="44.25" customHeight="1">
      <c r="A2" s="11">
        <v>1.0</v>
      </c>
      <c r="B2" s="93" t="s">
        <v>18</v>
      </c>
      <c r="C2" s="11" t="str">
        <f>IMAGE("https://m.media-amazon.com/images/I/61ZBVWoGgCL._SL1500_.jpg",1)</f>
        <v/>
      </c>
      <c r="D2" s="215" t="s">
        <v>19</v>
      </c>
      <c r="E2" s="11" t="s">
        <v>20</v>
      </c>
      <c r="F2" s="216">
        <v>6.0</v>
      </c>
      <c r="G2" s="93"/>
      <c r="H2" s="11"/>
    </row>
    <row r="3" ht="45.0" customHeight="1">
      <c r="A3" s="11">
        <v>2.0</v>
      </c>
      <c r="B3" s="93" t="s">
        <v>27</v>
      </c>
      <c r="C3" s="11" t="str">
        <f>IMAGE("https://5.imimg.com/data5/BN/FC/MY-25588345/omega-cell-tape-dispenser-500x500.jpg",1)</f>
        <v/>
      </c>
      <c r="D3" s="215" t="s">
        <v>19</v>
      </c>
      <c r="E3" s="11" t="s">
        <v>20</v>
      </c>
      <c r="F3" s="216">
        <v>2.0</v>
      </c>
      <c r="G3" s="93"/>
      <c r="H3" s="11"/>
    </row>
    <row r="4" ht="45.0" customHeight="1">
      <c r="A4" s="11">
        <v>3.0</v>
      </c>
      <c r="B4" s="93" t="s">
        <v>31</v>
      </c>
      <c r="C4" s="11" t="str">
        <f>IMAGE("https://m.media-amazon.com/images/I/21wXjA1iP5L.jpg",1)</f>
        <v/>
      </c>
      <c r="D4" s="215" t="s">
        <v>19</v>
      </c>
      <c r="E4" s="11" t="s">
        <v>20</v>
      </c>
      <c r="F4" s="216">
        <v>6.0</v>
      </c>
      <c r="G4" s="93"/>
      <c r="H4" s="11"/>
    </row>
    <row r="5" ht="45.0" customHeight="1">
      <c r="A5" s="11">
        <v>4.0</v>
      </c>
      <c r="B5" s="93" t="s">
        <v>35</v>
      </c>
      <c r="C5" s="11" t="str">
        <f>IMAGE("https://5.imimg.com/data5/YG/CD/MY-4112616/transparent-tape-500x500.jpg",1)</f>
        <v/>
      </c>
      <c r="D5" s="215" t="s">
        <v>19</v>
      </c>
      <c r="E5" s="11" t="s">
        <v>20</v>
      </c>
      <c r="F5" s="216">
        <v>6.0</v>
      </c>
      <c r="G5" s="93"/>
      <c r="H5" s="11"/>
    </row>
    <row r="6" ht="45.0" customHeight="1">
      <c r="A6" s="11">
        <v>5.0</v>
      </c>
      <c r="B6" s="93" t="s">
        <v>1886</v>
      </c>
      <c r="C6" s="11" t="str">
        <f>IMAGE("https://m.media-amazon.com/images/I/61JiUrBk2-L._SL1082_.jpg",1)</f>
        <v/>
      </c>
      <c r="D6" s="215" t="s">
        <v>19</v>
      </c>
      <c r="E6" s="11" t="s">
        <v>20</v>
      </c>
      <c r="F6" s="216">
        <v>6.0</v>
      </c>
      <c r="G6" s="93"/>
      <c r="H6" s="11"/>
    </row>
    <row r="7" ht="45.0" customHeight="1">
      <c r="A7" s="11">
        <v>6.0</v>
      </c>
      <c r="B7" s="93" t="s">
        <v>42</v>
      </c>
      <c r="C7" s="11" t="str">
        <f>IMAGE("https://m.media-amazon.com/images/I/51JAsOuirxL._SL1000_.jpg",1)</f>
        <v/>
      </c>
      <c r="D7" s="215" t="s">
        <v>19</v>
      </c>
      <c r="E7" s="11" t="s">
        <v>20</v>
      </c>
      <c r="F7" s="216">
        <v>6.0</v>
      </c>
      <c r="G7" s="93"/>
      <c r="H7" s="11"/>
    </row>
    <row r="8" ht="45.0" customHeight="1">
      <c r="A8" s="11">
        <v>7.0</v>
      </c>
      <c r="B8" s="93" t="s">
        <v>46</v>
      </c>
      <c r="C8" s="11" t="str">
        <f>IMAGE("https://m.media-amazon.com/images/I/81zdeTxqkLL._SL1500_.jpg",1)</f>
        <v/>
      </c>
      <c r="D8" s="215" t="s">
        <v>19</v>
      </c>
      <c r="E8" s="11" t="s">
        <v>20</v>
      </c>
      <c r="F8" s="11">
        <v>10.0</v>
      </c>
      <c r="G8" s="93"/>
      <c r="H8" s="11"/>
    </row>
    <row r="9" ht="45.0" customHeight="1">
      <c r="A9" s="11">
        <v>8.0</v>
      </c>
      <c r="B9" s="93" t="s">
        <v>51</v>
      </c>
      <c r="C9" s="11" t="str">
        <f>IMAGE("https://megahardwarett.com/wp-content/uploads/2022/03/71TQZaRi6yL._AC_SX425_.jpg",1)</f>
        <v/>
      </c>
      <c r="D9" s="215" t="s">
        <v>19</v>
      </c>
      <c r="E9" s="11" t="s">
        <v>20</v>
      </c>
      <c r="F9" s="216">
        <v>5.0</v>
      </c>
      <c r="G9" s="93"/>
      <c r="H9" s="11"/>
    </row>
    <row r="10" ht="45.0" customHeight="1">
      <c r="A10" s="11">
        <v>9.0</v>
      </c>
      <c r="B10" s="93" t="s">
        <v>1887</v>
      </c>
      <c r="C10" s="11" t="str">
        <f>IMAGE("https://m.media-amazon.com/images/I/51xkFZnkVFL._SX466_.jpg",1)</f>
        <v/>
      </c>
      <c r="D10" s="215" t="s">
        <v>19</v>
      </c>
      <c r="E10" s="11" t="s">
        <v>20</v>
      </c>
      <c r="F10" s="216">
        <v>10.0</v>
      </c>
      <c r="G10" s="93"/>
      <c r="H10" s="11"/>
    </row>
    <row r="11" ht="45.0" customHeight="1">
      <c r="A11" s="11">
        <v>10.0</v>
      </c>
      <c r="B11" s="93" t="s">
        <v>1888</v>
      </c>
      <c r="C11" s="11" t="str">
        <f>IMAGE("https://5.imimg.com/data5/LJ/PW/MY-3849711/loctite-401-super-glue-500x500.jpg",1)</f>
        <v/>
      </c>
      <c r="D11" s="215" t="s">
        <v>19</v>
      </c>
      <c r="E11" s="11" t="s">
        <v>20</v>
      </c>
      <c r="F11" s="216">
        <v>10.0</v>
      </c>
      <c r="G11" s="93"/>
      <c r="H11" s="11"/>
    </row>
    <row r="12" ht="45.0" customHeight="1">
      <c r="A12" s="11">
        <v>11.0</v>
      </c>
      <c r="B12" s="93" t="s">
        <v>1891</v>
      </c>
      <c r="C12" s="11" t="str">
        <f>IMAGE("https://m.media-amazon.com/images/W/MEDIAX_792452-T2/images/I/611Q9E31rML._SL1500_.jpg",1)</f>
        <v/>
      </c>
      <c r="D12" s="215" t="s">
        <v>64</v>
      </c>
      <c r="E12" s="11" t="s">
        <v>20</v>
      </c>
      <c r="F12" s="11">
        <v>10.0</v>
      </c>
      <c r="G12" s="93"/>
      <c r="H12" s="11"/>
    </row>
    <row r="13" ht="45.0" customHeight="1">
      <c r="A13" s="11">
        <v>12.0</v>
      </c>
      <c r="B13" s="93" t="s">
        <v>71</v>
      </c>
      <c r="C13" s="11" t="str">
        <f>IMAGE("https://helloaugust.in/wp-content/uploads/2020/04/dark-colour-chart-paper-full-size-300x300.jpg",1)</f>
        <v/>
      </c>
      <c r="D13" s="215" t="s">
        <v>64</v>
      </c>
      <c r="E13" s="11" t="s">
        <v>20</v>
      </c>
      <c r="F13" s="216">
        <v>25.0</v>
      </c>
      <c r="G13" s="93"/>
      <c r="H13" s="11"/>
    </row>
    <row r="14" ht="45.0" customHeight="1">
      <c r="A14" s="11">
        <v>13.0</v>
      </c>
      <c r="B14" s="93" t="s">
        <v>352</v>
      </c>
      <c r="C14" s="11" t="str">
        <f>IMAGE("https://4.imimg.com/data4/TN/NP/MY-32886991/a4-colour-paper-500x500.jpg",1)</f>
        <v/>
      </c>
      <c r="D14" s="215" t="s">
        <v>64</v>
      </c>
      <c r="E14" s="11" t="s">
        <v>20</v>
      </c>
      <c r="F14" s="216">
        <v>5.0</v>
      </c>
      <c r="G14" s="93"/>
      <c r="H14" s="11"/>
    </row>
    <row r="15" ht="45.0" customHeight="1">
      <c r="A15" s="11">
        <v>14.0</v>
      </c>
      <c r="B15" s="93" t="s">
        <v>1893</v>
      </c>
      <c r="C15" s="11" t="str">
        <f>IMAGE("https://www.htconline.in/images/thumbs/0019821_camlin-drawing-pencils-set-of-6.jpeg",1)</f>
        <v/>
      </c>
      <c r="D15" s="215" t="s">
        <v>64</v>
      </c>
      <c r="E15" s="11" t="s">
        <v>20</v>
      </c>
      <c r="F15" s="216">
        <v>5.0</v>
      </c>
      <c r="G15" s="93"/>
      <c r="H15" s="11"/>
    </row>
    <row r="16" ht="45.0" customHeight="1">
      <c r="A16" s="11">
        <v>15.0</v>
      </c>
      <c r="B16" s="93" t="s">
        <v>91</v>
      </c>
      <c r="C16" s="11" t="str">
        <f>IMAGE("https://upload.wikimedia.org/wikipedia/commons/e/e8/Office-pink-erasers.jpg",1)</f>
        <v/>
      </c>
      <c r="D16" s="215" t="s">
        <v>64</v>
      </c>
      <c r="E16" s="11" t="s">
        <v>20</v>
      </c>
      <c r="F16" s="216">
        <v>20.0</v>
      </c>
      <c r="G16" s="93"/>
      <c r="H16" s="11"/>
    </row>
    <row r="17" ht="45.0" customHeight="1">
      <c r="A17" s="11">
        <v>16.0</v>
      </c>
      <c r="B17" s="93" t="s">
        <v>95</v>
      </c>
      <c r="C17" s="11" t="str">
        <f>IMAGE("https://cdn.shopify.com/s/files/1/0064/3412/7939/products/Main-2_2baab3ae-c700-4dd7-acd2-e9442aee0358_2048x.jpg?v=1669799264",1)</f>
        <v/>
      </c>
      <c r="D17" s="215" t="s">
        <v>64</v>
      </c>
      <c r="E17" s="11" t="s">
        <v>20</v>
      </c>
      <c r="F17" s="216">
        <v>10.0</v>
      </c>
      <c r="G17" s="93"/>
      <c r="H17" s="11"/>
    </row>
    <row r="18" ht="45.0" customHeight="1">
      <c r="A18" s="11">
        <v>17.0</v>
      </c>
      <c r="B18" s="93" t="s">
        <v>1894</v>
      </c>
      <c r="C18" s="11" t="e">
        <v>#VALUE!</v>
      </c>
      <c r="D18" s="215" t="s">
        <v>64</v>
      </c>
      <c r="E18" s="11" t="s">
        <v>20</v>
      </c>
      <c r="F18" s="216">
        <v>10.0</v>
      </c>
      <c r="G18" s="93"/>
      <c r="H18" s="11"/>
    </row>
    <row r="19" ht="45.0" customHeight="1">
      <c r="A19" s="11">
        <v>18.0</v>
      </c>
      <c r="B19" s="93" t="s">
        <v>1896</v>
      </c>
      <c r="C19" s="11" t="str">
        <f>IMAGE("https://i5.walmartimages.com/asr/093150f9-deec-44c1-a07d-a6985f3f45c7.dad44d94862d81eed55b6d8aef2937c1.jpeg?odnHeight=612&amp;odnWidth=612&amp;odnBg=FFFFFF",1)</f>
        <v/>
      </c>
      <c r="D19" s="215" t="s">
        <v>64</v>
      </c>
      <c r="E19" s="11" t="s">
        <v>20</v>
      </c>
      <c r="F19" s="216">
        <v>1.0</v>
      </c>
      <c r="G19" s="93"/>
      <c r="H19" s="11"/>
    </row>
    <row r="20" ht="45.0" customHeight="1">
      <c r="A20" s="11">
        <v>19.0</v>
      </c>
      <c r="B20" s="93" t="s">
        <v>115</v>
      </c>
      <c r="C20" s="11" t="str">
        <f>IMAGE("https://m.media-amazon.com/images/I/81XeaSXczEL._SL1500_.jpg",1)</f>
        <v/>
      </c>
      <c r="D20" s="215" t="s">
        <v>64</v>
      </c>
      <c r="E20" s="11" t="s">
        <v>20</v>
      </c>
      <c r="F20" s="216">
        <v>10.0</v>
      </c>
      <c r="G20" s="93"/>
      <c r="H20" s="11"/>
    </row>
    <row r="21" ht="45.0" customHeight="1">
      <c r="A21" s="11">
        <v>20.0</v>
      </c>
      <c r="B21" s="93" t="s">
        <v>127</v>
      </c>
      <c r="C21" s="11" t="e">
        <v>#VALUE!</v>
      </c>
      <c r="D21" s="215" t="s">
        <v>64</v>
      </c>
      <c r="E21" s="11" t="s">
        <v>20</v>
      </c>
      <c r="F21" s="216">
        <v>5.0</v>
      </c>
      <c r="G21" s="93"/>
      <c r="H21" s="11"/>
    </row>
    <row r="22" ht="45.0" customHeight="1">
      <c r="A22" s="11">
        <v>21.0</v>
      </c>
      <c r="B22" s="93" t="s">
        <v>1889</v>
      </c>
      <c r="C22" s="11" t="str">
        <f>IMAGE("https://5.imimg.com/data5/SELLER/Default/2020/9/EF/FR/SW/13763930/fevicryte-acrylic-colors-500x500.jpg",1)</f>
        <v/>
      </c>
      <c r="D22" s="215" t="s">
        <v>64</v>
      </c>
      <c r="E22" s="11" t="s">
        <v>20</v>
      </c>
      <c r="F22" s="216">
        <v>60.0</v>
      </c>
      <c r="G22" s="93"/>
      <c r="H22" s="11"/>
    </row>
    <row r="23" ht="45.0" customHeight="1">
      <c r="A23" s="11">
        <v>22.0</v>
      </c>
      <c r="B23" s="93" t="s">
        <v>101</v>
      </c>
      <c r="C23" s="11" t="str">
        <f>IMAGE("https://i5.walmartimages.com/asr/2f51619b-ee1e-4e7f-9717-927459ae38b6.1308a61cc28d473c3122e46595affb79.jpeg",1)</f>
        <v/>
      </c>
      <c r="D23" s="215" t="s">
        <v>64</v>
      </c>
      <c r="E23" s="11" t="s">
        <v>20</v>
      </c>
      <c r="F23" s="216">
        <v>10.0</v>
      </c>
      <c r="G23" s="93"/>
      <c r="H23" s="11"/>
    </row>
    <row r="24" ht="45.0" customHeight="1">
      <c r="A24" s="11">
        <v>23.0</v>
      </c>
      <c r="B24" s="93" t="s">
        <v>105</v>
      </c>
      <c r="C24" s="11" t="str">
        <f>IMAGE("https://c8.alamy.com/comp/R7TP32/paint-palette-with-various-acrylic-paints-and-a-brush-R7TP32.jpg",1)</f>
        <v/>
      </c>
      <c r="D24" s="215" t="s">
        <v>64</v>
      </c>
      <c r="E24" s="11" t="s">
        <v>20</v>
      </c>
      <c r="F24" s="216">
        <v>5.0</v>
      </c>
      <c r="G24" s="93"/>
      <c r="H24" s="11"/>
    </row>
    <row r="25" ht="45.0" customHeight="1">
      <c r="A25" s="11">
        <v>24.0</v>
      </c>
      <c r="B25" s="93" t="s">
        <v>135</v>
      </c>
      <c r="C25" s="11" t="str">
        <f>IMAGE("https://m.media-amazon.com/images/I/717edTeWYZL._SL1500_.jpg",1)</f>
        <v/>
      </c>
      <c r="D25" s="215" t="s">
        <v>64</v>
      </c>
      <c r="E25" s="11" t="s">
        <v>20</v>
      </c>
      <c r="F25" s="216">
        <v>10.0</v>
      </c>
      <c r="G25" s="93"/>
      <c r="H25" s="11"/>
    </row>
    <row r="26" ht="45.0" customHeight="1">
      <c r="A26" s="11">
        <v>25.0</v>
      </c>
      <c r="B26" s="93" t="s">
        <v>1897</v>
      </c>
      <c r="C26" s="11" t="str">
        <f>IMAGE("https://www.faithfulltools.com/images/xxlarge/FAIRULE150SS.jpg",1)</f>
        <v/>
      </c>
      <c r="D26" s="215" t="s">
        <v>64</v>
      </c>
      <c r="E26" s="11" t="s">
        <v>20</v>
      </c>
      <c r="F26" s="216">
        <v>10.0</v>
      </c>
      <c r="G26" s="93"/>
      <c r="H26" s="11"/>
    </row>
    <row r="27" ht="45.0" customHeight="1">
      <c r="A27" s="11">
        <v>26.0</v>
      </c>
      <c r="B27" s="93" t="s">
        <v>131</v>
      </c>
      <c r="C27" s="11" t="str">
        <f>IMAGE("https://5.imimg.com/data5/AO/GN/AU/SELLER-10873750/floppy-disk-1000x1000.jpg",1)</f>
        <v/>
      </c>
      <c r="D27" s="215" t="s">
        <v>64</v>
      </c>
      <c r="E27" s="11" t="s">
        <v>20</v>
      </c>
      <c r="F27" s="216">
        <v>10.0</v>
      </c>
      <c r="G27" s="93"/>
      <c r="H27" s="11"/>
    </row>
    <row r="28" ht="45.0" customHeight="1">
      <c r="A28" s="11">
        <v>27.0</v>
      </c>
      <c r="B28" s="93" t="s">
        <v>123</v>
      </c>
      <c r="C28" s="11" t="str">
        <f>IMAGE("https://images.meesho.com/images/products/60299132/dranx_512.jpg",1)</f>
        <v/>
      </c>
      <c r="D28" s="215" t="s">
        <v>64</v>
      </c>
      <c r="E28" s="11" t="s">
        <v>20</v>
      </c>
      <c r="F28" s="216">
        <v>10.0</v>
      </c>
      <c r="G28" s="93"/>
      <c r="H28" s="11"/>
    </row>
    <row r="29" ht="45.0" customHeight="1">
      <c r="A29" s="11">
        <v>28.0</v>
      </c>
      <c r="B29" s="260" t="s">
        <v>2001</v>
      </c>
      <c r="C29" s="11"/>
      <c r="D29" s="269" t="s">
        <v>346</v>
      </c>
      <c r="E29" s="221" t="s">
        <v>20</v>
      </c>
      <c r="F29" s="216">
        <v>5.0</v>
      </c>
      <c r="G29" s="93"/>
      <c r="H29" s="11"/>
    </row>
    <row r="30" ht="45.0" customHeight="1">
      <c r="A30" s="11">
        <v>29.0</v>
      </c>
      <c r="B30" s="93" t="s">
        <v>1008</v>
      </c>
      <c r="C30" s="11" t="str">
        <f>IMAGE("https://5.imimg.com/data5/KE/BV/MY-37063415/elastic-rubber-band-500x500.jpg",1)</f>
        <v/>
      </c>
      <c r="D30" s="215" t="s">
        <v>981</v>
      </c>
      <c r="E30" s="11" t="s">
        <v>20</v>
      </c>
      <c r="F30" s="216">
        <v>1.0</v>
      </c>
      <c r="G30" s="93"/>
      <c r="H30" s="11"/>
    </row>
    <row r="31" ht="45.0" customHeight="1">
      <c r="A31" s="11">
        <v>30.0</v>
      </c>
      <c r="B31" s="93" t="s">
        <v>1012</v>
      </c>
      <c r="C31" s="11" t="str">
        <f>IMAGE("https://5.imimg.com/data5/BN/VV/MY-31202642/rubber-band-500x500.jpg",1)</f>
        <v/>
      </c>
      <c r="D31" s="215" t="s">
        <v>981</v>
      </c>
      <c r="E31" s="11" t="s">
        <v>20</v>
      </c>
      <c r="F31" s="216">
        <v>1.0</v>
      </c>
      <c r="G31" s="93"/>
      <c r="H31" s="11"/>
    </row>
    <row r="32" ht="45.0" customHeight="1">
      <c r="A32" s="11">
        <v>31.0</v>
      </c>
      <c r="B32" s="93" t="s">
        <v>1016</v>
      </c>
      <c r="C32" s="11" t="str">
        <f>IMAGE("https://5.imimg.com/data5/YV/DJ/MY-7514996/rubber-band-500x500.jpg",1)</f>
        <v/>
      </c>
      <c r="D32" s="215" t="s">
        <v>981</v>
      </c>
      <c r="E32" s="11" t="s">
        <v>20</v>
      </c>
      <c r="F32" s="216">
        <v>1.0</v>
      </c>
      <c r="G32" s="93"/>
      <c r="H32" s="11"/>
    </row>
    <row r="33" ht="45.0" customHeight="1">
      <c r="A33" s="11">
        <v>32.0</v>
      </c>
      <c r="B33" s="93" t="s">
        <v>980</v>
      </c>
      <c r="C33" s="11" t="str">
        <f t="shared" ref="C33:C35" si="1">IMAGE("https://encrypted-tbn0.gstatic.com/=IMAGEs?q=tbn:ANd9GcSdcvov5296EXdnf0Fj0qF-G6iK-nu0n6Z4THAWosUzBx_wQ7GuJyrL0Rnbt1uBxLroiao&amp;usqp=CAU",1)</f>
        <v/>
      </c>
      <c r="D33" s="215" t="s">
        <v>981</v>
      </c>
      <c r="E33" s="11" t="s">
        <v>20</v>
      </c>
      <c r="F33" s="216">
        <v>5.0</v>
      </c>
      <c r="G33" s="215"/>
      <c r="H33" s="11"/>
    </row>
    <row r="34" ht="45.0" customHeight="1">
      <c r="A34" s="11">
        <v>33.0</v>
      </c>
      <c r="B34" s="93" t="s">
        <v>985</v>
      </c>
      <c r="C34" s="11" t="str">
        <f t="shared" si="1"/>
        <v/>
      </c>
      <c r="D34" s="215" t="s">
        <v>981</v>
      </c>
      <c r="E34" s="11" t="s">
        <v>20</v>
      </c>
      <c r="F34" s="216">
        <v>5.0</v>
      </c>
      <c r="G34" s="215"/>
      <c r="H34" s="11"/>
    </row>
    <row r="35" ht="45.0" customHeight="1">
      <c r="A35" s="11">
        <v>34.0</v>
      </c>
      <c r="B35" s="93" t="s">
        <v>989</v>
      </c>
      <c r="C35" s="11" t="str">
        <f t="shared" si="1"/>
        <v/>
      </c>
      <c r="D35" s="215" t="s">
        <v>981</v>
      </c>
      <c r="E35" s="11" t="s">
        <v>20</v>
      </c>
      <c r="F35" s="216">
        <v>2.0</v>
      </c>
      <c r="G35" s="93"/>
      <c r="H35" s="11"/>
    </row>
    <row r="36" ht="45.0" customHeight="1">
      <c r="A36" s="11">
        <v>35.0</v>
      </c>
      <c r="B36" s="93" t="s">
        <v>993</v>
      </c>
      <c r="C36" s="11" t="str">
        <f t="shared" ref="C36:C38" si="2">IMAGE("https://encrypted-tbn0.gstatic.com/=IMAGEs?q=tbn:ANd9GcTv3YU2gmM00qoI79XpKhq-dV1wM5aPXrLsmrVwQWwEda0tuTarN0ncQ0DMg_JUYk4IBe4&amp;usqp=CAU",1)</f>
        <v/>
      </c>
      <c r="D36" s="215" t="s">
        <v>981</v>
      </c>
      <c r="E36" s="11" t="s">
        <v>20</v>
      </c>
      <c r="F36" s="216">
        <v>5.0</v>
      </c>
      <c r="G36" s="215"/>
      <c r="H36" s="11"/>
    </row>
    <row r="37" ht="45.0" customHeight="1">
      <c r="A37" s="11">
        <v>36.0</v>
      </c>
      <c r="B37" s="93" t="s">
        <v>997</v>
      </c>
      <c r="C37" s="11" t="str">
        <f t="shared" si="2"/>
        <v/>
      </c>
      <c r="D37" s="215" t="s">
        <v>981</v>
      </c>
      <c r="E37" s="11" t="s">
        <v>20</v>
      </c>
      <c r="F37" s="216">
        <v>5.0</v>
      </c>
      <c r="G37" s="215"/>
      <c r="H37" s="11"/>
    </row>
    <row r="38" ht="45.0" customHeight="1">
      <c r="A38" s="11">
        <v>37.0</v>
      </c>
      <c r="B38" s="93" t="s">
        <v>1000</v>
      </c>
      <c r="C38" s="11" t="str">
        <f t="shared" si="2"/>
        <v/>
      </c>
      <c r="D38" s="215" t="s">
        <v>981</v>
      </c>
      <c r="E38" s="11" t="s">
        <v>20</v>
      </c>
      <c r="F38" s="216">
        <v>5.0</v>
      </c>
      <c r="G38" s="215"/>
      <c r="H38" s="11"/>
    </row>
    <row r="39" ht="45.0" customHeight="1">
      <c r="A39" s="11">
        <v>38.0</v>
      </c>
      <c r="B39" s="93" t="s">
        <v>1004</v>
      </c>
      <c r="C39" s="11" t="str">
        <f>IMAGE("https://3.imimg.com/data3/QQ/JR/MY-2/plastic-twine-500x500.jpg",1)</f>
        <v/>
      </c>
      <c r="D39" s="215" t="s">
        <v>981</v>
      </c>
      <c r="E39" s="11" t="s">
        <v>20</v>
      </c>
      <c r="F39" s="216">
        <v>1.0</v>
      </c>
      <c r="G39" s="215"/>
      <c r="H39" s="11"/>
    </row>
    <row r="40" ht="45.0" customHeight="1">
      <c r="A40" s="11">
        <v>39.0</v>
      </c>
      <c r="B40" s="93" t="s">
        <v>1019</v>
      </c>
      <c r="C40" s="11" t="str">
        <f>IMAGE("https://m.media-amazon.com/images/I/51XnX9DfiFL._SL1166_.jpg",1)</f>
        <v/>
      </c>
      <c r="D40" s="215" t="s">
        <v>981</v>
      </c>
      <c r="E40" s="11" t="s">
        <v>20</v>
      </c>
      <c r="F40" s="216">
        <v>1.0</v>
      </c>
      <c r="G40" s="215"/>
      <c r="H40" s="11"/>
    </row>
    <row r="41" ht="45.0" customHeight="1">
      <c r="A41" s="11">
        <v>40.0</v>
      </c>
      <c r="B41" s="93" t="s">
        <v>1982</v>
      </c>
      <c r="C41" s="11" t="str">
        <f>IMAGE("https://m.media-amazon.com/images/I/81PowerIGsL._SL1500_.jpg")</f>
        <v/>
      </c>
      <c r="D41" s="215" t="s">
        <v>1421</v>
      </c>
      <c r="E41" s="11" t="s">
        <v>20</v>
      </c>
      <c r="F41" s="216">
        <v>1.0</v>
      </c>
      <c r="G41" s="93"/>
      <c r="H41" s="11"/>
    </row>
    <row r="42" ht="45.0" customHeight="1">
      <c r="A42" s="11">
        <v>41.0</v>
      </c>
      <c r="B42" s="93" t="s">
        <v>1439</v>
      </c>
      <c r="C42" s="11" t="str">
        <f>IMAGE("https://cdn.shopify.com/s/files/1/0032/5448/5037/products/suvidha-aluminium-foil-72-meters-pack-of-12_800x.jpg?v=1562920856",1)</f>
        <v/>
      </c>
      <c r="D42" s="215" t="s">
        <v>1421</v>
      </c>
      <c r="E42" s="11" t="s">
        <v>20</v>
      </c>
      <c r="F42" s="216">
        <v>5.0</v>
      </c>
      <c r="G42" s="93"/>
      <c r="H42" s="11"/>
    </row>
    <row r="43" ht="45.0" customHeight="1">
      <c r="A43" s="11">
        <v>42.0</v>
      </c>
      <c r="B43" s="93" t="s">
        <v>1425</v>
      </c>
      <c r="C43" s="11" t="str">
        <f>IMAGE("https://imgs.michaels.com/MAM/assets/1/5E3C12034D34434F8A9BAAFDDF0F8E1B/img/5CDBB82051B44720A8F8901B4AABD77C/10446567_2.jpg",1)</f>
        <v/>
      </c>
      <c r="D43" s="215" t="s">
        <v>1421</v>
      </c>
      <c r="E43" s="11" t="s">
        <v>20</v>
      </c>
      <c r="F43" s="11">
        <v>5.0</v>
      </c>
      <c r="G43" s="93"/>
      <c r="H43" s="11"/>
    </row>
    <row r="44" ht="45.0" customHeight="1">
      <c r="A44" s="11">
        <v>43.0</v>
      </c>
      <c r="B44" s="93" t="s">
        <v>1981</v>
      </c>
      <c r="C44" s="11" t="str">
        <f>IMAGE("https://upload.wikimedia.org/wikipedia/commons/7/79/Polymer_clay_examples.jpg",1)</f>
        <v/>
      </c>
      <c r="D44" s="215" t="s">
        <v>1421</v>
      </c>
      <c r="E44" s="11" t="s">
        <v>20</v>
      </c>
      <c r="F44" s="11">
        <v>5.0</v>
      </c>
      <c r="G44" s="93"/>
      <c r="H44" s="11"/>
    </row>
    <row r="45" ht="45.0" customHeight="1">
      <c r="A45" s="11">
        <v>44.0</v>
      </c>
      <c r="B45" s="93" t="s">
        <v>936</v>
      </c>
      <c r="C45" s="11" t="str">
        <f>IMAGE("https://m.media-amazon.com/images/I/61ywjiydpbS._SL1500_.jpg",1)</f>
        <v/>
      </c>
      <c r="D45" s="215" t="s">
        <v>1421</v>
      </c>
      <c r="E45" s="11" t="s">
        <v>20</v>
      </c>
      <c r="F45" s="216">
        <v>4.0</v>
      </c>
      <c r="G45" s="93"/>
      <c r="H45" s="11"/>
    </row>
    <row r="46" ht="45.0" customHeight="1">
      <c r="A46" s="11">
        <v>45.0</v>
      </c>
      <c r="B46" s="93" t="s">
        <v>1454</v>
      </c>
      <c r="C46" s="11" t="str">
        <f>IMAGE("https://cdn11.bigcommerce.com/s-33iv1gdknl/images/stencil/1280x1280/products/115465/70691/prd_32014_5797121027228__12010.1559545680.jpg?c=2",1)</f>
        <v/>
      </c>
      <c r="D46" s="215" t="s">
        <v>1421</v>
      </c>
      <c r="E46" s="11" t="s">
        <v>20</v>
      </c>
      <c r="F46" s="216">
        <v>50.0</v>
      </c>
      <c r="G46" s="93"/>
      <c r="H46" s="11"/>
    </row>
    <row r="47" ht="45.0" customHeight="1">
      <c r="A47" s="11">
        <v>46.0</v>
      </c>
      <c r="B47" s="93" t="s">
        <v>1470</v>
      </c>
      <c r="C47" s="11" t="str">
        <f>IMAGE("https://www.wpiinc.com/media/catalog/product/cache/57a65487c9a4c9d3ba2482ad45cfc757/5/0/503023.jpg",1)</f>
        <v/>
      </c>
      <c r="D47" s="215" t="s">
        <v>1421</v>
      </c>
      <c r="E47" s="11" t="s">
        <v>20</v>
      </c>
      <c r="F47" s="216">
        <v>1.0</v>
      </c>
      <c r="G47" s="93"/>
      <c r="H47" s="11"/>
    </row>
    <row r="48" ht="45.0" customHeight="1">
      <c r="A48" s="11">
        <v>47.0</v>
      </c>
      <c r="B48" s="93" t="s">
        <v>1458</v>
      </c>
      <c r="C48" s="11" t="str">
        <f>IMAGE("https://assetscdn1.paytm.com/images/catalog/product/S/ST/STAEVA-FOAM-SHEKAPI63599336D8CB51/1563562065545_0..jpg?imwidth=320&amp;impolicy=hq",1)</f>
        <v/>
      </c>
      <c r="D48" s="215" t="s">
        <v>1421</v>
      </c>
      <c r="E48" s="11" t="s">
        <v>20</v>
      </c>
      <c r="F48" s="216">
        <v>10.0</v>
      </c>
      <c r="G48" s="93"/>
      <c r="H48" s="11"/>
    </row>
    <row r="49" ht="45.0" customHeight="1">
      <c r="A49" s="11">
        <v>48.0</v>
      </c>
      <c r="B49" s="93" t="s">
        <v>1446</v>
      </c>
      <c r="C49" s="11" t="str">
        <f t="shared" ref="C49:C50" si="3">IMAGE("https://m.media-amazon.com/images/I/51FB8cHTJyL._SL1500_.jpg",1)</f>
        <v/>
      </c>
      <c r="D49" s="215" t="s">
        <v>1421</v>
      </c>
      <c r="E49" s="11" t="s">
        <v>20</v>
      </c>
      <c r="F49" s="216">
        <v>5.0</v>
      </c>
      <c r="G49" s="93"/>
      <c r="H49" s="11"/>
    </row>
    <row r="50" ht="45.0" customHeight="1">
      <c r="A50" s="11">
        <v>49.0</v>
      </c>
      <c r="B50" s="93" t="s">
        <v>1450</v>
      </c>
      <c r="C50" s="11" t="str">
        <f t="shared" si="3"/>
        <v/>
      </c>
      <c r="D50" s="215" t="s">
        <v>1421</v>
      </c>
      <c r="E50" s="11" t="s">
        <v>20</v>
      </c>
      <c r="F50" s="216">
        <v>5.0</v>
      </c>
      <c r="G50" s="93"/>
      <c r="H50" s="11"/>
    </row>
    <row r="51" ht="45.0" customHeight="1">
      <c r="A51" s="11">
        <v>50.0</v>
      </c>
      <c r="B51" s="93" t="s">
        <v>1466</v>
      </c>
      <c r="C51" s="11" t="str">
        <f>IMAGE("https://www.ramsayrubber.com/wp-content/uploads/2020/01/Rolls-Sheeting-Polyurethane-Foam-Rolls2-1.jpg",1)</f>
        <v/>
      </c>
      <c r="D51" s="215" t="s">
        <v>1421</v>
      </c>
      <c r="E51" s="11" t="s">
        <v>20</v>
      </c>
      <c r="F51" s="216">
        <v>10.0</v>
      </c>
      <c r="G51" s="93"/>
      <c r="H51" s="11"/>
    </row>
    <row r="52" ht="45.0" customHeight="1">
      <c r="A52" s="11">
        <v>51.0</v>
      </c>
      <c r="B52" s="93" t="s">
        <v>1461</v>
      </c>
      <c r="C52" s="11" t="str">
        <f>IMAGE("https://5.imimg.com/data5/NA/SV/MA/SELLER-5806248/transparent-ohp-sheet-1000x1000.jpg",1)</f>
        <v/>
      </c>
      <c r="D52" s="215" t="s">
        <v>1421</v>
      </c>
      <c r="E52" s="11" t="s">
        <v>20</v>
      </c>
      <c r="F52" s="216">
        <v>1.0</v>
      </c>
      <c r="G52" s="93"/>
      <c r="H52" s="11"/>
    </row>
    <row r="53" ht="45.0" customHeight="1">
      <c r="A53" s="11">
        <v>52.0</v>
      </c>
      <c r="B53" s="93" t="s">
        <v>1604</v>
      </c>
      <c r="C53" s="11" t="str">
        <f>IMAGE("https://3.imimg.com/data3/HA/PB/MY-3231014/sewing-needle.jpg",1)</f>
        <v/>
      </c>
      <c r="D53" s="215" t="s">
        <v>1601</v>
      </c>
      <c r="E53" s="11" t="s">
        <v>20</v>
      </c>
      <c r="F53" s="11">
        <v>1.0</v>
      </c>
      <c r="G53" s="93"/>
      <c r="H53" s="11"/>
    </row>
    <row r="54" ht="45.0" customHeight="1">
      <c r="A54" s="11">
        <v>53.0</v>
      </c>
      <c r="B54" s="93" t="s">
        <v>1608</v>
      </c>
      <c r="C54" s="11" t="str">
        <f>IMAGE("https://m.media-amazon.com/images/W/MEDIAX_792452-T2/images/I/71vxqqo9r7L.jpg",1)</f>
        <v/>
      </c>
      <c r="D54" s="215" t="s">
        <v>1601</v>
      </c>
      <c r="E54" s="11" t="s">
        <v>20</v>
      </c>
      <c r="F54" s="11">
        <v>2.0</v>
      </c>
      <c r="G54" s="93"/>
      <c r="H54" s="11"/>
    </row>
    <row r="55" ht="45.0" customHeight="1">
      <c r="A55" s="11">
        <v>54.0</v>
      </c>
      <c r="B55" s="93" t="s">
        <v>464</v>
      </c>
      <c r="C55" s="11" t="str">
        <f>IMAGE("https://5.imimg.com/data5/SELLER/Default/2020/10/MN/BG/IF/24066098/sunlu-sl-300-3d-pen-green-500x500.jpg",1)</f>
        <v/>
      </c>
      <c r="D55" s="215" t="s">
        <v>465</v>
      </c>
      <c r="E55" s="11" t="s">
        <v>466</v>
      </c>
      <c r="F55" s="216">
        <v>5.0</v>
      </c>
      <c r="G55" s="93"/>
      <c r="H55" s="11"/>
    </row>
    <row r="56" ht="45.0" customHeight="1">
      <c r="A56" s="11">
        <v>55.0</v>
      </c>
      <c r="B56" s="93" t="s">
        <v>471</v>
      </c>
      <c r="C56" s="11" t="str">
        <f>IMAGE("https://m.media-amazon.com/images/I/61UtNlSmPaL._SX342_.jpg",1)</f>
        <v/>
      </c>
      <c r="D56" s="215" t="s">
        <v>465</v>
      </c>
      <c r="E56" s="11" t="s">
        <v>466</v>
      </c>
      <c r="F56" s="216">
        <v>1.0</v>
      </c>
      <c r="G56" s="93"/>
      <c r="H56" s="11"/>
    </row>
    <row r="57" ht="45.0" customHeight="1">
      <c r="A57" s="11">
        <v>56.0</v>
      </c>
      <c r="B57" s="93" t="s">
        <v>475</v>
      </c>
      <c r="C57" s="11"/>
      <c r="D57" s="215" t="s">
        <v>465</v>
      </c>
      <c r="E57" s="11" t="s">
        <v>466</v>
      </c>
      <c r="F57" s="216">
        <v>1.0</v>
      </c>
      <c r="G57" s="93"/>
      <c r="H57" s="11"/>
    </row>
    <row r="58" ht="45.0" customHeight="1">
      <c r="A58" s="11">
        <v>57.0</v>
      </c>
      <c r="B58" s="93" t="s">
        <v>479</v>
      </c>
      <c r="C58" s="11" t="str">
        <f>IMAGE("https://5.imimg.com/data5/LA/TM/JO/SELLER-79394111/3d-printer-nylon-filament-500x500.jpg",1)</f>
        <v/>
      </c>
      <c r="D58" s="215" t="s">
        <v>465</v>
      </c>
      <c r="E58" s="11" t="s">
        <v>466</v>
      </c>
      <c r="F58" s="216">
        <v>3.0</v>
      </c>
      <c r="G58" s="93"/>
      <c r="H58" s="11"/>
    </row>
    <row r="59" ht="45.0" customHeight="1">
      <c r="A59" s="11">
        <v>58.0</v>
      </c>
      <c r="B59" s="260" t="s">
        <v>1995</v>
      </c>
      <c r="C59" s="11"/>
      <c r="D59" s="215" t="s">
        <v>465</v>
      </c>
      <c r="E59" s="11" t="s">
        <v>466</v>
      </c>
      <c r="F59" s="216">
        <v>1.0</v>
      </c>
      <c r="G59" s="93"/>
      <c r="H59" s="11"/>
    </row>
    <row r="60" ht="45.0" customHeight="1">
      <c r="A60" s="11">
        <v>59.0</v>
      </c>
      <c r="B60" s="260" t="s">
        <v>1997</v>
      </c>
      <c r="C60" s="11"/>
      <c r="D60" s="215" t="s">
        <v>465</v>
      </c>
      <c r="E60" s="11" t="s">
        <v>466</v>
      </c>
      <c r="F60" s="216">
        <v>1.0</v>
      </c>
      <c r="G60" s="93"/>
      <c r="H60" s="11"/>
    </row>
    <row r="61" ht="45.0" customHeight="1">
      <c r="A61" s="11">
        <v>60.0</v>
      </c>
      <c r="B61" s="93" t="s">
        <v>1125</v>
      </c>
      <c r="C61" s="11" t="str">
        <f>IMAGE("https://cdn.shopify.com/s/files/1/0276/7382/1286/products/57_1a2e82a1-0306-49dc-8a29-0c0b2110ddb8_600x.jpg?v=1632245164",1)</f>
        <v/>
      </c>
      <c r="D61" s="215" t="s">
        <v>1032</v>
      </c>
      <c r="E61" s="11" t="s">
        <v>466</v>
      </c>
      <c r="F61" s="216">
        <v>1.0</v>
      </c>
      <c r="G61" s="215"/>
      <c r="H61" s="11"/>
    </row>
    <row r="62" ht="45.0" customHeight="1">
      <c r="A62" s="11">
        <v>61.0</v>
      </c>
      <c r="B62" s="93" t="s">
        <v>176</v>
      </c>
      <c r="C62" s="11" t="str">
        <f>IMAGE("https://robu.in/wp-content/uploads/2021/05/EU-Plug-Universal-Battery-Charger-For-18650-16340-14500-Li-ion-Rechargeable-Battery-Charger-3.jpg",1)</f>
        <v/>
      </c>
      <c r="D62" s="215" t="s">
        <v>177</v>
      </c>
      <c r="E62" s="11" t="s">
        <v>178</v>
      </c>
      <c r="F62" s="216">
        <v>5.0</v>
      </c>
      <c r="G62" s="93"/>
      <c r="H62" s="11"/>
    </row>
    <row r="63" ht="45.0" customHeight="1">
      <c r="A63" s="11">
        <v>62.0</v>
      </c>
      <c r="B63" s="93" t="s">
        <v>220</v>
      </c>
      <c r="C63" s="11" t="str">
        <f>IMAGE("https://i02.psgsm.net/gsm.com/p/887576/480/power-bank-hoco-j26-10000-mah-micro-usb-type-b-input-5v-2a-2-usb-outputs-5-v-2-1-a-139-70-16-mm-with-micro-usb-cable-type-b-black.jpg",1)</f>
        <v/>
      </c>
      <c r="D63" s="215" t="s">
        <v>177</v>
      </c>
      <c r="E63" s="11" t="s">
        <v>178</v>
      </c>
      <c r="F63" s="216">
        <v>5.0</v>
      </c>
      <c r="G63" s="93"/>
      <c r="H63" s="221"/>
    </row>
    <row r="64" ht="45.0" customHeight="1">
      <c r="A64" s="11">
        <v>63.0</v>
      </c>
      <c r="B64" s="93" t="s">
        <v>1741</v>
      </c>
      <c r="C64" s="11" t="str">
        <f>IMAGE("https://images-na.ssl-images-amazon.com/images/I/51p4KPR9o1L.SS700.jpg",1)</f>
        <v/>
      </c>
      <c r="D64" s="215" t="s">
        <v>177</v>
      </c>
      <c r="E64" s="11" t="s">
        <v>178</v>
      </c>
      <c r="F64" s="216">
        <v>10.0</v>
      </c>
      <c r="G64" s="93"/>
      <c r="H64" s="11"/>
    </row>
    <row r="65" ht="45.0" customHeight="1">
      <c r="A65" s="11">
        <v>64.0</v>
      </c>
      <c r="B65" s="93" t="s">
        <v>228</v>
      </c>
      <c r="C65" s="11" t="str">
        <f>IMAGE("https://5.imimg.com/data5/SELLER/Default/2021/7/XA/OZ/BW/6610292/9v-power-plus-nimh-rechargeable-battery-500x500.jpg",1)</f>
        <v/>
      </c>
      <c r="D65" s="215" t="s">
        <v>177</v>
      </c>
      <c r="E65" s="11" t="s">
        <v>178</v>
      </c>
      <c r="F65" s="216">
        <v>10.0</v>
      </c>
      <c r="G65" s="93"/>
      <c r="H65" s="11"/>
    </row>
    <row r="66" ht="45.0" customHeight="1">
      <c r="A66" s="11">
        <v>65.0</v>
      </c>
      <c r="B66" s="93" t="s">
        <v>232</v>
      </c>
      <c r="C66" s="11" t="str">
        <f>IMAGE("https://images-cdn.ubuy.co.in/6578382306deda07ed788ca4-rechargeable-aa-batteries-aa.jpg",1)</f>
        <v/>
      </c>
      <c r="D66" s="215" t="s">
        <v>177</v>
      </c>
      <c r="E66" s="11" t="s">
        <v>178</v>
      </c>
      <c r="F66" s="216">
        <v>20.0</v>
      </c>
      <c r="G66" s="93"/>
      <c r="H66" s="11"/>
    </row>
    <row r="67" ht="45.0" customHeight="1">
      <c r="A67" s="11">
        <v>66.0</v>
      </c>
      <c r="B67" s="93" t="s">
        <v>1908</v>
      </c>
      <c r="C67" s="11" t="str">
        <f>IMAGE("https://m.media-amazon.com/images/I/6161NXWtz-L._SL1500_.jpg",1)</f>
        <v/>
      </c>
      <c r="D67" s="215" t="s">
        <v>177</v>
      </c>
      <c r="E67" s="11" t="s">
        <v>178</v>
      </c>
      <c r="F67" s="216">
        <v>5.0</v>
      </c>
      <c r="G67" s="93"/>
      <c r="H67" s="11"/>
    </row>
    <row r="68" ht="45.0" customHeight="1">
      <c r="A68" s="11">
        <v>67.0</v>
      </c>
      <c r="B68" s="93" t="s">
        <v>1910</v>
      </c>
      <c r="C68" s="11" t="str">
        <f>IMAGE("https://i0.wp.com/www.rytronics.in/wp-content/uploads/2021/09/9v-batter-connector-snap-connector02.jpg?fit=1000%2C1000&amp;ssl=1",1)</f>
        <v/>
      </c>
      <c r="D68" s="215" t="s">
        <v>177</v>
      </c>
      <c r="E68" s="11" t="s">
        <v>178</v>
      </c>
      <c r="F68" s="216">
        <v>20.0</v>
      </c>
      <c r="G68" s="93"/>
      <c r="H68" s="221"/>
    </row>
    <row r="69" ht="45.0" customHeight="1">
      <c r="A69" s="11">
        <v>68.0</v>
      </c>
      <c r="B69" s="93" t="s">
        <v>1911</v>
      </c>
      <c r="C69" s="11" t="str">
        <f>IMAGE("https://m.media-amazon.com/images/W/MEDIAX_792452-T2/images/I/61UPqH4BXuL.SS700.jpg",1)</f>
        <v/>
      </c>
      <c r="D69" s="215" t="s">
        <v>177</v>
      </c>
      <c r="E69" s="11" t="s">
        <v>178</v>
      </c>
      <c r="F69" s="216">
        <v>15.0</v>
      </c>
      <c r="G69" s="93"/>
      <c r="H69" s="221"/>
    </row>
    <row r="70" ht="45.0" customHeight="1">
      <c r="A70" s="11">
        <v>69.0</v>
      </c>
      <c r="B70" s="93" t="s">
        <v>1912</v>
      </c>
      <c r="C70" s="11" t="str">
        <f>IMAGE("https://robotools.in/wp-content/uploads/2022/09/18650-x-2-battery-holder-with-cover-and-OnOff-Switch-5.jpg",1)</f>
        <v/>
      </c>
      <c r="D70" s="215" t="s">
        <v>177</v>
      </c>
      <c r="E70" s="11" t="s">
        <v>178</v>
      </c>
      <c r="F70" s="216">
        <v>10.0</v>
      </c>
      <c r="G70" s="93"/>
      <c r="H70" s="11"/>
    </row>
    <row r="71" ht="45.0" customHeight="1">
      <c r="A71" s="11">
        <v>70.0</v>
      </c>
      <c r="B71" s="93" t="s">
        <v>1913</v>
      </c>
      <c r="C71" s="11" t="str">
        <f>IMAGE("https://robu.in/wp-content/uploads/2019/03/2-x-1.5V-AA-battery-holder-with-cover-and-OnOff-Switch-6.jpg",1)</f>
        <v/>
      </c>
      <c r="D71" s="215" t="s">
        <v>177</v>
      </c>
      <c r="E71" s="11" t="s">
        <v>178</v>
      </c>
      <c r="F71" s="216">
        <v>30.0</v>
      </c>
      <c r="G71" s="93"/>
      <c r="H71" s="11"/>
    </row>
    <row r="72" ht="45.0" customHeight="1">
      <c r="A72" s="11">
        <v>71.0</v>
      </c>
      <c r="B72" s="93" t="s">
        <v>1914</v>
      </c>
      <c r="C72" s="11" t="str">
        <f>IMAGE("https://probots.co.in/pub/media/catalog/product/cache/d8ddd0f9b0cd008b57085cd218b48832/4/-/4-x-1.5v-aa-battery-holder01.jpg",1)</f>
        <v/>
      </c>
      <c r="D72" s="215" t="s">
        <v>177</v>
      </c>
      <c r="E72" s="11" t="s">
        <v>178</v>
      </c>
      <c r="F72" s="216">
        <v>20.0</v>
      </c>
      <c r="G72" s="93"/>
      <c r="H72" s="11"/>
    </row>
    <row r="73" ht="45.0" customHeight="1">
      <c r="A73" s="11">
        <v>72.0</v>
      </c>
      <c r="B73" s="93" t="s">
        <v>1915</v>
      </c>
      <c r="C73" s="11" t="str">
        <f>IMAGE("https://robu.in/wp-content/uploads/2022/06/510c1Z93PDL._SX679_.jpg",1)</f>
        <v/>
      </c>
      <c r="D73" s="215" t="s">
        <v>177</v>
      </c>
      <c r="E73" s="11" t="s">
        <v>178</v>
      </c>
      <c r="F73" s="216">
        <v>20.0</v>
      </c>
      <c r="G73" s="93"/>
      <c r="H73" s="11"/>
    </row>
    <row r="74" ht="45.0" customHeight="1">
      <c r="A74" s="11">
        <v>73.0</v>
      </c>
      <c r="B74" s="93" t="s">
        <v>1906</v>
      </c>
      <c r="C74" s="11" t="str">
        <f>IMAGE("https://rukminim2.flixcart.com/image/832/832/krs40i80/worldwide-adaptor/f/7/g/pack-of-1-power-adapter-12v-2-amp-dual-pin-for-charger-with-original-imag5hmbvgzazbzz.jpeg?q=70",1)</f>
        <v/>
      </c>
      <c r="D74" s="215" t="s">
        <v>177</v>
      </c>
      <c r="E74" s="11" t="s">
        <v>178</v>
      </c>
      <c r="F74" s="216">
        <v>5.0</v>
      </c>
      <c r="G74" s="93"/>
      <c r="H74" s="11"/>
    </row>
    <row r="75" ht="45.0" customHeight="1">
      <c r="A75" s="11">
        <v>74.0</v>
      </c>
      <c r="B75" s="93" t="s">
        <v>1916</v>
      </c>
      <c r="C75" s="11" t="str">
        <f>IMAGE("https://robu.in/wp-content/uploads/2017/04/Alligator-Clips-Electrical-DIY-Test-Leads-10pcs-For-Test-Leads-Double-ended-Crocodile-Clips-Roach-Clip-2.jpg",1)</f>
        <v/>
      </c>
      <c r="D75" s="215" t="s">
        <v>237</v>
      </c>
      <c r="E75" s="11" t="s">
        <v>178</v>
      </c>
      <c r="F75" s="216">
        <v>20.0</v>
      </c>
      <c r="G75" s="93"/>
      <c r="H75" s="11"/>
    </row>
    <row r="76" ht="45.0" customHeight="1">
      <c r="A76" s="11">
        <v>75.0</v>
      </c>
      <c r="B76" s="93" t="s">
        <v>241</v>
      </c>
      <c r="C76" s="11" t="str">
        <f>IMAGE("https://makerbazar.in/cdn/shop/products/dcmalejackwithwire2_600x.jpg?v=1642675074",1)</f>
        <v/>
      </c>
      <c r="D76" s="215" t="s">
        <v>237</v>
      </c>
      <c r="E76" s="11" t="s">
        <v>178</v>
      </c>
      <c r="F76" s="216">
        <v>20.0</v>
      </c>
      <c r="G76" s="93"/>
      <c r="H76" s="221"/>
    </row>
    <row r="77" ht="45.0" customHeight="1">
      <c r="A77" s="11">
        <v>76.0</v>
      </c>
      <c r="B77" s="93" t="s">
        <v>1924</v>
      </c>
      <c r="C77" s="11" t="str">
        <f>IMAGE("https://robu.in/wp-content/uploads/2019/06/3.5mm-Audio-Plug-3-Pole-Gold-plated-Earphone-Adapter-For-DIY-Stereo-Headset-5.jpg",1)</f>
        <v/>
      </c>
      <c r="D77" s="215" t="s">
        <v>237</v>
      </c>
      <c r="E77" s="11" t="s">
        <v>178</v>
      </c>
      <c r="F77" s="216">
        <v>10.0</v>
      </c>
      <c r="G77" s="93"/>
      <c r="H77" s="221"/>
    </row>
    <row r="78" ht="45.0" customHeight="1">
      <c r="A78" s="11">
        <v>77.0</v>
      </c>
      <c r="B78" s="93" t="s">
        <v>1918</v>
      </c>
      <c r="C78" s="11" t="str">
        <f>IMAGE("https://rukminim2.flixcart.com/image/832/832/k8t3jbk0/cable-sleeve/j/c/q/black-2mm-polyolefin-heat-shrink-tube-sleeve-for-wrap-60-meter-original-imafqq3y2g2v9vzz.jpeg?q=70",1)</f>
        <v/>
      </c>
      <c r="D78" s="215" t="s">
        <v>237</v>
      </c>
      <c r="E78" s="11" t="s">
        <v>178</v>
      </c>
      <c r="F78" s="216">
        <v>1.0</v>
      </c>
      <c r="G78" s="93"/>
      <c r="H78" s="11"/>
    </row>
    <row r="79" ht="45.0" customHeight="1">
      <c r="A79" s="11">
        <v>78.0</v>
      </c>
      <c r="B79" s="93" t="s">
        <v>1919</v>
      </c>
      <c r="C79" s="11" t="str">
        <f>IMAGE("https://m.media-amazon.com/images/I/61zJ0n1EqGS._AC_SL1500_.jpg",1)</f>
        <v/>
      </c>
      <c r="D79" s="215" t="s">
        <v>237</v>
      </c>
      <c r="E79" s="11" t="s">
        <v>178</v>
      </c>
      <c r="F79" s="216">
        <v>1.0</v>
      </c>
      <c r="G79" s="93"/>
      <c r="H79" s="11"/>
    </row>
    <row r="80" ht="45.0" customHeight="1">
      <c r="A80" s="11">
        <v>79.0</v>
      </c>
      <c r="B80" s="93" t="s">
        <v>1920</v>
      </c>
      <c r="C80" s="11" t="str">
        <f>IMAGE("https://m.media-amazon.com/images/W/MEDIAX_792452-T2/images/I/417I5BCQPSL.jpg",1)</f>
        <v/>
      </c>
      <c r="D80" s="215" t="s">
        <v>237</v>
      </c>
      <c r="E80" s="11" t="s">
        <v>178</v>
      </c>
      <c r="F80" s="216">
        <v>1.0</v>
      </c>
      <c r="G80" s="93"/>
      <c r="H80" s="11"/>
    </row>
    <row r="81" ht="45.0" customHeight="1">
      <c r="A81" s="11">
        <v>80.0</v>
      </c>
      <c r="B81" s="93" t="s">
        <v>1921</v>
      </c>
      <c r="C81" s="11" t="str">
        <f>IMAGE("https://m.media-amazon.com/images/I/61zJ0n1EqGS._AC_SL1500_.jpg",1)</f>
        <v/>
      </c>
      <c r="D81" s="215" t="s">
        <v>237</v>
      </c>
      <c r="E81" s="11" t="s">
        <v>178</v>
      </c>
      <c r="F81" s="216">
        <v>1.0</v>
      </c>
      <c r="G81" s="93"/>
      <c r="H81" s="11"/>
    </row>
    <row r="82" ht="45.0" customHeight="1">
      <c r="A82" s="11">
        <v>81.0</v>
      </c>
      <c r="B82" s="93" t="s">
        <v>266</v>
      </c>
      <c r="C82" s="11" t="str">
        <f t="shared" ref="C82:C86" si="4">IMAGE("https://i.ebayimg.com/images/g/xCYAAOSwjvJlEQU8/s-l1600.jpg",1)</f>
        <v/>
      </c>
      <c r="D82" s="215" t="s">
        <v>237</v>
      </c>
      <c r="E82" s="11" t="s">
        <v>178</v>
      </c>
      <c r="F82" s="216">
        <v>20.0</v>
      </c>
      <c r="G82" s="93"/>
      <c r="H82" s="11"/>
    </row>
    <row r="83" ht="45.0" customHeight="1">
      <c r="A83" s="11">
        <v>82.0</v>
      </c>
      <c r="B83" s="93" t="s">
        <v>271</v>
      </c>
      <c r="C83" s="11" t="str">
        <f t="shared" si="4"/>
        <v/>
      </c>
      <c r="D83" s="215" t="s">
        <v>237</v>
      </c>
      <c r="E83" s="11" t="s">
        <v>178</v>
      </c>
      <c r="F83" s="216">
        <v>20.0</v>
      </c>
      <c r="G83" s="93"/>
      <c r="H83" s="11"/>
    </row>
    <row r="84" ht="45.0" customHeight="1">
      <c r="A84" s="11">
        <v>83.0</v>
      </c>
      <c r="B84" s="93" t="s">
        <v>275</v>
      </c>
      <c r="C84" s="11" t="str">
        <f t="shared" si="4"/>
        <v/>
      </c>
      <c r="D84" s="215" t="s">
        <v>237</v>
      </c>
      <c r="E84" s="11" t="s">
        <v>178</v>
      </c>
      <c r="F84" s="216">
        <v>20.0</v>
      </c>
      <c r="G84" s="93"/>
      <c r="H84" s="11"/>
    </row>
    <row r="85" ht="45.0" customHeight="1">
      <c r="A85" s="11">
        <v>84.0</v>
      </c>
      <c r="B85" s="93" t="s">
        <v>279</v>
      </c>
      <c r="C85" s="11" t="str">
        <f t="shared" si="4"/>
        <v/>
      </c>
      <c r="D85" s="215" t="s">
        <v>237</v>
      </c>
      <c r="E85" s="11" t="s">
        <v>178</v>
      </c>
      <c r="F85" s="216">
        <v>20.0</v>
      </c>
      <c r="G85" s="93"/>
      <c r="H85" s="11"/>
    </row>
    <row r="86" ht="45.0" customHeight="1">
      <c r="A86" s="11">
        <v>85.0</v>
      </c>
      <c r="B86" s="93" t="s">
        <v>283</v>
      </c>
      <c r="C86" s="11" t="str">
        <f t="shared" si="4"/>
        <v/>
      </c>
      <c r="D86" s="215" t="s">
        <v>237</v>
      </c>
      <c r="E86" s="11" t="s">
        <v>178</v>
      </c>
      <c r="F86" s="216">
        <v>20.0</v>
      </c>
      <c r="G86" s="93"/>
      <c r="H86" s="11"/>
    </row>
    <row r="87" ht="45.0" customHeight="1">
      <c r="A87" s="11">
        <v>86.0</v>
      </c>
      <c r="B87" s="93" t="s">
        <v>287</v>
      </c>
      <c r="C87" s="11" t="str">
        <f t="shared" ref="C87:C89" si="5">IMAGE("https://cdn.shopify.com/s/files/1/0527/2692/3444/products/M-M10CM_800x.jpg?v=1620840829",1)</f>
        <v/>
      </c>
      <c r="D87" s="215" t="s">
        <v>237</v>
      </c>
      <c r="E87" s="11" t="s">
        <v>178</v>
      </c>
      <c r="F87" s="216">
        <v>20.0</v>
      </c>
      <c r="G87" s="93"/>
      <c r="H87" s="221"/>
    </row>
    <row r="88" ht="45.0" customHeight="1">
      <c r="A88" s="11">
        <v>87.0</v>
      </c>
      <c r="B88" s="93" t="s">
        <v>292</v>
      </c>
      <c r="C88" s="11" t="str">
        <f t="shared" si="5"/>
        <v/>
      </c>
      <c r="D88" s="215" t="s">
        <v>237</v>
      </c>
      <c r="E88" s="11" t="s">
        <v>178</v>
      </c>
      <c r="F88" s="216">
        <v>20.0</v>
      </c>
      <c r="G88" s="93"/>
      <c r="H88" s="221"/>
    </row>
    <row r="89" ht="45.0" customHeight="1">
      <c r="A89" s="11">
        <v>88.0</v>
      </c>
      <c r="B89" s="93" t="s">
        <v>296</v>
      </c>
      <c r="C89" s="11" t="str">
        <f t="shared" si="5"/>
        <v/>
      </c>
      <c r="D89" s="215" t="s">
        <v>237</v>
      </c>
      <c r="E89" s="11" t="s">
        <v>178</v>
      </c>
      <c r="F89" s="216">
        <v>20.0</v>
      </c>
      <c r="G89" s="93"/>
      <c r="H89" s="221"/>
    </row>
    <row r="90" ht="45.0" customHeight="1">
      <c r="A90" s="11">
        <v>89.0</v>
      </c>
      <c r="B90" s="93" t="s">
        <v>300</v>
      </c>
      <c r="C90" s="11" t="str">
        <f>IMAGE("https://encrypted-tbn0.gstatic.com/images?q=tbn:ANd9GcR4A79FMiemvwjtYU3z1SGV0ayCZPtc8oNMobr5AuvlhGOJoeuq78aTh7JjRPQlfFrsXfE&amp;usqp=CAU",1)</f>
        <v/>
      </c>
      <c r="D90" s="215" t="s">
        <v>237</v>
      </c>
      <c r="E90" s="11" t="s">
        <v>178</v>
      </c>
      <c r="F90" s="216">
        <v>10.0</v>
      </c>
      <c r="G90" s="93"/>
      <c r="H90" s="11"/>
    </row>
    <row r="91" ht="45.0" customHeight="1">
      <c r="A91" s="11">
        <v>90.0</v>
      </c>
      <c r="B91" s="93" t="s">
        <v>304</v>
      </c>
      <c r="C91" s="11" t="str">
        <f>IMAGE("https://robu.in/wp-content/uploads/2018/07/50-CM-Micro-USB-Cable-1.jpg",1)</f>
        <v/>
      </c>
      <c r="D91" s="215" t="s">
        <v>237</v>
      </c>
      <c r="E91" s="11" t="s">
        <v>178</v>
      </c>
      <c r="F91" s="216">
        <v>10.0</v>
      </c>
      <c r="G91" s="93"/>
      <c r="H91" s="221"/>
    </row>
    <row r="92" ht="45.0" customHeight="1">
      <c r="A92" s="11">
        <v>91.0</v>
      </c>
      <c r="B92" s="93" t="s">
        <v>1931</v>
      </c>
      <c r="C92" s="11" t="str">
        <f>IMAGE("https://www.electronicscomp.com/image/cache/catalog/cnc-shield-v3-400x400.jpg",1)</f>
        <v/>
      </c>
      <c r="D92" s="215" t="s">
        <v>415</v>
      </c>
      <c r="E92" s="11" t="s">
        <v>178</v>
      </c>
      <c r="F92" s="237">
        <v>7.0</v>
      </c>
      <c r="G92" s="93"/>
      <c r="H92" s="11"/>
    </row>
    <row r="93" ht="45.0" customHeight="1">
      <c r="A93" s="11">
        <v>92.0</v>
      </c>
      <c r="B93" s="93" t="s">
        <v>420</v>
      </c>
      <c r="C93" s="11" t="str">
        <f>IMAGE("https://5.imimg.com/data5/VS/XC/MY-4167793/arduino-nano-500x500.jpg",1)</f>
        <v/>
      </c>
      <c r="D93" s="215" t="s">
        <v>415</v>
      </c>
      <c r="E93" s="11" t="s">
        <v>178</v>
      </c>
      <c r="F93" s="216">
        <v>15.0</v>
      </c>
      <c r="G93" s="93"/>
      <c r="H93" s="11"/>
    </row>
    <row r="94" ht="45.0" customHeight="1">
      <c r="A94" s="11">
        <v>93.0</v>
      </c>
      <c r="B94" s="93" t="s">
        <v>1933</v>
      </c>
      <c r="C94" s="11" t="str">
        <f>IMAGE("https://robu.in/wp-content/uploads/2017/04/Arduino_NANO_expansion1.jpg",1)</f>
        <v/>
      </c>
      <c r="D94" s="215" t="s">
        <v>415</v>
      </c>
      <c r="E94" s="11" t="s">
        <v>178</v>
      </c>
      <c r="F94" s="216">
        <v>10.0</v>
      </c>
      <c r="G94" s="93"/>
      <c r="H94" s="221"/>
    </row>
    <row r="95" ht="45.0" customHeight="1">
      <c r="A95" s="11">
        <v>94.0</v>
      </c>
      <c r="B95" s="93" t="s">
        <v>1934</v>
      </c>
      <c r="C95" s="11" t="str">
        <f>IMAGE("https://robu.in/wp-content/uploads/2017/10/Uno-R3-CH340G-ATmega328p-Development-Board-Compatible-with-Arduino2.png",1)</f>
        <v/>
      </c>
      <c r="D95" s="215" t="s">
        <v>415</v>
      </c>
      <c r="E95" s="11" t="s">
        <v>178</v>
      </c>
      <c r="F95" s="216">
        <v>15.0</v>
      </c>
      <c r="G95" s="93"/>
      <c r="H95" s="11"/>
    </row>
    <row r="96" ht="45.0" customHeight="1">
      <c r="A96" s="11">
        <v>95.0</v>
      </c>
      <c r="B96" s="93" t="s">
        <v>438</v>
      </c>
      <c r="C96" s="11" t="str">
        <f>IMAGE("https://www.electronicscomp.com/image/cache/catalog/esp8266-esp01-wifi-module-india-800x800.jpg",1)</f>
        <v/>
      </c>
      <c r="D96" s="215" t="s">
        <v>415</v>
      </c>
      <c r="E96" s="11" t="s">
        <v>178</v>
      </c>
      <c r="F96" s="216">
        <v>10.0</v>
      </c>
      <c r="G96" s="93"/>
      <c r="H96" s="106"/>
    </row>
    <row r="97" ht="45.0" customHeight="1">
      <c r="A97" s="11">
        <v>96.0</v>
      </c>
      <c r="B97" s="93" t="s">
        <v>441</v>
      </c>
      <c r="C97" s="11" t="str">
        <f>IMAGE("https://makerselectronics.com/wp-content/uploads/2020/07/ESP32-CAM-2.jpg",1)</f>
        <v/>
      </c>
      <c r="D97" s="215" t="s">
        <v>415</v>
      </c>
      <c r="E97" s="11" t="s">
        <v>178</v>
      </c>
      <c r="F97" s="216">
        <v>10.0</v>
      </c>
      <c r="G97" s="93"/>
      <c r="H97" s="11"/>
    </row>
    <row r="98" ht="45.0" customHeight="1">
      <c r="A98" s="11">
        <v>97.0</v>
      </c>
      <c r="B98" s="93" t="s">
        <v>446</v>
      </c>
      <c r="C98" s="11" t="str">
        <f>IMAGE("https://www.berrybase.de/media/image/c5/26/b6/ID_186599_orig_600x600.jpg",1)</f>
        <v/>
      </c>
      <c r="D98" s="215" t="s">
        <v>415</v>
      </c>
      <c r="E98" s="11" t="s">
        <v>178</v>
      </c>
      <c r="F98" s="216">
        <v>10.0</v>
      </c>
      <c r="G98" s="93"/>
      <c r="H98" s="11"/>
    </row>
    <row r="99" ht="45.0" customHeight="1">
      <c r="A99" s="11">
        <v>98.0</v>
      </c>
      <c r="B99" s="93" t="s">
        <v>450</v>
      </c>
      <c r="C99" s="11" t="str">
        <f>IMAGE("https://m.media-amazon.com/images/I/61rcnccrByL._SL1238_.jpg",1)</f>
        <v/>
      </c>
      <c r="D99" s="215" t="s">
        <v>415</v>
      </c>
      <c r="E99" s="11" t="s">
        <v>178</v>
      </c>
      <c r="F99" s="216">
        <v>15.0</v>
      </c>
      <c r="G99" s="93"/>
      <c r="H99" s="11"/>
    </row>
    <row r="100" ht="45.0" customHeight="1">
      <c r="A100" s="11">
        <v>99.0</v>
      </c>
      <c r="B100" s="93" t="s">
        <v>454</v>
      </c>
      <c r="C100" s="11" t="str">
        <f>IMAGE("https://m.media-amazon.com/images/W/MEDIAX_792452-T2/images/I/61t+lNeiChL._SL1443_.jpg",1)</f>
        <v/>
      </c>
      <c r="D100" s="215" t="s">
        <v>415</v>
      </c>
      <c r="E100" s="11" t="s">
        <v>178</v>
      </c>
      <c r="F100" s="216">
        <v>15.0</v>
      </c>
      <c r="G100" s="93"/>
      <c r="H100" s="11"/>
    </row>
    <row r="101" ht="45.0" customHeight="1">
      <c r="A101" s="11">
        <v>100.0</v>
      </c>
      <c r="B101" s="107" t="s">
        <v>459</v>
      </c>
      <c r="C101" s="11" t="str">
        <f>IMAGE("https://m.media-amazon.com/images/W/MEDIAX_792452-T2/images/I/61xb9SMx4AL._SL1440_.jpg",1)</f>
        <v/>
      </c>
      <c r="D101" s="215" t="s">
        <v>415</v>
      </c>
      <c r="E101" s="11" t="s">
        <v>178</v>
      </c>
      <c r="F101" s="216">
        <v>10.0</v>
      </c>
      <c r="G101" s="93"/>
      <c r="H101" s="11"/>
    </row>
    <row r="102" ht="45.0" customHeight="1">
      <c r="A102" s="11">
        <v>101.0</v>
      </c>
      <c r="B102" s="270" t="s">
        <v>2160</v>
      </c>
      <c r="C102" s="11" t="str">
        <f>IMAGE("https://sumeetinstruments.com/image/cache/catalog/3dprinter/A4988-Stepper-Motor-Driver-Module-Heat-Sink-3D-Printer-Parts.-550x550.jpg",1)</f>
        <v/>
      </c>
      <c r="D102" s="215" t="s">
        <v>415</v>
      </c>
      <c r="E102" s="221" t="s">
        <v>178</v>
      </c>
      <c r="F102" s="237">
        <v>21.0</v>
      </c>
      <c r="G102" s="93"/>
      <c r="H102" s="11"/>
    </row>
    <row r="103" ht="45.0" customHeight="1">
      <c r="A103" s="11">
        <v>102.0</v>
      </c>
      <c r="B103" s="272" t="s">
        <v>2161</v>
      </c>
      <c r="C103" s="275"/>
      <c r="D103" s="273" t="s">
        <v>415</v>
      </c>
      <c r="E103" s="221" t="s">
        <v>178</v>
      </c>
      <c r="F103" s="274">
        <v>10.0</v>
      </c>
      <c r="G103" s="275"/>
      <c r="H103" s="275"/>
      <c r="I103" s="276"/>
    </row>
    <row r="104" ht="45.0" customHeight="1">
      <c r="A104" s="11">
        <v>103.0</v>
      </c>
      <c r="B104" s="272" t="s">
        <v>2162</v>
      </c>
      <c r="C104" s="275"/>
      <c r="D104" s="273" t="s">
        <v>415</v>
      </c>
      <c r="E104" s="221" t="s">
        <v>178</v>
      </c>
      <c r="F104" s="274">
        <v>2.0</v>
      </c>
      <c r="G104" s="275"/>
      <c r="H104" s="275"/>
      <c r="I104" s="276"/>
    </row>
    <row r="105" ht="45.0" customHeight="1">
      <c r="A105" s="11">
        <v>104.0</v>
      </c>
      <c r="B105" s="93" t="s">
        <v>505</v>
      </c>
      <c r="C105" s="11" t="str">
        <f>IMAGE("https://rukminim2.flixcart.com/image/832/832/ks243gw0/electronic-hobby-kit/x/f/2/2mm-pitch-female-burg-strip-40-pin-5-pcs-prime-intact-original-imag5pxpqjxcdsgh.jpeg?q=70",1)</f>
        <v/>
      </c>
      <c r="D105" s="215" t="s">
        <v>489</v>
      </c>
      <c r="E105" s="11" t="s">
        <v>178</v>
      </c>
      <c r="F105" s="216">
        <v>100.0</v>
      </c>
      <c r="G105" s="93"/>
      <c r="H105" s="221"/>
    </row>
    <row r="106" ht="45.0" customHeight="1">
      <c r="A106" s="11">
        <v>105.0</v>
      </c>
      <c r="B106" s="93" t="s">
        <v>626</v>
      </c>
      <c r="C106" s="11" t="str">
        <f>IMAGE("https://5.imimg.com/data5/AH/OG/AM/SELLER-5278310/mkc-27701-changeover-reed-switch-500x500.jpg",1)</f>
        <v/>
      </c>
      <c r="D106" s="215" t="s">
        <v>489</v>
      </c>
      <c r="E106" s="11" t="s">
        <v>178</v>
      </c>
      <c r="F106" s="216">
        <v>20.0</v>
      </c>
      <c r="G106" s="93"/>
      <c r="H106" s="11"/>
    </row>
    <row r="107" ht="45.0" customHeight="1">
      <c r="A107" s="11">
        <v>106.0</v>
      </c>
      <c r="B107" s="93" t="s">
        <v>1942</v>
      </c>
      <c r="C107" s="11" t="str">
        <f>IMAGE("https://5.imimg.com/data5/SR/JZ/RD/SELLER-80355495/large-breadboard-800-points--500x500.jpg",1)</f>
        <v/>
      </c>
      <c r="D107" s="215" t="s">
        <v>489</v>
      </c>
      <c r="E107" s="11" t="s">
        <v>178</v>
      </c>
      <c r="F107" s="216">
        <v>10.0</v>
      </c>
      <c r="G107" s="93"/>
      <c r="H107" s="11"/>
    </row>
    <row r="108" ht="45.0" customHeight="1">
      <c r="A108" s="11">
        <v>107.0</v>
      </c>
      <c r="B108" s="93" t="s">
        <v>497</v>
      </c>
      <c r="C108" s="11" t="str">
        <f>IMAGE("https://5.imimg.com/data5/SELLER/Default/2020/12/GY/DK/LM/59387089/400-point-solderless-breadboard-500x500.jpg",1)</f>
        <v/>
      </c>
      <c r="D108" s="215" t="s">
        <v>489</v>
      </c>
      <c r="E108" s="11" t="s">
        <v>178</v>
      </c>
      <c r="F108" s="216">
        <v>10.0</v>
      </c>
      <c r="G108" s="93"/>
      <c r="H108" s="11"/>
    </row>
    <row r="109" ht="45.0" customHeight="1">
      <c r="A109" s="11">
        <v>108.0</v>
      </c>
      <c r="B109" s="93" t="s">
        <v>501</v>
      </c>
      <c r="C109" s="11" t="str">
        <f>IMAGE("https://1ohm.in/wp-content/uploads/2021/07/MB102-3.3V5V-Breadboard-Power-Supply-Module.png",1)</f>
        <v/>
      </c>
      <c r="D109" s="215" t="s">
        <v>489</v>
      </c>
      <c r="E109" s="11" t="s">
        <v>178</v>
      </c>
      <c r="F109" s="216">
        <v>10.0</v>
      </c>
      <c r="G109" s="93"/>
      <c r="H109" s="11"/>
    </row>
    <row r="110" ht="45.0" customHeight="1">
      <c r="A110" s="11">
        <v>109.0</v>
      </c>
      <c r="B110" s="93" t="s">
        <v>509</v>
      </c>
      <c r="C110" s="11" t="str">
        <f>IMAGE("https://5.imimg.com/data5/OF/VW/IL/SELLER-9316309/burg-strips-500x500.jpg",1)</f>
        <v/>
      </c>
      <c r="D110" s="215" t="s">
        <v>489</v>
      </c>
      <c r="E110" s="11" t="s">
        <v>178</v>
      </c>
      <c r="F110" s="216">
        <v>50.0</v>
      </c>
      <c r="G110" s="93"/>
      <c r="H110" s="221"/>
    </row>
    <row r="111" ht="45.0" customHeight="1">
      <c r="A111" s="11">
        <v>110.0</v>
      </c>
      <c r="B111" s="242" t="s">
        <v>513</v>
      </c>
      <c r="C111" s="11" t="str">
        <f>IMAGE("https://www.tomsonelectronics.com/cdn/shop/products/40X1MALERAI_2048x2048.jpg?v=1602835171",1)</f>
        <v/>
      </c>
      <c r="D111" s="215" t="s">
        <v>489</v>
      </c>
      <c r="E111" s="11" t="s">
        <v>178</v>
      </c>
      <c r="F111" s="216">
        <v>50.0</v>
      </c>
      <c r="G111" s="93"/>
      <c r="H111" s="221"/>
    </row>
    <row r="112" ht="45.0" customHeight="1">
      <c r="A112" s="11">
        <v>111.0</v>
      </c>
      <c r="B112" s="240" t="s">
        <v>522</v>
      </c>
      <c r="C112" s="11" t="str">
        <f>IMAGE("https://projectpoint.in/image/cache/catalog/102-672x504.jpg",1)</f>
        <v/>
      </c>
      <c r="D112" s="215" t="s">
        <v>489</v>
      </c>
      <c r="E112" s="11" t="s">
        <v>178</v>
      </c>
      <c r="F112" s="216">
        <v>100.0</v>
      </c>
      <c r="G112" s="93"/>
      <c r="H112" s="11"/>
    </row>
    <row r="113" ht="45.0" customHeight="1">
      <c r="A113" s="11">
        <v>112.0</v>
      </c>
      <c r="B113" s="240" t="s">
        <v>517</v>
      </c>
      <c r="C113" s="11" t="str">
        <f t="shared" ref="C113:C114" si="6">IMAGE("https://projectpoint.in/image/cache/catalog/103-672x504.jpg",1)</f>
        <v/>
      </c>
      <c r="D113" s="215" t="s">
        <v>489</v>
      </c>
      <c r="E113" s="11" t="s">
        <v>178</v>
      </c>
      <c r="F113" s="216">
        <v>100.0</v>
      </c>
      <c r="G113" s="93"/>
      <c r="H113" s="11"/>
    </row>
    <row r="114" ht="45.0" customHeight="1">
      <c r="A114" s="11">
        <v>113.0</v>
      </c>
      <c r="B114" s="240" t="s">
        <v>530</v>
      </c>
      <c r="C114" s="11" t="str">
        <f t="shared" si="6"/>
        <v/>
      </c>
      <c r="D114" s="215" t="s">
        <v>489</v>
      </c>
      <c r="E114" s="11" t="s">
        <v>178</v>
      </c>
      <c r="F114" s="216">
        <v>100.0</v>
      </c>
      <c r="G114" s="93"/>
      <c r="H114" s="11"/>
    </row>
    <row r="115" ht="45.0" customHeight="1">
      <c r="A115" s="11">
        <v>114.0</v>
      </c>
      <c r="B115" s="240" t="s">
        <v>526</v>
      </c>
      <c r="C115" s="11" t="str">
        <f t="shared" ref="C115:C117" si="7">IMAGE("https://www.ato.com/content/images/thumbs/0011952_01f-50v-disc-ceramic-capacitor_550.jpeg",1)</f>
        <v/>
      </c>
      <c r="D115" s="215" t="s">
        <v>489</v>
      </c>
      <c r="E115" s="11" t="s">
        <v>178</v>
      </c>
      <c r="F115" s="216">
        <v>100.0</v>
      </c>
      <c r="G115" s="93"/>
      <c r="H115" s="11"/>
    </row>
    <row r="116" ht="45.0" customHeight="1">
      <c r="A116" s="11">
        <v>115.0</v>
      </c>
      <c r="B116" s="240" t="s">
        <v>566</v>
      </c>
      <c r="C116" s="11" t="str">
        <f t="shared" si="7"/>
        <v/>
      </c>
      <c r="D116" s="215" t="s">
        <v>489</v>
      </c>
      <c r="E116" s="11" t="s">
        <v>178</v>
      </c>
      <c r="F116" s="216">
        <v>50.0</v>
      </c>
      <c r="G116" s="93"/>
      <c r="H116" s="11"/>
    </row>
    <row r="117" ht="45.0" customHeight="1">
      <c r="A117" s="11">
        <v>116.0</v>
      </c>
      <c r="B117" s="240" t="s">
        <v>574</v>
      </c>
      <c r="C117" s="11" t="str">
        <f t="shared" si="7"/>
        <v/>
      </c>
      <c r="D117" s="215" t="s">
        <v>489</v>
      </c>
      <c r="E117" s="11" t="s">
        <v>178</v>
      </c>
      <c r="F117" s="216">
        <v>50.0</v>
      </c>
      <c r="G117" s="93"/>
      <c r="H117" s="11"/>
    </row>
    <row r="118" ht="45.0" customHeight="1">
      <c r="A118" s="11">
        <v>117.0</v>
      </c>
      <c r="B118" s="240" t="s">
        <v>534</v>
      </c>
      <c r="C118" s="11" t="str">
        <f>IMAGE("https://projectpoint.in/image/cache/catalog/22uf-450v-672x504.jpg",1)</f>
        <v/>
      </c>
      <c r="D118" s="215" t="s">
        <v>489</v>
      </c>
      <c r="E118" s="11" t="s">
        <v>178</v>
      </c>
      <c r="F118" s="216">
        <v>20.0</v>
      </c>
      <c r="G118" s="93"/>
      <c r="H118" s="11"/>
    </row>
    <row r="119" ht="45.0" customHeight="1">
      <c r="A119" s="11">
        <v>118.0</v>
      </c>
      <c r="B119" s="240" t="s">
        <v>550</v>
      </c>
      <c r="C119" s="11" t="str">
        <f>IMAGE("https://res.cloudinary.com/rsc/image/upload/b_rgb:FFFFFF,c_pad,dpr_1.0,f_auto,q_auto,w_700/c_pad,w_700/F5201539-01",1)</f>
        <v/>
      </c>
      <c r="D119" s="215" t="s">
        <v>489</v>
      </c>
      <c r="E119" s="11" t="s">
        <v>178</v>
      </c>
      <c r="F119" s="216">
        <v>20.0</v>
      </c>
      <c r="G119" s="93"/>
      <c r="H119" s="11"/>
    </row>
    <row r="120" ht="45.0" customHeight="1">
      <c r="A120" s="11">
        <v>119.0</v>
      </c>
      <c r="B120" s="240" t="s">
        <v>570</v>
      </c>
      <c r="C120" s="11" t="str">
        <f>IMAGE("https://sharvielectronics.com/wp-content/uploads/2020/02/2.2uF-50V-Electrolytic-Capacitor.jpg",1)</f>
        <v/>
      </c>
      <c r="D120" s="215" t="s">
        <v>489</v>
      </c>
      <c r="E120" s="11" t="s">
        <v>178</v>
      </c>
      <c r="F120" s="216">
        <v>50.0</v>
      </c>
      <c r="G120" s="93"/>
      <c r="H120" s="11"/>
    </row>
    <row r="121" ht="45.0" customHeight="1">
      <c r="A121" s="11">
        <v>120.0</v>
      </c>
      <c r="B121" s="240" t="s">
        <v>538</v>
      </c>
      <c r="C121" s="11" t="str">
        <f>IMAGE("https://projectpoint.in/image/cache/catalog/22uf-450v-672x504.jpg",1)</f>
        <v/>
      </c>
      <c r="D121" s="215" t="s">
        <v>489</v>
      </c>
      <c r="E121" s="11" t="s">
        <v>178</v>
      </c>
      <c r="F121" s="216">
        <v>50.0</v>
      </c>
      <c r="G121" s="93"/>
      <c r="H121" s="11"/>
    </row>
    <row r="122" ht="45.0" customHeight="1">
      <c r="A122" s="11">
        <v>121.0</v>
      </c>
      <c r="B122" s="240" t="s">
        <v>554</v>
      </c>
      <c r="C122" s="11" t="str">
        <f>IMAGE("https://5.imimg.com/data5/SP/GM/AD/SELLER-84581978/keltron-2200uf-35-v-electrolytic-capacitors-500x500.jpg",1)</f>
        <v/>
      </c>
      <c r="D122" s="215" t="s">
        <v>489</v>
      </c>
      <c r="E122" s="11" t="s">
        <v>178</v>
      </c>
      <c r="F122" s="216">
        <v>20.0</v>
      </c>
      <c r="G122" s="93"/>
      <c r="H122" s="11"/>
    </row>
    <row r="123" ht="45.0" customHeight="1">
      <c r="A123" s="11">
        <v>122.0</v>
      </c>
      <c r="B123" s="240" t="s">
        <v>578</v>
      </c>
      <c r="C123" s="11" t="str">
        <f>IMAGE("https://5.imimg.com/data5/QO/AU/MY-77080729/uge-electrolytic-capacitors-500x375-500x500.jpg",1)</f>
        <v/>
      </c>
      <c r="D123" s="215" t="s">
        <v>489</v>
      </c>
      <c r="E123" s="11" t="s">
        <v>178</v>
      </c>
      <c r="F123" s="216">
        <v>20.0</v>
      </c>
      <c r="G123" s="93"/>
      <c r="H123" s="11"/>
    </row>
    <row r="124" ht="45.0" customHeight="1">
      <c r="A124" s="11">
        <v>123.0</v>
      </c>
      <c r="B124" s="240" t="s">
        <v>542</v>
      </c>
      <c r="C124" s="11"/>
      <c r="D124" s="215" t="s">
        <v>489</v>
      </c>
      <c r="E124" s="11" t="s">
        <v>178</v>
      </c>
      <c r="F124" s="216">
        <v>100.0</v>
      </c>
      <c r="G124" s="93"/>
      <c r="H124" s="11"/>
    </row>
    <row r="125" ht="45.0" customHeight="1">
      <c r="A125" s="11">
        <v>124.0</v>
      </c>
      <c r="B125" s="240" t="s">
        <v>558</v>
      </c>
      <c r="C125" s="11" t="str">
        <f>IMAGE("https://5.imimg.com/data5/SP/GM/AD/SELLER-84581978/keltron-2200uf-35-v-electrolytic-capacitors-500x500.jpg",1)</f>
        <v/>
      </c>
      <c r="D125" s="215" t="s">
        <v>489</v>
      </c>
      <c r="E125" s="11" t="s">
        <v>178</v>
      </c>
      <c r="F125" s="216">
        <v>100.0</v>
      </c>
      <c r="G125" s="93"/>
      <c r="H125" s="11"/>
    </row>
    <row r="126" ht="45.0" customHeight="1">
      <c r="A126" s="11">
        <v>125.0</v>
      </c>
      <c r="B126" s="115" t="s">
        <v>582</v>
      </c>
      <c r="C126" s="11" t="str">
        <f>IMAGE("https://5.imimg.com/data5/JL/JS/ZA/SELLER-21614932/4-7uf-400v-keltron-capacitor-500x500.jpg",1)</f>
        <v/>
      </c>
      <c r="D126" s="215" t="s">
        <v>489</v>
      </c>
      <c r="E126" s="11" t="s">
        <v>178</v>
      </c>
      <c r="F126" s="216">
        <v>50.0</v>
      </c>
      <c r="G126" s="93"/>
      <c r="H126" s="11"/>
    </row>
    <row r="127" ht="45.0" customHeight="1">
      <c r="A127" s="11">
        <v>126.0</v>
      </c>
      <c r="B127" s="115" t="s">
        <v>546</v>
      </c>
      <c r="C127" s="11" t="str">
        <f>IMAGE("https://projectpoint.in/image/cache/catalog/47uf-250v-672x504.jpg",1)</f>
        <v/>
      </c>
      <c r="D127" s="215" t="s">
        <v>489</v>
      </c>
      <c r="E127" s="11" t="s">
        <v>178</v>
      </c>
      <c r="F127" s="216">
        <v>50.0</v>
      </c>
      <c r="G127" s="93"/>
      <c r="H127" s="11"/>
    </row>
    <row r="128" ht="45.0" customHeight="1">
      <c r="A128" s="11">
        <v>127.0</v>
      </c>
      <c r="B128" s="115" t="s">
        <v>562</v>
      </c>
      <c r="C128" s="11" t="str">
        <f>IMAGE("https://5.imimg.com/data5/QO/AU/MY-77080729/uge-electrolytic-capacitors-500x375-500x500.jpg",1)</f>
        <v/>
      </c>
      <c r="D128" s="215" t="s">
        <v>489</v>
      </c>
      <c r="E128" s="11" t="s">
        <v>178</v>
      </c>
      <c r="F128" s="216">
        <v>20.0</v>
      </c>
      <c r="G128" s="93"/>
      <c r="H128" s="11"/>
    </row>
    <row r="129" ht="45.0" customHeight="1">
      <c r="A129" s="11">
        <v>128.0</v>
      </c>
      <c r="B129" s="93" t="s">
        <v>590</v>
      </c>
      <c r="C129" s="11" t="str">
        <f t="shared" ref="C129:C130" si="8">IMAGE("https://m.media-amazon.com/images/W/MEDIAX_792452-T2/images/I/41A+MQfyyEL.jpg",1)</f>
        <v/>
      </c>
      <c r="D129" s="215" t="s">
        <v>489</v>
      </c>
      <c r="E129" s="11" t="s">
        <v>178</v>
      </c>
      <c r="F129" s="216">
        <v>20.0</v>
      </c>
      <c r="G129" s="93"/>
      <c r="H129" s="11"/>
    </row>
    <row r="130" ht="45.0" customHeight="1">
      <c r="A130" s="11">
        <v>129.0</v>
      </c>
      <c r="B130" s="93" t="s">
        <v>594</v>
      </c>
      <c r="C130" s="11" t="str">
        <f t="shared" si="8"/>
        <v/>
      </c>
      <c r="D130" s="215" t="s">
        <v>489</v>
      </c>
      <c r="E130" s="11" t="s">
        <v>178</v>
      </c>
      <c r="F130" s="216">
        <v>20.0</v>
      </c>
      <c r="G130" s="93"/>
      <c r="H130" s="11"/>
    </row>
    <row r="131" ht="45.0" customHeight="1">
      <c r="A131" s="11">
        <v>130.0</v>
      </c>
      <c r="B131" s="93" t="s">
        <v>1860</v>
      </c>
      <c r="C131" s="11" t="str">
        <f>IMAGE("https://www.electronicscomp.com/image/cache/catalog/cd4033-5-stage-johnson-decade-counter-ic-dip-16-800x800.jpg",1)</f>
        <v/>
      </c>
      <c r="D131" s="215" t="s">
        <v>489</v>
      </c>
      <c r="E131" s="11" t="s">
        <v>178</v>
      </c>
      <c r="F131" s="216">
        <v>20.0</v>
      </c>
      <c r="G131" s="93"/>
      <c r="H131" s="221"/>
    </row>
    <row r="132" ht="45.0" customHeight="1">
      <c r="A132" s="11">
        <v>131.0</v>
      </c>
      <c r="B132" s="93" t="s">
        <v>1862</v>
      </c>
      <c r="C132" s="11" t="str">
        <f>IMAGE("https://robu.in/wp-content/uploads/2018/11/LM358P-PDIP-8-High-Gain-Operational-Amplifier-Pack-of-5-ICs-9.jpg",1)</f>
        <v/>
      </c>
      <c r="D132" s="215" t="s">
        <v>489</v>
      </c>
      <c r="E132" s="11" t="s">
        <v>178</v>
      </c>
      <c r="F132" s="216">
        <v>20.0</v>
      </c>
      <c r="G132" s="93"/>
      <c r="H132" s="221"/>
    </row>
    <row r="133" ht="45.0" customHeight="1">
      <c r="A133" s="11">
        <v>132.0</v>
      </c>
      <c r="B133" s="93" t="s">
        <v>2085</v>
      </c>
      <c r="C133" s="11" t="str">
        <f>IMAGE("https://potentiallabs.com/cart/image/cache/catalog/2021/555-timer-ic-400x400.jpeg",1)</f>
        <v/>
      </c>
      <c r="D133" s="215" t="s">
        <v>489</v>
      </c>
      <c r="E133" s="11" t="s">
        <v>178</v>
      </c>
      <c r="F133" s="216">
        <v>20.0</v>
      </c>
      <c r="G133" s="93"/>
      <c r="H133" s="248"/>
    </row>
    <row r="134" ht="45.0" customHeight="1">
      <c r="A134" s="11">
        <v>133.0</v>
      </c>
      <c r="B134" s="93" t="s">
        <v>603</v>
      </c>
      <c r="C134" s="11" t="str">
        <f>IMAGE("https://rukminim2.flixcart.com/image/832/832/xif0q/electronic-hobby-kit/d/o/s/50-pcs-blue-led-5mm-kitsguru-original-imaghfqbjbn4hshz.jpeg?q=70",1)</f>
        <v/>
      </c>
      <c r="D134" s="215" t="s">
        <v>489</v>
      </c>
      <c r="E134" s="11" t="s">
        <v>178</v>
      </c>
      <c r="F134" s="216">
        <v>500.0</v>
      </c>
      <c r="G134" s="93"/>
      <c r="H134" s="244"/>
    </row>
    <row r="135" ht="45.0" customHeight="1">
      <c r="A135" s="11">
        <v>134.0</v>
      </c>
      <c r="B135" s="93" t="s">
        <v>607</v>
      </c>
      <c r="C135" s="11" t="str">
        <f>IMAGE("https://rukminim2.flixcart.com/image/832/832/krz97rk0/electronic-hobby-kit/r/p/r/5mm-green-led-light-emitting-diode-highlight-for-arduino-pack-of-original-imag5n63ad6pnxqe.jpeg?q=70", 1)</f>
        <v/>
      </c>
      <c r="D135" s="215" t="s">
        <v>489</v>
      </c>
      <c r="E135" s="11" t="s">
        <v>178</v>
      </c>
      <c r="F135" s="216">
        <v>500.0</v>
      </c>
      <c r="G135" s="93"/>
      <c r="H135" s="244"/>
    </row>
    <row r="136" ht="45.0" customHeight="1">
      <c r="A136" s="11">
        <v>135.0</v>
      </c>
      <c r="B136" s="93" t="s">
        <v>610</v>
      </c>
      <c r="C136" s="11" t="str">
        <f>IMAGE("https://rukminim2.flixcart.com/image/832/832/ktrk13k0/electronic-hobby-kit/u/f/w/10-pcs-5mm-round-diffused-red-color-led-light-bulb-lamp-light-original-imag7ff6rchccrbz.jpeg?q=70", 1)</f>
        <v/>
      </c>
      <c r="D136" s="215" t="s">
        <v>489</v>
      </c>
      <c r="E136" s="11" t="s">
        <v>178</v>
      </c>
      <c r="F136" s="216">
        <v>500.0</v>
      </c>
      <c r="G136" s="93"/>
      <c r="H136" s="244"/>
    </row>
    <row r="137" ht="45.0" customHeight="1">
      <c r="A137" s="11">
        <v>136.0</v>
      </c>
      <c r="B137" s="93" t="s">
        <v>614</v>
      </c>
      <c r="C137" s="11" t="str">
        <f>IMAGE("https://robu.in/wp-content/uploads/2020/10/5mm-DIP-Led-White.png", 1)</f>
        <v/>
      </c>
      <c r="D137" s="215" t="s">
        <v>489</v>
      </c>
      <c r="E137" s="11" t="s">
        <v>178</v>
      </c>
      <c r="F137" s="216">
        <v>500.0</v>
      </c>
      <c r="G137" s="93"/>
      <c r="H137" s="244"/>
    </row>
    <row r="138" ht="45.0" customHeight="1">
      <c r="A138" s="11">
        <v>137.0</v>
      </c>
      <c r="B138" s="93" t="s">
        <v>618</v>
      </c>
      <c r="C138" s="11" t="str">
        <f>IMAGE("https://robu.in/wp-content/uploads/2020/10/5-mm-DIP-Led-Yellow.png", 1)</f>
        <v/>
      </c>
      <c r="D138" s="215" t="s">
        <v>489</v>
      </c>
      <c r="E138" s="11" t="s">
        <v>178</v>
      </c>
      <c r="F138" s="216">
        <v>500.0</v>
      </c>
      <c r="G138" s="93"/>
      <c r="H138" s="244"/>
    </row>
    <row r="139" ht="45.0" customHeight="1">
      <c r="A139" s="11">
        <v>138.0</v>
      </c>
      <c r="B139" s="93" t="s">
        <v>622</v>
      </c>
      <c r="C139" s="11" t="str">
        <f>IMAGE("https://image.robotistan.com/5mm-transparent-rgb-led-2633-11-O.jpg", 1)</f>
        <v/>
      </c>
      <c r="D139" s="215" t="s">
        <v>489</v>
      </c>
      <c r="E139" s="11" t="s">
        <v>178</v>
      </c>
      <c r="F139" s="216">
        <v>100.0</v>
      </c>
      <c r="G139" s="93"/>
      <c r="H139" s="244"/>
    </row>
    <row r="140" ht="45.0" customHeight="1">
      <c r="A140" s="11">
        <v>139.0</v>
      </c>
      <c r="B140" s="93" t="s">
        <v>630</v>
      </c>
      <c r="C140" s="11" t="str">
        <f t="shared" ref="C140:C141" si="9">IMAGE("https://www.electronicscomp.com/image/cache/catalog/irfz44-n-channel-power-mosfet-1-800x800.JPG",1)</f>
        <v/>
      </c>
      <c r="D140" s="215" t="s">
        <v>489</v>
      </c>
      <c r="E140" s="11" t="s">
        <v>178</v>
      </c>
      <c r="F140" s="216">
        <v>20.0</v>
      </c>
      <c r="G140" s="93"/>
      <c r="H140" s="11"/>
    </row>
    <row r="141" ht="45.0" customHeight="1">
      <c r="A141" s="11">
        <v>140.0</v>
      </c>
      <c r="B141" s="93" t="s">
        <v>634</v>
      </c>
      <c r="C141" s="11" t="str">
        <f t="shared" si="9"/>
        <v/>
      </c>
      <c r="D141" s="215" t="s">
        <v>489</v>
      </c>
      <c r="E141" s="11" t="s">
        <v>178</v>
      </c>
      <c r="F141" s="216">
        <v>20.0</v>
      </c>
      <c r="G141" s="93"/>
      <c r="H141" s="11"/>
    </row>
    <row r="142" ht="45.0" customHeight="1">
      <c r="A142" s="11">
        <v>141.0</v>
      </c>
      <c r="B142" s="93" t="s">
        <v>886</v>
      </c>
      <c r="C142" s="11" t="str">
        <f>IMAGE("https://www.olelectronics.in/wp-content/uploads/Miniature-Vibration-Motor.png",1)</f>
        <v/>
      </c>
      <c r="D142" s="215" t="s">
        <v>489</v>
      </c>
      <c r="E142" s="11" t="s">
        <v>178</v>
      </c>
      <c r="F142" s="216">
        <v>20.0</v>
      </c>
      <c r="G142" s="93"/>
      <c r="H142" s="221"/>
    </row>
    <row r="143" ht="45.0" customHeight="1">
      <c r="A143" s="11">
        <v>142.0</v>
      </c>
      <c r="B143" s="93" t="s">
        <v>642</v>
      </c>
      <c r="C143" s="11" t="str">
        <f t="shared" ref="C143:C146" si="10">IMAGE("https://m.media-amazon.com/images/I/31ALofIyvBL._SX466_.jpg",1)</f>
        <v/>
      </c>
      <c r="D143" s="215" t="s">
        <v>489</v>
      </c>
      <c r="E143" s="11" t="s">
        <v>178</v>
      </c>
      <c r="F143" s="216">
        <v>20.0</v>
      </c>
      <c r="G143" s="93"/>
      <c r="H143" s="11"/>
    </row>
    <row r="144" ht="45.0" customHeight="1">
      <c r="A144" s="11">
        <v>143.0</v>
      </c>
      <c r="B144" s="93" t="s">
        <v>646</v>
      </c>
      <c r="C144" s="11" t="str">
        <f t="shared" si="10"/>
        <v/>
      </c>
      <c r="D144" s="215" t="s">
        <v>489</v>
      </c>
      <c r="E144" s="11" t="s">
        <v>178</v>
      </c>
      <c r="F144" s="216">
        <v>20.0</v>
      </c>
      <c r="G144" s="93"/>
      <c r="H144" s="245"/>
    </row>
    <row r="145" ht="45.0" customHeight="1">
      <c r="A145" s="11">
        <v>144.0</v>
      </c>
      <c r="B145" s="242" t="s">
        <v>650</v>
      </c>
      <c r="C145" s="11" t="str">
        <f t="shared" si="10"/>
        <v/>
      </c>
      <c r="D145" s="215" t="s">
        <v>489</v>
      </c>
      <c r="E145" s="11" t="s">
        <v>178</v>
      </c>
      <c r="F145" s="216">
        <v>20.0</v>
      </c>
      <c r="G145" s="93"/>
      <c r="H145" s="245"/>
    </row>
    <row r="146" ht="45.0" customHeight="1">
      <c r="A146" s="11">
        <v>145.0</v>
      </c>
      <c r="B146" s="242" t="s">
        <v>654</v>
      </c>
      <c r="C146" s="11" t="str">
        <f t="shared" si="10"/>
        <v/>
      </c>
      <c r="D146" s="215" t="s">
        <v>489</v>
      </c>
      <c r="E146" s="11" t="s">
        <v>178</v>
      </c>
      <c r="F146" s="216">
        <v>20.0</v>
      </c>
      <c r="G146" s="93"/>
      <c r="H146" s="11"/>
    </row>
    <row r="147" ht="45.0" customHeight="1">
      <c r="A147" s="11">
        <v>146.0</v>
      </c>
      <c r="B147" s="242" t="s">
        <v>874</v>
      </c>
      <c r="C147" s="11" t="str">
        <f t="shared" ref="C147:C149" si="11">IMAGE("https://probots.co.in/pub/media/catalog/product/cache/d8ddd0f9b0cd008b57085cd218b48832/1/k/1k_ohm_variable_resistor_potentiometer1-1000x1000_12.jpg",1)</f>
        <v/>
      </c>
      <c r="D147" s="215" t="s">
        <v>489</v>
      </c>
      <c r="E147" s="11" t="s">
        <v>178</v>
      </c>
      <c r="F147" s="216">
        <v>20.0</v>
      </c>
      <c r="G147" s="93"/>
      <c r="H147" s="11"/>
    </row>
    <row r="148" ht="45.0" customHeight="1">
      <c r="A148" s="11">
        <v>147.0</v>
      </c>
      <c r="B148" s="242" t="s">
        <v>878</v>
      </c>
      <c r="C148" s="11" t="str">
        <f t="shared" si="11"/>
        <v/>
      </c>
      <c r="D148" s="215" t="s">
        <v>489</v>
      </c>
      <c r="E148" s="11" t="s">
        <v>178</v>
      </c>
      <c r="F148" s="216">
        <v>20.0</v>
      </c>
      <c r="G148" s="93"/>
      <c r="H148" s="11"/>
    </row>
    <row r="149" ht="45.0" customHeight="1">
      <c r="A149" s="11">
        <v>148.0</v>
      </c>
      <c r="B149" s="242" t="s">
        <v>882</v>
      </c>
      <c r="C149" s="11" t="str">
        <f t="shared" si="11"/>
        <v/>
      </c>
      <c r="D149" s="215" t="s">
        <v>489</v>
      </c>
      <c r="E149" s="11" t="s">
        <v>178</v>
      </c>
      <c r="F149" s="216">
        <v>20.0</v>
      </c>
      <c r="G149" s="93"/>
      <c r="H149" s="11"/>
    </row>
    <row r="150" ht="45.0" customHeight="1">
      <c r="A150" s="11">
        <v>149.0</v>
      </c>
      <c r="B150" s="240" t="s">
        <v>662</v>
      </c>
      <c r="C150" s="11" t="str">
        <f t="shared" ref="C150:C191" si="12">IMAGE("https://projectpoint.in/image/cache/catalog/CFR_Resistor_Kit-672x504.jpg",1)</f>
        <v/>
      </c>
      <c r="D150" s="215" t="s">
        <v>489</v>
      </c>
      <c r="E150" s="11" t="s">
        <v>178</v>
      </c>
      <c r="F150" s="216">
        <v>100.0</v>
      </c>
      <c r="G150" s="93"/>
      <c r="H150" s="11"/>
    </row>
    <row r="151" ht="45.0" customHeight="1">
      <c r="A151" s="11">
        <v>150.0</v>
      </c>
      <c r="B151" s="240" t="s">
        <v>1757</v>
      </c>
      <c r="C151" s="11" t="str">
        <f t="shared" si="12"/>
        <v/>
      </c>
      <c r="D151" s="215" t="s">
        <v>489</v>
      </c>
      <c r="E151" s="11" t="s">
        <v>178</v>
      </c>
      <c r="F151" s="216">
        <v>100.0</v>
      </c>
      <c r="G151" s="93"/>
      <c r="H151" s="11"/>
    </row>
    <row r="152" ht="45.0" customHeight="1">
      <c r="A152" s="11">
        <v>151.0</v>
      </c>
      <c r="B152" s="240" t="s">
        <v>698</v>
      </c>
      <c r="C152" s="11" t="str">
        <f t="shared" si="12"/>
        <v/>
      </c>
      <c r="D152" s="215" t="s">
        <v>489</v>
      </c>
      <c r="E152" s="11" t="s">
        <v>178</v>
      </c>
      <c r="F152" s="216">
        <v>100.0</v>
      </c>
      <c r="G152" s="93"/>
      <c r="H152" s="11"/>
    </row>
    <row r="153" ht="45.0" customHeight="1">
      <c r="A153" s="11">
        <v>152.0</v>
      </c>
      <c r="B153" s="240" t="s">
        <v>706</v>
      </c>
      <c r="C153" s="11" t="str">
        <f t="shared" si="12"/>
        <v/>
      </c>
      <c r="D153" s="215" t="s">
        <v>489</v>
      </c>
      <c r="E153" s="11" t="s">
        <v>178</v>
      </c>
      <c r="F153" s="216">
        <v>100.0</v>
      </c>
      <c r="G153" s="93"/>
      <c r="H153" s="11"/>
    </row>
    <row r="154" ht="45.0" customHeight="1">
      <c r="A154" s="11">
        <v>153.0</v>
      </c>
      <c r="B154" s="240" t="s">
        <v>718</v>
      </c>
      <c r="C154" s="11" t="str">
        <f t="shared" si="12"/>
        <v/>
      </c>
      <c r="D154" s="215" t="s">
        <v>489</v>
      </c>
      <c r="E154" s="11" t="s">
        <v>178</v>
      </c>
      <c r="F154" s="216">
        <v>100.0</v>
      </c>
      <c r="G154" s="93"/>
      <c r="H154" s="11"/>
    </row>
    <row r="155" ht="45.0" customHeight="1">
      <c r="A155" s="11">
        <v>154.0</v>
      </c>
      <c r="B155" s="240" t="s">
        <v>734</v>
      </c>
      <c r="C155" s="11" t="str">
        <f t="shared" si="12"/>
        <v/>
      </c>
      <c r="D155" s="215" t="s">
        <v>489</v>
      </c>
      <c r="E155" s="11" t="s">
        <v>178</v>
      </c>
      <c r="F155" s="216">
        <v>100.0</v>
      </c>
      <c r="G155" s="93"/>
      <c r="H155" s="11"/>
    </row>
    <row r="156" ht="45.0" customHeight="1">
      <c r="A156" s="11">
        <v>155.0</v>
      </c>
      <c r="B156" s="240" t="s">
        <v>1779</v>
      </c>
      <c r="C156" s="11" t="str">
        <f t="shared" si="12"/>
        <v/>
      </c>
      <c r="D156" s="215" t="s">
        <v>489</v>
      </c>
      <c r="E156" s="11" t="s">
        <v>178</v>
      </c>
      <c r="F156" s="216">
        <v>100.0</v>
      </c>
      <c r="G156" s="93"/>
      <c r="H156" s="246"/>
    </row>
    <row r="157" ht="45.0" customHeight="1">
      <c r="A157" s="11">
        <v>156.0</v>
      </c>
      <c r="B157" s="240" t="s">
        <v>754</v>
      </c>
      <c r="C157" s="11" t="str">
        <f t="shared" si="12"/>
        <v/>
      </c>
      <c r="D157" s="215" t="s">
        <v>489</v>
      </c>
      <c r="E157" s="11" t="s">
        <v>178</v>
      </c>
      <c r="F157" s="216">
        <v>100.0</v>
      </c>
      <c r="G157" s="93"/>
      <c r="H157" s="246"/>
    </row>
    <row r="158" ht="45.0" customHeight="1">
      <c r="A158" s="11">
        <v>157.0</v>
      </c>
      <c r="B158" s="240" t="s">
        <v>774</v>
      </c>
      <c r="C158" s="11" t="str">
        <f t="shared" si="12"/>
        <v/>
      </c>
      <c r="D158" s="215" t="s">
        <v>489</v>
      </c>
      <c r="E158" s="11" t="s">
        <v>178</v>
      </c>
      <c r="F158" s="216">
        <v>100.0</v>
      </c>
      <c r="G158" s="93"/>
      <c r="H158" s="246"/>
    </row>
    <row r="159" ht="45.0" customHeight="1">
      <c r="A159" s="11">
        <v>158.0</v>
      </c>
      <c r="B159" s="240" t="s">
        <v>658</v>
      </c>
      <c r="C159" s="11" t="str">
        <f t="shared" si="12"/>
        <v/>
      </c>
      <c r="D159" s="215" t="s">
        <v>489</v>
      </c>
      <c r="E159" s="11" t="s">
        <v>178</v>
      </c>
      <c r="F159" s="216">
        <v>100.0</v>
      </c>
      <c r="G159" s="93"/>
      <c r="H159" s="246"/>
    </row>
    <row r="160" ht="45.0" customHeight="1">
      <c r="A160" s="11">
        <v>159.0</v>
      </c>
      <c r="B160" s="240" t="s">
        <v>1792</v>
      </c>
      <c r="C160" s="11" t="str">
        <f t="shared" si="12"/>
        <v/>
      </c>
      <c r="D160" s="215" t="s">
        <v>489</v>
      </c>
      <c r="E160" s="11" t="s">
        <v>178</v>
      </c>
      <c r="F160" s="216">
        <v>100.0</v>
      </c>
      <c r="G160" s="93"/>
      <c r="H160" s="246"/>
    </row>
    <row r="161" ht="45.0" customHeight="1">
      <c r="A161" s="11">
        <v>160.0</v>
      </c>
      <c r="B161" s="240" t="s">
        <v>690</v>
      </c>
      <c r="C161" s="11" t="str">
        <f t="shared" si="12"/>
        <v/>
      </c>
      <c r="D161" s="215" t="s">
        <v>489</v>
      </c>
      <c r="E161" s="11" t="s">
        <v>178</v>
      </c>
      <c r="F161" s="216">
        <v>100.0</v>
      </c>
      <c r="G161" s="93"/>
      <c r="H161" s="246"/>
    </row>
    <row r="162" ht="45.0" customHeight="1">
      <c r="A162" s="11">
        <v>161.0</v>
      </c>
      <c r="B162" s="240" t="s">
        <v>1799</v>
      </c>
      <c r="C162" s="11" t="str">
        <f t="shared" si="12"/>
        <v/>
      </c>
      <c r="D162" s="215" t="s">
        <v>489</v>
      </c>
      <c r="E162" s="11" t="s">
        <v>178</v>
      </c>
      <c r="F162" s="216">
        <v>100.0</v>
      </c>
      <c r="G162" s="93"/>
      <c r="H162" s="246"/>
    </row>
    <row r="163" ht="45.0" customHeight="1">
      <c r="A163" s="11">
        <v>162.0</v>
      </c>
      <c r="B163" s="240" t="s">
        <v>710</v>
      </c>
      <c r="C163" s="11" t="str">
        <f t="shared" si="12"/>
        <v/>
      </c>
      <c r="D163" s="215" t="s">
        <v>489</v>
      </c>
      <c r="E163" s="11" t="s">
        <v>178</v>
      </c>
      <c r="F163" s="216">
        <v>100.0</v>
      </c>
      <c r="G163" s="93"/>
      <c r="H163" s="246"/>
    </row>
    <row r="164" ht="45.0" customHeight="1">
      <c r="A164" s="11">
        <v>163.0</v>
      </c>
      <c r="B164" s="240" t="s">
        <v>726</v>
      </c>
      <c r="C164" s="11" t="str">
        <f t="shared" si="12"/>
        <v/>
      </c>
      <c r="D164" s="215" t="s">
        <v>489</v>
      </c>
      <c r="E164" s="11" t="s">
        <v>178</v>
      </c>
      <c r="F164" s="216">
        <v>100.0</v>
      </c>
      <c r="G164" s="93"/>
      <c r="H164" s="246"/>
    </row>
    <row r="165" ht="45.0" customHeight="1">
      <c r="A165" s="11">
        <v>164.0</v>
      </c>
      <c r="B165" s="240" t="s">
        <v>1808</v>
      </c>
      <c r="C165" s="11" t="str">
        <f t="shared" si="12"/>
        <v/>
      </c>
      <c r="D165" s="215" t="s">
        <v>489</v>
      </c>
      <c r="E165" s="11" t="s">
        <v>178</v>
      </c>
      <c r="F165" s="216">
        <v>100.0</v>
      </c>
      <c r="G165" s="93"/>
      <c r="H165" s="246"/>
    </row>
    <row r="166" ht="45.0" customHeight="1">
      <c r="A166" s="11">
        <v>165.0</v>
      </c>
      <c r="B166" s="240" t="s">
        <v>746</v>
      </c>
      <c r="C166" s="11" t="str">
        <f t="shared" si="12"/>
        <v/>
      </c>
      <c r="D166" s="215" t="s">
        <v>489</v>
      </c>
      <c r="E166" s="11" t="s">
        <v>178</v>
      </c>
      <c r="F166" s="216">
        <v>100.0</v>
      </c>
      <c r="G166" s="93"/>
      <c r="H166" s="246"/>
    </row>
    <row r="167" ht="45.0" customHeight="1">
      <c r="A167" s="11">
        <v>166.0</v>
      </c>
      <c r="B167" s="240" t="s">
        <v>766</v>
      </c>
      <c r="C167" s="11" t="str">
        <f t="shared" si="12"/>
        <v/>
      </c>
      <c r="D167" s="215" t="s">
        <v>489</v>
      </c>
      <c r="E167" s="11" t="s">
        <v>178</v>
      </c>
      <c r="F167" s="216">
        <v>100.0</v>
      </c>
      <c r="G167" s="93"/>
      <c r="H167" s="246"/>
    </row>
    <row r="168" ht="45.0" customHeight="1">
      <c r="A168" s="11">
        <v>167.0</v>
      </c>
      <c r="B168" s="240" t="s">
        <v>678</v>
      </c>
      <c r="C168" s="11" t="str">
        <f t="shared" si="12"/>
        <v/>
      </c>
      <c r="D168" s="215" t="s">
        <v>489</v>
      </c>
      <c r="E168" s="11" t="s">
        <v>178</v>
      </c>
      <c r="F168" s="216">
        <v>100.0</v>
      </c>
      <c r="G168" s="93"/>
      <c r="H168" s="246"/>
    </row>
    <row r="169" ht="45.0" customHeight="1">
      <c r="A169" s="11">
        <v>168.0</v>
      </c>
      <c r="B169" s="240" t="s">
        <v>686</v>
      </c>
      <c r="C169" s="11" t="str">
        <f t="shared" si="12"/>
        <v/>
      </c>
      <c r="D169" s="215" t="s">
        <v>489</v>
      </c>
      <c r="E169" s="11" t="s">
        <v>178</v>
      </c>
      <c r="F169" s="216">
        <v>100.0</v>
      </c>
      <c r="G169" s="93"/>
      <c r="H169" s="246"/>
    </row>
    <row r="170" ht="45.0" customHeight="1">
      <c r="A170" s="11">
        <v>169.0</v>
      </c>
      <c r="B170" s="240" t="s">
        <v>742</v>
      </c>
      <c r="C170" s="11" t="str">
        <f t="shared" si="12"/>
        <v/>
      </c>
      <c r="D170" s="215" t="s">
        <v>489</v>
      </c>
      <c r="E170" s="11" t="s">
        <v>178</v>
      </c>
      <c r="F170" s="216">
        <v>100.0</v>
      </c>
      <c r="G170" s="93"/>
      <c r="H170" s="246"/>
    </row>
    <row r="171" ht="45.0" customHeight="1">
      <c r="A171" s="11">
        <v>170.0</v>
      </c>
      <c r="B171" s="240" t="s">
        <v>666</v>
      </c>
      <c r="C171" s="11" t="str">
        <f t="shared" si="12"/>
        <v/>
      </c>
      <c r="D171" s="215" t="s">
        <v>489</v>
      </c>
      <c r="E171" s="11" t="s">
        <v>178</v>
      </c>
      <c r="F171" s="216">
        <v>100.0</v>
      </c>
      <c r="G171" s="93"/>
      <c r="H171" s="246"/>
    </row>
    <row r="172" ht="45.0" customHeight="1">
      <c r="A172" s="11">
        <v>171.0</v>
      </c>
      <c r="B172" s="240" t="s">
        <v>794</v>
      </c>
      <c r="C172" s="11" t="str">
        <f t="shared" si="12"/>
        <v/>
      </c>
      <c r="D172" s="215" t="s">
        <v>489</v>
      </c>
      <c r="E172" s="11" t="s">
        <v>178</v>
      </c>
      <c r="F172" s="216">
        <v>100.0</v>
      </c>
      <c r="G172" s="93"/>
      <c r="H172" s="246"/>
    </row>
    <row r="173" ht="45.0" customHeight="1">
      <c r="A173" s="11">
        <v>172.0</v>
      </c>
      <c r="B173" s="240" t="s">
        <v>702</v>
      </c>
      <c r="C173" s="11" t="str">
        <f t="shared" si="12"/>
        <v/>
      </c>
      <c r="D173" s="215" t="s">
        <v>489</v>
      </c>
      <c r="E173" s="11" t="s">
        <v>178</v>
      </c>
      <c r="F173" s="216">
        <v>100.0</v>
      </c>
      <c r="G173" s="93"/>
      <c r="H173" s="246"/>
    </row>
    <row r="174" ht="45.0" customHeight="1">
      <c r="A174" s="11">
        <v>173.0</v>
      </c>
      <c r="B174" s="240" t="s">
        <v>806</v>
      </c>
      <c r="C174" s="11" t="str">
        <f t="shared" si="12"/>
        <v/>
      </c>
      <c r="D174" s="215" t="s">
        <v>489</v>
      </c>
      <c r="E174" s="11" t="s">
        <v>178</v>
      </c>
      <c r="F174" s="216">
        <v>100.0</v>
      </c>
      <c r="G174" s="93"/>
      <c r="H174" s="246"/>
    </row>
    <row r="175" ht="45.0" customHeight="1">
      <c r="A175" s="11">
        <v>174.0</v>
      </c>
      <c r="B175" s="240" t="s">
        <v>722</v>
      </c>
      <c r="C175" s="11" t="str">
        <f t="shared" si="12"/>
        <v/>
      </c>
      <c r="D175" s="215" t="s">
        <v>489</v>
      </c>
      <c r="E175" s="11" t="s">
        <v>178</v>
      </c>
      <c r="F175" s="216">
        <v>100.0</v>
      </c>
      <c r="G175" s="93"/>
      <c r="H175" s="246"/>
    </row>
    <row r="176" ht="45.0" customHeight="1">
      <c r="A176" s="11">
        <v>175.0</v>
      </c>
      <c r="B176" s="240" t="s">
        <v>738</v>
      </c>
      <c r="C176" s="11" t="str">
        <f t="shared" si="12"/>
        <v/>
      </c>
      <c r="D176" s="215" t="s">
        <v>489</v>
      </c>
      <c r="E176" s="11" t="s">
        <v>178</v>
      </c>
      <c r="F176" s="216">
        <v>100.0</v>
      </c>
      <c r="G176" s="93"/>
      <c r="H176" s="246"/>
    </row>
    <row r="177" ht="45.0" customHeight="1">
      <c r="A177" s="11">
        <v>176.0</v>
      </c>
      <c r="B177" s="240" t="s">
        <v>822</v>
      </c>
      <c r="C177" s="11" t="str">
        <f t="shared" si="12"/>
        <v/>
      </c>
      <c r="D177" s="215" t="s">
        <v>489</v>
      </c>
      <c r="E177" s="11" t="s">
        <v>178</v>
      </c>
      <c r="F177" s="216">
        <v>100.0</v>
      </c>
      <c r="G177" s="93"/>
      <c r="H177" s="246"/>
    </row>
    <row r="178" ht="45.0" customHeight="1">
      <c r="A178" s="11">
        <v>177.0</v>
      </c>
      <c r="B178" s="240" t="s">
        <v>758</v>
      </c>
      <c r="C178" s="11" t="str">
        <f t="shared" si="12"/>
        <v/>
      </c>
      <c r="D178" s="215" t="s">
        <v>489</v>
      </c>
      <c r="E178" s="11" t="s">
        <v>178</v>
      </c>
      <c r="F178" s="216">
        <v>100.0</v>
      </c>
      <c r="G178" s="93"/>
      <c r="H178" s="246"/>
    </row>
    <row r="179" ht="45.0" customHeight="1">
      <c r="A179" s="11">
        <v>178.0</v>
      </c>
      <c r="B179" s="240" t="s">
        <v>778</v>
      </c>
      <c r="C179" s="11" t="str">
        <f t="shared" si="12"/>
        <v/>
      </c>
      <c r="D179" s="215" t="s">
        <v>489</v>
      </c>
      <c r="E179" s="11" t="s">
        <v>178</v>
      </c>
      <c r="F179" s="216">
        <v>100.0</v>
      </c>
      <c r="G179" s="93"/>
      <c r="H179" s="246"/>
    </row>
    <row r="180" ht="45.0" customHeight="1">
      <c r="A180" s="11">
        <v>179.0</v>
      </c>
      <c r="B180" s="240" t="s">
        <v>670</v>
      </c>
      <c r="C180" s="11" t="str">
        <f t="shared" si="12"/>
        <v/>
      </c>
      <c r="D180" s="215" t="s">
        <v>489</v>
      </c>
      <c r="E180" s="11" t="s">
        <v>178</v>
      </c>
      <c r="F180" s="216">
        <v>100.0</v>
      </c>
      <c r="G180" s="93"/>
      <c r="H180" s="246"/>
    </row>
    <row r="181" ht="45.0" customHeight="1">
      <c r="A181" s="11">
        <v>180.0</v>
      </c>
      <c r="B181" s="240" t="s">
        <v>786</v>
      </c>
      <c r="C181" s="11" t="str">
        <f t="shared" si="12"/>
        <v/>
      </c>
      <c r="D181" s="215" t="s">
        <v>489</v>
      </c>
      <c r="E181" s="11" t="s">
        <v>178</v>
      </c>
      <c r="F181" s="216">
        <v>100.0</v>
      </c>
      <c r="G181" s="93"/>
      <c r="H181" s="246"/>
    </row>
    <row r="182" ht="45.0" customHeight="1">
      <c r="A182" s="11">
        <v>181.0</v>
      </c>
      <c r="B182" s="240" t="s">
        <v>674</v>
      </c>
      <c r="C182" s="11" t="str">
        <f t="shared" si="12"/>
        <v/>
      </c>
      <c r="D182" s="215" t="s">
        <v>489</v>
      </c>
      <c r="E182" s="11" t="s">
        <v>178</v>
      </c>
      <c r="F182" s="216">
        <v>100.0</v>
      </c>
      <c r="G182" s="93"/>
      <c r="H182" s="246"/>
    </row>
    <row r="183" ht="45.0" customHeight="1">
      <c r="A183" s="11">
        <v>182.0</v>
      </c>
      <c r="B183" s="240" t="s">
        <v>694</v>
      </c>
      <c r="C183" s="11" t="str">
        <f t="shared" si="12"/>
        <v/>
      </c>
      <c r="D183" s="215" t="s">
        <v>489</v>
      </c>
      <c r="E183" s="11" t="s">
        <v>178</v>
      </c>
      <c r="F183" s="216">
        <v>100.0</v>
      </c>
      <c r="G183" s="93"/>
      <c r="H183" s="246"/>
    </row>
    <row r="184" ht="45.0" customHeight="1">
      <c r="A184" s="11">
        <v>183.0</v>
      </c>
      <c r="B184" s="240" t="s">
        <v>802</v>
      </c>
      <c r="C184" s="11" t="str">
        <f t="shared" si="12"/>
        <v/>
      </c>
      <c r="D184" s="215" t="s">
        <v>489</v>
      </c>
      <c r="E184" s="11" t="s">
        <v>178</v>
      </c>
      <c r="F184" s="216">
        <v>100.0</v>
      </c>
      <c r="G184" s="93"/>
      <c r="H184" s="246"/>
    </row>
    <row r="185" ht="45.0" customHeight="1">
      <c r="A185" s="11">
        <v>184.0</v>
      </c>
      <c r="B185" s="240" t="s">
        <v>714</v>
      </c>
      <c r="C185" s="11" t="str">
        <f t="shared" si="12"/>
        <v/>
      </c>
      <c r="D185" s="215" t="s">
        <v>489</v>
      </c>
      <c r="E185" s="11" t="s">
        <v>178</v>
      </c>
      <c r="F185" s="216">
        <v>100.0</v>
      </c>
      <c r="G185" s="93"/>
      <c r="H185" s="246"/>
    </row>
    <row r="186" ht="45.0" customHeight="1">
      <c r="A186" s="11">
        <v>185.0</v>
      </c>
      <c r="B186" s="115" t="s">
        <v>730</v>
      </c>
      <c r="C186" s="11" t="str">
        <f t="shared" si="12"/>
        <v/>
      </c>
      <c r="D186" s="215" t="s">
        <v>489</v>
      </c>
      <c r="E186" s="11" t="s">
        <v>178</v>
      </c>
      <c r="F186" s="216">
        <v>100.0</v>
      </c>
      <c r="G186" s="93"/>
      <c r="H186" s="246"/>
    </row>
    <row r="187" ht="45.0" customHeight="1">
      <c r="A187" s="11">
        <v>186.0</v>
      </c>
      <c r="B187" s="115" t="s">
        <v>814</v>
      </c>
      <c r="C187" s="11" t="str">
        <f t="shared" si="12"/>
        <v/>
      </c>
      <c r="D187" s="215" t="s">
        <v>489</v>
      </c>
      <c r="E187" s="11" t="s">
        <v>178</v>
      </c>
      <c r="F187" s="216">
        <v>100.0</v>
      </c>
      <c r="G187" s="93"/>
      <c r="H187" s="246"/>
    </row>
    <row r="188" ht="45.0" customHeight="1">
      <c r="A188" s="11">
        <v>187.0</v>
      </c>
      <c r="B188" s="115" t="s">
        <v>750</v>
      </c>
      <c r="C188" s="11" t="str">
        <f t="shared" si="12"/>
        <v/>
      </c>
      <c r="D188" s="215" t="s">
        <v>489</v>
      </c>
      <c r="E188" s="11" t="s">
        <v>178</v>
      </c>
      <c r="F188" s="216">
        <v>100.0</v>
      </c>
      <c r="G188" s="93"/>
      <c r="H188" s="246"/>
    </row>
    <row r="189" ht="45.0" customHeight="1">
      <c r="A189" s="11">
        <v>188.0</v>
      </c>
      <c r="B189" s="115" t="s">
        <v>762</v>
      </c>
      <c r="C189" s="11" t="str">
        <f t="shared" si="12"/>
        <v/>
      </c>
      <c r="D189" s="215" t="s">
        <v>489</v>
      </c>
      <c r="E189" s="11" t="s">
        <v>178</v>
      </c>
      <c r="F189" s="216">
        <v>100.0</v>
      </c>
      <c r="G189" s="93"/>
      <c r="H189" s="246"/>
    </row>
    <row r="190" ht="45.0" customHeight="1">
      <c r="A190" s="11">
        <v>189.0</v>
      </c>
      <c r="B190" s="115" t="s">
        <v>770</v>
      </c>
      <c r="C190" s="11" t="str">
        <f t="shared" si="12"/>
        <v/>
      </c>
      <c r="D190" s="215" t="s">
        <v>489</v>
      </c>
      <c r="E190" s="11" t="s">
        <v>178</v>
      </c>
      <c r="F190" s="216">
        <v>100.0</v>
      </c>
      <c r="G190" s="93"/>
      <c r="H190" s="246"/>
    </row>
    <row r="191" ht="45.0" customHeight="1">
      <c r="A191" s="11">
        <v>190.0</v>
      </c>
      <c r="B191" s="115" t="s">
        <v>682</v>
      </c>
      <c r="C191" s="11" t="str">
        <f t="shared" si="12"/>
        <v/>
      </c>
      <c r="D191" s="215" t="s">
        <v>489</v>
      </c>
      <c r="E191" s="11" t="s">
        <v>178</v>
      </c>
      <c r="F191" s="216">
        <v>100.0</v>
      </c>
      <c r="G191" s="93"/>
      <c r="H191" s="246"/>
    </row>
    <row r="192" ht="45.0" customHeight="1">
      <c r="A192" s="11">
        <v>191.0</v>
      </c>
      <c r="B192" s="93" t="s">
        <v>488</v>
      </c>
      <c r="C192" s="11" t="str">
        <f>IMAGE("https://m.media-amazon.com/images/I/51BByYhTjOL._SX425_.jpg",1)</f>
        <v/>
      </c>
      <c r="D192" s="215" t="s">
        <v>489</v>
      </c>
      <c r="E192" s="11" t="s">
        <v>178</v>
      </c>
      <c r="F192" s="216">
        <v>20.0</v>
      </c>
      <c r="G192" s="93"/>
      <c r="H192" s="11"/>
    </row>
    <row r="193" ht="45.0" customHeight="1">
      <c r="A193" s="11">
        <v>192.0</v>
      </c>
      <c r="B193" s="93" t="s">
        <v>1804</v>
      </c>
      <c r="C193" s="11" t="str">
        <f>IMAGE("https://5.imimg.com/data5/FI/FV/DZ/SELLER-22718366/27-mm-3p-piezoelectric-buzzer-plate-500x500.jpg",1)</f>
        <v/>
      </c>
      <c r="D193" s="215" t="s">
        <v>489</v>
      </c>
      <c r="E193" s="11" t="s">
        <v>178</v>
      </c>
      <c r="F193" s="216">
        <v>20.0</v>
      </c>
      <c r="G193" s="93"/>
      <c r="H193" s="11"/>
    </row>
    <row r="194" ht="45.0" customHeight="1">
      <c r="A194" s="11">
        <v>193.0</v>
      </c>
      <c r="B194" s="93" t="s">
        <v>826</v>
      </c>
      <c r="C194" s="11" t="str">
        <f>IMAGE("https://encrypted-tbn0.gstatic.com/images?q=tbn:ANd9GcR-ur1Cl_3Rq82qZ9KbLtZX3U_7cevDQWdUVA&amp;usqp=CAU",1)</f>
        <v/>
      </c>
      <c r="D194" s="215" t="s">
        <v>489</v>
      </c>
      <c r="E194" s="11" t="s">
        <v>178</v>
      </c>
      <c r="F194" s="216">
        <v>100.0</v>
      </c>
      <c r="G194" s="93"/>
      <c r="H194" s="11"/>
    </row>
    <row r="195" ht="45.0" customHeight="1">
      <c r="A195" s="11">
        <v>194.0</v>
      </c>
      <c r="B195" s="93" t="s">
        <v>830</v>
      </c>
      <c r="C195" s="11" t="str">
        <f>IMAGE("https://m.media-amazon.com/images/I/51khY6g46VL._AC_SL1500_.jpg",1)</f>
        <v/>
      </c>
      <c r="D195" s="215" t="s">
        <v>489</v>
      </c>
      <c r="E195" s="11" t="s">
        <v>178</v>
      </c>
      <c r="F195" s="216">
        <v>50.0</v>
      </c>
      <c r="G195" s="93"/>
      <c r="H195" s="221"/>
    </row>
    <row r="196" ht="45.0" customHeight="1">
      <c r="A196" s="11">
        <v>195.0</v>
      </c>
      <c r="B196" s="93" t="s">
        <v>834</v>
      </c>
      <c r="C196" s="11" t="str">
        <f>IMAGE("https://etstore.in/wp-content/uploads/2021/12/IMG_20201130_100203.png",1)</f>
        <v/>
      </c>
      <c r="D196" s="215" t="s">
        <v>489</v>
      </c>
      <c r="E196" s="11" t="s">
        <v>178</v>
      </c>
      <c r="F196" s="216">
        <v>50.0</v>
      </c>
      <c r="G196" s="93"/>
      <c r="H196" s="247"/>
    </row>
    <row r="197" ht="45.0" customHeight="1">
      <c r="A197" s="11">
        <v>196.0</v>
      </c>
      <c r="B197" s="93" t="s">
        <v>838</v>
      </c>
      <c r="C197" s="11" t="str">
        <f>IMAGE("https://m.media-amazon.com/images/I/71UDXftBeaL._SX466_.jpg",1)</f>
        <v/>
      </c>
      <c r="D197" s="215" t="s">
        <v>489</v>
      </c>
      <c r="E197" s="11" t="s">
        <v>178</v>
      </c>
      <c r="F197" s="216">
        <v>50.0</v>
      </c>
      <c r="G197" s="93"/>
      <c r="H197" s="244"/>
    </row>
    <row r="198" ht="45.0" customHeight="1">
      <c r="A198" s="11">
        <v>197.0</v>
      </c>
      <c r="B198" s="93" t="s">
        <v>842</v>
      </c>
      <c r="C198" s="11" t="str">
        <f>IMAGE("https://m.media-amazon.com/images/I/4116hBQx0XL._SX425_.jpg",1)</f>
        <v/>
      </c>
      <c r="D198" s="215" t="s">
        <v>489</v>
      </c>
      <c r="E198" s="11" t="s">
        <v>178</v>
      </c>
      <c r="F198" s="216">
        <v>50.0</v>
      </c>
      <c r="G198" s="93"/>
      <c r="H198" s="245"/>
    </row>
    <row r="199" ht="45.0" customHeight="1">
      <c r="A199" s="11">
        <v>198.0</v>
      </c>
      <c r="B199" s="93" t="s">
        <v>850</v>
      </c>
      <c r="C199" s="11" t="str">
        <f>IMAGE("https://5.imimg.com/data5/SELLER/Default/2020/8/IJ/BD/HA/84543611/2n3904-transistor-500x500.jpg",1)</f>
        <v/>
      </c>
      <c r="D199" s="215" t="s">
        <v>489</v>
      </c>
      <c r="E199" s="11" t="s">
        <v>178</v>
      </c>
      <c r="F199" s="216">
        <v>100.0</v>
      </c>
      <c r="G199" s="93"/>
      <c r="H199" s="246"/>
    </row>
    <row r="200" ht="45.0" customHeight="1">
      <c r="A200" s="11">
        <v>199.0</v>
      </c>
      <c r="B200" s="93" t="s">
        <v>854</v>
      </c>
      <c r="C200" s="11" t="str">
        <f>IMAGE("https://rukminim2.flixcart.com/image/832/832/k44hksw0/transistor/d/m/d/100-pics-bc547-npn-transistor-sme-original-imafn3dfw2fqwgxg.jpeg?q=70",1)</f>
        <v/>
      </c>
      <c r="D200" s="215" t="s">
        <v>489</v>
      </c>
      <c r="E200" s="11" t="s">
        <v>178</v>
      </c>
      <c r="F200" s="216">
        <v>100.0</v>
      </c>
      <c r="G200" s="93"/>
      <c r="H200" s="249"/>
    </row>
    <row r="201" ht="45.0" customHeight="1">
      <c r="A201" s="11">
        <v>200.0</v>
      </c>
      <c r="B201" s="93" t="s">
        <v>858</v>
      </c>
      <c r="C201" s="11" t="str">
        <f>IMAGE("https://m.media-amazon.com/images/W/MEDIAX_792452-T2/images/I/31po6g2eu+L.jpg",1)</f>
        <v/>
      </c>
      <c r="D201" s="215" t="s">
        <v>489</v>
      </c>
      <c r="E201" s="11" t="s">
        <v>178</v>
      </c>
      <c r="F201" s="216">
        <v>100.0</v>
      </c>
      <c r="G201" s="93"/>
      <c r="H201" s="11"/>
    </row>
    <row r="202" ht="45.0" customHeight="1">
      <c r="A202" s="11">
        <v>201.0</v>
      </c>
      <c r="B202" s="93" t="s">
        <v>862</v>
      </c>
      <c r="C202" s="11" t="str">
        <f>IMAGE("https://5.imimg.com/data5/MA/XW/GW/SELLER-84581978/cdil-transistor-bc557-500x500.jpg",1)</f>
        <v/>
      </c>
      <c r="D202" s="215" t="s">
        <v>489</v>
      </c>
      <c r="E202" s="11" t="s">
        <v>178</v>
      </c>
      <c r="F202" s="216">
        <v>100.0</v>
      </c>
      <c r="G202" s="93"/>
      <c r="H202" s="11"/>
    </row>
    <row r="203" ht="45.0" customHeight="1">
      <c r="A203" s="11">
        <v>202.0</v>
      </c>
      <c r="B203" s="93" t="s">
        <v>866</v>
      </c>
      <c r="C203" s="11" t="str">
        <f>IMAGE("https://www.chipmart.in/wp-content/uploads/2022/08/SL100-NPN-General-Purpose-Medium-Power-Transistor-50V-500mA.png",1)</f>
        <v/>
      </c>
      <c r="D203" s="215" t="s">
        <v>489</v>
      </c>
      <c r="E203" s="11" t="s">
        <v>178</v>
      </c>
      <c r="F203" s="216">
        <v>100.0</v>
      </c>
      <c r="G203" s="93"/>
      <c r="H203" s="245"/>
    </row>
    <row r="204" ht="45.0" customHeight="1">
      <c r="A204" s="11">
        <v>203.0</v>
      </c>
      <c r="B204" s="93" t="s">
        <v>870</v>
      </c>
      <c r="C204" s="11" t="str">
        <f>IMAGE("https://5.imimg.com/data5/WJ/EW/MY-25117786/2n2222-npn-transistors-500x500.jpg",1)</f>
        <v/>
      </c>
      <c r="D204" s="215" t="s">
        <v>489</v>
      </c>
      <c r="E204" s="11" t="s">
        <v>178</v>
      </c>
      <c r="F204" s="216">
        <v>100.0</v>
      </c>
      <c r="G204" s="93"/>
      <c r="H204" s="11"/>
    </row>
    <row r="205" ht="45.0" customHeight="1">
      <c r="A205" s="11">
        <v>204.0</v>
      </c>
      <c r="B205" s="270" t="s">
        <v>2157</v>
      </c>
      <c r="C205" s="11"/>
      <c r="D205" s="269" t="s">
        <v>489</v>
      </c>
      <c r="E205" s="221" t="s">
        <v>178</v>
      </c>
      <c r="F205" s="281">
        <v>100.0</v>
      </c>
      <c r="G205" s="93"/>
      <c r="H205" s="221"/>
    </row>
    <row r="206" ht="45.0" customHeight="1">
      <c r="A206" s="11">
        <v>205.0</v>
      </c>
      <c r="B206" s="272" t="s">
        <v>2163</v>
      </c>
      <c r="C206" s="275"/>
      <c r="D206" s="273" t="s">
        <v>489</v>
      </c>
      <c r="E206" s="221" t="s">
        <v>178</v>
      </c>
      <c r="F206" s="274">
        <v>3.0</v>
      </c>
      <c r="G206" s="275"/>
      <c r="H206" s="275"/>
      <c r="I206" s="276"/>
    </row>
    <row r="207" ht="45.0" customHeight="1">
      <c r="A207" s="11">
        <v>206.0</v>
      </c>
      <c r="B207" s="272" t="s">
        <v>2164</v>
      </c>
      <c r="C207" s="275"/>
      <c r="D207" s="273" t="s">
        <v>489</v>
      </c>
      <c r="E207" s="221" t="s">
        <v>178</v>
      </c>
      <c r="F207" s="274">
        <v>20.0</v>
      </c>
      <c r="G207" s="275"/>
      <c r="H207" s="275"/>
      <c r="I207" s="276"/>
    </row>
    <row r="208" ht="45.0" customHeight="1">
      <c r="A208" s="11">
        <v>207.0</v>
      </c>
      <c r="B208" s="272" t="s">
        <v>2165</v>
      </c>
      <c r="C208" s="275"/>
      <c r="D208" s="273" t="s">
        <v>489</v>
      </c>
      <c r="E208" s="221" t="s">
        <v>178</v>
      </c>
      <c r="F208" s="274">
        <v>4.0</v>
      </c>
      <c r="G208" s="275"/>
      <c r="H208" s="275"/>
      <c r="I208" s="276"/>
    </row>
    <row r="209" ht="45.0" customHeight="1">
      <c r="A209" s="11">
        <v>208.0</v>
      </c>
      <c r="B209" s="277" t="s">
        <v>2166</v>
      </c>
      <c r="C209" s="275"/>
      <c r="D209" s="278" t="s">
        <v>489</v>
      </c>
      <c r="E209" s="221" t="s">
        <v>178</v>
      </c>
      <c r="F209" s="279">
        <v>2.0</v>
      </c>
      <c r="G209" s="275"/>
      <c r="H209" s="275"/>
      <c r="I209" s="276"/>
    </row>
    <row r="210" ht="45.0" customHeight="1">
      <c r="A210" s="11">
        <v>209.0</v>
      </c>
      <c r="B210" s="93" t="s">
        <v>1754</v>
      </c>
      <c r="C210" s="11" t="str">
        <f>IMAGE("https://encrypted-tbn0.gstatic.com/images?q=tbn:ANd9GcQ9HdcUbkhENGQnNmIni640zFk33IAUdUx_x0uluq_AFf1Hud04FBhhZQFZXM2xrHw_7W4&amp;usqp=CAU",1)</f>
        <v/>
      </c>
      <c r="D210" s="215" t="s">
        <v>891</v>
      </c>
      <c r="E210" s="11" t="s">
        <v>178</v>
      </c>
      <c r="F210" s="216">
        <v>10.0</v>
      </c>
      <c r="G210" s="93"/>
      <c r="H210" s="11"/>
    </row>
    <row r="211" ht="45.0" customHeight="1">
      <c r="A211" s="11">
        <v>210.0</v>
      </c>
      <c r="B211" s="93" t="s">
        <v>895</v>
      </c>
      <c r="C211" s="11" t="str">
        <f>IMAGE("https://m.media-amazon.com/images/W/MEDIAX_792452-T2/images/I/612Fb4y5P6S._SL1100_.jpg",1)</f>
        <v/>
      </c>
      <c r="D211" s="215" t="s">
        <v>891</v>
      </c>
      <c r="E211" s="11" t="s">
        <v>178</v>
      </c>
      <c r="F211" s="216">
        <v>10.0</v>
      </c>
      <c r="G211" s="93"/>
      <c r="H211" s="11"/>
    </row>
    <row r="212" ht="45.0" customHeight="1">
      <c r="A212" s="11">
        <v>211.0</v>
      </c>
      <c r="B212" s="232" t="s">
        <v>899</v>
      </c>
      <c r="C212" s="222" t="str">
        <f>IMAGE("https://robu.in/wp-content/uploads/2021/05/DC-DC-Boost-Module-0.9V5V-to-5V-600MA-USB-Step-up-Board-5V-Output-1.png",1)</f>
        <v/>
      </c>
      <c r="D212" s="233" t="s">
        <v>891</v>
      </c>
      <c r="E212" s="222" t="s">
        <v>178</v>
      </c>
      <c r="F212" s="222">
        <v>1.0</v>
      </c>
      <c r="G212" s="93"/>
      <c r="H212" s="11"/>
    </row>
    <row r="213" ht="45.0" customHeight="1">
      <c r="A213" s="11">
        <v>212.0</v>
      </c>
      <c r="B213" s="93" t="s">
        <v>923</v>
      </c>
      <c r="C213" s="11" t="str">
        <f>IMAGE("https://robu.in/wp-content/uploads/2017/06/robu-3-13.jpg",1)</f>
        <v/>
      </c>
      <c r="D213" s="215" t="s">
        <v>891</v>
      </c>
      <c r="E213" s="11" t="s">
        <v>178</v>
      </c>
      <c r="F213" s="216">
        <v>5.0</v>
      </c>
      <c r="G213" s="93"/>
      <c r="H213" s="250"/>
    </row>
    <row r="214" ht="45.0" customHeight="1">
      <c r="A214" s="11">
        <v>213.0</v>
      </c>
      <c r="B214" s="93" t="s">
        <v>940</v>
      </c>
      <c r="C214" s="11" t="str">
        <f>IMAGE("https://robu.in/wp-content/uploads/2016/03/Ublox-Neo-6M-GPS.jpg",1)</f>
        <v/>
      </c>
      <c r="D214" s="215" t="s">
        <v>891</v>
      </c>
      <c r="E214" s="11" t="s">
        <v>178</v>
      </c>
      <c r="F214" s="216">
        <v>5.0</v>
      </c>
      <c r="G214" s="93"/>
      <c r="H214" s="11"/>
    </row>
    <row r="215" ht="45.0" customHeight="1">
      <c r="A215" s="11">
        <v>214.0</v>
      </c>
      <c r="B215" s="93" t="s">
        <v>943</v>
      </c>
      <c r="C215" s="11" t="str">
        <f>IMAGE("https://m.media-amazon.com/images/W/MEDIAX_792452-T2/images/I/51cWZAAMiWL._SL1000_.jpg",1)</f>
        <v/>
      </c>
      <c r="D215" s="215" t="s">
        <v>891</v>
      </c>
      <c r="E215" s="11" t="s">
        <v>178</v>
      </c>
      <c r="F215" s="216">
        <v>5.0</v>
      </c>
      <c r="G215" s="93"/>
      <c r="H215" s="11"/>
    </row>
    <row r="216" ht="45.0" customHeight="1">
      <c r="A216" s="11">
        <v>215.0</v>
      </c>
      <c r="B216" s="93" t="s">
        <v>947</v>
      </c>
      <c r="C216" s="11" t="str">
        <f>IMAGE("https://m.media-amazon.com/images/W/MEDIAX_792452-T2/images/I/61wbYlIdx0L._SL1500_.jpg",1)</f>
        <v/>
      </c>
      <c r="D216" s="215" t="s">
        <v>891</v>
      </c>
      <c r="E216" s="11" t="s">
        <v>178</v>
      </c>
      <c r="F216" s="216">
        <v>5.0</v>
      </c>
      <c r="G216" s="93"/>
      <c r="H216" s="11"/>
    </row>
    <row r="217" ht="45.0" customHeight="1">
      <c r="A217" s="11">
        <v>216.0</v>
      </c>
      <c r="B217" s="93" t="s">
        <v>950</v>
      </c>
      <c r="C217" s="11" t="str">
        <f>IMAGE("https://5.imimg.com/data5/SELLER/Default/2022/9/HX/YZ/GJ/43948449/micro-sd-card-adapter-with-level-shifter-500x500.png",1)</f>
        <v/>
      </c>
      <c r="D217" s="215" t="s">
        <v>891</v>
      </c>
      <c r="E217" s="11" t="s">
        <v>178</v>
      </c>
      <c r="F217" s="216">
        <v>10.0</v>
      </c>
      <c r="G217" s="93"/>
      <c r="H217" s="11"/>
    </row>
    <row r="218" ht="45.0" customHeight="1">
      <c r="A218" s="11">
        <v>217.0</v>
      </c>
      <c r="B218" s="93" t="s">
        <v>1958</v>
      </c>
      <c r="C218" s="11" t="str">
        <f>IMAGE("https://robu.in/wp-content/uploads/2020/09/L298P-Motor-Driver-Shield-for-Arduino-3.jpg",1)</f>
        <v/>
      </c>
      <c r="D218" s="215" t="s">
        <v>891</v>
      </c>
      <c r="E218" s="11" t="s">
        <v>178</v>
      </c>
      <c r="F218" s="216">
        <v>10.0</v>
      </c>
      <c r="G218" s="93"/>
      <c r="H218" s="221"/>
    </row>
    <row r="219" ht="45.0" customHeight="1">
      <c r="A219" s="11">
        <v>218.0</v>
      </c>
      <c r="B219" s="93" t="s">
        <v>1760</v>
      </c>
      <c r="C219" s="11" t="str">
        <f>IMAGE("https://m.media-amazon.com/images/I/41Y-5b4TQcL.jpg",1)</f>
        <v/>
      </c>
      <c r="D219" s="215" t="s">
        <v>891</v>
      </c>
      <c r="E219" s="11" t="s">
        <v>178</v>
      </c>
      <c r="F219" s="216">
        <v>5.0</v>
      </c>
      <c r="G219" s="93"/>
      <c r="H219" s="11"/>
    </row>
    <row r="220" ht="45.0" customHeight="1">
      <c r="A220" s="11">
        <v>219.0</v>
      </c>
      <c r="B220" s="93" t="s">
        <v>962</v>
      </c>
      <c r="C220" s="11" t="str">
        <f>IMAGE("https://robu.in/wp-content/uploads/2016/02/617hpF6cJbL._SL1000_.jpg",1)</f>
        <v/>
      </c>
      <c r="D220" s="215" t="s">
        <v>891</v>
      </c>
      <c r="E220" s="11" t="s">
        <v>178</v>
      </c>
      <c r="F220" s="216">
        <v>10.0</v>
      </c>
      <c r="G220" s="93"/>
      <c r="H220" s="221"/>
    </row>
    <row r="221" ht="45.0" customHeight="1">
      <c r="A221" s="11">
        <v>220.0</v>
      </c>
      <c r="B221" s="93" t="s">
        <v>1820</v>
      </c>
      <c r="C221" s="11" t="str">
        <f>IMAGE("https://rukminim1.flixcart.com/image/850/1000/k62i5jk0/solar-panel/7/g/q/diy-projects-6v-80ma-wire-attached-mini-power-solar-cells-for-original-imafzm93vcqqnsat.jpeg?q=20")</f>
        <v/>
      </c>
      <c r="D221" s="215" t="s">
        <v>891</v>
      </c>
      <c r="E221" s="11" t="s">
        <v>178</v>
      </c>
      <c r="F221" s="216">
        <v>10.0</v>
      </c>
      <c r="G221" s="93"/>
      <c r="H221" s="221"/>
    </row>
    <row r="222" ht="45.0" customHeight="1">
      <c r="A222" s="11">
        <v>221.0</v>
      </c>
      <c r="B222" s="93" t="s">
        <v>934</v>
      </c>
      <c r="C222" s="11" t="str">
        <f>IMAGE("https://robu.in/wp-content/uploads/2020/10/TP4056-1A-Li-ion-lithium-Battery-Charging-Module-With-Current-Protection-Type-C-2.png",1)</f>
        <v/>
      </c>
      <c r="D222" s="215" t="s">
        <v>891</v>
      </c>
      <c r="E222" s="11" t="s">
        <v>178</v>
      </c>
      <c r="F222" s="11">
        <v>15.0</v>
      </c>
      <c r="G222" s="93"/>
      <c r="H222" s="11"/>
    </row>
    <row r="223" ht="45.0" customHeight="1">
      <c r="A223" s="11">
        <v>222.0</v>
      </c>
      <c r="B223" s="93" t="s">
        <v>1955</v>
      </c>
      <c r="C223" s="11" t="str">
        <f>IMAGE("https://5.imimg.com/data5/II/UT/SO/SELLER-1968074/16x2-lcd-display-500x500.jpg",1)</f>
        <v/>
      </c>
      <c r="D223" s="215" t="s">
        <v>891</v>
      </c>
      <c r="E223" s="11" t="s">
        <v>178</v>
      </c>
      <c r="F223" s="216">
        <v>10.0</v>
      </c>
      <c r="G223" s="93"/>
      <c r="H223" s="221"/>
    </row>
    <row r="224" ht="45.0" customHeight="1">
      <c r="A224" s="11">
        <v>223.0</v>
      </c>
      <c r="B224" s="93" t="s">
        <v>1811</v>
      </c>
      <c r="C224" s="11" t="str">
        <f>IMAGE("https://m.media-amazon.com/images/I/51l+Qhaiu3L._SL1000_.jpg",1)</f>
        <v/>
      </c>
      <c r="D224" s="215" t="s">
        <v>891</v>
      </c>
      <c r="E224" s="11" t="s">
        <v>178</v>
      </c>
      <c r="F224" s="216">
        <v>10.0</v>
      </c>
      <c r="G224" s="93"/>
      <c r="H224" s="11"/>
    </row>
    <row r="225" ht="45.0" customHeight="1">
      <c r="A225" s="11">
        <v>224.0</v>
      </c>
      <c r="B225" s="93" t="s">
        <v>911</v>
      </c>
      <c r="C225" s="11" t="str">
        <f>IMAGE("https://ashokaonlineshop.in/wp-content/uploads/2022/11/650nm-Mini-Laser-Dot-Diode-Module1.jpeg",1)</f>
        <v/>
      </c>
      <c r="D225" s="215" t="s">
        <v>891</v>
      </c>
      <c r="E225" s="11" t="s">
        <v>178</v>
      </c>
      <c r="F225" s="216">
        <v>20.0</v>
      </c>
      <c r="G225" s="93"/>
      <c r="H225" s="11"/>
    </row>
    <row r="226" ht="45.0" customHeight="1">
      <c r="A226" s="11">
        <v>225.0</v>
      </c>
      <c r="B226" s="93" t="s">
        <v>903</v>
      </c>
      <c r="C226" s="11" t="str">
        <f>IMAGE("https://makerbazar.in/cdn/shop/files/6015fanwithwire_600x.jpg?v=1695792315",1)</f>
        <v/>
      </c>
      <c r="D226" s="215" t="s">
        <v>891</v>
      </c>
      <c r="E226" s="11" t="s">
        <v>178</v>
      </c>
      <c r="F226" s="216">
        <v>5.0</v>
      </c>
      <c r="G226" s="93"/>
      <c r="H226" s="11"/>
    </row>
    <row r="227" ht="45.0" customHeight="1">
      <c r="A227" s="11">
        <v>226.0</v>
      </c>
      <c r="B227" s="93" t="s">
        <v>930</v>
      </c>
      <c r="C227" s="11" t="str">
        <f>IMAGE("https://5.imimg.com/data5/SELLER/Default/2023/2/OP/GV/HH/182244990/water-pump-module-1000x1000.jpg",1)</f>
        <v/>
      </c>
      <c r="D227" s="215" t="s">
        <v>891</v>
      </c>
      <c r="E227" s="11" t="s">
        <v>178</v>
      </c>
      <c r="F227" s="216">
        <v>10.0</v>
      </c>
      <c r="G227" s="93"/>
      <c r="H227" s="11"/>
    </row>
    <row r="228" ht="45.0" customHeight="1">
      <c r="A228" s="11">
        <v>227.0</v>
      </c>
      <c r="B228" s="93" t="s">
        <v>927</v>
      </c>
      <c r="C228" s="11" t="str">
        <f>IMAGE("https://robu.in/wp-content/uploads/2021/05/0.5W-8OHM-Trumpet-Diameter-36mm-1.jpeg",1)</f>
        <v/>
      </c>
      <c r="D228" s="215" t="s">
        <v>891</v>
      </c>
      <c r="E228" s="11" t="s">
        <v>178</v>
      </c>
      <c r="F228" s="216">
        <v>10.0</v>
      </c>
      <c r="G228" s="93"/>
      <c r="H228" s="11"/>
    </row>
    <row r="229" ht="45.0" customHeight="1">
      <c r="A229" s="11">
        <v>228.0</v>
      </c>
      <c r="B229" s="272" t="s">
        <v>2167</v>
      </c>
      <c r="C229" s="275"/>
      <c r="D229" s="273" t="s">
        <v>891</v>
      </c>
      <c r="E229" s="280" t="s">
        <v>178</v>
      </c>
      <c r="F229" s="274">
        <v>10.0</v>
      </c>
      <c r="G229" s="275"/>
      <c r="H229" s="275"/>
      <c r="I229" s="276"/>
    </row>
    <row r="230" ht="45.0" customHeight="1">
      <c r="A230" s="11">
        <v>229.0</v>
      </c>
      <c r="B230" s="272" t="s">
        <v>2168</v>
      </c>
      <c r="C230" s="275"/>
      <c r="D230" s="273" t="s">
        <v>891</v>
      </c>
      <c r="E230" s="280" t="s">
        <v>178</v>
      </c>
      <c r="F230" s="274">
        <v>10.0</v>
      </c>
      <c r="G230" s="275"/>
      <c r="H230" s="275"/>
      <c r="I230" s="276"/>
    </row>
    <row r="231" ht="45.0" customHeight="1">
      <c r="A231" s="11">
        <v>230.0</v>
      </c>
      <c r="B231" s="272" t="s">
        <v>2169</v>
      </c>
      <c r="C231" s="275"/>
      <c r="D231" s="273" t="s">
        <v>891</v>
      </c>
      <c r="E231" s="280" t="s">
        <v>178</v>
      </c>
      <c r="F231" s="274">
        <v>10.0</v>
      </c>
      <c r="G231" s="275"/>
      <c r="H231" s="275"/>
      <c r="I231" s="276"/>
    </row>
    <row r="232" ht="45.0" customHeight="1">
      <c r="A232" s="11">
        <v>231.0</v>
      </c>
      <c r="B232" s="272" t="s">
        <v>2170</v>
      </c>
      <c r="C232" s="275"/>
      <c r="D232" s="273" t="s">
        <v>891</v>
      </c>
      <c r="E232" s="280" t="s">
        <v>178</v>
      </c>
      <c r="F232" s="274">
        <v>4.0</v>
      </c>
      <c r="G232" s="275"/>
      <c r="H232" s="275"/>
      <c r="I232" s="276"/>
    </row>
    <row r="233" ht="45.0" customHeight="1">
      <c r="A233" s="11">
        <v>232.0</v>
      </c>
      <c r="B233" s="93" t="s">
        <v>1767</v>
      </c>
      <c r="C233" s="11" t="str">
        <f>IMAGE("https://m.media-amazon.com/images/I/61PFvg8BbeL._SL1500_.jpg",1)</f>
        <v/>
      </c>
      <c r="D233" s="269" t="s">
        <v>891</v>
      </c>
      <c r="E233" s="11" t="s">
        <v>178</v>
      </c>
      <c r="F233" s="216">
        <v>10.0</v>
      </c>
      <c r="G233" s="215"/>
      <c r="H233" s="11"/>
    </row>
    <row r="234" ht="45.0" customHeight="1">
      <c r="A234" s="11">
        <v>233.0</v>
      </c>
      <c r="B234" s="93" t="s">
        <v>1249</v>
      </c>
      <c r="C234" s="11" t="str">
        <f>IMAGE("https://www.atel-electronics.eu/pic_cache/10/06158.jpg",1)</f>
        <v/>
      </c>
      <c r="D234" s="215" t="s">
        <v>1250</v>
      </c>
      <c r="E234" s="11" t="s">
        <v>178</v>
      </c>
      <c r="F234" s="216">
        <v>7.0</v>
      </c>
      <c r="G234" s="93"/>
      <c r="H234" s="11"/>
    </row>
    <row r="235" ht="45.0" customHeight="1">
      <c r="A235" s="11">
        <v>234.0</v>
      </c>
      <c r="B235" s="93" t="s">
        <v>1254</v>
      </c>
      <c r="C235" s="11" t="str">
        <f>IMAGE("https://in.element14.com/productimages/large/en_GB/IN07444-40.jpg",1)</f>
        <v/>
      </c>
      <c r="D235" s="215" t="s">
        <v>1250</v>
      </c>
      <c r="E235" s="11" t="s">
        <v>178</v>
      </c>
      <c r="F235" s="216">
        <v>1.0</v>
      </c>
      <c r="G235" s="93"/>
      <c r="H235" s="11"/>
    </row>
    <row r="236" ht="45.0" customHeight="1">
      <c r="A236" s="11">
        <v>235.0</v>
      </c>
      <c r="B236" s="93" t="s">
        <v>1258</v>
      </c>
      <c r="C236" s="11" t="str">
        <f>IMAGE("https://m.media-amazon.com/images/I/51LxodXCiyS._SL1000_.jpg",1)</f>
        <v/>
      </c>
      <c r="D236" s="215" t="s">
        <v>1250</v>
      </c>
      <c r="E236" s="11" t="s">
        <v>178</v>
      </c>
      <c r="F236" s="216">
        <v>1.0</v>
      </c>
      <c r="G236" s="93"/>
      <c r="H236" s="11"/>
    </row>
    <row r="237" ht="45.0" customHeight="1">
      <c r="A237" s="11">
        <v>236.0</v>
      </c>
      <c r="B237" s="93" t="s">
        <v>1262</v>
      </c>
      <c r="C237" s="11" t="str">
        <f>IMAGE("https://m.media-amazon.com/images/I/61WLNOGJ4JS.jpg")</f>
        <v/>
      </c>
      <c r="D237" s="215" t="s">
        <v>1250</v>
      </c>
      <c r="E237" s="11" t="s">
        <v>178</v>
      </c>
      <c r="F237" s="216">
        <v>1.0</v>
      </c>
      <c r="G237" s="93"/>
      <c r="H237" s="11"/>
    </row>
    <row r="238" ht="45.0" customHeight="1">
      <c r="A238" s="11">
        <v>237.0</v>
      </c>
      <c r="B238" s="93" t="s">
        <v>1266</v>
      </c>
      <c r="C238" s="11" t="str">
        <f>IMAGE("https://cdn.shopify.com/s/files/1/0559/1970/6265/products/4_61325b1b-840f-41dd-a6d9-0ddb00c5c7bc_1024x1024@2x.png?v=1670588177",1)</f>
        <v/>
      </c>
      <c r="D238" s="215" t="s">
        <v>1250</v>
      </c>
      <c r="E238" s="11" t="s">
        <v>178</v>
      </c>
      <c r="F238" s="216">
        <v>1.0</v>
      </c>
      <c r="G238" s="93"/>
      <c r="H238" s="11"/>
    </row>
    <row r="239" ht="45.0" customHeight="1">
      <c r="A239" s="11">
        <v>238.0</v>
      </c>
      <c r="B239" s="93" t="s">
        <v>1329</v>
      </c>
      <c r="C239" s="11" t="str">
        <f>IMAGE("https://m.media-amazon.com/images/I/61vUDUTouNL._SL1500_.jpg",1)</f>
        <v/>
      </c>
      <c r="D239" s="215" t="s">
        <v>1330</v>
      </c>
      <c r="E239" s="11" t="s">
        <v>178</v>
      </c>
      <c r="F239" s="11">
        <v>100.0</v>
      </c>
      <c r="G239" s="93"/>
      <c r="H239" s="221"/>
    </row>
    <row r="240" ht="45.0" customHeight="1">
      <c r="A240" s="11">
        <v>239.0</v>
      </c>
      <c r="B240" s="93" t="s">
        <v>1335</v>
      </c>
      <c r="C240" s="11" t="str">
        <f>IMAGE("https://m.media-amazon.com/images/I/31ye7Xw2PpL.jpg",1)</f>
        <v/>
      </c>
      <c r="D240" s="215" t="s">
        <v>1330</v>
      </c>
      <c r="E240" s="11" t="s">
        <v>178</v>
      </c>
      <c r="F240" s="11">
        <v>100.0</v>
      </c>
      <c r="G240" s="93"/>
      <c r="H240" s="221"/>
    </row>
    <row r="241" ht="45.0" customHeight="1">
      <c r="A241" s="11">
        <v>240.0</v>
      </c>
      <c r="B241" s="93" t="s">
        <v>1339</v>
      </c>
      <c r="C241" s="11" t="str">
        <f>IMAGE("https://m.media-amazon.com/images/I/414cC-M+nlL._SL1000_.jpg",1)</f>
        <v/>
      </c>
      <c r="D241" s="215" t="s">
        <v>1330</v>
      </c>
      <c r="E241" s="11" t="s">
        <v>178</v>
      </c>
      <c r="F241" s="11">
        <v>10.0</v>
      </c>
      <c r="G241" s="93"/>
      <c r="H241" s="11"/>
    </row>
    <row r="242" ht="45.0" customHeight="1">
      <c r="A242" s="11">
        <v>241.0</v>
      </c>
      <c r="B242" s="93" t="s">
        <v>1344</v>
      </c>
      <c r="C242" s="11" t="str">
        <f>IMAGE("https://m.media-amazon.com/images/I/31nb9BadkoL.jpg",1)</f>
        <v/>
      </c>
      <c r="D242" s="215" t="s">
        <v>1330</v>
      </c>
      <c r="E242" s="11" t="s">
        <v>178</v>
      </c>
      <c r="F242" s="11">
        <v>100.0</v>
      </c>
      <c r="G242" s="93"/>
      <c r="H242" s="221"/>
    </row>
    <row r="243" ht="45.0" customHeight="1">
      <c r="A243" s="11">
        <v>242.0</v>
      </c>
      <c r="B243" s="93" t="s">
        <v>1358</v>
      </c>
      <c r="C243" s="11" t="str">
        <f>IMAGE("https://robu.in/wp-content/uploads/2017/11/mg995-high-speed-digital-metal-gear-2bb-torque-rc-for-servo-hpi-savage-xl-2.jpg",1)</f>
        <v/>
      </c>
      <c r="D243" s="215" t="s">
        <v>1359</v>
      </c>
      <c r="E243" s="11" t="s">
        <v>178</v>
      </c>
      <c r="F243" s="216">
        <v>15.0</v>
      </c>
      <c r="G243" s="93"/>
      <c r="H243" s="11"/>
    </row>
    <row r="244" ht="45.0" customHeight="1">
      <c r="A244" s="11">
        <v>243.0</v>
      </c>
      <c r="B244" s="93" t="s">
        <v>1363</v>
      </c>
      <c r="C244" s="11" t="str">
        <f t="shared" ref="C244:C245" si="13">IMAGE("https://m.media-amazon.com/images/W/MEDIAX_792452-T2/images/I/21bgQSzvxLL.jpg",1)</f>
        <v/>
      </c>
      <c r="D244" s="215" t="s">
        <v>1359</v>
      </c>
      <c r="E244" s="11" t="s">
        <v>178</v>
      </c>
      <c r="F244" s="216">
        <v>30.0</v>
      </c>
      <c r="G244" s="93"/>
      <c r="H244" s="11"/>
    </row>
    <row r="245" ht="45.0" customHeight="1">
      <c r="A245" s="11">
        <v>244.0</v>
      </c>
      <c r="B245" s="93" t="s">
        <v>1367</v>
      </c>
      <c r="C245" s="11" t="str">
        <f t="shared" si="13"/>
        <v/>
      </c>
      <c r="D245" s="215" t="s">
        <v>1359</v>
      </c>
      <c r="E245" s="11" t="s">
        <v>178</v>
      </c>
      <c r="F245" s="216">
        <v>30.0</v>
      </c>
      <c r="G245" s="93"/>
      <c r="H245" s="11"/>
    </row>
    <row r="246" ht="45.0" customHeight="1">
      <c r="A246" s="11">
        <v>245.0</v>
      </c>
      <c r="B246" s="93" t="s">
        <v>1372</v>
      </c>
      <c r="C246" s="11" t="str">
        <f>IMAGE("https://5.imimg.com/data5/DJ/PF/TV/SELLER-95692783/bo-wheel-500x500.jpg",1)</f>
        <v/>
      </c>
      <c r="D246" s="215" t="s">
        <v>1359</v>
      </c>
      <c r="E246" s="11" t="s">
        <v>178</v>
      </c>
      <c r="F246" s="216">
        <v>30.0</v>
      </c>
      <c r="G246" s="93"/>
      <c r="H246" s="11"/>
    </row>
    <row r="247" ht="45.0" customHeight="1">
      <c r="A247" s="11">
        <v>246.0</v>
      </c>
      <c r="B247" s="93" t="s">
        <v>1376</v>
      </c>
      <c r="C247" s="11" t="str">
        <f>IMAGE("https://aryabot.in/wp-content/uploads/2023/10/castor-wheel-big-550x550w.webp",1)</f>
        <v/>
      </c>
      <c r="D247" s="215" t="s">
        <v>1359</v>
      </c>
      <c r="E247" s="11" t="s">
        <v>178</v>
      </c>
      <c r="F247" s="216">
        <v>20.0</v>
      </c>
      <c r="G247" s="93"/>
      <c r="H247" s="11"/>
    </row>
    <row r="248" ht="45.0" customHeight="1">
      <c r="A248" s="11">
        <v>247.0</v>
      </c>
      <c r="B248" s="93" t="s">
        <v>1380</v>
      </c>
      <c r="C248" s="11" t="str">
        <f>IMAGE("https://robu.in/wp-content/uploads/2020/09/DC3-6V-130-DIY-Toy-Motor-2-Pcs.-1.png",1)</f>
        <v/>
      </c>
      <c r="D248" s="215" t="s">
        <v>1359</v>
      </c>
      <c r="E248" s="11" t="s">
        <v>178</v>
      </c>
      <c r="F248" s="216">
        <v>10.0</v>
      </c>
      <c r="G248" s="93"/>
      <c r="H248" s="221"/>
    </row>
    <row r="249" ht="45.0" customHeight="1">
      <c r="A249" s="11">
        <v>248.0</v>
      </c>
      <c r="B249" s="93" t="s">
        <v>1384</v>
      </c>
      <c r="C249" s="11" t="str">
        <f>IMAGE("https://i0.wp.com/www.circuituncle.com/wp-content/uploads/2019/10/mg90s.png?fit=1001%2C1001&amp;ssl=1",1)</f>
        <v/>
      </c>
      <c r="D249" s="215" t="s">
        <v>1359</v>
      </c>
      <c r="E249" s="11" t="s">
        <v>178</v>
      </c>
      <c r="F249" s="216">
        <v>30.0</v>
      </c>
      <c r="G249" s="93"/>
      <c r="H249" s="11"/>
    </row>
    <row r="250" ht="45.0" customHeight="1">
      <c r="A250" s="11">
        <v>249.0</v>
      </c>
      <c r="B250" s="93" t="s">
        <v>1388</v>
      </c>
      <c r="C250" s="11" t="str">
        <f>IMAGE("https://robu.in/wp-content/uploads/2016/04/61nEdk-NxSL._SY355_.jpg",1)</f>
        <v/>
      </c>
      <c r="D250" s="215" t="s">
        <v>1359</v>
      </c>
      <c r="E250" s="11" t="s">
        <v>178</v>
      </c>
      <c r="F250" s="216">
        <v>5.0</v>
      </c>
      <c r="G250" s="93"/>
      <c r="H250" s="221"/>
    </row>
    <row r="251" ht="45.0" customHeight="1">
      <c r="A251" s="11">
        <v>250.0</v>
      </c>
      <c r="B251" s="93" t="s">
        <v>1391</v>
      </c>
      <c r="C251" s="11" t="str">
        <f>IMAGE("https://robu.in/wp-content/uploads/2023/09/34.jpg",1)</f>
        <v/>
      </c>
      <c r="D251" s="215" t="s">
        <v>1359</v>
      </c>
      <c r="E251" s="11" t="s">
        <v>178</v>
      </c>
      <c r="F251" s="237">
        <v>21.0</v>
      </c>
      <c r="G251" s="93"/>
      <c r="H251" s="256"/>
    </row>
    <row r="252" ht="45.0" customHeight="1">
      <c r="A252" s="11">
        <v>251.0</v>
      </c>
      <c r="B252" s="93" t="s">
        <v>1395</v>
      </c>
      <c r="C252" s="11" t="str">
        <f>IMAGE("https://cdn.shopify.com/s/files/1/0088/0056/7392/products/Stepper_motor_with_Driver_board.jpg?v=1552579276",1)</f>
        <v/>
      </c>
      <c r="D252" s="215" t="s">
        <v>1359</v>
      </c>
      <c r="E252" s="11" t="s">
        <v>178</v>
      </c>
      <c r="F252" s="216">
        <v>15.0</v>
      </c>
      <c r="G252" s="93"/>
      <c r="H252" s="11"/>
    </row>
    <row r="253" ht="45.0" customHeight="1">
      <c r="A253" s="11">
        <v>252.0</v>
      </c>
      <c r="B253" s="93" t="s">
        <v>1824</v>
      </c>
      <c r="C253" s="11" t="str">
        <f>IMAGE("https://robu.in/wp-content/uploads/2017/06/31100-2.jpg",1)</f>
        <v/>
      </c>
      <c r="D253" s="215" t="s">
        <v>1514</v>
      </c>
      <c r="E253" s="11" t="s">
        <v>178</v>
      </c>
      <c r="F253" s="216">
        <v>5.0</v>
      </c>
      <c r="G253" s="215"/>
      <c r="H253" s="221"/>
    </row>
    <row r="254" ht="45.0" customHeight="1">
      <c r="A254" s="11">
        <v>253.0</v>
      </c>
      <c r="B254" s="93" t="s">
        <v>1744</v>
      </c>
      <c r="C254" s="11" t="str">
        <f>IMAGE("https://m.media-amazon.com/images/W/MEDIAX_792452-T2/images/I/71PSVpNRPuL._SL1500_.jpg",1)</f>
        <v/>
      </c>
      <c r="D254" s="215" t="s">
        <v>1514</v>
      </c>
      <c r="E254" s="11" t="s">
        <v>178</v>
      </c>
      <c r="F254" s="216">
        <v>5.0</v>
      </c>
      <c r="G254" s="215"/>
      <c r="H254" s="221"/>
    </row>
    <row r="255" ht="45.0" customHeight="1">
      <c r="A255" s="11">
        <v>254.0</v>
      </c>
      <c r="B255" s="93" t="s">
        <v>1526</v>
      </c>
      <c r="C255" s="11" t="str">
        <f>IMAGE("https://robu.in/wp-content/uploads/2016/08/2-1.jpg",1)</f>
        <v/>
      </c>
      <c r="D255" s="215" t="s">
        <v>1514</v>
      </c>
      <c r="E255" s="11" t="s">
        <v>178</v>
      </c>
      <c r="F255" s="216">
        <v>5.0</v>
      </c>
      <c r="G255" s="215"/>
      <c r="H255" s="11"/>
    </row>
    <row r="256" ht="45.0" customHeight="1">
      <c r="A256" s="11">
        <v>255.0</v>
      </c>
      <c r="B256" s="93" t="s">
        <v>1530</v>
      </c>
      <c r="C256" s="11" t="str">
        <f>IMAGE("https://5.imimg.com/data5/SELLER/Default/2023/1/KQ/RE/WN/37611021/unique-india-force-pressure-sensor-square-500x500.jpg",1)</f>
        <v/>
      </c>
      <c r="D256" s="215" t="s">
        <v>1514</v>
      </c>
      <c r="E256" s="11" t="s">
        <v>178</v>
      </c>
      <c r="F256" s="216">
        <v>5.0</v>
      </c>
      <c r="G256" s="215"/>
      <c r="H256" s="11"/>
    </row>
    <row r="257" ht="45.0" customHeight="1">
      <c r="A257" s="11">
        <v>256.0</v>
      </c>
      <c r="B257" s="93" t="s">
        <v>1781</v>
      </c>
      <c r="C257" s="11" t="str">
        <f>IMAGE("https://m.media-amazon.com/images/W/MEDIAX_792452-T2/images/I/61e+2rew8OL._SL1011_.jpg",1)</f>
        <v/>
      </c>
      <c r="D257" s="215" t="s">
        <v>1514</v>
      </c>
      <c r="E257" s="11" t="s">
        <v>178</v>
      </c>
      <c r="F257" s="216">
        <v>10.0</v>
      </c>
      <c r="G257" s="215"/>
      <c r="H257" s="11"/>
    </row>
    <row r="258" ht="45.0" customHeight="1">
      <c r="A258" s="11">
        <v>257.0</v>
      </c>
      <c r="B258" s="93" t="s">
        <v>1791</v>
      </c>
      <c r="C258" s="11" t="str">
        <f>IMAGE("https://makerbazar.in/cdn/shop/products/IR_transmitter-receiver_-_TSOP_1738_600x.jpg?v=1582114496",1)</f>
        <v/>
      </c>
      <c r="D258" s="215" t="s">
        <v>1514</v>
      </c>
      <c r="E258" s="11" t="s">
        <v>178</v>
      </c>
      <c r="F258" s="216">
        <v>5.0</v>
      </c>
      <c r="G258" s="215"/>
      <c r="H258" s="11"/>
    </row>
    <row r="259" ht="45.0" customHeight="1">
      <c r="A259" s="11">
        <v>258.0</v>
      </c>
      <c r="B259" s="93" t="s">
        <v>1786</v>
      </c>
      <c r="C259" s="11" t="str">
        <f>IMAGE("https://makerbazar.in/cdn/shop/products/IR-Array_2048x2048_29f53719-c65f-4f67-a7f9-06b99966bf49_400x.jpg?v=1628014848",1)</f>
        <v/>
      </c>
      <c r="D259" s="215" t="s">
        <v>1514</v>
      </c>
      <c r="E259" s="11" t="s">
        <v>178</v>
      </c>
      <c r="F259" s="216">
        <v>5.0</v>
      </c>
      <c r="G259" s="215"/>
      <c r="H259" s="11"/>
    </row>
    <row r="260" ht="45.0" customHeight="1">
      <c r="A260" s="11">
        <v>259.0</v>
      </c>
      <c r="B260" s="93" t="s">
        <v>1546</v>
      </c>
      <c r="C260" s="11" t="str">
        <f>IMAGE("https://robu.in/wp-content/uploads/2017/05/LDR-module-1.png",1)</f>
        <v/>
      </c>
      <c r="D260" s="215" t="s">
        <v>1514</v>
      </c>
      <c r="E260" s="11" t="s">
        <v>178</v>
      </c>
      <c r="F260" s="216">
        <v>10.0</v>
      </c>
      <c r="G260" s="215"/>
      <c r="H260" s="11"/>
    </row>
    <row r="261" ht="45.0" customHeight="1">
      <c r="A261" s="11">
        <v>260.0</v>
      </c>
      <c r="B261" s="93" t="s">
        <v>1775</v>
      </c>
      <c r="C261" s="253" t="str">
        <f>IMAGE("https://m.media-amazon.com/images/W/MEDIAX_792452-T2/images/I/7158I82c4bL._SL1500_.jpg",1)</f>
        <v/>
      </c>
      <c r="D261" s="215" t="s">
        <v>1514</v>
      </c>
      <c r="E261" s="11" t="s">
        <v>178</v>
      </c>
      <c r="F261" s="216">
        <v>5.0</v>
      </c>
      <c r="G261" s="215"/>
      <c r="H261" s="11"/>
    </row>
    <row r="262" ht="45.0" customHeight="1">
      <c r="A262" s="11">
        <v>261.0</v>
      </c>
      <c r="B262" s="93" t="s">
        <v>1822</v>
      </c>
      <c r="C262" s="12" t="str">
        <f>IMAGE("https://robu.in/wp-content/uploads/2017/09/download-1-2.jpg",1)</f>
        <v/>
      </c>
      <c r="D262" s="215" t="s">
        <v>1514</v>
      </c>
      <c r="E262" s="11" t="s">
        <v>178</v>
      </c>
      <c r="F262" s="216">
        <v>5.0</v>
      </c>
      <c r="G262" s="215"/>
      <c r="H262" s="221"/>
    </row>
    <row r="263" ht="45.0" customHeight="1">
      <c r="A263" s="11">
        <v>262.0</v>
      </c>
      <c r="B263" s="93" t="s">
        <v>1758</v>
      </c>
      <c r="C263" s="11" t="str">
        <f>IMAGE("https://cdn.shopify.com/s/files/1/0088/0056/7392/products/Sound_Detector_Module.jpg?v=1566646449",1)</f>
        <v/>
      </c>
      <c r="D263" s="215" t="s">
        <v>1514</v>
      </c>
      <c r="E263" s="11" t="s">
        <v>178</v>
      </c>
      <c r="F263" s="216">
        <v>10.0</v>
      </c>
      <c r="G263" s="215"/>
      <c r="H263" s="11"/>
    </row>
    <row r="264" ht="45.0" customHeight="1">
      <c r="A264" s="11">
        <v>263.0</v>
      </c>
      <c r="B264" s="93" t="s">
        <v>1789</v>
      </c>
      <c r="C264" s="11" t="str">
        <f>IMAGE("https://encrypted-tbn0.gstatic.com/images?q=tbn:ANd9GcRrIyUWjQ1rnIJDwYms78skSv9zbdkdml4sTR1WfoKl6GFD5OWnZULG8H98AB-i394c3VQ&amp;usqp=CAU",1)</f>
        <v/>
      </c>
      <c r="D264" s="215" t="s">
        <v>1514</v>
      </c>
      <c r="E264" s="11" t="s">
        <v>178</v>
      </c>
      <c r="F264" s="216">
        <v>10.0</v>
      </c>
      <c r="G264" s="215"/>
      <c r="H264" s="11"/>
    </row>
    <row r="265" ht="45.0" customHeight="1">
      <c r="A265" s="11">
        <v>264.0</v>
      </c>
      <c r="B265" s="93" t="s">
        <v>2149</v>
      </c>
      <c r="C265" s="11" t="str">
        <f>IMAGE("https://robu.in/wp-content/uploads/2019/05/MAX30100-Pulse-Oximeter-Heart-Rate-Sensor-Module-2.jpg",1)</f>
        <v/>
      </c>
      <c r="D265" s="215" t="s">
        <v>1514</v>
      </c>
      <c r="E265" s="11" t="s">
        <v>178</v>
      </c>
      <c r="F265" s="216">
        <v>5.0</v>
      </c>
      <c r="G265" s="215"/>
      <c r="H265" s="221"/>
    </row>
    <row r="266" ht="45.0" customHeight="1">
      <c r="A266" s="11">
        <v>265.0</v>
      </c>
      <c r="B266" s="93" t="s">
        <v>1769</v>
      </c>
      <c r="C266" s="11" t="str">
        <f>IMAGE("https://makerbazar.in/cdn/shop/products/Untitled-1_39_1_60x.jpg?v=1637233670",1)</f>
        <v/>
      </c>
      <c r="D266" s="215" t="s">
        <v>1514</v>
      </c>
      <c r="E266" s="11" t="s">
        <v>178</v>
      </c>
      <c r="F266" s="216">
        <v>5.0</v>
      </c>
      <c r="G266" s="215"/>
      <c r="H266" s="221"/>
    </row>
    <row r="267" ht="45.0" customHeight="1">
      <c r="A267" s="11">
        <v>266.0</v>
      </c>
      <c r="B267" s="93" t="s">
        <v>1772</v>
      </c>
      <c r="C267" s="11" t="str">
        <f>IMAGE("https://5.imimg.com/data5/SELLER/Default/2021/6/XN/UI/NS/84973740/mq2-flammable-gas-and-smoke-sensor-module-500x500.jpg",1)</f>
        <v/>
      </c>
      <c r="D267" s="215" t="s">
        <v>1514</v>
      </c>
      <c r="E267" s="11" t="s">
        <v>178</v>
      </c>
      <c r="F267" s="216">
        <v>5.0</v>
      </c>
      <c r="G267" s="215"/>
      <c r="H267" s="11"/>
    </row>
    <row r="268" ht="45.0" customHeight="1">
      <c r="A268" s="11">
        <v>267.0</v>
      </c>
      <c r="B268" s="93" t="s">
        <v>1576</v>
      </c>
      <c r="C268" s="11" t="str">
        <f>IMAGE("https://robu.in/wp-content/uploads/2016/03/12251.jpg",1)</f>
        <v/>
      </c>
      <c r="D268" s="215" t="s">
        <v>1514</v>
      </c>
      <c r="E268" s="11" t="s">
        <v>178</v>
      </c>
      <c r="F268" s="216">
        <v>10.0</v>
      </c>
      <c r="G268" s="215"/>
      <c r="H268" s="11"/>
    </row>
    <row r="269" ht="45.0" customHeight="1">
      <c r="A269" s="11">
        <v>268.0</v>
      </c>
      <c r="B269" s="258" t="s">
        <v>1763</v>
      </c>
      <c r="C269" s="11" t="str">
        <f>IMAGE("https://m.media-amazon.com/images/W/MEDIAX_792452-T2/images/I/61QNSpIV-GL._SL1000_.jpg",1)</f>
        <v/>
      </c>
      <c r="D269" s="215" t="s">
        <v>1514</v>
      </c>
      <c r="E269" s="11" t="s">
        <v>178</v>
      </c>
      <c r="F269" s="216">
        <v>5.0</v>
      </c>
      <c r="G269" s="215"/>
      <c r="H269" s="11"/>
    </row>
    <row r="270" ht="45.0" customHeight="1">
      <c r="A270" s="11">
        <v>269.0</v>
      </c>
      <c r="B270" s="93" t="s">
        <v>1584</v>
      </c>
      <c r="C270" s="11" t="str">
        <f>IMAGE("https://projecthubbharat.com/wp-content/uploads/2022/02/dht-11-sensor-module-india-800x800-1.jpg",1)</f>
        <v/>
      </c>
      <c r="D270" s="215" t="s">
        <v>1514</v>
      </c>
      <c r="E270" s="11" t="s">
        <v>178</v>
      </c>
      <c r="F270" s="216">
        <v>10.0</v>
      </c>
      <c r="G270" s="215"/>
      <c r="H270" s="11"/>
    </row>
    <row r="271" ht="45.0" customHeight="1">
      <c r="A271" s="11">
        <v>270.0</v>
      </c>
      <c r="B271" s="93" t="s">
        <v>1795</v>
      </c>
      <c r="C271" s="11" t="str">
        <f>IMAGE("https://potentiallabs.com/cart/image/cache/catalog/nov-dec/DS18B20-500x500-500x500.jpg",1)</f>
        <v/>
      </c>
      <c r="D271" s="215" t="s">
        <v>1514</v>
      </c>
      <c r="E271" s="11" t="s">
        <v>178</v>
      </c>
      <c r="F271" s="216">
        <v>10.0</v>
      </c>
      <c r="G271" s="215"/>
      <c r="H271" s="11"/>
    </row>
    <row r="272" ht="45.0" customHeight="1">
      <c r="A272" s="11">
        <v>271.0</v>
      </c>
      <c r="B272" s="93" t="s">
        <v>1798</v>
      </c>
      <c r="C272" s="216" t="str">
        <f>IMAGE("https://5.imimg.com/data5/SELLER/Default/2021/9/HF/RK/UF/37611021/10k-ohm-ntc-thermistor-500x500.jpg",1)</f>
        <v/>
      </c>
      <c r="D272" s="215" t="s">
        <v>1514</v>
      </c>
      <c r="E272" s="11" t="s">
        <v>178</v>
      </c>
      <c r="F272" s="216">
        <v>20.0</v>
      </c>
      <c r="G272" s="215"/>
      <c r="H272" s="11"/>
    </row>
    <row r="273" ht="45.0" customHeight="1">
      <c r="A273" s="11">
        <v>272.0</v>
      </c>
      <c r="B273" s="93" t="s">
        <v>1777</v>
      </c>
      <c r="C273" s="11" t="str">
        <f>IMAGE("https://media.distrelec.com/Web/WebShopImages/landscape_large/7-/01/Adafruit_163_30129187-01.jpg",1)</f>
        <v/>
      </c>
      <c r="D273" s="215" t="s">
        <v>1514</v>
      </c>
      <c r="E273" s="11" t="s">
        <v>178</v>
      </c>
      <c r="F273" s="216">
        <v>5.0</v>
      </c>
      <c r="G273" s="215"/>
      <c r="H273" s="11"/>
    </row>
    <row r="274" ht="45.0" customHeight="1">
      <c r="A274" s="11">
        <v>273.0</v>
      </c>
      <c r="B274" s="93" t="s">
        <v>1619</v>
      </c>
      <c r="C274" s="11" t="str">
        <f>IMAGE("https://i0.wp.com/superbtech.in/wp-content/uploads/2020/07/2-60.jpg?fit=500%2C500&amp;ssl=1",1)</f>
        <v/>
      </c>
      <c r="D274" s="215" t="s">
        <v>1514</v>
      </c>
      <c r="E274" s="11" t="s">
        <v>178</v>
      </c>
      <c r="F274" s="216">
        <v>10.0</v>
      </c>
      <c r="G274" s="215"/>
      <c r="H274" s="11"/>
    </row>
    <row r="275" ht="45.0" customHeight="1">
      <c r="A275" s="11">
        <v>274.0</v>
      </c>
      <c r="B275" s="93" t="s">
        <v>1623</v>
      </c>
      <c r="C275" s="11" t="str">
        <f>IMAGE("https://cdn.shopify.com/s/files/1/0559/1970/6265/products/1_9713a8db-db1e-42d0-a3e7-eebb7f66c4e9.jpg?v=1670581925",1)</f>
        <v/>
      </c>
      <c r="D275" s="215" t="s">
        <v>1514</v>
      </c>
      <c r="E275" s="11" t="s">
        <v>178</v>
      </c>
      <c r="F275" s="216">
        <v>5.0</v>
      </c>
      <c r="G275" s="215"/>
      <c r="H275" s="11"/>
    </row>
    <row r="276" ht="45.0" customHeight="1">
      <c r="A276" s="11">
        <v>275.0</v>
      </c>
      <c r="B276" s="93" t="s">
        <v>1627</v>
      </c>
      <c r="C276" s="11" t="str">
        <f>IMAGE("https://m.media-amazon.com/images/W/MEDIAX_792452-T2/images/I/419leG1YjXL.jpg",1)</f>
        <v/>
      </c>
      <c r="D276" s="215" t="s">
        <v>1628</v>
      </c>
      <c r="E276" s="11" t="s">
        <v>178</v>
      </c>
      <c r="F276" s="216">
        <v>10.0</v>
      </c>
      <c r="G276" s="93"/>
      <c r="H276" s="11"/>
    </row>
    <row r="277" ht="45.0" customHeight="1">
      <c r="A277" s="11">
        <v>276.0</v>
      </c>
      <c r="B277" s="93" t="s">
        <v>1633</v>
      </c>
      <c r="C277" s="11" t="str">
        <f>IMAGE("https://i0.wp.com/armsol.in/wp-content/uploads/2021/08/1-5-rotated.jpg?fit=600%2C600&amp;ssl=1",1)</f>
        <v/>
      </c>
      <c r="D277" s="215" t="s">
        <v>1628</v>
      </c>
      <c r="E277" s="11" t="s">
        <v>178</v>
      </c>
      <c r="F277" s="216">
        <v>10.0</v>
      </c>
      <c r="G277" s="93"/>
      <c r="H277" s="11"/>
    </row>
    <row r="278" ht="45.0" customHeight="1">
      <c r="A278" s="11">
        <v>277.0</v>
      </c>
      <c r="B278" s="93" t="s">
        <v>1988</v>
      </c>
      <c r="C278" s="11" t="str">
        <f>IMAGE("https://www.voltaat.com/cdn/shop/products/voltaat-soldering-board-5cm-x-7cm-10728457568358_1024x1024.jpg?v=1628445244")</f>
        <v/>
      </c>
      <c r="D278" s="215" t="s">
        <v>1628</v>
      </c>
      <c r="E278" s="11" t="s">
        <v>178</v>
      </c>
      <c r="F278" s="216">
        <v>30.0</v>
      </c>
      <c r="G278" s="93"/>
      <c r="H278" s="11"/>
    </row>
    <row r="279" ht="45.0" customHeight="1">
      <c r="A279" s="11">
        <v>278.0</v>
      </c>
      <c r="B279" s="93" t="s">
        <v>1989</v>
      </c>
      <c r="C279" s="11" t="str">
        <f>IMAGE("https://m.media-amazon.com/images/W/MEDIAX_792452-T2/images/I/91hMIBtDtPS._SL1500_.jpg")</f>
        <v/>
      </c>
      <c r="D279" s="215" t="s">
        <v>1628</v>
      </c>
      <c r="E279" s="11" t="s">
        <v>178</v>
      </c>
      <c r="F279" s="216">
        <v>10.0</v>
      </c>
      <c r="G279" s="93"/>
      <c r="H279" s="11"/>
    </row>
    <row r="280" ht="45.0" customHeight="1">
      <c r="A280" s="11">
        <v>279.0</v>
      </c>
      <c r="B280" s="93" t="s">
        <v>1646</v>
      </c>
      <c r="C280" s="11" t="str">
        <f>IMAGE("https://5.imimg.com/data5/SELLER/Default/2022/1/IK/KY/AC/131638211/31tvrpe7ijl-500x500.jpg")</f>
        <v/>
      </c>
      <c r="D280" s="215" t="s">
        <v>1628</v>
      </c>
      <c r="E280" s="11" t="s">
        <v>178</v>
      </c>
      <c r="F280" s="216">
        <v>5.0</v>
      </c>
      <c r="G280" s="93"/>
      <c r="H280" s="11"/>
    </row>
    <row r="281" ht="45.0" customHeight="1">
      <c r="A281" s="11">
        <v>280.0</v>
      </c>
      <c r="B281" s="93" t="s">
        <v>1650</v>
      </c>
      <c r="C281" s="11" t="str">
        <f>IMAGE("https://i0.wp.com/roboticsdna.in/wp-content/uploads/2020/11/IRON-TIP-1.png?fit=1000%2C1000&amp;ssl=1",1)</f>
        <v/>
      </c>
      <c r="D281" s="215" t="s">
        <v>1628</v>
      </c>
      <c r="E281" s="11" t="s">
        <v>178</v>
      </c>
      <c r="F281" s="216">
        <v>10.0</v>
      </c>
      <c r="G281" s="93"/>
      <c r="H281" s="11"/>
    </row>
    <row r="282" ht="45.0" customHeight="1">
      <c r="A282" s="11">
        <v>281.0</v>
      </c>
      <c r="B282" s="93" t="s">
        <v>1654</v>
      </c>
      <c r="C282" s="11" t="str">
        <f>IMAGE("https://www.toolworld.in/storage/media/product/1656317774.jpg",1)</f>
        <v/>
      </c>
      <c r="D282" s="215" t="s">
        <v>1628</v>
      </c>
      <c r="E282" s="11" t="s">
        <v>178</v>
      </c>
      <c r="F282" s="216">
        <v>10.0</v>
      </c>
      <c r="G282" s="93"/>
      <c r="H282" s="11"/>
    </row>
    <row r="283" ht="45.0" customHeight="1">
      <c r="A283" s="11">
        <v>282.0</v>
      </c>
      <c r="B283" s="93" t="s">
        <v>1658</v>
      </c>
      <c r="C283" s="11" t="str">
        <f>IMAGE("https://m.media-amazon.com/images/W/MEDIAX_792452-T2/images/I/41OjS3jnL4L.jpg",1)</f>
        <v/>
      </c>
      <c r="D283" s="215" t="s">
        <v>1628</v>
      </c>
      <c r="E283" s="11" t="s">
        <v>178</v>
      </c>
      <c r="F283" s="216">
        <v>10.0</v>
      </c>
      <c r="G283" s="93"/>
      <c r="H283" s="11"/>
    </row>
    <row r="284" ht="45.0" customHeight="1">
      <c r="A284" s="11">
        <v>283.0</v>
      </c>
      <c r="B284" s="93" t="s">
        <v>1662</v>
      </c>
      <c r="C284" s="11" t="str">
        <f>IMAGE("https://m.media-amazon.com/images/W/MEDIAX_792452-T2/images/I/61gvV3Wc-NL._SL1024_.jpg")</f>
        <v/>
      </c>
      <c r="D284" s="215" t="s">
        <v>1628</v>
      </c>
      <c r="E284" s="11" t="s">
        <v>178</v>
      </c>
      <c r="F284" s="216">
        <v>2.0</v>
      </c>
      <c r="G284" s="93"/>
      <c r="H284" s="11"/>
    </row>
    <row r="285" ht="45.0" customHeight="1">
      <c r="A285" s="11">
        <v>284.0</v>
      </c>
      <c r="B285" s="93" t="s">
        <v>1666</v>
      </c>
      <c r="C285" s="11" t="str">
        <f>IMAGE("https://robu.in/wp-content/uploads/2015/10/Soldron-25-Watt-Iron-Soldering-Gun-5.jpg")</f>
        <v/>
      </c>
      <c r="D285" s="215" t="s">
        <v>1628</v>
      </c>
      <c r="E285" s="11" t="s">
        <v>178</v>
      </c>
      <c r="F285" s="216">
        <v>10.0</v>
      </c>
      <c r="G285" s="93"/>
      <c r="H285" s="11"/>
    </row>
    <row r="286" ht="45.0" customHeight="1">
      <c r="A286" s="11">
        <v>285.0</v>
      </c>
      <c r="B286" s="93" t="s">
        <v>1670</v>
      </c>
      <c r="C286" s="11" t="str">
        <f>IMAGE("https://m.media-amazon.com/images/I/71Nb2wKaZgS._SL1500_.jpg", 1)</f>
        <v/>
      </c>
      <c r="D286" s="215" t="s">
        <v>1628</v>
      </c>
      <c r="E286" s="11" t="s">
        <v>178</v>
      </c>
      <c r="F286" s="216">
        <v>1.0</v>
      </c>
      <c r="G286" s="93"/>
      <c r="H286" s="11"/>
    </row>
    <row r="287" ht="45.0" customHeight="1">
      <c r="A287" s="11">
        <v>286.0</v>
      </c>
      <c r="B287" s="93" t="s">
        <v>1674</v>
      </c>
      <c r="C287" s="11" t="str">
        <f>IMAGE("https://m.media-amazon.com/images/W/MEDIAX_792452-T2/images/I/511g3IePVzL.jpg",1)</f>
        <v/>
      </c>
      <c r="D287" s="215" t="s">
        <v>1628</v>
      </c>
      <c r="E287" s="11" t="s">
        <v>178</v>
      </c>
      <c r="F287" s="216">
        <v>10.0</v>
      </c>
      <c r="G287" s="93"/>
      <c r="H287" s="11"/>
    </row>
    <row r="288" ht="45.0" customHeight="1">
      <c r="A288" s="11">
        <v>287.0</v>
      </c>
      <c r="B288" s="93" t="s">
        <v>1678</v>
      </c>
      <c r="C288" s="11" t="str">
        <f>IMAGE("https://5.imimg.com/data5/FT/MG/MY-9316309/soldering-wire-500x500.jpg",1)</f>
        <v/>
      </c>
      <c r="D288" s="215" t="s">
        <v>1628</v>
      </c>
      <c r="E288" s="11" t="s">
        <v>178</v>
      </c>
      <c r="F288" s="216">
        <v>10.0</v>
      </c>
      <c r="G288" s="93"/>
      <c r="H288" s="11"/>
    </row>
    <row r="289" ht="45.0" customHeight="1">
      <c r="A289" s="11">
        <v>288.0</v>
      </c>
      <c r="B289" s="93" t="s">
        <v>324</v>
      </c>
      <c r="C289" s="11" t="str">
        <f>IMAGE("https://5.imimg.com/data5/PL/FV/MY-11916319/synthetic-angle-broom-500x500.jpg",1)</f>
        <v/>
      </c>
      <c r="D289" s="215" t="s">
        <v>325</v>
      </c>
      <c r="E289" s="11" t="s">
        <v>326</v>
      </c>
      <c r="F289" s="11">
        <v>1.0</v>
      </c>
      <c r="G289" s="93"/>
      <c r="H289" s="11"/>
    </row>
    <row r="290" ht="45.0" customHeight="1">
      <c r="A290" s="11">
        <v>289.0</v>
      </c>
      <c r="B290" s="93" t="s">
        <v>329</v>
      </c>
      <c r="C290" s="11" t="str">
        <f>IMAGE("https://m.media-amazon.com/images/W/MEDIAX_792452-T2/images/I/61z4uqZdmPL._AC_UF1000,1000_QL80_.jpg",1)</f>
        <v/>
      </c>
      <c r="D290" s="215" t="s">
        <v>325</v>
      </c>
      <c r="E290" s="11" t="s">
        <v>326</v>
      </c>
      <c r="F290" s="11">
        <v>1.0</v>
      </c>
      <c r="G290" s="93"/>
      <c r="H290" s="11"/>
    </row>
    <row r="291" ht="45.0" customHeight="1">
      <c r="A291" s="11">
        <v>290.0</v>
      </c>
      <c r="B291" s="93" t="s">
        <v>333</v>
      </c>
      <c r="C291" s="11" t="str">
        <f>IMAGE("https://m.media-amazon.com/images/W/MEDIAX_792452-T2/images/I/61Njm4X2d2L._AC_UF1000,1000_QL80_.jpg",1)</f>
        <v/>
      </c>
      <c r="D291" s="215" t="s">
        <v>325</v>
      </c>
      <c r="E291" s="11" t="s">
        <v>326</v>
      </c>
      <c r="F291" s="11">
        <v>5.0</v>
      </c>
      <c r="G291" s="93"/>
      <c r="H291" s="11"/>
    </row>
    <row r="292" ht="45.0" customHeight="1">
      <c r="A292" s="11">
        <v>291.0</v>
      </c>
      <c r="B292" s="93" t="s">
        <v>341</v>
      </c>
      <c r="C292" s="11" t="str">
        <f>IMAGE("https://rukminim2.flixcart.com/image/850/1000/kshtxu80/dustbin/p/l/y/swaccha-bharat-champaign-dry-and-wet-waste-bins-small-11ltr-original-imag6fnfj6pqmsba.jpeg?q=20",1)</f>
        <v/>
      </c>
      <c r="D292" s="215" t="s">
        <v>325</v>
      </c>
      <c r="E292" s="11" t="s">
        <v>326</v>
      </c>
      <c r="F292" s="11">
        <v>3.0</v>
      </c>
      <c r="G292" s="93"/>
      <c r="H292" s="11"/>
    </row>
    <row r="293" ht="45.0" customHeight="1">
      <c r="A293" s="11">
        <v>292.0</v>
      </c>
      <c r="B293" s="93" t="s">
        <v>1959</v>
      </c>
      <c r="C293" s="11" t="str">
        <f>IMAGE("https://www.220converters.com/resize/Shared/images/Product/Seven-Star-ES5C-220-Volt-Universal-5-Outlet-Power-Strip-With-Surge-Protection-220V-240V/es5c.jpg?bw=500&amp;bh=500",1)</f>
        <v/>
      </c>
      <c r="D293" s="215" t="s">
        <v>326</v>
      </c>
      <c r="E293" s="11" t="s">
        <v>326</v>
      </c>
      <c r="F293" s="216">
        <v>6.0</v>
      </c>
      <c r="G293" s="93"/>
      <c r="H293" s="11"/>
    </row>
    <row r="294" ht="45.0" customHeight="1">
      <c r="A294" s="11">
        <v>293.0</v>
      </c>
      <c r="B294" s="93" t="s">
        <v>970</v>
      </c>
      <c r="C294" s="11" t="str">
        <f>IMAGE("https://www.jiomart.com/images/product/original/491503417/mi-home-security-camera-digital-o491503417-p590045677-0-202010110622.jpeg")</f>
        <v/>
      </c>
      <c r="D294" s="215" t="s">
        <v>326</v>
      </c>
      <c r="E294" s="11" t="s">
        <v>326</v>
      </c>
      <c r="F294" s="216">
        <v>1.0</v>
      </c>
      <c r="G294" s="93"/>
      <c r="H294" s="11"/>
    </row>
    <row r="295" ht="45.0" customHeight="1">
      <c r="A295" s="11">
        <v>294.0</v>
      </c>
      <c r="B295" s="272" t="s">
        <v>2171</v>
      </c>
      <c r="C295" s="275"/>
      <c r="D295" s="273" t="s">
        <v>2172</v>
      </c>
      <c r="E295" s="282" t="s">
        <v>142</v>
      </c>
      <c r="F295" s="274">
        <v>2.0</v>
      </c>
      <c r="G295" s="275"/>
      <c r="H295" s="275"/>
      <c r="I295" s="276"/>
    </row>
    <row r="296" ht="45.0" customHeight="1">
      <c r="A296" s="11">
        <v>295.0</v>
      </c>
      <c r="B296" s="93" t="s">
        <v>140</v>
      </c>
      <c r="C296" s="11" t="e">
        <v>#VALUE!</v>
      </c>
      <c r="D296" s="215" t="s">
        <v>141</v>
      </c>
      <c r="E296" s="11" t="s">
        <v>142</v>
      </c>
      <c r="F296" s="11">
        <v>1.0</v>
      </c>
      <c r="G296" s="93"/>
      <c r="H296" s="11"/>
    </row>
    <row r="297" ht="45.0" customHeight="1">
      <c r="A297" s="11">
        <v>296.0</v>
      </c>
      <c r="B297" s="93" t="s">
        <v>155</v>
      </c>
      <c r="C297" s="11" t="str">
        <f>IMAGE("https://m.media-amazon.com/images/I/61Zlcg+2mNL.jpg")</f>
        <v/>
      </c>
      <c r="D297" s="215" t="s">
        <v>141</v>
      </c>
      <c r="E297" s="11" t="s">
        <v>142</v>
      </c>
      <c r="F297" s="216">
        <v>1.0</v>
      </c>
      <c r="G297" s="93"/>
      <c r="H297" s="11"/>
    </row>
    <row r="298" ht="45.0" customHeight="1">
      <c r="A298" s="11">
        <v>297.0</v>
      </c>
      <c r="B298" s="93" t="s">
        <v>159</v>
      </c>
      <c r="C298" s="11" t="str">
        <f>IMAGE("https://c1.neweggimages.com/Productimage/24-001-864-04.jpg",1)</f>
        <v/>
      </c>
      <c r="D298" s="215" t="s">
        <v>141</v>
      </c>
      <c r="E298" s="11" t="s">
        <v>142</v>
      </c>
      <c r="F298" s="216">
        <v>1.0</v>
      </c>
      <c r="G298" s="93"/>
      <c r="H298" s="11"/>
    </row>
    <row r="299" ht="45.0" customHeight="1">
      <c r="A299" s="11">
        <v>298.0</v>
      </c>
      <c r="B299" s="93" t="s">
        <v>163</v>
      </c>
      <c r="C299" s="11" t="str">
        <f>IMAGE("https://m.media-amazon.com/images/I/6100FnINmsL._SL1468_.jpg",1)</f>
        <v/>
      </c>
      <c r="D299" s="215" t="s">
        <v>141</v>
      </c>
      <c r="E299" s="11" t="s">
        <v>142</v>
      </c>
      <c r="F299" s="216">
        <v>1.0</v>
      </c>
      <c r="G299" s="93"/>
      <c r="H299" s="11"/>
    </row>
    <row r="300" ht="45.0" customHeight="1">
      <c r="A300" s="11">
        <v>299.0</v>
      </c>
      <c r="B300" s="93" t="s">
        <v>167</v>
      </c>
      <c r="C300" s="11" t="str">
        <f>IMAGE("https://encrypted-tbn1.gstatic.com/shopping?q=tbn:ANd9GcSwk1vUmWwFhmXgluT27_kpt_1XbFeMGM9voPktN2V8FycBha0_9qycLyoE5G3LsPm9IAaz9ZK9JsFmIAo5gwJtywrUheHD9Zzv6NIaMNLbw1go2XSC6Z0l&amp;usqp=CAE",1)</f>
        <v/>
      </c>
      <c r="D300" s="215" t="s">
        <v>141</v>
      </c>
      <c r="E300" s="11" t="s">
        <v>142</v>
      </c>
      <c r="F300" s="216">
        <v>1.0</v>
      </c>
      <c r="G300" s="93"/>
      <c r="H300" s="11"/>
    </row>
    <row r="301" ht="45.0" customHeight="1">
      <c r="A301" s="11">
        <v>300.0</v>
      </c>
      <c r="B301" s="93" t="s">
        <v>171</v>
      </c>
      <c r="C301" s="11" t="str">
        <f>IMAGE("https://www.designinfo.in/wp-content/uploads/nc/p/5/1/4/9/0/51490-485x485.jpg",1)</f>
        <v/>
      </c>
      <c r="D301" s="215" t="s">
        <v>141</v>
      </c>
      <c r="E301" s="11" t="s">
        <v>142</v>
      </c>
      <c r="F301" s="216">
        <v>1.0</v>
      </c>
      <c r="G301" s="93"/>
      <c r="H301" s="11"/>
    </row>
    <row r="302" ht="45.0" customHeight="1">
      <c r="A302" s="11">
        <v>301.0</v>
      </c>
      <c r="B302" s="93" t="s">
        <v>245</v>
      </c>
      <c r="C302" s="11" t="str">
        <f>IMAGE("https://m.media-amazon.com/images/I/61YPX7I4aSL._SL1500_.jpg",1)</f>
        <v/>
      </c>
      <c r="D302" s="215" t="s">
        <v>237</v>
      </c>
      <c r="E302" s="11" t="s">
        <v>142</v>
      </c>
      <c r="F302" s="11">
        <v>1.0</v>
      </c>
      <c r="G302" s="93"/>
      <c r="H302" s="11"/>
    </row>
    <row r="303" ht="45.0" customHeight="1">
      <c r="A303" s="11">
        <v>302.0</v>
      </c>
      <c r="B303" s="93" t="s">
        <v>974</v>
      </c>
      <c r="C303" s="11" t="str">
        <f>IMAGE("https://cdn.ttgtmedia.com/rms/onlineimages/hp_elitebook_mobile.jpg",1)</f>
        <v/>
      </c>
      <c r="D303" s="215" t="s">
        <v>326</v>
      </c>
      <c r="E303" s="11" t="s">
        <v>142</v>
      </c>
      <c r="F303" s="216">
        <v>1.0</v>
      </c>
      <c r="G303" s="93"/>
      <c r="H303" s="11"/>
    </row>
    <row r="304" ht="45.0" customHeight="1">
      <c r="A304" s="11">
        <v>303.0</v>
      </c>
      <c r="B304" s="93" t="s">
        <v>977</v>
      </c>
      <c r="C304" s="11" t="str">
        <f>IMAGE("https://m.media-amazon.com/images/W/MEDIAX_792452-T2/images/I/51UzU+2x3OS._SL1000_.jpg")</f>
        <v/>
      </c>
      <c r="D304" s="215" t="s">
        <v>326</v>
      </c>
      <c r="E304" s="11" t="s">
        <v>142</v>
      </c>
      <c r="F304" s="216">
        <v>1.0</v>
      </c>
      <c r="G304" s="93"/>
      <c r="H304" s="11"/>
    </row>
    <row r="305" ht="45.0" customHeight="1">
      <c r="A305" s="11">
        <v>304.0</v>
      </c>
      <c r="B305" s="93" t="s">
        <v>1475</v>
      </c>
      <c r="C305" s="11" t="str">
        <f>IMAGE("https://rukminim1.flixcart.com/image/416/416/jj367bk0/fire-extinguisher-mount/w/s/y/2-kg-abc-type-fire-extinguisher-safepro-original-imaf6h7fkdngmbqd.jpeg?q=70",1)</f>
        <v/>
      </c>
      <c r="D305" s="215" t="s">
        <v>1476</v>
      </c>
      <c r="E305" s="11" t="s">
        <v>1477</v>
      </c>
      <c r="F305" s="216">
        <v>1.0</v>
      </c>
      <c r="G305" s="93"/>
      <c r="H305" s="11"/>
    </row>
    <row r="306" ht="45.0" customHeight="1">
      <c r="A306" s="11">
        <v>305.0</v>
      </c>
      <c r="B306" s="93" t="s">
        <v>1481</v>
      </c>
      <c r="C306" s="11" t="str">
        <f>IMAGE("https://m.media-amazon.com/images/I/61UHX6mp+wL._AC_UF894,1000_QL80_.jpg",1)</f>
        <v/>
      </c>
      <c r="D306" s="215" t="s">
        <v>1476</v>
      </c>
      <c r="E306" s="11" t="s">
        <v>1477</v>
      </c>
      <c r="F306" s="216">
        <v>1.0</v>
      </c>
      <c r="G306" s="93"/>
      <c r="H306" s="11"/>
    </row>
    <row r="307" ht="45.0" customHeight="1">
      <c r="A307" s="11">
        <v>306.0</v>
      </c>
      <c r="B307" s="93" t="s">
        <v>1485</v>
      </c>
      <c r="C307" s="11" t="str">
        <f>IMAGE("https://m.media-amazon.com/images/I/41yRsXk89rS._SX355_.jpg",1)</f>
        <v/>
      </c>
      <c r="D307" s="215" t="s">
        <v>1476</v>
      </c>
      <c r="E307" s="11" t="s">
        <v>1477</v>
      </c>
      <c r="F307" s="216">
        <v>1.0</v>
      </c>
      <c r="G307" s="93"/>
      <c r="H307" s="11"/>
    </row>
    <row r="308" ht="45.0" customHeight="1">
      <c r="A308" s="11">
        <v>307.0</v>
      </c>
      <c r="B308" s="93" t="s">
        <v>1489</v>
      </c>
      <c r="C308" s="11" t="str">
        <f>IMAGE("https://5.imimg.com/data5/AR/LM/NG/SELLER-21409398/lab-uniform-500x500.jpg",1)</f>
        <v/>
      </c>
      <c r="D308" s="215" t="s">
        <v>1476</v>
      </c>
      <c r="E308" s="11" t="s">
        <v>1477</v>
      </c>
      <c r="F308" s="11">
        <v>5.0</v>
      </c>
      <c r="G308" s="93"/>
      <c r="H308" s="221"/>
    </row>
    <row r="309" ht="45.0" customHeight="1">
      <c r="A309" s="11">
        <v>308.0</v>
      </c>
      <c r="B309" s="93" t="s">
        <v>1493</v>
      </c>
      <c r="C309" s="11" t="str">
        <f>IMAGE("https://cdn.moglix.com/p/oBWcDtePyNEFP.jpg",1)</f>
        <v/>
      </c>
      <c r="D309" s="215" t="s">
        <v>1476</v>
      </c>
      <c r="E309" s="11" t="s">
        <v>1477</v>
      </c>
      <c r="F309" s="216">
        <v>2.0</v>
      </c>
      <c r="G309" s="93"/>
      <c r="H309" s="221"/>
    </row>
    <row r="310" ht="45.0" customHeight="1">
      <c r="A310" s="11">
        <v>309.0</v>
      </c>
      <c r="B310" s="93" t="s">
        <v>1497</v>
      </c>
      <c r="C310" s="11" t="str">
        <f>IMAGE("https://5.imimg.com/data5/SELLER/Default/2023/5/311302937/IM/IY/MO/34533827/safety-rubber-apron-1000x1000.jpg", 1)</f>
        <v/>
      </c>
      <c r="D310" s="215" t="s">
        <v>1476</v>
      </c>
      <c r="E310" s="11" t="s">
        <v>1477</v>
      </c>
      <c r="F310" s="11">
        <v>5.0</v>
      </c>
      <c r="G310" s="93"/>
      <c r="H310" s="221"/>
    </row>
    <row r="311" ht="45.0" customHeight="1">
      <c r="A311" s="11">
        <v>310.0</v>
      </c>
      <c r="B311" s="93" t="s">
        <v>1501</v>
      </c>
      <c r="C311" s="11" t="str">
        <f>IMAGE("https://5.imimg.com/data5/DM/UP/MY-3422722/latex-coated-gloves-500x500.jpg",1)</f>
        <v/>
      </c>
      <c r="D311" s="215" t="s">
        <v>1476</v>
      </c>
      <c r="E311" s="11" t="s">
        <v>1477</v>
      </c>
      <c r="F311" s="216">
        <v>15.0</v>
      </c>
      <c r="G311" s="93"/>
      <c r="H311" s="257"/>
    </row>
    <row r="312" ht="45.0" customHeight="1">
      <c r="A312" s="11">
        <v>311.0</v>
      </c>
      <c r="B312" s="93" t="s">
        <v>1505</v>
      </c>
      <c r="C312" s="11" t="str">
        <f>IMAGE("https://5.imimg.com/data5/RD/NQ/ZF/SELLER-67911650/safety-goggles.jpg")</f>
        <v/>
      </c>
      <c r="D312" s="215" t="s">
        <v>1476</v>
      </c>
      <c r="E312" s="11" t="s">
        <v>1477</v>
      </c>
      <c r="F312" s="216">
        <v>30.0</v>
      </c>
      <c r="G312" s="93"/>
      <c r="H312" s="257"/>
    </row>
    <row r="313" ht="45.0" customHeight="1">
      <c r="A313" s="11">
        <v>312.0</v>
      </c>
      <c r="B313" s="93" t="s">
        <v>1509</v>
      </c>
      <c r="C313" s="11" t="str">
        <f>IMAGE("https://img2.exportersindia.com/product_images/bc-full/dir_151/4514764/dust-masks-1499837104-3125900.jpg",1)</f>
        <v/>
      </c>
      <c r="D313" s="215" t="s">
        <v>1476</v>
      </c>
      <c r="E313" s="11" t="s">
        <v>1477</v>
      </c>
      <c r="F313" s="216">
        <v>60.0</v>
      </c>
      <c r="G313" s="93"/>
      <c r="H313" s="221"/>
    </row>
    <row r="314" ht="45.0" customHeight="1">
      <c r="A314" s="11">
        <v>313.0</v>
      </c>
      <c r="B314" s="93" t="s">
        <v>151</v>
      </c>
      <c r="C314" s="11" t="str">
        <f>IMAGE("https://m.media-amazon.com/images/I/51KO2QtXE8L._SL1000_.jpg", 1)</f>
        <v/>
      </c>
      <c r="D314" s="269" t="s">
        <v>326</v>
      </c>
      <c r="E314" s="11" t="s">
        <v>1157</v>
      </c>
      <c r="F314" s="216">
        <v>2.0</v>
      </c>
      <c r="G314" s="93"/>
      <c r="H314" s="11"/>
    </row>
    <row r="315" ht="45.0" customHeight="1">
      <c r="A315" s="11">
        <v>314.0</v>
      </c>
      <c r="B315" s="283" t="s">
        <v>2173</v>
      </c>
      <c r="C315" s="275"/>
      <c r="D315" s="284" t="s">
        <v>2174</v>
      </c>
      <c r="E315" s="286" t="s">
        <v>1157</v>
      </c>
      <c r="F315" s="285">
        <v>1.0</v>
      </c>
      <c r="G315" s="287"/>
      <c r="H315" s="275"/>
      <c r="I315" s="276"/>
    </row>
    <row r="316" ht="45.0" customHeight="1">
      <c r="A316" s="11">
        <v>315.0</v>
      </c>
      <c r="B316" s="288" t="s">
        <v>2175</v>
      </c>
      <c r="C316" s="275"/>
      <c r="D316" s="289" t="s">
        <v>2174</v>
      </c>
      <c r="E316" s="286" t="s">
        <v>1157</v>
      </c>
      <c r="F316" s="290">
        <v>1.0</v>
      </c>
      <c r="G316" s="275"/>
      <c r="H316" s="275"/>
      <c r="I316" s="276"/>
    </row>
    <row r="317" ht="45.0" customHeight="1">
      <c r="A317" s="11">
        <v>316.0</v>
      </c>
      <c r="B317" s="283" t="s">
        <v>2176</v>
      </c>
      <c r="C317" s="275"/>
      <c r="D317" s="284" t="s">
        <v>2174</v>
      </c>
      <c r="E317" s="286" t="s">
        <v>1157</v>
      </c>
      <c r="F317" s="285">
        <v>1.0</v>
      </c>
      <c r="G317" s="275"/>
      <c r="H317" s="275"/>
      <c r="I317" s="276"/>
    </row>
    <row r="318" ht="45.0" customHeight="1">
      <c r="A318" s="11">
        <v>317.0</v>
      </c>
      <c r="B318" s="288" t="s">
        <v>2177</v>
      </c>
      <c r="C318" s="275"/>
      <c r="D318" s="289" t="s">
        <v>2174</v>
      </c>
      <c r="E318" s="286" t="s">
        <v>1157</v>
      </c>
      <c r="F318" s="290">
        <v>1.0</v>
      </c>
      <c r="G318" s="275"/>
      <c r="H318" s="275"/>
      <c r="I318" s="276"/>
    </row>
    <row r="319" ht="45.0" customHeight="1">
      <c r="A319" s="11">
        <v>318.0</v>
      </c>
      <c r="B319" s="283" t="s">
        <v>2178</v>
      </c>
      <c r="C319" s="275"/>
      <c r="D319" s="284" t="s">
        <v>2174</v>
      </c>
      <c r="E319" s="286" t="s">
        <v>1157</v>
      </c>
      <c r="F319" s="285">
        <v>10.0</v>
      </c>
      <c r="G319" s="275"/>
      <c r="H319" s="275"/>
      <c r="I319" s="276"/>
    </row>
    <row r="320" ht="45.0" customHeight="1">
      <c r="A320" s="11">
        <v>319.0</v>
      </c>
      <c r="B320" s="288" t="s">
        <v>2179</v>
      </c>
      <c r="C320" s="275"/>
      <c r="D320" s="289" t="s">
        <v>2174</v>
      </c>
      <c r="E320" s="286" t="s">
        <v>1157</v>
      </c>
      <c r="F320" s="290">
        <v>2.0</v>
      </c>
      <c r="G320" s="275"/>
      <c r="H320" s="275"/>
      <c r="I320" s="276"/>
    </row>
    <row r="321" ht="45.0" customHeight="1">
      <c r="A321" s="11">
        <v>320.0</v>
      </c>
      <c r="B321" s="272" t="s">
        <v>2180</v>
      </c>
      <c r="C321" s="275"/>
      <c r="D321" s="291" t="s">
        <v>2174</v>
      </c>
      <c r="E321" s="286" t="s">
        <v>1157</v>
      </c>
      <c r="F321" s="274" t="s">
        <v>2181</v>
      </c>
      <c r="G321" s="275"/>
      <c r="H321" s="275"/>
      <c r="I321" s="276"/>
    </row>
    <row r="322" ht="45.0" customHeight="1">
      <c r="A322" s="11">
        <v>321.0</v>
      </c>
      <c r="B322" s="272" t="s">
        <v>2182</v>
      </c>
      <c r="C322" s="275"/>
      <c r="D322" s="291" t="s">
        <v>2174</v>
      </c>
      <c r="E322" s="286" t="s">
        <v>1157</v>
      </c>
      <c r="F322" s="274" t="s">
        <v>2183</v>
      </c>
      <c r="G322" s="275"/>
      <c r="H322" s="275"/>
      <c r="I322" s="276"/>
    </row>
    <row r="323" ht="45.0" customHeight="1">
      <c r="A323" s="11">
        <v>322.0</v>
      </c>
      <c r="B323" s="272" t="s">
        <v>2184</v>
      </c>
      <c r="C323" s="275"/>
      <c r="D323" s="284" t="s">
        <v>2185</v>
      </c>
      <c r="E323" s="280" t="s">
        <v>1157</v>
      </c>
      <c r="F323" s="285">
        <v>20.0</v>
      </c>
      <c r="G323" s="275"/>
      <c r="H323" s="275"/>
      <c r="I323" s="276"/>
    </row>
    <row r="324" ht="45.0" customHeight="1">
      <c r="A324" s="11">
        <v>323.0</v>
      </c>
      <c r="B324" s="292" t="s">
        <v>2186</v>
      </c>
      <c r="C324" s="275"/>
      <c r="D324" s="293" t="s">
        <v>1156</v>
      </c>
      <c r="E324" s="280" t="s">
        <v>1157</v>
      </c>
      <c r="F324" s="285">
        <v>2.0</v>
      </c>
      <c r="G324" s="275"/>
      <c r="H324" s="275"/>
      <c r="I324" s="276"/>
    </row>
    <row r="325" ht="45.0" customHeight="1">
      <c r="A325" s="11">
        <v>324.0</v>
      </c>
      <c r="B325" s="93" t="s">
        <v>1172</v>
      </c>
      <c r="C325" s="11" t="str">
        <f>IMAGE("https://www.sigmaaldrich.com/deepweb/content/dam/sigma-aldrich/product2/017/wha2200110.tif/_jcr_content/renditions/wha2200110-large.jpg", 1)</f>
        <v/>
      </c>
      <c r="D325" s="215" t="s">
        <v>1156</v>
      </c>
      <c r="E325" s="11" t="s">
        <v>1157</v>
      </c>
      <c r="F325" s="255">
        <v>1.0</v>
      </c>
      <c r="G325" s="215"/>
      <c r="H325" s="11"/>
    </row>
    <row r="326" ht="45.0" customHeight="1">
      <c r="A326" s="11">
        <v>325.0</v>
      </c>
      <c r="B326" s="93" t="s">
        <v>1184</v>
      </c>
      <c r="C326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D326" s="215" t="s">
        <v>1156</v>
      </c>
      <c r="E326" s="11" t="s">
        <v>1157</v>
      </c>
      <c r="F326" s="11">
        <v>1.0</v>
      </c>
      <c r="G326" s="93"/>
      <c r="H326" s="11"/>
    </row>
    <row r="327" ht="45.0" customHeight="1">
      <c r="A327" s="11">
        <v>326.0</v>
      </c>
      <c r="B327" s="93" t="s">
        <v>1188</v>
      </c>
      <c r="C327" s="11" t="str">
        <f>IMAGE("https://m.media-amazon.com/images/I/61ra1C535pL._SL1500_.jpg", 1)</f>
        <v/>
      </c>
      <c r="D327" s="215" t="s">
        <v>1156</v>
      </c>
      <c r="E327" s="11" t="s">
        <v>1157</v>
      </c>
      <c r="F327" s="216">
        <v>1.0</v>
      </c>
      <c r="G327" s="93"/>
      <c r="H327" s="11"/>
    </row>
    <row r="328" ht="45.0" customHeight="1">
      <c r="A328" s="11">
        <v>327.0</v>
      </c>
      <c r="B328" s="93" t="s">
        <v>2110</v>
      </c>
      <c r="C328" s="11" t="str">
        <f>IMAGE("https://5.imimg.com/data5/SB/TW/SA/SELLER-91497159/glass-beaker-500x500.jpg",1)</f>
        <v/>
      </c>
      <c r="D328" s="215" t="s">
        <v>1156</v>
      </c>
      <c r="E328" s="11" t="s">
        <v>1157</v>
      </c>
      <c r="F328" s="216">
        <v>10.0</v>
      </c>
      <c r="G328" s="93"/>
      <c r="H328" s="221"/>
    </row>
    <row r="329" ht="45.0" customHeight="1">
      <c r="A329" s="11">
        <v>328.0</v>
      </c>
      <c r="B329" s="93" t="s">
        <v>1160</v>
      </c>
      <c r="C329" s="11" t="str">
        <f>IMAGE("https://m.media-amazon.com/images/I/41vGxqzVasL.jpg",1)</f>
        <v/>
      </c>
      <c r="D329" s="215" t="s">
        <v>1156</v>
      </c>
      <c r="E329" s="11" t="s">
        <v>1157</v>
      </c>
      <c r="F329" s="11">
        <v>5.0</v>
      </c>
      <c r="G329" s="93"/>
      <c r="H329" s="221"/>
    </row>
    <row r="330" ht="45.0" customHeight="1">
      <c r="A330" s="11">
        <v>329.0</v>
      </c>
      <c r="B330" s="93" t="s">
        <v>1164</v>
      </c>
      <c r="C330" s="11" t="str">
        <f>IMAGE("https://m.media-amazon.com/images/I/31b1KCUwqyL.jpg", 1)</f>
        <v/>
      </c>
      <c r="D330" s="215" t="s">
        <v>1156</v>
      </c>
      <c r="E330" s="11" t="s">
        <v>1157</v>
      </c>
      <c r="F330" s="216">
        <v>8.0</v>
      </c>
      <c r="G330" s="93"/>
      <c r="H330" s="221"/>
    </row>
    <row r="331" ht="45.0" customHeight="1">
      <c r="A331" s="11">
        <v>330.0</v>
      </c>
      <c r="B331" s="93" t="s">
        <v>1176</v>
      </c>
      <c r="C331" s="11" t="str">
        <f>IMAGE("https://m.media-amazon.com/images/I/A1PFWcAysAL.jpg", 1)</f>
        <v/>
      </c>
      <c r="D331" s="215" t="s">
        <v>1156</v>
      </c>
      <c r="E331" s="11" t="s">
        <v>1157</v>
      </c>
      <c r="F331" s="216">
        <v>1.0</v>
      </c>
      <c r="G331" s="93"/>
      <c r="H331" s="11"/>
    </row>
    <row r="332" ht="45.0" customHeight="1">
      <c r="A332" s="11">
        <v>331.0</v>
      </c>
      <c r="B332" s="93" t="s">
        <v>1205</v>
      </c>
      <c r="C332" s="11" t="str">
        <f>IMAGE("https://www.abdoslifesciences.com/wp-content/uploads/Abdos_Delhi2-107_P10911-to-P10918-2.png",1)</f>
        <v/>
      </c>
      <c r="D332" s="215" t="s">
        <v>1156</v>
      </c>
      <c r="E332" s="11" t="s">
        <v>1157</v>
      </c>
      <c r="F332" s="216">
        <v>30.0</v>
      </c>
      <c r="G332" s="93"/>
      <c r="H332" s="11"/>
    </row>
    <row r="333" ht="45.0" customHeight="1">
      <c r="A333" s="11">
        <v>332.0</v>
      </c>
      <c r="B333" s="93" t="s">
        <v>1209</v>
      </c>
      <c r="C333" s="11" t="str">
        <f>IMAGE("https://pim-resources.coleparmer.com/product/l/dwk-life-sciences-kimble-dwk-kimble-babcock-pipettes-14663.jpg",1)</f>
        <v/>
      </c>
      <c r="D333" s="215" t="s">
        <v>1156</v>
      </c>
      <c r="E333" s="11" t="s">
        <v>1157</v>
      </c>
      <c r="F333" s="11">
        <v>2.0</v>
      </c>
      <c r="G333" s="93"/>
      <c r="H333" s="11"/>
    </row>
    <row r="334" ht="45.0" customHeight="1">
      <c r="A334" s="11">
        <v>333.0</v>
      </c>
      <c r="B334" s="93" t="s">
        <v>1229</v>
      </c>
      <c r="C334" s="11" t="str">
        <f>IMAGE("https://m.media-amazon.com/images/I/51+vdFGMMML._SL1001_.jpg",1)</f>
        <v/>
      </c>
      <c r="D334" s="215" t="s">
        <v>1156</v>
      </c>
      <c r="E334" s="11" t="s">
        <v>1157</v>
      </c>
      <c r="F334" s="11">
        <v>1.0</v>
      </c>
      <c r="G334" s="93"/>
      <c r="H334" s="11"/>
    </row>
    <row r="335" ht="45.0" customHeight="1">
      <c r="A335" s="11">
        <v>334.0</v>
      </c>
      <c r="B335" s="93" t="s">
        <v>1233</v>
      </c>
      <c r="C335" s="11" t="str">
        <f>IMAGE("https://5.imimg.com/data5/SELLER/Default/2022/10/RF/ME/PW/7444604/12x100mm-glass-test-tube-500x500.jpg", 1)</f>
        <v/>
      </c>
      <c r="D335" s="215" t="s">
        <v>1156</v>
      </c>
      <c r="E335" s="11" t="s">
        <v>1157</v>
      </c>
      <c r="F335" s="216">
        <v>10.0</v>
      </c>
      <c r="G335" s="93"/>
      <c r="H335" s="11"/>
    </row>
    <row r="336" ht="45.0" customHeight="1">
      <c r="A336" s="11">
        <v>335.0</v>
      </c>
      <c r="B336" s="93" t="s">
        <v>1237</v>
      </c>
      <c r="C336" s="11" t="str">
        <f>IMAGE("https://www.abdoslifesciences.com/wp-content/uploads/p10.jpg", 1)</f>
        <v/>
      </c>
      <c r="D336" s="215" t="s">
        <v>1156</v>
      </c>
      <c r="E336" s="11" t="s">
        <v>1157</v>
      </c>
      <c r="F336" s="216">
        <v>2.0</v>
      </c>
      <c r="G336" s="93"/>
      <c r="H336" s="11"/>
    </row>
    <row r="337" ht="45.0" customHeight="1">
      <c r="A337" s="11">
        <v>336.0</v>
      </c>
      <c r="B337" s="93" t="s">
        <v>1245</v>
      </c>
      <c r="C337" s="11" t="str">
        <f>IMAGE("https://m.media-amazon.com/images/I/31U00ndDv2L._SX679_.jpg",1)</f>
        <v/>
      </c>
      <c r="D337" s="215" t="s">
        <v>1156</v>
      </c>
      <c r="E337" s="11" t="s">
        <v>1157</v>
      </c>
      <c r="F337" s="11">
        <v>10.0</v>
      </c>
      <c r="G337" s="93"/>
      <c r="H337" s="11"/>
    </row>
    <row r="338" ht="45.0" customHeight="1">
      <c r="A338" s="11">
        <v>337.0</v>
      </c>
      <c r="B338" s="93" t="s">
        <v>1168</v>
      </c>
      <c r="C338" s="11" t="str">
        <f>IMAGE("https://m.media-amazon.com/images/W/MEDIAX_792452-T2/images/I/71veIL4opPL.jpg",1)</f>
        <v/>
      </c>
      <c r="D338" s="215" t="s">
        <v>1156</v>
      </c>
      <c r="E338" s="11" t="s">
        <v>1157</v>
      </c>
      <c r="F338" s="11">
        <v>2.0</v>
      </c>
      <c r="G338" s="93"/>
      <c r="H338" s="11"/>
    </row>
    <row r="339" ht="45.0" customHeight="1">
      <c r="A339" s="11">
        <v>338.0</v>
      </c>
      <c r="B339" s="93" t="s">
        <v>1213</v>
      </c>
      <c r="C339" s="11" t="str">
        <f>IMAGE("https://5.imimg.com/data5/QC/NX/MY-932240/clear-plastic-funnel-250x250.jpg", 1)</f>
        <v/>
      </c>
      <c r="D339" s="215" t="s">
        <v>1156</v>
      </c>
      <c r="E339" s="11" t="s">
        <v>1157</v>
      </c>
      <c r="F339" s="216">
        <v>10.0</v>
      </c>
      <c r="G339" s="93"/>
      <c r="H339" s="11"/>
    </row>
    <row r="340" ht="45.0" customHeight="1">
      <c r="A340" s="11">
        <v>339.0</v>
      </c>
      <c r="B340" s="93" t="s">
        <v>1217</v>
      </c>
      <c r="C340" s="11" t="str">
        <f>IMAGE("https://www.reagecon.com/product/image/medium/6267270_1.jpg",1)</f>
        <v/>
      </c>
      <c r="D340" s="215" t="s">
        <v>1156</v>
      </c>
      <c r="E340" s="11" t="s">
        <v>1157</v>
      </c>
      <c r="F340" s="216">
        <v>10.0</v>
      </c>
      <c r="G340" s="93"/>
      <c r="H340" s="11"/>
    </row>
    <row r="341" ht="45.0" customHeight="1">
      <c r="A341" s="11">
        <v>340.0</v>
      </c>
      <c r="B341" s="93" t="s">
        <v>1225</v>
      </c>
      <c r="C341" s="11" t="str">
        <f>IMAGE("https://5.imimg.com/data5/GX/OE/MY-972879/30ml-specimen-container-500x500.jpg", 1)</f>
        <v/>
      </c>
      <c r="D341" s="215" t="s">
        <v>1156</v>
      </c>
      <c r="E341" s="11" t="s">
        <v>1157</v>
      </c>
      <c r="F341" s="216">
        <v>100.0</v>
      </c>
      <c r="G341" s="93"/>
      <c r="H341" s="11"/>
    </row>
    <row r="342" ht="45.0" customHeight="1">
      <c r="A342" s="11">
        <v>341.0</v>
      </c>
      <c r="B342" s="93" t="s">
        <v>1241</v>
      </c>
      <c r="C342" s="11" t="str">
        <f>IMAGE("https://www.abdoslifesciences.com/wp-content/uploads/Wash-Bottle-LDPE-day-20376.jpg", 1)</f>
        <v/>
      </c>
      <c r="D342" s="215" t="s">
        <v>1156</v>
      </c>
      <c r="E342" s="11" t="s">
        <v>1157</v>
      </c>
      <c r="F342" s="216">
        <v>2.0</v>
      </c>
      <c r="G342" s="93"/>
      <c r="H342" s="221"/>
    </row>
    <row r="343" ht="45.0" customHeight="1">
      <c r="A343" s="11">
        <v>342.0</v>
      </c>
      <c r="B343" s="93" t="s">
        <v>1192</v>
      </c>
      <c r="C343" s="11" t="str">
        <f>IMAGE("https://5.imimg.com/data5/SI/VL/MY-6819814/multi-volume-adjustable-micropipette.jpg",1)</f>
        <v/>
      </c>
      <c r="D343" s="215" t="s">
        <v>1156</v>
      </c>
      <c r="E343" s="11" t="s">
        <v>1157</v>
      </c>
      <c r="F343" s="11">
        <v>1.0</v>
      </c>
      <c r="G343" s="93"/>
      <c r="H343" s="11"/>
    </row>
    <row r="344" ht="45.0" customHeight="1">
      <c r="A344" s="11">
        <v>343.0</v>
      </c>
      <c r="B344" s="93" t="s">
        <v>1196</v>
      </c>
      <c r="C344" s="11" t="str">
        <f>IMAGE("https://5.imimg.com/data5/SELLER/Default/2021/7/IF/DT/PV/116258883/microscope-cover-glass-250x250.JPG",1)</f>
        <v/>
      </c>
      <c r="D344" s="215" t="s">
        <v>1156</v>
      </c>
      <c r="E344" s="11" t="s">
        <v>1157</v>
      </c>
      <c r="F344" s="216">
        <v>1.0</v>
      </c>
      <c r="G344" s="93"/>
      <c r="H344" s="11"/>
    </row>
    <row r="345" ht="45.0" customHeight="1">
      <c r="A345" s="11">
        <v>344.0</v>
      </c>
      <c r="B345" s="93" t="s">
        <v>1201</v>
      </c>
      <c r="C345" s="11" t="str">
        <f>IMAGE("https://5.imimg.com/data5/AZ/OD/EC/SELLER-20177713/laboratory-slides-500x500.jpg",1)</f>
        <v/>
      </c>
      <c r="D345" s="215" t="s">
        <v>1156</v>
      </c>
      <c r="E345" s="11" t="s">
        <v>1157</v>
      </c>
      <c r="F345" s="216">
        <v>1.0</v>
      </c>
      <c r="G345" s="93"/>
      <c r="H345" s="11"/>
    </row>
    <row r="346" ht="45.0" customHeight="1">
      <c r="A346" s="11">
        <v>345.0</v>
      </c>
      <c r="B346" s="93" t="s">
        <v>1180</v>
      </c>
      <c r="C346" s="11" t="str">
        <f>IMAGE("https://www.domo.in/image/cache/catalog/nHance/LNSS4201/Display-228x228.jpg")</f>
        <v/>
      </c>
      <c r="D346" s="215" t="s">
        <v>1156</v>
      </c>
      <c r="E346" s="11" t="s">
        <v>1157</v>
      </c>
      <c r="F346" s="216">
        <v>20.0</v>
      </c>
      <c r="G346" s="93"/>
      <c r="H346" s="11"/>
    </row>
    <row r="347" ht="45.0" customHeight="1">
      <c r="A347" s="11">
        <v>346.0</v>
      </c>
      <c r="B347" s="260" t="s">
        <v>1999</v>
      </c>
      <c r="C347" s="11"/>
      <c r="D347" s="215" t="s">
        <v>1156</v>
      </c>
      <c r="E347" s="11" t="s">
        <v>1157</v>
      </c>
      <c r="F347" s="216">
        <v>4.0</v>
      </c>
      <c r="G347" s="270"/>
      <c r="H347" s="11"/>
    </row>
    <row r="348" ht="45.0" customHeight="1">
      <c r="A348" s="11">
        <v>347.0</v>
      </c>
      <c r="B348" s="37" t="s">
        <v>1270</v>
      </c>
      <c r="C348" s="11" t="str">
        <f>IMAGE("https://m.media-amazon.com/images/I/61USTYJ+OPL._SL1500_.jpg",1)</f>
        <v/>
      </c>
      <c r="D348" s="215" t="s">
        <v>1250</v>
      </c>
      <c r="E348" s="11" t="s">
        <v>1157</v>
      </c>
      <c r="F348" s="11">
        <v>1.0</v>
      </c>
      <c r="G348" s="93"/>
      <c r="H348" s="11"/>
    </row>
    <row r="349" ht="45.0" customHeight="1">
      <c r="A349" s="11">
        <v>348.0</v>
      </c>
      <c r="B349" s="93" t="s">
        <v>1302</v>
      </c>
      <c r="C349" s="11" t="str">
        <f>IMAGE("https://5.imimg.com/data5/XG/YW/VV/SELLER-219478/hot-plate-round-250x250.jpg",1)</f>
        <v/>
      </c>
      <c r="D349" s="215" t="s">
        <v>1250</v>
      </c>
      <c r="E349" s="11" t="s">
        <v>1157</v>
      </c>
      <c r="F349" s="216">
        <v>1.0</v>
      </c>
      <c r="G349" s="93"/>
      <c r="H349" s="11"/>
    </row>
    <row r="350" ht="45.0" customHeight="1">
      <c r="A350" s="11">
        <v>349.0</v>
      </c>
      <c r="B350" s="93" t="s">
        <v>1285</v>
      </c>
      <c r="C350" s="11"/>
      <c r="D350" s="215" t="s">
        <v>1250</v>
      </c>
      <c r="E350" s="11" t="s">
        <v>1157</v>
      </c>
      <c r="F350" s="11">
        <v>1.0</v>
      </c>
      <c r="G350" s="93"/>
      <c r="H350" s="11"/>
    </row>
    <row r="351" ht="45.0" customHeight="1">
      <c r="A351" s="11">
        <v>350.0</v>
      </c>
      <c r="B351" s="93" t="s">
        <v>1306</v>
      </c>
      <c r="C351" s="11" t="str">
        <f>IMAGE("https://image.made-in-china.com/202f0j00DeSTmvGBnZpR/Electronic-Weighing-Scale-Digital-Scale-of-High-Precision-HWA-.jpg",1)</f>
        <v/>
      </c>
      <c r="D351" s="215" t="s">
        <v>1250</v>
      </c>
      <c r="E351" s="11" t="s">
        <v>1157</v>
      </c>
      <c r="F351" s="216">
        <v>1.0</v>
      </c>
      <c r="G351" s="93"/>
      <c r="H351" s="11"/>
    </row>
    <row r="352" ht="45.0" customHeight="1">
      <c r="A352" s="11">
        <v>351.0</v>
      </c>
      <c r="B352" s="93" t="s">
        <v>1310</v>
      </c>
      <c r="C352" s="11" t="str">
        <f>IMAGE("https://m.media-amazon.com/images/I/71-uBViGV+L._SX522_.jpg",1)</f>
        <v/>
      </c>
      <c r="D352" s="215" t="s">
        <v>1250</v>
      </c>
      <c r="E352" s="11" t="s">
        <v>1157</v>
      </c>
      <c r="F352" s="216">
        <v>1.0</v>
      </c>
      <c r="G352" s="93"/>
      <c r="H352" s="11"/>
    </row>
    <row r="353" ht="45.0" customHeight="1">
      <c r="A353" s="11">
        <v>352.0</v>
      </c>
      <c r="B353" s="93" t="s">
        <v>1976</v>
      </c>
      <c r="C353" s="11" t="str">
        <f>IMAGE("https://m.media-amazon.com/images/I/71O3EMayekL.jpg",1)</f>
        <v/>
      </c>
      <c r="D353" s="215" t="s">
        <v>1250</v>
      </c>
      <c r="E353" s="11" t="s">
        <v>1157</v>
      </c>
      <c r="F353" s="216">
        <v>20.0</v>
      </c>
      <c r="G353" s="93"/>
      <c r="H353" s="11"/>
    </row>
    <row r="354" ht="45.0" customHeight="1">
      <c r="A354" s="11">
        <v>353.0</v>
      </c>
      <c r="B354" s="93" t="s">
        <v>1314</v>
      </c>
      <c r="C354" s="11" t="str">
        <f>IMAGE("https://m.media-amazon.com/images/I/61MstERkLZL._SL1500_.jpg",1)</f>
        <v/>
      </c>
      <c r="D354" s="215" t="s">
        <v>1250</v>
      </c>
      <c r="E354" s="11" t="s">
        <v>1157</v>
      </c>
      <c r="F354" s="11">
        <v>1.0</v>
      </c>
      <c r="G354" s="93"/>
      <c r="H354" s="11"/>
    </row>
    <row r="355" ht="45.0" customHeight="1">
      <c r="A355" s="11">
        <v>354.0</v>
      </c>
      <c r="B355" s="93" t="s">
        <v>1322</v>
      </c>
      <c r="C355" s="11" t="str">
        <f>IMAGE("https://m.media-amazon.com/images/I/61yYBr4qxBL._SL1276_.jpg",1)</f>
        <v/>
      </c>
      <c r="D355" s="215" t="s">
        <v>1250</v>
      </c>
      <c r="E355" s="11" t="s">
        <v>1157</v>
      </c>
      <c r="F355" s="216">
        <v>1.0</v>
      </c>
      <c r="G355" s="93"/>
      <c r="H355" s="11"/>
    </row>
    <row r="356" ht="45.0" customHeight="1">
      <c r="A356" s="11">
        <v>355.0</v>
      </c>
      <c r="B356" s="288" t="s">
        <v>2188</v>
      </c>
      <c r="C356" s="275"/>
      <c r="D356" s="289" t="s">
        <v>2189</v>
      </c>
      <c r="E356" s="294" t="s">
        <v>1157</v>
      </c>
      <c r="F356" s="290">
        <v>2.0</v>
      </c>
      <c r="G356" s="275"/>
      <c r="H356" s="275"/>
      <c r="I356" s="276"/>
    </row>
    <row r="357" ht="45.0" customHeight="1">
      <c r="A357" s="11">
        <v>356.0</v>
      </c>
      <c r="B357" s="283" t="s">
        <v>2190</v>
      </c>
      <c r="C357" s="275"/>
      <c r="D357" s="284" t="s">
        <v>2189</v>
      </c>
      <c r="E357" s="295" t="s">
        <v>1157</v>
      </c>
      <c r="F357" s="285">
        <v>2.0</v>
      </c>
      <c r="G357" s="275"/>
      <c r="H357" s="275"/>
      <c r="I357" s="276"/>
    </row>
    <row r="358" ht="45.0" customHeight="1">
      <c r="A358" s="11">
        <v>357.0</v>
      </c>
      <c r="B358" s="296" t="s">
        <v>2191</v>
      </c>
      <c r="C358" s="275"/>
      <c r="D358" s="297" t="s">
        <v>1156</v>
      </c>
      <c r="E358" s="294" t="s">
        <v>1157</v>
      </c>
      <c r="F358" s="290">
        <v>1.0</v>
      </c>
      <c r="G358" s="275"/>
      <c r="H358" s="275"/>
      <c r="I358" s="276"/>
    </row>
    <row r="359" ht="45.0" customHeight="1">
      <c r="A359" s="11">
        <v>358.0</v>
      </c>
      <c r="B359" s="288" t="s">
        <v>2192</v>
      </c>
      <c r="C359" s="275"/>
      <c r="D359" s="289" t="s">
        <v>2193</v>
      </c>
      <c r="E359" s="294" t="s">
        <v>1157</v>
      </c>
      <c r="F359" s="290">
        <v>2.0</v>
      </c>
      <c r="G359" s="275"/>
      <c r="H359" s="275"/>
      <c r="I359" s="276"/>
    </row>
    <row r="360" ht="45.0" customHeight="1">
      <c r="A360" s="11">
        <v>359.0</v>
      </c>
      <c r="B360" s="283" t="s">
        <v>2194</v>
      </c>
      <c r="C360" s="275"/>
      <c r="D360" s="284" t="s">
        <v>2193</v>
      </c>
      <c r="E360" s="295" t="s">
        <v>1157</v>
      </c>
      <c r="F360" s="285">
        <v>2.0</v>
      </c>
      <c r="G360" s="275"/>
      <c r="H360" s="275"/>
      <c r="I360" s="276"/>
    </row>
    <row r="361" ht="45.0" customHeight="1">
      <c r="A361" s="11">
        <v>360.0</v>
      </c>
      <c r="B361" s="93" t="s">
        <v>345</v>
      </c>
      <c r="C361" s="11" t="str">
        <f>IMAGE("https://m.media-amazon.com/images/I/71NdWJD1LKL._SL1500_.jpg",1)</f>
        <v/>
      </c>
      <c r="D361" s="215" t="s">
        <v>346</v>
      </c>
      <c r="E361" s="11" t="s">
        <v>347</v>
      </c>
      <c r="F361" s="216">
        <v>2.0</v>
      </c>
      <c r="G361" s="215"/>
      <c r="H361" s="11"/>
    </row>
    <row r="362" ht="45.0" customHeight="1">
      <c r="A362" s="11">
        <v>361.0</v>
      </c>
      <c r="B362" s="93" t="s">
        <v>351</v>
      </c>
      <c r="C362" s="11" t="str">
        <f>IMAGE("https://m.media-amazon.com/images/I/41GBeFsg3kL.jpg",1)</f>
        <v/>
      </c>
      <c r="D362" s="215" t="s">
        <v>346</v>
      </c>
      <c r="E362" s="11" t="s">
        <v>347</v>
      </c>
      <c r="F362" s="216">
        <v>2.0</v>
      </c>
      <c r="G362" s="215"/>
      <c r="H362" s="11"/>
    </row>
    <row r="363" ht="45.0" customHeight="1">
      <c r="A363" s="11">
        <v>362.0</v>
      </c>
      <c r="B363" s="93" t="s">
        <v>356</v>
      </c>
      <c r="C363" s="11" t="str">
        <f>IMAGE("https://services.ibo.com/media/v1/products/images/db78032d-e5ba-4c4c-bc8f-110fa0021b77/stanley-sta7221xjin-16-pc-drilling-and-screwdriving-set-1.jpeg",1)</f>
        <v/>
      </c>
      <c r="D363" s="215" t="s">
        <v>346</v>
      </c>
      <c r="E363" s="11" t="s">
        <v>347</v>
      </c>
      <c r="F363" s="216">
        <v>1.0</v>
      </c>
      <c r="G363" s="215"/>
      <c r="H363" s="11"/>
    </row>
    <row r="364" ht="45.0" customHeight="1">
      <c r="A364" s="11">
        <v>363.0</v>
      </c>
      <c r="B364" s="93" t="s">
        <v>360</v>
      </c>
      <c r="C364" s="11" t="str">
        <f>IMAGE("https://cdn.moglix.com/p/Rn8lZopeAizs5-xxlarge.jpg",1)</f>
        <v/>
      </c>
      <c r="D364" s="215" t="s">
        <v>346</v>
      </c>
      <c r="E364" s="11" t="s">
        <v>347</v>
      </c>
      <c r="F364" s="216">
        <v>1.0</v>
      </c>
      <c r="G364" s="215"/>
      <c r="H364" s="11"/>
    </row>
    <row r="365" ht="45.0" customHeight="1">
      <c r="A365" s="11">
        <v>364.0</v>
      </c>
      <c r="B365" s="93" t="s">
        <v>364</v>
      </c>
      <c r="C365" s="11" t="str">
        <f>IMAGE("https://m.media-amazon.com/images/I/51wli9aWH9S._SL1000_.jpg",1)</f>
        <v/>
      </c>
      <c r="D365" s="215" t="s">
        <v>346</v>
      </c>
      <c r="E365" s="11" t="s">
        <v>347</v>
      </c>
      <c r="F365" s="216">
        <v>1.0</v>
      </c>
      <c r="G365" s="215"/>
      <c r="H365" s="11"/>
    </row>
    <row r="366" ht="45.0" customHeight="1">
      <c r="A366" s="11">
        <v>365.0</v>
      </c>
      <c r="B366" s="93" t="s">
        <v>368</v>
      </c>
      <c r="C366" s="11" t="str">
        <f>IMAGE("https://res.cloudinary.com/rsc/image/upload/b_rgb:FFFFFF,c_pad,dpr_1.0,f_auto,q_auto,w_700/c_pad,w_700/C4847566-05",1)</f>
        <v/>
      </c>
      <c r="D366" s="215" t="s">
        <v>346</v>
      </c>
      <c r="E366" s="11" t="s">
        <v>347</v>
      </c>
      <c r="F366" s="216">
        <v>20.0</v>
      </c>
      <c r="G366" s="215"/>
      <c r="H366" s="11"/>
    </row>
    <row r="367" ht="45.0" customHeight="1">
      <c r="A367" s="11">
        <v>366.0</v>
      </c>
      <c r="B367" s="93" t="s">
        <v>372</v>
      </c>
      <c r="C367" s="11" t="str">
        <f>IMAGE("https://5.imimg.com/data5/JR/LF/GK/SELLER-30390418/hacksaw-500x500.png",1)</f>
        <v/>
      </c>
      <c r="D367" s="215" t="s">
        <v>346</v>
      </c>
      <c r="E367" s="11" t="s">
        <v>347</v>
      </c>
      <c r="F367" s="216">
        <v>2.0</v>
      </c>
      <c r="G367" s="215"/>
      <c r="H367" s="11"/>
    </row>
    <row r="368" ht="45.0" customHeight="1">
      <c r="A368" s="11">
        <v>367.0</v>
      </c>
      <c r="B368" s="93" t="s">
        <v>375</v>
      </c>
      <c r="C368" s="11" t="str">
        <f>IMAGE("https://encrypted-tbn0.gstatic.com/images?q=tbn:ANd9GcRnlFGDkPLnXJSjTXFe7fzQ2kj51brspxAcjVtkmgU5NgUWN5-EbmbNTptE-Y3t4g8lr84&amp;usqp=CAU",1)</f>
        <v/>
      </c>
      <c r="D368" s="215" t="s">
        <v>346</v>
      </c>
      <c r="E368" s="11" t="s">
        <v>347</v>
      </c>
      <c r="F368" s="216">
        <v>5.0</v>
      </c>
      <c r="G368" s="215"/>
      <c r="H368" s="11"/>
    </row>
    <row r="369" ht="45.0" customHeight="1">
      <c r="A369" s="11">
        <v>368.0</v>
      </c>
      <c r="B369" s="93" t="s">
        <v>379</v>
      </c>
      <c r="C369" s="11" t="str">
        <f>IMAGE("https://www.stanleytools.me/EMEA/PRODUCT/IMAGES/HIRES/STHT0-10194/STHT0-10194_1.jpg?resize=530x530",1)</f>
        <v/>
      </c>
      <c r="D369" s="215" t="s">
        <v>346</v>
      </c>
      <c r="E369" s="11" t="s">
        <v>347</v>
      </c>
      <c r="F369" s="216">
        <v>2.0</v>
      </c>
      <c r="G369" s="215"/>
      <c r="H369" s="11"/>
    </row>
    <row r="370" ht="45.0" customHeight="1">
      <c r="A370" s="11">
        <v>369.0</v>
      </c>
      <c r="B370" s="93" t="s">
        <v>382</v>
      </c>
      <c r="C370" s="11" t="str">
        <f>IMAGE("https://sc04.alicdn.com/kf/HTB1fK8lXPvuK1Rjy0Faq6x2aVXa5.jpg",1)</f>
        <v/>
      </c>
      <c r="D370" s="215" t="s">
        <v>346</v>
      </c>
      <c r="E370" s="11" t="s">
        <v>347</v>
      </c>
      <c r="F370" s="216">
        <v>10.0</v>
      </c>
      <c r="G370" s="215"/>
      <c r="H370" s="11"/>
    </row>
    <row r="371" ht="45.0" customHeight="1">
      <c r="A371" s="11">
        <v>370.0</v>
      </c>
      <c r="B371" s="93" t="s">
        <v>1926</v>
      </c>
      <c r="C371" s="11" t="str">
        <f>IMAGE("https://asia.blackanddecker.global/ASIA/PRODUCT/IMAGES/HIRES/RT18KA-B1/RT18KA_1.jpg?resize=530x530", 1)</f>
        <v/>
      </c>
      <c r="D371" s="215" t="s">
        <v>346</v>
      </c>
      <c r="E371" s="11" t="s">
        <v>347</v>
      </c>
      <c r="F371" s="11">
        <v>1.0</v>
      </c>
      <c r="G371" s="215"/>
      <c r="H371" s="11"/>
    </row>
    <row r="372" ht="45.0" customHeight="1">
      <c r="A372" s="11">
        <v>371.0</v>
      </c>
      <c r="B372" s="93" t="s">
        <v>1927</v>
      </c>
      <c r="C372" s="11" t="str">
        <f>IMAGE("https://m.media-amazon.com/images/I/518vUksgebL._SL1100_.jpg",1)</f>
        <v/>
      </c>
      <c r="D372" s="215" t="s">
        <v>346</v>
      </c>
      <c r="E372" s="11" t="s">
        <v>347</v>
      </c>
      <c r="F372" s="216">
        <v>5.0</v>
      </c>
      <c r="G372" s="215"/>
      <c r="H372" s="11"/>
    </row>
    <row r="373" ht="45.0" customHeight="1">
      <c r="A373" s="11">
        <v>372.0</v>
      </c>
      <c r="B373" s="93" t="s">
        <v>1928</v>
      </c>
      <c r="C373" s="11" t="str">
        <f>IMAGE("https://rukminim1.flixcart.com/image/416/416/jidg9zk0/art-craft-kit/f/g/a/9mm-snap-off-precision-blades-30-degree-blades-100-blade-pack-1-original-imaf66g6ahvgzem3.jpeg?q=70",1)</f>
        <v/>
      </c>
      <c r="D373" s="215" t="s">
        <v>346</v>
      </c>
      <c r="E373" s="11" t="s">
        <v>347</v>
      </c>
      <c r="F373" s="216">
        <v>5.0</v>
      </c>
      <c r="G373" s="215"/>
      <c r="H373" s="11"/>
    </row>
    <row r="374" ht="45.0" customHeight="1">
      <c r="A374" s="11">
        <v>373.0</v>
      </c>
      <c r="B374" s="93" t="s">
        <v>1929</v>
      </c>
      <c r="C374" s="11" t="str">
        <f>IMAGE("https://m.media-amazon.com/images/I/31u15vg7r0L._SX342_.jpg",1)</f>
        <v/>
      </c>
      <c r="D374" s="215" t="s">
        <v>346</v>
      </c>
      <c r="E374" s="11" t="s">
        <v>347</v>
      </c>
      <c r="F374" s="216">
        <v>5.0</v>
      </c>
      <c r="G374" s="215"/>
      <c r="H374" s="11"/>
    </row>
    <row r="375" ht="45.0" customHeight="1">
      <c r="A375" s="11">
        <v>374.0</v>
      </c>
      <c r="B375" s="93" t="s">
        <v>1930</v>
      </c>
      <c r="C375" s="11" t="str">
        <f>IMAGE("https://hydetools.com/wp-content/uploads/2019/09/42046b.jpg",1)</f>
        <v/>
      </c>
      <c r="D375" s="215" t="s">
        <v>346</v>
      </c>
      <c r="E375" s="11" t="s">
        <v>347</v>
      </c>
      <c r="F375" s="216">
        <v>10.0</v>
      </c>
      <c r="G375" s="215"/>
      <c r="H375" s="11"/>
    </row>
    <row r="376" ht="45.0" customHeight="1">
      <c r="A376" s="11">
        <v>375.0</v>
      </c>
      <c r="B376" s="93" t="s">
        <v>405</v>
      </c>
      <c r="C376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D376" s="215" t="s">
        <v>346</v>
      </c>
      <c r="E376" s="11" t="s">
        <v>347</v>
      </c>
      <c r="F376" s="216">
        <v>10.0</v>
      </c>
      <c r="G376" s="215"/>
      <c r="H376" s="11"/>
    </row>
    <row r="377" ht="45.0" customHeight="1">
      <c r="A377" s="11">
        <v>376.0</v>
      </c>
      <c r="B377" s="93" t="s">
        <v>408</v>
      </c>
      <c r="C377" s="11" t="str">
        <f>IMAGE("https://cdn-reichelt.de/bilder/web/xxl_ws/I210/LEITZ_54166095.png",1)</f>
        <v/>
      </c>
      <c r="D377" s="215" t="s">
        <v>346</v>
      </c>
      <c r="E377" s="11" t="s">
        <v>347</v>
      </c>
      <c r="F377" s="216">
        <v>10.0</v>
      </c>
      <c r="G377" s="215"/>
      <c r="H377" s="11"/>
    </row>
    <row r="378" ht="45.0" customHeight="1">
      <c r="A378" s="11">
        <v>377.0</v>
      </c>
      <c r="B378" s="93" t="s">
        <v>1023</v>
      </c>
      <c r="C378" s="11" t="str">
        <f>IMAGE("https://www.shaanstationery.com/image/cache/catalog/kangaro/kangaro-stapler-no-10-corner-view-1000x1000.jpg",1)</f>
        <v/>
      </c>
      <c r="D378" s="215" t="s">
        <v>981</v>
      </c>
      <c r="E378" s="11" t="s">
        <v>347</v>
      </c>
      <c r="F378" s="216">
        <v>10.0</v>
      </c>
      <c r="G378" s="215"/>
      <c r="H378" s="11"/>
    </row>
    <row r="379" ht="45.0" customHeight="1">
      <c r="A379" s="11">
        <v>378.0</v>
      </c>
      <c r="B379" s="93" t="s">
        <v>1027</v>
      </c>
      <c r="C379" s="11" t="str">
        <f>IMAGE("https://sc04.alicdn.com/kf/HTB1f9mqOZbpK1RjSZFyq6x_qFXaz.jpg",1)</f>
        <v/>
      </c>
      <c r="D379" s="215" t="s">
        <v>981</v>
      </c>
      <c r="E379" s="11" t="s">
        <v>347</v>
      </c>
      <c r="F379" s="216">
        <v>10.0</v>
      </c>
      <c r="G379" s="215"/>
      <c r="H379" s="11"/>
    </row>
    <row r="380" ht="45.0" customHeight="1">
      <c r="A380" s="11">
        <v>379.0</v>
      </c>
      <c r="B380" s="93" t="s">
        <v>1078</v>
      </c>
      <c r="C380" s="11" t="str">
        <f>IMAGE("https://m.media-amazon.com/images/I/51OTKanSUXL._SL1024_.jpg",1)</f>
        <v/>
      </c>
      <c r="D380" s="215" t="s">
        <v>1032</v>
      </c>
      <c r="E380" s="11" t="s">
        <v>347</v>
      </c>
      <c r="F380" s="216">
        <v>50.0</v>
      </c>
      <c r="G380" s="93"/>
      <c r="H380" s="11"/>
    </row>
    <row r="381" ht="45.0" customHeight="1">
      <c r="A381" s="11">
        <v>380.0</v>
      </c>
      <c r="B381" s="93" t="s">
        <v>1128</v>
      </c>
      <c r="C381" s="11" t="str">
        <f>IMAGE("https://cdn.bmstores.co.uk/images/hpcProductImage/imgFull/369783-stanley-sealant-gun-diy.jpg",1)</f>
        <v/>
      </c>
      <c r="D381" s="215" t="s">
        <v>1032</v>
      </c>
      <c r="E381" s="11" t="s">
        <v>347</v>
      </c>
      <c r="F381" s="216">
        <v>1.0</v>
      </c>
      <c r="G381" s="93"/>
      <c r="H381" s="11"/>
    </row>
    <row r="382" ht="45.0" customHeight="1">
      <c r="A382" s="11">
        <v>381.0</v>
      </c>
      <c r="B382" s="93" t="s">
        <v>1132</v>
      </c>
      <c r="C382" s="11" t="str">
        <f>IMAGE("https://5.imimg.com/data5/SELLER/Default/2020/12/RU/ZP/SZ/45671901/alstone-silicone-sealant-500x500.jpeg",1)</f>
        <v/>
      </c>
      <c r="D382" s="215" t="s">
        <v>1032</v>
      </c>
      <c r="E382" s="11" t="s">
        <v>347</v>
      </c>
      <c r="F382" s="216">
        <v>1.0</v>
      </c>
      <c r="G382" s="93"/>
      <c r="H382" s="221"/>
    </row>
    <row r="383" ht="45.0" customHeight="1">
      <c r="A383" s="11">
        <v>382.0</v>
      </c>
      <c r="B383" s="93" t="s">
        <v>1031</v>
      </c>
      <c r="C383" s="11" t="str">
        <f>IMAGE("https://m.media-amazon.com/images/I/61+L7sYwiBL._SL1500_.jpg",1)</f>
        <v/>
      </c>
      <c r="D383" s="215" t="s">
        <v>1032</v>
      </c>
      <c r="E383" s="11" t="s">
        <v>347</v>
      </c>
      <c r="F383" s="11">
        <v>1.0</v>
      </c>
      <c r="G383" s="215"/>
      <c r="H383" s="11"/>
    </row>
    <row r="384" ht="45.0" customHeight="1">
      <c r="A384" s="11">
        <v>383.0</v>
      </c>
      <c r="B384" s="93" t="s">
        <v>1036</v>
      </c>
      <c r="C384" s="11" t="e">
        <v>#VALUE!</v>
      </c>
      <c r="D384" s="215" t="s">
        <v>1032</v>
      </c>
      <c r="E384" s="11" t="s">
        <v>347</v>
      </c>
      <c r="F384" s="216">
        <v>2.0</v>
      </c>
      <c r="G384" s="215"/>
      <c r="H384" s="11"/>
    </row>
    <row r="385" ht="45.0" customHeight="1">
      <c r="A385" s="11">
        <v>384.0</v>
      </c>
      <c r="B385" s="93" t="s">
        <v>1039</v>
      </c>
      <c r="C385" s="11" t="str">
        <f>IMAGE("https://m.media-amazon.com/images/I/71qyUXJ5i6L._AC_UF1000,1000_QL80_.jpg",1)</f>
        <v/>
      </c>
      <c r="D385" s="215" t="s">
        <v>1032</v>
      </c>
      <c r="E385" s="11" t="s">
        <v>347</v>
      </c>
      <c r="F385" s="216">
        <v>1.0</v>
      </c>
      <c r="G385" s="215"/>
      <c r="H385" s="11"/>
    </row>
    <row r="386" ht="45.0" customHeight="1">
      <c r="A386" s="11">
        <v>385.0</v>
      </c>
      <c r="B386" s="93" t="s">
        <v>1043</v>
      </c>
      <c r="C386" s="11" t="str">
        <f>IMAGE("https://5.imimg.com/data5/TS/AU/MY-11200044/steel-shaft-claw-hammer-500x500.jpg",1)</f>
        <v/>
      </c>
      <c r="D386" s="215" t="s">
        <v>1032</v>
      </c>
      <c r="E386" s="11" t="s">
        <v>347</v>
      </c>
      <c r="F386" s="216">
        <v>1.0</v>
      </c>
      <c r="G386" s="215"/>
      <c r="H386" s="11"/>
    </row>
    <row r="387" ht="45.0" customHeight="1">
      <c r="A387" s="11">
        <v>386.0</v>
      </c>
      <c r="B387" s="93" t="s">
        <v>1047</v>
      </c>
      <c r="C387" s="11" t="str">
        <f>IMAGE("https://5.imimg.com/data5/GU/RT/MY-2970994/bench-clamp.jpg",1)</f>
        <v/>
      </c>
      <c r="D387" s="215" t="s">
        <v>1032</v>
      </c>
      <c r="E387" s="11" t="s">
        <v>347</v>
      </c>
      <c r="F387" s="216">
        <v>1.0</v>
      </c>
      <c r="G387" s="215"/>
      <c r="H387" s="11"/>
    </row>
    <row r="388" ht="45.0" customHeight="1">
      <c r="A388" s="11">
        <v>387.0</v>
      </c>
      <c r="B388" s="93" t="s">
        <v>1051</v>
      </c>
      <c r="C388" s="11" t="str">
        <f>IMAGE("https://images.jdmagicbox.com/quickquotes/images_main/plier-381885296-5n4zf.jpg",1)</f>
        <v/>
      </c>
      <c r="D388" s="215" t="s">
        <v>1032</v>
      </c>
      <c r="E388" s="11" t="s">
        <v>347</v>
      </c>
      <c r="F388" s="216">
        <v>1.0</v>
      </c>
      <c r="G388" s="215"/>
      <c r="H388" s="11"/>
    </row>
    <row r="389" ht="45.0" customHeight="1">
      <c r="A389" s="11">
        <v>388.0</v>
      </c>
      <c r="B389" s="93" t="s">
        <v>1055</v>
      </c>
      <c r="C389" s="11" t="str">
        <f>IMAGE("https://m.media-amazon.com/images/I/613WSFIoSjL._SL1500_.jpg",1)</f>
        <v/>
      </c>
      <c r="D389" s="215" t="s">
        <v>1032</v>
      </c>
      <c r="E389" s="11" t="s">
        <v>347</v>
      </c>
      <c r="F389" s="216">
        <v>1.0</v>
      </c>
      <c r="G389" s="215"/>
      <c r="H389" s="11"/>
    </row>
    <row r="390" ht="45.0" customHeight="1">
      <c r="A390" s="11">
        <v>389.0</v>
      </c>
      <c r="B390" s="93" t="s">
        <v>1059</v>
      </c>
      <c r="C390" s="11" t="str">
        <f>IMAGE("https://in.misumi-ec.com/linked/material/fs/FUJ1/PHOTO/223000817171_001.jpg?$product_main$",1)</f>
        <v/>
      </c>
      <c r="D390" s="215" t="s">
        <v>1032</v>
      </c>
      <c r="E390" s="11" t="s">
        <v>347</v>
      </c>
      <c r="F390" s="216">
        <v>1.0</v>
      </c>
      <c r="G390" s="215"/>
      <c r="H390" s="11"/>
    </row>
    <row r="391" ht="45.0" customHeight="1">
      <c r="A391" s="11">
        <v>390.0</v>
      </c>
      <c r="B391" s="93" t="s">
        <v>1063</v>
      </c>
      <c r="C391" s="11" t="str">
        <f>IMAGE("https://i.ebayimg.com/images/g/QLMAAOSwETxj4~0j/s-l1600.jpg",1)</f>
        <v/>
      </c>
      <c r="D391" s="215" t="s">
        <v>1032</v>
      </c>
      <c r="E391" s="11" t="s">
        <v>347</v>
      </c>
      <c r="F391" s="216">
        <v>2.0</v>
      </c>
      <c r="G391" s="215"/>
      <c r="H391" s="11"/>
    </row>
    <row r="392" ht="45.0" customHeight="1">
      <c r="A392" s="11">
        <v>391.0</v>
      </c>
      <c r="B392" s="93" t="s">
        <v>1067</v>
      </c>
      <c r="C392" s="11" t="str">
        <f>IMAGE("https://res.cloudinary.com/rsc/image/upload/b_rgb:FFFFFF,c_pad,dpr_1.0,f_auto,q_auto,w_700/c_pad,w_700/C1985249-01",1)</f>
        <v/>
      </c>
      <c r="D392" s="215" t="s">
        <v>1032</v>
      </c>
      <c r="E392" s="11" t="s">
        <v>347</v>
      </c>
      <c r="F392" s="216">
        <v>1.0</v>
      </c>
      <c r="G392" s="215"/>
      <c r="H392" s="11"/>
    </row>
    <row r="393" ht="45.0" customHeight="1">
      <c r="A393" s="11">
        <v>392.0</v>
      </c>
      <c r="B393" s="93" t="s">
        <v>1071</v>
      </c>
      <c r="C393" s="11" t="str">
        <f>IMAGE("https://cdn.shopify.com/s/files/1/0064/3412/7939/products/71vpWrfPgFL._SL1000_9c7ae600-0e17-44f0-97b0-7a8fa32a55cc_2048x.jpg?v=1540199513",1)</f>
        <v/>
      </c>
      <c r="D393" s="215" t="s">
        <v>1032</v>
      </c>
      <c r="E393" s="11" t="s">
        <v>347</v>
      </c>
      <c r="F393" s="216">
        <v>10.0</v>
      </c>
      <c r="G393" s="215"/>
      <c r="H393" s="221"/>
      <c r="I393" s="298"/>
    </row>
    <row r="394" ht="45.0" customHeight="1">
      <c r="A394" s="11">
        <v>393.0</v>
      </c>
      <c r="B394" s="93" t="s">
        <v>1075</v>
      </c>
      <c r="C394" s="11" t="str">
        <f>IMAGE("https://cdn.shopify.com/s/files/1/0088/0056/7392/products/71GahpQFYhL._SL1500_1024x.jpg?v=1634034762",1)</f>
        <v/>
      </c>
      <c r="D394" s="215" t="s">
        <v>1032</v>
      </c>
      <c r="E394" s="11" t="s">
        <v>347</v>
      </c>
      <c r="F394" s="216">
        <v>4.0</v>
      </c>
      <c r="G394" s="215"/>
      <c r="H394" s="11"/>
      <c r="I394" s="298"/>
    </row>
    <row r="395" ht="45.0" customHeight="1">
      <c r="A395" s="11">
        <v>394.0</v>
      </c>
      <c r="B395" s="93" t="s">
        <v>1082</v>
      </c>
      <c r="C395" s="12" t="str">
        <f>IMAGE("https://m.media-amazon.com/images/I/41XSpNsGoiL._SL1024_.jpg",1)</f>
        <v/>
      </c>
      <c r="D395" s="215" t="s">
        <v>1032</v>
      </c>
      <c r="E395" s="12" t="s">
        <v>347</v>
      </c>
      <c r="F395" s="216">
        <v>1.0</v>
      </c>
      <c r="G395" s="215"/>
      <c r="H395" s="11"/>
    </row>
    <row r="396" ht="45.0" customHeight="1">
      <c r="A396" s="11">
        <v>395.0</v>
      </c>
      <c r="B396" s="93" t="s">
        <v>1094</v>
      </c>
      <c r="C396" s="12" t="str">
        <f>IMAGE("https://m.media-amazon.com/images/I/41pgJCdOd0L._AC_SX522_.jpg", 1)</f>
        <v/>
      </c>
      <c r="D396" s="215" t="s">
        <v>1032</v>
      </c>
      <c r="E396" s="12" t="s">
        <v>347</v>
      </c>
      <c r="F396" s="216">
        <v>2.0</v>
      </c>
      <c r="G396" s="215"/>
      <c r="H396" s="11"/>
    </row>
    <row r="397" ht="45.0" customHeight="1">
      <c r="A397" s="11">
        <v>396.0</v>
      </c>
      <c r="B397" s="93" t="s">
        <v>1098</v>
      </c>
      <c r="C397" s="12" t="str">
        <f>IMAGE("https://5.imimg.com/data5/UF/DF/MY-45635244/sand-paper-500x500.jpg",1)</f>
        <v/>
      </c>
      <c r="D397" s="215" t="s">
        <v>1032</v>
      </c>
      <c r="E397" s="12" t="s">
        <v>347</v>
      </c>
      <c r="F397" s="216">
        <v>25.0</v>
      </c>
      <c r="G397" s="215"/>
      <c r="H397" s="11"/>
    </row>
    <row r="398" ht="45.0" customHeight="1">
      <c r="A398" s="11">
        <v>397.0</v>
      </c>
      <c r="B398" s="93" t="s">
        <v>1101</v>
      </c>
      <c r="C398" s="89" t="e">
        <v>#VALUE!</v>
      </c>
      <c r="D398" s="215" t="s">
        <v>1032</v>
      </c>
      <c r="E398" s="12" t="s">
        <v>347</v>
      </c>
      <c r="F398" s="281">
        <v>2.0</v>
      </c>
      <c r="G398" s="215"/>
      <c r="H398" s="11"/>
    </row>
    <row r="399" ht="45.0" customHeight="1">
      <c r="A399" s="11">
        <v>398.0</v>
      </c>
      <c r="B399" s="93" t="s">
        <v>1104</v>
      </c>
      <c r="C399" s="89" t="e">
        <v>#VALUE!</v>
      </c>
      <c r="D399" s="215" t="s">
        <v>1032</v>
      </c>
      <c r="E399" s="12" t="s">
        <v>347</v>
      </c>
      <c r="F399" s="281">
        <v>2.0</v>
      </c>
      <c r="G399" s="215"/>
      <c r="H399" s="11"/>
    </row>
    <row r="400" ht="45.0" customHeight="1">
      <c r="A400" s="11">
        <v>399.0</v>
      </c>
      <c r="B400" s="107" t="s">
        <v>1107</v>
      </c>
      <c r="C400" s="89" t="e">
        <v>#VALUE!</v>
      </c>
      <c r="D400" s="215" t="s">
        <v>1032</v>
      </c>
      <c r="E400" s="12" t="s">
        <v>347</v>
      </c>
      <c r="F400" s="281">
        <v>2.0</v>
      </c>
      <c r="G400" s="215"/>
      <c r="H400" s="11"/>
    </row>
    <row r="401" ht="45.0" customHeight="1">
      <c r="A401" s="11">
        <v>400.0</v>
      </c>
      <c r="B401" s="107" t="s">
        <v>1110</v>
      </c>
      <c r="C401" s="262" t="e">
        <v>#VALUE!</v>
      </c>
      <c r="D401" s="215" t="s">
        <v>1032</v>
      </c>
      <c r="E401" s="12" t="s">
        <v>347</v>
      </c>
      <c r="F401" s="281">
        <v>2.0</v>
      </c>
      <c r="G401" s="215"/>
      <c r="H401" s="11"/>
    </row>
    <row r="402" ht="45.0" customHeight="1">
      <c r="A402" s="11">
        <v>401.0</v>
      </c>
      <c r="B402" s="93" t="s">
        <v>1114</v>
      </c>
      <c r="C402" s="262" t="e">
        <v>#VALUE!</v>
      </c>
      <c r="D402" s="215" t="s">
        <v>1032</v>
      </c>
      <c r="E402" s="12" t="s">
        <v>347</v>
      </c>
      <c r="F402" s="281">
        <v>1.0</v>
      </c>
      <c r="G402" s="215"/>
      <c r="H402" s="11"/>
    </row>
    <row r="403" ht="45.0" customHeight="1">
      <c r="A403" s="11">
        <v>402.0</v>
      </c>
      <c r="B403" s="93" t="s">
        <v>1117</v>
      </c>
      <c r="C403" s="262" t="e">
        <v>#VALUE!</v>
      </c>
      <c r="D403" s="215" t="s">
        <v>1032</v>
      </c>
      <c r="E403" s="12" t="s">
        <v>347</v>
      </c>
      <c r="F403" s="281">
        <v>1.0</v>
      </c>
      <c r="G403" s="215"/>
      <c r="H403" s="11"/>
    </row>
    <row r="404" ht="45.0" customHeight="1">
      <c r="A404" s="11">
        <v>403.0</v>
      </c>
      <c r="B404" s="93" t="s">
        <v>1121</v>
      </c>
      <c r="C404" s="12" t="str">
        <f>IMAGE("https://5.imimg.com/data5/DH/NE/PV/SELLER-4135781/6-pc-precision-screwdriver-set-500x500.jpg",1)</f>
        <v/>
      </c>
      <c r="D404" s="215" t="s">
        <v>1032</v>
      </c>
      <c r="E404" s="12" t="s">
        <v>347</v>
      </c>
      <c r="F404" s="216">
        <v>1.0</v>
      </c>
      <c r="G404" s="215"/>
      <c r="H404" s="11"/>
    </row>
    <row r="405" ht="45.0" customHeight="1">
      <c r="A405" s="11">
        <v>404.0</v>
      </c>
      <c r="B405" s="93" t="s">
        <v>1136</v>
      </c>
      <c r="C405" s="12" t="str">
        <f>IMAGE("https://ravimachines.com/wp-content/uploads/2016/07/full_13.jpg",1)</f>
        <v/>
      </c>
      <c r="D405" s="215" t="s">
        <v>1032</v>
      </c>
      <c r="E405" s="12" t="s">
        <v>347</v>
      </c>
      <c r="F405" s="216">
        <v>1.0</v>
      </c>
      <c r="G405" s="215"/>
      <c r="H405" s="11"/>
    </row>
    <row r="406" ht="45.0" customHeight="1">
      <c r="A406" s="11">
        <v>405.0</v>
      </c>
      <c r="B406" s="217" t="s">
        <v>1140</v>
      </c>
      <c r="C406" s="12" t="str">
        <f>IMAGE("https://m.media-amazon.com/images/I/61O+7azby+L.jpg",1)</f>
        <v/>
      </c>
      <c r="D406" s="215" t="s">
        <v>1032</v>
      </c>
      <c r="E406" s="12" t="s">
        <v>347</v>
      </c>
      <c r="F406" s="11">
        <v>10.0</v>
      </c>
      <c r="G406" s="215"/>
      <c r="H406" s="11"/>
    </row>
    <row r="407" ht="45.0" customHeight="1">
      <c r="A407" s="11">
        <v>406.0</v>
      </c>
      <c r="B407" s="93" t="s">
        <v>1144</v>
      </c>
      <c r="C407" s="12" t="str">
        <f>IMAGE("https://5.imimg.com/data5/SELLER/Default/2021/4/UH/ZY/EE/41301440/machine.jpeg",1)</f>
        <v/>
      </c>
      <c r="D407" s="215" t="s">
        <v>1032</v>
      </c>
      <c r="E407" s="12" t="s">
        <v>347</v>
      </c>
      <c r="F407" s="216">
        <v>1.0</v>
      </c>
      <c r="G407" s="215"/>
      <c r="H407" s="11"/>
    </row>
    <row r="408" ht="45.0" customHeight="1">
      <c r="A408" s="11">
        <v>407.0</v>
      </c>
      <c r="B408" s="93" t="s">
        <v>1148</v>
      </c>
      <c r="C408" s="12"/>
      <c r="D408" s="215" t="s">
        <v>1032</v>
      </c>
      <c r="E408" s="12" t="s">
        <v>347</v>
      </c>
      <c r="F408" s="216">
        <v>2.0</v>
      </c>
      <c r="G408" s="215"/>
      <c r="H408" s="11"/>
    </row>
    <row r="409" ht="45.0" customHeight="1">
      <c r="A409" s="11">
        <v>408.0</v>
      </c>
      <c r="B409" s="93" t="s">
        <v>1151</v>
      </c>
      <c r="C409" s="12" t="str">
        <f>IMAGE("https://5.imimg.com/data5/SELLER/Default/2020/10/KC/AV/BY/25174136/150b-cutter-stripper-250x250.jpg",1)</f>
        <v/>
      </c>
      <c r="D409" s="215" t="s">
        <v>1032</v>
      </c>
      <c r="E409" s="12" t="s">
        <v>347</v>
      </c>
      <c r="F409" s="216">
        <v>10.0</v>
      </c>
      <c r="G409" s="215"/>
      <c r="H409" s="11"/>
    </row>
    <row r="410" ht="45.0" customHeight="1">
      <c r="A410" s="11">
        <v>409.0</v>
      </c>
      <c r="B410" s="93" t="s">
        <v>1086</v>
      </c>
      <c r="C410" s="12" t="str">
        <f>IMAGE("https://m.media-amazon.com/images/I/513ZkVzGbdL._AC_.jpg", 1)</f>
        <v/>
      </c>
      <c r="D410" s="215" t="s">
        <v>1032</v>
      </c>
      <c r="E410" s="12" t="s">
        <v>347</v>
      </c>
      <c r="F410" s="216">
        <v>2.0</v>
      </c>
      <c r="G410" s="93"/>
      <c r="H410" s="11"/>
    </row>
    <row r="411" ht="45.0" customHeight="1">
      <c r="A411" s="11">
        <v>410.0</v>
      </c>
      <c r="B411" s="93" t="s">
        <v>1090</v>
      </c>
      <c r="C411" s="12" t="str">
        <f>IMAGE("https://m.media-amazon.com/images/I/41V47za3aNL.jpg",1)</f>
        <v/>
      </c>
      <c r="D411" s="215" t="s">
        <v>1032</v>
      </c>
      <c r="E411" s="12" t="s">
        <v>347</v>
      </c>
      <c r="F411" s="216">
        <v>2.0</v>
      </c>
      <c r="G411" s="93"/>
      <c r="H411" s="11"/>
    </row>
    <row r="412" ht="45.0" customHeight="1">
      <c r="A412" s="11">
        <v>411.0</v>
      </c>
      <c r="B412" s="93" t="s">
        <v>1325</v>
      </c>
      <c r="C412" s="12" t="e">
        <v>#VALUE!</v>
      </c>
      <c r="D412" s="215" t="s">
        <v>1250</v>
      </c>
      <c r="E412" s="12" t="s">
        <v>347</v>
      </c>
      <c r="F412" s="216">
        <v>1.0</v>
      </c>
      <c r="G412" s="93"/>
      <c r="H412" s="11"/>
    </row>
    <row r="413" ht="45.0" customHeight="1">
      <c r="A413" s="11">
        <v>412.0</v>
      </c>
      <c r="B413" s="93" t="s">
        <v>1350</v>
      </c>
      <c r="C413" s="12" t="str">
        <f>IMAGE("https://5.imimg.com/data5/SELLER/Default/2023/1/CR/QN/CU/119456209/b22-cap-punching-tool-1000x1000.jpg",1)</f>
        <v/>
      </c>
      <c r="D413" s="215" t="s">
        <v>1330</v>
      </c>
      <c r="E413" s="11" t="s">
        <v>347</v>
      </c>
      <c r="F413" s="11">
        <v>1.0</v>
      </c>
      <c r="G413" s="93"/>
      <c r="H413" s="11"/>
    </row>
    <row r="414" ht="45.0" customHeight="1">
      <c r="A414" s="11">
        <v>413.0</v>
      </c>
      <c r="B414" s="93" t="s">
        <v>1354</v>
      </c>
      <c r="C414" s="12" t="str">
        <f>IMAGE("https://m.media-amazon.com/images/I/31xTdt3sfiL.jpg",1)</f>
        <v/>
      </c>
      <c r="D414" s="215" t="s">
        <v>1330</v>
      </c>
      <c r="E414" s="12" t="s">
        <v>347</v>
      </c>
      <c r="F414" s="11">
        <v>1.0</v>
      </c>
      <c r="G414" s="93"/>
      <c r="H414" s="11"/>
    </row>
    <row r="415" ht="45.0" customHeight="1">
      <c r="A415" s="11">
        <v>414.0</v>
      </c>
      <c r="B415" s="93" t="s">
        <v>1399</v>
      </c>
      <c r="C415" s="12" t="str">
        <f>IMAGE("https://m.media-amazon.com/images/I/41giw5t2ycL.jpg",1)</f>
        <v/>
      </c>
      <c r="D415" s="215" t="s">
        <v>1400</v>
      </c>
      <c r="E415" s="12" t="s">
        <v>347</v>
      </c>
      <c r="F415" s="11">
        <v>1.0</v>
      </c>
      <c r="G415" s="93"/>
      <c r="H415" s="11"/>
    </row>
    <row r="416" ht="45.0" customHeight="1">
      <c r="A416" s="11">
        <v>415.0</v>
      </c>
      <c r="B416" s="93" t="s">
        <v>1404</v>
      </c>
      <c r="C416" s="12" t="str">
        <f>IMAGE("https://m.media-amazon.com/images/I/71vAZkeQh9L._SL1500_.jpg",1)</f>
        <v/>
      </c>
      <c r="D416" s="215" t="s">
        <v>1400</v>
      </c>
      <c r="E416" s="12" t="s">
        <v>347</v>
      </c>
      <c r="F416" s="11">
        <v>1.0</v>
      </c>
      <c r="G416" s="93"/>
      <c r="H416" s="11"/>
    </row>
    <row r="417" ht="45.0" customHeight="1">
      <c r="A417" s="11">
        <v>416.0</v>
      </c>
      <c r="B417" s="93" t="s">
        <v>1412</v>
      </c>
      <c r="C417" s="12" t="str">
        <f>IMAGE("https://m.media-amazon.com/images/I/61saUYFEn9L._SL1500_.jpg",1)</f>
        <v/>
      </c>
      <c r="D417" s="215" t="s">
        <v>1400</v>
      </c>
      <c r="E417" s="12" t="s">
        <v>347</v>
      </c>
      <c r="F417" s="11">
        <v>5.0</v>
      </c>
      <c r="G417" s="93"/>
      <c r="H417" s="11"/>
    </row>
    <row r="418" ht="45.0" customHeight="1">
      <c r="A418" s="11">
        <v>417.0</v>
      </c>
      <c r="B418" s="93" t="s">
        <v>1416</v>
      </c>
      <c r="C418" s="12" t="str">
        <f>IMAGE("https://m.media-amazon.com/images/I/61zRix8Lt0L._SL1500_.jpg",1)</f>
        <v/>
      </c>
      <c r="D418" s="215" t="s">
        <v>1400</v>
      </c>
      <c r="E418" s="12" t="s">
        <v>347</v>
      </c>
      <c r="F418" s="11">
        <v>1.0</v>
      </c>
      <c r="G418" s="93"/>
      <c r="H418" s="11"/>
    </row>
    <row r="419" ht="45.0" customHeight="1">
      <c r="A419" s="11">
        <v>418.0</v>
      </c>
      <c r="B419" s="93" t="s">
        <v>1611</v>
      </c>
      <c r="C419" s="12" t="str">
        <f>IMAGE("https://delhi6online.in/cdn/shop/products/S1_800x.jpg?v=1545883083.jpg",1)</f>
        <v/>
      </c>
      <c r="D419" s="215" t="s">
        <v>1601</v>
      </c>
      <c r="E419" s="12" t="s">
        <v>347</v>
      </c>
      <c r="F419" s="11">
        <v>5.0</v>
      </c>
      <c r="G419" s="93"/>
      <c r="H419" s="11"/>
    </row>
    <row r="420" ht="45.0" customHeight="1">
      <c r="A420" s="11">
        <v>419.0</v>
      </c>
      <c r="B420" s="93" t="s">
        <v>1615</v>
      </c>
      <c r="C420" s="12" t="str">
        <f>IMAGE("https://4.imimg.com/data4/JF/WX/MY-2704359/thread-cutter-1000x1000.jpg",1)</f>
        <v/>
      </c>
      <c r="D420" s="215" t="s">
        <v>1601</v>
      </c>
      <c r="E420" s="12" t="s">
        <v>347</v>
      </c>
      <c r="F420" s="11">
        <v>5.0</v>
      </c>
      <c r="G420" s="93"/>
      <c r="H420" s="11"/>
    </row>
  </sheetData>
  <autoFilter ref="$A$1:$H$394">
    <sortState ref="A1:H394">
      <sortCondition ref="D1:D394"/>
      <sortCondition ref="A1:A394"/>
      <sortCondition ref="H1:H394"/>
    </sortState>
  </autoFilter>
  <conditionalFormatting sqref="B2 D2">
    <cfRule type="containsBlanks" dxfId="0" priority="1">
      <formula>LEN(TRIM(B2))=0</formula>
    </cfRule>
  </conditionalFormatting>
  <conditionalFormatting sqref="H1:H420">
    <cfRule type="cellIs" dxfId="3" priority="2" operator="equal">
      <formula>1</formula>
    </cfRule>
  </conditionalFormatting>
  <conditionalFormatting sqref="H1:H420">
    <cfRule type="cellIs" dxfId="8" priority="3" operator="equal">
      <formula>2</formula>
    </cfRule>
  </conditionalFormatting>
  <conditionalFormatting sqref="H1:H420">
    <cfRule type="cellIs" dxfId="9" priority="4" operator="equal">
      <formula>3</formula>
    </cfRule>
  </conditionalFormatting>
  <conditionalFormatting sqref="H1:H420">
    <cfRule type="cellIs" dxfId="5" priority="5" operator="equal">
      <formula>4</formula>
    </cfRule>
  </conditionalFormatting>
  <conditionalFormatting sqref="H1:H420">
    <cfRule type="notContainsBlanks" dxfId="10" priority="6">
      <formula>LEN(TRIM(H1))&gt;0</formula>
    </cfRule>
  </conditionalFormatting>
  <dataValidations>
    <dataValidation type="list" allowBlank="1" showErrorMessage="1" sqref="E1:E54 E56:E420">
      <formula1>Sheet1!$C$1:$C$8</formula1>
    </dataValidation>
    <dataValidation type="list" allowBlank="1" showErrorMessage="1" sqref="G13:G16 G23:G25 G28 G44 G52:G54 G123:G128 G140 G142 G144 G205 G238 G243:G252 G276:G294 G298:G301 G303:G304 G343:G345 G353:G355 G412 G415:G416 D1:D420 G419:G420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48.86"/>
    <col customWidth="1" min="3" max="3" width="26.0"/>
    <col customWidth="1" min="4" max="4" width="12.57"/>
    <col customWidth="1" min="5" max="5" width="13.0"/>
    <col customWidth="1" min="6" max="38" width="7.0"/>
    <col hidden="1" min="39" max="39" width="14.43"/>
  </cols>
  <sheetData>
    <row r="1" ht="45.0" customHeight="1">
      <c r="A1" s="301">
        <v>360.0</v>
      </c>
      <c r="B1" s="302" t="s">
        <v>345</v>
      </c>
      <c r="C1" s="301" t="str">
        <f>IMAGE("https://m.media-amazon.com/images/I/71NdWJD1LKL._SL1500_.jpg",1)</f>
        <v/>
      </c>
      <c r="D1" s="303">
        <v>2.0</v>
      </c>
      <c r="E1" s="304"/>
      <c r="F1" s="305">
        <v>1.0</v>
      </c>
      <c r="G1" s="305">
        <v>2.0</v>
      </c>
      <c r="H1" s="305">
        <v>3.0</v>
      </c>
      <c r="I1" s="305">
        <v>4.0</v>
      </c>
      <c r="J1" s="305">
        <v>5.0</v>
      </c>
      <c r="K1" s="305">
        <v>6.0</v>
      </c>
      <c r="L1" s="305">
        <v>7.0</v>
      </c>
      <c r="M1" s="305">
        <v>8.0</v>
      </c>
      <c r="N1" s="305">
        <v>9.0</v>
      </c>
      <c r="O1" s="305">
        <v>10.0</v>
      </c>
      <c r="P1" s="305">
        <v>11.0</v>
      </c>
      <c r="Q1" s="305">
        <v>12.0</v>
      </c>
      <c r="R1" s="305">
        <v>13.0</v>
      </c>
      <c r="S1" s="305">
        <v>14.0</v>
      </c>
      <c r="T1" s="305">
        <v>15.0</v>
      </c>
      <c r="U1" s="305">
        <v>16.0</v>
      </c>
      <c r="V1" s="305">
        <v>17.0</v>
      </c>
      <c r="W1" s="305">
        <v>18.0</v>
      </c>
      <c r="X1" s="305">
        <v>19.0</v>
      </c>
      <c r="Y1" s="305">
        <v>20.0</v>
      </c>
      <c r="Z1" s="305">
        <v>21.0</v>
      </c>
      <c r="AA1" s="305">
        <v>22.0</v>
      </c>
      <c r="AB1" s="305">
        <v>23.0</v>
      </c>
      <c r="AC1" s="305">
        <v>24.0</v>
      </c>
      <c r="AD1" s="305">
        <v>25.0</v>
      </c>
      <c r="AE1" s="305">
        <v>26.0</v>
      </c>
      <c r="AF1" s="305">
        <v>27.0</v>
      </c>
      <c r="AG1" s="305">
        <v>28.0</v>
      </c>
      <c r="AH1" s="305">
        <v>29.0</v>
      </c>
      <c r="AI1" s="305">
        <v>30.0</v>
      </c>
      <c r="AJ1" s="305">
        <v>31.0</v>
      </c>
      <c r="AK1" s="305">
        <v>32.0</v>
      </c>
      <c r="AL1" s="305">
        <v>33.0</v>
      </c>
      <c r="AM1" s="306"/>
    </row>
    <row r="2" ht="45.0" customHeight="1">
      <c r="A2" s="301">
        <v>361.0</v>
      </c>
      <c r="B2" s="302" t="s">
        <v>351</v>
      </c>
      <c r="C2" s="301" t="str">
        <f>IMAGE("https://m.media-amazon.com/images/I/41GBeFsg3kL.jpg",1)</f>
        <v/>
      </c>
      <c r="D2" s="303">
        <v>2.0</v>
      </c>
      <c r="E2" s="304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6"/>
    </row>
    <row r="3" ht="45.0" customHeight="1">
      <c r="A3" s="301">
        <v>362.0</v>
      </c>
      <c r="B3" s="302" t="s">
        <v>356</v>
      </c>
      <c r="C3" s="301" t="str">
        <f>IMAGE("https://services.ibo.com/media/v1/products/images/db78032d-e5ba-4c4c-bc8f-110fa0021b77/stanley-sta7221xjin-16-pc-drilling-and-screwdriving-set-1.jpeg",1)</f>
        <v/>
      </c>
      <c r="D3" s="303">
        <v>1.0</v>
      </c>
      <c r="E3" s="304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6"/>
    </row>
    <row r="4" ht="45.0" customHeight="1">
      <c r="A4" s="301">
        <v>363.0</v>
      </c>
      <c r="B4" s="302" t="s">
        <v>360</v>
      </c>
      <c r="C4" s="301" t="str">
        <f>IMAGE("https://cdn.moglix.com/p/Rn8lZopeAizs5-xxlarge.jpg",1)</f>
        <v/>
      </c>
      <c r="D4" s="303">
        <v>1.0</v>
      </c>
      <c r="E4" s="304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6"/>
    </row>
    <row r="5" ht="45.0" customHeight="1">
      <c r="A5" s="301">
        <v>364.0</v>
      </c>
      <c r="B5" s="302" t="s">
        <v>364</v>
      </c>
      <c r="C5" s="301" t="str">
        <f>IMAGE("https://m.media-amazon.com/images/I/51wli9aWH9S._SL1000_.jpg",1)</f>
        <v/>
      </c>
      <c r="D5" s="303">
        <v>1.0</v>
      </c>
      <c r="E5" s="304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6"/>
    </row>
    <row r="6" ht="45.0" customHeight="1">
      <c r="A6" s="301">
        <v>365.0</v>
      </c>
      <c r="B6" s="302" t="s">
        <v>368</v>
      </c>
      <c r="C6" s="301" t="str">
        <f>IMAGE("https://res.cloudinary.com/rsc/image/upload/b_rgb:FFFFFF,c_pad,dpr_1.0,f_auto,q_auto,w_700/c_pad,w_700/C4847566-05",1)</f>
        <v/>
      </c>
      <c r="D6" s="303">
        <v>20.0</v>
      </c>
      <c r="E6" s="304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6"/>
    </row>
    <row r="7" ht="45.0" customHeight="1">
      <c r="A7" s="301">
        <v>366.0</v>
      </c>
      <c r="B7" s="302" t="s">
        <v>372</v>
      </c>
      <c r="C7" s="301" t="str">
        <f>IMAGE("https://5.imimg.com/data5/JR/LF/GK/SELLER-30390418/hacksaw-500x500.png",1)</f>
        <v/>
      </c>
      <c r="D7" s="303">
        <v>2.0</v>
      </c>
      <c r="E7" s="304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1"/>
      <c r="AM7" s="306"/>
    </row>
    <row r="8" ht="45.0" customHeight="1">
      <c r="A8" s="301">
        <v>367.0</v>
      </c>
      <c r="B8" s="302" t="s">
        <v>375</v>
      </c>
      <c r="C8" s="301" t="str">
        <f>IMAGE("https://encrypted-tbn0.gstatic.com/images?q=tbn:ANd9GcRnlFGDkPLnXJSjTXFe7fzQ2kj51brspxAcjVtkmgU5NgUWN5-EbmbNTptE-Y3t4g8lr84&amp;usqp=CAU",1)</f>
        <v/>
      </c>
      <c r="D8" s="303">
        <v>5.0</v>
      </c>
      <c r="E8" s="304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6"/>
    </row>
    <row r="9" ht="45.0" customHeight="1">
      <c r="A9" s="301">
        <v>368.0</v>
      </c>
      <c r="B9" s="302" t="s">
        <v>379</v>
      </c>
      <c r="C9" s="301" t="str">
        <f>IMAGE("https://www.stanleytools.me/EMEA/PRODUCT/IMAGES/HIRES/STHT0-10194/STHT0-10194_1.jpg?resize=530x530",1)</f>
        <v/>
      </c>
      <c r="D9" s="303">
        <v>2.0</v>
      </c>
      <c r="E9" s="304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6"/>
    </row>
    <row r="10" ht="45.0" customHeight="1">
      <c r="A10" s="301">
        <v>369.0</v>
      </c>
      <c r="B10" s="302" t="s">
        <v>382</v>
      </c>
      <c r="C10" s="301" t="str">
        <f>IMAGE("https://sc04.alicdn.com/kf/HTB1fK8lXPvuK1Rjy0Faq6x2aVXa5.jpg",1)</f>
        <v/>
      </c>
      <c r="D10" s="303">
        <v>10.0</v>
      </c>
      <c r="E10" s="304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1"/>
      <c r="AK10" s="301"/>
      <c r="AL10" s="301"/>
      <c r="AM10" s="306"/>
    </row>
    <row r="11" ht="45.0" customHeight="1">
      <c r="A11" s="301">
        <v>370.0</v>
      </c>
      <c r="B11" s="302" t="s">
        <v>1926</v>
      </c>
      <c r="C11" s="301" t="str">
        <f>IMAGE("https://asia.blackanddecker.global/ASIA/PRODUCT/IMAGES/HIRES/RT18KA-B1/RT18KA_1.jpg?resize=530x530", 1)</f>
        <v/>
      </c>
      <c r="D11" s="301">
        <v>1.0</v>
      </c>
      <c r="E11" s="304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6"/>
    </row>
    <row r="12" ht="45.0" customHeight="1">
      <c r="A12" s="301">
        <v>371.0</v>
      </c>
      <c r="B12" s="302" t="s">
        <v>1927</v>
      </c>
      <c r="C12" s="301" t="str">
        <f>IMAGE("https://m.media-amazon.com/images/I/518vUksgebL._SL1100_.jpg",1)</f>
        <v/>
      </c>
      <c r="D12" s="303">
        <v>5.0</v>
      </c>
      <c r="E12" s="304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6"/>
    </row>
    <row r="13" ht="45.0" customHeight="1">
      <c r="A13" s="301">
        <v>372.0</v>
      </c>
      <c r="B13" s="302" t="s">
        <v>1928</v>
      </c>
      <c r="C13" s="301" t="str">
        <f>IMAGE("https://rukminim1.flixcart.com/image/416/416/jidg9zk0/art-craft-kit/f/g/a/9mm-snap-off-precision-blades-30-degree-blades-100-blade-pack-1-original-imaf66g6ahvgzem3.jpeg?q=70",1)</f>
        <v/>
      </c>
      <c r="D13" s="303">
        <v>5.0</v>
      </c>
      <c r="E13" s="304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6"/>
    </row>
    <row r="14" ht="45.0" customHeight="1">
      <c r="A14" s="301">
        <v>373.0</v>
      </c>
      <c r="B14" s="302" t="s">
        <v>1929</v>
      </c>
      <c r="C14" s="301" t="str">
        <f>IMAGE("https://m.media-amazon.com/images/I/31u15vg7r0L._SX342_.jpg",1)</f>
        <v/>
      </c>
      <c r="D14" s="303">
        <v>5.0</v>
      </c>
      <c r="E14" s="304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6"/>
    </row>
    <row r="15" ht="45.0" customHeight="1">
      <c r="A15" s="301">
        <v>374.0</v>
      </c>
      <c r="B15" s="302" t="s">
        <v>1930</v>
      </c>
      <c r="C15" s="301" t="str">
        <f>IMAGE("https://hydetools.com/wp-content/uploads/2019/09/42046b.jpg",1)</f>
        <v/>
      </c>
      <c r="D15" s="303">
        <v>10.0</v>
      </c>
      <c r="E15" s="304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6"/>
    </row>
    <row r="16" ht="45.0" customHeight="1">
      <c r="A16" s="301">
        <v>375.0</v>
      </c>
      <c r="B16" s="302" t="s">
        <v>405</v>
      </c>
      <c r="C16" s="30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D16" s="303">
        <v>10.0</v>
      </c>
      <c r="E16" s="304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6"/>
    </row>
    <row r="17" ht="45.0" customHeight="1">
      <c r="A17" s="301">
        <v>376.0</v>
      </c>
      <c r="B17" s="302" t="s">
        <v>408</v>
      </c>
      <c r="C17" s="301" t="str">
        <f>IMAGE("https://cdn-reichelt.de/bilder/web/xxl_ws/I210/LEITZ_54166095.png",1)</f>
        <v/>
      </c>
      <c r="D17" s="303">
        <v>10.0</v>
      </c>
      <c r="E17" s="304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6"/>
    </row>
    <row r="18" ht="45.0" customHeight="1">
      <c r="A18" s="301">
        <v>377.0</v>
      </c>
      <c r="B18" s="302" t="s">
        <v>1023</v>
      </c>
      <c r="C18" s="301" t="str">
        <f>IMAGE("https://www.shaanstationery.com/image/cache/catalog/kangaro/kangaro-stapler-no-10-corner-view-1000x1000.jpg",1)</f>
        <v/>
      </c>
      <c r="D18" s="303">
        <v>10.0</v>
      </c>
      <c r="E18" s="304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6"/>
    </row>
    <row r="19" ht="45.0" customHeight="1">
      <c r="A19" s="301">
        <v>378.0</v>
      </c>
      <c r="B19" s="302" t="s">
        <v>1027</v>
      </c>
      <c r="C19" s="301" t="str">
        <f>IMAGE("https://sc04.alicdn.com/kf/HTB1f9mqOZbpK1RjSZFyq6x_qFXaz.jpg",1)</f>
        <v/>
      </c>
      <c r="D19" s="303">
        <v>10.0</v>
      </c>
      <c r="E19" s="304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6"/>
    </row>
    <row r="20" ht="45.0" customHeight="1">
      <c r="A20" s="301">
        <v>379.0</v>
      </c>
      <c r="B20" s="302" t="s">
        <v>1078</v>
      </c>
      <c r="C20" s="301" t="str">
        <f>IMAGE("https://m.media-amazon.com/images/I/51OTKanSUXL._SL1024_.jpg",1)</f>
        <v/>
      </c>
      <c r="D20" s="303">
        <v>50.0</v>
      </c>
      <c r="E20" s="302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1"/>
      <c r="AL20" s="301"/>
      <c r="AM20" s="306"/>
    </row>
    <row r="21" ht="45.0" customHeight="1">
      <c r="A21" s="301">
        <v>380.0</v>
      </c>
      <c r="B21" s="302" t="s">
        <v>1128</v>
      </c>
      <c r="C21" s="301" t="str">
        <f>IMAGE("https://cdn.bmstores.co.uk/images/hpcProductImage/imgFull/369783-stanley-sealant-gun-diy.jpg",1)</f>
        <v/>
      </c>
      <c r="D21" s="303">
        <v>1.0</v>
      </c>
      <c r="E21" s="302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6"/>
    </row>
    <row r="22" ht="45.0" customHeight="1">
      <c r="A22" s="301">
        <v>381.0</v>
      </c>
      <c r="B22" s="302" t="s">
        <v>1132</v>
      </c>
      <c r="C22" s="301" t="str">
        <f>IMAGE("https://5.imimg.com/data5/SELLER/Default/2020/12/RU/ZP/SZ/45671901/alstone-silicone-sealant-500x500.jpeg",1)</f>
        <v/>
      </c>
      <c r="D22" s="303">
        <v>1.0</v>
      </c>
      <c r="E22" s="302"/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  <c r="AK22" s="305"/>
      <c r="AL22" s="305"/>
      <c r="AM22" s="306"/>
    </row>
    <row r="23" ht="45.0" customHeight="1">
      <c r="A23" s="301">
        <v>382.0</v>
      </c>
      <c r="B23" s="302" t="s">
        <v>1031</v>
      </c>
      <c r="C23" s="301" t="str">
        <f>IMAGE("https://m.media-amazon.com/images/I/61+L7sYwiBL._SL1500_.jpg",1)</f>
        <v/>
      </c>
      <c r="D23" s="301">
        <v>1.0</v>
      </c>
      <c r="E23" s="304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1"/>
      <c r="AM23" s="306"/>
    </row>
    <row r="24" ht="45.0" customHeight="1">
      <c r="A24" s="301">
        <v>383.0</v>
      </c>
      <c r="B24" s="302" t="s">
        <v>1036</v>
      </c>
      <c r="C24" s="301" t="e">
        <v>#VALUE!</v>
      </c>
      <c r="D24" s="303">
        <v>2.0</v>
      </c>
      <c r="E24" s="304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6"/>
    </row>
    <row r="25" ht="45.0" customHeight="1">
      <c r="A25" s="301">
        <v>384.0</v>
      </c>
      <c r="B25" s="302" t="s">
        <v>1039</v>
      </c>
      <c r="C25" s="301" t="str">
        <f>IMAGE("https://m.media-amazon.com/images/I/71qyUXJ5i6L._AC_UF1000,1000_QL80_.jpg",1)</f>
        <v/>
      </c>
      <c r="D25" s="303">
        <v>1.0</v>
      </c>
      <c r="E25" s="304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6"/>
    </row>
    <row r="26" ht="45.0" customHeight="1">
      <c r="A26" s="301">
        <v>385.0</v>
      </c>
      <c r="B26" s="302" t="s">
        <v>1043</v>
      </c>
      <c r="C26" s="301" t="str">
        <f>IMAGE("https://5.imimg.com/data5/TS/AU/MY-11200044/steel-shaft-claw-hammer-500x500.jpg",1)</f>
        <v/>
      </c>
      <c r="D26" s="303">
        <v>1.0</v>
      </c>
      <c r="E26" s="304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6"/>
    </row>
    <row r="27" ht="45.0" customHeight="1">
      <c r="A27" s="301">
        <v>386.0</v>
      </c>
      <c r="B27" s="302" t="s">
        <v>1047</v>
      </c>
      <c r="C27" s="301" t="str">
        <f>IMAGE("https://5.imimg.com/data5/GU/RT/MY-2970994/bench-clamp.jpg",1)</f>
        <v/>
      </c>
      <c r="D27" s="303">
        <v>1.0</v>
      </c>
      <c r="E27" s="304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6"/>
    </row>
    <row r="28" ht="45.0" customHeight="1">
      <c r="A28" s="301">
        <v>387.0</v>
      </c>
      <c r="B28" s="302" t="s">
        <v>1051</v>
      </c>
      <c r="C28" s="301" t="str">
        <f>IMAGE("https://images.jdmagicbox.com/quickquotes/images_main/plier-381885296-5n4zf.jpg",1)</f>
        <v/>
      </c>
      <c r="D28" s="303">
        <v>1.0</v>
      </c>
      <c r="E28" s="304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6"/>
    </row>
    <row r="29" ht="45.0" customHeight="1">
      <c r="A29" s="301">
        <v>388.0</v>
      </c>
      <c r="B29" s="302" t="s">
        <v>1055</v>
      </c>
      <c r="C29" s="301" t="str">
        <f>IMAGE("https://m.media-amazon.com/images/I/613WSFIoSjL._SL1500_.jpg",1)</f>
        <v/>
      </c>
      <c r="D29" s="303">
        <v>1.0</v>
      </c>
      <c r="E29" s="304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6"/>
    </row>
    <row r="30" ht="45.0" customHeight="1">
      <c r="A30" s="301">
        <v>389.0</v>
      </c>
      <c r="B30" s="302" t="s">
        <v>1059</v>
      </c>
      <c r="C30" s="301" t="str">
        <f>IMAGE("https://in.misumi-ec.com/linked/material/fs/FUJ1/PHOTO/223000817171_001.jpg?$product_main$",1)</f>
        <v/>
      </c>
      <c r="D30" s="303">
        <v>1.0</v>
      </c>
      <c r="E30" s="304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  <c r="AL30" s="301"/>
      <c r="AM30" s="306"/>
    </row>
    <row r="31" ht="45.0" customHeight="1">
      <c r="A31" s="301">
        <v>390.0</v>
      </c>
      <c r="B31" s="302" t="s">
        <v>1063</v>
      </c>
      <c r="C31" s="301" t="str">
        <f>IMAGE("https://i.ebayimg.com/images/g/QLMAAOSwETxj4~0j/s-l1600.jpg",1)</f>
        <v/>
      </c>
      <c r="D31" s="303">
        <v>2.0</v>
      </c>
      <c r="E31" s="304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6"/>
    </row>
    <row r="32" ht="45.0" customHeight="1">
      <c r="A32" s="301">
        <v>391.0</v>
      </c>
      <c r="B32" s="302" t="s">
        <v>1067</v>
      </c>
      <c r="C32" s="301" t="str">
        <f>IMAGE("https://res.cloudinary.com/rsc/image/upload/b_rgb:FFFFFF,c_pad,dpr_1.0,f_auto,q_auto,w_700/c_pad,w_700/C1985249-01",1)</f>
        <v/>
      </c>
      <c r="D32" s="303">
        <v>1.0</v>
      </c>
      <c r="E32" s="304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6"/>
    </row>
    <row r="33" ht="45.0" customHeight="1">
      <c r="A33" s="301">
        <v>392.0</v>
      </c>
      <c r="B33" s="302" t="s">
        <v>1071</v>
      </c>
      <c r="C33" s="301" t="str">
        <f>IMAGE("https://cdn.shopify.com/s/files/1/0064/3412/7939/products/71vpWrfPgFL._SL1000_9c7ae600-0e17-44f0-97b0-7a8fa32a55cc_2048x.jpg?v=1540199513",1)</f>
        <v/>
      </c>
      <c r="D33" s="303">
        <v>10.0</v>
      </c>
      <c r="E33" s="304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  <c r="AF33" s="305"/>
      <c r="AG33" s="305"/>
      <c r="AH33" s="305"/>
      <c r="AI33" s="305"/>
      <c r="AJ33" s="305"/>
      <c r="AK33" s="305"/>
      <c r="AL33" s="305"/>
      <c r="AM33" s="307"/>
    </row>
    <row r="34" ht="45.0" customHeight="1">
      <c r="A34" s="301">
        <v>393.0</v>
      </c>
      <c r="B34" s="302" t="s">
        <v>1075</v>
      </c>
      <c r="C34" s="301" t="str">
        <f>IMAGE("https://cdn.shopify.com/s/files/1/0088/0056/7392/products/71GahpQFYhL._SL1500_1024x.jpg?v=1634034762",1)</f>
        <v/>
      </c>
      <c r="D34" s="303">
        <v>4.0</v>
      </c>
      <c r="E34" s="304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7"/>
    </row>
    <row r="35" ht="45.0" customHeight="1">
      <c r="A35" s="301">
        <v>394.0</v>
      </c>
      <c r="B35" s="302" t="s">
        <v>1082</v>
      </c>
      <c r="C35" s="308" t="str">
        <f>IMAGE("https://m.media-amazon.com/images/I/41XSpNsGoiL._SL1024_.jpg",1)</f>
        <v/>
      </c>
      <c r="D35" s="303">
        <v>1.0</v>
      </c>
      <c r="E35" s="304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6"/>
    </row>
    <row r="36" ht="45.0" customHeight="1">
      <c r="A36" s="301">
        <v>395.0</v>
      </c>
      <c r="B36" s="302" t="s">
        <v>1094</v>
      </c>
      <c r="C36" s="308" t="str">
        <f>IMAGE("https://m.media-amazon.com/images/I/41pgJCdOd0L._AC_SX522_.jpg", 1)</f>
        <v/>
      </c>
      <c r="D36" s="303">
        <v>2.0</v>
      </c>
      <c r="E36" s="304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6"/>
    </row>
    <row r="37" ht="45.0" customHeight="1">
      <c r="A37" s="301">
        <v>396.0</v>
      </c>
      <c r="B37" s="302" t="s">
        <v>1098</v>
      </c>
      <c r="C37" s="308" t="str">
        <f>IMAGE("https://5.imimg.com/data5/UF/DF/MY-45635244/sand-paper-500x500.jpg",1)</f>
        <v/>
      </c>
      <c r="D37" s="303">
        <v>25.0</v>
      </c>
      <c r="E37" s="304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6"/>
    </row>
    <row r="38" ht="45.0" customHeight="1">
      <c r="A38" s="301">
        <v>397.0</v>
      </c>
      <c r="B38" s="302" t="s">
        <v>1101</v>
      </c>
      <c r="C38" s="308" t="e">
        <v>#VALUE!</v>
      </c>
      <c r="D38" s="309">
        <v>2.0</v>
      </c>
      <c r="E38" s="304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6"/>
    </row>
    <row r="39" ht="45.0" customHeight="1">
      <c r="A39" s="301">
        <v>398.0</v>
      </c>
      <c r="B39" s="302" t="s">
        <v>1104</v>
      </c>
      <c r="C39" s="308" t="e">
        <v>#VALUE!</v>
      </c>
      <c r="D39" s="309">
        <v>2.0</v>
      </c>
      <c r="E39" s="304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6"/>
    </row>
    <row r="40" ht="45.0" customHeight="1">
      <c r="A40" s="301">
        <v>399.0</v>
      </c>
      <c r="B40" s="310" t="s">
        <v>1107</v>
      </c>
      <c r="C40" s="308" t="e">
        <v>#VALUE!</v>
      </c>
      <c r="D40" s="309">
        <v>2.0</v>
      </c>
      <c r="E40" s="304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6"/>
    </row>
    <row r="41" ht="45.0" customHeight="1">
      <c r="A41" s="301">
        <v>400.0</v>
      </c>
      <c r="B41" s="310" t="s">
        <v>1110</v>
      </c>
      <c r="C41" s="311" t="e">
        <v>#VALUE!</v>
      </c>
      <c r="D41" s="309">
        <v>2.0</v>
      </c>
      <c r="E41" s="304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6"/>
    </row>
    <row r="42" ht="45.0" customHeight="1">
      <c r="A42" s="301">
        <v>401.0</v>
      </c>
      <c r="B42" s="302" t="s">
        <v>1114</v>
      </c>
      <c r="C42" s="311" t="e">
        <v>#VALUE!</v>
      </c>
      <c r="D42" s="309">
        <v>1.0</v>
      </c>
      <c r="E42" s="304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6"/>
    </row>
    <row r="43" ht="45.0" customHeight="1">
      <c r="A43" s="301">
        <v>402.0</v>
      </c>
      <c r="B43" s="302" t="s">
        <v>1117</v>
      </c>
      <c r="C43" s="311" t="e">
        <v>#VALUE!</v>
      </c>
      <c r="D43" s="309">
        <v>1.0</v>
      </c>
      <c r="E43" s="304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6"/>
    </row>
    <row r="44" ht="45.0" customHeight="1">
      <c r="A44" s="301">
        <v>403.0</v>
      </c>
      <c r="B44" s="302" t="s">
        <v>1121</v>
      </c>
      <c r="C44" s="308" t="str">
        <f>IMAGE("https://5.imimg.com/data5/DH/NE/PV/SELLER-4135781/6-pc-precision-screwdriver-set-500x500.jpg",1)</f>
        <v/>
      </c>
      <c r="D44" s="303">
        <v>1.0</v>
      </c>
      <c r="E44" s="304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6"/>
    </row>
    <row r="45" ht="45.0" customHeight="1">
      <c r="A45" s="301">
        <v>404.0</v>
      </c>
      <c r="B45" s="302" t="s">
        <v>1136</v>
      </c>
      <c r="C45" s="308" t="str">
        <f>IMAGE("https://ravimachines.com/wp-content/uploads/2016/07/full_13.jpg",1)</f>
        <v/>
      </c>
      <c r="D45" s="303">
        <v>1.0</v>
      </c>
      <c r="E45" s="304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6"/>
    </row>
    <row r="46" ht="45.0" customHeight="1">
      <c r="A46" s="301">
        <v>405.0</v>
      </c>
      <c r="B46" s="312" t="s">
        <v>1140</v>
      </c>
      <c r="C46" s="308" t="str">
        <f>IMAGE("https://m.media-amazon.com/images/I/61O+7azby+L.jpg",1)</f>
        <v/>
      </c>
      <c r="D46" s="301">
        <v>10.0</v>
      </c>
      <c r="E46" s="304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6"/>
    </row>
    <row r="47" ht="45.0" customHeight="1">
      <c r="A47" s="301">
        <v>406.0</v>
      </c>
      <c r="B47" s="302" t="s">
        <v>1144</v>
      </c>
      <c r="C47" s="308" t="str">
        <f>IMAGE("https://5.imimg.com/data5/SELLER/Default/2021/4/UH/ZY/EE/41301440/machine.jpeg",1)</f>
        <v/>
      </c>
      <c r="D47" s="303">
        <v>1.0</v>
      </c>
      <c r="E47" s="304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1"/>
      <c r="AM47" s="306"/>
    </row>
    <row r="48" ht="45.0" customHeight="1">
      <c r="A48" s="301">
        <v>407.0</v>
      </c>
      <c r="B48" s="302" t="s">
        <v>1148</v>
      </c>
      <c r="C48" s="308"/>
      <c r="D48" s="303">
        <v>2.0</v>
      </c>
      <c r="E48" s="304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  <c r="AL48" s="301"/>
      <c r="AM48" s="306"/>
    </row>
    <row r="49" ht="45.0" customHeight="1">
      <c r="A49" s="301">
        <v>408.0</v>
      </c>
      <c r="B49" s="302" t="s">
        <v>1151</v>
      </c>
      <c r="C49" s="308" t="str">
        <f>IMAGE("https://5.imimg.com/data5/SELLER/Default/2020/10/KC/AV/BY/25174136/150b-cutter-stripper-250x250.jpg",1)</f>
        <v/>
      </c>
      <c r="D49" s="303">
        <v>10.0</v>
      </c>
      <c r="E49" s="304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  <c r="AL49" s="301"/>
      <c r="AM49" s="306"/>
    </row>
    <row r="50" ht="45.0" customHeight="1">
      <c r="A50" s="301">
        <v>409.0</v>
      </c>
      <c r="B50" s="302" t="s">
        <v>1086</v>
      </c>
      <c r="C50" s="308" t="str">
        <f>IMAGE("https://m.media-amazon.com/images/I/513ZkVzGbdL._AC_.jpg", 1)</f>
        <v/>
      </c>
      <c r="D50" s="303">
        <v>2.0</v>
      </c>
      <c r="E50" s="302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  <c r="AD50" s="301"/>
      <c r="AE50" s="301"/>
      <c r="AF50" s="301"/>
      <c r="AG50" s="301"/>
      <c r="AH50" s="301"/>
      <c r="AI50" s="301"/>
      <c r="AJ50" s="301"/>
      <c r="AK50" s="301"/>
      <c r="AL50" s="301"/>
      <c r="AM50" s="306"/>
    </row>
    <row r="51" ht="45.0" customHeight="1">
      <c r="A51" s="301">
        <v>410.0</v>
      </c>
      <c r="B51" s="302" t="s">
        <v>1090</v>
      </c>
      <c r="C51" s="308" t="str">
        <f>IMAGE("https://m.media-amazon.com/images/I/41V47za3aNL.jpg",1)</f>
        <v/>
      </c>
      <c r="D51" s="303">
        <v>2.0</v>
      </c>
      <c r="E51" s="302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  <c r="AD51" s="301"/>
      <c r="AE51" s="301"/>
      <c r="AF51" s="301"/>
      <c r="AG51" s="301"/>
      <c r="AH51" s="301"/>
      <c r="AI51" s="301"/>
      <c r="AJ51" s="301"/>
      <c r="AK51" s="301"/>
      <c r="AL51" s="301"/>
      <c r="AM51" s="306"/>
    </row>
    <row r="52" ht="45.0" customHeight="1">
      <c r="A52" s="301">
        <v>411.0</v>
      </c>
      <c r="B52" s="302" t="s">
        <v>1325</v>
      </c>
      <c r="C52" s="308" t="e">
        <v>#VALUE!</v>
      </c>
      <c r="D52" s="303">
        <v>1.0</v>
      </c>
      <c r="E52" s="302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  <c r="AB52" s="301"/>
      <c r="AC52" s="301"/>
      <c r="AD52" s="301"/>
      <c r="AE52" s="301"/>
      <c r="AF52" s="301"/>
      <c r="AG52" s="301"/>
      <c r="AH52" s="301"/>
      <c r="AI52" s="301"/>
      <c r="AJ52" s="301"/>
      <c r="AK52" s="301"/>
      <c r="AL52" s="301"/>
      <c r="AM52" s="306"/>
    </row>
    <row r="53" ht="45.0" customHeight="1">
      <c r="A53" s="301">
        <v>412.0</v>
      </c>
      <c r="B53" s="302" t="s">
        <v>1350</v>
      </c>
      <c r="C53" s="308" t="str">
        <f>IMAGE("https://5.imimg.com/data5/SELLER/Default/2023/1/CR/QN/CU/119456209/b22-cap-punching-tool-1000x1000.jpg",1)</f>
        <v/>
      </c>
      <c r="D53" s="301">
        <v>1.0</v>
      </c>
      <c r="E53" s="302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  <c r="AE53" s="301"/>
      <c r="AF53" s="301"/>
      <c r="AG53" s="301"/>
      <c r="AH53" s="301"/>
      <c r="AI53" s="301"/>
      <c r="AJ53" s="301"/>
      <c r="AK53" s="301"/>
      <c r="AL53" s="301"/>
      <c r="AM53" s="306"/>
    </row>
    <row r="54" ht="45.0" customHeight="1">
      <c r="A54" s="301">
        <v>413.0</v>
      </c>
      <c r="B54" s="302" t="s">
        <v>1354</v>
      </c>
      <c r="C54" s="308" t="str">
        <f>IMAGE("https://m.media-amazon.com/images/I/31xTdt3sfiL.jpg",1)</f>
        <v/>
      </c>
      <c r="D54" s="301">
        <v>1.0</v>
      </c>
      <c r="E54" s="302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  <c r="AC54" s="301"/>
      <c r="AD54" s="301"/>
      <c r="AE54" s="301"/>
      <c r="AF54" s="301"/>
      <c r="AG54" s="301"/>
      <c r="AH54" s="301"/>
      <c r="AI54" s="301"/>
      <c r="AJ54" s="301"/>
      <c r="AK54" s="301"/>
      <c r="AL54" s="301"/>
      <c r="AM54" s="306"/>
    </row>
    <row r="55" ht="45.0" customHeight="1">
      <c r="A55" s="301">
        <v>414.0</v>
      </c>
      <c r="B55" s="302" t="s">
        <v>1399</v>
      </c>
      <c r="C55" s="308" t="str">
        <f>IMAGE("https://m.media-amazon.com/images/I/41giw5t2ycL.jpg",1)</f>
        <v/>
      </c>
      <c r="D55" s="301">
        <v>1.0</v>
      </c>
      <c r="E55" s="302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301"/>
      <c r="AF55" s="301"/>
      <c r="AG55" s="301"/>
      <c r="AH55" s="301"/>
      <c r="AI55" s="301"/>
      <c r="AJ55" s="301"/>
      <c r="AK55" s="301"/>
      <c r="AL55" s="301"/>
      <c r="AM55" s="306"/>
    </row>
    <row r="56" ht="45.0" customHeight="1">
      <c r="A56" s="301">
        <v>415.0</v>
      </c>
      <c r="B56" s="302" t="s">
        <v>1404</v>
      </c>
      <c r="C56" s="308" t="str">
        <f>IMAGE("https://m.media-amazon.com/images/I/71vAZkeQh9L._SL1500_.jpg",1)</f>
        <v/>
      </c>
      <c r="D56" s="301">
        <v>1.0</v>
      </c>
      <c r="E56" s="302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01"/>
      <c r="AL56" s="301"/>
      <c r="AM56" s="306"/>
    </row>
    <row r="57" ht="45.0" customHeight="1">
      <c r="A57" s="301">
        <v>416.0</v>
      </c>
      <c r="B57" s="302" t="s">
        <v>1412</v>
      </c>
      <c r="C57" s="308" t="str">
        <f>IMAGE("https://m.media-amazon.com/images/I/61saUYFEn9L._SL1500_.jpg",1)</f>
        <v/>
      </c>
      <c r="D57" s="301">
        <v>5.0</v>
      </c>
      <c r="E57" s="302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301"/>
      <c r="AF57" s="301"/>
      <c r="AG57" s="301"/>
      <c r="AH57" s="301"/>
      <c r="AI57" s="301"/>
      <c r="AJ57" s="301"/>
      <c r="AK57" s="301"/>
      <c r="AL57" s="301"/>
      <c r="AM57" s="306"/>
    </row>
    <row r="58" ht="45.0" customHeight="1">
      <c r="A58" s="301">
        <v>417.0</v>
      </c>
      <c r="B58" s="302" t="s">
        <v>1416</v>
      </c>
      <c r="C58" s="308" t="str">
        <f>IMAGE("https://m.media-amazon.com/images/I/61zRix8Lt0L._SL1500_.jpg",1)</f>
        <v/>
      </c>
      <c r="D58" s="301">
        <v>1.0</v>
      </c>
      <c r="E58" s="302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301"/>
      <c r="AF58" s="301"/>
      <c r="AG58" s="301"/>
      <c r="AH58" s="301"/>
      <c r="AI58" s="301"/>
      <c r="AJ58" s="301"/>
      <c r="AK58" s="301"/>
      <c r="AL58" s="301"/>
      <c r="AM58" s="306"/>
    </row>
    <row r="59" ht="45.0" customHeight="1">
      <c r="A59" s="301">
        <v>418.0</v>
      </c>
      <c r="B59" s="302" t="s">
        <v>1611</v>
      </c>
      <c r="C59" s="308" t="str">
        <f>IMAGE("https://delhi6online.in/cdn/shop/products/S1_800x.jpg?v=1545883083.jpg",1)</f>
        <v/>
      </c>
      <c r="D59" s="301">
        <v>5.0</v>
      </c>
      <c r="E59" s="302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301"/>
      <c r="AI59" s="301"/>
      <c r="AJ59" s="301"/>
      <c r="AK59" s="301"/>
      <c r="AL59" s="301"/>
      <c r="AM59" s="306"/>
    </row>
    <row r="60" ht="45.0" customHeight="1">
      <c r="A60" s="301">
        <v>419.0</v>
      </c>
      <c r="B60" s="302" t="s">
        <v>1615</v>
      </c>
      <c r="C60" s="308" t="str">
        <f>IMAGE("https://4.imimg.com/data4/JF/WX/MY-2704359/thread-cutter-1000x1000.jpg",1)</f>
        <v/>
      </c>
      <c r="D60" s="301">
        <v>5.0</v>
      </c>
      <c r="E60" s="302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  <c r="AD60" s="301"/>
      <c r="AE60" s="301"/>
      <c r="AF60" s="301"/>
      <c r="AG60" s="301"/>
      <c r="AH60" s="301"/>
      <c r="AI60" s="301"/>
      <c r="AJ60" s="301"/>
      <c r="AK60" s="301"/>
      <c r="AL60" s="301"/>
      <c r="AM60" s="306"/>
    </row>
  </sheetData>
  <dataValidations>
    <dataValidation type="list" allowBlank="1" showErrorMessage="1" sqref="E52 E55:E56 E59:E60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9"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71"/>
    <col customWidth="1" min="2" max="2" width="20.86"/>
    <col customWidth="1" min="3" max="3" width="14.29"/>
    <col customWidth="1" min="4" max="36" width="7.0"/>
  </cols>
  <sheetData>
    <row r="1" ht="45.0" customHeight="1">
      <c r="A1" s="211" t="s">
        <v>2</v>
      </c>
      <c r="B1" s="213" t="s">
        <v>13</v>
      </c>
      <c r="C1" s="210" t="s">
        <v>2004</v>
      </c>
      <c r="D1" s="305">
        <v>1.0</v>
      </c>
      <c r="E1" s="305">
        <v>2.0</v>
      </c>
      <c r="F1" s="305">
        <v>3.0</v>
      </c>
      <c r="G1" s="305">
        <v>4.0</v>
      </c>
      <c r="H1" s="305">
        <v>5.0</v>
      </c>
      <c r="I1" s="305">
        <v>6.0</v>
      </c>
      <c r="J1" s="305">
        <v>7.0</v>
      </c>
      <c r="K1" s="305">
        <v>8.0</v>
      </c>
      <c r="L1" s="305">
        <v>9.0</v>
      </c>
      <c r="M1" s="305">
        <v>10.0</v>
      </c>
      <c r="N1" s="305">
        <v>11.0</v>
      </c>
      <c r="O1" s="305">
        <v>12.0</v>
      </c>
      <c r="P1" s="305">
        <v>13.0</v>
      </c>
      <c r="Q1" s="305">
        <v>14.0</v>
      </c>
      <c r="R1" s="305">
        <v>15.0</v>
      </c>
      <c r="S1" s="305">
        <v>16.0</v>
      </c>
      <c r="T1" s="305">
        <v>17.0</v>
      </c>
      <c r="U1" s="305">
        <v>18.0</v>
      </c>
      <c r="V1" s="305">
        <v>19.0</v>
      </c>
      <c r="W1" s="305">
        <v>20.0</v>
      </c>
      <c r="X1" s="305">
        <v>21.0</v>
      </c>
      <c r="Y1" s="305">
        <v>22.0</v>
      </c>
      <c r="Z1" s="305">
        <v>23.0</v>
      </c>
      <c r="AA1" s="305">
        <v>24.0</v>
      </c>
      <c r="AB1" s="305">
        <v>25.0</v>
      </c>
      <c r="AC1" s="305">
        <v>26.0</v>
      </c>
      <c r="AD1" s="305">
        <v>27.0</v>
      </c>
      <c r="AE1" s="305">
        <v>28.0</v>
      </c>
      <c r="AF1" s="305">
        <v>29.0</v>
      </c>
      <c r="AG1" s="305">
        <v>30.0</v>
      </c>
      <c r="AH1" s="305">
        <v>31.0</v>
      </c>
      <c r="AI1" s="305">
        <v>32.0</v>
      </c>
      <c r="AJ1" s="305">
        <v>33.0</v>
      </c>
    </row>
    <row r="2" ht="44.25" hidden="1" customHeight="1">
      <c r="A2" s="93" t="s">
        <v>18</v>
      </c>
      <c r="B2" s="11" t="str">
        <f>IMAGE("https://m.media-amazon.com/images/I/61ZBVWoGgCL._SL1500_.jpg",1)</f>
        <v/>
      </c>
      <c r="C2" s="216">
        <v>6.0</v>
      </c>
    </row>
    <row r="3" ht="45.0" hidden="1" customHeight="1">
      <c r="A3" s="93" t="s">
        <v>27</v>
      </c>
      <c r="B3" s="11" t="str">
        <f>IMAGE("https://5.imimg.com/data5/BN/FC/MY-25588345/omega-cell-tape-dispenser-500x500.jpg",1)</f>
        <v/>
      </c>
      <c r="C3" s="216">
        <v>2.0</v>
      </c>
    </row>
    <row r="4" ht="45.0" hidden="1" customHeight="1">
      <c r="A4" s="93" t="s">
        <v>31</v>
      </c>
      <c r="B4" s="11" t="str">
        <f>IMAGE("https://m.media-amazon.com/images/I/21wXjA1iP5L.jpg",1)</f>
        <v/>
      </c>
      <c r="C4" s="216">
        <v>6.0</v>
      </c>
    </row>
    <row r="5" ht="45.0" hidden="1" customHeight="1">
      <c r="A5" s="93" t="s">
        <v>35</v>
      </c>
      <c r="B5" s="11" t="str">
        <f>IMAGE("https://5.imimg.com/data5/YG/CD/MY-4112616/transparent-tape-500x500.jpg",1)</f>
        <v/>
      </c>
      <c r="C5" s="216">
        <v>6.0</v>
      </c>
    </row>
    <row r="6" ht="45.0" hidden="1" customHeight="1">
      <c r="A6" s="93" t="s">
        <v>1886</v>
      </c>
      <c r="B6" s="11" t="str">
        <f>IMAGE("https://m.media-amazon.com/images/I/61JiUrBk2-L._SL1082_.jpg",1)</f>
        <v/>
      </c>
      <c r="C6" s="216">
        <v>6.0</v>
      </c>
    </row>
    <row r="7" ht="45.0" hidden="1" customHeight="1">
      <c r="A7" s="93" t="s">
        <v>42</v>
      </c>
      <c r="B7" s="11" t="str">
        <f>IMAGE("https://m.media-amazon.com/images/I/51JAsOuirxL._SL1000_.jpg",1)</f>
        <v/>
      </c>
      <c r="C7" s="216">
        <v>6.0</v>
      </c>
    </row>
    <row r="8" ht="45.0" hidden="1" customHeight="1">
      <c r="A8" s="93" t="s">
        <v>46</v>
      </c>
      <c r="B8" s="11" t="str">
        <f>IMAGE("https://m.media-amazon.com/images/I/81zdeTxqkLL._SL1500_.jpg",1)</f>
        <v/>
      </c>
      <c r="C8" s="11">
        <v>10.0</v>
      </c>
    </row>
    <row r="9" ht="45.0" hidden="1" customHeight="1">
      <c r="A9" s="93" t="s">
        <v>51</v>
      </c>
      <c r="B9" s="11" t="str">
        <f>IMAGE("https://megahardwarett.com/wp-content/uploads/2022/03/71TQZaRi6yL._AC_SX425_.jpg",1)</f>
        <v/>
      </c>
      <c r="C9" s="216">
        <v>5.0</v>
      </c>
    </row>
    <row r="10" ht="45.0" hidden="1" customHeight="1">
      <c r="A10" s="93" t="s">
        <v>1887</v>
      </c>
      <c r="B10" s="11" t="str">
        <f>IMAGE("https://m.media-amazon.com/images/I/51xkFZnkVFL._SX466_.jpg",1)</f>
        <v/>
      </c>
      <c r="C10" s="216">
        <v>10.0</v>
      </c>
    </row>
    <row r="11" ht="45.0" hidden="1" customHeight="1">
      <c r="A11" s="93" t="s">
        <v>1888</v>
      </c>
      <c r="B11" s="11" t="str">
        <f>IMAGE("https://5.imimg.com/data5/LJ/PW/MY-3849711/loctite-401-super-glue-500x500.jpg",1)</f>
        <v/>
      </c>
      <c r="C11" s="216">
        <v>10.0</v>
      </c>
    </row>
    <row r="12" ht="45.0" hidden="1" customHeight="1">
      <c r="A12" s="93" t="s">
        <v>1891</v>
      </c>
      <c r="B12" s="11" t="str">
        <f>IMAGE("https://m.media-amazon.com/images/W/MEDIAX_792452-T2/images/I/611Q9E31rML._SL1500_.jpg",1)</f>
        <v/>
      </c>
      <c r="C12" s="11">
        <v>10.0</v>
      </c>
    </row>
    <row r="13" ht="45.0" hidden="1" customHeight="1">
      <c r="A13" s="93" t="s">
        <v>71</v>
      </c>
      <c r="B13" s="11" t="str">
        <f>IMAGE("https://helloaugust.in/wp-content/uploads/2020/04/dark-colour-chart-paper-full-size-300x300.jpg",1)</f>
        <v/>
      </c>
      <c r="C13" s="216">
        <v>25.0</v>
      </c>
    </row>
    <row r="14" ht="45.0" hidden="1" customHeight="1">
      <c r="A14" s="93" t="s">
        <v>352</v>
      </c>
      <c r="B14" s="11" t="str">
        <f>IMAGE("https://4.imimg.com/data4/TN/NP/MY-32886991/a4-colour-paper-500x500.jpg",1)</f>
        <v/>
      </c>
      <c r="C14" s="216">
        <v>5.0</v>
      </c>
    </row>
    <row r="15" ht="45.0" hidden="1" customHeight="1">
      <c r="A15" s="93" t="s">
        <v>1893</v>
      </c>
      <c r="B15" s="11" t="str">
        <f>IMAGE("https://www.htconline.in/images/thumbs/0019821_camlin-drawing-pencils-set-of-6.jpeg",1)</f>
        <v/>
      </c>
      <c r="C15" s="216">
        <v>5.0</v>
      </c>
    </row>
    <row r="16" ht="45.0" hidden="1" customHeight="1">
      <c r="A16" s="93" t="s">
        <v>91</v>
      </c>
      <c r="B16" s="11" t="str">
        <f>IMAGE("https://upload.wikimedia.org/wikipedia/commons/e/e8/Office-pink-erasers.jpg",1)</f>
        <v/>
      </c>
      <c r="C16" s="216">
        <v>20.0</v>
      </c>
    </row>
    <row r="17" ht="45.0" hidden="1" customHeight="1">
      <c r="A17" s="93" t="s">
        <v>95</v>
      </c>
      <c r="B17" s="11" t="str">
        <f>IMAGE("https://cdn.shopify.com/s/files/1/0064/3412/7939/products/Main-2_2baab3ae-c700-4dd7-acd2-e9442aee0358_2048x.jpg?v=1669799264",1)</f>
        <v/>
      </c>
      <c r="C17" s="216">
        <v>10.0</v>
      </c>
    </row>
    <row r="18" ht="45.0" hidden="1" customHeight="1">
      <c r="A18" s="93" t="s">
        <v>1894</v>
      </c>
      <c r="B18" s="11" t="e">
        <v>#VALUE!</v>
      </c>
      <c r="C18" s="216">
        <v>10.0</v>
      </c>
    </row>
    <row r="19" ht="45.0" hidden="1" customHeight="1">
      <c r="A19" s="93" t="s">
        <v>1896</v>
      </c>
      <c r="B19" s="11" t="str">
        <f>IMAGE("https://i5.walmartimages.com/asr/093150f9-deec-44c1-a07d-a6985f3f45c7.dad44d94862d81eed55b6d8aef2937c1.jpeg?odnHeight=612&amp;odnWidth=612&amp;odnBg=FFFFFF",1)</f>
        <v/>
      </c>
      <c r="C19" s="216">
        <v>1.0</v>
      </c>
    </row>
    <row r="20" ht="45.0" hidden="1" customHeight="1">
      <c r="A20" s="93" t="s">
        <v>115</v>
      </c>
      <c r="B20" s="11" t="str">
        <f>IMAGE("https://m.media-amazon.com/images/I/81XeaSXczEL._SL1500_.jpg",1)</f>
        <v/>
      </c>
      <c r="C20" s="216">
        <v>10.0</v>
      </c>
    </row>
    <row r="21" ht="45.0" hidden="1" customHeight="1">
      <c r="A21" s="93" t="s">
        <v>127</v>
      </c>
      <c r="B21" s="11" t="e">
        <v>#VALUE!</v>
      </c>
      <c r="C21" s="216">
        <v>5.0</v>
      </c>
    </row>
    <row r="22" ht="45.0" hidden="1" customHeight="1">
      <c r="A22" s="93" t="s">
        <v>1889</v>
      </c>
      <c r="B22" s="11" t="str">
        <f>IMAGE("https://5.imimg.com/data5/SELLER/Default/2020/9/EF/FR/SW/13763930/fevicryte-acrylic-colors-500x500.jpg",1)</f>
        <v/>
      </c>
      <c r="C22" s="216">
        <v>60.0</v>
      </c>
    </row>
    <row r="23" ht="45.0" hidden="1" customHeight="1">
      <c r="A23" s="93" t="s">
        <v>101</v>
      </c>
      <c r="B23" s="11" t="str">
        <f>IMAGE("https://i5.walmartimages.com/asr/2f51619b-ee1e-4e7f-9717-927459ae38b6.1308a61cc28d473c3122e46595affb79.jpeg",1)</f>
        <v/>
      </c>
      <c r="C23" s="216">
        <v>10.0</v>
      </c>
    </row>
    <row r="24" ht="45.0" hidden="1" customHeight="1">
      <c r="A24" s="93" t="s">
        <v>105</v>
      </c>
      <c r="B24" s="11" t="str">
        <f>IMAGE("https://c8.alamy.com/comp/R7TP32/paint-palette-with-various-acrylic-paints-and-a-brush-R7TP32.jpg",1)</f>
        <v/>
      </c>
      <c r="C24" s="216">
        <v>5.0</v>
      </c>
    </row>
    <row r="25" ht="45.0" hidden="1" customHeight="1">
      <c r="A25" s="93" t="s">
        <v>135</v>
      </c>
      <c r="B25" s="11" t="str">
        <f>IMAGE("https://m.media-amazon.com/images/I/717edTeWYZL._SL1500_.jpg",1)</f>
        <v/>
      </c>
      <c r="C25" s="216">
        <v>10.0</v>
      </c>
    </row>
    <row r="26" ht="45.0" hidden="1" customHeight="1">
      <c r="A26" s="93" t="s">
        <v>1897</v>
      </c>
      <c r="B26" s="11" t="str">
        <f>IMAGE("https://www.faithfulltools.com/images/xxlarge/FAIRULE150SS.jpg",1)</f>
        <v/>
      </c>
      <c r="C26" s="216">
        <v>10.0</v>
      </c>
    </row>
    <row r="27" ht="45.0" hidden="1" customHeight="1">
      <c r="A27" s="93" t="s">
        <v>131</v>
      </c>
      <c r="B27" s="11" t="str">
        <f>IMAGE("https://5.imimg.com/data5/AO/GN/AU/SELLER-10873750/floppy-disk-1000x1000.jpg",1)</f>
        <v/>
      </c>
      <c r="C27" s="216">
        <v>10.0</v>
      </c>
    </row>
    <row r="28" ht="45.0" hidden="1" customHeight="1">
      <c r="A28" s="93" t="s">
        <v>123</v>
      </c>
      <c r="B28" s="11" t="str">
        <f>IMAGE("https://images.meesho.com/images/products/60299132/dranx_512.jpg",1)</f>
        <v/>
      </c>
      <c r="C28" s="216">
        <v>10.0</v>
      </c>
    </row>
    <row r="29" ht="45.0" hidden="1" customHeight="1">
      <c r="A29" s="260" t="s">
        <v>2001</v>
      </c>
      <c r="B29" s="11"/>
      <c r="C29" s="216">
        <v>5.0</v>
      </c>
    </row>
    <row r="30" ht="45.0" hidden="1" customHeight="1">
      <c r="A30" s="93" t="s">
        <v>1008</v>
      </c>
      <c r="B30" s="11" t="str">
        <f>IMAGE("https://5.imimg.com/data5/KE/BV/MY-37063415/elastic-rubber-band-500x500.jpg",1)</f>
        <v/>
      </c>
      <c r="C30" s="216">
        <v>1.0</v>
      </c>
    </row>
    <row r="31" ht="45.0" hidden="1" customHeight="1">
      <c r="A31" s="93" t="s">
        <v>1012</v>
      </c>
      <c r="B31" s="11" t="str">
        <f>IMAGE("https://5.imimg.com/data5/BN/VV/MY-31202642/rubber-band-500x500.jpg",1)</f>
        <v/>
      </c>
      <c r="C31" s="216">
        <v>1.0</v>
      </c>
    </row>
    <row r="32" ht="45.0" hidden="1" customHeight="1">
      <c r="A32" s="93" t="s">
        <v>1016</v>
      </c>
      <c r="B32" s="11" t="str">
        <f>IMAGE("https://5.imimg.com/data5/YV/DJ/MY-7514996/rubber-band-500x500.jpg",1)</f>
        <v/>
      </c>
      <c r="C32" s="216">
        <v>1.0</v>
      </c>
    </row>
    <row r="33" ht="45.0" hidden="1" customHeight="1">
      <c r="A33" s="93" t="s">
        <v>980</v>
      </c>
      <c r="B33" s="11" t="str">
        <f t="shared" ref="B33:B35" si="1">IMAGE("https://encrypted-tbn0.gstatic.com/=IMAGEs?q=tbn:ANd9GcSdcvov5296EXdnf0Fj0qF-G6iK-nu0n6Z4THAWosUzBx_wQ7GuJyrL0Rnbt1uBxLroiao&amp;usqp=CAU",1)</f>
        <v/>
      </c>
      <c r="C33" s="216">
        <v>5.0</v>
      </c>
    </row>
    <row r="34" ht="45.0" hidden="1" customHeight="1">
      <c r="A34" s="93" t="s">
        <v>985</v>
      </c>
      <c r="B34" s="11" t="str">
        <f t="shared" si="1"/>
        <v/>
      </c>
      <c r="C34" s="216">
        <v>5.0</v>
      </c>
    </row>
    <row r="35" ht="45.0" hidden="1" customHeight="1">
      <c r="A35" s="93" t="s">
        <v>989</v>
      </c>
      <c r="B35" s="11" t="str">
        <f t="shared" si="1"/>
        <v/>
      </c>
      <c r="C35" s="216">
        <v>2.0</v>
      </c>
    </row>
    <row r="36" ht="45.0" hidden="1" customHeight="1">
      <c r="A36" s="93" t="s">
        <v>993</v>
      </c>
      <c r="B36" s="11" t="str">
        <f t="shared" ref="B36:B38" si="2">IMAGE("https://encrypted-tbn0.gstatic.com/=IMAGEs?q=tbn:ANd9GcTv3YU2gmM00qoI79XpKhq-dV1wM5aPXrLsmrVwQWwEda0tuTarN0ncQ0DMg_JUYk4IBe4&amp;usqp=CAU",1)</f>
        <v/>
      </c>
      <c r="C36" s="216">
        <v>5.0</v>
      </c>
    </row>
    <row r="37" ht="45.0" hidden="1" customHeight="1">
      <c r="A37" s="93" t="s">
        <v>997</v>
      </c>
      <c r="B37" s="11" t="str">
        <f t="shared" si="2"/>
        <v/>
      </c>
      <c r="C37" s="216">
        <v>5.0</v>
      </c>
    </row>
    <row r="38" ht="45.0" hidden="1" customHeight="1">
      <c r="A38" s="93" t="s">
        <v>1000</v>
      </c>
      <c r="B38" s="11" t="str">
        <f t="shared" si="2"/>
        <v/>
      </c>
      <c r="C38" s="216">
        <v>5.0</v>
      </c>
    </row>
    <row r="39" ht="45.0" hidden="1" customHeight="1">
      <c r="A39" s="93" t="s">
        <v>1004</v>
      </c>
      <c r="B39" s="11" t="str">
        <f>IMAGE("https://3.imimg.com/data3/QQ/JR/MY-2/plastic-twine-500x500.jpg",1)</f>
        <v/>
      </c>
      <c r="C39" s="216">
        <v>1.0</v>
      </c>
    </row>
    <row r="40" ht="45.0" hidden="1" customHeight="1">
      <c r="A40" s="93" t="s">
        <v>1019</v>
      </c>
      <c r="B40" s="11" t="str">
        <f>IMAGE("https://m.media-amazon.com/images/I/51XnX9DfiFL._SL1166_.jpg",1)</f>
        <v/>
      </c>
      <c r="C40" s="216">
        <v>1.0</v>
      </c>
    </row>
    <row r="41" ht="45.0" hidden="1" customHeight="1">
      <c r="A41" s="93" t="s">
        <v>1982</v>
      </c>
      <c r="B41" s="11" t="str">
        <f>IMAGE("https://m.media-amazon.com/images/I/81PowerIGsL._SL1500_.jpg")</f>
        <v/>
      </c>
      <c r="C41" s="216">
        <v>1.0</v>
      </c>
    </row>
    <row r="42" ht="45.0" hidden="1" customHeight="1">
      <c r="A42" s="93" t="s">
        <v>1439</v>
      </c>
      <c r="B42" s="11" t="str">
        <f>IMAGE("https://cdn.shopify.com/s/files/1/0032/5448/5037/products/suvidha-aluminium-foil-72-meters-pack-of-12_800x.jpg?v=1562920856",1)</f>
        <v/>
      </c>
      <c r="C42" s="216">
        <v>5.0</v>
      </c>
    </row>
    <row r="43" ht="45.0" hidden="1" customHeight="1">
      <c r="A43" s="93" t="s">
        <v>1425</v>
      </c>
      <c r="B43" s="11" t="str">
        <f>IMAGE("https://imgs.michaels.com/MAM/assets/1/5E3C12034D34434F8A9BAAFDDF0F8E1B/img/5CDBB82051B44720A8F8901B4AABD77C/10446567_2.jpg",1)</f>
        <v/>
      </c>
      <c r="C43" s="11">
        <v>5.0</v>
      </c>
    </row>
    <row r="44" ht="45.0" hidden="1" customHeight="1">
      <c r="A44" s="93" t="s">
        <v>1981</v>
      </c>
      <c r="B44" s="11" t="str">
        <f>IMAGE("https://upload.wikimedia.org/wikipedia/commons/7/79/Polymer_clay_examples.jpg",1)</f>
        <v/>
      </c>
      <c r="C44" s="11">
        <v>5.0</v>
      </c>
    </row>
    <row r="45" ht="45.0" hidden="1" customHeight="1">
      <c r="A45" s="93" t="s">
        <v>936</v>
      </c>
      <c r="B45" s="11" t="str">
        <f>IMAGE("https://m.media-amazon.com/images/I/61ywjiydpbS._SL1500_.jpg",1)</f>
        <v/>
      </c>
      <c r="C45" s="216">
        <v>4.0</v>
      </c>
    </row>
    <row r="46" ht="45.0" hidden="1" customHeight="1">
      <c r="A46" s="93" t="s">
        <v>1454</v>
      </c>
      <c r="B46" s="11" t="str">
        <f>IMAGE("https://cdn11.bigcommerce.com/s-33iv1gdknl/images/stencil/1280x1280/products/115465/70691/prd_32014_5797121027228__12010.1559545680.jpg?c=2",1)</f>
        <v/>
      </c>
      <c r="C46" s="216">
        <v>50.0</v>
      </c>
    </row>
    <row r="47" ht="45.0" hidden="1" customHeight="1">
      <c r="A47" s="93" t="s">
        <v>1470</v>
      </c>
      <c r="B47" s="11" t="str">
        <f>IMAGE("https://www.wpiinc.com/media/catalog/product/cache/57a65487c9a4c9d3ba2482ad45cfc757/5/0/503023.jpg",1)</f>
        <v/>
      </c>
      <c r="C47" s="216">
        <v>1.0</v>
      </c>
    </row>
    <row r="48" ht="45.0" hidden="1" customHeight="1">
      <c r="A48" s="93" t="s">
        <v>1458</v>
      </c>
      <c r="B48" s="11" t="str">
        <f>IMAGE("https://assetscdn1.paytm.com/images/catalog/product/S/ST/STAEVA-FOAM-SHEKAPI63599336D8CB51/1563562065545_0..jpg?imwidth=320&amp;impolicy=hq",1)</f>
        <v/>
      </c>
      <c r="C48" s="216">
        <v>10.0</v>
      </c>
    </row>
    <row r="49" ht="45.0" hidden="1" customHeight="1">
      <c r="A49" s="93" t="s">
        <v>1446</v>
      </c>
      <c r="B49" s="11" t="str">
        <f t="shared" ref="B49:B50" si="3">IMAGE("https://m.media-amazon.com/images/I/51FB8cHTJyL._SL1500_.jpg",1)</f>
        <v/>
      </c>
      <c r="C49" s="216">
        <v>5.0</v>
      </c>
    </row>
    <row r="50" ht="45.0" hidden="1" customHeight="1">
      <c r="A50" s="93" t="s">
        <v>1450</v>
      </c>
      <c r="B50" s="11" t="str">
        <f t="shared" si="3"/>
        <v/>
      </c>
      <c r="C50" s="216">
        <v>5.0</v>
      </c>
    </row>
    <row r="51" ht="45.0" hidden="1" customHeight="1">
      <c r="A51" s="93" t="s">
        <v>1466</v>
      </c>
      <c r="B51" s="11" t="str">
        <f>IMAGE("https://www.ramsayrubber.com/wp-content/uploads/2020/01/Rolls-Sheeting-Polyurethane-Foam-Rolls2-1.jpg",1)</f>
        <v/>
      </c>
      <c r="C51" s="216">
        <v>10.0</v>
      </c>
    </row>
    <row r="52" ht="45.0" hidden="1" customHeight="1">
      <c r="A52" s="93" t="s">
        <v>1461</v>
      </c>
      <c r="B52" s="11" t="str">
        <f>IMAGE("https://5.imimg.com/data5/NA/SV/MA/SELLER-5806248/transparent-ohp-sheet-1000x1000.jpg",1)</f>
        <v/>
      </c>
      <c r="C52" s="216">
        <v>1.0</v>
      </c>
    </row>
    <row r="53" ht="45.0" hidden="1" customHeight="1">
      <c r="A53" s="93" t="s">
        <v>1604</v>
      </c>
      <c r="B53" s="11" t="str">
        <f>IMAGE("https://3.imimg.com/data3/HA/PB/MY-3231014/sewing-needle.jpg",1)</f>
        <v/>
      </c>
      <c r="C53" s="11">
        <v>1.0</v>
      </c>
    </row>
    <row r="54" ht="45.0" hidden="1" customHeight="1">
      <c r="A54" s="93" t="s">
        <v>1608</v>
      </c>
      <c r="B54" s="11" t="str">
        <f>IMAGE("https://m.media-amazon.com/images/W/MEDIAX_792452-T2/images/I/71vxqqo9r7L.jpg",1)</f>
        <v/>
      </c>
      <c r="C54" s="11">
        <v>2.0</v>
      </c>
    </row>
    <row r="55" ht="45.0" customHeight="1">
      <c r="A55" s="93" t="s">
        <v>464</v>
      </c>
      <c r="B55" s="11" t="str">
        <f>IMAGE("https://5.imimg.com/data5/SELLER/Default/2020/10/MN/BG/IF/24066098/sunlu-sl-300-3d-pen-green-500x500.jpg",1)</f>
        <v/>
      </c>
      <c r="C55" s="216">
        <v>5.0</v>
      </c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301"/>
      <c r="AF55" s="301"/>
      <c r="AG55" s="301"/>
      <c r="AH55" s="301"/>
      <c r="AI55" s="301"/>
      <c r="AJ55" s="301"/>
    </row>
    <row r="56" ht="45.0" customHeight="1">
      <c r="A56" s="93" t="s">
        <v>471</v>
      </c>
      <c r="B56" s="11" t="str">
        <f>IMAGE("https://m.media-amazon.com/images/I/61UtNlSmPaL._SX342_.jpg",1)</f>
        <v/>
      </c>
      <c r="C56" s="216">
        <v>1.0</v>
      </c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</row>
    <row r="57" ht="45.0" customHeight="1">
      <c r="A57" s="93" t="s">
        <v>475</v>
      </c>
      <c r="B57" s="11"/>
      <c r="C57" s="216">
        <v>1.0</v>
      </c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301"/>
      <c r="AF57" s="301"/>
      <c r="AG57" s="301"/>
      <c r="AH57" s="301"/>
      <c r="AI57" s="301"/>
      <c r="AJ57" s="301"/>
    </row>
    <row r="58" ht="45.0" customHeight="1">
      <c r="A58" s="93" t="s">
        <v>479</v>
      </c>
      <c r="B58" s="11" t="str">
        <f>IMAGE("https://5.imimg.com/data5/LA/TM/JO/SELLER-79394111/3d-printer-nylon-filament-500x500.jpg",1)</f>
        <v/>
      </c>
      <c r="C58" s="216">
        <v>3.0</v>
      </c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301"/>
      <c r="AF58" s="301"/>
      <c r="AG58" s="301"/>
      <c r="AH58" s="301"/>
      <c r="AI58" s="301"/>
      <c r="AJ58" s="301"/>
    </row>
    <row r="59" ht="45.0" customHeight="1">
      <c r="A59" s="260" t="s">
        <v>1995</v>
      </c>
      <c r="B59" s="11"/>
      <c r="C59" s="216">
        <v>1.0</v>
      </c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301"/>
      <c r="AI59" s="301"/>
      <c r="AJ59" s="301"/>
    </row>
    <row r="60" ht="45.0" customHeight="1">
      <c r="A60" s="260" t="s">
        <v>1997</v>
      </c>
      <c r="B60" s="11"/>
      <c r="C60" s="216">
        <v>1.0</v>
      </c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  <c r="AD60" s="301"/>
      <c r="AE60" s="301"/>
      <c r="AF60" s="301"/>
      <c r="AG60" s="301"/>
      <c r="AH60" s="301"/>
      <c r="AI60" s="301"/>
      <c r="AJ60" s="301"/>
    </row>
    <row r="61" ht="45.0" customHeight="1">
      <c r="A61" s="93" t="s">
        <v>1125</v>
      </c>
      <c r="B61" s="11" t="str">
        <f>IMAGE("https://cdn.shopify.com/s/files/1/0276/7382/1286/products/57_1a2e82a1-0306-49dc-8a29-0c0b2110ddb8_600x.jpg?v=1632245164",1)</f>
        <v/>
      </c>
      <c r="C61" s="216">
        <v>1.0</v>
      </c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  <c r="AD61" s="301"/>
      <c r="AE61" s="301"/>
      <c r="AF61" s="301"/>
      <c r="AG61" s="301"/>
      <c r="AH61" s="301"/>
      <c r="AI61" s="301"/>
      <c r="AJ61" s="301"/>
    </row>
    <row r="62" ht="45.0" hidden="1" customHeight="1">
      <c r="A62" s="93" t="s">
        <v>176</v>
      </c>
      <c r="B62" s="11" t="str">
        <f>IMAGE("https://robu.in/wp-content/uploads/2021/05/EU-Plug-Universal-Battery-Charger-For-18650-16340-14500-Li-ion-Rechargeable-Battery-Charger-3.jpg",1)</f>
        <v/>
      </c>
      <c r="C62" s="216">
        <v>5.0</v>
      </c>
    </row>
    <row r="63" ht="45.0" hidden="1" customHeight="1">
      <c r="A63" s="93" t="s">
        <v>220</v>
      </c>
      <c r="B63" s="11" t="str">
        <f>IMAGE("https://i02.psgsm.net/gsm.com/p/887576/480/power-bank-hoco-j26-10000-mah-micro-usb-type-b-input-5v-2a-2-usb-outputs-5-v-2-1-a-139-70-16-mm-with-micro-usb-cable-type-b-black.jpg",1)</f>
        <v/>
      </c>
      <c r="C63" s="216">
        <v>5.0</v>
      </c>
    </row>
    <row r="64" ht="45.0" hidden="1" customHeight="1">
      <c r="A64" s="93" t="s">
        <v>1741</v>
      </c>
      <c r="B64" s="11" t="str">
        <f>IMAGE("https://images-na.ssl-images-amazon.com/images/I/51p4KPR9o1L.SS700.jpg",1)</f>
        <v/>
      </c>
      <c r="C64" s="216">
        <v>10.0</v>
      </c>
    </row>
    <row r="65" ht="45.0" hidden="1" customHeight="1">
      <c r="A65" s="93" t="s">
        <v>228</v>
      </c>
      <c r="B65" s="11" t="str">
        <f>IMAGE("https://5.imimg.com/data5/SELLER/Default/2021/7/XA/OZ/BW/6610292/9v-power-plus-nimh-rechargeable-battery-500x500.jpg",1)</f>
        <v/>
      </c>
      <c r="C65" s="216">
        <v>10.0</v>
      </c>
    </row>
    <row r="66" ht="45.0" hidden="1" customHeight="1">
      <c r="A66" s="93" t="s">
        <v>232</v>
      </c>
      <c r="B66" s="11" t="str">
        <f>IMAGE("https://images-cdn.ubuy.co.in/6578382306deda07ed788ca4-rechargeable-aa-batteries-aa.jpg",1)</f>
        <v/>
      </c>
      <c r="C66" s="216">
        <v>20.0</v>
      </c>
    </row>
    <row r="67" ht="45.0" hidden="1" customHeight="1">
      <c r="A67" s="93" t="s">
        <v>1908</v>
      </c>
      <c r="B67" s="11" t="str">
        <f>IMAGE("https://m.media-amazon.com/images/I/6161NXWtz-L._SL1500_.jpg",1)</f>
        <v/>
      </c>
      <c r="C67" s="216">
        <v>5.0</v>
      </c>
    </row>
    <row r="68" ht="45.0" hidden="1" customHeight="1">
      <c r="A68" s="93" t="s">
        <v>1910</v>
      </c>
      <c r="B68" s="11" t="str">
        <f>IMAGE("https://i0.wp.com/www.rytronics.in/wp-content/uploads/2021/09/9v-batter-connector-snap-connector02.jpg?fit=1000%2C1000&amp;ssl=1",1)</f>
        <v/>
      </c>
      <c r="C68" s="216">
        <v>20.0</v>
      </c>
    </row>
    <row r="69" ht="45.0" hidden="1" customHeight="1">
      <c r="A69" s="93" t="s">
        <v>1911</v>
      </c>
      <c r="B69" s="11" t="str">
        <f>IMAGE("https://m.media-amazon.com/images/W/MEDIAX_792452-T2/images/I/61UPqH4BXuL.SS700.jpg",1)</f>
        <v/>
      </c>
      <c r="C69" s="216">
        <v>15.0</v>
      </c>
    </row>
    <row r="70" ht="45.0" hidden="1" customHeight="1">
      <c r="A70" s="93" t="s">
        <v>1912</v>
      </c>
      <c r="B70" s="11" t="str">
        <f>IMAGE("https://robotools.in/wp-content/uploads/2022/09/18650-x-2-battery-holder-with-cover-and-OnOff-Switch-5.jpg",1)</f>
        <v/>
      </c>
      <c r="C70" s="216">
        <v>10.0</v>
      </c>
    </row>
    <row r="71" ht="45.0" hidden="1" customHeight="1">
      <c r="A71" s="93" t="s">
        <v>1913</v>
      </c>
      <c r="B71" s="11" t="str">
        <f>IMAGE("https://robu.in/wp-content/uploads/2019/03/2-x-1.5V-AA-battery-holder-with-cover-and-OnOff-Switch-6.jpg",1)</f>
        <v/>
      </c>
      <c r="C71" s="216">
        <v>30.0</v>
      </c>
    </row>
    <row r="72" ht="45.0" hidden="1" customHeight="1">
      <c r="A72" s="93" t="s">
        <v>1914</v>
      </c>
      <c r="B72" s="11" t="str">
        <f>IMAGE("https://probots.co.in/pub/media/catalog/product/cache/d8ddd0f9b0cd008b57085cd218b48832/4/-/4-x-1.5v-aa-battery-holder01.jpg",1)</f>
        <v/>
      </c>
      <c r="C72" s="216">
        <v>20.0</v>
      </c>
    </row>
    <row r="73" ht="45.0" hidden="1" customHeight="1">
      <c r="A73" s="93" t="s">
        <v>1915</v>
      </c>
      <c r="B73" s="11" t="str">
        <f>IMAGE("https://robu.in/wp-content/uploads/2022/06/510c1Z93PDL._SX679_.jpg",1)</f>
        <v/>
      </c>
      <c r="C73" s="216">
        <v>20.0</v>
      </c>
    </row>
    <row r="74" ht="45.0" hidden="1" customHeight="1">
      <c r="A74" s="93" t="s">
        <v>1906</v>
      </c>
      <c r="B74" s="11" t="str">
        <f>IMAGE("https://rukminim2.flixcart.com/image/832/832/krs40i80/worldwide-adaptor/f/7/g/pack-of-1-power-adapter-12v-2-amp-dual-pin-for-charger-with-original-imag5hmbvgzazbzz.jpeg?q=70",1)</f>
        <v/>
      </c>
      <c r="C74" s="216">
        <v>5.0</v>
      </c>
    </row>
    <row r="75" ht="45.0" hidden="1" customHeight="1">
      <c r="A75" s="93" t="s">
        <v>1916</v>
      </c>
      <c r="B75" s="11" t="str">
        <f>IMAGE("https://robu.in/wp-content/uploads/2017/04/Alligator-Clips-Electrical-DIY-Test-Leads-10pcs-For-Test-Leads-Double-ended-Crocodile-Clips-Roach-Clip-2.jpg",1)</f>
        <v/>
      </c>
      <c r="C75" s="216">
        <v>20.0</v>
      </c>
    </row>
    <row r="76" ht="45.0" hidden="1" customHeight="1">
      <c r="A76" s="93" t="s">
        <v>241</v>
      </c>
      <c r="B76" s="11" t="str">
        <f>IMAGE("https://makerbazar.in/cdn/shop/products/dcmalejackwithwire2_600x.jpg?v=1642675074",1)</f>
        <v/>
      </c>
      <c r="C76" s="216">
        <v>20.0</v>
      </c>
    </row>
    <row r="77" ht="45.0" hidden="1" customHeight="1">
      <c r="A77" s="93" t="s">
        <v>1924</v>
      </c>
      <c r="B77" s="11" t="str">
        <f>IMAGE("https://robu.in/wp-content/uploads/2019/06/3.5mm-Audio-Plug-3-Pole-Gold-plated-Earphone-Adapter-For-DIY-Stereo-Headset-5.jpg",1)</f>
        <v/>
      </c>
      <c r="C77" s="216">
        <v>10.0</v>
      </c>
    </row>
    <row r="78" ht="45.0" hidden="1" customHeight="1">
      <c r="A78" s="93" t="s">
        <v>1918</v>
      </c>
      <c r="B78" s="11" t="str">
        <f>IMAGE("https://rukminim2.flixcart.com/image/832/832/k8t3jbk0/cable-sleeve/j/c/q/black-2mm-polyolefin-heat-shrink-tube-sleeve-for-wrap-60-meter-original-imafqq3y2g2v9vzz.jpeg?q=70",1)</f>
        <v/>
      </c>
      <c r="C78" s="216">
        <v>1.0</v>
      </c>
    </row>
    <row r="79" ht="45.0" hidden="1" customHeight="1">
      <c r="A79" s="93" t="s">
        <v>1919</v>
      </c>
      <c r="B79" s="11" t="str">
        <f>IMAGE("https://m.media-amazon.com/images/I/61zJ0n1EqGS._AC_SL1500_.jpg",1)</f>
        <v/>
      </c>
      <c r="C79" s="216">
        <v>1.0</v>
      </c>
    </row>
    <row r="80" ht="45.0" hidden="1" customHeight="1">
      <c r="A80" s="93" t="s">
        <v>1920</v>
      </c>
      <c r="B80" s="11" t="str">
        <f>IMAGE("https://m.media-amazon.com/images/W/MEDIAX_792452-T2/images/I/417I5BCQPSL.jpg",1)</f>
        <v/>
      </c>
      <c r="C80" s="216">
        <v>1.0</v>
      </c>
    </row>
    <row r="81" ht="45.0" hidden="1" customHeight="1">
      <c r="A81" s="93" t="s">
        <v>1921</v>
      </c>
      <c r="B81" s="11" t="str">
        <f>IMAGE("https://m.media-amazon.com/images/I/61zJ0n1EqGS._AC_SL1500_.jpg",1)</f>
        <v/>
      </c>
      <c r="C81" s="216">
        <v>1.0</v>
      </c>
    </row>
    <row r="82" ht="45.0" hidden="1" customHeight="1">
      <c r="A82" s="93" t="s">
        <v>266</v>
      </c>
      <c r="B82" s="11" t="str">
        <f t="shared" ref="B82:B86" si="4">IMAGE("https://i.ebayimg.com/images/g/xCYAAOSwjvJlEQU8/s-l1600.jpg",1)</f>
        <v/>
      </c>
      <c r="C82" s="216">
        <v>20.0</v>
      </c>
    </row>
    <row r="83" ht="45.0" hidden="1" customHeight="1">
      <c r="A83" s="93" t="s">
        <v>271</v>
      </c>
      <c r="B83" s="11" t="str">
        <f t="shared" si="4"/>
        <v/>
      </c>
      <c r="C83" s="216">
        <v>20.0</v>
      </c>
    </row>
    <row r="84" ht="45.0" hidden="1" customHeight="1">
      <c r="A84" s="93" t="s">
        <v>275</v>
      </c>
      <c r="B84" s="11" t="str">
        <f t="shared" si="4"/>
        <v/>
      </c>
      <c r="C84" s="216">
        <v>20.0</v>
      </c>
    </row>
    <row r="85" ht="45.0" hidden="1" customHeight="1">
      <c r="A85" s="93" t="s">
        <v>279</v>
      </c>
      <c r="B85" s="11" t="str">
        <f t="shared" si="4"/>
        <v/>
      </c>
      <c r="C85" s="216">
        <v>20.0</v>
      </c>
    </row>
    <row r="86" ht="45.0" hidden="1" customHeight="1">
      <c r="A86" s="93" t="s">
        <v>283</v>
      </c>
      <c r="B86" s="11" t="str">
        <f t="shared" si="4"/>
        <v/>
      </c>
      <c r="C86" s="216">
        <v>20.0</v>
      </c>
    </row>
    <row r="87" ht="45.0" hidden="1" customHeight="1">
      <c r="A87" s="93" t="s">
        <v>287</v>
      </c>
      <c r="B87" s="11" t="str">
        <f t="shared" ref="B87:B89" si="5">IMAGE("https://cdn.shopify.com/s/files/1/0527/2692/3444/products/M-M10CM_800x.jpg?v=1620840829",1)</f>
        <v/>
      </c>
      <c r="C87" s="216">
        <v>20.0</v>
      </c>
    </row>
    <row r="88" ht="45.0" hidden="1" customHeight="1">
      <c r="A88" s="93" t="s">
        <v>292</v>
      </c>
      <c r="B88" s="11" t="str">
        <f t="shared" si="5"/>
        <v/>
      </c>
      <c r="C88" s="216">
        <v>20.0</v>
      </c>
    </row>
    <row r="89" ht="45.0" hidden="1" customHeight="1">
      <c r="A89" s="93" t="s">
        <v>296</v>
      </c>
      <c r="B89" s="11" t="str">
        <f t="shared" si="5"/>
        <v/>
      </c>
      <c r="C89" s="216">
        <v>20.0</v>
      </c>
    </row>
    <row r="90" ht="45.0" hidden="1" customHeight="1">
      <c r="A90" s="93" t="s">
        <v>300</v>
      </c>
      <c r="B90" s="11" t="str">
        <f>IMAGE("https://encrypted-tbn0.gstatic.com/images?q=tbn:ANd9GcR4A79FMiemvwjtYU3z1SGV0ayCZPtc8oNMobr5AuvlhGOJoeuq78aTh7JjRPQlfFrsXfE&amp;usqp=CAU",1)</f>
        <v/>
      </c>
      <c r="C90" s="216">
        <v>10.0</v>
      </c>
    </row>
    <row r="91" ht="45.0" hidden="1" customHeight="1">
      <c r="A91" s="93" t="s">
        <v>304</v>
      </c>
      <c r="B91" s="11" t="str">
        <f>IMAGE("https://robu.in/wp-content/uploads/2018/07/50-CM-Micro-USB-Cable-1.jpg",1)</f>
        <v/>
      </c>
      <c r="C91" s="216">
        <v>10.0</v>
      </c>
    </row>
    <row r="92" ht="45.0" hidden="1" customHeight="1">
      <c r="A92" s="93" t="s">
        <v>1931</v>
      </c>
      <c r="B92" s="11" t="str">
        <f>IMAGE("https://www.electronicscomp.com/image/cache/catalog/cnc-shield-v3-400x400.jpg",1)</f>
        <v/>
      </c>
      <c r="C92" s="237">
        <v>7.0</v>
      </c>
    </row>
    <row r="93" ht="45.0" hidden="1" customHeight="1">
      <c r="A93" s="93" t="s">
        <v>420</v>
      </c>
      <c r="B93" s="11" t="str">
        <f>IMAGE("https://5.imimg.com/data5/VS/XC/MY-4167793/arduino-nano-500x500.jpg",1)</f>
        <v/>
      </c>
      <c r="C93" s="216">
        <v>15.0</v>
      </c>
    </row>
    <row r="94" ht="45.0" hidden="1" customHeight="1">
      <c r="A94" s="93" t="s">
        <v>1933</v>
      </c>
      <c r="B94" s="11" t="str">
        <f>IMAGE("https://robu.in/wp-content/uploads/2017/04/Arduino_NANO_expansion1.jpg",1)</f>
        <v/>
      </c>
      <c r="C94" s="216">
        <v>10.0</v>
      </c>
    </row>
    <row r="95" ht="45.0" hidden="1" customHeight="1">
      <c r="A95" s="93" t="s">
        <v>1934</v>
      </c>
      <c r="B95" s="11" t="str">
        <f>IMAGE("https://robu.in/wp-content/uploads/2017/10/Uno-R3-CH340G-ATmega328p-Development-Board-Compatible-with-Arduino2.png",1)</f>
        <v/>
      </c>
      <c r="C95" s="216">
        <v>15.0</v>
      </c>
    </row>
    <row r="96" ht="45.0" hidden="1" customHeight="1">
      <c r="A96" s="93" t="s">
        <v>438</v>
      </c>
      <c r="B96" s="11" t="str">
        <f>IMAGE("https://www.electronicscomp.com/image/cache/catalog/esp8266-esp01-wifi-module-india-800x800.jpg",1)</f>
        <v/>
      </c>
      <c r="C96" s="216">
        <v>10.0</v>
      </c>
    </row>
    <row r="97" ht="45.0" hidden="1" customHeight="1">
      <c r="A97" s="93" t="s">
        <v>441</v>
      </c>
      <c r="B97" s="11" t="str">
        <f>IMAGE("https://makerselectronics.com/wp-content/uploads/2020/07/ESP32-CAM-2.jpg",1)</f>
        <v/>
      </c>
      <c r="C97" s="216">
        <v>10.0</v>
      </c>
    </row>
    <row r="98" ht="45.0" hidden="1" customHeight="1">
      <c r="A98" s="93" t="s">
        <v>446</v>
      </c>
      <c r="B98" s="11" t="str">
        <f>IMAGE("https://www.berrybase.de/media/image/c5/26/b6/ID_186599_orig_600x600.jpg",1)</f>
        <v/>
      </c>
      <c r="C98" s="216">
        <v>10.0</v>
      </c>
    </row>
    <row r="99" ht="45.0" hidden="1" customHeight="1">
      <c r="A99" s="93" t="s">
        <v>450</v>
      </c>
      <c r="B99" s="11" t="str">
        <f>IMAGE("https://m.media-amazon.com/images/I/61rcnccrByL._SL1238_.jpg",1)</f>
        <v/>
      </c>
      <c r="C99" s="216">
        <v>15.0</v>
      </c>
    </row>
    <row r="100" ht="45.0" hidden="1" customHeight="1">
      <c r="A100" s="93" t="s">
        <v>454</v>
      </c>
      <c r="B100" s="11" t="str">
        <f>IMAGE("https://m.media-amazon.com/images/W/MEDIAX_792452-T2/images/I/61t+lNeiChL._SL1443_.jpg",1)</f>
        <v/>
      </c>
      <c r="C100" s="216">
        <v>15.0</v>
      </c>
    </row>
    <row r="101" ht="45.0" hidden="1" customHeight="1">
      <c r="A101" s="107" t="s">
        <v>459</v>
      </c>
      <c r="B101" s="11" t="str">
        <f>IMAGE("https://m.media-amazon.com/images/W/MEDIAX_792452-T2/images/I/61xb9SMx4AL._SL1440_.jpg",1)</f>
        <v/>
      </c>
      <c r="C101" s="216">
        <v>10.0</v>
      </c>
    </row>
    <row r="102" ht="45.0" hidden="1" customHeight="1">
      <c r="A102" s="270" t="s">
        <v>2160</v>
      </c>
      <c r="B102" s="11" t="str">
        <f>IMAGE("https://sumeetinstruments.com/image/cache/catalog/3dprinter/A4988-Stepper-Motor-Driver-Module-Heat-Sink-3D-Printer-Parts.-550x550.jpg",1)</f>
        <v/>
      </c>
      <c r="C102" s="237">
        <v>21.0</v>
      </c>
    </row>
    <row r="103" ht="45.0" hidden="1" customHeight="1">
      <c r="A103" s="272" t="s">
        <v>2161</v>
      </c>
      <c r="B103" s="275"/>
      <c r="C103" s="274">
        <v>10.0</v>
      </c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276"/>
      <c r="AE103" s="276"/>
      <c r="AF103" s="276"/>
      <c r="AG103" s="276"/>
      <c r="AH103" s="276"/>
      <c r="AI103" s="276"/>
      <c r="AJ103" s="276"/>
    </row>
    <row r="104" ht="45.0" hidden="1" customHeight="1">
      <c r="A104" s="272" t="s">
        <v>2162</v>
      </c>
      <c r="B104" s="275"/>
      <c r="C104" s="274">
        <v>2.0</v>
      </c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76"/>
      <c r="AG104" s="276"/>
      <c r="AH104" s="276"/>
      <c r="AI104" s="276"/>
      <c r="AJ104" s="276"/>
    </row>
    <row r="105" ht="45.0" hidden="1" customHeight="1">
      <c r="A105" s="93" t="s">
        <v>505</v>
      </c>
      <c r="B105" s="11" t="str">
        <f>IMAGE("https://rukminim2.flixcart.com/image/832/832/ks243gw0/electronic-hobby-kit/x/f/2/2mm-pitch-female-burg-strip-40-pin-5-pcs-prime-intact-original-imag5pxpqjxcdsgh.jpeg?q=70",1)</f>
        <v/>
      </c>
      <c r="C105" s="216">
        <v>100.0</v>
      </c>
    </row>
    <row r="106" ht="45.0" hidden="1" customHeight="1">
      <c r="A106" s="93" t="s">
        <v>626</v>
      </c>
      <c r="B106" s="11" t="str">
        <f>IMAGE("https://5.imimg.com/data5/AH/OG/AM/SELLER-5278310/mkc-27701-changeover-reed-switch-500x500.jpg",1)</f>
        <v/>
      </c>
      <c r="C106" s="216">
        <v>20.0</v>
      </c>
    </row>
    <row r="107" ht="45.0" hidden="1" customHeight="1">
      <c r="A107" s="93" t="s">
        <v>1942</v>
      </c>
      <c r="B107" s="11" t="str">
        <f>IMAGE("https://5.imimg.com/data5/SR/JZ/RD/SELLER-80355495/large-breadboard-800-points--500x500.jpg",1)</f>
        <v/>
      </c>
      <c r="C107" s="216">
        <v>10.0</v>
      </c>
    </row>
    <row r="108" ht="45.0" hidden="1" customHeight="1">
      <c r="A108" s="93" t="s">
        <v>497</v>
      </c>
      <c r="B108" s="11" t="str">
        <f>IMAGE("https://5.imimg.com/data5/SELLER/Default/2020/12/GY/DK/LM/59387089/400-point-solderless-breadboard-500x500.jpg",1)</f>
        <v/>
      </c>
      <c r="C108" s="216">
        <v>10.0</v>
      </c>
    </row>
    <row r="109" ht="45.0" hidden="1" customHeight="1">
      <c r="A109" s="93" t="s">
        <v>501</v>
      </c>
      <c r="B109" s="11" t="str">
        <f>IMAGE("https://1ohm.in/wp-content/uploads/2021/07/MB102-3.3V5V-Breadboard-Power-Supply-Module.png",1)</f>
        <v/>
      </c>
      <c r="C109" s="216">
        <v>10.0</v>
      </c>
    </row>
    <row r="110" ht="45.0" hidden="1" customHeight="1">
      <c r="A110" s="93" t="s">
        <v>509</v>
      </c>
      <c r="B110" s="11" t="str">
        <f>IMAGE("https://5.imimg.com/data5/OF/VW/IL/SELLER-9316309/burg-strips-500x500.jpg",1)</f>
        <v/>
      </c>
      <c r="C110" s="216">
        <v>50.0</v>
      </c>
    </row>
    <row r="111" ht="45.0" hidden="1" customHeight="1">
      <c r="A111" s="242" t="s">
        <v>513</v>
      </c>
      <c r="B111" s="11" t="str">
        <f>IMAGE("https://www.tomsonelectronics.com/cdn/shop/products/40X1MALERAI_2048x2048.jpg?v=1602835171",1)</f>
        <v/>
      </c>
      <c r="C111" s="216">
        <v>50.0</v>
      </c>
    </row>
    <row r="112" ht="45.0" hidden="1" customHeight="1">
      <c r="A112" s="240" t="s">
        <v>522</v>
      </c>
      <c r="B112" s="11" t="str">
        <f>IMAGE("https://projectpoint.in/image/cache/catalog/102-672x504.jpg",1)</f>
        <v/>
      </c>
      <c r="C112" s="216">
        <v>100.0</v>
      </c>
    </row>
    <row r="113" ht="45.0" hidden="1" customHeight="1">
      <c r="A113" s="240" t="s">
        <v>517</v>
      </c>
      <c r="B113" s="11" t="str">
        <f t="shared" ref="B113:B114" si="6">IMAGE("https://projectpoint.in/image/cache/catalog/103-672x504.jpg",1)</f>
        <v/>
      </c>
      <c r="C113" s="216">
        <v>100.0</v>
      </c>
    </row>
    <row r="114" ht="45.0" hidden="1" customHeight="1">
      <c r="A114" s="240" t="s">
        <v>530</v>
      </c>
      <c r="B114" s="11" t="str">
        <f t="shared" si="6"/>
        <v/>
      </c>
      <c r="C114" s="216">
        <v>100.0</v>
      </c>
    </row>
    <row r="115" ht="45.0" hidden="1" customHeight="1">
      <c r="A115" s="240" t="s">
        <v>526</v>
      </c>
      <c r="B115" s="11" t="str">
        <f t="shared" ref="B115:B117" si="7">IMAGE("https://www.ato.com/content/images/thumbs/0011952_01f-50v-disc-ceramic-capacitor_550.jpeg",1)</f>
        <v/>
      </c>
      <c r="C115" s="216">
        <v>100.0</v>
      </c>
    </row>
    <row r="116" ht="45.0" hidden="1" customHeight="1">
      <c r="A116" s="240" t="s">
        <v>566</v>
      </c>
      <c r="B116" s="11" t="str">
        <f t="shared" si="7"/>
        <v/>
      </c>
      <c r="C116" s="216">
        <v>50.0</v>
      </c>
    </row>
    <row r="117" ht="45.0" hidden="1" customHeight="1">
      <c r="A117" s="240" t="s">
        <v>574</v>
      </c>
      <c r="B117" s="11" t="str">
        <f t="shared" si="7"/>
        <v/>
      </c>
      <c r="C117" s="216">
        <v>50.0</v>
      </c>
    </row>
    <row r="118" ht="45.0" hidden="1" customHeight="1">
      <c r="A118" s="240" t="s">
        <v>534</v>
      </c>
      <c r="B118" s="11" t="str">
        <f>IMAGE("https://projectpoint.in/image/cache/catalog/22uf-450v-672x504.jpg",1)</f>
        <v/>
      </c>
      <c r="C118" s="216">
        <v>20.0</v>
      </c>
    </row>
    <row r="119" ht="45.0" hidden="1" customHeight="1">
      <c r="A119" s="240" t="s">
        <v>550</v>
      </c>
      <c r="B119" s="11" t="str">
        <f>IMAGE("https://res.cloudinary.com/rsc/image/upload/b_rgb:FFFFFF,c_pad,dpr_1.0,f_auto,q_auto,w_700/c_pad,w_700/F5201539-01",1)</f>
        <v/>
      </c>
      <c r="C119" s="216">
        <v>20.0</v>
      </c>
    </row>
    <row r="120" ht="45.0" hidden="1" customHeight="1">
      <c r="A120" s="240" t="s">
        <v>570</v>
      </c>
      <c r="B120" s="11" t="str">
        <f>IMAGE("https://sharvielectronics.com/wp-content/uploads/2020/02/2.2uF-50V-Electrolytic-Capacitor.jpg",1)</f>
        <v/>
      </c>
      <c r="C120" s="216">
        <v>50.0</v>
      </c>
    </row>
    <row r="121" ht="45.0" hidden="1" customHeight="1">
      <c r="A121" s="240" t="s">
        <v>538</v>
      </c>
      <c r="B121" s="11" t="str">
        <f>IMAGE("https://projectpoint.in/image/cache/catalog/22uf-450v-672x504.jpg",1)</f>
        <v/>
      </c>
      <c r="C121" s="216">
        <v>50.0</v>
      </c>
    </row>
    <row r="122" ht="45.0" hidden="1" customHeight="1">
      <c r="A122" s="240" t="s">
        <v>554</v>
      </c>
      <c r="B122" s="11" t="str">
        <f>IMAGE("https://5.imimg.com/data5/SP/GM/AD/SELLER-84581978/keltron-2200uf-35-v-electrolytic-capacitors-500x500.jpg",1)</f>
        <v/>
      </c>
      <c r="C122" s="216">
        <v>20.0</v>
      </c>
    </row>
    <row r="123" ht="45.0" hidden="1" customHeight="1">
      <c r="A123" s="240" t="s">
        <v>578</v>
      </c>
      <c r="B123" s="11" t="str">
        <f>IMAGE("https://5.imimg.com/data5/QO/AU/MY-77080729/uge-electrolytic-capacitors-500x375-500x500.jpg",1)</f>
        <v/>
      </c>
      <c r="C123" s="216">
        <v>20.0</v>
      </c>
    </row>
    <row r="124" ht="45.0" hidden="1" customHeight="1">
      <c r="A124" s="240" t="s">
        <v>542</v>
      </c>
      <c r="B124" s="11"/>
      <c r="C124" s="216">
        <v>100.0</v>
      </c>
    </row>
    <row r="125" ht="45.0" hidden="1" customHeight="1">
      <c r="A125" s="240" t="s">
        <v>558</v>
      </c>
      <c r="B125" s="11" t="str">
        <f>IMAGE("https://5.imimg.com/data5/SP/GM/AD/SELLER-84581978/keltron-2200uf-35-v-electrolytic-capacitors-500x500.jpg",1)</f>
        <v/>
      </c>
      <c r="C125" s="216">
        <v>100.0</v>
      </c>
    </row>
    <row r="126" ht="45.0" hidden="1" customHeight="1">
      <c r="A126" s="115" t="s">
        <v>582</v>
      </c>
      <c r="B126" s="11" t="str">
        <f>IMAGE("https://5.imimg.com/data5/JL/JS/ZA/SELLER-21614932/4-7uf-400v-keltron-capacitor-500x500.jpg",1)</f>
        <v/>
      </c>
      <c r="C126" s="216">
        <v>50.0</v>
      </c>
    </row>
    <row r="127" ht="45.0" hidden="1" customHeight="1">
      <c r="A127" s="115" t="s">
        <v>546</v>
      </c>
      <c r="B127" s="11" t="str">
        <f>IMAGE("https://projectpoint.in/image/cache/catalog/47uf-250v-672x504.jpg",1)</f>
        <v/>
      </c>
      <c r="C127" s="216">
        <v>50.0</v>
      </c>
    </row>
    <row r="128" ht="45.0" hidden="1" customHeight="1">
      <c r="A128" s="115" t="s">
        <v>562</v>
      </c>
      <c r="B128" s="11" t="str">
        <f>IMAGE("https://5.imimg.com/data5/QO/AU/MY-77080729/uge-electrolytic-capacitors-500x375-500x500.jpg",1)</f>
        <v/>
      </c>
      <c r="C128" s="216">
        <v>20.0</v>
      </c>
    </row>
    <row r="129" ht="45.0" hidden="1" customHeight="1">
      <c r="A129" s="93" t="s">
        <v>590</v>
      </c>
      <c r="B129" s="11" t="str">
        <f t="shared" ref="B129:B130" si="8">IMAGE("https://m.media-amazon.com/images/W/MEDIAX_792452-T2/images/I/41A+MQfyyEL.jpg",1)</f>
        <v/>
      </c>
      <c r="C129" s="216">
        <v>20.0</v>
      </c>
    </row>
    <row r="130" ht="45.0" hidden="1" customHeight="1">
      <c r="A130" s="93" t="s">
        <v>594</v>
      </c>
      <c r="B130" s="11" t="str">
        <f t="shared" si="8"/>
        <v/>
      </c>
      <c r="C130" s="216">
        <v>20.0</v>
      </c>
    </row>
    <row r="131" ht="45.0" hidden="1" customHeight="1">
      <c r="A131" s="93" t="s">
        <v>1860</v>
      </c>
      <c r="B131" s="11" t="str">
        <f>IMAGE("https://www.electronicscomp.com/image/cache/catalog/cd4033-5-stage-johnson-decade-counter-ic-dip-16-800x800.jpg",1)</f>
        <v/>
      </c>
      <c r="C131" s="216">
        <v>20.0</v>
      </c>
    </row>
    <row r="132" ht="45.0" hidden="1" customHeight="1">
      <c r="A132" s="93" t="s">
        <v>1862</v>
      </c>
      <c r="B132" s="11" t="str">
        <f>IMAGE("https://robu.in/wp-content/uploads/2018/11/LM358P-PDIP-8-High-Gain-Operational-Amplifier-Pack-of-5-ICs-9.jpg",1)</f>
        <v/>
      </c>
      <c r="C132" s="216">
        <v>20.0</v>
      </c>
    </row>
    <row r="133" ht="45.0" hidden="1" customHeight="1">
      <c r="A133" s="93" t="s">
        <v>2085</v>
      </c>
      <c r="B133" s="11" t="str">
        <f>IMAGE("https://potentiallabs.com/cart/image/cache/catalog/2021/555-timer-ic-400x400.jpeg",1)</f>
        <v/>
      </c>
      <c r="C133" s="216">
        <v>20.0</v>
      </c>
    </row>
    <row r="134" ht="45.0" hidden="1" customHeight="1">
      <c r="A134" s="93" t="s">
        <v>603</v>
      </c>
      <c r="B134" s="11" t="str">
        <f>IMAGE("https://rukminim2.flixcart.com/image/832/832/xif0q/electronic-hobby-kit/d/o/s/50-pcs-blue-led-5mm-kitsguru-original-imaghfqbjbn4hshz.jpeg?q=70",1)</f>
        <v/>
      </c>
      <c r="C134" s="216">
        <v>500.0</v>
      </c>
    </row>
    <row r="135" ht="45.0" hidden="1" customHeight="1">
      <c r="A135" s="93" t="s">
        <v>607</v>
      </c>
      <c r="B135" s="11" t="str">
        <f>IMAGE("https://rukminim2.flixcart.com/image/832/832/krz97rk0/electronic-hobby-kit/r/p/r/5mm-green-led-light-emitting-diode-highlight-for-arduino-pack-of-original-imag5n63ad6pnxqe.jpeg?q=70", 1)</f>
        <v/>
      </c>
      <c r="C135" s="216">
        <v>500.0</v>
      </c>
    </row>
    <row r="136" ht="45.0" hidden="1" customHeight="1">
      <c r="A136" s="93" t="s">
        <v>610</v>
      </c>
      <c r="B136" s="11" t="str">
        <f>IMAGE("https://rukminim2.flixcart.com/image/832/832/ktrk13k0/electronic-hobby-kit/u/f/w/10-pcs-5mm-round-diffused-red-color-led-light-bulb-lamp-light-original-imag7ff6rchccrbz.jpeg?q=70", 1)</f>
        <v/>
      </c>
      <c r="C136" s="216">
        <v>500.0</v>
      </c>
    </row>
    <row r="137" ht="45.0" hidden="1" customHeight="1">
      <c r="A137" s="93" t="s">
        <v>614</v>
      </c>
      <c r="B137" s="11" t="str">
        <f>IMAGE("https://robu.in/wp-content/uploads/2020/10/5mm-DIP-Led-White.png", 1)</f>
        <v/>
      </c>
      <c r="C137" s="216">
        <v>500.0</v>
      </c>
    </row>
    <row r="138" ht="45.0" hidden="1" customHeight="1">
      <c r="A138" s="93" t="s">
        <v>618</v>
      </c>
      <c r="B138" s="11" t="str">
        <f>IMAGE("https://robu.in/wp-content/uploads/2020/10/5-mm-DIP-Led-Yellow.png", 1)</f>
        <v/>
      </c>
      <c r="C138" s="216">
        <v>500.0</v>
      </c>
    </row>
    <row r="139" ht="45.0" hidden="1" customHeight="1">
      <c r="A139" s="93" t="s">
        <v>622</v>
      </c>
      <c r="B139" s="11" t="str">
        <f>IMAGE("https://image.robotistan.com/5mm-transparent-rgb-led-2633-11-O.jpg", 1)</f>
        <v/>
      </c>
      <c r="C139" s="216">
        <v>100.0</v>
      </c>
    </row>
    <row r="140" ht="45.0" hidden="1" customHeight="1">
      <c r="A140" s="93" t="s">
        <v>630</v>
      </c>
      <c r="B140" s="11" t="str">
        <f t="shared" ref="B140:B141" si="9">IMAGE("https://www.electronicscomp.com/image/cache/catalog/irfz44-n-channel-power-mosfet-1-800x800.JPG",1)</f>
        <v/>
      </c>
      <c r="C140" s="216">
        <v>20.0</v>
      </c>
    </row>
    <row r="141" ht="45.0" hidden="1" customHeight="1">
      <c r="A141" s="93" t="s">
        <v>634</v>
      </c>
      <c r="B141" s="11" t="str">
        <f t="shared" si="9"/>
        <v/>
      </c>
      <c r="C141" s="216">
        <v>20.0</v>
      </c>
    </row>
    <row r="142" ht="45.0" hidden="1" customHeight="1">
      <c r="A142" s="93" t="s">
        <v>886</v>
      </c>
      <c r="B142" s="11" t="str">
        <f>IMAGE("https://www.olelectronics.in/wp-content/uploads/Miniature-Vibration-Motor.png",1)</f>
        <v/>
      </c>
      <c r="C142" s="216">
        <v>20.0</v>
      </c>
    </row>
    <row r="143" ht="45.0" hidden="1" customHeight="1">
      <c r="A143" s="93" t="s">
        <v>642</v>
      </c>
      <c r="B143" s="11" t="str">
        <f t="shared" ref="B143:B146" si="10">IMAGE("https://m.media-amazon.com/images/I/31ALofIyvBL._SX466_.jpg",1)</f>
        <v/>
      </c>
      <c r="C143" s="216">
        <v>20.0</v>
      </c>
    </row>
    <row r="144" ht="45.0" hidden="1" customHeight="1">
      <c r="A144" s="93" t="s">
        <v>646</v>
      </c>
      <c r="B144" s="11" t="str">
        <f t="shared" si="10"/>
        <v/>
      </c>
      <c r="C144" s="216">
        <v>20.0</v>
      </c>
    </row>
    <row r="145" ht="45.0" hidden="1" customHeight="1">
      <c r="A145" s="242" t="s">
        <v>650</v>
      </c>
      <c r="B145" s="11" t="str">
        <f t="shared" si="10"/>
        <v/>
      </c>
      <c r="C145" s="216">
        <v>20.0</v>
      </c>
    </row>
    <row r="146" ht="45.0" hidden="1" customHeight="1">
      <c r="A146" s="242" t="s">
        <v>654</v>
      </c>
      <c r="B146" s="11" t="str">
        <f t="shared" si="10"/>
        <v/>
      </c>
      <c r="C146" s="216">
        <v>20.0</v>
      </c>
    </row>
    <row r="147" ht="45.0" hidden="1" customHeight="1">
      <c r="A147" s="242" t="s">
        <v>874</v>
      </c>
      <c r="B147" s="11" t="str">
        <f t="shared" ref="B147:B149" si="11">IMAGE("https://probots.co.in/pub/media/catalog/product/cache/d8ddd0f9b0cd008b57085cd218b48832/1/k/1k_ohm_variable_resistor_potentiometer1-1000x1000_12.jpg",1)</f>
        <v/>
      </c>
      <c r="C147" s="216">
        <v>20.0</v>
      </c>
    </row>
    <row r="148" ht="45.0" hidden="1" customHeight="1">
      <c r="A148" s="242" t="s">
        <v>878</v>
      </c>
      <c r="B148" s="11" t="str">
        <f t="shared" si="11"/>
        <v/>
      </c>
      <c r="C148" s="216">
        <v>20.0</v>
      </c>
    </row>
    <row r="149" ht="45.0" hidden="1" customHeight="1">
      <c r="A149" s="242" t="s">
        <v>882</v>
      </c>
      <c r="B149" s="11" t="str">
        <f t="shared" si="11"/>
        <v/>
      </c>
      <c r="C149" s="216">
        <v>20.0</v>
      </c>
    </row>
    <row r="150" ht="45.0" hidden="1" customHeight="1">
      <c r="A150" s="240" t="s">
        <v>662</v>
      </c>
      <c r="B150" s="11" t="str">
        <f t="shared" ref="B150:B191" si="12">IMAGE("https://projectpoint.in/image/cache/catalog/CFR_Resistor_Kit-672x504.jpg",1)</f>
        <v/>
      </c>
      <c r="C150" s="216">
        <v>100.0</v>
      </c>
    </row>
    <row r="151" ht="45.0" hidden="1" customHeight="1">
      <c r="A151" s="240" t="s">
        <v>1757</v>
      </c>
      <c r="B151" s="11" t="str">
        <f t="shared" si="12"/>
        <v/>
      </c>
      <c r="C151" s="216">
        <v>100.0</v>
      </c>
    </row>
    <row r="152" ht="45.0" hidden="1" customHeight="1">
      <c r="A152" s="240" t="s">
        <v>698</v>
      </c>
      <c r="B152" s="11" t="str">
        <f t="shared" si="12"/>
        <v/>
      </c>
      <c r="C152" s="216">
        <v>100.0</v>
      </c>
    </row>
    <row r="153" ht="45.0" hidden="1" customHeight="1">
      <c r="A153" s="240" t="s">
        <v>706</v>
      </c>
      <c r="B153" s="11" t="str">
        <f t="shared" si="12"/>
        <v/>
      </c>
      <c r="C153" s="216">
        <v>100.0</v>
      </c>
    </row>
    <row r="154" ht="45.0" hidden="1" customHeight="1">
      <c r="A154" s="240" t="s">
        <v>718</v>
      </c>
      <c r="B154" s="11" t="str">
        <f t="shared" si="12"/>
        <v/>
      </c>
      <c r="C154" s="216">
        <v>100.0</v>
      </c>
    </row>
    <row r="155" ht="45.0" hidden="1" customHeight="1">
      <c r="A155" s="240" t="s">
        <v>734</v>
      </c>
      <c r="B155" s="11" t="str">
        <f t="shared" si="12"/>
        <v/>
      </c>
      <c r="C155" s="216">
        <v>100.0</v>
      </c>
    </row>
    <row r="156" ht="45.0" hidden="1" customHeight="1">
      <c r="A156" s="240" t="s">
        <v>1779</v>
      </c>
      <c r="B156" s="11" t="str">
        <f t="shared" si="12"/>
        <v/>
      </c>
      <c r="C156" s="216">
        <v>100.0</v>
      </c>
    </row>
    <row r="157" ht="45.0" hidden="1" customHeight="1">
      <c r="A157" s="240" t="s">
        <v>754</v>
      </c>
      <c r="B157" s="11" t="str">
        <f t="shared" si="12"/>
        <v/>
      </c>
      <c r="C157" s="216">
        <v>100.0</v>
      </c>
    </row>
    <row r="158" ht="45.0" hidden="1" customHeight="1">
      <c r="A158" s="240" t="s">
        <v>774</v>
      </c>
      <c r="B158" s="11" t="str">
        <f t="shared" si="12"/>
        <v/>
      </c>
      <c r="C158" s="216">
        <v>100.0</v>
      </c>
    </row>
    <row r="159" ht="45.0" hidden="1" customHeight="1">
      <c r="A159" s="240" t="s">
        <v>658</v>
      </c>
      <c r="B159" s="11" t="str">
        <f t="shared" si="12"/>
        <v/>
      </c>
      <c r="C159" s="216">
        <v>100.0</v>
      </c>
    </row>
    <row r="160" ht="45.0" hidden="1" customHeight="1">
      <c r="A160" s="240" t="s">
        <v>1792</v>
      </c>
      <c r="B160" s="11" t="str">
        <f t="shared" si="12"/>
        <v/>
      </c>
      <c r="C160" s="216">
        <v>100.0</v>
      </c>
    </row>
    <row r="161" ht="45.0" hidden="1" customHeight="1">
      <c r="A161" s="240" t="s">
        <v>690</v>
      </c>
      <c r="B161" s="11" t="str">
        <f t="shared" si="12"/>
        <v/>
      </c>
      <c r="C161" s="216">
        <v>100.0</v>
      </c>
    </row>
    <row r="162" ht="45.0" hidden="1" customHeight="1">
      <c r="A162" s="240" t="s">
        <v>1799</v>
      </c>
      <c r="B162" s="11" t="str">
        <f t="shared" si="12"/>
        <v/>
      </c>
      <c r="C162" s="216">
        <v>100.0</v>
      </c>
    </row>
    <row r="163" ht="45.0" hidden="1" customHeight="1">
      <c r="A163" s="240" t="s">
        <v>710</v>
      </c>
      <c r="B163" s="11" t="str">
        <f t="shared" si="12"/>
        <v/>
      </c>
      <c r="C163" s="216">
        <v>100.0</v>
      </c>
    </row>
    <row r="164" ht="45.0" hidden="1" customHeight="1">
      <c r="A164" s="240" t="s">
        <v>726</v>
      </c>
      <c r="B164" s="11" t="str">
        <f t="shared" si="12"/>
        <v/>
      </c>
      <c r="C164" s="216">
        <v>100.0</v>
      </c>
    </row>
    <row r="165" ht="45.0" hidden="1" customHeight="1">
      <c r="A165" s="240" t="s">
        <v>1808</v>
      </c>
      <c r="B165" s="11" t="str">
        <f t="shared" si="12"/>
        <v/>
      </c>
      <c r="C165" s="216">
        <v>100.0</v>
      </c>
    </row>
    <row r="166" ht="45.0" hidden="1" customHeight="1">
      <c r="A166" s="240" t="s">
        <v>746</v>
      </c>
      <c r="B166" s="11" t="str">
        <f t="shared" si="12"/>
        <v/>
      </c>
      <c r="C166" s="216">
        <v>100.0</v>
      </c>
    </row>
    <row r="167" ht="45.0" hidden="1" customHeight="1">
      <c r="A167" s="240" t="s">
        <v>766</v>
      </c>
      <c r="B167" s="11" t="str">
        <f t="shared" si="12"/>
        <v/>
      </c>
      <c r="C167" s="216">
        <v>100.0</v>
      </c>
    </row>
    <row r="168" ht="45.0" hidden="1" customHeight="1">
      <c r="A168" s="240" t="s">
        <v>678</v>
      </c>
      <c r="B168" s="11" t="str">
        <f t="shared" si="12"/>
        <v/>
      </c>
      <c r="C168" s="216">
        <v>100.0</v>
      </c>
    </row>
    <row r="169" ht="45.0" hidden="1" customHeight="1">
      <c r="A169" s="240" t="s">
        <v>686</v>
      </c>
      <c r="B169" s="11" t="str">
        <f t="shared" si="12"/>
        <v/>
      </c>
      <c r="C169" s="216">
        <v>100.0</v>
      </c>
    </row>
    <row r="170" ht="45.0" hidden="1" customHeight="1">
      <c r="A170" s="240" t="s">
        <v>742</v>
      </c>
      <c r="B170" s="11" t="str">
        <f t="shared" si="12"/>
        <v/>
      </c>
      <c r="C170" s="216">
        <v>100.0</v>
      </c>
    </row>
    <row r="171" ht="45.0" hidden="1" customHeight="1">
      <c r="A171" s="240" t="s">
        <v>666</v>
      </c>
      <c r="B171" s="11" t="str">
        <f t="shared" si="12"/>
        <v/>
      </c>
      <c r="C171" s="216">
        <v>100.0</v>
      </c>
    </row>
    <row r="172" ht="45.0" hidden="1" customHeight="1">
      <c r="A172" s="240" t="s">
        <v>794</v>
      </c>
      <c r="B172" s="11" t="str">
        <f t="shared" si="12"/>
        <v/>
      </c>
      <c r="C172" s="216">
        <v>100.0</v>
      </c>
    </row>
    <row r="173" ht="45.0" hidden="1" customHeight="1">
      <c r="A173" s="240" t="s">
        <v>702</v>
      </c>
      <c r="B173" s="11" t="str">
        <f t="shared" si="12"/>
        <v/>
      </c>
      <c r="C173" s="216">
        <v>100.0</v>
      </c>
    </row>
    <row r="174" ht="45.0" hidden="1" customHeight="1">
      <c r="A174" s="240" t="s">
        <v>806</v>
      </c>
      <c r="B174" s="11" t="str">
        <f t="shared" si="12"/>
        <v/>
      </c>
      <c r="C174" s="216">
        <v>100.0</v>
      </c>
    </row>
    <row r="175" ht="45.0" hidden="1" customHeight="1">
      <c r="A175" s="240" t="s">
        <v>722</v>
      </c>
      <c r="B175" s="11" t="str">
        <f t="shared" si="12"/>
        <v/>
      </c>
      <c r="C175" s="216">
        <v>100.0</v>
      </c>
    </row>
    <row r="176" ht="45.0" hidden="1" customHeight="1">
      <c r="A176" s="240" t="s">
        <v>738</v>
      </c>
      <c r="B176" s="11" t="str">
        <f t="shared" si="12"/>
        <v/>
      </c>
      <c r="C176" s="216">
        <v>100.0</v>
      </c>
    </row>
    <row r="177" ht="45.0" hidden="1" customHeight="1">
      <c r="A177" s="240" t="s">
        <v>822</v>
      </c>
      <c r="B177" s="11" t="str">
        <f t="shared" si="12"/>
        <v/>
      </c>
      <c r="C177" s="216">
        <v>100.0</v>
      </c>
    </row>
    <row r="178" ht="45.0" hidden="1" customHeight="1">
      <c r="A178" s="240" t="s">
        <v>758</v>
      </c>
      <c r="B178" s="11" t="str">
        <f t="shared" si="12"/>
        <v/>
      </c>
      <c r="C178" s="216">
        <v>100.0</v>
      </c>
    </row>
    <row r="179" ht="45.0" hidden="1" customHeight="1">
      <c r="A179" s="240" t="s">
        <v>778</v>
      </c>
      <c r="B179" s="11" t="str">
        <f t="shared" si="12"/>
        <v/>
      </c>
      <c r="C179" s="216">
        <v>100.0</v>
      </c>
    </row>
    <row r="180" ht="45.0" hidden="1" customHeight="1">
      <c r="A180" s="240" t="s">
        <v>670</v>
      </c>
      <c r="B180" s="11" t="str">
        <f t="shared" si="12"/>
        <v/>
      </c>
      <c r="C180" s="216">
        <v>100.0</v>
      </c>
    </row>
    <row r="181" ht="45.0" hidden="1" customHeight="1">
      <c r="A181" s="240" t="s">
        <v>786</v>
      </c>
      <c r="B181" s="11" t="str">
        <f t="shared" si="12"/>
        <v/>
      </c>
      <c r="C181" s="216">
        <v>100.0</v>
      </c>
    </row>
    <row r="182" ht="45.0" hidden="1" customHeight="1">
      <c r="A182" s="240" t="s">
        <v>674</v>
      </c>
      <c r="B182" s="11" t="str">
        <f t="shared" si="12"/>
        <v/>
      </c>
      <c r="C182" s="216">
        <v>100.0</v>
      </c>
    </row>
    <row r="183" ht="45.0" hidden="1" customHeight="1">
      <c r="A183" s="240" t="s">
        <v>694</v>
      </c>
      <c r="B183" s="11" t="str">
        <f t="shared" si="12"/>
        <v/>
      </c>
      <c r="C183" s="216">
        <v>100.0</v>
      </c>
    </row>
    <row r="184" ht="45.0" hidden="1" customHeight="1">
      <c r="A184" s="240" t="s">
        <v>802</v>
      </c>
      <c r="B184" s="11" t="str">
        <f t="shared" si="12"/>
        <v/>
      </c>
      <c r="C184" s="216">
        <v>100.0</v>
      </c>
    </row>
    <row r="185" ht="45.0" hidden="1" customHeight="1">
      <c r="A185" s="240" t="s">
        <v>714</v>
      </c>
      <c r="B185" s="11" t="str">
        <f t="shared" si="12"/>
        <v/>
      </c>
      <c r="C185" s="216">
        <v>100.0</v>
      </c>
    </row>
    <row r="186" ht="45.0" hidden="1" customHeight="1">
      <c r="A186" s="115" t="s">
        <v>730</v>
      </c>
      <c r="B186" s="11" t="str">
        <f t="shared" si="12"/>
        <v/>
      </c>
      <c r="C186" s="216">
        <v>100.0</v>
      </c>
    </row>
    <row r="187" ht="45.0" hidden="1" customHeight="1">
      <c r="A187" s="115" t="s">
        <v>814</v>
      </c>
      <c r="B187" s="11" t="str">
        <f t="shared" si="12"/>
        <v/>
      </c>
      <c r="C187" s="216">
        <v>100.0</v>
      </c>
    </row>
    <row r="188" ht="45.0" hidden="1" customHeight="1">
      <c r="A188" s="115" t="s">
        <v>750</v>
      </c>
      <c r="B188" s="11" t="str">
        <f t="shared" si="12"/>
        <v/>
      </c>
      <c r="C188" s="216">
        <v>100.0</v>
      </c>
    </row>
    <row r="189" ht="45.0" hidden="1" customHeight="1">
      <c r="A189" s="115" t="s">
        <v>762</v>
      </c>
      <c r="B189" s="11" t="str">
        <f t="shared" si="12"/>
        <v/>
      </c>
      <c r="C189" s="216">
        <v>100.0</v>
      </c>
    </row>
    <row r="190" ht="45.0" hidden="1" customHeight="1">
      <c r="A190" s="115" t="s">
        <v>770</v>
      </c>
      <c r="B190" s="11" t="str">
        <f t="shared" si="12"/>
        <v/>
      </c>
      <c r="C190" s="216">
        <v>100.0</v>
      </c>
    </row>
    <row r="191" ht="45.0" hidden="1" customHeight="1">
      <c r="A191" s="115" t="s">
        <v>682</v>
      </c>
      <c r="B191" s="11" t="str">
        <f t="shared" si="12"/>
        <v/>
      </c>
      <c r="C191" s="216">
        <v>100.0</v>
      </c>
    </row>
    <row r="192" ht="45.0" hidden="1" customHeight="1">
      <c r="A192" s="93" t="s">
        <v>488</v>
      </c>
      <c r="B192" s="11" t="str">
        <f>IMAGE("https://m.media-amazon.com/images/I/51BByYhTjOL._SX425_.jpg",1)</f>
        <v/>
      </c>
      <c r="C192" s="216">
        <v>20.0</v>
      </c>
    </row>
    <row r="193" ht="45.0" hidden="1" customHeight="1">
      <c r="A193" s="93" t="s">
        <v>1804</v>
      </c>
      <c r="B193" s="11" t="str">
        <f>IMAGE("https://5.imimg.com/data5/FI/FV/DZ/SELLER-22718366/27-mm-3p-piezoelectric-buzzer-plate-500x500.jpg",1)</f>
        <v/>
      </c>
      <c r="C193" s="216">
        <v>20.0</v>
      </c>
    </row>
    <row r="194" ht="45.0" hidden="1" customHeight="1">
      <c r="A194" s="93" t="s">
        <v>826</v>
      </c>
      <c r="B194" s="11" t="str">
        <f>IMAGE("https://encrypted-tbn0.gstatic.com/images?q=tbn:ANd9GcR-ur1Cl_3Rq82qZ9KbLtZX3U_7cevDQWdUVA&amp;usqp=CAU",1)</f>
        <v/>
      </c>
      <c r="C194" s="216">
        <v>100.0</v>
      </c>
    </row>
    <row r="195" ht="45.0" hidden="1" customHeight="1">
      <c r="A195" s="93" t="s">
        <v>830</v>
      </c>
      <c r="B195" s="11" t="str">
        <f>IMAGE("https://m.media-amazon.com/images/I/51khY6g46VL._AC_SL1500_.jpg",1)</f>
        <v/>
      </c>
      <c r="C195" s="216">
        <v>50.0</v>
      </c>
    </row>
    <row r="196" ht="45.0" hidden="1" customHeight="1">
      <c r="A196" s="93" t="s">
        <v>834</v>
      </c>
      <c r="B196" s="11" t="str">
        <f>IMAGE("https://etstore.in/wp-content/uploads/2021/12/IMG_20201130_100203.png",1)</f>
        <v/>
      </c>
      <c r="C196" s="216">
        <v>50.0</v>
      </c>
    </row>
    <row r="197" ht="45.0" hidden="1" customHeight="1">
      <c r="A197" s="93" t="s">
        <v>838</v>
      </c>
      <c r="B197" s="11" t="str">
        <f>IMAGE("https://m.media-amazon.com/images/I/71UDXftBeaL._SX466_.jpg",1)</f>
        <v/>
      </c>
      <c r="C197" s="216">
        <v>50.0</v>
      </c>
    </row>
    <row r="198" ht="45.0" hidden="1" customHeight="1">
      <c r="A198" s="93" t="s">
        <v>842</v>
      </c>
      <c r="B198" s="11" t="str">
        <f>IMAGE("https://m.media-amazon.com/images/I/4116hBQx0XL._SX425_.jpg",1)</f>
        <v/>
      </c>
      <c r="C198" s="216">
        <v>50.0</v>
      </c>
    </row>
    <row r="199" ht="45.0" hidden="1" customHeight="1">
      <c r="A199" s="93" t="s">
        <v>850</v>
      </c>
      <c r="B199" s="11" t="str">
        <f>IMAGE("https://5.imimg.com/data5/SELLER/Default/2020/8/IJ/BD/HA/84543611/2n3904-transistor-500x500.jpg",1)</f>
        <v/>
      </c>
      <c r="C199" s="216">
        <v>100.0</v>
      </c>
    </row>
    <row r="200" ht="45.0" hidden="1" customHeight="1">
      <c r="A200" s="93" t="s">
        <v>854</v>
      </c>
      <c r="B200" s="11" t="str">
        <f>IMAGE("https://rukminim2.flixcart.com/image/832/832/k44hksw0/transistor/d/m/d/100-pics-bc547-npn-transistor-sme-original-imafn3dfw2fqwgxg.jpeg?q=70",1)</f>
        <v/>
      </c>
      <c r="C200" s="216">
        <v>100.0</v>
      </c>
    </row>
    <row r="201" ht="45.0" hidden="1" customHeight="1">
      <c r="A201" s="93" t="s">
        <v>858</v>
      </c>
      <c r="B201" s="11" t="str">
        <f>IMAGE("https://m.media-amazon.com/images/W/MEDIAX_792452-T2/images/I/31po6g2eu+L.jpg",1)</f>
        <v/>
      </c>
      <c r="C201" s="216">
        <v>100.0</v>
      </c>
    </row>
    <row r="202" ht="45.0" hidden="1" customHeight="1">
      <c r="A202" s="93" t="s">
        <v>862</v>
      </c>
      <c r="B202" s="11" t="str">
        <f>IMAGE("https://5.imimg.com/data5/MA/XW/GW/SELLER-84581978/cdil-transistor-bc557-500x500.jpg",1)</f>
        <v/>
      </c>
      <c r="C202" s="216">
        <v>100.0</v>
      </c>
    </row>
    <row r="203" ht="45.0" hidden="1" customHeight="1">
      <c r="A203" s="93" t="s">
        <v>866</v>
      </c>
      <c r="B203" s="11" t="str">
        <f>IMAGE("https://www.chipmart.in/wp-content/uploads/2022/08/SL100-NPN-General-Purpose-Medium-Power-Transistor-50V-500mA.png",1)</f>
        <v/>
      </c>
      <c r="C203" s="216">
        <v>100.0</v>
      </c>
    </row>
    <row r="204" ht="45.0" hidden="1" customHeight="1">
      <c r="A204" s="93" t="s">
        <v>870</v>
      </c>
      <c r="B204" s="11" t="str">
        <f>IMAGE("https://5.imimg.com/data5/WJ/EW/MY-25117786/2n2222-npn-transistors-500x500.jpg",1)</f>
        <v/>
      </c>
      <c r="C204" s="216">
        <v>100.0</v>
      </c>
    </row>
    <row r="205" ht="45.0" hidden="1" customHeight="1">
      <c r="A205" s="270" t="s">
        <v>2157</v>
      </c>
      <c r="B205" s="11"/>
      <c r="C205" s="281">
        <v>100.0</v>
      </c>
    </row>
    <row r="206" ht="45.0" hidden="1" customHeight="1">
      <c r="A206" s="272" t="s">
        <v>2163</v>
      </c>
      <c r="B206" s="275"/>
      <c r="C206" s="274">
        <v>3.0</v>
      </c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  <c r="AA206" s="276"/>
      <c r="AB206" s="276"/>
      <c r="AC206" s="276"/>
      <c r="AD206" s="276"/>
      <c r="AE206" s="276"/>
      <c r="AF206" s="276"/>
      <c r="AG206" s="276"/>
      <c r="AH206" s="276"/>
      <c r="AI206" s="276"/>
      <c r="AJ206" s="276"/>
    </row>
    <row r="207" ht="45.0" hidden="1" customHeight="1">
      <c r="A207" s="272" t="s">
        <v>2164</v>
      </c>
      <c r="B207" s="275"/>
      <c r="C207" s="274">
        <v>20.0</v>
      </c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  <c r="AA207" s="276"/>
      <c r="AB207" s="276"/>
      <c r="AC207" s="276"/>
      <c r="AD207" s="276"/>
      <c r="AE207" s="276"/>
      <c r="AF207" s="276"/>
      <c r="AG207" s="276"/>
      <c r="AH207" s="276"/>
      <c r="AI207" s="276"/>
      <c r="AJ207" s="276"/>
    </row>
    <row r="208" ht="45.0" hidden="1" customHeight="1">
      <c r="A208" s="272" t="s">
        <v>2165</v>
      </c>
      <c r="B208" s="275"/>
      <c r="C208" s="274">
        <v>4.0</v>
      </c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  <c r="AA208" s="276"/>
      <c r="AB208" s="276"/>
      <c r="AC208" s="276"/>
      <c r="AD208" s="276"/>
      <c r="AE208" s="276"/>
      <c r="AF208" s="276"/>
      <c r="AG208" s="276"/>
      <c r="AH208" s="276"/>
      <c r="AI208" s="276"/>
      <c r="AJ208" s="276"/>
    </row>
    <row r="209" ht="45.0" hidden="1" customHeight="1">
      <c r="A209" s="277" t="s">
        <v>2166</v>
      </c>
      <c r="B209" s="275"/>
      <c r="C209" s="279">
        <v>2.0</v>
      </c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  <c r="AD209" s="276"/>
      <c r="AE209" s="276"/>
      <c r="AF209" s="276"/>
      <c r="AG209" s="276"/>
      <c r="AH209" s="276"/>
      <c r="AI209" s="276"/>
      <c r="AJ209" s="276"/>
    </row>
    <row r="210" ht="45.0" hidden="1" customHeight="1">
      <c r="A210" s="93" t="s">
        <v>1754</v>
      </c>
      <c r="B210" s="11" t="str">
        <f>IMAGE("https://encrypted-tbn0.gstatic.com/images?q=tbn:ANd9GcQ9HdcUbkhENGQnNmIni640zFk33IAUdUx_x0uluq_AFf1Hud04FBhhZQFZXM2xrHw_7W4&amp;usqp=CAU",1)</f>
        <v/>
      </c>
      <c r="C210" s="216">
        <v>10.0</v>
      </c>
    </row>
    <row r="211" ht="45.0" hidden="1" customHeight="1">
      <c r="A211" s="93" t="s">
        <v>895</v>
      </c>
      <c r="B211" s="11" t="str">
        <f>IMAGE("https://m.media-amazon.com/images/W/MEDIAX_792452-T2/images/I/612Fb4y5P6S._SL1100_.jpg",1)</f>
        <v/>
      </c>
      <c r="C211" s="216">
        <v>10.0</v>
      </c>
    </row>
    <row r="212" ht="45.0" hidden="1" customHeight="1">
      <c r="A212" s="232" t="s">
        <v>899</v>
      </c>
      <c r="B212" s="222" t="str">
        <f>IMAGE("https://robu.in/wp-content/uploads/2021/05/DC-DC-Boost-Module-0.9V5V-to-5V-600MA-USB-Step-up-Board-5V-Output-1.png",1)</f>
        <v/>
      </c>
      <c r="C212" s="222">
        <v>1.0</v>
      </c>
    </row>
    <row r="213" ht="45.0" hidden="1" customHeight="1">
      <c r="A213" s="93" t="s">
        <v>923</v>
      </c>
      <c r="B213" s="11" t="str">
        <f>IMAGE("https://robu.in/wp-content/uploads/2017/06/robu-3-13.jpg",1)</f>
        <v/>
      </c>
      <c r="C213" s="216">
        <v>5.0</v>
      </c>
    </row>
    <row r="214" ht="45.0" hidden="1" customHeight="1">
      <c r="A214" s="93" t="s">
        <v>940</v>
      </c>
      <c r="B214" s="11" t="str">
        <f>IMAGE("https://robu.in/wp-content/uploads/2016/03/Ublox-Neo-6M-GPS.jpg",1)</f>
        <v/>
      </c>
      <c r="C214" s="216">
        <v>5.0</v>
      </c>
    </row>
    <row r="215" ht="45.0" hidden="1" customHeight="1">
      <c r="A215" s="93" t="s">
        <v>943</v>
      </c>
      <c r="B215" s="11" t="str">
        <f>IMAGE("https://m.media-amazon.com/images/W/MEDIAX_792452-T2/images/I/51cWZAAMiWL._SL1000_.jpg",1)</f>
        <v/>
      </c>
      <c r="C215" s="216">
        <v>5.0</v>
      </c>
    </row>
    <row r="216" ht="45.0" hidden="1" customHeight="1">
      <c r="A216" s="93" t="s">
        <v>947</v>
      </c>
      <c r="B216" s="11" t="str">
        <f>IMAGE("https://m.media-amazon.com/images/W/MEDIAX_792452-T2/images/I/61wbYlIdx0L._SL1500_.jpg",1)</f>
        <v/>
      </c>
      <c r="C216" s="216">
        <v>5.0</v>
      </c>
    </row>
    <row r="217" ht="45.0" hidden="1" customHeight="1">
      <c r="A217" s="93" t="s">
        <v>950</v>
      </c>
      <c r="B217" s="11" t="str">
        <f>IMAGE("https://5.imimg.com/data5/SELLER/Default/2022/9/HX/YZ/GJ/43948449/micro-sd-card-adapter-with-level-shifter-500x500.png",1)</f>
        <v/>
      </c>
      <c r="C217" s="216">
        <v>10.0</v>
      </c>
    </row>
    <row r="218" ht="45.0" hidden="1" customHeight="1">
      <c r="A218" s="93" t="s">
        <v>1958</v>
      </c>
      <c r="B218" s="11" t="str">
        <f>IMAGE("https://robu.in/wp-content/uploads/2020/09/L298P-Motor-Driver-Shield-for-Arduino-3.jpg",1)</f>
        <v/>
      </c>
      <c r="C218" s="216">
        <v>10.0</v>
      </c>
    </row>
    <row r="219" ht="45.0" hidden="1" customHeight="1">
      <c r="A219" s="93" t="s">
        <v>1760</v>
      </c>
      <c r="B219" s="11" t="str">
        <f>IMAGE("https://m.media-amazon.com/images/I/41Y-5b4TQcL.jpg",1)</f>
        <v/>
      </c>
      <c r="C219" s="216">
        <v>5.0</v>
      </c>
    </row>
    <row r="220" ht="45.0" hidden="1" customHeight="1">
      <c r="A220" s="93" t="s">
        <v>962</v>
      </c>
      <c r="B220" s="11" t="str">
        <f>IMAGE("https://robu.in/wp-content/uploads/2016/02/617hpF6cJbL._SL1000_.jpg",1)</f>
        <v/>
      </c>
      <c r="C220" s="216">
        <v>10.0</v>
      </c>
    </row>
    <row r="221" ht="45.0" hidden="1" customHeight="1">
      <c r="A221" s="93" t="s">
        <v>1820</v>
      </c>
      <c r="B221" s="11" t="str">
        <f>IMAGE("https://rukminim1.flixcart.com/image/850/1000/k62i5jk0/solar-panel/7/g/q/diy-projects-6v-80ma-wire-attached-mini-power-solar-cells-for-original-imafzm93vcqqnsat.jpeg?q=20")</f>
        <v/>
      </c>
      <c r="C221" s="216">
        <v>10.0</v>
      </c>
    </row>
    <row r="222" ht="45.0" hidden="1" customHeight="1">
      <c r="A222" s="93" t="s">
        <v>934</v>
      </c>
      <c r="B222" s="11" t="str">
        <f>IMAGE("https://robu.in/wp-content/uploads/2020/10/TP4056-1A-Li-ion-lithium-Battery-Charging-Module-With-Current-Protection-Type-C-2.png",1)</f>
        <v/>
      </c>
      <c r="C222" s="11">
        <v>15.0</v>
      </c>
    </row>
    <row r="223" ht="45.0" hidden="1" customHeight="1">
      <c r="A223" s="93" t="s">
        <v>1955</v>
      </c>
      <c r="B223" s="11" t="str">
        <f>IMAGE("https://5.imimg.com/data5/II/UT/SO/SELLER-1968074/16x2-lcd-display-500x500.jpg",1)</f>
        <v/>
      </c>
      <c r="C223" s="216">
        <v>10.0</v>
      </c>
    </row>
    <row r="224" ht="45.0" hidden="1" customHeight="1">
      <c r="A224" s="93" t="s">
        <v>1811</v>
      </c>
      <c r="B224" s="11" t="str">
        <f>IMAGE("https://m.media-amazon.com/images/I/51l+Qhaiu3L._SL1000_.jpg",1)</f>
        <v/>
      </c>
      <c r="C224" s="216">
        <v>10.0</v>
      </c>
    </row>
    <row r="225" ht="45.0" hidden="1" customHeight="1">
      <c r="A225" s="93" t="s">
        <v>911</v>
      </c>
      <c r="B225" s="11" t="str">
        <f>IMAGE("https://ashokaonlineshop.in/wp-content/uploads/2022/11/650nm-Mini-Laser-Dot-Diode-Module1.jpeg",1)</f>
        <v/>
      </c>
      <c r="C225" s="216">
        <v>20.0</v>
      </c>
    </row>
    <row r="226" ht="45.0" hidden="1" customHeight="1">
      <c r="A226" s="93" t="s">
        <v>903</v>
      </c>
      <c r="B226" s="11" t="str">
        <f>IMAGE("https://makerbazar.in/cdn/shop/files/6015fanwithwire_600x.jpg?v=1695792315",1)</f>
        <v/>
      </c>
      <c r="C226" s="216">
        <v>5.0</v>
      </c>
    </row>
    <row r="227" ht="45.0" hidden="1" customHeight="1">
      <c r="A227" s="93" t="s">
        <v>930</v>
      </c>
      <c r="B227" s="11" t="str">
        <f>IMAGE("https://5.imimg.com/data5/SELLER/Default/2023/2/OP/GV/HH/182244990/water-pump-module-1000x1000.jpg",1)</f>
        <v/>
      </c>
      <c r="C227" s="216">
        <v>10.0</v>
      </c>
    </row>
    <row r="228" ht="45.0" hidden="1" customHeight="1">
      <c r="A228" s="93" t="s">
        <v>927</v>
      </c>
      <c r="B228" s="11" t="str">
        <f>IMAGE("https://robu.in/wp-content/uploads/2021/05/0.5W-8OHM-Trumpet-Diameter-36mm-1.jpeg",1)</f>
        <v/>
      </c>
      <c r="C228" s="216">
        <v>10.0</v>
      </c>
    </row>
    <row r="229" ht="45.0" hidden="1" customHeight="1">
      <c r="A229" s="272" t="s">
        <v>2167</v>
      </c>
      <c r="B229" s="275"/>
      <c r="C229" s="274">
        <v>10.0</v>
      </c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  <c r="AE229" s="276"/>
      <c r="AF229" s="276"/>
      <c r="AG229" s="276"/>
      <c r="AH229" s="276"/>
      <c r="AI229" s="276"/>
      <c r="AJ229" s="276"/>
    </row>
    <row r="230" ht="45.0" hidden="1" customHeight="1">
      <c r="A230" s="272" t="s">
        <v>2168</v>
      </c>
      <c r="B230" s="275"/>
      <c r="C230" s="274">
        <v>10.0</v>
      </c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  <c r="AD230" s="276"/>
      <c r="AE230" s="276"/>
      <c r="AF230" s="276"/>
      <c r="AG230" s="276"/>
      <c r="AH230" s="276"/>
      <c r="AI230" s="276"/>
      <c r="AJ230" s="276"/>
    </row>
    <row r="231" ht="45.0" hidden="1" customHeight="1">
      <c r="A231" s="272" t="s">
        <v>2169</v>
      </c>
      <c r="B231" s="275"/>
      <c r="C231" s="274">
        <v>10.0</v>
      </c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  <c r="AD231" s="276"/>
      <c r="AE231" s="276"/>
      <c r="AF231" s="276"/>
      <c r="AG231" s="276"/>
      <c r="AH231" s="276"/>
      <c r="AI231" s="276"/>
      <c r="AJ231" s="276"/>
    </row>
    <row r="232" ht="45.0" hidden="1" customHeight="1">
      <c r="A232" s="272" t="s">
        <v>2170</v>
      </c>
      <c r="B232" s="275"/>
      <c r="C232" s="274">
        <v>4.0</v>
      </c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  <c r="AA232" s="276"/>
      <c r="AB232" s="276"/>
      <c r="AC232" s="276"/>
      <c r="AD232" s="276"/>
      <c r="AE232" s="276"/>
      <c r="AF232" s="276"/>
      <c r="AG232" s="276"/>
      <c r="AH232" s="276"/>
      <c r="AI232" s="276"/>
      <c r="AJ232" s="276"/>
    </row>
    <row r="233" ht="45.0" hidden="1" customHeight="1">
      <c r="A233" s="93" t="s">
        <v>1767</v>
      </c>
      <c r="B233" s="11" t="str">
        <f>IMAGE("https://m.media-amazon.com/images/I/61PFvg8BbeL._SL1500_.jpg",1)</f>
        <v/>
      </c>
      <c r="C233" s="216">
        <v>10.0</v>
      </c>
    </row>
    <row r="234" ht="45.0" hidden="1" customHeight="1">
      <c r="A234" s="93" t="s">
        <v>1249</v>
      </c>
      <c r="B234" s="11" t="str">
        <f>IMAGE("https://www.atel-electronics.eu/pic_cache/10/06158.jpg",1)</f>
        <v/>
      </c>
      <c r="C234" s="216">
        <v>7.0</v>
      </c>
    </row>
    <row r="235" ht="45.0" hidden="1" customHeight="1">
      <c r="A235" s="93" t="s">
        <v>1254</v>
      </c>
      <c r="B235" s="11" t="str">
        <f>IMAGE("https://in.element14.com/productimages/large/en_GB/IN07444-40.jpg",1)</f>
        <v/>
      </c>
      <c r="C235" s="216">
        <v>1.0</v>
      </c>
    </row>
    <row r="236" ht="45.0" hidden="1" customHeight="1">
      <c r="A236" s="93" t="s">
        <v>1258</v>
      </c>
      <c r="B236" s="11" t="str">
        <f>IMAGE("https://m.media-amazon.com/images/I/51LxodXCiyS._SL1000_.jpg",1)</f>
        <v/>
      </c>
      <c r="C236" s="216">
        <v>1.0</v>
      </c>
    </row>
    <row r="237" ht="45.0" hidden="1" customHeight="1">
      <c r="A237" s="93" t="s">
        <v>1262</v>
      </c>
      <c r="B237" s="11" t="str">
        <f>IMAGE("https://m.media-amazon.com/images/I/61WLNOGJ4JS.jpg")</f>
        <v/>
      </c>
      <c r="C237" s="216">
        <v>1.0</v>
      </c>
    </row>
    <row r="238" ht="45.0" hidden="1" customHeight="1">
      <c r="A238" s="93" t="s">
        <v>1266</v>
      </c>
      <c r="B238" s="11" t="str">
        <f>IMAGE("https://cdn.shopify.com/s/files/1/0559/1970/6265/products/4_61325b1b-840f-41dd-a6d9-0ddb00c5c7bc_1024x1024@2x.png?v=1670588177",1)</f>
        <v/>
      </c>
      <c r="C238" s="216">
        <v>1.0</v>
      </c>
    </row>
    <row r="239" ht="45.0" hidden="1" customHeight="1">
      <c r="A239" s="93" t="s">
        <v>1329</v>
      </c>
      <c r="B239" s="11" t="str">
        <f>IMAGE("https://m.media-amazon.com/images/I/61vUDUTouNL._SL1500_.jpg",1)</f>
        <v/>
      </c>
      <c r="C239" s="11">
        <v>100.0</v>
      </c>
    </row>
    <row r="240" ht="45.0" hidden="1" customHeight="1">
      <c r="A240" s="93" t="s">
        <v>1335</v>
      </c>
      <c r="B240" s="11" t="str">
        <f>IMAGE("https://m.media-amazon.com/images/I/31ye7Xw2PpL.jpg",1)</f>
        <v/>
      </c>
      <c r="C240" s="11">
        <v>100.0</v>
      </c>
    </row>
    <row r="241" ht="45.0" hidden="1" customHeight="1">
      <c r="A241" s="93" t="s">
        <v>1339</v>
      </c>
      <c r="B241" s="11" t="str">
        <f>IMAGE("https://m.media-amazon.com/images/I/414cC-M+nlL._SL1000_.jpg",1)</f>
        <v/>
      </c>
      <c r="C241" s="11">
        <v>10.0</v>
      </c>
    </row>
    <row r="242" ht="45.0" hidden="1" customHeight="1">
      <c r="A242" s="93" t="s">
        <v>1344</v>
      </c>
      <c r="B242" s="11" t="str">
        <f>IMAGE("https://m.media-amazon.com/images/I/31nb9BadkoL.jpg",1)</f>
        <v/>
      </c>
      <c r="C242" s="11">
        <v>100.0</v>
      </c>
    </row>
    <row r="243" ht="45.0" hidden="1" customHeight="1">
      <c r="A243" s="93" t="s">
        <v>1358</v>
      </c>
      <c r="B243" s="11" t="str">
        <f>IMAGE("https://robu.in/wp-content/uploads/2017/11/mg995-high-speed-digital-metal-gear-2bb-torque-rc-for-servo-hpi-savage-xl-2.jpg",1)</f>
        <v/>
      </c>
      <c r="C243" s="216">
        <v>15.0</v>
      </c>
    </row>
    <row r="244" ht="45.0" hidden="1" customHeight="1">
      <c r="A244" s="93" t="s">
        <v>1363</v>
      </c>
      <c r="B244" s="11" t="str">
        <f t="shared" ref="B244:B245" si="13">IMAGE("https://m.media-amazon.com/images/W/MEDIAX_792452-T2/images/I/21bgQSzvxLL.jpg",1)</f>
        <v/>
      </c>
      <c r="C244" s="216">
        <v>30.0</v>
      </c>
    </row>
    <row r="245" ht="45.0" hidden="1" customHeight="1">
      <c r="A245" s="93" t="s">
        <v>1367</v>
      </c>
      <c r="B245" s="11" t="str">
        <f t="shared" si="13"/>
        <v/>
      </c>
      <c r="C245" s="216">
        <v>30.0</v>
      </c>
    </row>
    <row r="246" ht="45.0" hidden="1" customHeight="1">
      <c r="A246" s="93" t="s">
        <v>1372</v>
      </c>
      <c r="B246" s="11" t="str">
        <f>IMAGE("https://5.imimg.com/data5/DJ/PF/TV/SELLER-95692783/bo-wheel-500x500.jpg",1)</f>
        <v/>
      </c>
      <c r="C246" s="216">
        <v>30.0</v>
      </c>
    </row>
    <row r="247" ht="45.0" hidden="1" customHeight="1">
      <c r="A247" s="93" t="s">
        <v>1376</v>
      </c>
      <c r="B247" s="11" t="str">
        <f>IMAGE("https://aryabot.in/wp-content/uploads/2023/10/castor-wheel-big-550x550w.webp",1)</f>
        <v/>
      </c>
      <c r="C247" s="216">
        <v>20.0</v>
      </c>
    </row>
    <row r="248" ht="45.0" hidden="1" customHeight="1">
      <c r="A248" s="93" t="s">
        <v>1380</v>
      </c>
      <c r="B248" s="11" t="str">
        <f>IMAGE("https://robu.in/wp-content/uploads/2020/09/DC3-6V-130-DIY-Toy-Motor-2-Pcs.-1.png",1)</f>
        <v/>
      </c>
      <c r="C248" s="216">
        <v>10.0</v>
      </c>
    </row>
    <row r="249" ht="45.0" hidden="1" customHeight="1">
      <c r="A249" s="93" t="s">
        <v>1384</v>
      </c>
      <c r="B249" s="11" t="str">
        <f>IMAGE("https://i0.wp.com/www.circuituncle.com/wp-content/uploads/2019/10/mg90s.png?fit=1001%2C1001&amp;ssl=1",1)</f>
        <v/>
      </c>
      <c r="C249" s="216">
        <v>30.0</v>
      </c>
    </row>
    <row r="250" ht="45.0" hidden="1" customHeight="1">
      <c r="A250" s="93" t="s">
        <v>1388</v>
      </c>
      <c r="B250" s="11" t="str">
        <f>IMAGE("https://robu.in/wp-content/uploads/2016/04/61nEdk-NxSL._SY355_.jpg",1)</f>
        <v/>
      </c>
      <c r="C250" s="216">
        <v>5.0</v>
      </c>
    </row>
    <row r="251" ht="45.0" hidden="1" customHeight="1">
      <c r="A251" s="93" t="s">
        <v>1391</v>
      </c>
      <c r="B251" s="11" t="str">
        <f>IMAGE("https://robu.in/wp-content/uploads/2023/09/34.jpg",1)</f>
        <v/>
      </c>
      <c r="C251" s="237">
        <v>21.0</v>
      </c>
    </row>
    <row r="252" ht="45.0" hidden="1" customHeight="1">
      <c r="A252" s="93" t="s">
        <v>1395</v>
      </c>
      <c r="B252" s="11" t="str">
        <f>IMAGE("https://cdn.shopify.com/s/files/1/0088/0056/7392/products/Stepper_motor_with_Driver_board.jpg?v=1552579276",1)</f>
        <v/>
      </c>
      <c r="C252" s="216">
        <v>15.0</v>
      </c>
    </row>
    <row r="253" ht="45.0" hidden="1" customHeight="1">
      <c r="A253" s="93" t="s">
        <v>1824</v>
      </c>
      <c r="B253" s="11" t="str">
        <f>IMAGE("https://robu.in/wp-content/uploads/2017/06/31100-2.jpg",1)</f>
        <v/>
      </c>
      <c r="C253" s="216">
        <v>5.0</v>
      </c>
    </row>
    <row r="254" ht="45.0" hidden="1" customHeight="1">
      <c r="A254" s="93" t="s">
        <v>1744</v>
      </c>
      <c r="B254" s="11" t="str">
        <f>IMAGE("https://m.media-amazon.com/images/W/MEDIAX_792452-T2/images/I/71PSVpNRPuL._SL1500_.jpg",1)</f>
        <v/>
      </c>
      <c r="C254" s="216">
        <v>5.0</v>
      </c>
    </row>
    <row r="255" ht="45.0" hidden="1" customHeight="1">
      <c r="A255" s="93" t="s">
        <v>1526</v>
      </c>
      <c r="B255" s="11" t="str">
        <f>IMAGE("https://robu.in/wp-content/uploads/2016/08/2-1.jpg",1)</f>
        <v/>
      </c>
      <c r="C255" s="216">
        <v>5.0</v>
      </c>
    </row>
    <row r="256" ht="45.0" hidden="1" customHeight="1">
      <c r="A256" s="93" t="s">
        <v>1530</v>
      </c>
      <c r="B256" s="11" t="str">
        <f>IMAGE("https://5.imimg.com/data5/SELLER/Default/2023/1/KQ/RE/WN/37611021/unique-india-force-pressure-sensor-square-500x500.jpg",1)</f>
        <v/>
      </c>
      <c r="C256" s="216">
        <v>5.0</v>
      </c>
    </row>
    <row r="257" ht="45.0" hidden="1" customHeight="1">
      <c r="A257" s="93" t="s">
        <v>1781</v>
      </c>
      <c r="B257" s="11" t="str">
        <f>IMAGE("https://m.media-amazon.com/images/W/MEDIAX_792452-T2/images/I/61e+2rew8OL._SL1011_.jpg",1)</f>
        <v/>
      </c>
      <c r="C257" s="216">
        <v>10.0</v>
      </c>
    </row>
    <row r="258" ht="45.0" hidden="1" customHeight="1">
      <c r="A258" s="93" t="s">
        <v>1791</v>
      </c>
      <c r="B258" s="11" t="str">
        <f>IMAGE("https://makerbazar.in/cdn/shop/products/IR_transmitter-receiver_-_TSOP_1738_600x.jpg?v=1582114496",1)</f>
        <v/>
      </c>
      <c r="C258" s="216">
        <v>5.0</v>
      </c>
    </row>
    <row r="259" ht="45.0" hidden="1" customHeight="1">
      <c r="A259" s="93" t="s">
        <v>1786</v>
      </c>
      <c r="B259" s="11" t="str">
        <f>IMAGE("https://makerbazar.in/cdn/shop/products/IR-Array_2048x2048_29f53719-c65f-4f67-a7f9-06b99966bf49_400x.jpg?v=1628014848",1)</f>
        <v/>
      </c>
      <c r="C259" s="216">
        <v>5.0</v>
      </c>
    </row>
    <row r="260" ht="45.0" hidden="1" customHeight="1">
      <c r="A260" s="93" t="s">
        <v>1546</v>
      </c>
      <c r="B260" s="11" t="str">
        <f>IMAGE("https://robu.in/wp-content/uploads/2017/05/LDR-module-1.png",1)</f>
        <v/>
      </c>
      <c r="C260" s="216">
        <v>10.0</v>
      </c>
    </row>
    <row r="261" ht="45.0" hidden="1" customHeight="1">
      <c r="A261" s="93" t="s">
        <v>1775</v>
      </c>
      <c r="B261" s="253" t="str">
        <f>IMAGE("https://m.media-amazon.com/images/W/MEDIAX_792452-T2/images/I/7158I82c4bL._SL1500_.jpg",1)</f>
        <v/>
      </c>
      <c r="C261" s="216">
        <v>5.0</v>
      </c>
    </row>
    <row r="262" ht="45.0" hidden="1" customHeight="1">
      <c r="A262" s="93" t="s">
        <v>1822</v>
      </c>
      <c r="B262" s="12" t="str">
        <f>IMAGE("https://robu.in/wp-content/uploads/2017/09/download-1-2.jpg",1)</f>
        <v/>
      </c>
      <c r="C262" s="216">
        <v>5.0</v>
      </c>
    </row>
    <row r="263" ht="45.0" hidden="1" customHeight="1">
      <c r="A263" s="93" t="s">
        <v>1758</v>
      </c>
      <c r="B263" s="11" t="str">
        <f>IMAGE("https://cdn.shopify.com/s/files/1/0088/0056/7392/products/Sound_Detector_Module.jpg?v=1566646449",1)</f>
        <v/>
      </c>
      <c r="C263" s="216">
        <v>10.0</v>
      </c>
    </row>
    <row r="264" ht="45.0" hidden="1" customHeight="1">
      <c r="A264" s="93" t="s">
        <v>1789</v>
      </c>
      <c r="B264" s="11" t="str">
        <f>IMAGE("https://encrypted-tbn0.gstatic.com/images?q=tbn:ANd9GcRrIyUWjQ1rnIJDwYms78skSv9zbdkdml4sTR1WfoKl6GFD5OWnZULG8H98AB-i394c3VQ&amp;usqp=CAU",1)</f>
        <v/>
      </c>
      <c r="C264" s="216">
        <v>10.0</v>
      </c>
    </row>
    <row r="265" ht="45.0" hidden="1" customHeight="1">
      <c r="A265" s="93" t="s">
        <v>2149</v>
      </c>
      <c r="B265" s="11" t="str">
        <f>IMAGE("https://robu.in/wp-content/uploads/2019/05/MAX30100-Pulse-Oximeter-Heart-Rate-Sensor-Module-2.jpg",1)</f>
        <v/>
      </c>
      <c r="C265" s="216">
        <v>5.0</v>
      </c>
    </row>
    <row r="266" ht="45.0" hidden="1" customHeight="1">
      <c r="A266" s="93" t="s">
        <v>1769</v>
      </c>
      <c r="B266" s="11" t="str">
        <f>IMAGE("https://makerbazar.in/cdn/shop/products/Untitled-1_39_1_60x.jpg?v=1637233670",1)</f>
        <v/>
      </c>
      <c r="C266" s="216">
        <v>5.0</v>
      </c>
    </row>
    <row r="267" ht="45.0" hidden="1" customHeight="1">
      <c r="A267" s="93" t="s">
        <v>1772</v>
      </c>
      <c r="B267" s="11" t="str">
        <f>IMAGE("https://5.imimg.com/data5/SELLER/Default/2021/6/XN/UI/NS/84973740/mq2-flammable-gas-and-smoke-sensor-module-500x500.jpg",1)</f>
        <v/>
      </c>
      <c r="C267" s="216">
        <v>5.0</v>
      </c>
    </row>
    <row r="268" ht="45.0" hidden="1" customHeight="1">
      <c r="A268" s="93" t="s">
        <v>1576</v>
      </c>
      <c r="B268" s="11" t="str">
        <f>IMAGE("https://robu.in/wp-content/uploads/2016/03/12251.jpg",1)</f>
        <v/>
      </c>
      <c r="C268" s="216">
        <v>10.0</v>
      </c>
    </row>
    <row r="269" ht="45.0" hidden="1" customHeight="1">
      <c r="A269" s="258" t="s">
        <v>1763</v>
      </c>
      <c r="B269" s="11" t="str">
        <f>IMAGE("https://m.media-amazon.com/images/W/MEDIAX_792452-T2/images/I/61QNSpIV-GL._SL1000_.jpg",1)</f>
        <v/>
      </c>
      <c r="C269" s="216">
        <v>5.0</v>
      </c>
    </row>
    <row r="270" ht="45.0" hidden="1" customHeight="1">
      <c r="A270" s="93" t="s">
        <v>1584</v>
      </c>
      <c r="B270" s="11" t="str">
        <f>IMAGE("https://projecthubbharat.com/wp-content/uploads/2022/02/dht-11-sensor-module-india-800x800-1.jpg",1)</f>
        <v/>
      </c>
      <c r="C270" s="216">
        <v>10.0</v>
      </c>
    </row>
    <row r="271" ht="45.0" hidden="1" customHeight="1">
      <c r="A271" s="93" t="s">
        <v>1795</v>
      </c>
      <c r="B271" s="11" t="str">
        <f>IMAGE("https://potentiallabs.com/cart/image/cache/catalog/nov-dec/DS18B20-500x500-500x500.jpg",1)</f>
        <v/>
      </c>
      <c r="C271" s="216">
        <v>10.0</v>
      </c>
    </row>
    <row r="272" ht="45.0" hidden="1" customHeight="1">
      <c r="A272" s="93" t="s">
        <v>1798</v>
      </c>
      <c r="B272" s="216" t="str">
        <f>IMAGE("https://5.imimg.com/data5/SELLER/Default/2021/9/HF/RK/UF/37611021/10k-ohm-ntc-thermistor-500x500.jpg",1)</f>
        <v/>
      </c>
      <c r="C272" s="216">
        <v>20.0</v>
      </c>
    </row>
    <row r="273" ht="45.0" hidden="1" customHeight="1">
      <c r="A273" s="93" t="s">
        <v>1777</v>
      </c>
      <c r="B273" s="11" t="str">
        <f>IMAGE("https://media.distrelec.com/Web/WebShopImages/landscape_large/7-/01/Adafruit_163_30129187-01.jpg",1)</f>
        <v/>
      </c>
      <c r="C273" s="216">
        <v>5.0</v>
      </c>
    </row>
    <row r="274" ht="45.0" hidden="1" customHeight="1">
      <c r="A274" s="93" t="s">
        <v>1619</v>
      </c>
      <c r="B274" s="11" t="str">
        <f>IMAGE("https://i0.wp.com/superbtech.in/wp-content/uploads/2020/07/2-60.jpg?fit=500%2C500&amp;ssl=1",1)</f>
        <v/>
      </c>
      <c r="C274" s="216">
        <v>10.0</v>
      </c>
    </row>
    <row r="275" ht="45.0" hidden="1" customHeight="1">
      <c r="A275" s="93" t="s">
        <v>1623</v>
      </c>
      <c r="B275" s="11" t="str">
        <f>IMAGE("https://cdn.shopify.com/s/files/1/0559/1970/6265/products/1_9713a8db-db1e-42d0-a3e7-eebb7f66c4e9.jpg?v=1670581925",1)</f>
        <v/>
      </c>
      <c r="C275" s="216">
        <v>5.0</v>
      </c>
    </row>
    <row r="276" ht="45.0" hidden="1" customHeight="1">
      <c r="A276" s="93" t="s">
        <v>1627</v>
      </c>
      <c r="B276" s="11" t="str">
        <f>IMAGE("https://m.media-amazon.com/images/W/MEDIAX_792452-T2/images/I/419leG1YjXL.jpg",1)</f>
        <v/>
      </c>
      <c r="C276" s="216">
        <v>10.0</v>
      </c>
    </row>
    <row r="277" ht="45.0" hidden="1" customHeight="1">
      <c r="A277" s="93" t="s">
        <v>1633</v>
      </c>
      <c r="B277" s="11" t="str">
        <f>IMAGE("https://i0.wp.com/armsol.in/wp-content/uploads/2021/08/1-5-rotated.jpg?fit=600%2C600&amp;ssl=1",1)</f>
        <v/>
      </c>
      <c r="C277" s="216">
        <v>10.0</v>
      </c>
    </row>
    <row r="278" ht="45.0" hidden="1" customHeight="1">
      <c r="A278" s="93" t="s">
        <v>1988</v>
      </c>
      <c r="B278" s="11" t="str">
        <f>IMAGE("https://www.voltaat.com/cdn/shop/products/voltaat-soldering-board-5cm-x-7cm-10728457568358_1024x1024.jpg?v=1628445244")</f>
        <v/>
      </c>
      <c r="C278" s="216">
        <v>30.0</v>
      </c>
    </row>
    <row r="279" ht="45.0" hidden="1" customHeight="1">
      <c r="A279" s="93" t="s">
        <v>1989</v>
      </c>
      <c r="B279" s="11" t="str">
        <f>IMAGE("https://m.media-amazon.com/images/W/MEDIAX_792452-T2/images/I/91hMIBtDtPS._SL1500_.jpg")</f>
        <v/>
      </c>
      <c r="C279" s="216">
        <v>10.0</v>
      </c>
    </row>
    <row r="280" ht="45.0" hidden="1" customHeight="1">
      <c r="A280" s="93" t="s">
        <v>1646</v>
      </c>
      <c r="B280" s="11" t="str">
        <f>IMAGE("https://5.imimg.com/data5/SELLER/Default/2022/1/IK/KY/AC/131638211/31tvrpe7ijl-500x500.jpg")</f>
        <v/>
      </c>
      <c r="C280" s="216">
        <v>5.0</v>
      </c>
    </row>
    <row r="281" ht="45.0" hidden="1" customHeight="1">
      <c r="A281" s="93" t="s">
        <v>1650</v>
      </c>
      <c r="B281" s="11" t="str">
        <f>IMAGE("https://i0.wp.com/roboticsdna.in/wp-content/uploads/2020/11/IRON-TIP-1.png?fit=1000%2C1000&amp;ssl=1",1)</f>
        <v/>
      </c>
      <c r="C281" s="216">
        <v>10.0</v>
      </c>
    </row>
    <row r="282" ht="45.0" hidden="1" customHeight="1">
      <c r="A282" s="93" t="s">
        <v>1654</v>
      </c>
      <c r="B282" s="11" t="str">
        <f>IMAGE("https://www.toolworld.in/storage/media/product/1656317774.jpg",1)</f>
        <v/>
      </c>
      <c r="C282" s="216">
        <v>10.0</v>
      </c>
    </row>
    <row r="283" ht="45.0" hidden="1" customHeight="1">
      <c r="A283" s="93" t="s">
        <v>1658</v>
      </c>
      <c r="B283" s="11" t="str">
        <f>IMAGE("https://m.media-amazon.com/images/W/MEDIAX_792452-T2/images/I/41OjS3jnL4L.jpg",1)</f>
        <v/>
      </c>
      <c r="C283" s="216">
        <v>10.0</v>
      </c>
    </row>
    <row r="284" ht="45.0" hidden="1" customHeight="1">
      <c r="A284" s="93" t="s">
        <v>1662</v>
      </c>
      <c r="B284" s="11" t="str">
        <f>IMAGE("https://m.media-amazon.com/images/W/MEDIAX_792452-T2/images/I/61gvV3Wc-NL._SL1024_.jpg")</f>
        <v/>
      </c>
      <c r="C284" s="216">
        <v>2.0</v>
      </c>
    </row>
    <row r="285" ht="45.0" hidden="1" customHeight="1">
      <c r="A285" s="93" t="s">
        <v>1666</v>
      </c>
      <c r="B285" s="11" t="str">
        <f>IMAGE("https://robu.in/wp-content/uploads/2015/10/Soldron-25-Watt-Iron-Soldering-Gun-5.jpg")</f>
        <v/>
      </c>
      <c r="C285" s="216">
        <v>10.0</v>
      </c>
    </row>
    <row r="286" ht="45.0" hidden="1" customHeight="1">
      <c r="A286" s="93" t="s">
        <v>1670</v>
      </c>
      <c r="B286" s="11" t="str">
        <f>IMAGE("https://m.media-amazon.com/images/I/71Nb2wKaZgS._SL1500_.jpg", 1)</f>
        <v/>
      </c>
      <c r="C286" s="216">
        <v>1.0</v>
      </c>
    </row>
    <row r="287" ht="45.0" hidden="1" customHeight="1">
      <c r="A287" s="93" t="s">
        <v>1674</v>
      </c>
      <c r="B287" s="11" t="str">
        <f>IMAGE("https://m.media-amazon.com/images/W/MEDIAX_792452-T2/images/I/511g3IePVzL.jpg",1)</f>
        <v/>
      </c>
      <c r="C287" s="216">
        <v>10.0</v>
      </c>
    </row>
    <row r="288" ht="45.0" hidden="1" customHeight="1">
      <c r="A288" s="93" t="s">
        <v>1678</v>
      </c>
      <c r="B288" s="11" t="str">
        <f>IMAGE("https://5.imimg.com/data5/FT/MG/MY-9316309/soldering-wire-500x500.jpg",1)</f>
        <v/>
      </c>
      <c r="C288" s="216">
        <v>10.0</v>
      </c>
    </row>
    <row r="289" ht="45.0" hidden="1" customHeight="1">
      <c r="A289" s="93" t="s">
        <v>324</v>
      </c>
      <c r="B289" s="11" t="str">
        <f>IMAGE("https://5.imimg.com/data5/PL/FV/MY-11916319/synthetic-angle-broom-500x500.jpg",1)</f>
        <v/>
      </c>
      <c r="C289" s="11">
        <v>1.0</v>
      </c>
    </row>
    <row r="290" ht="45.0" hidden="1" customHeight="1">
      <c r="A290" s="93" t="s">
        <v>329</v>
      </c>
      <c r="B290" s="11" t="str">
        <f>IMAGE("https://m.media-amazon.com/images/W/MEDIAX_792452-T2/images/I/61z4uqZdmPL._AC_UF1000,1000_QL80_.jpg",1)</f>
        <v/>
      </c>
      <c r="C290" s="11">
        <v>1.0</v>
      </c>
    </row>
    <row r="291" ht="45.0" hidden="1" customHeight="1">
      <c r="A291" s="93" t="s">
        <v>333</v>
      </c>
      <c r="B291" s="11" t="str">
        <f>IMAGE("https://m.media-amazon.com/images/W/MEDIAX_792452-T2/images/I/61Njm4X2d2L._AC_UF1000,1000_QL80_.jpg",1)</f>
        <v/>
      </c>
      <c r="C291" s="11">
        <v>5.0</v>
      </c>
    </row>
    <row r="292" ht="45.0" hidden="1" customHeight="1">
      <c r="A292" s="93" t="s">
        <v>341</v>
      </c>
      <c r="B292" s="11" t="str">
        <f>IMAGE("https://rukminim2.flixcart.com/image/850/1000/kshtxu80/dustbin/p/l/y/swaccha-bharat-champaign-dry-and-wet-waste-bins-small-11ltr-original-imag6fnfj6pqmsba.jpeg?q=20",1)</f>
        <v/>
      </c>
      <c r="C292" s="11">
        <v>3.0</v>
      </c>
    </row>
    <row r="293" ht="45.0" hidden="1" customHeight="1">
      <c r="A293" s="93" t="s">
        <v>1959</v>
      </c>
      <c r="B293" s="11" t="str">
        <f>IMAGE("https://www.220converters.com/resize/Shared/images/Product/Seven-Star-ES5C-220-Volt-Universal-5-Outlet-Power-Strip-With-Surge-Protection-220V-240V/es5c.jpg?bw=500&amp;bh=500",1)</f>
        <v/>
      </c>
      <c r="C293" s="216">
        <v>6.0</v>
      </c>
    </row>
    <row r="294" ht="45.0" hidden="1" customHeight="1">
      <c r="A294" s="93" t="s">
        <v>970</v>
      </c>
      <c r="B294" s="11" t="str">
        <f>IMAGE("https://www.jiomart.com/images/product/original/491503417/mi-home-security-camera-digital-o491503417-p590045677-0-202010110622.jpeg")</f>
        <v/>
      </c>
      <c r="C294" s="216">
        <v>1.0</v>
      </c>
    </row>
    <row r="295" ht="45.0" customHeight="1">
      <c r="A295" s="272" t="s">
        <v>2171</v>
      </c>
      <c r="B295" s="275"/>
      <c r="C295" s="274">
        <v>2.0</v>
      </c>
      <c r="D295" s="301"/>
      <c r="E295" s="301"/>
      <c r="F295" s="301"/>
      <c r="G295" s="301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  <c r="AC295" s="301"/>
      <c r="AD295" s="301"/>
      <c r="AE295" s="301"/>
      <c r="AF295" s="301"/>
      <c r="AG295" s="301"/>
      <c r="AH295" s="301"/>
      <c r="AI295" s="301"/>
      <c r="AJ295" s="301"/>
    </row>
    <row r="296" ht="45.0" customHeight="1">
      <c r="A296" s="93" t="s">
        <v>140</v>
      </c>
      <c r="B296" s="11" t="e">
        <v>#VALUE!</v>
      </c>
      <c r="C296" s="11">
        <v>1.0</v>
      </c>
      <c r="D296" s="301"/>
      <c r="E296" s="301"/>
      <c r="F296" s="301"/>
      <c r="G296" s="301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  <c r="AD296" s="301"/>
      <c r="AE296" s="301"/>
      <c r="AF296" s="301"/>
      <c r="AG296" s="301"/>
      <c r="AH296" s="301"/>
      <c r="AI296" s="301"/>
      <c r="AJ296" s="301"/>
    </row>
    <row r="297" ht="45.0" customHeight="1">
      <c r="A297" s="93" t="s">
        <v>155</v>
      </c>
      <c r="B297" s="11" t="str">
        <f>IMAGE("https://m.media-amazon.com/images/I/61Zlcg+2mNL.jpg")</f>
        <v/>
      </c>
      <c r="C297" s="216">
        <v>1.0</v>
      </c>
      <c r="D297" s="301"/>
      <c r="E297" s="301"/>
      <c r="F297" s="301"/>
      <c r="G297" s="301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  <c r="AB297" s="301"/>
      <c r="AC297" s="301"/>
      <c r="AD297" s="301"/>
      <c r="AE297" s="301"/>
      <c r="AF297" s="301"/>
      <c r="AG297" s="301"/>
      <c r="AH297" s="301"/>
      <c r="AI297" s="301"/>
      <c r="AJ297" s="301"/>
    </row>
    <row r="298" ht="45.0" customHeight="1">
      <c r="A298" s="93" t="s">
        <v>159</v>
      </c>
      <c r="B298" s="11" t="str">
        <f>IMAGE("https://c1.neweggimages.com/Productimage/24-001-864-04.jpg",1)</f>
        <v/>
      </c>
      <c r="C298" s="216">
        <v>1.0</v>
      </c>
      <c r="D298" s="301"/>
      <c r="E298" s="301"/>
      <c r="F298" s="301"/>
      <c r="G298" s="301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  <c r="AB298" s="301"/>
      <c r="AC298" s="301"/>
      <c r="AD298" s="301"/>
      <c r="AE298" s="301"/>
      <c r="AF298" s="301"/>
      <c r="AG298" s="301"/>
      <c r="AH298" s="301"/>
      <c r="AI298" s="301"/>
      <c r="AJ298" s="301"/>
    </row>
    <row r="299" ht="45.0" customHeight="1">
      <c r="A299" s="93" t="s">
        <v>163</v>
      </c>
      <c r="B299" s="11" t="str">
        <f>IMAGE("https://m.media-amazon.com/images/I/6100FnINmsL._SL1468_.jpg",1)</f>
        <v/>
      </c>
      <c r="C299" s="216">
        <v>1.0</v>
      </c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  <c r="AD299" s="301"/>
      <c r="AE299" s="301"/>
      <c r="AF299" s="301"/>
      <c r="AG299" s="301"/>
      <c r="AH299" s="301"/>
      <c r="AI299" s="301"/>
      <c r="AJ299" s="301"/>
    </row>
    <row r="300" ht="45.0" customHeight="1">
      <c r="A300" s="93" t="s">
        <v>167</v>
      </c>
      <c r="B300" s="11" t="str">
        <f>IMAGE("https://encrypted-tbn1.gstatic.com/shopping?q=tbn:ANd9GcSwk1vUmWwFhmXgluT27_kpt_1XbFeMGM9voPktN2V8FycBha0_9qycLyoE5G3LsPm9IAaz9ZK9JsFmIAo5gwJtywrUheHD9Zzv6NIaMNLbw1go2XSC6Z0l&amp;usqp=CAE",1)</f>
        <v/>
      </c>
      <c r="C300" s="216">
        <v>1.0</v>
      </c>
      <c r="D300" s="301"/>
      <c r="E300" s="301"/>
      <c r="F300" s="301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  <c r="AC300" s="301"/>
      <c r="AD300" s="301"/>
      <c r="AE300" s="301"/>
      <c r="AF300" s="301"/>
      <c r="AG300" s="301"/>
      <c r="AH300" s="301"/>
      <c r="AI300" s="301"/>
      <c r="AJ300" s="301"/>
    </row>
    <row r="301" ht="45.0" customHeight="1">
      <c r="A301" s="93" t="s">
        <v>171</v>
      </c>
      <c r="B301" s="11" t="str">
        <f>IMAGE("https://www.designinfo.in/wp-content/uploads/nc/p/5/1/4/9/0/51490-485x485.jpg",1)</f>
        <v/>
      </c>
      <c r="C301" s="216">
        <v>1.0</v>
      </c>
      <c r="D301" s="301"/>
      <c r="E301" s="301"/>
      <c r="F301" s="301"/>
      <c r="G301" s="301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  <c r="AC301" s="301"/>
      <c r="AD301" s="301"/>
      <c r="AE301" s="301"/>
      <c r="AF301" s="301"/>
      <c r="AG301" s="301"/>
      <c r="AH301" s="301"/>
      <c r="AI301" s="301"/>
      <c r="AJ301" s="301"/>
    </row>
    <row r="302" ht="45.0" customHeight="1">
      <c r="A302" s="93" t="s">
        <v>245</v>
      </c>
      <c r="B302" s="11" t="str">
        <f>IMAGE("https://m.media-amazon.com/images/I/61YPX7I4aSL._SL1500_.jpg",1)</f>
        <v/>
      </c>
      <c r="C302" s="11">
        <v>1.0</v>
      </c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  <c r="AE302" s="301"/>
      <c r="AF302" s="301"/>
      <c r="AG302" s="301"/>
      <c r="AH302" s="301"/>
      <c r="AI302" s="301"/>
      <c r="AJ302" s="301"/>
    </row>
    <row r="303" ht="45.0" customHeight="1">
      <c r="A303" s="93" t="s">
        <v>974</v>
      </c>
      <c r="B303" s="11" t="str">
        <f>IMAGE("https://cdn.ttgtmedia.com/rms/onlineimages/hp_elitebook_mobile.jpg",1)</f>
        <v/>
      </c>
      <c r="C303" s="216">
        <v>1.0</v>
      </c>
      <c r="D303" s="301"/>
      <c r="E303" s="301"/>
      <c r="F303" s="301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  <c r="AB303" s="301"/>
      <c r="AC303" s="301"/>
      <c r="AD303" s="301"/>
      <c r="AE303" s="301"/>
      <c r="AF303" s="301"/>
      <c r="AG303" s="301"/>
      <c r="AH303" s="301"/>
      <c r="AI303" s="301"/>
      <c r="AJ303" s="301"/>
    </row>
    <row r="304" ht="45.0" customHeight="1">
      <c r="A304" s="93" t="s">
        <v>977</v>
      </c>
      <c r="B304" s="11" t="str">
        <f>IMAGE("https://m.media-amazon.com/images/W/MEDIAX_792452-T2/images/I/51UzU+2x3OS._SL1000_.jpg")</f>
        <v/>
      </c>
      <c r="C304" s="216">
        <v>1.0</v>
      </c>
      <c r="D304" s="301"/>
      <c r="E304" s="301"/>
      <c r="F304" s="301"/>
      <c r="G304" s="301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  <c r="AB304" s="301"/>
      <c r="AC304" s="301"/>
      <c r="AD304" s="301"/>
      <c r="AE304" s="301"/>
      <c r="AF304" s="301"/>
      <c r="AG304" s="301"/>
      <c r="AH304" s="301"/>
      <c r="AI304" s="301"/>
      <c r="AJ304" s="301"/>
    </row>
    <row r="305" ht="45.0" hidden="1" customHeight="1">
      <c r="A305" s="93" t="s">
        <v>1475</v>
      </c>
      <c r="B305" s="11" t="str">
        <f>IMAGE("https://rukminim1.flixcart.com/image/416/416/jj367bk0/fire-extinguisher-mount/w/s/y/2-kg-abc-type-fire-extinguisher-safepro-original-imaf6h7fkdngmbqd.jpeg?q=70",1)</f>
        <v/>
      </c>
      <c r="C305" s="216">
        <v>1.0</v>
      </c>
    </row>
    <row r="306" ht="45.0" hidden="1" customHeight="1">
      <c r="A306" s="93" t="s">
        <v>1481</v>
      </c>
      <c r="B306" s="11" t="str">
        <f>IMAGE("https://m.media-amazon.com/images/I/61UHX6mp+wL._AC_UF894,1000_QL80_.jpg",1)</f>
        <v/>
      </c>
      <c r="C306" s="216">
        <v>1.0</v>
      </c>
    </row>
    <row r="307" ht="45.0" hidden="1" customHeight="1">
      <c r="A307" s="93" t="s">
        <v>1485</v>
      </c>
      <c r="B307" s="11" t="str">
        <f>IMAGE("https://m.media-amazon.com/images/I/41yRsXk89rS._SX355_.jpg",1)</f>
        <v/>
      </c>
      <c r="C307" s="216">
        <v>1.0</v>
      </c>
    </row>
    <row r="308" ht="45.0" hidden="1" customHeight="1">
      <c r="A308" s="93" t="s">
        <v>1489</v>
      </c>
      <c r="B308" s="11" t="str">
        <f>IMAGE("https://5.imimg.com/data5/AR/LM/NG/SELLER-21409398/lab-uniform-500x500.jpg",1)</f>
        <v/>
      </c>
      <c r="C308" s="11">
        <v>5.0</v>
      </c>
    </row>
    <row r="309" ht="45.0" hidden="1" customHeight="1">
      <c r="A309" s="93" t="s">
        <v>1493</v>
      </c>
      <c r="B309" s="11" t="str">
        <f>IMAGE("https://cdn.moglix.com/p/oBWcDtePyNEFP.jpg",1)</f>
        <v/>
      </c>
      <c r="C309" s="216">
        <v>2.0</v>
      </c>
    </row>
    <row r="310" ht="45.0" hidden="1" customHeight="1">
      <c r="A310" s="93" t="s">
        <v>1497</v>
      </c>
      <c r="B310" s="11" t="str">
        <f>IMAGE("https://5.imimg.com/data5/SELLER/Default/2023/5/311302937/IM/IY/MO/34533827/safety-rubber-apron-1000x1000.jpg", 1)</f>
        <v/>
      </c>
      <c r="C310" s="11">
        <v>5.0</v>
      </c>
    </row>
    <row r="311" ht="45.0" hidden="1" customHeight="1">
      <c r="A311" s="93" t="s">
        <v>1501</v>
      </c>
      <c r="B311" s="11" t="str">
        <f>IMAGE("https://5.imimg.com/data5/DM/UP/MY-3422722/latex-coated-gloves-500x500.jpg",1)</f>
        <v/>
      </c>
      <c r="C311" s="216">
        <v>15.0</v>
      </c>
    </row>
    <row r="312" ht="45.0" hidden="1" customHeight="1">
      <c r="A312" s="93" t="s">
        <v>1505</v>
      </c>
      <c r="B312" s="11" t="str">
        <f>IMAGE("https://5.imimg.com/data5/RD/NQ/ZF/SELLER-67911650/safety-goggles.jpg")</f>
        <v/>
      </c>
      <c r="C312" s="216">
        <v>30.0</v>
      </c>
    </row>
    <row r="313" ht="45.0" hidden="1" customHeight="1">
      <c r="A313" s="93" t="s">
        <v>1509</v>
      </c>
      <c r="B313" s="11" t="str">
        <f>IMAGE("https://img2.exportersindia.com/product_images/bc-full/dir_151/4514764/dust-masks-1499837104-3125900.jpg",1)</f>
        <v/>
      </c>
      <c r="C313" s="216">
        <v>60.0</v>
      </c>
    </row>
    <row r="314" ht="45.0" customHeight="1">
      <c r="A314" s="93" t="s">
        <v>151</v>
      </c>
      <c r="B314" s="11" t="str">
        <f>IMAGE("https://m.media-amazon.com/images/I/51KO2QtXE8L._SL1000_.jpg", 1)</f>
        <v/>
      </c>
      <c r="C314" s="216">
        <v>2.0</v>
      </c>
      <c r="D314" s="301"/>
      <c r="E314" s="301"/>
      <c r="F314" s="301"/>
      <c r="G314" s="301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  <c r="AB314" s="301"/>
      <c r="AC314" s="301"/>
      <c r="AD314" s="301"/>
      <c r="AE314" s="301"/>
      <c r="AF314" s="301"/>
      <c r="AG314" s="301"/>
      <c r="AH314" s="301"/>
      <c r="AI314" s="301"/>
      <c r="AJ314" s="301"/>
    </row>
    <row r="315" ht="45.0" customHeight="1">
      <c r="A315" s="283" t="s">
        <v>2173</v>
      </c>
      <c r="B315" s="275"/>
      <c r="C315" s="285">
        <v>1.0</v>
      </c>
      <c r="D315" s="301"/>
      <c r="E315" s="301"/>
      <c r="F315" s="301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  <c r="AB315" s="301"/>
      <c r="AC315" s="301"/>
      <c r="AD315" s="301"/>
      <c r="AE315" s="301"/>
      <c r="AF315" s="301"/>
      <c r="AG315" s="301"/>
      <c r="AH315" s="301"/>
      <c r="AI315" s="301"/>
      <c r="AJ315" s="301"/>
    </row>
    <row r="316" ht="45.0" customHeight="1">
      <c r="A316" s="288" t="s">
        <v>2175</v>
      </c>
      <c r="B316" s="275"/>
      <c r="C316" s="290">
        <v>1.0</v>
      </c>
      <c r="D316" s="301"/>
      <c r="E316" s="301"/>
      <c r="F316" s="301"/>
      <c r="G316" s="301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  <c r="AB316" s="301"/>
      <c r="AC316" s="301"/>
      <c r="AD316" s="301"/>
      <c r="AE316" s="301"/>
      <c r="AF316" s="301"/>
      <c r="AG316" s="301"/>
      <c r="AH316" s="301"/>
      <c r="AI316" s="301"/>
      <c r="AJ316" s="301"/>
    </row>
    <row r="317" ht="45.0" customHeight="1">
      <c r="A317" s="283" t="s">
        <v>2176</v>
      </c>
      <c r="B317" s="275"/>
      <c r="C317" s="285">
        <v>1.0</v>
      </c>
      <c r="D317" s="305"/>
      <c r="E317" s="305"/>
      <c r="F317" s="305"/>
      <c r="G317" s="305"/>
      <c r="H317" s="305"/>
      <c r="I317" s="305"/>
      <c r="J317" s="305"/>
      <c r="K317" s="305"/>
      <c r="L317" s="305"/>
      <c r="M317" s="305"/>
      <c r="N317" s="305"/>
      <c r="O317" s="305"/>
      <c r="P317" s="305"/>
      <c r="Q317" s="305"/>
      <c r="R317" s="305"/>
      <c r="S317" s="305"/>
      <c r="T317" s="305"/>
      <c r="U317" s="305"/>
      <c r="V317" s="305"/>
      <c r="W317" s="305"/>
      <c r="X317" s="305"/>
      <c r="Y317" s="305"/>
      <c r="Z317" s="305"/>
      <c r="AA317" s="305"/>
      <c r="AB317" s="305"/>
      <c r="AC317" s="305"/>
      <c r="AD317" s="305"/>
      <c r="AE317" s="305"/>
      <c r="AF317" s="305"/>
      <c r="AG317" s="305"/>
      <c r="AH317" s="305"/>
      <c r="AI317" s="305"/>
      <c r="AJ317" s="305"/>
    </row>
    <row r="318" ht="45.0" customHeight="1">
      <c r="A318" s="288" t="s">
        <v>2177</v>
      </c>
      <c r="B318" s="275"/>
      <c r="C318" s="290">
        <v>1.0</v>
      </c>
      <c r="D318" s="301"/>
      <c r="E318" s="301"/>
      <c r="F318" s="301"/>
      <c r="G318" s="301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  <c r="AB318" s="301"/>
      <c r="AC318" s="301"/>
      <c r="AD318" s="301"/>
      <c r="AE318" s="301"/>
      <c r="AF318" s="301"/>
      <c r="AG318" s="301"/>
      <c r="AH318" s="301"/>
      <c r="AI318" s="301"/>
      <c r="AJ318" s="301"/>
    </row>
    <row r="319" ht="45.0" customHeight="1">
      <c r="A319" s="283" t="s">
        <v>2178</v>
      </c>
      <c r="B319" s="275"/>
      <c r="C319" s="285">
        <v>10.0</v>
      </c>
      <c r="D319" s="301"/>
      <c r="E319" s="301"/>
      <c r="F319" s="301"/>
      <c r="G319" s="301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  <c r="AC319" s="301"/>
      <c r="AD319" s="301"/>
      <c r="AE319" s="301"/>
      <c r="AF319" s="301"/>
      <c r="AG319" s="301"/>
      <c r="AH319" s="301"/>
      <c r="AI319" s="301"/>
      <c r="AJ319" s="301"/>
    </row>
    <row r="320" ht="45.0" customHeight="1">
      <c r="A320" s="288" t="s">
        <v>2179</v>
      </c>
      <c r="B320" s="275"/>
      <c r="C320" s="290">
        <v>2.0</v>
      </c>
      <c r="D320" s="301"/>
      <c r="E320" s="301"/>
      <c r="F320" s="301"/>
      <c r="G320" s="301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  <c r="AB320" s="301"/>
      <c r="AC320" s="301"/>
      <c r="AD320" s="301"/>
      <c r="AE320" s="301"/>
      <c r="AF320" s="301"/>
      <c r="AG320" s="301"/>
      <c r="AH320" s="301"/>
      <c r="AI320" s="301"/>
      <c r="AJ320" s="301"/>
    </row>
    <row r="321" ht="45.0" customHeight="1">
      <c r="A321" s="272" t="s">
        <v>2180</v>
      </c>
      <c r="B321" s="275"/>
      <c r="C321" s="274" t="s">
        <v>2181</v>
      </c>
      <c r="D321" s="301"/>
      <c r="E321" s="301"/>
      <c r="F321" s="301"/>
      <c r="G321" s="301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  <c r="AB321" s="301"/>
      <c r="AC321" s="301"/>
      <c r="AD321" s="301"/>
      <c r="AE321" s="301"/>
      <c r="AF321" s="301"/>
      <c r="AG321" s="301"/>
      <c r="AH321" s="301"/>
      <c r="AI321" s="301"/>
      <c r="AJ321" s="301"/>
    </row>
    <row r="322" ht="45.0" customHeight="1">
      <c r="A322" s="272" t="s">
        <v>2182</v>
      </c>
      <c r="B322" s="275"/>
      <c r="C322" s="274" t="s">
        <v>2183</v>
      </c>
      <c r="D322" s="301"/>
      <c r="E322" s="301"/>
      <c r="F322" s="301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  <c r="AB322" s="301"/>
      <c r="AC322" s="301"/>
      <c r="AD322" s="301"/>
      <c r="AE322" s="301"/>
      <c r="AF322" s="301"/>
      <c r="AG322" s="301"/>
      <c r="AH322" s="301"/>
      <c r="AI322" s="301"/>
      <c r="AJ322" s="301"/>
    </row>
    <row r="323" ht="45.0" customHeight="1">
      <c r="A323" s="272" t="s">
        <v>2184</v>
      </c>
      <c r="B323" s="275"/>
      <c r="C323" s="285">
        <v>20.0</v>
      </c>
      <c r="D323" s="301"/>
      <c r="E323" s="301"/>
      <c r="F323" s="301"/>
      <c r="G323" s="301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  <c r="AB323" s="301"/>
      <c r="AC323" s="301"/>
      <c r="AD323" s="301"/>
      <c r="AE323" s="301"/>
      <c r="AF323" s="301"/>
      <c r="AG323" s="301"/>
      <c r="AH323" s="301"/>
      <c r="AI323" s="301"/>
      <c r="AJ323" s="301"/>
    </row>
    <row r="324" ht="45.0" customHeight="1">
      <c r="A324" s="292" t="s">
        <v>2186</v>
      </c>
      <c r="B324" s="275"/>
      <c r="C324" s="285">
        <v>2.0</v>
      </c>
      <c r="D324" s="301"/>
      <c r="E324" s="301"/>
      <c r="F324" s="301"/>
      <c r="G324" s="301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  <c r="AB324" s="301"/>
      <c r="AC324" s="301"/>
      <c r="AD324" s="301"/>
      <c r="AE324" s="301"/>
      <c r="AF324" s="301"/>
      <c r="AG324" s="301"/>
      <c r="AH324" s="301"/>
      <c r="AI324" s="301"/>
      <c r="AJ324" s="301"/>
    </row>
    <row r="325" ht="45.0" customHeight="1">
      <c r="A325" s="93" t="s">
        <v>1172</v>
      </c>
      <c r="B325" s="11" t="str">
        <f>IMAGE("https://www.sigmaaldrich.com/deepweb/content/dam/sigma-aldrich/product2/017/wha2200110.tif/_jcr_content/renditions/wha2200110-large.jpg", 1)</f>
        <v/>
      </c>
      <c r="C325" s="255">
        <v>1.0</v>
      </c>
      <c r="D325" s="301"/>
      <c r="E325" s="301"/>
      <c r="F325" s="301"/>
      <c r="G325" s="301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  <c r="AB325" s="301"/>
      <c r="AC325" s="301"/>
      <c r="AD325" s="301"/>
      <c r="AE325" s="301"/>
      <c r="AF325" s="301"/>
      <c r="AG325" s="301"/>
      <c r="AH325" s="301"/>
      <c r="AI325" s="301"/>
      <c r="AJ325" s="301"/>
    </row>
    <row r="326" ht="45.0" customHeight="1">
      <c r="A326" s="93" t="s">
        <v>1184</v>
      </c>
      <c r="B326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C326" s="11">
        <v>1.0</v>
      </c>
      <c r="D326" s="301"/>
      <c r="E326" s="301"/>
      <c r="F326" s="301"/>
      <c r="G326" s="301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  <c r="AB326" s="301"/>
      <c r="AC326" s="301"/>
      <c r="AD326" s="301"/>
      <c r="AE326" s="301"/>
      <c r="AF326" s="301"/>
      <c r="AG326" s="301"/>
      <c r="AH326" s="301"/>
      <c r="AI326" s="301"/>
      <c r="AJ326" s="301"/>
    </row>
    <row r="327" ht="45.0" customHeight="1">
      <c r="A327" s="93" t="s">
        <v>1188</v>
      </c>
      <c r="B327" s="11" t="str">
        <f>IMAGE("https://m.media-amazon.com/images/I/61ra1C535pL._SL1500_.jpg", 1)</f>
        <v/>
      </c>
      <c r="C327" s="216">
        <v>1.0</v>
      </c>
      <c r="D327" s="301"/>
      <c r="E327" s="301"/>
      <c r="F327" s="301"/>
      <c r="G327" s="301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  <c r="AB327" s="301"/>
      <c r="AC327" s="301"/>
      <c r="AD327" s="301"/>
      <c r="AE327" s="301"/>
      <c r="AF327" s="301"/>
      <c r="AG327" s="301"/>
      <c r="AH327" s="301"/>
      <c r="AI327" s="301"/>
      <c r="AJ327" s="301"/>
    </row>
    <row r="328" ht="45.0" customHeight="1">
      <c r="A328" s="93" t="s">
        <v>2110</v>
      </c>
      <c r="B328" s="11" t="str">
        <f>IMAGE("https://5.imimg.com/data5/SB/TW/SA/SELLER-91497159/glass-beaker-500x500.jpg",1)</f>
        <v/>
      </c>
      <c r="C328" s="216">
        <v>10.0</v>
      </c>
      <c r="D328" s="305"/>
      <c r="E328" s="305"/>
      <c r="F328" s="305"/>
      <c r="G328" s="305"/>
      <c r="H328" s="305"/>
      <c r="I328" s="305"/>
      <c r="J328" s="305"/>
      <c r="K328" s="305"/>
      <c r="L328" s="305"/>
      <c r="M328" s="305"/>
      <c r="N328" s="305"/>
      <c r="O328" s="305"/>
      <c r="P328" s="305"/>
      <c r="Q328" s="305"/>
      <c r="R328" s="305"/>
      <c r="S328" s="305"/>
      <c r="T328" s="305"/>
      <c r="U328" s="305"/>
      <c r="V328" s="305"/>
      <c r="W328" s="305"/>
      <c r="X328" s="305"/>
      <c r="Y328" s="305"/>
      <c r="Z328" s="305"/>
      <c r="AA328" s="305"/>
      <c r="AB328" s="305"/>
      <c r="AC328" s="305"/>
      <c r="AD328" s="305"/>
      <c r="AE328" s="305"/>
      <c r="AF328" s="305"/>
      <c r="AG328" s="305"/>
      <c r="AH328" s="305"/>
      <c r="AI328" s="305"/>
      <c r="AJ328" s="305"/>
    </row>
    <row r="329" ht="45.0" customHeight="1">
      <c r="A329" s="93" t="s">
        <v>1160</v>
      </c>
      <c r="B329" s="11" t="str">
        <f>IMAGE("https://m.media-amazon.com/images/I/41vGxqzVasL.jpg",1)</f>
        <v/>
      </c>
      <c r="C329" s="11">
        <v>5.0</v>
      </c>
      <c r="D329" s="301"/>
      <c r="E329" s="301"/>
      <c r="F329" s="301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  <c r="AB329" s="301"/>
      <c r="AC329" s="301"/>
      <c r="AD329" s="301"/>
      <c r="AE329" s="301"/>
      <c r="AF329" s="301"/>
      <c r="AG329" s="301"/>
      <c r="AH329" s="301"/>
      <c r="AI329" s="301"/>
      <c r="AJ329" s="301"/>
    </row>
    <row r="330" ht="45.0" customHeight="1">
      <c r="A330" s="93" t="s">
        <v>1164</v>
      </c>
      <c r="B330" s="11" t="str">
        <f>IMAGE("https://m.media-amazon.com/images/I/31b1KCUwqyL.jpg", 1)</f>
        <v/>
      </c>
      <c r="C330" s="216">
        <v>8.0</v>
      </c>
      <c r="D330" s="301"/>
      <c r="E330" s="301"/>
      <c r="F330" s="301"/>
      <c r="G330" s="301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  <c r="AB330" s="301"/>
      <c r="AC330" s="301"/>
      <c r="AD330" s="301"/>
      <c r="AE330" s="301"/>
      <c r="AF330" s="301"/>
      <c r="AG330" s="301"/>
      <c r="AH330" s="301"/>
      <c r="AI330" s="301"/>
      <c r="AJ330" s="301"/>
    </row>
    <row r="331" ht="45.0" customHeight="1">
      <c r="A331" s="93" t="s">
        <v>1176</v>
      </c>
      <c r="B331" s="11" t="str">
        <f>IMAGE("https://m.media-amazon.com/images/I/A1PFWcAysAL.jpg", 1)</f>
        <v/>
      </c>
      <c r="C331" s="216">
        <v>1.0</v>
      </c>
      <c r="D331" s="301"/>
      <c r="E331" s="301"/>
      <c r="F331" s="301"/>
      <c r="G331" s="301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  <c r="AB331" s="301"/>
      <c r="AC331" s="301"/>
      <c r="AD331" s="301"/>
      <c r="AE331" s="301"/>
      <c r="AF331" s="301"/>
      <c r="AG331" s="301"/>
      <c r="AH331" s="301"/>
      <c r="AI331" s="301"/>
      <c r="AJ331" s="301"/>
    </row>
    <row r="332" ht="45.0" customHeight="1">
      <c r="A332" s="93" t="s">
        <v>1205</v>
      </c>
      <c r="B332" s="11" t="str">
        <f>IMAGE("https://www.abdoslifesciences.com/wp-content/uploads/Abdos_Delhi2-107_P10911-to-P10918-2.png",1)</f>
        <v/>
      </c>
      <c r="C332" s="216">
        <v>30.0</v>
      </c>
      <c r="D332" s="301"/>
      <c r="E332" s="301"/>
      <c r="F332" s="301"/>
      <c r="G332" s="301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  <c r="AB332" s="301"/>
      <c r="AC332" s="301"/>
      <c r="AD332" s="301"/>
      <c r="AE332" s="301"/>
      <c r="AF332" s="301"/>
      <c r="AG332" s="301"/>
      <c r="AH332" s="301"/>
      <c r="AI332" s="301"/>
      <c r="AJ332" s="301"/>
    </row>
    <row r="333" ht="45.0" customHeight="1">
      <c r="A333" s="93" t="s">
        <v>1209</v>
      </c>
      <c r="B333" s="11" t="str">
        <f>IMAGE("https://pim-resources.coleparmer.com/product/l/dwk-life-sciences-kimble-dwk-kimble-babcock-pipettes-14663.jpg",1)</f>
        <v/>
      </c>
      <c r="C333" s="11">
        <v>2.0</v>
      </c>
      <c r="D333" s="301"/>
      <c r="E333" s="301"/>
      <c r="F333" s="301"/>
      <c r="G333" s="301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  <c r="AB333" s="301"/>
      <c r="AC333" s="301"/>
      <c r="AD333" s="301"/>
      <c r="AE333" s="301"/>
      <c r="AF333" s="301"/>
      <c r="AG333" s="301"/>
      <c r="AH333" s="301"/>
      <c r="AI333" s="301"/>
      <c r="AJ333" s="301"/>
    </row>
    <row r="334" ht="45.0" customHeight="1">
      <c r="A334" s="93" t="s">
        <v>1229</v>
      </c>
      <c r="B334" s="11" t="str">
        <f>IMAGE("https://m.media-amazon.com/images/I/51+vdFGMMML._SL1001_.jpg",1)</f>
        <v/>
      </c>
      <c r="C334" s="11">
        <v>1.0</v>
      </c>
      <c r="D334" s="301"/>
      <c r="E334" s="301"/>
      <c r="F334" s="301"/>
      <c r="G334" s="301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  <c r="AB334" s="301"/>
      <c r="AC334" s="301"/>
      <c r="AD334" s="301"/>
      <c r="AE334" s="301"/>
      <c r="AF334" s="301"/>
      <c r="AG334" s="301"/>
      <c r="AH334" s="301"/>
      <c r="AI334" s="301"/>
      <c r="AJ334" s="301"/>
    </row>
    <row r="335" ht="45.0" customHeight="1">
      <c r="A335" s="93" t="s">
        <v>1233</v>
      </c>
      <c r="B335" s="11" t="str">
        <f>IMAGE("https://5.imimg.com/data5/SELLER/Default/2022/10/RF/ME/PW/7444604/12x100mm-glass-test-tube-500x500.jpg", 1)</f>
        <v/>
      </c>
      <c r="C335" s="216">
        <v>10.0</v>
      </c>
      <c r="D335" s="301"/>
      <c r="E335" s="301"/>
      <c r="F335" s="301"/>
      <c r="G335" s="301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  <c r="AC335" s="301"/>
      <c r="AD335" s="301"/>
      <c r="AE335" s="301"/>
      <c r="AF335" s="301"/>
      <c r="AG335" s="301"/>
      <c r="AH335" s="301"/>
      <c r="AI335" s="301"/>
      <c r="AJ335" s="301"/>
    </row>
    <row r="336" ht="45.0" customHeight="1">
      <c r="A336" s="93" t="s">
        <v>1237</v>
      </c>
      <c r="B336" s="11" t="str">
        <f>IMAGE("https://www.abdoslifesciences.com/wp-content/uploads/p10.jpg", 1)</f>
        <v/>
      </c>
      <c r="C336" s="216">
        <v>2.0</v>
      </c>
      <c r="D336" s="301"/>
      <c r="E336" s="301"/>
      <c r="F336" s="301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  <c r="AB336" s="301"/>
      <c r="AC336" s="301"/>
      <c r="AD336" s="301"/>
      <c r="AE336" s="301"/>
      <c r="AF336" s="301"/>
      <c r="AG336" s="301"/>
      <c r="AH336" s="301"/>
      <c r="AI336" s="301"/>
      <c r="AJ336" s="301"/>
    </row>
    <row r="337" ht="45.0" customHeight="1">
      <c r="A337" s="93" t="s">
        <v>1245</v>
      </c>
      <c r="B337" s="11" t="str">
        <f>IMAGE("https://m.media-amazon.com/images/I/31U00ndDv2L._SX679_.jpg",1)</f>
        <v/>
      </c>
      <c r="C337" s="11">
        <v>10.0</v>
      </c>
      <c r="D337" s="301"/>
      <c r="E337" s="301"/>
      <c r="F337" s="301"/>
      <c r="G337" s="301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  <c r="AB337" s="301"/>
      <c r="AC337" s="301"/>
      <c r="AD337" s="301"/>
      <c r="AE337" s="301"/>
      <c r="AF337" s="301"/>
      <c r="AG337" s="301"/>
      <c r="AH337" s="301"/>
      <c r="AI337" s="301"/>
      <c r="AJ337" s="301"/>
    </row>
    <row r="338" ht="45.0" customHeight="1">
      <c r="A338" s="93" t="s">
        <v>1168</v>
      </c>
      <c r="B338" s="11" t="str">
        <f>IMAGE("https://m.media-amazon.com/images/W/MEDIAX_792452-T2/images/I/71veIL4opPL.jpg",1)</f>
        <v/>
      </c>
      <c r="C338" s="11">
        <v>2.0</v>
      </c>
      <c r="D338" s="301"/>
      <c r="E338" s="301"/>
      <c r="F338" s="301"/>
      <c r="G338" s="301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  <c r="AB338" s="301"/>
      <c r="AC338" s="301"/>
      <c r="AD338" s="301"/>
      <c r="AE338" s="301"/>
      <c r="AF338" s="301"/>
      <c r="AG338" s="301"/>
      <c r="AH338" s="301"/>
      <c r="AI338" s="301"/>
      <c r="AJ338" s="301"/>
    </row>
    <row r="339" ht="45.0" customHeight="1">
      <c r="A339" s="93" t="s">
        <v>1213</v>
      </c>
      <c r="B339" s="11" t="str">
        <f>IMAGE("https://5.imimg.com/data5/QC/NX/MY-932240/clear-plastic-funnel-250x250.jpg", 1)</f>
        <v/>
      </c>
      <c r="C339" s="216">
        <v>10.0</v>
      </c>
      <c r="D339" s="301"/>
      <c r="E339" s="301"/>
      <c r="F339" s="301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  <c r="AB339" s="301"/>
      <c r="AC339" s="301"/>
      <c r="AD339" s="301"/>
      <c r="AE339" s="301"/>
      <c r="AF339" s="301"/>
      <c r="AG339" s="301"/>
      <c r="AH339" s="301"/>
      <c r="AI339" s="301"/>
      <c r="AJ339" s="301"/>
    </row>
    <row r="340" ht="45.0" customHeight="1">
      <c r="A340" s="93" t="s">
        <v>1217</v>
      </c>
      <c r="B340" s="11" t="str">
        <f>IMAGE("https://www.reagecon.com/product/image/medium/6267270_1.jpg",1)</f>
        <v/>
      </c>
      <c r="C340" s="216">
        <v>10.0</v>
      </c>
      <c r="D340" s="301"/>
      <c r="E340" s="301"/>
      <c r="F340" s="301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  <c r="AB340" s="301"/>
      <c r="AC340" s="301"/>
      <c r="AD340" s="301"/>
      <c r="AE340" s="301"/>
      <c r="AF340" s="301"/>
      <c r="AG340" s="301"/>
      <c r="AH340" s="301"/>
      <c r="AI340" s="301"/>
      <c r="AJ340" s="301"/>
    </row>
    <row r="341" ht="45.0" customHeight="1">
      <c r="A341" s="93" t="s">
        <v>1225</v>
      </c>
      <c r="B341" s="11" t="str">
        <f>IMAGE("https://5.imimg.com/data5/GX/OE/MY-972879/30ml-specimen-container-500x500.jpg", 1)</f>
        <v/>
      </c>
      <c r="C341" s="216">
        <v>100.0</v>
      </c>
      <c r="D341" s="301"/>
      <c r="E341" s="301"/>
      <c r="F341" s="301"/>
      <c r="G341" s="301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  <c r="AB341" s="301"/>
      <c r="AC341" s="301"/>
      <c r="AD341" s="301"/>
      <c r="AE341" s="301"/>
      <c r="AF341" s="301"/>
      <c r="AG341" s="301"/>
      <c r="AH341" s="301"/>
      <c r="AI341" s="301"/>
      <c r="AJ341" s="301"/>
    </row>
    <row r="342" ht="45.0" customHeight="1">
      <c r="A342" s="93" t="s">
        <v>1241</v>
      </c>
      <c r="B342" s="11" t="str">
        <f>IMAGE("https://www.abdoslifesciences.com/wp-content/uploads/Wash-Bottle-LDPE-day-20376.jpg", 1)</f>
        <v/>
      </c>
      <c r="C342" s="216">
        <v>2.0</v>
      </c>
      <c r="D342" s="301"/>
      <c r="E342" s="301"/>
      <c r="F342" s="301"/>
      <c r="G342" s="301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  <c r="AB342" s="301"/>
      <c r="AC342" s="301"/>
      <c r="AD342" s="301"/>
      <c r="AE342" s="301"/>
      <c r="AF342" s="301"/>
      <c r="AG342" s="301"/>
      <c r="AH342" s="301"/>
      <c r="AI342" s="301"/>
      <c r="AJ342" s="301"/>
    </row>
    <row r="343" ht="45.0" customHeight="1">
      <c r="A343" s="93" t="s">
        <v>1192</v>
      </c>
      <c r="B343" s="11" t="str">
        <f>IMAGE("https://5.imimg.com/data5/SI/VL/MY-6819814/multi-volume-adjustable-micropipette.jpg",1)</f>
        <v/>
      </c>
      <c r="C343" s="11">
        <v>1.0</v>
      </c>
      <c r="D343" s="301"/>
      <c r="E343" s="301"/>
      <c r="F343" s="301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  <c r="AB343" s="301"/>
      <c r="AC343" s="301"/>
      <c r="AD343" s="301"/>
      <c r="AE343" s="301"/>
      <c r="AF343" s="301"/>
      <c r="AG343" s="301"/>
      <c r="AH343" s="301"/>
      <c r="AI343" s="301"/>
      <c r="AJ343" s="301"/>
    </row>
    <row r="344" ht="45.0" customHeight="1">
      <c r="A344" s="93" t="s">
        <v>1196</v>
      </c>
      <c r="B344" s="11" t="str">
        <f>IMAGE("https://5.imimg.com/data5/SELLER/Default/2021/7/IF/DT/PV/116258883/microscope-cover-glass-250x250.JPG",1)</f>
        <v/>
      </c>
      <c r="C344" s="216">
        <v>1.0</v>
      </c>
      <c r="D344" s="301"/>
      <c r="E344" s="301"/>
      <c r="F344" s="301"/>
      <c r="G344" s="301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  <c r="AB344" s="301"/>
      <c r="AC344" s="301"/>
      <c r="AD344" s="301"/>
      <c r="AE344" s="301"/>
      <c r="AF344" s="301"/>
      <c r="AG344" s="301"/>
      <c r="AH344" s="301"/>
      <c r="AI344" s="301"/>
      <c r="AJ344" s="301"/>
    </row>
    <row r="345" ht="45.0" customHeight="1">
      <c r="A345" s="93" t="s">
        <v>1201</v>
      </c>
      <c r="B345" s="11" t="str">
        <f>IMAGE("https://5.imimg.com/data5/AZ/OD/EC/SELLER-20177713/laboratory-slides-500x500.jpg",1)</f>
        <v/>
      </c>
      <c r="C345" s="216">
        <v>1.0</v>
      </c>
      <c r="D345" s="301"/>
      <c r="E345" s="301"/>
      <c r="F345" s="301"/>
      <c r="G345" s="301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  <c r="AB345" s="301"/>
      <c r="AC345" s="301"/>
      <c r="AD345" s="301"/>
      <c r="AE345" s="301"/>
      <c r="AF345" s="301"/>
      <c r="AG345" s="301"/>
      <c r="AH345" s="301"/>
      <c r="AI345" s="301"/>
      <c r="AJ345" s="301"/>
    </row>
    <row r="346" ht="45.0" customHeight="1">
      <c r="A346" s="93" t="s">
        <v>1180</v>
      </c>
      <c r="B346" s="11" t="str">
        <f>IMAGE("https://www.domo.in/image/cache/catalog/nHance/LNSS4201/Display-228x228.jpg")</f>
        <v/>
      </c>
      <c r="C346" s="216">
        <v>20.0</v>
      </c>
      <c r="D346" s="301"/>
      <c r="E346" s="301"/>
      <c r="F346" s="301"/>
      <c r="G346" s="301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  <c r="AB346" s="301"/>
      <c r="AC346" s="301"/>
      <c r="AD346" s="301"/>
      <c r="AE346" s="301"/>
      <c r="AF346" s="301"/>
      <c r="AG346" s="301"/>
      <c r="AH346" s="301"/>
      <c r="AI346" s="301"/>
      <c r="AJ346" s="301"/>
    </row>
    <row r="347" ht="45.0" customHeight="1">
      <c r="A347" s="260" t="s">
        <v>1999</v>
      </c>
      <c r="B347" s="11"/>
      <c r="C347" s="216">
        <v>4.0</v>
      </c>
      <c r="D347" s="301"/>
      <c r="E347" s="301"/>
      <c r="F347" s="301"/>
      <c r="G347" s="301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  <c r="AB347" s="301"/>
      <c r="AC347" s="301"/>
      <c r="AD347" s="301"/>
      <c r="AE347" s="301"/>
      <c r="AF347" s="301"/>
      <c r="AG347" s="301"/>
      <c r="AH347" s="301"/>
      <c r="AI347" s="301"/>
      <c r="AJ347" s="301"/>
    </row>
    <row r="348" ht="45.0" customHeight="1">
      <c r="A348" s="37" t="s">
        <v>1270</v>
      </c>
      <c r="B348" s="11" t="str">
        <f>IMAGE("https://m.media-amazon.com/images/I/61USTYJ+OPL._SL1500_.jpg",1)</f>
        <v/>
      </c>
      <c r="C348" s="11">
        <v>1.0</v>
      </c>
      <c r="D348" s="301"/>
      <c r="E348" s="301"/>
      <c r="F348" s="301"/>
      <c r="G348" s="301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  <c r="AB348" s="301"/>
      <c r="AC348" s="301"/>
      <c r="AD348" s="301"/>
      <c r="AE348" s="301"/>
      <c r="AF348" s="301"/>
      <c r="AG348" s="301"/>
      <c r="AH348" s="301"/>
      <c r="AI348" s="301"/>
      <c r="AJ348" s="301"/>
    </row>
    <row r="349" ht="45.0" customHeight="1">
      <c r="A349" s="93" t="s">
        <v>1302</v>
      </c>
      <c r="B349" s="11" t="str">
        <f>IMAGE("https://5.imimg.com/data5/XG/YW/VV/SELLER-219478/hot-plate-round-250x250.jpg",1)</f>
        <v/>
      </c>
      <c r="C349" s="216">
        <v>1.0</v>
      </c>
      <c r="D349" s="301"/>
      <c r="E349" s="301"/>
      <c r="F349" s="301"/>
      <c r="G349" s="301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  <c r="AB349" s="301"/>
      <c r="AC349" s="301"/>
      <c r="AD349" s="301"/>
      <c r="AE349" s="301"/>
      <c r="AF349" s="301"/>
      <c r="AG349" s="301"/>
      <c r="AH349" s="301"/>
      <c r="AI349" s="301"/>
      <c r="AJ349" s="301"/>
    </row>
    <row r="350" ht="45.0" customHeight="1">
      <c r="A350" s="93" t="s">
        <v>1285</v>
      </c>
      <c r="B350" s="11"/>
      <c r="C350" s="11">
        <v>1.0</v>
      </c>
      <c r="D350" s="301"/>
      <c r="E350" s="301"/>
      <c r="F350" s="301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  <c r="AB350" s="301"/>
      <c r="AC350" s="301"/>
      <c r="AD350" s="301"/>
      <c r="AE350" s="301"/>
      <c r="AF350" s="301"/>
      <c r="AG350" s="301"/>
      <c r="AH350" s="301"/>
      <c r="AI350" s="301"/>
      <c r="AJ350" s="301"/>
    </row>
    <row r="351" ht="45.0" customHeight="1">
      <c r="A351" s="93" t="s">
        <v>1306</v>
      </c>
      <c r="B351" s="11" t="str">
        <f>IMAGE("https://image.made-in-china.com/202f0j00DeSTmvGBnZpR/Electronic-Weighing-Scale-Digital-Scale-of-High-Precision-HWA-.jpg",1)</f>
        <v/>
      </c>
      <c r="C351" s="216">
        <v>1.0</v>
      </c>
      <c r="D351" s="301"/>
      <c r="E351" s="301"/>
      <c r="F351" s="301"/>
      <c r="G351" s="301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  <c r="AB351" s="301"/>
      <c r="AC351" s="301"/>
      <c r="AD351" s="301"/>
      <c r="AE351" s="301"/>
      <c r="AF351" s="301"/>
      <c r="AG351" s="301"/>
      <c r="AH351" s="301"/>
      <c r="AI351" s="301"/>
      <c r="AJ351" s="301"/>
    </row>
    <row r="352" ht="45.0" customHeight="1">
      <c r="A352" s="93" t="s">
        <v>1310</v>
      </c>
      <c r="B352" s="11" t="str">
        <f>IMAGE("https://m.media-amazon.com/images/I/71-uBViGV+L._SX522_.jpg",1)</f>
        <v/>
      </c>
      <c r="C352" s="216">
        <v>1.0</v>
      </c>
      <c r="D352" s="301"/>
      <c r="E352" s="301"/>
      <c r="F352" s="301"/>
      <c r="G352" s="301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  <c r="AB352" s="301"/>
      <c r="AC352" s="301"/>
      <c r="AD352" s="301"/>
      <c r="AE352" s="301"/>
      <c r="AF352" s="301"/>
      <c r="AG352" s="301"/>
      <c r="AH352" s="301"/>
      <c r="AI352" s="301"/>
      <c r="AJ352" s="301"/>
    </row>
    <row r="353" ht="45.0" customHeight="1">
      <c r="A353" s="93" t="s">
        <v>1976</v>
      </c>
      <c r="B353" s="11" t="str">
        <f>IMAGE("https://m.media-amazon.com/images/I/71O3EMayekL.jpg",1)</f>
        <v/>
      </c>
      <c r="C353" s="216">
        <v>20.0</v>
      </c>
      <c r="D353" s="301"/>
      <c r="E353" s="301"/>
      <c r="F353" s="301"/>
      <c r="G353" s="301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  <c r="AB353" s="301"/>
      <c r="AC353" s="301"/>
      <c r="AD353" s="301"/>
      <c r="AE353" s="301"/>
      <c r="AF353" s="301"/>
      <c r="AG353" s="301"/>
      <c r="AH353" s="301"/>
      <c r="AI353" s="301"/>
      <c r="AJ353" s="301"/>
    </row>
    <row r="354" ht="45.0" customHeight="1">
      <c r="A354" s="93" t="s">
        <v>1314</v>
      </c>
      <c r="B354" s="11" t="str">
        <f>IMAGE("https://m.media-amazon.com/images/I/61MstERkLZL._SL1500_.jpg",1)</f>
        <v/>
      </c>
      <c r="C354" s="11">
        <v>1.0</v>
      </c>
      <c r="D354" s="301"/>
      <c r="E354" s="301"/>
      <c r="F354" s="301"/>
      <c r="G354" s="301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  <c r="AB354" s="301"/>
      <c r="AC354" s="301"/>
      <c r="AD354" s="301"/>
      <c r="AE354" s="301"/>
      <c r="AF354" s="301"/>
      <c r="AG354" s="301"/>
      <c r="AH354" s="301"/>
      <c r="AI354" s="301"/>
      <c r="AJ354" s="301"/>
    </row>
    <row r="355" ht="45.0" customHeight="1">
      <c r="A355" s="93" t="s">
        <v>1322</v>
      </c>
      <c r="B355" s="11" t="str">
        <f>IMAGE("https://m.media-amazon.com/images/I/61yYBr4qxBL._SL1276_.jpg",1)</f>
        <v/>
      </c>
      <c r="C355" s="216">
        <v>1.0</v>
      </c>
      <c r="D355" s="301"/>
      <c r="E355" s="301"/>
      <c r="F355" s="301"/>
      <c r="G355" s="301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  <c r="AB355" s="301"/>
      <c r="AC355" s="301"/>
      <c r="AD355" s="301"/>
      <c r="AE355" s="301"/>
      <c r="AF355" s="301"/>
      <c r="AG355" s="301"/>
      <c r="AH355" s="301"/>
      <c r="AI355" s="301"/>
      <c r="AJ355" s="301"/>
    </row>
    <row r="356" ht="45.0" customHeight="1">
      <c r="A356" s="283" t="s">
        <v>2190</v>
      </c>
      <c r="B356" s="275"/>
      <c r="C356" s="285">
        <v>2.0</v>
      </c>
      <c r="D356" s="301"/>
      <c r="E356" s="301"/>
      <c r="F356" s="301"/>
      <c r="G356" s="301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  <c r="AB356" s="301"/>
      <c r="AC356" s="301"/>
      <c r="AD356" s="301"/>
      <c r="AE356" s="301"/>
      <c r="AF356" s="301"/>
      <c r="AG356" s="301"/>
      <c r="AH356" s="301"/>
      <c r="AI356" s="301"/>
      <c r="AJ356" s="301"/>
    </row>
    <row r="357" ht="45.0" customHeight="1">
      <c r="A357" s="296" t="s">
        <v>2191</v>
      </c>
      <c r="B357" s="275"/>
      <c r="C357" s="290">
        <v>1.0</v>
      </c>
      <c r="D357" s="301"/>
      <c r="E357" s="301"/>
      <c r="F357" s="301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  <c r="AB357" s="301"/>
      <c r="AC357" s="301"/>
      <c r="AD357" s="301"/>
      <c r="AE357" s="301"/>
      <c r="AF357" s="301"/>
      <c r="AG357" s="301"/>
      <c r="AH357" s="301"/>
      <c r="AI357" s="301"/>
      <c r="AJ357" s="301"/>
    </row>
    <row r="358" ht="45.0" customHeight="1">
      <c r="A358" s="288" t="s">
        <v>2192</v>
      </c>
      <c r="B358" s="275"/>
      <c r="C358" s="290">
        <v>2.0</v>
      </c>
      <c r="D358" s="301"/>
      <c r="E358" s="301"/>
      <c r="F358" s="301"/>
      <c r="G358" s="301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  <c r="AB358" s="301"/>
      <c r="AC358" s="301"/>
      <c r="AD358" s="301"/>
      <c r="AE358" s="301"/>
      <c r="AF358" s="301"/>
      <c r="AG358" s="301"/>
      <c r="AH358" s="301"/>
      <c r="AI358" s="301"/>
      <c r="AJ358" s="301"/>
    </row>
    <row r="359" ht="45.0" customHeight="1">
      <c r="A359" s="283" t="s">
        <v>2194</v>
      </c>
      <c r="B359" s="275"/>
      <c r="C359" s="285">
        <v>2.0</v>
      </c>
      <c r="D359" s="301"/>
      <c r="E359" s="301"/>
      <c r="F359" s="301"/>
      <c r="G359" s="301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  <c r="AB359" s="301"/>
      <c r="AC359" s="301"/>
      <c r="AD359" s="301"/>
      <c r="AE359" s="301"/>
      <c r="AF359" s="301"/>
      <c r="AG359" s="301"/>
      <c r="AH359" s="301"/>
      <c r="AI359" s="301"/>
      <c r="AJ359" s="301"/>
    </row>
    <row r="360" ht="45.0" hidden="1" customHeight="1">
      <c r="A360" s="93" t="s">
        <v>345</v>
      </c>
      <c r="B360" s="11" t="str">
        <f>IMAGE("https://m.media-amazon.com/images/I/71NdWJD1LKL._SL1500_.jpg",1)</f>
        <v/>
      </c>
      <c r="C360" s="216">
        <v>2.0</v>
      </c>
    </row>
    <row r="361" ht="45.0" hidden="1" customHeight="1">
      <c r="A361" s="93" t="s">
        <v>351</v>
      </c>
      <c r="B361" s="11" t="str">
        <f>IMAGE("https://m.media-amazon.com/images/I/41GBeFsg3kL.jpg",1)</f>
        <v/>
      </c>
      <c r="C361" s="216">
        <v>2.0</v>
      </c>
    </row>
    <row r="362" ht="45.0" hidden="1" customHeight="1">
      <c r="A362" s="93" t="s">
        <v>356</v>
      </c>
      <c r="B362" s="11" t="str">
        <f>IMAGE("https://services.ibo.com/media/v1/products/images/db78032d-e5ba-4c4c-bc8f-110fa0021b77/stanley-sta7221xjin-16-pc-drilling-and-screwdriving-set-1.jpeg",1)</f>
        <v/>
      </c>
      <c r="C362" s="216">
        <v>1.0</v>
      </c>
    </row>
    <row r="363" ht="45.0" hidden="1" customHeight="1">
      <c r="A363" s="93" t="s">
        <v>360</v>
      </c>
      <c r="B363" s="11" t="str">
        <f>IMAGE("https://cdn.moglix.com/p/Rn8lZopeAizs5-xxlarge.jpg",1)</f>
        <v/>
      </c>
      <c r="C363" s="216">
        <v>1.0</v>
      </c>
    </row>
    <row r="364" ht="45.0" hidden="1" customHeight="1">
      <c r="A364" s="93" t="s">
        <v>364</v>
      </c>
      <c r="B364" s="11" t="str">
        <f>IMAGE("https://m.media-amazon.com/images/I/51wli9aWH9S._SL1000_.jpg",1)</f>
        <v/>
      </c>
      <c r="C364" s="216">
        <v>1.0</v>
      </c>
    </row>
    <row r="365" ht="45.0" hidden="1" customHeight="1">
      <c r="A365" s="93" t="s">
        <v>368</v>
      </c>
      <c r="B365" s="11" t="str">
        <f>IMAGE("https://res.cloudinary.com/rsc/image/upload/b_rgb:FFFFFF,c_pad,dpr_1.0,f_auto,q_auto,w_700/c_pad,w_700/C4847566-05",1)</f>
        <v/>
      </c>
      <c r="C365" s="216">
        <v>20.0</v>
      </c>
    </row>
    <row r="366" ht="45.0" hidden="1" customHeight="1">
      <c r="A366" s="93" t="s">
        <v>372</v>
      </c>
      <c r="B366" s="11" t="str">
        <f>IMAGE("https://5.imimg.com/data5/JR/LF/GK/SELLER-30390418/hacksaw-500x500.png",1)</f>
        <v/>
      </c>
      <c r="C366" s="216">
        <v>2.0</v>
      </c>
    </row>
    <row r="367" ht="45.0" hidden="1" customHeight="1">
      <c r="A367" s="93" t="s">
        <v>375</v>
      </c>
      <c r="B367" s="11" t="str">
        <f>IMAGE("https://encrypted-tbn0.gstatic.com/images?q=tbn:ANd9GcRnlFGDkPLnXJSjTXFe7fzQ2kj51brspxAcjVtkmgU5NgUWN5-EbmbNTptE-Y3t4g8lr84&amp;usqp=CAU",1)</f>
        <v/>
      </c>
      <c r="C367" s="216">
        <v>5.0</v>
      </c>
    </row>
    <row r="368" ht="45.0" hidden="1" customHeight="1">
      <c r="A368" s="93" t="s">
        <v>379</v>
      </c>
      <c r="B368" s="11" t="str">
        <f>IMAGE("https://www.stanleytools.me/EMEA/PRODUCT/IMAGES/HIRES/STHT0-10194/STHT0-10194_1.jpg?resize=530x530",1)</f>
        <v/>
      </c>
      <c r="C368" s="216">
        <v>2.0</v>
      </c>
    </row>
    <row r="369" ht="45.0" hidden="1" customHeight="1">
      <c r="A369" s="93" t="s">
        <v>382</v>
      </c>
      <c r="B369" s="11" t="str">
        <f>IMAGE("https://sc04.alicdn.com/kf/HTB1fK8lXPvuK1Rjy0Faq6x2aVXa5.jpg",1)</f>
        <v/>
      </c>
      <c r="C369" s="216">
        <v>10.0</v>
      </c>
    </row>
    <row r="370" ht="45.0" hidden="1" customHeight="1">
      <c r="A370" s="93" t="s">
        <v>1926</v>
      </c>
      <c r="B370" s="11" t="str">
        <f>IMAGE("https://asia.blackanddecker.global/ASIA/PRODUCT/IMAGES/HIRES/RT18KA-B1/RT18KA_1.jpg?resize=530x530", 1)</f>
        <v/>
      </c>
      <c r="C370" s="11">
        <v>1.0</v>
      </c>
    </row>
    <row r="371" ht="45.0" hidden="1" customHeight="1">
      <c r="A371" s="93" t="s">
        <v>1927</v>
      </c>
      <c r="B371" s="11" t="str">
        <f>IMAGE("https://m.media-amazon.com/images/I/518vUksgebL._SL1100_.jpg",1)</f>
        <v/>
      </c>
      <c r="C371" s="216">
        <v>5.0</v>
      </c>
    </row>
    <row r="372" ht="45.0" hidden="1" customHeight="1">
      <c r="A372" s="93" t="s">
        <v>1928</v>
      </c>
      <c r="B372" s="11" t="str">
        <f>IMAGE("https://rukminim1.flixcart.com/image/416/416/jidg9zk0/art-craft-kit/f/g/a/9mm-snap-off-precision-blades-30-degree-blades-100-blade-pack-1-original-imaf66g6ahvgzem3.jpeg?q=70",1)</f>
        <v/>
      </c>
      <c r="C372" s="216">
        <v>5.0</v>
      </c>
    </row>
    <row r="373" ht="45.0" hidden="1" customHeight="1">
      <c r="A373" s="93" t="s">
        <v>1929</v>
      </c>
      <c r="B373" s="11" t="str">
        <f>IMAGE("https://m.media-amazon.com/images/I/31u15vg7r0L._SX342_.jpg",1)</f>
        <v/>
      </c>
      <c r="C373" s="216">
        <v>5.0</v>
      </c>
    </row>
    <row r="374" ht="45.0" hidden="1" customHeight="1">
      <c r="A374" s="93" t="s">
        <v>1930</v>
      </c>
      <c r="B374" s="11" t="str">
        <f>IMAGE("https://hydetools.com/wp-content/uploads/2019/09/42046b.jpg",1)</f>
        <v/>
      </c>
      <c r="C374" s="216">
        <v>10.0</v>
      </c>
    </row>
    <row r="375" ht="45.0" hidden="1" customHeight="1">
      <c r="A375" s="93" t="s">
        <v>405</v>
      </c>
      <c r="B375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C375" s="216">
        <v>10.0</v>
      </c>
    </row>
    <row r="376" ht="45.0" hidden="1" customHeight="1">
      <c r="A376" s="93" t="s">
        <v>408</v>
      </c>
      <c r="B376" s="11" t="str">
        <f>IMAGE("https://cdn-reichelt.de/bilder/web/xxl_ws/I210/LEITZ_54166095.png",1)</f>
        <v/>
      </c>
      <c r="C376" s="216">
        <v>10.0</v>
      </c>
    </row>
    <row r="377" ht="45.0" hidden="1" customHeight="1">
      <c r="A377" s="93" t="s">
        <v>1023</v>
      </c>
      <c r="B377" s="11" t="str">
        <f>IMAGE("https://www.shaanstationery.com/image/cache/catalog/kangaro/kangaro-stapler-no-10-corner-view-1000x1000.jpg",1)</f>
        <v/>
      </c>
      <c r="C377" s="216">
        <v>10.0</v>
      </c>
    </row>
    <row r="378" ht="45.0" hidden="1" customHeight="1">
      <c r="A378" s="93" t="s">
        <v>1027</v>
      </c>
      <c r="B378" s="11" t="str">
        <f>IMAGE("https://sc04.alicdn.com/kf/HTB1f9mqOZbpK1RjSZFyq6x_qFXaz.jpg",1)</f>
        <v/>
      </c>
      <c r="C378" s="216">
        <v>10.0</v>
      </c>
    </row>
    <row r="379" ht="45.0" hidden="1" customHeight="1">
      <c r="A379" s="93" t="s">
        <v>1078</v>
      </c>
      <c r="B379" s="11" t="str">
        <f>IMAGE("https://m.media-amazon.com/images/I/51OTKanSUXL._SL1024_.jpg",1)</f>
        <v/>
      </c>
      <c r="C379" s="216">
        <v>50.0</v>
      </c>
    </row>
    <row r="380" ht="45.0" hidden="1" customHeight="1">
      <c r="A380" s="93" t="s">
        <v>1128</v>
      </c>
      <c r="B380" s="11" t="str">
        <f>IMAGE("https://cdn.bmstores.co.uk/images/hpcProductImage/imgFull/369783-stanley-sealant-gun-diy.jpg",1)</f>
        <v/>
      </c>
      <c r="C380" s="216">
        <v>1.0</v>
      </c>
    </row>
    <row r="381" ht="45.0" hidden="1" customHeight="1">
      <c r="A381" s="93" t="s">
        <v>1132</v>
      </c>
      <c r="B381" s="11" t="str">
        <f>IMAGE("https://5.imimg.com/data5/SELLER/Default/2020/12/RU/ZP/SZ/45671901/alstone-silicone-sealant-500x500.jpeg",1)</f>
        <v/>
      </c>
      <c r="C381" s="216">
        <v>1.0</v>
      </c>
    </row>
    <row r="382" ht="45.0" hidden="1" customHeight="1">
      <c r="A382" s="93" t="s">
        <v>1031</v>
      </c>
      <c r="B382" s="11" t="str">
        <f>IMAGE("https://m.media-amazon.com/images/I/61+L7sYwiBL._SL1500_.jpg",1)</f>
        <v/>
      </c>
      <c r="C382" s="11">
        <v>1.0</v>
      </c>
    </row>
    <row r="383" ht="45.0" hidden="1" customHeight="1">
      <c r="A383" s="93" t="s">
        <v>1036</v>
      </c>
      <c r="B383" s="11" t="e">
        <v>#VALUE!</v>
      </c>
      <c r="C383" s="216">
        <v>2.0</v>
      </c>
    </row>
    <row r="384" ht="45.0" hidden="1" customHeight="1">
      <c r="A384" s="93" t="s">
        <v>1039</v>
      </c>
      <c r="B384" s="11" t="str">
        <f>IMAGE("https://m.media-amazon.com/images/I/71qyUXJ5i6L._AC_UF1000,1000_QL80_.jpg",1)</f>
        <v/>
      </c>
      <c r="C384" s="216">
        <v>1.0</v>
      </c>
    </row>
    <row r="385" ht="45.0" hidden="1" customHeight="1">
      <c r="A385" s="93" t="s">
        <v>1043</v>
      </c>
      <c r="B385" s="11" t="str">
        <f>IMAGE("https://5.imimg.com/data5/TS/AU/MY-11200044/steel-shaft-claw-hammer-500x500.jpg",1)</f>
        <v/>
      </c>
      <c r="C385" s="216">
        <v>1.0</v>
      </c>
    </row>
    <row r="386" ht="45.0" hidden="1" customHeight="1">
      <c r="A386" s="93" t="s">
        <v>1047</v>
      </c>
      <c r="B386" s="11" t="str">
        <f>IMAGE("https://5.imimg.com/data5/GU/RT/MY-2970994/bench-clamp.jpg",1)</f>
        <v/>
      </c>
      <c r="C386" s="216">
        <v>1.0</v>
      </c>
    </row>
    <row r="387" ht="45.0" hidden="1" customHeight="1">
      <c r="A387" s="93" t="s">
        <v>1051</v>
      </c>
      <c r="B387" s="11" t="str">
        <f>IMAGE("https://images.jdmagicbox.com/quickquotes/images_main/plier-381885296-5n4zf.jpg",1)</f>
        <v/>
      </c>
      <c r="C387" s="216">
        <v>1.0</v>
      </c>
    </row>
    <row r="388" ht="45.0" hidden="1" customHeight="1">
      <c r="A388" s="93" t="s">
        <v>1055</v>
      </c>
      <c r="B388" s="11" t="str">
        <f>IMAGE("https://m.media-amazon.com/images/I/613WSFIoSjL._SL1500_.jpg",1)</f>
        <v/>
      </c>
      <c r="C388" s="216">
        <v>1.0</v>
      </c>
    </row>
    <row r="389" ht="45.0" hidden="1" customHeight="1">
      <c r="A389" s="93" t="s">
        <v>1059</v>
      </c>
      <c r="B389" s="11" t="str">
        <f>IMAGE("https://in.misumi-ec.com/linked/material/fs/FUJ1/PHOTO/223000817171_001.jpg?$product_main$",1)</f>
        <v/>
      </c>
      <c r="C389" s="216">
        <v>1.0</v>
      </c>
    </row>
    <row r="390" ht="45.0" hidden="1" customHeight="1">
      <c r="A390" s="93" t="s">
        <v>1063</v>
      </c>
      <c r="B390" s="11" t="str">
        <f>IMAGE("https://i.ebayimg.com/images/g/QLMAAOSwETxj4~0j/s-l1600.jpg",1)</f>
        <v/>
      </c>
      <c r="C390" s="216">
        <v>2.0</v>
      </c>
    </row>
    <row r="391" ht="45.0" hidden="1" customHeight="1">
      <c r="A391" s="93" t="s">
        <v>1067</v>
      </c>
      <c r="B391" s="11" t="str">
        <f>IMAGE("https://res.cloudinary.com/rsc/image/upload/b_rgb:FFFFFF,c_pad,dpr_1.0,f_auto,q_auto,w_700/c_pad,w_700/C1985249-01",1)</f>
        <v/>
      </c>
      <c r="C391" s="216">
        <v>1.0</v>
      </c>
    </row>
    <row r="392" ht="45.0" hidden="1" customHeight="1">
      <c r="A392" s="93" t="s">
        <v>1071</v>
      </c>
      <c r="B392" s="11" t="str">
        <f>IMAGE("https://cdn.shopify.com/s/files/1/0064/3412/7939/products/71vpWrfPgFL._SL1000_9c7ae600-0e17-44f0-97b0-7a8fa32a55cc_2048x.jpg?v=1540199513",1)</f>
        <v/>
      </c>
      <c r="C392" s="216">
        <v>10.0</v>
      </c>
      <c r="D392" s="298"/>
    </row>
    <row r="393" ht="45.0" hidden="1" customHeight="1">
      <c r="A393" s="93" t="s">
        <v>1075</v>
      </c>
      <c r="B393" s="11" t="str">
        <f>IMAGE("https://cdn.shopify.com/s/files/1/0088/0056/7392/products/71GahpQFYhL._SL1500_1024x.jpg?v=1634034762",1)</f>
        <v/>
      </c>
      <c r="C393" s="216">
        <v>4.0</v>
      </c>
      <c r="D393" s="298"/>
    </row>
    <row r="394" ht="45.0" customHeight="1">
      <c r="A394" s="37"/>
      <c r="B394" s="12"/>
      <c r="C394" s="262"/>
      <c r="D394" s="301"/>
      <c r="E394" s="301"/>
      <c r="F394" s="301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  <c r="AC394" s="301"/>
      <c r="AD394" s="301"/>
      <c r="AE394" s="301"/>
      <c r="AF394" s="301"/>
      <c r="AG394" s="301"/>
      <c r="AH394" s="301"/>
      <c r="AI394" s="301"/>
      <c r="AJ394" s="301"/>
    </row>
    <row r="395" ht="45.0" customHeight="1">
      <c r="A395" s="37"/>
      <c r="B395" s="12"/>
      <c r="C395" s="262"/>
      <c r="D395" s="301"/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  <c r="AD395" s="301"/>
      <c r="AE395" s="301"/>
      <c r="AF395" s="301"/>
      <c r="AG395" s="301"/>
      <c r="AH395" s="301"/>
      <c r="AI395" s="301"/>
      <c r="AJ395" s="301"/>
    </row>
    <row r="396" ht="45.0" customHeight="1">
      <c r="A396" s="37"/>
      <c r="B396" s="12"/>
      <c r="C396" s="262"/>
      <c r="D396" s="301"/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  <c r="AE396" s="301"/>
      <c r="AF396" s="301"/>
      <c r="AG396" s="301"/>
      <c r="AH396" s="301"/>
      <c r="AI396" s="301"/>
      <c r="AJ396" s="301"/>
    </row>
    <row r="397" ht="45.0" customHeight="1">
      <c r="A397" s="37"/>
      <c r="B397" s="12"/>
      <c r="C397" s="262"/>
      <c r="D397" s="301"/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  <c r="AD397" s="301"/>
      <c r="AE397" s="301"/>
      <c r="AF397" s="301"/>
      <c r="AG397" s="301"/>
      <c r="AH397" s="301"/>
      <c r="AI397" s="301"/>
      <c r="AJ397" s="301"/>
    </row>
    <row r="398" ht="45.0" customHeight="1">
      <c r="A398" s="37"/>
      <c r="B398" s="12"/>
      <c r="C398" s="262"/>
      <c r="D398" s="301"/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  <c r="AD398" s="301"/>
      <c r="AE398" s="301"/>
      <c r="AF398" s="301"/>
      <c r="AG398" s="301"/>
      <c r="AH398" s="301"/>
      <c r="AI398" s="301"/>
      <c r="AJ398" s="301"/>
    </row>
    <row r="399" ht="45.0" customHeight="1">
      <c r="A399" s="37"/>
      <c r="B399" s="12"/>
      <c r="C399" s="262"/>
      <c r="D399" s="301"/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  <c r="AD399" s="301"/>
      <c r="AE399" s="301"/>
      <c r="AF399" s="301"/>
      <c r="AG399" s="301"/>
      <c r="AH399" s="301"/>
      <c r="AI399" s="301"/>
      <c r="AJ399" s="301"/>
    </row>
    <row r="400" ht="45.0" customHeight="1">
      <c r="A400" s="37"/>
      <c r="B400" s="12"/>
      <c r="C400" s="262"/>
      <c r="D400" s="301"/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  <c r="AD400" s="301"/>
      <c r="AE400" s="301"/>
      <c r="AF400" s="301"/>
      <c r="AG400" s="301"/>
      <c r="AH400" s="301"/>
      <c r="AI400" s="301"/>
      <c r="AJ400" s="301"/>
    </row>
    <row r="401" ht="45.0" customHeight="1">
      <c r="A401" s="37"/>
      <c r="B401" s="12"/>
      <c r="C401" s="262"/>
      <c r="D401" s="301"/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  <c r="AD401" s="301"/>
      <c r="AE401" s="301"/>
      <c r="AF401" s="301"/>
      <c r="AG401" s="301"/>
      <c r="AH401" s="301"/>
      <c r="AI401" s="301"/>
      <c r="AJ401" s="301"/>
    </row>
    <row r="402" ht="45.0" customHeight="1">
      <c r="A402" s="37"/>
      <c r="B402" s="12"/>
      <c r="C402" s="262"/>
      <c r="D402" s="301"/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  <c r="AD402" s="301"/>
      <c r="AE402" s="301"/>
      <c r="AF402" s="301"/>
      <c r="AG402" s="301"/>
      <c r="AH402" s="301"/>
      <c r="AI402" s="301"/>
      <c r="AJ402" s="301"/>
    </row>
    <row r="403" ht="45.0" customHeight="1">
      <c r="A403" s="37"/>
      <c r="B403" s="12"/>
      <c r="C403" s="262"/>
      <c r="D403" s="301"/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  <c r="AD403" s="301"/>
      <c r="AE403" s="301"/>
      <c r="AF403" s="301"/>
      <c r="AG403" s="301"/>
      <c r="AH403" s="301"/>
      <c r="AI403" s="301"/>
      <c r="AJ403" s="301"/>
    </row>
    <row r="404" ht="45.0" customHeight="1">
      <c r="A404" s="37"/>
      <c r="B404" s="12"/>
      <c r="C404" s="262"/>
      <c r="D404" s="301"/>
      <c r="E404" s="301"/>
      <c r="F404" s="301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  <c r="AC404" s="301"/>
      <c r="AD404" s="301"/>
      <c r="AE404" s="301"/>
      <c r="AF404" s="301"/>
      <c r="AG404" s="301"/>
      <c r="AH404" s="301"/>
      <c r="AI404" s="301"/>
      <c r="AJ404" s="301"/>
    </row>
    <row r="405" ht="45.0" customHeight="1">
      <c r="A405" s="37"/>
      <c r="B405" s="12"/>
      <c r="C405" s="262"/>
      <c r="D405" s="301"/>
      <c r="E405" s="301"/>
      <c r="F405" s="301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  <c r="AC405" s="301"/>
      <c r="AD405" s="301"/>
      <c r="AE405" s="301"/>
      <c r="AF405" s="301"/>
      <c r="AG405" s="301"/>
      <c r="AH405" s="301"/>
      <c r="AI405" s="301"/>
      <c r="AJ405" s="301"/>
    </row>
    <row r="406" ht="45.0" customHeight="1">
      <c r="A406" s="37"/>
      <c r="B406" s="12"/>
      <c r="C406" s="262"/>
      <c r="D406" s="301"/>
      <c r="E406" s="301"/>
      <c r="F406" s="301"/>
      <c r="G406" s="301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  <c r="AB406" s="301"/>
      <c r="AC406" s="301"/>
      <c r="AD406" s="301"/>
      <c r="AE406" s="301"/>
      <c r="AF406" s="301"/>
      <c r="AG406" s="301"/>
      <c r="AH406" s="301"/>
      <c r="AI406" s="301"/>
      <c r="AJ406" s="301"/>
    </row>
    <row r="407" ht="45.0" customHeight="1">
      <c r="A407" s="37"/>
      <c r="B407" s="12"/>
      <c r="C407" s="262"/>
      <c r="D407" s="301"/>
      <c r="E407" s="301"/>
      <c r="F407" s="301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  <c r="AC407" s="301"/>
      <c r="AD407" s="301"/>
      <c r="AE407" s="301"/>
      <c r="AF407" s="301"/>
      <c r="AG407" s="301"/>
      <c r="AH407" s="301"/>
      <c r="AI407" s="301"/>
      <c r="AJ407" s="301"/>
    </row>
    <row r="408" ht="45.0" customHeight="1">
      <c r="A408" s="37"/>
      <c r="B408" s="12"/>
      <c r="C408" s="262"/>
      <c r="D408" s="301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  <c r="AD408" s="301"/>
      <c r="AE408" s="301"/>
      <c r="AF408" s="301"/>
      <c r="AG408" s="301"/>
      <c r="AH408" s="301"/>
      <c r="AI408" s="301"/>
      <c r="AJ408" s="301"/>
    </row>
    <row r="409" ht="45.0" customHeight="1">
      <c r="A409" s="37"/>
      <c r="B409" s="12"/>
      <c r="C409" s="262"/>
      <c r="D409" s="301"/>
      <c r="E409" s="301"/>
      <c r="F409" s="301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  <c r="AC409" s="301"/>
      <c r="AD409" s="301"/>
      <c r="AE409" s="301"/>
      <c r="AF409" s="301"/>
      <c r="AG409" s="301"/>
      <c r="AH409" s="301"/>
      <c r="AI409" s="301"/>
      <c r="AJ409" s="301"/>
    </row>
    <row r="410" ht="45.0" customHeight="1">
      <c r="A410" s="37"/>
      <c r="B410" s="12"/>
      <c r="C410" s="262"/>
      <c r="D410" s="305"/>
      <c r="E410" s="305"/>
      <c r="F410" s="305"/>
      <c r="G410" s="305"/>
      <c r="H410" s="305"/>
      <c r="I410" s="305"/>
      <c r="J410" s="305"/>
      <c r="K410" s="305"/>
      <c r="L410" s="305"/>
      <c r="M410" s="305"/>
      <c r="N410" s="305"/>
      <c r="O410" s="305"/>
      <c r="P410" s="305"/>
      <c r="Q410" s="305"/>
      <c r="R410" s="305"/>
      <c r="S410" s="305"/>
      <c r="T410" s="305"/>
      <c r="U410" s="305"/>
      <c r="V410" s="305"/>
      <c r="W410" s="305"/>
      <c r="X410" s="305"/>
      <c r="Y410" s="305"/>
      <c r="Z410" s="305"/>
      <c r="AA410" s="305"/>
      <c r="AB410" s="305"/>
      <c r="AC410" s="305"/>
      <c r="AD410" s="305"/>
      <c r="AE410" s="305"/>
      <c r="AF410" s="305"/>
      <c r="AG410" s="305"/>
      <c r="AH410" s="305"/>
      <c r="AI410" s="305"/>
      <c r="AJ410" s="305"/>
    </row>
    <row r="411" ht="45.0" customHeight="1">
      <c r="A411" s="37"/>
      <c r="B411" s="12"/>
      <c r="C411" s="262"/>
      <c r="D411" s="301"/>
      <c r="E411" s="301"/>
      <c r="F411" s="301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  <c r="AC411" s="301"/>
      <c r="AD411" s="301"/>
      <c r="AE411" s="301"/>
      <c r="AF411" s="301"/>
      <c r="AG411" s="301"/>
      <c r="AH411" s="301"/>
      <c r="AI411" s="301"/>
      <c r="AJ411" s="301"/>
    </row>
    <row r="412" ht="45.0" customHeight="1">
      <c r="A412" s="37"/>
      <c r="B412" s="12"/>
      <c r="C412" s="262"/>
      <c r="D412" s="301"/>
      <c r="E412" s="301"/>
      <c r="F412" s="301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  <c r="AC412" s="301"/>
      <c r="AD412" s="301"/>
      <c r="AE412" s="301"/>
      <c r="AF412" s="301"/>
      <c r="AG412" s="301"/>
      <c r="AH412" s="301"/>
      <c r="AI412" s="301"/>
      <c r="AJ412" s="301"/>
    </row>
    <row r="413" ht="45.0" customHeight="1">
      <c r="A413" s="37"/>
      <c r="B413" s="12"/>
      <c r="C413" s="262"/>
      <c r="D413" s="301"/>
      <c r="E413" s="301"/>
      <c r="F413" s="301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  <c r="AC413" s="301"/>
      <c r="AD413" s="301"/>
      <c r="AE413" s="301"/>
      <c r="AF413" s="301"/>
      <c r="AG413" s="301"/>
      <c r="AH413" s="301"/>
      <c r="AI413" s="301"/>
      <c r="AJ413" s="301"/>
    </row>
    <row r="414" ht="45.0" customHeight="1">
      <c r="A414" s="37"/>
      <c r="B414" s="12"/>
      <c r="C414" s="262"/>
      <c r="D414" s="301"/>
      <c r="E414" s="301"/>
      <c r="F414" s="301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  <c r="AC414" s="301"/>
      <c r="AD414" s="301"/>
      <c r="AE414" s="301"/>
      <c r="AF414" s="301"/>
      <c r="AG414" s="301"/>
      <c r="AH414" s="301"/>
      <c r="AI414" s="301"/>
      <c r="AJ414" s="301"/>
    </row>
    <row r="415" ht="45.0" customHeight="1">
      <c r="A415" s="37"/>
      <c r="B415" s="12"/>
      <c r="C415" s="262"/>
      <c r="D415" s="301"/>
      <c r="E415" s="301"/>
      <c r="F415" s="301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  <c r="AC415" s="301"/>
      <c r="AD415" s="301"/>
      <c r="AE415" s="301"/>
      <c r="AF415" s="301"/>
      <c r="AG415" s="301"/>
      <c r="AH415" s="301"/>
      <c r="AI415" s="301"/>
      <c r="AJ415" s="301"/>
    </row>
    <row r="416" ht="45.0" customHeight="1">
      <c r="A416" s="37"/>
      <c r="B416" s="12"/>
      <c r="C416" s="262"/>
      <c r="D416" s="301"/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  <c r="AC416" s="301"/>
      <c r="AD416" s="301"/>
      <c r="AE416" s="301"/>
      <c r="AF416" s="301"/>
      <c r="AG416" s="301"/>
      <c r="AH416" s="301"/>
      <c r="AI416" s="301"/>
      <c r="AJ416" s="301"/>
    </row>
    <row r="417" ht="45.0" customHeight="1">
      <c r="A417" s="37"/>
      <c r="B417" s="12"/>
      <c r="C417" s="262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  <c r="AB417" s="301"/>
      <c r="AC417" s="301"/>
      <c r="AD417" s="301"/>
      <c r="AE417" s="301"/>
      <c r="AF417" s="301"/>
      <c r="AG417" s="301"/>
      <c r="AH417" s="301"/>
      <c r="AI417" s="301"/>
      <c r="AJ417" s="301"/>
    </row>
    <row r="418" ht="45.0" customHeight="1">
      <c r="A418" s="37"/>
      <c r="B418" s="12"/>
      <c r="C418" s="262"/>
      <c r="D418" s="301"/>
      <c r="E418" s="301"/>
      <c r="F418" s="301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  <c r="AC418" s="301"/>
      <c r="AD418" s="301"/>
      <c r="AE418" s="301"/>
      <c r="AF418" s="301"/>
      <c r="AG418" s="301"/>
      <c r="AH418" s="301"/>
      <c r="AI418" s="301"/>
      <c r="AJ418" s="301"/>
    </row>
    <row r="419" ht="45.0" customHeight="1">
      <c r="A419" s="37"/>
      <c r="B419" s="12"/>
      <c r="C419" s="262"/>
      <c r="D419" s="301"/>
      <c r="E419" s="301"/>
      <c r="F419" s="301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  <c r="AC419" s="301"/>
      <c r="AD419" s="301"/>
      <c r="AE419" s="301"/>
      <c r="AF419" s="301"/>
      <c r="AG419" s="301"/>
      <c r="AH419" s="301"/>
      <c r="AI419" s="301"/>
      <c r="AJ419" s="301"/>
    </row>
    <row r="420" ht="45.0" customHeight="1">
      <c r="A420" s="37"/>
      <c r="B420" s="12"/>
      <c r="C420" s="262"/>
      <c r="D420" s="301"/>
      <c r="E420" s="301"/>
      <c r="F420" s="301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  <c r="AC420" s="301"/>
      <c r="AD420" s="301"/>
      <c r="AE420" s="301"/>
      <c r="AF420" s="301"/>
      <c r="AG420" s="301"/>
      <c r="AH420" s="301"/>
      <c r="AI420" s="301"/>
      <c r="AJ420" s="301"/>
    </row>
    <row r="421" ht="45.0" customHeight="1">
      <c r="A421" s="37"/>
      <c r="B421" s="12"/>
      <c r="C421" s="262"/>
      <c r="D421" s="305"/>
      <c r="E421" s="305"/>
      <c r="F421" s="305"/>
      <c r="G421" s="305"/>
      <c r="H421" s="305"/>
      <c r="I421" s="305"/>
      <c r="J421" s="305"/>
      <c r="K421" s="305"/>
      <c r="L421" s="305"/>
      <c r="M421" s="305"/>
      <c r="N421" s="305"/>
      <c r="O421" s="305"/>
      <c r="P421" s="305"/>
      <c r="Q421" s="305"/>
      <c r="R421" s="305"/>
      <c r="S421" s="305"/>
      <c r="T421" s="305"/>
      <c r="U421" s="305"/>
      <c r="V421" s="305"/>
      <c r="W421" s="305"/>
      <c r="X421" s="305"/>
      <c r="Y421" s="305"/>
      <c r="Z421" s="305"/>
      <c r="AA421" s="305"/>
      <c r="AB421" s="305"/>
      <c r="AC421" s="305"/>
      <c r="AD421" s="305"/>
      <c r="AE421" s="305"/>
      <c r="AF421" s="305"/>
      <c r="AG421" s="305"/>
      <c r="AH421" s="305"/>
      <c r="AI421" s="305"/>
      <c r="AJ421" s="305"/>
    </row>
    <row r="422" ht="45.0" customHeight="1">
      <c r="A422" s="37"/>
      <c r="B422" s="12"/>
      <c r="C422" s="262"/>
      <c r="D422" s="301"/>
      <c r="E422" s="301"/>
      <c r="F422" s="301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  <c r="AC422" s="301"/>
      <c r="AD422" s="301"/>
      <c r="AE422" s="301"/>
      <c r="AF422" s="301"/>
      <c r="AG422" s="301"/>
      <c r="AH422" s="301"/>
      <c r="AI422" s="301"/>
      <c r="AJ422" s="301"/>
    </row>
    <row r="423" ht="45.0" customHeight="1">
      <c r="A423" s="37"/>
      <c r="B423" s="12"/>
      <c r="C423" s="262"/>
      <c r="D423" s="301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  <c r="AC423" s="301"/>
      <c r="AD423" s="301"/>
      <c r="AE423" s="301"/>
      <c r="AF423" s="301"/>
      <c r="AG423" s="301"/>
      <c r="AH423" s="301"/>
      <c r="AI423" s="301"/>
      <c r="AJ423" s="301"/>
    </row>
    <row r="424" ht="45.0" customHeight="1">
      <c r="A424" s="37"/>
      <c r="B424" s="12"/>
      <c r="C424" s="262"/>
      <c r="D424" s="301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  <c r="AC424" s="301"/>
      <c r="AD424" s="301"/>
      <c r="AE424" s="301"/>
      <c r="AF424" s="301"/>
      <c r="AG424" s="301"/>
      <c r="AH424" s="301"/>
      <c r="AI424" s="301"/>
      <c r="AJ424" s="301"/>
    </row>
    <row r="425" ht="45.0" customHeight="1">
      <c r="A425" s="37"/>
      <c r="B425" s="12"/>
      <c r="C425" s="262"/>
      <c r="D425" s="301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  <c r="AC425" s="301"/>
      <c r="AD425" s="301"/>
      <c r="AE425" s="301"/>
      <c r="AF425" s="301"/>
      <c r="AG425" s="301"/>
      <c r="AH425" s="301"/>
      <c r="AI425" s="301"/>
      <c r="AJ425" s="301"/>
    </row>
    <row r="426" ht="45.0" customHeight="1">
      <c r="A426" s="37"/>
      <c r="B426" s="12"/>
      <c r="C426" s="262"/>
      <c r="D426" s="301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  <c r="AC426" s="301"/>
      <c r="AD426" s="301"/>
      <c r="AE426" s="301"/>
      <c r="AF426" s="301"/>
      <c r="AG426" s="301"/>
      <c r="AH426" s="301"/>
      <c r="AI426" s="301"/>
      <c r="AJ426" s="301"/>
    </row>
    <row r="427" ht="45.0" customHeight="1">
      <c r="A427" s="37"/>
      <c r="B427" s="12"/>
      <c r="C427" s="262"/>
      <c r="D427" s="301"/>
      <c r="E427" s="301"/>
      <c r="F427" s="301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  <c r="AC427" s="301"/>
      <c r="AD427" s="301"/>
      <c r="AE427" s="301"/>
      <c r="AF427" s="301"/>
      <c r="AG427" s="301"/>
      <c r="AH427" s="301"/>
      <c r="AI427" s="301"/>
      <c r="AJ427" s="301"/>
    </row>
    <row r="428" ht="45.0" customHeight="1">
      <c r="A428" s="37"/>
      <c r="B428" s="12"/>
      <c r="C428" s="262"/>
      <c r="D428" s="301"/>
      <c r="E428" s="301"/>
      <c r="F428" s="301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  <c r="AC428" s="301"/>
      <c r="AD428" s="301"/>
      <c r="AE428" s="301"/>
      <c r="AF428" s="301"/>
      <c r="AG428" s="301"/>
      <c r="AH428" s="301"/>
      <c r="AI428" s="301"/>
      <c r="AJ428" s="301"/>
    </row>
    <row r="429" ht="45.0" customHeight="1">
      <c r="A429" s="37"/>
      <c r="B429" s="12"/>
      <c r="C429" s="262"/>
      <c r="D429" s="301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  <c r="AB429" s="301"/>
      <c r="AC429" s="301"/>
      <c r="AD429" s="301"/>
      <c r="AE429" s="301"/>
      <c r="AF429" s="301"/>
      <c r="AG429" s="301"/>
      <c r="AH429" s="301"/>
      <c r="AI429" s="301"/>
      <c r="AJ429" s="301"/>
    </row>
    <row r="430" ht="45.0" customHeight="1">
      <c r="A430" s="37"/>
      <c r="B430" s="12"/>
      <c r="C430" s="262"/>
      <c r="D430" s="301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  <c r="AB430" s="301"/>
      <c r="AC430" s="301"/>
      <c r="AD430" s="301"/>
      <c r="AE430" s="301"/>
      <c r="AF430" s="301"/>
      <c r="AG430" s="301"/>
      <c r="AH430" s="301"/>
      <c r="AI430" s="301"/>
      <c r="AJ430" s="301"/>
    </row>
    <row r="431" ht="45.0" customHeight="1">
      <c r="A431" s="37"/>
      <c r="B431" s="12"/>
      <c r="C431" s="262"/>
      <c r="D431" s="301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  <c r="AC431" s="301"/>
      <c r="AD431" s="301"/>
      <c r="AE431" s="301"/>
      <c r="AF431" s="301"/>
      <c r="AG431" s="301"/>
      <c r="AH431" s="301"/>
      <c r="AI431" s="301"/>
      <c r="AJ431" s="301"/>
    </row>
    <row r="432" ht="45.0" customHeight="1">
      <c r="A432" s="37"/>
      <c r="B432" s="12"/>
      <c r="C432" s="262"/>
      <c r="D432" s="301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  <c r="AC432" s="301"/>
      <c r="AD432" s="301"/>
      <c r="AE432" s="301"/>
      <c r="AF432" s="301"/>
      <c r="AG432" s="301"/>
      <c r="AH432" s="301"/>
      <c r="AI432" s="301"/>
      <c r="AJ432" s="301"/>
    </row>
    <row r="433" ht="45.0" customHeight="1">
      <c r="A433" s="37"/>
      <c r="B433" s="12"/>
      <c r="C433" s="262"/>
      <c r="D433" s="301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  <c r="AC433" s="301"/>
      <c r="AD433" s="301"/>
      <c r="AE433" s="301"/>
      <c r="AF433" s="301"/>
      <c r="AG433" s="301"/>
      <c r="AH433" s="301"/>
      <c r="AI433" s="301"/>
      <c r="AJ433" s="301"/>
    </row>
    <row r="434" ht="45.0" customHeight="1">
      <c r="A434" s="37"/>
      <c r="B434" s="12"/>
      <c r="C434" s="262"/>
      <c r="D434" s="301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  <c r="AC434" s="301"/>
      <c r="AD434" s="301"/>
      <c r="AE434" s="301"/>
      <c r="AF434" s="301"/>
      <c r="AG434" s="301"/>
      <c r="AH434" s="301"/>
      <c r="AI434" s="301"/>
      <c r="AJ434" s="301"/>
    </row>
    <row r="435" ht="45.0" customHeight="1">
      <c r="A435" s="37"/>
      <c r="B435" s="12"/>
      <c r="C435" s="262"/>
      <c r="D435" s="301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  <c r="AC435" s="301"/>
      <c r="AD435" s="301"/>
      <c r="AE435" s="301"/>
      <c r="AF435" s="301"/>
      <c r="AG435" s="301"/>
      <c r="AH435" s="301"/>
      <c r="AI435" s="301"/>
      <c r="AJ435" s="301"/>
    </row>
    <row r="436" ht="45.0" customHeight="1">
      <c r="A436" s="37"/>
      <c r="B436" s="12"/>
      <c r="C436" s="262"/>
      <c r="D436" s="301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  <c r="AC436" s="301"/>
      <c r="AD436" s="301"/>
      <c r="AE436" s="301"/>
      <c r="AF436" s="301"/>
      <c r="AG436" s="301"/>
      <c r="AH436" s="301"/>
      <c r="AI436" s="301"/>
      <c r="AJ436" s="301"/>
    </row>
    <row r="437" ht="45.0" customHeight="1">
      <c r="A437" s="37"/>
      <c r="B437" s="12"/>
      <c r="C437" s="262"/>
      <c r="D437" s="301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  <c r="AC437" s="301"/>
      <c r="AD437" s="301"/>
      <c r="AE437" s="301"/>
      <c r="AF437" s="301"/>
      <c r="AG437" s="301"/>
      <c r="AH437" s="301"/>
      <c r="AI437" s="301"/>
      <c r="AJ437" s="301"/>
    </row>
    <row r="438" ht="45.0" customHeight="1">
      <c r="A438" s="37"/>
      <c r="B438" s="12"/>
      <c r="C438" s="262"/>
      <c r="D438" s="301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  <c r="AC438" s="301"/>
      <c r="AD438" s="301"/>
      <c r="AE438" s="301"/>
      <c r="AF438" s="301"/>
      <c r="AG438" s="301"/>
      <c r="AH438" s="301"/>
      <c r="AI438" s="301"/>
      <c r="AJ438" s="301"/>
    </row>
    <row r="439" ht="45.0" customHeight="1">
      <c r="A439" s="37"/>
      <c r="B439" s="12"/>
      <c r="C439" s="262"/>
      <c r="D439" s="301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  <c r="AD439" s="301"/>
      <c r="AE439" s="301"/>
      <c r="AF439" s="301"/>
      <c r="AG439" s="301"/>
      <c r="AH439" s="301"/>
      <c r="AI439" s="301"/>
      <c r="AJ439" s="301"/>
    </row>
    <row r="440" ht="45.0" customHeight="1">
      <c r="A440" s="37"/>
      <c r="B440" s="12"/>
      <c r="C440" s="262"/>
      <c r="D440" s="301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  <c r="AB440" s="301"/>
      <c r="AC440" s="301"/>
      <c r="AD440" s="301"/>
      <c r="AE440" s="301"/>
      <c r="AF440" s="301"/>
      <c r="AG440" s="301"/>
      <c r="AH440" s="301"/>
      <c r="AI440" s="301"/>
      <c r="AJ440" s="301"/>
    </row>
    <row r="441" ht="45.0" customHeight="1">
      <c r="A441" s="37"/>
      <c r="B441" s="12"/>
      <c r="C441" s="262"/>
      <c r="D441" s="301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  <c r="AC441" s="301"/>
      <c r="AD441" s="301"/>
      <c r="AE441" s="301"/>
      <c r="AF441" s="301"/>
      <c r="AG441" s="301"/>
      <c r="AH441" s="301"/>
      <c r="AI441" s="301"/>
      <c r="AJ441" s="301"/>
    </row>
    <row r="442" ht="45.0" customHeight="1">
      <c r="A442" s="37"/>
      <c r="B442" s="12"/>
      <c r="C442" s="262"/>
      <c r="D442" s="301"/>
      <c r="E442" s="301"/>
      <c r="F442" s="301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  <c r="AC442" s="301"/>
      <c r="AD442" s="301"/>
      <c r="AE442" s="301"/>
      <c r="AF442" s="301"/>
      <c r="AG442" s="301"/>
      <c r="AH442" s="301"/>
      <c r="AI442" s="301"/>
      <c r="AJ442" s="301"/>
    </row>
    <row r="443" ht="45.0" customHeight="1">
      <c r="A443" s="37"/>
      <c r="B443" s="12"/>
      <c r="C443" s="262"/>
      <c r="D443" s="301"/>
      <c r="E443" s="301"/>
      <c r="F443" s="301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  <c r="AC443" s="301"/>
      <c r="AD443" s="301"/>
      <c r="AE443" s="301"/>
      <c r="AF443" s="301"/>
      <c r="AG443" s="301"/>
      <c r="AH443" s="301"/>
      <c r="AI443" s="301"/>
      <c r="AJ443" s="301"/>
    </row>
    <row r="444" ht="45.0" customHeight="1">
      <c r="A444" s="37"/>
      <c r="B444" s="12"/>
      <c r="C444" s="262"/>
      <c r="D444" s="301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  <c r="AC444" s="301"/>
      <c r="AD444" s="301"/>
      <c r="AE444" s="301"/>
      <c r="AF444" s="301"/>
      <c r="AG444" s="301"/>
      <c r="AH444" s="301"/>
      <c r="AI444" s="301"/>
      <c r="AJ444" s="301"/>
    </row>
    <row r="445" ht="45.0" customHeight="1">
      <c r="A445" s="37"/>
      <c r="B445" s="12"/>
      <c r="C445" s="262"/>
      <c r="D445" s="301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  <c r="AC445" s="301"/>
      <c r="AD445" s="301"/>
      <c r="AE445" s="301"/>
      <c r="AF445" s="301"/>
      <c r="AG445" s="301"/>
      <c r="AH445" s="301"/>
      <c r="AI445" s="301"/>
      <c r="AJ445" s="301"/>
    </row>
    <row r="446" ht="45.0" customHeight="1">
      <c r="A446" s="37"/>
      <c r="B446" s="12"/>
      <c r="C446" s="262"/>
      <c r="D446" s="301"/>
      <c r="E446" s="301"/>
      <c r="F446" s="301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  <c r="AC446" s="301"/>
      <c r="AD446" s="301"/>
      <c r="AE446" s="301"/>
      <c r="AF446" s="301"/>
      <c r="AG446" s="301"/>
      <c r="AH446" s="301"/>
      <c r="AI446" s="301"/>
      <c r="AJ446" s="301"/>
    </row>
    <row r="447" ht="45.0" customHeight="1">
      <c r="A447" s="37"/>
      <c r="B447" s="12"/>
      <c r="C447" s="262"/>
      <c r="D447" s="301"/>
      <c r="E447" s="301"/>
      <c r="F447" s="301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  <c r="AC447" s="301"/>
      <c r="AD447" s="301"/>
      <c r="AE447" s="301"/>
      <c r="AF447" s="301"/>
      <c r="AG447" s="301"/>
      <c r="AH447" s="301"/>
      <c r="AI447" s="301"/>
      <c r="AJ447" s="301"/>
    </row>
    <row r="448" ht="45.0" customHeight="1">
      <c r="A448" s="37"/>
      <c r="B448" s="12"/>
      <c r="C448" s="262"/>
      <c r="D448" s="301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  <c r="AC448" s="301"/>
      <c r="AD448" s="301"/>
      <c r="AE448" s="301"/>
      <c r="AF448" s="301"/>
      <c r="AG448" s="301"/>
      <c r="AH448" s="301"/>
      <c r="AI448" s="301"/>
      <c r="AJ448" s="301"/>
    </row>
    <row r="449" ht="45.0" customHeight="1">
      <c r="A449" s="37"/>
      <c r="B449" s="12"/>
      <c r="C449" s="262"/>
      <c r="D449" s="305">
        <v>1.0</v>
      </c>
      <c r="E449" s="305">
        <v>2.0</v>
      </c>
      <c r="F449" s="305">
        <v>3.0</v>
      </c>
      <c r="G449" s="305">
        <v>4.0</v>
      </c>
      <c r="H449" s="305">
        <v>5.0</v>
      </c>
      <c r="I449" s="305">
        <v>6.0</v>
      </c>
      <c r="J449" s="305">
        <v>7.0</v>
      </c>
      <c r="K449" s="305">
        <v>8.0</v>
      </c>
      <c r="L449" s="305">
        <v>9.0</v>
      </c>
      <c r="M449" s="305">
        <v>10.0</v>
      </c>
      <c r="N449" s="305">
        <v>11.0</v>
      </c>
      <c r="O449" s="305">
        <v>12.0</v>
      </c>
      <c r="P449" s="305">
        <v>13.0</v>
      </c>
      <c r="Q449" s="305">
        <v>14.0</v>
      </c>
      <c r="R449" s="305">
        <v>15.0</v>
      </c>
      <c r="S449" s="305">
        <v>16.0</v>
      </c>
      <c r="T449" s="305">
        <v>17.0</v>
      </c>
      <c r="U449" s="305">
        <v>18.0</v>
      </c>
      <c r="V449" s="305">
        <v>19.0</v>
      </c>
      <c r="W449" s="305">
        <v>20.0</v>
      </c>
      <c r="X449" s="305">
        <v>21.0</v>
      </c>
      <c r="Y449" s="305">
        <v>22.0</v>
      </c>
      <c r="Z449" s="305">
        <v>23.0</v>
      </c>
      <c r="AA449" s="305">
        <v>24.0</v>
      </c>
      <c r="AB449" s="305">
        <v>25.0</v>
      </c>
      <c r="AC449" s="305">
        <v>26.0</v>
      </c>
      <c r="AD449" s="305">
        <v>27.0</v>
      </c>
      <c r="AE449" s="305">
        <v>28.0</v>
      </c>
      <c r="AF449" s="305">
        <v>29.0</v>
      </c>
      <c r="AG449" s="305">
        <v>30.0</v>
      </c>
      <c r="AH449" s="305">
        <v>31.0</v>
      </c>
      <c r="AI449" s="305">
        <v>32.0</v>
      </c>
      <c r="AJ449" s="305">
        <v>33.0</v>
      </c>
    </row>
    <row r="450" ht="45.0" customHeight="1">
      <c r="A450" s="37"/>
      <c r="B450" s="12"/>
      <c r="C450" s="262"/>
      <c r="D450" s="301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  <c r="AC450" s="301"/>
      <c r="AD450" s="301"/>
      <c r="AE450" s="301"/>
      <c r="AF450" s="301"/>
      <c r="AG450" s="301"/>
      <c r="AH450" s="301"/>
      <c r="AI450" s="301"/>
      <c r="AJ450" s="301"/>
    </row>
    <row r="451" ht="45.0" customHeight="1">
      <c r="A451" s="37"/>
      <c r="B451" s="12"/>
      <c r="C451" s="262"/>
      <c r="D451" s="301"/>
      <c r="E451" s="301"/>
      <c r="F451" s="301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  <c r="AC451" s="301"/>
      <c r="AD451" s="301"/>
      <c r="AE451" s="301"/>
      <c r="AF451" s="301"/>
      <c r="AG451" s="301"/>
      <c r="AH451" s="301"/>
      <c r="AI451" s="301"/>
      <c r="AJ451" s="301"/>
    </row>
    <row r="452" ht="45.0" customHeight="1">
      <c r="A452" s="37"/>
      <c r="B452" s="12"/>
      <c r="C452" s="262"/>
      <c r="D452" s="301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  <c r="AC452" s="301"/>
      <c r="AD452" s="301"/>
      <c r="AE452" s="301"/>
      <c r="AF452" s="301"/>
      <c r="AG452" s="301"/>
      <c r="AH452" s="301"/>
      <c r="AI452" s="301"/>
      <c r="AJ452" s="301"/>
    </row>
    <row r="453" ht="45.0" customHeight="1">
      <c r="A453" s="37"/>
      <c r="B453" s="12"/>
      <c r="C453" s="262"/>
      <c r="D453" s="301"/>
      <c r="E453" s="301"/>
      <c r="F453" s="301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  <c r="AC453" s="301"/>
      <c r="AD453" s="301"/>
      <c r="AE453" s="301"/>
      <c r="AF453" s="301"/>
      <c r="AG453" s="301"/>
      <c r="AH453" s="301"/>
      <c r="AI453" s="301"/>
      <c r="AJ453" s="301"/>
    </row>
    <row r="454" ht="45.0" customHeight="1">
      <c r="A454" s="37"/>
      <c r="B454" s="12"/>
      <c r="C454" s="262"/>
      <c r="D454" s="301"/>
      <c r="E454" s="301"/>
      <c r="F454" s="301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  <c r="AC454" s="301"/>
      <c r="AD454" s="301"/>
      <c r="AE454" s="301"/>
      <c r="AF454" s="301"/>
      <c r="AG454" s="301"/>
      <c r="AH454" s="301"/>
      <c r="AI454" s="301"/>
      <c r="AJ454" s="301"/>
    </row>
    <row r="455" ht="45.0" customHeight="1">
      <c r="A455" s="37"/>
      <c r="B455" s="12"/>
      <c r="C455" s="262"/>
      <c r="D455" s="301"/>
      <c r="E455" s="301"/>
      <c r="F455" s="301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  <c r="AB455" s="301"/>
      <c r="AC455" s="301"/>
      <c r="AD455" s="301"/>
      <c r="AE455" s="301"/>
      <c r="AF455" s="301"/>
      <c r="AG455" s="301"/>
      <c r="AH455" s="301"/>
      <c r="AI455" s="301"/>
      <c r="AJ455" s="301"/>
    </row>
    <row r="456" ht="45.0" customHeight="1">
      <c r="A456" s="37"/>
      <c r="B456" s="12"/>
      <c r="C456" s="262"/>
      <c r="D456" s="301"/>
      <c r="E456" s="301"/>
      <c r="F456" s="301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  <c r="AB456" s="301"/>
      <c r="AC456" s="301"/>
      <c r="AD456" s="301"/>
      <c r="AE456" s="301"/>
      <c r="AF456" s="301"/>
      <c r="AG456" s="301"/>
      <c r="AH456" s="301"/>
      <c r="AI456" s="301"/>
      <c r="AJ456" s="301"/>
    </row>
    <row r="457" ht="45.0" customHeight="1">
      <c r="A457" s="37"/>
      <c r="B457" s="12"/>
      <c r="C457" s="262"/>
      <c r="D457" s="301"/>
      <c r="E457" s="301"/>
      <c r="F457" s="301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  <c r="AB457" s="301"/>
      <c r="AC457" s="301"/>
      <c r="AD457" s="301"/>
      <c r="AE457" s="301"/>
      <c r="AF457" s="301"/>
      <c r="AG457" s="301"/>
      <c r="AH457" s="301"/>
      <c r="AI457" s="301"/>
      <c r="AJ457" s="301"/>
    </row>
    <row r="458" ht="45.0" customHeight="1">
      <c r="A458" s="37"/>
      <c r="B458" s="12"/>
      <c r="C458" s="262"/>
      <c r="D458" s="301"/>
      <c r="E458" s="301"/>
      <c r="F458" s="301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  <c r="AB458" s="301"/>
      <c r="AC458" s="301"/>
      <c r="AD458" s="301"/>
      <c r="AE458" s="301"/>
      <c r="AF458" s="301"/>
      <c r="AG458" s="301"/>
      <c r="AH458" s="301"/>
      <c r="AI458" s="301"/>
      <c r="AJ458" s="301"/>
    </row>
    <row r="459" ht="45.0" customHeight="1">
      <c r="A459" s="37"/>
      <c r="B459" s="12"/>
      <c r="C459" s="262"/>
      <c r="D459" s="301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  <c r="AB459" s="301"/>
      <c r="AC459" s="301"/>
      <c r="AD459" s="301"/>
      <c r="AE459" s="301"/>
      <c r="AF459" s="301"/>
      <c r="AG459" s="301"/>
      <c r="AH459" s="301"/>
      <c r="AI459" s="301"/>
      <c r="AJ459" s="301"/>
    </row>
    <row r="460" ht="45.0" customHeight="1">
      <c r="A460" s="37"/>
      <c r="B460" s="12"/>
      <c r="C460" s="262"/>
      <c r="D460" s="301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  <c r="AC460" s="301"/>
      <c r="AD460" s="301"/>
      <c r="AE460" s="301"/>
      <c r="AF460" s="301"/>
      <c r="AG460" s="301"/>
      <c r="AH460" s="301"/>
      <c r="AI460" s="301"/>
      <c r="AJ460" s="301"/>
    </row>
    <row r="461" ht="45.0" customHeight="1">
      <c r="A461" s="37"/>
      <c r="B461" s="12"/>
      <c r="C461" s="262"/>
      <c r="D461" s="301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  <c r="AC461" s="301"/>
      <c r="AD461" s="301"/>
      <c r="AE461" s="301"/>
      <c r="AF461" s="301"/>
      <c r="AG461" s="301"/>
      <c r="AH461" s="301"/>
      <c r="AI461" s="301"/>
      <c r="AJ461" s="301"/>
    </row>
    <row r="462" ht="45.0" customHeight="1">
      <c r="A462" s="37"/>
      <c r="B462" s="12"/>
      <c r="C462" s="262"/>
      <c r="D462" s="301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  <c r="AC462" s="301"/>
      <c r="AD462" s="301"/>
      <c r="AE462" s="301"/>
      <c r="AF462" s="301"/>
      <c r="AG462" s="301"/>
      <c r="AH462" s="301"/>
      <c r="AI462" s="301"/>
      <c r="AJ462" s="301"/>
    </row>
    <row r="463" ht="45.0" customHeight="1">
      <c r="A463" s="37"/>
      <c r="B463" s="12"/>
      <c r="C463" s="262"/>
      <c r="D463" s="301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  <c r="AC463" s="301"/>
      <c r="AD463" s="301"/>
      <c r="AE463" s="301"/>
      <c r="AF463" s="301"/>
      <c r="AG463" s="301"/>
      <c r="AH463" s="301"/>
      <c r="AI463" s="301"/>
      <c r="AJ463" s="301"/>
    </row>
    <row r="464" ht="45.0" customHeight="1">
      <c r="A464" s="37"/>
      <c r="B464" s="12"/>
      <c r="C464" s="262"/>
      <c r="D464" s="301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  <c r="AC464" s="301"/>
      <c r="AD464" s="301"/>
      <c r="AE464" s="301"/>
      <c r="AF464" s="301"/>
      <c r="AG464" s="301"/>
      <c r="AH464" s="301"/>
      <c r="AI464" s="301"/>
      <c r="AJ464" s="301"/>
    </row>
    <row r="465" ht="45.0" customHeight="1">
      <c r="A465" s="37"/>
      <c r="B465" s="12"/>
      <c r="C465" s="262"/>
      <c r="D465" s="301"/>
      <c r="E465" s="301"/>
      <c r="F465" s="301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  <c r="AB465" s="301"/>
      <c r="AC465" s="301"/>
      <c r="AD465" s="301"/>
      <c r="AE465" s="301"/>
      <c r="AF465" s="301"/>
      <c r="AG465" s="301"/>
      <c r="AH465" s="301"/>
      <c r="AI465" s="301"/>
      <c r="AJ465" s="301"/>
    </row>
    <row r="466" ht="45.0" customHeight="1">
      <c r="A466" s="37"/>
      <c r="B466" s="12"/>
      <c r="C466" s="262"/>
      <c r="D466" s="301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  <c r="AC466" s="301"/>
      <c r="AD466" s="301"/>
      <c r="AE466" s="301"/>
      <c r="AF466" s="301"/>
      <c r="AG466" s="301"/>
      <c r="AH466" s="301"/>
      <c r="AI466" s="301"/>
      <c r="AJ466" s="301"/>
    </row>
    <row r="467" ht="45.0" customHeight="1">
      <c r="A467" s="37"/>
      <c r="B467" s="12"/>
      <c r="C467" s="262"/>
      <c r="D467" s="301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  <c r="AC467" s="301"/>
      <c r="AD467" s="301"/>
      <c r="AE467" s="301"/>
      <c r="AF467" s="301"/>
      <c r="AG467" s="301"/>
      <c r="AH467" s="301"/>
      <c r="AI467" s="301"/>
      <c r="AJ467" s="301"/>
    </row>
    <row r="468" ht="45.0" customHeight="1">
      <c r="A468" s="37"/>
      <c r="B468" s="12"/>
      <c r="C468" s="262"/>
      <c r="D468" s="301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  <c r="AC468" s="301"/>
      <c r="AD468" s="301"/>
      <c r="AE468" s="301"/>
      <c r="AF468" s="301"/>
      <c r="AG468" s="301"/>
      <c r="AH468" s="301"/>
      <c r="AI468" s="301"/>
      <c r="AJ468" s="301"/>
    </row>
    <row r="469" ht="45.0" customHeight="1">
      <c r="A469" s="37"/>
      <c r="B469" s="12"/>
      <c r="C469" s="262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1"/>
      <c r="AG469" s="301"/>
      <c r="AH469" s="301"/>
      <c r="AI469" s="301"/>
      <c r="AJ469" s="301"/>
    </row>
    <row r="470" ht="45.0" customHeight="1">
      <c r="A470" s="37"/>
      <c r="B470" s="12"/>
      <c r="C470" s="262"/>
      <c r="D470" s="305"/>
      <c r="E470" s="305"/>
      <c r="F470" s="305"/>
      <c r="G470" s="305"/>
      <c r="H470" s="305"/>
      <c r="I470" s="305"/>
      <c r="J470" s="305"/>
      <c r="K470" s="305"/>
      <c r="L470" s="305"/>
      <c r="M470" s="305"/>
      <c r="N470" s="305"/>
      <c r="O470" s="305"/>
      <c r="P470" s="305"/>
      <c r="Q470" s="305"/>
      <c r="R470" s="305"/>
      <c r="S470" s="305"/>
      <c r="T470" s="305"/>
      <c r="U470" s="305"/>
      <c r="V470" s="305"/>
      <c r="W470" s="305"/>
      <c r="X470" s="305"/>
      <c r="Y470" s="305"/>
      <c r="Z470" s="305"/>
      <c r="AA470" s="305"/>
      <c r="AB470" s="305"/>
      <c r="AC470" s="305"/>
      <c r="AD470" s="305"/>
      <c r="AE470" s="305"/>
      <c r="AF470" s="305"/>
      <c r="AG470" s="305"/>
      <c r="AH470" s="305"/>
      <c r="AI470" s="305"/>
      <c r="AJ470" s="305"/>
    </row>
    <row r="471" ht="45.0" customHeight="1">
      <c r="A471" s="37"/>
      <c r="B471" s="12"/>
      <c r="C471" s="262"/>
      <c r="D471" s="301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  <c r="AC471" s="301"/>
      <c r="AD471" s="301"/>
      <c r="AE471" s="301"/>
      <c r="AF471" s="301"/>
      <c r="AG471" s="301"/>
      <c r="AH471" s="301"/>
      <c r="AI471" s="301"/>
      <c r="AJ471" s="301"/>
    </row>
    <row r="472" ht="45.0" customHeight="1">
      <c r="A472" s="37"/>
      <c r="B472" s="12"/>
      <c r="C472" s="262"/>
      <c r="D472" s="301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  <c r="AC472" s="301"/>
      <c r="AD472" s="301"/>
      <c r="AE472" s="301"/>
      <c r="AF472" s="301"/>
      <c r="AG472" s="301"/>
      <c r="AH472" s="301"/>
      <c r="AI472" s="301"/>
      <c r="AJ472" s="301"/>
    </row>
    <row r="473" ht="45.0" customHeight="1">
      <c r="A473" s="37"/>
      <c r="B473" s="12"/>
      <c r="C473" s="262"/>
      <c r="D473" s="301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  <c r="AC473" s="301"/>
      <c r="AD473" s="301"/>
      <c r="AE473" s="301"/>
      <c r="AF473" s="301"/>
      <c r="AG473" s="301"/>
      <c r="AH473" s="301"/>
      <c r="AI473" s="301"/>
      <c r="AJ473" s="301"/>
    </row>
    <row r="474" ht="45.0" customHeight="1">
      <c r="A474" s="37"/>
      <c r="B474" s="12"/>
      <c r="C474" s="262"/>
      <c r="D474" s="301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  <c r="AC474" s="301"/>
      <c r="AD474" s="301"/>
      <c r="AE474" s="301"/>
      <c r="AF474" s="301"/>
      <c r="AG474" s="301"/>
      <c r="AH474" s="301"/>
      <c r="AI474" s="301"/>
      <c r="AJ474" s="301"/>
    </row>
    <row r="475" ht="45.0" customHeight="1">
      <c r="A475" s="37"/>
      <c r="B475" s="12"/>
      <c r="C475" s="262"/>
      <c r="D475" s="301"/>
      <c r="E475" s="301"/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  <c r="AC475" s="301"/>
      <c r="AD475" s="301"/>
      <c r="AE475" s="301"/>
      <c r="AF475" s="301"/>
      <c r="AG475" s="301"/>
      <c r="AH475" s="301"/>
      <c r="AI475" s="301"/>
      <c r="AJ475" s="301"/>
    </row>
    <row r="476" ht="45.0" customHeight="1">
      <c r="A476" s="37"/>
      <c r="B476" s="12"/>
      <c r="C476" s="262"/>
      <c r="D476" s="301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  <c r="AB476" s="301"/>
      <c r="AC476" s="301"/>
      <c r="AD476" s="301"/>
      <c r="AE476" s="301"/>
      <c r="AF476" s="301"/>
      <c r="AG476" s="301"/>
      <c r="AH476" s="301"/>
      <c r="AI476" s="301"/>
      <c r="AJ476" s="301"/>
    </row>
    <row r="477" ht="45.0" customHeight="1">
      <c r="A477" s="37"/>
      <c r="B477" s="12"/>
      <c r="C477" s="262"/>
      <c r="D477" s="301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  <c r="AC477" s="301"/>
      <c r="AD477" s="301"/>
      <c r="AE477" s="301"/>
      <c r="AF477" s="301"/>
      <c r="AG477" s="301"/>
      <c r="AH477" s="301"/>
      <c r="AI477" s="301"/>
      <c r="AJ477" s="301"/>
    </row>
    <row r="478" ht="45.0" customHeight="1">
      <c r="A478" s="37"/>
      <c r="B478" s="12"/>
      <c r="C478" s="262"/>
      <c r="D478" s="301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  <c r="AC478" s="301"/>
      <c r="AD478" s="301"/>
      <c r="AE478" s="301"/>
      <c r="AF478" s="301"/>
      <c r="AG478" s="301"/>
      <c r="AH478" s="301"/>
      <c r="AI478" s="301"/>
      <c r="AJ478" s="301"/>
    </row>
    <row r="479" ht="45.0" customHeight="1">
      <c r="A479" s="37"/>
      <c r="B479" s="12"/>
      <c r="C479" s="262"/>
      <c r="D479" s="301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  <c r="AC479" s="301"/>
      <c r="AD479" s="301"/>
      <c r="AE479" s="301"/>
      <c r="AF479" s="301"/>
      <c r="AG479" s="301"/>
      <c r="AH479" s="301"/>
      <c r="AI479" s="301"/>
      <c r="AJ479" s="301"/>
    </row>
    <row r="480" ht="45.0" customHeight="1">
      <c r="A480" s="37"/>
      <c r="B480" s="12"/>
      <c r="C480" s="262"/>
      <c r="D480" s="301"/>
      <c r="E480" s="301"/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  <c r="AC480" s="301"/>
      <c r="AD480" s="301"/>
      <c r="AE480" s="301"/>
      <c r="AF480" s="301"/>
      <c r="AG480" s="301"/>
      <c r="AH480" s="301"/>
      <c r="AI480" s="301"/>
      <c r="AJ480" s="301"/>
    </row>
    <row r="481" ht="45.0" customHeight="1">
      <c r="A481" s="37"/>
      <c r="B481" s="12"/>
      <c r="C481" s="262"/>
      <c r="D481" s="305"/>
      <c r="E481" s="305"/>
      <c r="F481" s="305"/>
      <c r="G481" s="305"/>
      <c r="H481" s="305"/>
      <c r="I481" s="305"/>
      <c r="J481" s="305"/>
      <c r="K481" s="305"/>
      <c r="L481" s="305"/>
      <c r="M481" s="305"/>
      <c r="N481" s="305"/>
      <c r="O481" s="305"/>
      <c r="P481" s="305"/>
      <c r="Q481" s="305"/>
      <c r="R481" s="305"/>
      <c r="S481" s="305"/>
      <c r="T481" s="305"/>
      <c r="U481" s="305"/>
      <c r="V481" s="305"/>
      <c r="W481" s="305"/>
      <c r="X481" s="305"/>
      <c r="Y481" s="305"/>
      <c r="Z481" s="305"/>
      <c r="AA481" s="305"/>
      <c r="AB481" s="305"/>
      <c r="AC481" s="305"/>
      <c r="AD481" s="305"/>
      <c r="AE481" s="305"/>
      <c r="AF481" s="305"/>
      <c r="AG481" s="305"/>
      <c r="AH481" s="305"/>
      <c r="AI481" s="305"/>
      <c r="AJ481" s="305"/>
    </row>
    <row r="482" ht="45.0" customHeight="1">
      <c r="A482" s="37"/>
      <c r="B482" s="12"/>
      <c r="C482" s="262"/>
      <c r="D482" s="301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  <c r="AC482" s="301"/>
      <c r="AD482" s="301"/>
      <c r="AE482" s="301"/>
      <c r="AF482" s="301"/>
      <c r="AG482" s="301"/>
      <c r="AH482" s="301"/>
      <c r="AI482" s="301"/>
      <c r="AJ482" s="301"/>
    </row>
    <row r="483" ht="45.0" customHeight="1">
      <c r="A483" s="37"/>
      <c r="B483" s="12"/>
      <c r="C483" s="262"/>
      <c r="D483" s="301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  <c r="AC483" s="301"/>
      <c r="AD483" s="301"/>
      <c r="AE483" s="301"/>
      <c r="AF483" s="301"/>
      <c r="AG483" s="301"/>
      <c r="AH483" s="301"/>
      <c r="AI483" s="301"/>
      <c r="AJ483" s="301"/>
    </row>
    <row r="484" ht="45.0" customHeight="1">
      <c r="A484" s="37"/>
      <c r="B484" s="12"/>
      <c r="C484" s="262"/>
      <c r="D484" s="301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  <c r="AC484" s="301"/>
      <c r="AD484" s="301"/>
      <c r="AE484" s="301"/>
      <c r="AF484" s="301"/>
      <c r="AG484" s="301"/>
      <c r="AH484" s="301"/>
      <c r="AI484" s="301"/>
      <c r="AJ484" s="301"/>
    </row>
    <row r="485" ht="45.0" customHeight="1">
      <c r="A485" s="37"/>
      <c r="B485" s="12"/>
      <c r="C485" s="262"/>
      <c r="D485" s="301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  <c r="AC485" s="301"/>
      <c r="AD485" s="301"/>
      <c r="AE485" s="301"/>
      <c r="AF485" s="301"/>
      <c r="AG485" s="301"/>
      <c r="AH485" s="301"/>
      <c r="AI485" s="301"/>
      <c r="AJ485" s="301"/>
    </row>
    <row r="486" ht="45.0" customHeight="1">
      <c r="A486" s="37"/>
      <c r="B486" s="12"/>
      <c r="C486" s="262"/>
      <c r="D486" s="301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  <c r="AC486" s="301"/>
      <c r="AD486" s="301"/>
      <c r="AE486" s="301"/>
      <c r="AF486" s="301"/>
      <c r="AG486" s="301"/>
      <c r="AH486" s="301"/>
      <c r="AI486" s="301"/>
      <c r="AJ486" s="301"/>
    </row>
    <row r="487" ht="45.0" customHeight="1">
      <c r="A487" s="37"/>
      <c r="B487" s="12"/>
      <c r="C487" s="262"/>
      <c r="D487" s="301"/>
      <c r="E487" s="301"/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  <c r="AC487" s="301"/>
      <c r="AD487" s="301"/>
      <c r="AE487" s="301"/>
      <c r="AF487" s="301"/>
      <c r="AG487" s="301"/>
      <c r="AH487" s="301"/>
      <c r="AI487" s="301"/>
      <c r="AJ487" s="301"/>
    </row>
    <row r="488" ht="45.0" customHeight="1">
      <c r="A488" s="37"/>
      <c r="B488" s="12"/>
      <c r="C488" s="262"/>
      <c r="D488" s="301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  <c r="AC488" s="301"/>
      <c r="AD488" s="301"/>
      <c r="AE488" s="301"/>
      <c r="AF488" s="301"/>
      <c r="AG488" s="301"/>
      <c r="AH488" s="301"/>
      <c r="AI488" s="301"/>
      <c r="AJ488" s="301"/>
    </row>
    <row r="489" ht="45.0" customHeight="1">
      <c r="A489" s="37"/>
      <c r="B489" s="12"/>
      <c r="C489" s="262"/>
      <c r="D489" s="301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  <c r="AC489" s="301"/>
      <c r="AD489" s="301"/>
      <c r="AE489" s="301"/>
      <c r="AF489" s="301"/>
      <c r="AG489" s="301"/>
      <c r="AH489" s="301"/>
      <c r="AI489" s="301"/>
      <c r="AJ489" s="301"/>
    </row>
    <row r="490" ht="45.0" customHeight="1">
      <c r="A490" s="37"/>
      <c r="B490" s="12"/>
      <c r="C490" s="262"/>
      <c r="D490" s="301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  <c r="AC490" s="301"/>
      <c r="AD490" s="301"/>
      <c r="AE490" s="301"/>
      <c r="AF490" s="301"/>
      <c r="AG490" s="301"/>
      <c r="AH490" s="301"/>
      <c r="AI490" s="301"/>
      <c r="AJ490" s="301"/>
    </row>
    <row r="491" ht="45.0" customHeight="1">
      <c r="A491" s="37"/>
      <c r="B491" s="12"/>
      <c r="C491" s="262"/>
      <c r="D491" s="301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  <c r="AC491" s="301"/>
      <c r="AD491" s="301"/>
      <c r="AE491" s="301"/>
      <c r="AF491" s="301"/>
      <c r="AG491" s="301"/>
      <c r="AH491" s="301"/>
      <c r="AI491" s="301"/>
      <c r="AJ491" s="301"/>
    </row>
    <row r="492" ht="45.0" customHeight="1">
      <c r="A492" s="37"/>
      <c r="B492" s="12"/>
      <c r="C492" s="262"/>
      <c r="D492" s="301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  <c r="AC492" s="301"/>
      <c r="AD492" s="301"/>
      <c r="AE492" s="301"/>
      <c r="AF492" s="301"/>
      <c r="AG492" s="301"/>
      <c r="AH492" s="301"/>
      <c r="AI492" s="301"/>
      <c r="AJ492" s="301"/>
    </row>
    <row r="493" ht="45.0" customHeight="1">
      <c r="A493" s="37"/>
      <c r="B493" s="12"/>
      <c r="C493" s="262"/>
      <c r="D493" s="301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  <c r="AC493" s="301"/>
      <c r="AD493" s="301"/>
      <c r="AE493" s="301"/>
      <c r="AF493" s="301"/>
      <c r="AG493" s="301"/>
      <c r="AH493" s="301"/>
      <c r="AI493" s="301"/>
      <c r="AJ493" s="301"/>
    </row>
    <row r="494" ht="45.0" customHeight="1">
      <c r="A494" s="37"/>
      <c r="B494" s="12"/>
      <c r="C494" s="262"/>
      <c r="D494" s="301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  <c r="AC494" s="301"/>
      <c r="AD494" s="301"/>
      <c r="AE494" s="301"/>
      <c r="AF494" s="301"/>
      <c r="AG494" s="301"/>
      <c r="AH494" s="301"/>
      <c r="AI494" s="301"/>
      <c r="AJ494" s="301"/>
    </row>
    <row r="495" ht="45.0" customHeight="1">
      <c r="A495" s="37"/>
      <c r="B495" s="12"/>
      <c r="C495" s="262"/>
      <c r="D495" s="301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  <c r="AC495" s="301"/>
      <c r="AD495" s="301"/>
      <c r="AE495" s="301"/>
      <c r="AF495" s="301"/>
      <c r="AG495" s="301"/>
      <c r="AH495" s="301"/>
      <c r="AI495" s="301"/>
      <c r="AJ495" s="301"/>
    </row>
    <row r="496" ht="45.0" customHeight="1">
      <c r="A496" s="37"/>
      <c r="B496" s="12"/>
      <c r="C496" s="262"/>
      <c r="D496" s="301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  <c r="AC496" s="301"/>
      <c r="AD496" s="301"/>
      <c r="AE496" s="301"/>
      <c r="AF496" s="301"/>
      <c r="AG496" s="301"/>
      <c r="AH496" s="301"/>
      <c r="AI496" s="301"/>
      <c r="AJ496" s="301"/>
    </row>
    <row r="497" ht="45.0" customHeight="1">
      <c r="A497" s="37"/>
      <c r="B497" s="12"/>
      <c r="C497" s="262"/>
      <c r="D497" s="301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  <c r="AC497" s="301"/>
      <c r="AD497" s="301"/>
      <c r="AE497" s="301"/>
      <c r="AF497" s="301"/>
      <c r="AG497" s="301"/>
      <c r="AH497" s="301"/>
      <c r="AI497" s="301"/>
      <c r="AJ497" s="301"/>
    </row>
    <row r="498" ht="45.0" customHeight="1">
      <c r="A498" s="37"/>
      <c r="B498" s="12"/>
      <c r="C498" s="262"/>
      <c r="D498" s="301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  <c r="AC498" s="301"/>
      <c r="AD498" s="301"/>
      <c r="AE498" s="301"/>
      <c r="AF498" s="301"/>
      <c r="AG498" s="301"/>
      <c r="AH498" s="301"/>
      <c r="AI498" s="301"/>
      <c r="AJ498" s="301"/>
    </row>
    <row r="499" ht="45.0" customHeight="1">
      <c r="A499" s="37"/>
      <c r="B499" s="12"/>
      <c r="C499" s="262"/>
      <c r="D499" s="301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  <c r="AC499" s="301"/>
      <c r="AD499" s="301"/>
      <c r="AE499" s="301"/>
      <c r="AF499" s="301"/>
      <c r="AG499" s="301"/>
      <c r="AH499" s="301"/>
      <c r="AI499" s="301"/>
      <c r="AJ499" s="301"/>
    </row>
    <row r="500" ht="45.0" customHeight="1">
      <c r="A500" s="37"/>
      <c r="B500" s="12"/>
      <c r="C500" s="262"/>
      <c r="D500" s="301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  <c r="AB500" s="301"/>
      <c r="AC500" s="301"/>
      <c r="AD500" s="301"/>
      <c r="AE500" s="301"/>
      <c r="AF500" s="301"/>
      <c r="AG500" s="301"/>
      <c r="AH500" s="301"/>
      <c r="AI500" s="301"/>
      <c r="AJ500" s="301"/>
    </row>
    <row r="501" ht="45.0" customHeight="1">
      <c r="A501" s="37"/>
      <c r="B501" s="12"/>
      <c r="C501" s="262"/>
      <c r="D501" s="301"/>
      <c r="E501" s="301"/>
      <c r="F501" s="301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  <c r="AB501" s="301"/>
      <c r="AC501" s="301"/>
      <c r="AD501" s="301"/>
      <c r="AE501" s="301"/>
      <c r="AF501" s="301"/>
      <c r="AG501" s="301"/>
      <c r="AH501" s="301"/>
      <c r="AI501" s="301"/>
      <c r="AJ501" s="301"/>
    </row>
    <row r="502" ht="45.0" customHeight="1">
      <c r="A502" s="37"/>
      <c r="B502" s="12"/>
      <c r="C502" s="262"/>
      <c r="D502" s="301"/>
      <c r="E502" s="301"/>
      <c r="F502" s="301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  <c r="AB502" s="301"/>
      <c r="AC502" s="301"/>
      <c r="AD502" s="301"/>
      <c r="AE502" s="301"/>
      <c r="AF502" s="301"/>
      <c r="AG502" s="301"/>
      <c r="AH502" s="301"/>
      <c r="AI502" s="301"/>
      <c r="AJ502" s="301"/>
    </row>
    <row r="503" ht="45.0" customHeight="1">
      <c r="A503" s="37"/>
      <c r="B503" s="12"/>
      <c r="C503" s="262"/>
      <c r="D503" s="301"/>
      <c r="E503" s="301"/>
      <c r="F503" s="301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  <c r="AB503" s="301"/>
      <c r="AC503" s="301"/>
      <c r="AD503" s="301"/>
      <c r="AE503" s="301"/>
      <c r="AF503" s="301"/>
      <c r="AG503" s="301"/>
      <c r="AH503" s="301"/>
      <c r="AI503" s="301"/>
      <c r="AJ503" s="301"/>
    </row>
    <row r="504" ht="45.0" customHeight="1">
      <c r="A504" s="37"/>
      <c r="B504" s="12"/>
      <c r="C504" s="262"/>
      <c r="D504" s="301"/>
      <c r="E504" s="301"/>
      <c r="F504" s="301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  <c r="AB504" s="301"/>
      <c r="AC504" s="301"/>
      <c r="AD504" s="301"/>
      <c r="AE504" s="301"/>
      <c r="AF504" s="301"/>
      <c r="AG504" s="301"/>
      <c r="AH504" s="301"/>
      <c r="AI504" s="301"/>
      <c r="AJ504" s="301"/>
    </row>
    <row r="505" ht="45.0" customHeight="1">
      <c r="A505" s="37"/>
      <c r="B505" s="12"/>
      <c r="C505" s="262"/>
      <c r="D505" s="301"/>
      <c r="E505" s="301"/>
      <c r="F505" s="301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  <c r="AB505" s="301"/>
      <c r="AC505" s="301"/>
      <c r="AD505" s="301"/>
      <c r="AE505" s="301"/>
      <c r="AF505" s="301"/>
      <c r="AG505" s="301"/>
      <c r="AH505" s="301"/>
      <c r="AI505" s="301"/>
      <c r="AJ505" s="301"/>
    </row>
    <row r="506" ht="45.0" customHeight="1">
      <c r="A506" s="37"/>
      <c r="B506" s="12"/>
      <c r="C506" s="262"/>
      <c r="D506" s="301"/>
      <c r="E506" s="301"/>
      <c r="F506" s="301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  <c r="AC506" s="301"/>
      <c r="AD506" s="301"/>
      <c r="AE506" s="301"/>
      <c r="AF506" s="301"/>
      <c r="AG506" s="301"/>
      <c r="AH506" s="301"/>
      <c r="AI506" s="301"/>
      <c r="AJ506" s="301"/>
    </row>
    <row r="507" ht="45.0" customHeight="1">
      <c r="A507" s="37"/>
      <c r="B507" s="12"/>
      <c r="C507" s="262"/>
      <c r="D507" s="301"/>
      <c r="E507" s="301"/>
      <c r="F507" s="301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  <c r="AB507" s="301"/>
      <c r="AC507" s="301"/>
      <c r="AD507" s="301"/>
      <c r="AE507" s="301"/>
      <c r="AF507" s="301"/>
      <c r="AG507" s="301"/>
      <c r="AH507" s="301"/>
      <c r="AI507" s="301"/>
      <c r="AJ507" s="301"/>
    </row>
    <row r="508" ht="45.0" customHeight="1">
      <c r="A508" s="37"/>
      <c r="B508" s="12"/>
      <c r="C508" s="262"/>
      <c r="D508" s="301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  <c r="AB508" s="301"/>
      <c r="AC508" s="301"/>
      <c r="AD508" s="301"/>
      <c r="AE508" s="301"/>
      <c r="AF508" s="301"/>
      <c r="AG508" s="301"/>
      <c r="AH508" s="301"/>
      <c r="AI508" s="301"/>
      <c r="AJ508" s="301"/>
    </row>
    <row r="509" ht="45.0" customHeight="1">
      <c r="A509" s="37"/>
      <c r="B509" s="12"/>
      <c r="C509" s="262"/>
      <c r="D509" s="305">
        <v>1.0</v>
      </c>
      <c r="E509" s="305">
        <v>2.0</v>
      </c>
      <c r="F509" s="305">
        <v>3.0</v>
      </c>
      <c r="G509" s="305">
        <v>4.0</v>
      </c>
      <c r="H509" s="305">
        <v>5.0</v>
      </c>
      <c r="I509" s="305">
        <v>6.0</v>
      </c>
      <c r="J509" s="305">
        <v>7.0</v>
      </c>
      <c r="K509" s="305">
        <v>8.0</v>
      </c>
      <c r="L509" s="305">
        <v>9.0</v>
      </c>
      <c r="M509" s="305">
        <v>10.0</v>
      </c>
      <c r="N509" s="305">
        <v>11.0</v>
      </c>
      <c r="O509" s="305">
        <v>12.0</v>
      </c>
      <c r="P509" s="305">
        <v>13.0</v>
      </c>
      <c r="Q509" s="305">
        <v>14.0</v>
      </c>
      <c r="R509" s="305">
        <v>15.0</v>
      </c>
      <c r="S509" s="305">
        <v>16.0</v>
      </c>
      <c r="T509" s="305">
        <v>17.0</v>
      </c>
      <c r="U509" s="305">
        <v>18.0</v>
      </c>
      <c r="V509" s="305">
        <v>19.0</v>
      </c>
      <c r="W509" s="305">
        <v>20.0</v>
      </c>
      <c r="X509" s="305">
        <v>21.0</v>
      </c>
      <c r="Y509" s="305">
        <v>22.0</v>
      </c>
      <c r="Z509" s="305">
        <v>23.0</v>
      </c>
      <c r="AA509" s="305">
        <v>24.0</v>
      </c>
      <c r="AB509" s="305">
        <v>25.0</v>
      </c>
      <c r="AC509" s="305">
        <v>26.0</v>
      </c>
      <c r="AD509" s="305">
        <v>27.0</v>
      </c>
      <c r="AE509" s="305">
        <v>28.0</v>
      </c>
      <c r="AF509" s="305">
        <v>29.0</v>
      </c>
      <c r="AG509" s="305">
        <v>30.0</v>
      </c>
      <c r="AH509" s="305">
        <v>31.0</v>
      </c>
      <c r="AI509" s="305">
        <v>32.0</v>
      </c>
      <c r="AJ509" s="305">
        <v>33.0</v>
      </c>
    </row>
    <row r="510" ht="45.0" customHeight="1">
      <c r="A510" s="37"/>
      <c r="B510" s="12"/>
      <c r="C510" s="262"/>
      <c r="D510" s="301"/>
      <c r="E510" s="301"/>
      <c r="F510" s="301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  <c r="AB510" s="301"/>
      <c r="AC510" s="301"/>
      <c r="AD510" s="301"/>
      <c r="AE510" s="301"/>
      <c r="AF510" s="301"/>
      <c r="AG510" s="301"/>
      <c r="AH510" s="301"/>
      <c r="AI510" s="301"/>
      <c r="AJ510" s="301"/>
    </row>
    <row r="511" ht="45.0" customHeight="1">
      <c r="A511" s="37"/>
      <c r="B511" s="12"/>
      <c r="C511" s="262"/>
      <c r="D511" s="301"/>
      <c r="E511" s="301"/>
      <c r="F511" s="301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  <c r="AB511" s="301"/>
      <c r="AC511" s="301"/>
      <c r="AD511" s="301"/>
      <c r="AE511" s="301"/>
      <c r="AF511" s="301"/>
      <c r="AG511" s="301"/>
      <c r="AH511" s="301"/>
      <c r="AI511" s="301"/>
      <c r="AJ511" s="301"/>
    </row>
    <row r="512" ht="45.0" customHeight="1">
      <c r="A512" s="37"/>
      <c r="B512" s="12"/>
      <c r="C512" s="262"/>
      <c r="D512" s="301"/>
      <c r="E512" s="301"/>
      <c r="F512" s="301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  <c r="AB512" s="301"/>
      <c r="AC512" s="301"/>
      <c r="AD512" s="301"/>
      <c r="AE512" s="301"/>
      <c r="AF512" s="301"/>
      <c r="AG512" s="301"/>
      <c r="AH512" s="301"/>
      <c r="AI512" s="301"/>
      <c r="AJ512" s="301"/>
    </row>
    <row r="513" ht="45.0" customHeight="1">
      <c r="A513" s="37"/>
      <c r="B513" s="12"/>
      <c r="C513" s="262"/>
      <c r="D513" s="301"/>
      <c r="E513" s="301"/>
      <c r="F513" s="301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  <c r="AB513" s="301"/>
      <c r="AC513" s="301"/>
      <c r="AD513" s="301"/>
      <c r="AE513" s="301"/>
      <c r="AF513" s="301"/>
      <c r="AG513" s="301"/>
      <c r="AH513" s="301"/>
      <c r="AI513" s="301"/>
      <c r="AJ513" s="301"/>
    </row>
    <row r="514" ht="45.0" customHeight="1">
      <c r="A514" s="37"/>
      <c r="B514" s="12"/>
      <c r="C514" s="262"/>
      <c r="D514" s="301"/>
      <c r="E514" s="301"/>
      <c r="F514" s="301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  <c r="AB514" s="301"/>
      <c r="AC514" s="301"/>
      <c r="AD514" s="301"/>
      <c r="AE514" s="301"/>
      <c r="AF514" s="301"/>
      <c r="AG514" s="301"/>
      <c r="AH514" s="301"/>
      <c r="AI514" s="301"/>
      <c r="AJ514" s="301"/>
    </row>
    <row r="515" ht="45.0" customHeight="1">
      <c r="A515" s="37"/>
      <c r="B515" s="12"/>
      <c r="C515" s="262"/>
      <c r="D515" s="301"/>
      <c r="E515" s="301"/>
      <c r="F515" s="301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  <c r="AB515" s="301"/>
      <c r="AC515" s="301"/>
      <c r="AD515" s="301"/>
      <c r="AE515" s="301"/>
      <c r="AF515" s="301"/>
      <c r="AG515" s="301"/>
      <c r="AH515" s="301"/>
      <c r="AI515" s="301"/>
      <c r="AJ515" s="301"/>
    </row>
    <row r="516" ht="45.0" customHeight="1">
      <c r="A516" s="37"/>
      <c r="B516" s="12"/>
      <c r="C516" s="262"/>
      <c r="D516" s="301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  <c r="AB516" s="301"/>
      <c r="AC516" s="301"/>
      <c r="AD516" s="301"/>
      <c r="AE516" s="301"/>
      <c r="AF516" s="301"/>
      <c r="AG516" s="301"/>
      <c r="AH516" s="301"/>
      <c r="AI516" s="301"/>
      <c r="AJ516" s="301"/>
    </row>
    <row r="517" ht="45.0" customHeight="1">
      <c r="A517" s="37"/>
      <c r="B517" s="12"/>
      <c r="C517" s="262"/>
      <c r="D517" s="301"/>
      <c r="E517" s="301"/>
      <c r="F517" s="301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  <c r="AB517" s="301"/>
      <c r="AC517" s="301"/>
      <c r="AD517" s="301"/>
      <c r="AE517" s="301"/>
      <c r="AF517" s="301"/>
      <c r="AG517" s="301"/>
      <c r="AH517" s="301"/>
      <c r="AI517" s="301"/>
      <c r="AJ517" s="301"/>
    </row>
    <row r="518" ht="45.0" customHeight="1">
      <c r="A518" s="37"/>
      <c r="B518" s="12"/>
      <c r="C518" s="262"/>
      <c r="D518" s="301"/>
      <c r="E518" s="301"/>
      <c r="F518" s="301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  <c r="AB518" s="301"/>
      <c r="AC518" s="301"/>
      <c r="AD518" s="301"/>
      <c r="AE518" s="301"/>
      <c r="AF518" s="301"/>
      <c r="AG518" s="301"/>
      <c r="AH518" s="301"/>
      <c r="AI518" s="301"/>
      <c r="AJ518" s="301"/>
    </row>
    <row r="519" ht="45.0" customHeight="1">
      <c r="A519" s="37"/>
      <c r="B519" s="12"/>
      <c r="C519" s="262"/>
      <c r="D519" s="301"/>
      <c r="E519" s="301"/>
      <c r="F519" s="301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  <c r="AB519" s="301"/>
      <c r="AC519" s="301"/>
      <c r="AD519" s="301"/>
      <c r="AE519" s="301"/>
      <c r="AF519" s="301"/>
      <c r="AG519" s="301"/>
      <c r="AH519" s="301"/>
      <c r="AI519" s="301"/>
      <c r="AJ519" s="301"/>
    </row>
    <row r="520" ht="45.0" customHeight="1">
      <c r="A520" s="37"/>
      <c r="B520" s="12"/>
      <c r="C520" s="262"/>
      <c r="D520" s="301"/>
      <c r="E520" s="301"/>
      <c r="F520" s="301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  <c r="AB520" s="301"/>
      <c r="AC520" s="301"/>
      <c r="AD520" s="301"/>
      <c r="AE520" s="301"/>
      <c r="AF520" s="301"/>
      <c r="AG520" s="301"/>
      <c r="AH520" s="301"/>
      <c r="AI520" s="301"/>
      <c r="AJ520" s="301"/>
    </row>
    <row r="521" ht="45.0" customHeight="1">
      <c r="A521" s="37"/>
      <c r="B521" s="12"/>
      <c r="C521" s="262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1"/>
      <c r="AG521" s="301"/>
      <c r="AH521" s="301"/>
      <c r="AI521" s="301"/>
      <c r="AJ521" s="301"/>
    </row>
    <row r="522" ht="45.0" customHeight="1">
      <c r="A522" s="37"/>
      <c r="B522" s="12"/>
      <c r="C522" s="262"/>
      <c r="D522" s="301"/>
      <c r="E522" s="301"/>
      <c r="F522" s="301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  <c r="AC522" s="301"/>
      <c r="AD522" s="301"/>
      <c r="AE522" s="301"/>
      <c r="AF522" s="301"/>
      <c r="AG522" s="301"/>
      <c r="AH522" s="301"/>
      <c r="AI522" s="301"/>
      <c r="AJ522" s="301"/>
    </row>
    <row r="523" ht="45.0" customHeight="1">
      <c r="A523" s="37"/>
      <c r="B523" s="12"/>
      <c r="C523" s="262"/>
      <c r="D523" s="301"/>
      <c r="E523" s="301"/>
      <c r="F523" s="301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  <c r="AC523" s="301"/>
      <c r="AD523" s="301"/>
      <c r="AE523" s="301"/>
      <c r="AF523" s="301"/>
      <c r="AG523" s="301"/>
      <c r="AH523" s="301"/>
      <c r="AI523" s="301"/>
      <c r="AJ523" s="301"/>
    </row>
    <row r="524" ht="45.0" customHeight="1">
      <c r="A524" s="37"/>
      <c r="B524" s="12"/>
      <c r="C524" s="262"/>
      <c r="D524" s="301"/>
      <c r="E524" s="301"/>
      <c r="F524" s="301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  <c r="AB524" s="301"/>
      <c r="AC524" s="301"/>
      <c r="AD524" s="301"/>
      <c r="AE524" s="301"/>
      <c r="AF524" s="301"/>
      <c r="AG524" s="301"/>
      <c r="AH524" s="301"/>
      <c r="AI524" s="301"/>
      <c r="AJ524" s="301"/>
    </row>
    <row r="525" ht="45.0" customHeight="1">
      <c r="A525" s="37"/>
      <c r="B525" s="12"/>
      <c r="C525" s="262"/>
      <c r="D525" s="301"/>
      <c r="E525" s="301"/>
      <c r="F525" s="301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  <c r="AB525" s="301"/>
      <c r="AC525" s="301"/>
      <c r="AD525" s="301"/>
      <c r="AE525" s="301"/>
      <c r="AF525" s="301"/>
      <c r="AG525" s="301"/>
      <c r="AH525" s="301"/>
      <c r="AI525" s="301"/>
      <c r="AJ525" s="301"/>
    </row>
    <row r="526" ht="45.0" customHeight="1">
      <c r="A526" s="37"/>
      <c r="B526" s="12"/>
      <c r="C526" s="262"/>
      <c r="D526" s="301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  <c r="AB526" s="301"/>
      <c r="AC526" s="301"/>
      <c r="AD526" s="301"/>
      <c r="AE526" s="301"/>
      <c r="AF526" s="301"/>
      <c r="AG526" s="301"/>
      <c r="AH526" s="301"/>
      <c r="AI526" s="301"/>
      <c r="AJ526" s="301"/>
    </row>
    <row r="527" ht="45.0" customHeight="1">
      <c r="A527" s="37"/>
      <c r="B527" s="12"/>
      <c r="C527" s="262"/>
      <c r="D527" s="301"/>
      <c r="E527" s="301"/>
      <c r="F527" s="301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  <c r="AB527" s="301"/>
      <c r="AC527" s="301"/>
      <c r="AD527" s="301"/>
      <c r="AE527" s="301"/>
      <c r="AF527" s="301"/>
      <c r="AG527" s="301"/>
      <c r="AH527" s="301"/>
      <c r="AI527" s="301"/>
      <c r="AJ527" s="301"/>
    </row>
    <row r="528" ht="45.0" customHeight="1">
      <c r="A528" s="37"/>
      <c r="B528" s="12"/>
      <c r="C528" s="262"/>
      <c r="D528" s="301"/>
      <c r="E528" s="301"/>
      <c r="F528" s="301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  <c r="AB528" s="301"/>
      <c r="AC528" s="301"/>
      <c r="AD528" s="301"/>
      <c r="AE528" s="301"/>
      <c r="AF528" s="301"/>
      <c r="AG528" s="301"/>
      <c r="AH528" s="301"/>
      <c r="AI528" s="301"/>
      <c r="AJ528" s="301"/>
    </row>
    <row r="529" ht="45.0" customHeight="1">
      <c r="A529" s="37"/>
      <c r="B529" s="12"/>
      <c r="C529" s="262"/>
      <c r="D529" s="301"/>
      <c r="E529" s="301"/>
      <c r="F529" s="301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  <c r="AB529" s="301"/>
      <c r="AC529" s="301"/>
      <c r="AD529" s="301"/>
      <c r="AE529" s="301"/>
      <c r="AF529" s="301"/>
      <c r="AG529" s="301"/>
      <c r="AH529" s="301"/>
      <c r="AI529" s="301"/>
      <c r="AJ529" s="301"/>
    </row>
    <row r="530" ht="45.0" customHeight="1">
      <c r="A530" s="37"/>
      <c r="B530" s="12"/>
      <c r="C530" s="262"/>
      <c r="D530" s="305"/>
      <c r="E530" s="305"/>
      <c r="F530" s="305"/>
      <c r="G530" s="305"/>
      <c r="H530" s="305"/>
      <c r="I530" s="305"/>
      <c r="J530" s="305"/>
      <c r="K530" s="305"/>
      <c r="L530" s="305"/>
      <c r="M530" s="305"/>
      <c r="N530" s="305"/>
      <c r="O530" s="305"/>
      <c r="P530" s="305"/>
      <c r="Q530" s="305"/>
      <c r="R530" s="305"/>
      <c r="S530" s="305"/>
      <c r="T530" s="305"/>
      <c r="U530" s="305"/>
      <c r="V530" s="305"/>
      <c r="W530" s="305"/>
      <c r="X530" s="305"/>
      <c r="Y530" s="305"/>
      <c r="Z530" s="305"/>
      <c r="AA530" s="305"/>
      <c r="AB530" s="305"/>
      <c r="AC530" s="305"/>
      <c r="AD530" s="305"/>
      <c r="AE530" s="305"/>
      <c r="AF530" s="305"/>
      <c r="AG530" s="305"/>
      <c r="AH530" s="305"/>
      <c r="AI530" s="305"/>
      <c r="AJ530" s="305"/>
    </row>
    <row r="531" ht="45.0" customHeight="1">
      <c r="A531" s="37"/>
      <c r="B531" s="12"/>
      <c r="C531" s="262"/>
      <c r="D531" s="301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  <c r="AB531" s="301"/>
      <c r="AC531" s="301"/>
      <c r="AD531" s="301"/>
      <c r="AE531" s="301"/>
      <c r="AF531" s="301"/>
      <c r="AG531" s="301"/>
      <c r="AH531" s="301"/>
      <c r="AI531" s="301"/>
      <c r="AJ531" s="301"/>
    </row>
    <row r="532" ht="45.0" customHeight="1">
      <c r="A532" s="37"/>
      <c r="B532" s="12"/>
      <c r="C532" s="262"/>
      <c r="D532" s="301"/>
      <c r="E532" s="301"/>
      <c r="F532" s="301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  <c r="AB532" s="301"/>
      <c r="AC532" s="301"/>
      <c r="AD532" s="301"/>
      <c r="AE532" s="301"/>
      <c r="AF532" s="301"/>
      <c r="AG532" s="301"/>
      <c r="AH532" s="301"/>
      <c r="AI532" s="301"/>
      <c r="AJ532" s="301"/>
    </row>
    <row r="533" ht="45.0" customHeight="1">
      <c r="A533" s="37"/>
      <c r="B533" s="12"/>
      <c r="C533" s="262"/>
      <c r="D533" s="301"/>
      <c r="E533" s="301"/>
      <c r="F533" s="301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  <c r="AC533" s="301"/>
      <c r="AD533" s="301"/>
      <c r="AE533" s="301"/>
      <c r="AF533" s="301"/>
      <c r="AG533" s="301"/>
      <c r="AH533" s="301"/>
      <c r="AI533" s="301"/>
      <c r="AJ533" s="301"/>
    </row>
    <row r="534" ht="45.0" customHeight="1">
      <c r="A534" s="37"/>
      <c r="B534" s="12"/>
      <c r="C534" s="262"/>
      <c r="D534" s="301"/>
      <c r="E534" s="301"/>
      <c r="F534" s="301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  <c r="AC534" s="301"/>
      <c r="AD534" s="301"/>
      <c r="AE534" s="301"/>
      <c r="AF534" s="301"/>
      <c r="AG534" s="301"/>
      <c r="AH534" s="301"/>
      <c r="AI534" s="301"/>
      <c r="AJ534" s="301"/>
    </row>
    <row r="535" ht="45.0" customHeight="1">
      <c r="A535" s="37"/>
      <c r="B535" s="12"/>
      <c r="C535" s="262"/>
      <c r="D535" s="301"/>
      <c r="E535" s="301"/>
      <c r="F535" s="301"/>
      <c r="G535" s="301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  <c r="AB535" s="301"/>
      <c r="AC535" s="301"/>
      <c r="AD535" s="301"/>
      <c r="AE535" s="301"/>
      <c r="AF535" s="301"/>
      <c r="AG535" s="301"/>
      <c r="AH535" s="301"/>
      <c r="AI535" s="301"/>
      <c r="AJ535" s="301"/>
    </row>
    <row r="536" ht="45.0" customHeight="1">
      <c r="A536" s="37"/>
      <c r="B536" s="12"/>
      <c r="C536" s="262"/>
      <c r="D536" s="301"/>
      <c r="E536" s="301"/>
      <c r="F536" s="301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  <c r="AB536" s="301"/>
      <c r="AC536" s="301"/>
      <c r="AD536" s="301"/>
      <c r="AE536" s="301"/>
      <c r="AF536" s="301"/>
      <c r="AG536" s="301"/>
      <c r="AH536" s="301"/>
      <c r="AI536" s="301"/>
      <c r="AJ536" s="301"/>
    </row>
    <row r="537" ht="45.0" customHeight="1">
      <c r="A537" s="37"/>
      <c r="B537" s="12"/>
      <c r="C537" s="262"/>
      <c r="D537" s="301"/>
      <c r="E537" s="301"/>
      <c r="F537" s="301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  <c r="AC537" s="301"/>
      <c r="AD537" s="301"/>
      <c r="AE537" s="301"/>
      <c r="AF537" s="301"/>
      <c r="AG537" s="301"/>
      <c r="AH537" s="301"/>
      <c r="AI537" s="301"/>
      <c r="AJ537" s="301"/>
    </row>
    <row r="538" ht="45.0" customHeight="1">
      <c r="A538" s="37"/>
      <c r="B538" s="12"/>
      <c r="C538" s="262"/>
      <c r="D538" s="301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  <c r="AC538" s="301"/>
      <c r="AD538" s="301"/>
      <c r="AE538" s="301"/>
      <c r="AF538" s="301"/>
      <c r="AG538" s="301"/>
      <c r="AH538" s="301"/>
      <c r="AI538" s="301"/>
      <c r="AJ538" s="301"/>
    </row>
    <row r="539" ht="45.0" customHeight="1">
      <c r="A539" s="37"/>
      <c r="B539" s="12"/>
      <c r="C539" s="262"/>
      <c r="D539" s="301"/>
      <c r="E539" s="301"/>
      <c r="F539" s="301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  <c r="AB539" s="301"/>
      <c r="AC539" s="301"/>
      <c r="AD539" s="301"/>
      <c r="AE539" s="301"/>
      <c r="AF539" s="301"/>
      <c r="AG539" s="301"/>
      <c r="AH539" s="301"/>
      <c r="AI539" s="301"/>
      <c r="AJ539" s="301"/>
    </row>
    <row r="540" ht="45.0" customHeight="1">
      <c r="A540" s="37"/>
      <c r="B540" s="12"/>
      <c r="C540" s="262"/>
      <c r="D540" s="301"/>
      <c r="E540" s="301"/>
      <c r="F540" s="301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  <c r="AB540" s="301"/>
      <c r="AC540" s="301"/>
      <c r="AD540" s="301"/>
      <c r="AE540" s="301"/>
      <c r="AF540" s="301"/>
      <c r="AG540" s="301"/>
      <c r="AH540" s="301"/>
      <c r="AI540" s="301"/>
      <c r="AJ540" s="301"/>
    </row>
    <row r="541" ht="45.0" customHeight="1">
      <c r="A541" s="37"/>
      <c r="B541" s="12"/>
      <c r="C541" s="262"/>
      <c r="D541" s="305"/>
      <c r="E541" s="305"/>
      <c r="F541" s="305"/>
      <c r="G541" s="305"/>
      <c r="H541" s="305"/>
      <c r="I541" s="305"/>
      <c r="J541" s="305"/>
      <c r="K541" s="305"/>
      <c r="L541" s="305"/>
      <c r="M541" s="305"/>
      <c r="N541" s="305"/>
      <c r="O541" s="305"/>
      <c r="P541" s="305"/>
      <c r="Q541" s="305"/>
      <c r="R541" s="305"/>
      <c r="S541" s="305"/>
      <c r="T541" s="305"/>
      <c r="U541" s="305"/>
      <c r="V541" s="305"/>
      <c r="W541" s="305"/>
      <c r="X541" s="305"/>
      <c r="Y541" s="305"/>
      <c r="Z541" s="305"/>
      <c r="AA541" s="305"/>
      <c r="AB541" s="305"/>
      <c r="AC541" s="305"/>
      <c r="AD541" s="305"/>
      <c r="AE541" s="305"/>
      <c r="AF541" s="305"/>
      <c r="AG541" s="305"/>
      <c r="AH541" s="305"/>
      <c r="AI541" s="305"/>
      <c r="AJ541" s="305"/>
    </row>
    <row r="542" ht="45.0" customHeight="1">
      <c r="A542" s="37"/>
      <c r="B542" s="12"/>
      <c r="C542" s="262"/>
      <c r="D542" s="301"/>
      <c r="E542" s="301"/>
      <c r="F542" s="301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  <c r="AB542" s="301"/>
      <c r="AC542" s="301"/>
      <c r="AD542" s="301"/>
      <c r="AE542" s="301"/>
      <c r="AF542" s="301"/>
      <c r="AG542" s="301"/>
      <c r="AH542" s="301"/>
      <c r="AI542" s="301"/>
      <c r="AJ542" s="301"/>
    </row>
    <row r="543" ht="45.0" customHeight="1">
      <c r="A543" s="37"/>
      <c r="B543" s="12"/>
      <c r="C543" s="262"/>
      <c r="D543" s="301"/>
      <c r="E543" s="301"/>
      <c r="F543" s="301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  <c r="AB543" s="301"/>
      <c r="AC543" s="301"/>
      <c r="AD543" s="301"/>
      <c r="AE543" s="301"/>
      <c r="AF543" s="301"/>
      <c r="AG543" s="301"/>
      <c r="AH543" s="301"/>
      <c r="AI543" s="301"/>
      <c r="AJ543" s="301"/>
    </row>
    <row r="544" ht="45.0" customHeight="1">
      <c r="A544" s="37"/>
      <c r="B544" s="12"/>
      <c r="C544" s="262"/>
      <c r="D544" s="301"/>
      <c r="E544" s="301"/>
      <c r="F544" s="301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  <c r="AB544" s="301"/>
      <c r="AC544" s="301"/>
      <c r="AD544" s="301"/>
      <c r="AE544" s="301"/>
      <c r="AF544" s="301"/>
      <c r="AG544" s="301"/>
      <c r="AH544" s="301"/>
      <c r="AI544" s="301"/>
      <c r="AJ544" s="301"/>
    </row>
    <row r="545" ht="45.0" customHeight="1">
      <c r="A545" s="37"/>
      <c r="B545" s="12"/>
      <c r="C545" s="262"/>
      <c r="D545" s="301"/>
      <c r="E545" s="301"/>
      <c r="F545" s="301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  <c r="AC545" s="301"/>
      <c r="AD545" s="301"/>
      <c r="AE545" s="301"/>
      <c r="AF545" s="301"/>
      <c r="AG545" s="301"/>
      <c r="AH545" s="301"/>
      <c r="AI545" s="301"/>
      <c r="AJ545" s="301"/>
    </row>
    <row r="546" ht="45.0" customHeight="1">
      <c r="A546" s="37"/>
      <c r="B546" s="12"/>
      <c r="C546" s="262"/>
      <c r="D546" s="301"/>
      <c r="E546" s="301"/>
      <c r="F546" s="301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  <c r="AC546" s="301"/>
      <c r="AD546" s="301"/>
      <c r="AE546" s="301"/>
      <c r="AF546" s="301"/>
      <c r="AG546" s="301"/>
      <c r="AH546" s="301"/>
      <c r="AI546" s="301"/>
      <c r="AJ546" s="301"/>
    </row>
    <row r="547" ht="45.0" customHeight="1">
      <c r="A547" s="37"/>
      <c r="B547" s="12"/>
      <c r="C547" s="262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  <c r="AB547" s="301"/>
      <c r="AC547" s="301"/>
      <c r="AD547" s="301"/>
      <c r="AE547" s="301"/>
      <c r="AF547" s="301"/>
      <c r="AG547" s="301"/>
      <c r="AH547" s="301"/>
      <c r="AI547" s="301"/>
      <c r="AJ547" s="301"/>
    </row>
    <row r="548" ht="45.0" customHeight="1">
      <c r="A548" s="37"/>
      <c r="B548" s="12"/>
      <c r="C548" s="262"/>
      <c r="D548" s="301"/>
      <c r="E548" s="301"/>
      <c r="F548" s="301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  <c r="AB548" s="301"/>
      <c r="AC548" s="301"/>
      <c r="AD548" s="301"/>
      <c r="AE548" s="301"/>
      <c r="AF548" s="301"/>
      <c r="AG548" s="301"/>
      <c r="AH548" s="301"/>
      <c r="AI548" s="301"/>
      <c r="AJ548" s="301"/>
    </row>
    <row r="549" ht="45.0" customHeight="1">
      <c r="A549" s="37"/>
      <c r="B549" s="12"/>
      <c r="C549" s="262"/>
      <c r="D549" s="301"/>
      <c r="E549" s="301"/>
      <c r="F549" s="301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  <c r="AB549" s="301"/>
      <c r="AC549" s="301"/>
      <c r="AD549" s="301"/>
      <c r="AE549" s="301"/>
      <c r="AF549" s="301"/>
      <c r="AG549" s="301"/>
      <c r="AH549" s="301"/>
      <c r="AI549" s="301"/>
      <c r="AJ549" s="301"/>
    </row>
    <row r="550" ht="45.0" customHeight="1">
      <c r="A550" s="37"/>
      <c r="B550" s="12"/>
      <c r="C550" s="262"/>
      <c r="D550" s="301"/>
      <c r="E550" s="301"/>
      <c r="F550" s="301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  <c r="AB550" s="301"/>
      <c r="AC550" s="301"/>
      <c r="AD550" s="301"/>
      <c r="AE550" s="301"/>
      <c r="AF550" s="301"/>
      <c r="AG550" s="301"/>
      <c r="AH550" s="301"/>
      <c r="AI550" s="301"/>
      <c r="AJ550" s="301"/>
    </row>
    <row r="551" ht="45.0" customHeight="1">
      <c r="A551" s="37"/>
      <c r="B551" s="12"/>
      <c r="C551" s="262"/>
      <c r="D551" s="301"/>
      <c r="E551" s="301"/>
      <c r="F551" s="301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  <c r="AB551" s="301"/>
      <c r="AC551" s="301"/>
      <c r="AD551" s="301"/>
      <c r="AE551" s="301"/>
      <c r="AF551" s="301"/>
      <c r="AG551" s="301"/>
      <c r="AH551" s="301"/>
      <c r="AI551" s="301"/>
      <c r="AJ551" s="301"/>
    </row>
    <row r="552" ht="45.0" customHeight="1">
      <c r="A552" s="37"/>
      <c r="B552" s="12"/>
      <c r="C552" s="262"/>
      <c r="D552" s="301"/>
      <c r="E552" s="301"/>
      <c r="F552" s="301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  <c r="AB552" s="301"/>
      <c r="AC552" s="301"/>
      <c r="AD552" s="301"/>
      <c r="AE552" s="301"/>
      <c r="AF552" s="301"/>
      <c r="AG552" s="301"/>
      <c r="AH552" s="301"/>
      <c r="AI552" s="301"/>
      <c r="AJ552" s="301"/>
    </row>
    <row r="553" ht="45.0" customHeight="1">
      <c r="A553" s="37"/>
      <c r="B553" s="12"/>
      <c r="C553" s="262"/>
      <c r="D553" s="301"/>
      <c r="E553" s="301"/>
      <c r="F553" s="301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  <c r="AC553" s="301"/>
      <c r="AD553" s="301"/>
      <c r="AE553" s="301"/>
      <c r="AF553" s="301"/>
      <c r="AG553" s="301"/>
      <c r="AH553" s="301"/>
      <c r="AI553" s="301"/>
      <c r="AJ553" s="301"/>
    </row>
    <row r="554" ht="45.0" customHeight="1">
      <c r="A554" s="37"/>
      <c r="B554" s="12"/>
      <c r="C554" s="262"/>
      <c r="D554" s="301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  <c r="AB554" s="301"/>
      <c r="AC554" s="301"/>
      <c r="AD554" s="301"/>
      <c r="AE554" s="301"/>
      <c r="AF554" s="301"/>
      <c r="AG554" s="301"/>
      <c r="AH554" s="301"/>
      <c r="AI554" s="301"/>
      <c r="AJ554" s="301"/>
    </row>
    <row r="555" ht="45.0" customHeight="1">
      <c r="A555" s="37"/>
      <c r="B555" s="12"/>
      <c r="C555" s="262"/>
      <c r="D555" s="301"/>
      <c r="E555" s="301"/>
      <c r="F555" s="301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  <c r="AB555" s="301"/>
      <c r="AC555" s="301"/>
      <c r="AD555" s="301"/>
      <c r="AE555" s="301"/>
      <c r="AF555" s="301"/>
      <c r="AG555" s="301"/>
      <c r="AH555" s="301"/>
      <c r="AI555" s="301"/>
      <c r="AJ555" s="301"/>
    </row>
    <row r="556" ht="45.0" customHeight="1">
      <c r="A556" s="37"/>
      <c r="B556" s="12"/>
      <c r="C556" s="262"/>
      <c r="D556" s="301"/>
      <c r="E556" s="301"/>
      <c r="F556" s="301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  <c r="AB556" s="301"/>
      <c r="AC556" s="301"/>
      <c r="AD556" s="301"/>
      <c r="AE556" s="301"/>
      <c r="AF556" s="301"/>
      <c r="AG556" s="301"/>
      <c r="AH556" s="301"/>
      <c r="AI556" s="301"/>
      <c r="AJ556" s="301"/>
    </row>
    <row r="557" ht="45.0" customHeight="1">
      <c r="A557" s="37"/>
      <c r="B557" s="12"/>
      <c r="C557" s="262"/>
      <c r="D557" s="301"/>
      <c r="E557" s="301"/>
      <c r="F557" s="301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  <c r="AB557" s="301"/>
      <c r="AC557" s="301"/>
      <c r="AD557" s="301"/>
      <c r="AE557" s="301"/>
      <c r="AF557" s="301"/>
      <c r="AG557" s="301"/>
      <c r="AH557" s="301"/>
      <c r="AI557" s="301"/>
      <c r="AJ557" s="301"/>
    </row>
    <row r="558" ht="45.0" customHeight="1">
      <c r="A558" s="37"/>
      <c r="B558" s="12"/>
      <c r="C558" s="262"/>
      <c r="D558" s="301"/>
      <c r="E558" s="301"/>
      <c r="F558" s="301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  <c r="AB558" s="301"/>
      <c r="AC558" s="301"/>
      <c r="AD558" s="301"/>
      <c r="AE558" s="301"/>
      <c r="AF558" s="301"/>
      <c r="AG558" s="301"/>
      <c r="AH558" s="301"/>
      <c r="AI558" s="301"/>
      <c r="AJ558" s="301"/>
    </row>
    <row r="559" ht="45.0" customHeight="1">
      <c r="A559" s="37"/>
      <c r="B559" s="12"/>
      <c r="C559" s="262"/>
      <c r="D559" s="301"/>
      <c r="E559" s="301"/>
      <c r="F559" s="301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  <c r="AB559" s="301"/>
      <c r="AC559" s="301"/>
      <c r="AD559" s="301"/>
      <c r="AE559" s="301"/>
      <c r="AF559" s="301"/>
      <c r="AG559" s="301"/>
      <c r="AH559" s="301"/>
      <c r="AI559" s="301"/>
      <c r="AJ559" s="301"/>
    </row>
    <row r="560" ht="45.0" customHeight="1">
      <c r="A560" s="37"/>
      <c r="B560" s="12"/>
      <c r="C560" s="262"/>
      <c r="D560" s="301"/>
      <c r="E560" s="301"/>
      <c r="F560" s="301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  <c r="AB560" s="301"/>
      <c r="AC560" s="301"/>
      <c r="AD560" s="301"/>
      <c r="AE560" s="301"/>
      <c r="AF560" s="301"/>
      <c r="AG560" s="301"/>
      <c r="AH560" s="301"/>
      <c r="AI560" s="301"/>
      <c r="AJ560" s="301"/>
    </row>
    <row r="561" ht="45.0" customHeight="1">
      <c r="A561" s="37"/>
      <c r="B561" s="12"/>
      <c r="C561" s="262"/>
      <c r="D561" s="301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  <c r="AB561" s="301"/>
      <c r="AC561" s="301"/>
      <c r="AD561" s="301"/>
      <c r="AE561" s="301"/>
      <c r="AF561" s="301"/>
      <c r="AG561" s="301"/>
      <c r="AH561" s="301"/>
      <c r="AI561" s="301"/>
      <c r="AJ561" s="301"/>
    </row>
    <row r="562" ht="45.0" customHeight="1">
      <c r="A562" s="37"/>
      <c r="B562" s="12"/>
      <c r="C562" s="262"/>
      <c r="D562" s="301"/>
      <c r="E562" s="301"/>
      <c r="F562" s="301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  <c r="AB562" s="301"/>
      <c r="AC562" s="301"/>
      <c r="AD562" s="301"/>
      <c r="AE562" s="301"/>
      <c r="AF562" s="301"/>
      <c r="AG562" s="301"/>
      <c r="AH562" s="301"/>
      <c r="AI562" s="301"/>
      <c r="AJ562" s="301"/>
    </row>
    <row r="563" ht="45.0" customHeight="1">
      <c r="A563" s="37"/>
      <c r="B563" s="12"/>
      <c r="C563" s="262"/>
      <c r="D563" s="301"/>
      <c r="E563" s="301"/>
      <c r="F563" s="301"/>
      <c r="G563" s="301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  <c r="AB563" s="301"/>
      <c r="AC563" s="301"/>
      <c r="AD563" s="301"/>
      <c r="AE563" s="301"/>
      <c r="AF563" s="301"/>
      <c r="AG563" s="301"/>
      <c r="AH563" s="301"/>
      <c r="AI563" s="301"/>
      <c r="AJ563" s="301"/>
    </row>
    <row r="564" ht="45.0" customHeight="1">
      <c r="A564" s="37"/>
      <c r="B564" s="12"/>
      <c r="C564" s="262"/>
      <c r="D564" s="301"/>
      <c r="E564" s="301"/>
      <c r="F564" s="301"/>
      <c r="G564" s="301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  <c r="AB564" s="301"/>
      <c r="AC564" s="301"/>
      <c r="AD564" s="301"/>
      <c r="AE564" s="301"/>
      <c r="AF564" s="301"/>
      <c r="AG564" s="301"/>
      <c r="AH564" s="301"/>
      <c r="AI564" s="301"/>
      <c r="AJ564" s="301"/>
    </row>
    <row r="565" ht="45.0" customHeight="1">
      <c r="A565" s="37"/>
      <c r="B565" s="12"/>
      <c r="C565" s="262"/>
      <c r="D565" s="301"/>
      <c r="E565" s="301"/>
      <c r="F565" s="301"/>
      <c r="G565" s="301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  <c r="AB565" s="301"/>
      <c r="AC565" s="301"/>
      <c r="AD565" s="301"/>
      <c r="AE565" s="301"/>
      <c r="AF565" s="301"/>
      <c r="AG565" s="301"/>
      <c r="AH565" s="301"/>
      <c r="AI565" s="301"/>
      <c r="AJ565" s="301"/>
    </row>
    <row r="566" ht="45.0" customHeight="1">
      <c r="A566" s="37"/>
      <c r="B566" s="12"/>
      <c r="C566" s="262"/>
      <c r="D566" s="301"/>
      <c r="E566" s="301"/>
      <c r="F566" s="301"/>
      <c r="G566" s="301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  <c r="AB566" s="301"/>
      <c r="AC566" s="301"/>
      <c r="AD566" s="301"/>
      <c r="AE566" s="301"/>
      <c r="AF566" s="301"/>
      <c r="AG566" s="301"/>
      <c r="AH566" s="301"/>
      <c r="AI566" s="301"/>
      <c r="AJ566" s="301"/>
    </row>
    <row r="567" ht="45.0" customHeight="1">
      <c r="A567" s="37"/>
      <c r="B567" s="12"/>
      <c r="C567" s="262"/>
      <c r="D567" s="301"/>
      <c r="E567" s="301"/>
      <c r="F567" s="301"/>
      <c r="G567" s="301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  <c r="AB567" s="301"/>
      <c r="AC567" s="301"/>
      <c r="AD567" s="301"/>
      <c r="AE567" s="301"/>
      <c r="AF567" s="301"/>
      <c r="AG567" s="301"/>
      <c r="AH567" s="301"/>
      <c r="AI567" s="301"/>
      <c r="AJ567" s="301"/>
    </row>
    <row r="568" ht="45.0" customHeight="1">
      <c r="A568" s="37"/>
      <c r="B568" s="12"/>
      <c r="C568" s="262"/>
      <c r="D568" s="301"/>
      <c r="E568" s="301"/>
      <c r="F568" s="301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  <c r="AB568" s="301"/>
      <c r="AC568" s="301"/>
      <c r="AD568" s="301"/>
      <c r="AE568" s="301"/>
      <c r="AF568" s="301"/>
      <c r="AG568" s="301"/>
      <c r="AH568" s="301"/>
      <c r="AI568" s="301"/>
      <c r="AJ568" s="301"/>
    </row>
    <row r="569" ht="45.0" customHeight="1">
      <c r="A569" s="37"/>
      <c r="B569" s="12"/>
      <c r="C569" s="262"/>
      <c r="D569" s="12"/>
    </row>
    <row r="570" ht="45.0" customHeight="1">
      <c r="A570" s="37"/>
      <c r="B570" s="12"/>
      <c r="C570" s="262"/>
      <c r="D570" s="12"/>
    </row>
    <row r="571" ht="45.0" customHeight="1">
      <c r="A571" s="37"/>
      <c r="B571" s="12"/>
      <c r="C571" s="262"/>
      <c r="D571" s="12"/>
    </row>
    <row r="572" ht="45.0" customHeight="1">
      <c r="A572" s="37"/>
      <c r="B572" s="12"/>
      <c r="C572" s="262"/>
      <c r="D572" s="12"/>
    </row>
    <row r="573" ht="45.0" customHeight="1">
      <c r="A573" s="37"/>
      <c r="B573" s="12"/>
      <c r="C573" s="262"/>
      <c r="D573" s="12"/>
    </row>
    <row r="574" ht="45.0" customHeight="1">
      <c r="A574" s="37"/>
      <c r="B574" s="12"/>
      <c r="C574" s="262"/>
      <c r="D574" s="12"/>
    </row>
    <row r="575" ht="45.0" customHeight="1">
      <c r="A575" s="37"/>
      <c r="B575" s="12"/>
      <c r="C575" s="262"/>
      <c r="D575" s="12"/>
    </row>
    <row r="576" ht="45.0" customHeight="1">
      <c r="A576" s="37"/>
      <c r="B576" s="12"/>
      <c r="C576" s="262"/>
      <c r="D576" s="12"/>
    </row>
    <row r="577" ht="45.0" customHeight="1">
      <c r="A577" s="37"/>
      <c r="B577" s="12"/>
      <c r="C577" s="262"/>
      <c r="D577" s="12"/>
    </row>
    <row r="578" ht="45.0" customHeight="1">
      <c r="A578" s="37"/>
      <c r="B578" s="12"/>
      <c r="C578" s="262"/>
      <c r="D578" s="12"/>
    </row>
    <row r="579" ht="45.0" customHeight="1">
      <c r="A579" s="37"/>
      <c r="B579" s="12"/>
      <c r="C579" s="262"/>
      <c r="D579" s="12"/>
    </row>
    <row r="580" ht="45.0" customHeight="1">
      <c r="A580" s="37"/>
      <c r="B580" s="12"/>
      <c r="C580" s="262"/>
      <c r="D580" s="12"/>
    </row>
    <row r="581" ht="45.0" customHeight="1">
      <c r="A581" s="37"/>
      <c r="B581" s="12"/>
      <c r="C581" s="262"/>
      <c r="D581" s="12"/>
    </row>
  </sheetData>
  <autoFilter ref="$A$1:$B$393"/>
  <conditionalFormatting sqref="A2">
    <cfRule type="containsBlanks" dxfId="0" priority="1">
      <formula>LEN(TRIM(A2))=0</formula>
    </cfRule>
  </conditionalFormatting>
  <printOptions horizontalCentered="1" verticalCentered="1"/>
  <pageMargins bottom="0.75" footer="0.0" header="0.0" left="0.25" right="0.25" top="0.75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50.71"/>
    <col customWidth="1" min="3" max="3" width="20.86"/>
    <col customWidth="1" min="4" max="4" width="14.29"/>
    <col customWidth="1" min="5" max="5" width="13.29"/>
    <col hidden="1" min="6" max="6" width="14.43"/>
  </cols>
  <sheetData>
    <row r="1" ht="45.0" customHeight="1">
      <c r="A1" s="210" t="s">
        <v>0</v>
      </c>
      <c r="B1" s="211" t="s">
        <v>2</v>
      </c>
      <c r="C1" s="213" t="s">
        <v>13</v>
      </c>
      <c r="D1" s="210" t="s">
        <v>2004</v>
      </c>
      <c r="E1" s="305">
        <v>1.0</v>
      </c>
      <c r="F1" s="305">
        <v>2.0</v>
      </c>
      <c r="G1" s="305">
        <v>4.0</v>
      </c>
      <c r="H1" s="305">
        <v>3.0</v>
      </c>
      <c r="I1" s="305">
        <v>5.0</v>
      </c>
      <c r="J1" s="305">
        <v>6.0</v>
      </c>
      <c r="K1" s="305">
        <v>7.0</v>
      </c>
      <c r="L1" s="305">
        <v>8.0</v>
      </c>
      <c r="M1" s="305">
        <v>9.0</v>
      </c>
      <c r="N1" s="305">
        <v>10.0</v>
      </c>
      <c r="O1" s="305">
        <v>11.0</v>
      </c>
      <c r="P1" s="305">
        <v>12.0</v>
      </c>
      <c r="Q1" s="305">
        <v>13.0</v>
      </c>
      <c r="R1" s="305">
        <v>14.0</v>
      </c>
      <c r="S1" s="305">
        <v>15.0</v>
      </c>
      <c r="T1" s="305">
        <v>16.0</v>
      </c>
      <c r="U1" s="305">
        <v>17.0</v>
      </c>
      <c r="V1" s="305">
        <v>18.0</v>
      </c>
      <c r="W1" s="305">
        <v>19.0</v>
      </c>
      <c r="X1" s="305">
        <v>20.0</v>
      </c>
      <c r="Y1" s="305">
        <v>21.0</v>
      </c>
      <c r="Z1" s="305">
        <v>22.0</v>
      </c>
      <c r="AA1" s="305">
        <v>23.0</v>
      </c>
      <c r="AB1" s="305">
        <v>24.0</v>
      </c>
      <c r="AC1" s="305">
        <v>25.0</v>
      </c>
      <c r="AD1" s="305">
        <v>26.0</v>
      </c>
      <c r="AE1" s="305">
        <v>27.0</v>
      </c>
      <c r="AF1" s="305">
        <v>28.0</v>
      </c>
      <c r="AG1" s="305">
        <v>29.0</v>
      </c>
      <c r="AH1" s="305">
        <v>30.0</v>
      </c>
      <c r="AI1" s="305">
        <v>31.0</v>
      </c>
      <c r="AJ1" s="305">
        <v>32.0</v>
      </c>
      <c r="AK1" s="305">
        <v>33.0</v>
      </c>
    </row>
    <row r="2" ht="44.25" customHeight="1">
      <c r="A2" s="11">
        <v>1.0</v>
      </c>
      <c r="B2" s="93" t="s">
        <v>18</v>
      </c>
      <c r="C2" s="11" t="str">
        <f>IMAGE("https://m.media-amazon.com/images/I/61ZBVWoGgCL._SL1500_.jpg",1)</f>
        <v/>
      </c>
      <c r="D2" s="216">
        <v>6.0</v>
      </c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</row>
    <row r="3" ht="45.0" customHeight="1">
      <c r="A3" s="11">
        <v>2.0</v>
      </c>
      <c r="B3" s="93" t="s">
        <v>27</v>
      </c>
      <c r="C3" s="11" t="str">
        <f>IMAGE("https://5.imimg.com/data5/BN/FC/MY-25588345/omega-cell-tape-dispenser-500x500.jpg",1)</f>
        <v/>
      </c>
      <c r="D3" s="216">
        <v>2.0</v>
      </c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</row>
    <row r="4" ht="45.0" customHeight="1">
      <c r="A4" s="11">
        <v>3.0</v>
      </c>
      <c r="B4" s="93" t="s">
        <v>31</v>
      </c>
      <c r="C4" s="11" t="str">
        <f>IMAGE("https://m.media-amazon.com/images/I/21wXjA1iP5L.jpg",1)</f>
        <v/>
      </c>
      <c r="D4" s="216">
        <v>6.0</v>
      </c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</row>
    <row r="5" ht="45.0" customHeight="1">
      <c r="A5" s="11">
        <v>4.0</v>
      </c>
      <c r="B5" s="93" t="s">
        <v>35</v>
      </c>
      <c r="C5" s="11" t="str">
        <f>IMAGE("https://5.imimg.com/data5/YG/CD/MY-4112616/transparent-tape-500x500.jpg",1)</f>
        <v/>
      </c>
      <c r="D5" s="216">
        <v>6.0</v>
      </c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</row>
    <row r="6" ht="45.0" customHeight="1">
      <c r="A6" s="11">
        <v>5.0</v>
      </c>
      <c r="B6" s="93" t="s">
        <v>1886</v>
      </c>
      <c r="C6" s="11" t="str">
        <f>IMAGE("https://m.media-amazon.com/images/I/61JiUrBk2-L._SL1082_.jpg",1)</f>
        <v/>
      </c>
      <c r="D6" s="216">
        <v>6.0</v>
      </c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</row>
    <row r="7" ht="45.0" customHeight="1">
      <c r="A7" s="11">
        <v>6.0</v>
      </c>
      <c r="B7" s="93" t="s">
        <v>42</v>
      </c>
      <c r="C7" s="11" t="str">
        <f>IMAGE("https://m.media-amazon.com/images/I/51JAsOuirxL._SL1000_.jpg",1)</f>
        <v/>
      </c>
      <c r="D7" s="216">
        <v>6.0</v>
      </c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</row>
    <row r="8" ht="45.0" customHeight="1">
      <c r="A8" s="11">
        <v>7.0</v>
      </c>
      <c r="B8" s="93" t="s">
        <v>46</v>
      </c>
      <c r="C8" s="11" t="str">
        <f>IMAGE("https://m.media-amazon.com/images/I/81zdeTxqkLL._SL1500_.jpg",1)</f>
        <v/>
      </c>
      <c r="D8" s="11">
        <v>10.0</v>
      </c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</row>
    <row r="9" ht="45.0" customHeight="1">
      <c r="A9" s="11">
        <v>8.0</v>
      </c>
      <c r="B9" s="93" t="s">
        <v>51</v>
      </c>
      <c r="C9" s="11" t="str">
        <f>IMAGE("https://megahardwarett.com/wp-content/uploads/2022/03/71TQZaRi6yL._AC_SX425_.jpg",1)</f>
        <v/>
      </c>
      <c r="D9" s="216">
        <v>5.0</v>
      </c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</row>
    <row r="10" ht="45.0" customHeight="1">
      <c r="A10" s="11">
        <v>9.0</v>
      </c>
      <c r="B10" s="93" t="s">
        <v>1887</v>
      </c>
      <c r="C10" s="11" t="str">
        <f>IMAGE("https://m.media-amazon.com/images/I/51xkFZnkVFL._SX466_.jpg",1)</f>
        <v/>
      </c>
      <c r="D10" s="216">
        <v>10.0</v>
      </c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1"/>
      <c r="AK10" s="301"/>
    </row>
    <row r="11" ht="45.0" customHeight="1">
      <c r="A11" s="11">
        <v>10.0</v>
      </c>
      <c r="B11" s="93" t="s">
        <v>1888</v>
      </c>
      <c r="C11" s="11" t="str">
        <f>IMAGE("https://5.imimg.com/data5/LJ/PW/MY-3849711/loctite-401-super-glue-500x500.jpg",1)</f>
        <v/>
      </c>
      <c r="D11" s="216">
        <v>10.0</v>
      </c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</row>
    <row r="12" ht="45.0" customHeight="1">
      <c r="A12" s="11">
        <v>11.0</v>
      </c>
      <c r="B12" s="93" t="s">
        <v>1891</v>
      </c>
      <c r="C12" s="11" t="str">
        <f>IMAGE("https://m.media-amazon.com/images/W/MEDIAX_792452-T2/images/I/611Q9E31rML._SL1500_.jpg",1)</f>
        <v/>
      </c>
      <c r="D12" s="11">
        <v>10.0</v>
      </c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</row>
    <row r="13" ht="45.0" customHeight="1">
      <c r="A13" s="11">
        <v>12.0</v>
      </c>
      <c r="B13" s="93" t="s">
        <v>71</v>
      </c>
      <c r="C13" s="11" t="str">
        <f>IMAGE("https://helloaugust.in/wp-content/uploads/2020/04/dark-colour-chart-paper-full-size-300x300.jpg",1)</f>
        <v/>
      </c>
      <c r="D13" s="216">
        <v>25.0</v>
      </c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</row>
    <row r="14" ht="45.0" customHeight="1">
      <c r="A14" s="11">
        <v>13.0</v>
      </c>
      <c r="B14" s="93" t="s">
        <v>352</v>
      </c>
      <c r="C14" s="11" t="str">
        <f>IMAGE("https://4.imimg.com/data4/TN/NP/MY-32886991/a4-colour-paper-500x500.jpg",1)</f>
        <v/>
      </c>
      <c r="D14" s="216">
        <v>5.0</v>
      </c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</row>
    <row r="15" ht="45.0" customHeight="1">
      <c r="A15" s="11">
        <v>14.0</v>
      </c>
      <c r="B15" s="93" t="s">
        <v>1893</v>
      </c>
      <c r="C15" s="11" t="str">
        <f>IMAGE("https://www.htconline.in/images/thumbs/0019821_camlin-drawing-pencils-set-of-6.jpeg",1)</f>
        <v/>
      </c>
      <c r="D15" s="216">
        <v>5.0</v>
      </c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</row>
    <row r="16" ht="45.0" customHeight="1">
      <c r="A16" s="11">
        <v>15.0</v>
      </c>
      <c r="B16" s="93" t="s">
        <v>91</v>
      </c>
      <c r="C16" s="11" t="str">
        <f>IMAGE("https://upload.wikimedia.org/wikipedia/commons/e/e8/Office-pink-erasers.jpg",1)</f>
        <v/>
      </c>
      <c r="D16" s="216">
        <v>20.0</v>
      </c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</row>
    <row r="17" ht="45.0" customHeight="1">
      <c r="A17" s="11">
        <v>16.0</v>
      </c>
      <c r="B17" s="93" t="s">
        <v>95</v>
      </c>
      <c r="C17" s="11" t="str">
        <f>IMAGE("https://cdn.shopify.com/s/files/1/0064/3412/7939/products/Main-2_2baab3ae-c700-4dd7-acd2-e9442aee0358_2048x.jpg?v=1669799264",1)</f>
        <v/>
      </c>
      <c r="D17" s="216">
        <v>10.0</v>
      </c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</row>
    <row r="18" ht="45.0" customHeight="1">
      <c r="A18" s="11">
        <v>17.0</v>
      </c>
      <c r="B18" s="93" t="s">
        <v>1894</v>
      </c>
      <c r="C18" s="11" t="e">
        <v>#VALUE!</v>
      </c>
      <c r="D18" s="216">
        <v>10.0</v>
      </c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</row>
    <row r="19" ht="45.0" customHeight="1">
      <c r="A19" s="11">
        <v>18.0</v>
      </c>
      <c r="B19" s="93" t="s">
        <v>1896</v>
      </c>
      <c r="C19" s="11" t="str">
        <f>IMAGE("https://i5.walmartimages.com/asr/093150f9-deec-44c1-a07d-a6985f3f45c7.dad44d94862d81eed55b6d8aef2937c1.jpeg?odnHeight=612&amp;odnWidth=612&amp;odnBg=FFFFFF",1)</f>
        <v/>
      </c>
      <c r="D19" s="216">
        <v>1.0</v>
      </c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</row>
    <row r="20" ht="45.0" customHeight="1">
      <c r="A20" s="11">
        <v>19.0</v>
      </c>
      <c r="B20" s="93" t="s">
        <v>115</v>
      </c>
      <c r="C20" s="11" t="str">
        <f>IMAGE("https://m.media-amazon.com/images/I/81XeaSXczEL._SL1500_.jpg",1)</f>
        <v/>
      </c>
      <c r="D20" s="216">
        <v>10.0</v>
      </c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1"/>
    </row>
    <row r="21" ht="45.0" customHeight="1">
      <c r="A21" s="11">
        <v>20.0</v>
      </c>
      <c r="B21" s="93" t="s">
        <v>127</v>
      </c>
      <c r="C21" s="11" t="e">
        <v>#VALUE!</v>
      </c>
      <c r="D21" s="216">
        <v>5.0</v>
      </c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</row>
    <row r="22" ht="45.0" customHeight="1">
      <c r="A22" s="11">
        <v>21.0</v>
      </c>
      <c r="B22" s="93" t="s">
        <v>1889</v>
      </c>
      <c r="C22" s="11" t="str">
        <f>IMAGE("https://5.imimg.com/data5/SELLER/Default/2020/9/EF/FR/SW/13763930/fevicryte-acrylic-colors-500x500.jpg",1)</f>
        <v/>
      </c>
      <c r="D22" s="216">
        <v>60.0</v>
      </c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  <c r="AK22" s="305"/>
    </row>
    <row r="23" ht="45.0" customHeight="1">
      <c r="A23" s="11">
        <v>22.0</v>
      </c>
      <c r="B23" s="93" t="s">
        <v>101</v>
      </c>
      <c r="C23" s="11" t="str">
        <f>IMAGE("https://i5.walmartimages.com/asr/2f51619b-ee1e-4e7f-9717-927459ae38b6.1308a61cc28d473c3122e46595affb79.jpeg",1)</f>
        <v/>
      </c>
      <c r="D23" s="216">
        <v>10.0</v>
      </c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</row>
    <row r="24" ht="45.0" customHeight="1">
      <c r="A24" s="11">
        <v>23.0</v>
      </c>
      <c r="B24" s="93" t="s">
        <v>105</v>
      </c>
      <c r="C24" s="11" t="str">
        <f>IMAGE("https://c8.alamy.com/comp/R7TP32/paint-palette-with-various-acrylic-paints-and-a-brush-R7TP32.jpg",1)</f>
        <v/>
      </c>
      <c r="D24" s="216">
        <v>5.0</v>
      </c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</row>
    <row r="25" ht="45.0" customHeight="1">
      <c r="A25" s="11">
        <v>24.0</v>
      </c>
      <c r="B25" s="93" t="s">
        <v>135</v>
      </c>
      <c r="C25" s="11" t="str">
        <f>IMAGE("https://m.media-amazon.com/images/I/717edTeWYZL._SL1500_.jpg",1)</f>
        <v/>
      </c>
      <c r="D25" s="216">
        <v>10.0</v>
      </c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</row>
    <row r="26" ht="45.0" customHeight="1">
      <c r="A26" s="11">
        <v>25.0</v>
      </c>
      <c r="B26" s="93" t="s">
        <v>1897</v>
      </c>
      <c r="C26" s="11" t="str">
        <f>IMAGE("https://www.faithfulltools.com/images/xxlarge/FAIRULE150SS.jpg",1)</f>
        <v/>
      </c>
      <c r="D26" s="216">
        <v>10.0</v>
      </c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</row>
    <row r="27" ht="45.0" customHeight="1">
      <c r="A27" s="11">
        <v>26.0</v>
      </c>
      <c r="B27" s="93" t="s">
        <v>131</v>
      </c>
      <c r="C27" s="11" t="str">
        <f>IMAGE("https://5.imimg.com/data5/AO/GN/AU/SELLER-10873750/floppy-disk-1000x1000.jpg",1)</f>
        <v/>
      </c>
      <c r="D27" s="216">
        <v>10.0</v>
      </c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</row>
    <row r="28" ht="45.0" customHeight="1">
      <c r="A28" s="11">
        <v>27.0</v>
      </c>
      <c r="B28" s="93" t="s">
        <v>123</v>
      </c>
      <c r="C28" s="11" t="str">
        <f>IMAGE("https://images.meesho.com/images/products/60299132/dranx_512.jpg",1)</f>
        <v/>
      </c>
      <c r="D28" s="216">
        <v>10.0</v>
      </c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</row>
    <row r="29" ht="45.0" customHeight="1">
      <c r="A29" s="11">
        <v>28.0</v>
      </c>
      <c r="B29" s="260" t="s">
        <v>2001</v>
      </c>
      <c r="C29" s="11"/>
      <c r="D29" s="216">
        <v>5.0</v>
      </c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</row>
    <row r="30" ht="45.0" customHeight="1">
      <c r="A30" s="11">
        <v>29.0</v>
      </c>
      <c r="B30" s="93" t="s">
        <v>1008</v>
      </c>
      <c r="C30" s="11" t="str">
        <f>IMAGE("https://5.imimg.com/data5/KE/BV/MY-37063415/elastic-rubber-band-500x500.jpg",1)</f>
        <v/>
      </c>
      <c r="D30" s="216">
        <v>1.0</v>
      </c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</row>
    <row r="31" ht="45.0" customHeight="1">
      <c r="A31" s="11">
        <v>30.0</v>
      </c>
      <c r="B31" s="93" t="s">
        <v>1012</v>
      </c>
      <c r="C31" s="11" t="str">
        <f>IMAGE("https://5.imimg.com/data5/BN/VV/MY-31202642/rubber-band-500x500.jpg",1)</f>
        <v/>
      </c>
      <c r="D31" s="216">
        <v>1.0</v>
      </c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</row>
    <row r="32" ht="45.0" customHeight="1">
      <c r="A32" s="11">
        <v>31.0</v>
      </c>
      <c r="B32" s="93" t="s">
        <v>1016</v>
      </c>
      <c r="C32" s="11" t="str">
        <f>IMAGE("https://5.imimg.com/data5/YV/DJ/MY-7514996/rubber-band-500x500.jpg",1)</f>
        <v/>
      </c>
      <c r="D32" s="216">
        <v>1.0</v>
      </c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</row>
    <row r="33" ht="45.0" customHeight="1">
      <c r="A33" s="11">
        <v>32.0</v>
      </c>
      <c r="B33" s="93" t="s">
        <v>980</v>
      </c>
      <c r="C33" s="11" t="str">
        <f t="shared" ref="C33:C35" si="1">IMAGE("https://encrypted-tbn0.gstatic.com/=IMAGEs?q=tbn:ANd9GcSdcvov5296EXdnf0Fj0qF-G6iK-nu0n6Z4THAWosUzBx_wQ7GuJyrL0Rnbt1uBxLroiao&amp;usqp=CAU",1)</f>
        <v/>
      </c>
      <c r="D33" s="216">
        <v>5.0</v>
      </c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  <c r="AF33" s="305"/>
      <c r="AG33" s="305"/>
      <c r="AH33" s="305"/>
      <c r="AI33" s="305"/>
      <c r="AJ33" s="305"/>
      <c r="AK33" s="305"/>
    </row>
    <row r="34" ht="45.0" customHeight="1">
      <c r="A34" s="11">
        <v>33.0</v>
      </c>
      <c r="B34" s="93" t="s">
        <v>985</v>
      </c>
      <c r="C34" s="11" t="str">
        <f t="shared" si="1"/>
        <v/>
      </c>
      <c r="D34" s="216">
        <v>5.0</v>
      </c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</row>
    <row r="35" ht="45.0" customHeight="1">
      <c r="A35" s="11">
        <v>34.0</v>
      </c>
      <c r="B35" s="93" t="s">
        <v>989</v>
      </c>
      <c r="C35" s="11" t="str">
        <f t="shared" si="1"/>
        <v/>
      </c>
      <c r="D35" s="216">
        <v>2.0</v>
      </c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</row>
    <row r="36" ht="45.0" customHeight="1">
      <c r="A36" s="11">
        <v>35.0</v>
      </c>
      <c r="B36" s="93" t="s">
        <v>993</v>
      </c>
      <c r="C36" s="11" t="str">
        <f t="shared" ref="C36:C38" si="2">IMAGE("https://encrypted-tbn0.gstatic.com/=IMAGEs?q=tbn:ANd9GcTv3YU2gmM00qoI79XpKhq-dV1wM5aPXrLsmrVwQWwEda0tuTarN0ncQ0DMg_JUYk4IBe4&amp;usqp=CAU",1)</f>
        <v/>
      </c>
      <c r="D36" s="216">
        <v>5.0</v>
      </c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</row>
    <row r="37" ht="45.0" customHeight="1">
      <c r="A37" s="11">
        <v>36.0</v>
      </c>
      <c r="B37" s="93" t="s">
        <v>997</v>
      </c>
      <c r="C37" s="11" t="str">
        <f t="shared" si="2"/>
        <v/>
      </c>
      <c r="D37" s="216">
        <v>5.0</v>
      </c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</row>
    <row r="38" ht="45.0" customHeight="1">
      <c r="A38" s="11">
        <v>37.0</v>
      </c>
      <c r="B38" s="93" t="s">
        <v>1000</v>
      </c>
      <c r="C38" s="11" t="str">
        <f t="shared" si="2"/>
        <v/>
      </c>
      <c r="D38" s="216">
        <v>5.0</v>
      </c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</row>
    <row r="39" ht="45.0" customHeight="1">
      <c r="A39" s="11">
        <v>38.0</v>
      </c>
      <c r="B39" s="93" t="s">
        <v>1004</v>
      </c>
      <c r="C39" s="11" t="str">
        <f>IMAGE("https://3.imimg.com/data3/QQ/JR/MY-2/plastic-twine-500x500.jpg",1)</f>
        <v/>
      </c>
      <c r="D39" s="216">
        <v>1.0</v>
      </c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</row>
    <row r="40" ht="45.0" customHeight="1">
      <c r="A40" s="11">
        <v>39.0</v>
      </c>
      <c r="B40" s="93" t="s">
        <v>1019</v>
      </c>
      <c r="C40" s="11" t="str">
        <f>IMAGE("https://m.media-amazon.com/images/I/51XnX9DfiFL._SL1166_.jpg",1)</f>
        <v/>
      </c>
      <c r="D40" s="216">
        <v>1.0</v>
      </c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</row>
    <row r="41" ht="45.0" customHeight="1">
      <c r="A41" s="11">
        <v>40.0</v>
      </c>
      <c r="B41" s="93" t="s">
        <v>1982</v>
      </c>
      <c r="C41" s="11" t="str">
        <f>IMAGE("https://m.media-amazon.com/images/I/81PowerIGsL._SL1500_.jpg")</f>
        <v/>
      </c>
      <c r="D41" s="216">
        <v>1.0</v>
      </c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</row>
    <row r="42" ht="45.0" customHeight="1">
      <c r="A42" s="11">
        <v>41.0</v>
      </c>
      <c r="B42" s="93" t="s">
        <v>1439</v>
      </c>
      <c r="C42" s="11" t="str">
        <f>IMAGE("https://cdn.shopify.com/s/files/1/0032/5448/5037/products/suvidha-aluminium-foil-72-meters-pack-of-12_800x.jpg?v=1562920856",1)</f>
        <v/>
      </c>
      <c r="D42" s="216">
        <v>5.0</v>
      </c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</row>
    <row r="43" ht="45.0" customHeight="1">
      <c r="A43" s="11">
        <v>42.0</v>
      </c>
      <c r="B43" s="93" t="s">
        <v>1425</v>
      </c>
      <c r="C43" s="11" t="str">
        <f>IMAGE("https://imgs.michaels.com/MAM/assets/1/5E3C12034D34434F8A9BAAFDDF0F8E1B/img/5CDBB82051B44720A8F8901B4AABD77C/10446567_2.jpg",1)</f>
        <v/>
      </c>
      <c r="D43" s="11">
        <v>5.0</v>
      </c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</row>
    <row r="44" ht="45.0" customHeight="1">
      <c r="A44" s="11">
        <v>43.0</v>
      </c>
      <c r="B44" s="93" t="s">
        <v>1981</v>
      </c>
      <c r="C44" s="11" t="str">
        <f>IMAGE("https://upload.wikimedia.org/wikipedia/commons/7/79/Polymer_clay_examples.jpg",1)</f>
        <v/>
      </c>
      <c r="D44" s="11">
        <v>5.0</v>
      </c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</row>
    <row r="45" ht="45.0" customHeight="1">
      <c r="A45" s="11">
        <v>44.0</v>
      </c>
      <c r="B45" s="93" t="s">
        <v>936</v>
      </c>
      <c r="C45" s="11" t="str">
        <f>IMAGE("https://m.media-amazon.com/images/I/61ywjiydpbS._SL1500_.jpg",1)</f>
        <v/>
      </c>
      <c r="D45" s="216">
        <v>4.0</v>
      </c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</row>
    <row r="46" ht="45.0" customHeight="1">
      <c r="A46" s="11">
        <v>45.0</v>
      </c>
      <c r="B46" s="93" t="s">
        <v>1454</v>
      </c>
      <c r="C46" s="11" t="str">
        <f>IMAGE("https://cdn11.bigcommerce.com/s-33iv1gdknl/images/stencil/1280x1280/products/115465/70691/prd_32014_5797121027228__12010.1559545680.jpg?c=2",1)</f>
        <v/>
      </c>
      <c r="D46" s="216">
        <v>50.0</v>
      </c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</row>
    <row r="47" ht="45.0" customHeight="1">
      <c r="A47" s="11">
        <v>46.0</v>
      </c>
      <c r="B47" s="93" t="s">
        <v>1470</v>
      </c>
      <c r="C47" s="11" t="str">
        <f>IMAGE("https://www.wpiinc.com/media/catalog/product/cache/57a65487c9a4c9d3ba2482ad45cfc757/5/0/503023.jpg",1)</f>
        <v/>
      </c>
      <c r="D47" s="216">
        <v>1.0</v>
      </c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</row>
    <row r="48" ht="45.0" customHeight="1">
      <c r="A48" s="11">
        <v>47.0</v>
      </c>
      <c r="B48" s="93" t="s">
        <v>1458</v>
      </c>
      <c r="C48" s="11" t="str">
        <f>IMAGE("https://assetscdn1.paytm.com/images/catalog/product/S/ST/STAEVA-FOAM-SHEKAPI63599336D8CB51/1563562065545_0..jpg?imwidth=320&amp;impolicy=hq",1)</f>
        <v/>
      </c>
      <c r="D48" s="216">
        <v>10.0</v>
      </c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</row>
    <row r="49" ht="45.0" customHeight="1">
      <c r="A49" s="11">
        <v>48.0</v>
      </c>
      <c r="B49" s="93" t="s">
        <v>1446</v>
      </c>
      <c r="C49" s="11" t="str">
        <f t="shared" ref="C49:C50" si="3">IMAGE("https://m.media-amazon.com/images/I/51FB8cHTJyL._SL1500_.jpg",1)</f>
        <v/>
      </c>
      <c r="D49" s="216">
        <v>5.0</v>
      </c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</row>
    <row r="50" ht="45.0" customHeight="1">
      <c r="A50" s="11">
        <v>49.0</v>
      </c>
      <c r="B50" s="93" t="s">
        <v>1450</v>
      </c>
      <c r="C50" s="11" t="str">
        <f t="shared" si="3"/>
        <v/>
      </c>
      <c r="D50" s="216">
        <v>5.0</v>
      </c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  <c r="AD50" s="301"/>
      <c r="AE50" s="301"/>
      <c r="AF50" s="301"/>
      <c r="AG50" s="301"/>
      <c r="AH50" s="301"/>
      <c r="AI50" s="301"/>
      <c r="AJ50" s="301"/>
      <c r="AK50" s="301"/>
    </row>
    <row r="51" ht="45.0" customHeight="1">
      <c r="A51" s="11">
        <v>50.0</v>
      </c>
      <c r="B51" s="93" t="s">
        <v>1466</v>
      </c>
      <c r="C51" s="11" t="str">
        <f>IMAGE("https://www.ramsayrubber.com/wp-content/uploads/2020/01/Rolls-Sheeting-Polyurethane-Foam-Rolls2-1.jpg",1)</f>
        <v/>
      </c>
      <c r="D51" s="216">
        <v>10.0</v>
      </c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  <c r="AD51" s="301"/>
      <c r="AE51" s="301"/>
      <c r="AF51" s="301"/>
      <c r="AG51" s="301"/>
      <c r="AH51" s="301"/>
      <c r="AI51" s="301"/>
      <c r="AJ51" s="301"/>
      <c r="AK51" s="301"/>
    </row>
    <row r="52" ht="45.0" customHeight="1">
      <c r="A52" s="11">
        <v>51.0</v>
      </c>
      <c r="B52" s="93" t="s">
        <v>1461</v>
      </c>
      <c r="C52" s="11" t="str">
        <f>IMAGE("https://5.imimg.com/data5/NA/SV/MA/SELLER-5806248/transparent-ohp-sheet-1000x1000.jpg",1)</f>
        <v/>
      </c>
      <c r="D52" s="216">
        <v>1.0</v>
      </c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  <c r="AB52" s="301"/>
      <c r="AC52" s="301"/>
      <c r="AD52" s="301"/>
      <c r="AE52" s="301"/>
      <c r="AF52" s="301"/>
      <c r="AG52" s="301"/>
      <c r="AH52" s="301"/>
      <c r="AI52" s="301"/>
      <c r="AJ52" s="301"/>
      <c r="AK52" s="301"/>
    </row>
    <row r="53" ht="45.0" customHeight="1">
      <c r="A53" s="11">
        <v>52.0</v>
      </c>
      <c r="B53" s="93" t="s">
        <v>1604</v>
      </c>
      <c r="C53" s="11" t="str">
        <f>IMAGE("https://3.imimg.com/data3/HA/PB/MY-3231014/sewing-needle.jpg",1)</f>
        <v/>
      </c>
      <c r="D53" s="11">
        <v>1.0</v>
      </c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  <c r="AE53" s="301"/>
      <c r="AF53" s="301"/>
      <c r="AG53" s="301"/>
      <c r="AH53" s="301"/>
      <c r="AI53" s="301"/>
      <c r="AJ53" s="301"/>
      <c r="AK53" s="301"/>
    </row>
    <row r="54" ht="45.0" customHeight="1">
      <c r="A54" s="11">
        <v>53.0</v>
      </c>
      <c r="B54" s="93" t="s">
        <v>1608</v>
      </c>
      <c r="C54" s="11" t="str">
        <f>IMAGE("https://m.media-amazon.com/images/W/MEDIAX_792452-T2/images/I/71vxqqo9r7L.jpg",1)</f>
        <v/>
      </c>
      <c r="D54" s="11">
        <v>2.0</v>
      </c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  <c r="AC54" s="301"/>
      <c r="AD54" s="301"/>
      <c r="AE54" s="301"/>
      <c r="AF54" s="301"/>
      <c r="AG54" s="301"/>
      <c r="AH54" s="301"/>
      <c r="AI54" s="301"/>
      <c r="AJ54" s="301"/>
      <c r="AK54" s="301"/>
    </row>
    <row r="55" ht="45.0" hidden="1" customHeight="1">
      <c r="A55" s="11">
        <v>54.0</v>
      </c>
      <c r="B55" s="93" t="s">
        <v>464</v>
      </c>
      <c r="C55" s="11" t="str">
        <f>IMAGE("https://5.imimg.com/data5/SELLER/Default/2020/10/MN/BG/IF/24066098/sunlu-sl-300-3d-pen-green-500x500.jpg",1)</f>
        <v/>
      </c>
      <c r="D55" s="216">
        <v>5.0</v>
      </c>
      <c r="E55" s="12"/>
    </row>
    <row r="56" ht="45.0" hidden="1" customHeight="1">
      <c r="A56" s="11">
        <v>55.0</v>
      </c>
      <c r="B56" s="93" t="s">
        <v>471</v>
      </c>
      <c r="C56" s="11" t="str">
        <f>IMAGE("https://m.media-amazon.com/images/I/61UtNlSmPaL._SX342_.jpg",1)</f>
        <v/>
      </c>
      <c r="D56" s="216">
        <v>1.0</v>
      </c>
      <c r="E56" s="12"/>
    </row>
    <row r="57" ht="45.0" hidden="1" customHeight="1">
      <c r="A57" s="11">
        <v>56.0</v>
      </c>
      <c r="B57" s="93" t="s">
        <v>475</v>
      </c>
      <c r="C57" s="11"/>
      <c r="D57" s="216">
        <v>1.0</v>
      </c>
      <c r="E57" s="12"/>
    </row>
    <row r="58" ht="45.0" hidden="1" customHeight="1">
      <c r="A58" s="11">
        <v>57.0</v>
      </c>
      <c r="B58" s="93" t="s">
        <v>479</v>
      </c>
      <c r="C58" s="11" t="str">
        <f>IMAGE("https://5.imimg.com/data5/LA/TM/JO/SELLER-79394111/3d-printer-nylon-filament-500x500.jpg",1)</f>
        <v/>
      </c>
      <c r="D58" s="216">
        <v>3.0</v>
      </c>
      <c r="E58" s="12"/>
    </row>
    <row r="59" ht="45.0" hidden="1" customHeight="1">
      <c r="A59" s="11">
        <v>58.0</v>
      </c>
      <c r="B59" s="260" t="s">
        <v>1995</v>
      </c>
      <c r="C59" s="11"/>
      <c r="D59" s="216">
        <v>1.0</v>
      </c>
      <c r="E59" s="12"/>
    </row>
    <row r="60" ht="45.0" hidden="1" customHeight="1">
      <c r="A60" s="11">
        <v>59.0</v>
      </c>
      <c r="B60" s="260" t="s">
        <v>1997</v>
      </c>
      <c r="C60" s="11"/>
      <c r="D60" s="216">
        <v>1.0</v>
      </c>
      <c r="E60" s="12"/>
    </row>
    <row r="61" ht="45.0" hidden="1" customHeight="1">
      <c r="A61" s="11">
        <v>60.0</v>
      </c>
      <c r="B61" s="93" t="s">
        <v>1125</v>
      </c>
      <c r="C61" s="11" t="str">
        <f>IMAGE("https://cdn.shopify.com/s/files/1/0276/7382/1286/products/57_1a2e82a1-0306-49dc-8a29-0c0b2110ddb8_600x.jpg?v=1632245164",1)</f>
        <v/>
      </c>
      <c r="D61" s="216">
        <v>1.0</v>
      </c>
      <c r="E61" s="12"/>
    </row>
    <row r="62" ht="45.0" hidden="1" customHeight="1">
      <c r="A62" s="11">
        <v>61.0</v>
      </c>
      <c r="B62" s="93" t="s">
        <v>176</v>
      </c>
      <c r="C62" s="11" t="str">
        <f>IMAGE("https://robu.in/wp-content/uploads/2021/05/EU-Plug-Universal-Battery-Charger-For-18650-16340-14500-Li-ion-Rechargeable-Battery-Charger-3.jpg",1)</f>
        <v/>
      </c>
      <c r="D62" s="216">
        <v>5.0</v>
      </c>
      <c r="E62" s="12"/>
    </row>
    <row r="63" ht="45.0" hidden="1" customHeight="1">
      <c r="A63" s="11">
        <v>62.0</v>
      </c>
      <c r="B63" s="93" t="s">
        <v>220</v>
      </c>
      <c r="C63" s="11" t="str">
        <f>IMAGE("https://i02.psgsm.net/gsm.com/p/887576/480/power-bank-hoco-j26-10000-mah-micro-usb-type-b-input-5v-2a-2-usb-outputs-5-v-2-1-a-139-70-16-mm-with-micro-usb-cable-type-b-black.jpg",1)</f>
        <v/>
      </c>
      <c r="D63" s="216">
        <v>5.0</v>
      </c>
      <c r="E63" s="266"/>
    </row>
    <row r="64" ht="45.0" hidden="1" customHeight="1">
      <c r="A64" s="11">
        <v>63.0</v>
      </c>
      <c r="B64" s="93" t="s">
        <v>1741</v>
      </c>
      <c r="C64" s="11" t="str">
        <f>IMAGE("https://images-na.ssl-images-amazon.com/images/I/51p4KPR9o1L.SS700.jpg",1)</f>
        <v/>
      </c>
      <c r="D64" s="216">
        <v>10.0</v>
      </c>
      <c r="E64" s="12"/>
    </row>
    <row r="65" ht="45.0" hidden="1" customHeight="1">
      <c r="A65" s="11">
        <v>64.0</v>
      </c>
      <c r="B65" s="93" t="s">
        <v>228</v>
      </c>
      <c r="C65" s="11" t="str">
        <f>IMAGE("https://5.imimg.com/data5/SELLER/Default/2021/7/XA/OZ/BW/6610292/9v-power-plus-nimh-rechargeable-battery-500x500.jpg",1)</f>
        <v/>
      </c>
      <c r="D65" s="216">
        <v>10.0</v>
      </c>
      <c r="E65" s="12"/>
    </row>
    <row r="66" ht="45.0" hidden="1" customHeight="1">
      <c r="A66" s="11">
        <v>65.0</v>
      </c>
      <c r="B66" s="93" t="s">
        <v>232</v>
      </c>
      <c r="C66" s="11" t="str">
        <f>IMAGE("https://images-cdn.ubuy.co.in/6578382306deda07ed788ca4-rechargeable-aa-batteries-aa.jpg",1)</f>
        <v/>
      </c>
      <c r="D66" s="216">
        <v>20.0</v>
      </c>
      <c r="E66" s="12"/>
    </row>
    <row r="67" ht="45.0" hidden="1" customHeight="1">
      <c r="A67" s="11">
        <v>66.0</v>
      </c>
      <c r="B67" s="93" t="s">
        <v>1908</v>
      </c>
      <c r="C67" s="11" t="str">
        <f>IMAGE("https://m.media-amazon.com/images/I/6161NXWtz-L._SL1500_.jpg",1)</f>
        <v/>
      </c>
      <c r="D67" s="216">
        <v>5.0</v>
      </c>
      <c r="E67" s="12"/>
    </row>
    <row r="68" ht="45.0" hidden="1" customHeight="1">
      <c r="A68" s="11">
        <v>67.0</v>
      </c>
      <c r="B68" s="93" t="s">
        <v>1910</v>
      </c>
      <c r="C68" s="11" t="str">
        <f>IMAGE("https://i0.wp.com/www.rytronics.in/wp-content/uploads/2021/09/9v-batter-connector-snap-connector02.jpg?fit=1000%2C1000&amp;ssl=1",1)</f>
        <v/>
      </c>
      <c r="D68" s="216">
        <v>20.0</v>
      </c>
      <c r="E68" s="266"/>
    </row>
    <row r="69" ht="45.0" hidden="1" customHeight="1">
      <c r="A69" s="11">
        <v>68.0</v>
      </c>
      <c r="B69" s="93" t="s">
        <v>1911</v>
      </c>
      <c r="C69" s="11" t="str">
        <f>IMAGE("https://m.media-amazon.com/images/W/MEDIAX_792452-T2/images/I/61UPqH4BXuL.SS700.jpg",1)</f>
        <v/>
      </c>
      <c r="D69" s="216">
        <v>15.0</v>
      </c>
      <c r="E69" s="266"/>
    </row>
    <row r="70" ht="45.0" hidden="1" customHeight="1">
      <c r="A70" s="11">
        <v>69.0</v>
      </c>
      <c r="B70" s="93" t="s">
        <v>1912</v>
      </c>
      <c r="C70" s="11" t="str">
        <f>IMAGE("https://robotools.in/wp-content/uploads/2022/09/18650-x-2-battery-holder-with-cover-and-OnOff-Switch-5.jpg",1)</f>
        <v/>
      </c>
      <c r="D70" s="216">
        <v>10.0</v>
      </c>
      <c r="E70" s="12"/>
    </row>
    <row r="71" ht="45.0" hidden="1" customHeight="1">
      <c r="A71" s="11">
        <v>70.0</v>
      </c>
      <c r="B71" s="93" t="s">
        <v>1913</v>
      </c>
      <c r="C71" s="11" t="str">
        <f>IMAGE("https://robu.in/wp-content/uploads/2019/03/2-x-1.5V-AA-battery-holder-with-cover-and-OnOff-Switch-6.jpg",1)</f>
        <v/>
      </c>
      <c r="D71" s="216">
        <v>30.0</v>
      </c>
      <c r="E71" s="12"/>
    </row>
    <row r="72" ht="45.0" hidden="1" customHeight="1">
      <c r="A72" s="11">
        <v>71.0</v>
      </c>
      <c r="B72" s="93" t="s">
        <v>1914</v>
      </c>
      <c r="C72" s="11" t="str">
        <f>IMAGE("https://probots.co.in/pub/media/catalog/product/cache/d8ddd0f9b0cd008b57085cd218b48832/4/-/4-x-1.5v-aa-battery-holder01.jpg",1)</f>
        <v/>
      </c>
      <c r="D72" s="216">
        <v>20.0</v>
      </c>
      <c r="E72" s="12"/>
    </row>
    <row r="73" ht="45.0" hidden="1" customHeight="1">
      <c r="A73" s="11">
        <v>72.0</v>
      </c>
      <c r="B73" s="93" t="s">
        <v>1915</v>
      </c>
      <c r="C73" s="11" t="str">
        <f>IMAGE("https://robu.in/wp-content/uploads/2022/06/510c1Z93PDL._SX679_.jpg",1)</f>
        <v/>
      </c>
      <c r="D73" s="216">
        <v>20.0</v>
      </c>
      <c r="E73" s="12"/>
    </row>
    <row r="74" ht="45.0" hidden="1" customHeight="1">
      <c r="A74" s="11">
        <v>73.0</v>
      </c>
      <c r="B74" s="93" t="s">
        <v>1906</v>
      </c>
      <c r="C74" s="11" t="str">
        <f>IMAGE("https://rukminim2.flixcart.com/image/832/832/krs40i80/worldwide-adaptor/f/7/g/pack-of-1-power-adapter-12v-2-amp-dual-pin-for-charger-with-original-imag5hmbvgzazbzz.jpeg?q=70",1)</f>
        <v/>
      </c>
      <c r="D74" s="216">
        <v>5.0</v>
      </c>
      <c r="E74" s="12"/>
    </row>
    <row r="75" ht="45.0" hidden="1" customHeight="1">
      <c r="A75" s="11">
        <v>74.0</v>
      </c>
      <c r="B75" s="93" t="s">
        <v>1916</v>
      </c>
      <c r="C75" s="11" t="str">
        <f>IMAGE("https://robu.in/wp-content/uploads/2017/04/Alligator-Clips-Electrical-DIY-Test-Leads-10pcs-For-Test-Leads-Double-ended-Crocodile-Clips-Roach-Clip-2.jpg",1)</f>
        <v/>
      </c>
      <c r="D75" s="216">
        <v>20.0</v>
      </c>
      <c r="E75" s="12"/>
    </row>
    <row r="76" ht="45.0" hidden="1" customHeight="1">
      <c r="A76" s="11">
        <v>75.0</v>
      </c>
      <c r="B76" s="93" t="s">
        <v>241</v>
      </c>
      <c r="C76" s="11" t="str">
        <f>IMAGE("https://makerbazar.in/cdn/shop/products/dcmalejackwithwire2_600x.jpg?v=1642675074",1)</f>
        <v/>
      </c>
      <c r="D76" s="216">
        <v>20.0</v>
      </c>
      <c r="E76" s="266"/>
    </row>
    <row r="77" ht="45.0" hidden="1" customHeight="1">
      <c r="A77" s="11">
        <v>76.0</v>
      </c>
      <c r="B77" s="93" t="s">
        <v>1924</v>
      </c>
      <c r="C77" s="11" t="str">
        <f>IMAGE("https://robu.in/wp-content/uploads/2019/06/3.5mm-Audio-Plug-3-Pole-Gold-plated-Earphone-Adapter-For-DIY-Stereo-Headset-5.jpg",1)</f>
        <v/>
      </c>
      <c r="D77" s="216">
        <v>10.0</v>
      </c>
      <c r="E77" s="266"/>
    </row>
    <row r="78" ht="45.0" hidden="1" customHeight="1">
      <c r="A78" s="11">
        <v>77.0</v>
      </c>
      <c r="B78" s="93" t="s">
        <v>1918</v>
      </c>
      <c r="C78" s="11" t="str">
        <f>IMAGE("https://rukminim2.flixcart.com/image/832/832/k8t3jbk0/cable-sleeve/j/c/q/black-2mm-polyolefin-heat-shrink-tube-sleeve-for-wrap-60-meter-original-imafqq3y2g2v9vzz.jpeg?q=70",1)</f>
        <v/>
      </c>
      <c r="D78" s="216">
        <v>1.0</v>
      </c>
      <c r="E78" s="12"/>
    </row>
    <row r="79" ht="45.0" hidden="1" customHeight="1">
      <c r="A79" s="11">
        <v>78.0</v>
      </c>
      <c r="B79" s="93" t="s">
        <v>1919</v>
      </c>
      <c r="C79" s="11" t="str">
        <f>IMAGE("https://m.media-amazon.com/images/I/61zJ0n1EqGS._AC_SL1500_.jpg",1)</f>
        <v/>
      </c>
      <c r="D79" s="216">
        <v>1.0</v>
      </c>
      <c r="E79" s="12"/>
    </row>
    <row r="80" ht="45.0" hidden="1" customHeight="1">
      <c r="A80" s="11">
        <v>79.0</v>
      </c>
      <c r="B80" s="93" t="s">
        <v>1920</v>
      </c>
      <c r="C80" s="11" t="str">
        <f>IMAGE("https://m.media-amazon.com/images/W/MEDIAX_792452-T2/images/I/417I5BCQPSL.jpg",1)</f>
        <v/>
      </c>
      <c r="D80" s="216">
        <v>1.0</v>
      </c>
      <c r="E80" s="12"/>
    </row>
    <row r="81" ht="45.0" hidden="1" customHeight="1">
      <c r="A81" s="11">
        <v>80.0</v>
      </c>
      <c r="B81" s="93" t="s">
        <v>1921</v>
      </c>
      <c r="C81" s="11" t="str">
        <f>IMAGE("https://m.media-amazon.com/images/I/61zJ0n1EqGS._AC_SL1500_.jpg",1)</f>
        <v/>
      </c>
      <c r="D81" s="216">
        <v>1.0</v>
      </c>
      <c r="E81" s="12"/>
    </row>
    <row r="82" ht="45.0" hidden="1" customHeight="1">
      <c r="A82" s="11">
        <v>81.0</v>
      </c>
      <c r="B82" s="93" t="s">
        <v>266</v>
      </c>
      <c r="C82" s="11" t="str">
        <f t="shared" ref="C82:C86" si="4">IMAGE("https://i.ebayimg.com/images/g/xCYAAOSwjvJlEQU8/s-l1600.jpg",1)</f>
        <v/>
      </c>
      <c r="D82" s="216">
        <v>20.0</v>
      </c>
      <c r="E82" s="12"/>
    </row>
    <row r="83" ht="45.0" hidden="1" customHeight="1">
      <c r="A83" s="11">
        <v>82.0</v>
      </c>
      <c r="B83" s="93" t="s">
        <v>271</v>
      </c>
      <c r="C83" s="11" t="str">
        <f t="shared" si="4"/>
        <v/>
      </c>
      <c r="D83" s="216">
        <v>20.0</v>
      </c>
      <c r="E83" s="12"/>
    </row>
    <row r="84" ht="45.0" hidden="1" customHeight="1">
      <c r="A84" s="11">
        <v>83.0</v>
      </c>
      <c r="B84" s="93" t="s">
        <v>275</v>
      </c>
      <c r="C84" s="11" t="str">
        <f t="shared" si="4"/>
        <v/>
      </c>
      <c r="D84" s="216">
        <v>20.0</v>
      </c>
      <c r="E84" s="12"/>
    </row>
    <row r="85" ht="45.0" hidden="1" customHeight="1">
      <c r="A85" s="11">
        <v>84.0</v>
      </c>
      <c r="B85" s="93" t="s">
        <v>279</v>
      </c>
      <c r="C85" s="11" t="str">
        <f t="shared" si="4"/>
        <v/>
      </c>
      <c r="D85" s="216">
        <v>20.0</v>
      </c>
      <c r="E85" s="12"/>
    </row>
    <row r="86" ht="45.0" hidden="1" customHeight="1">
      <c r="A86" s="11">
        <v>85.0</v>
      </c>
      <c r="B86" s="93" t="s">
        <v>283</v>
      </c>
      <c r="C86" s="11" t="str">
        <f t="shared" si="4"/>
        <v/>
      </c>
      <c r="D86" s="216">
        <v>20.0</v>
      </c>
      <c r="E86" s="12"/>
    </row>
    <row r="87" ht="45.0" hidden="1" customHeight="1">
      <c r="A87" s="11">
        <v>86.0</v>
      </c>
      <c r="B87" s="93" t="s">
        <v>287</v>
      </c>
      <c r="C87" s="11" t="str">
        <f t="shared" ref="C87:C89" si="5">IMAGE("https://cdn.shopify.com/s/files/1/0527/2692/3444/products/M-M10CM_800x.jpg?v=1620840829",1)</f>
        <v/>
      </c>
      <c r="D87" s="216">
        <v>20.0</v>
      </c>
      <c r="E87" s="266"/>
    </row>
    <row r="88" ht="45.0" hidden="1" customHeight="1">
      <c r="A88" s="11">
        <v>87.0</v>
      </c>
      <c r="B88" s="93" t="s">
        <v>292</v>
      </c>
      <c r="C88" s="11" t="str">
        <f t="shared" si="5"/>
        <v/>
      </c>
      <c r="D88" s="216">
        <v>20.0</v>
      </c>
      <c r="E88" s="266"/>
    </row>
    <row r="89" ht="45.0" hidden="1" customHeight="1">
      <c r="A89" s="11">
        <v>88.0</v>
      </c>
      <c r="B89" s="93" t="s">
        <v>296</v>
      </c>
      <c r="C89" s="11" t="str">
        <f t="shared" si="5"/>
        <v/>
      </c>
      <c r="D89" s="216">
        <v>20.0</v>
      </c>
      <c r="E89" s="266"/>
    </row>
    <row r="90" ht="45.0" hidden="1" customHeight="1">
      <c r="A90" s="11">
        <v>89.0</v>
      </c>
      <c r="B90" s="93" t="s">
        <v>300</v>
      </c>
      <c r="C90" s="11" t="str">
        <f>IMAGE("https://encrypted-tbn0.gstatic.com/images?q=tbn:ANd9GcR4A79FMiemvwjtYU3z1SGV0ayCZPtc8oNMobr5AuvlhGOJoeuq78aTh7JjRPQlfFrsXfE&amp;usqp=CAU",1)</f>
        <v/>
      </c>
      <c r="D90" s="216">
        <v>10.0</v>
      </c>
      <c r="E90" s="12"/>
    </row>
    <row r="91" ht="45.0" hidden="1" customHeight="1">
      <c r="A91" s="11">
        <v>90.0</v>
      </c>
      <c r="B91" s="93" t="s">
        <v>304</v>
      </c>
      <c r="C91" s="11" t="str">
        <f>IMAGE("https://robu.in/wp-content/uploads/2018/07/50-CM-Micro-USB-Cable-1.jpg",1)</f>
        <v/>
      </c>
      <c r="D91" s="216">
        <v>10.0</v>
      </c>
      <c r="E91" s="266"/>
    </row>
    <row r="92" ht="45.0" hidden="1" customHeight="1">
      <c r="A92" s="11">
        <v>91.0</v>
      </c>
      <c r="B92" s="93" t="s">
        <v>1931</v>
      </c>
      <c r="C92" s="11" t="str">
        <f>IMAGE("https://www.electronicscomp.com/image/cache/catalog/cnc-shield-v3-400x400.jpg",1)</f>
        <v/>
      </c>
      <c r="D92" s="237">
        <v>7.0</v>
      </c>
      <c r="E92" s="12"/>
    </row>
    <row r="93" ht="45.0" hidden="1" customHeight="1">
      <c r="A93" s="11">
        <v>92.0</v>
      </c>
      <c r="B93" s="93" t="s">
        <v>420</v>
      </c>
      <c r="C93" s="11" t="str">
        <f>IMAGE("https://5.imimg.com/data5/VS/XC/MY-4167793/arduino-nano-500x500.jpg",1)</f>
        <v/>
      </c>
      <c r="D93" s="216">
        <v>15.0</v>
      </c>
      <c r="E93" s="12"/>
    </row>
    <row r="94" ht="45.0" hidden="1" customHeight="1">
      <c r="A94" s="11">
        <v>93.0</v>
      </c>
      <c r="B94" s="93" t="s">
        <v>1933</v>
      </c>
      <c r="C94" s="11" t="str">
        <f>IMAGE("https://robu.in/wp-content/uploads/2017/04/Arduino_NANO_expansion1.jpg",1)</f>
        <v/>
      </c>
      <c r="D94" s="216">
        <v>10.0</v>
      </c>
      <c r="E94" s="266"/>
    </row>
    <row r="95" ht="45.0" hidden="1" customHeight="1">
      <c r="A95" s="11">
        <v>94.0</v>
      </c>
      <c r="B95" s="93" t="s">
        <v>1934</v>
      </c>
      <c r="C95" s="11" t="str">
        <f>IMAGE("https://robu.in/wp-content/uploads/2017/10/Uno-R3-CH340G-ATmega328p-Development-Board-Compatible-with-Arduino2.png",1)</f>
        <v/>
      </c>
      <c r="D95" s="216">
        <v>15.0</v>
      </c>
      <c r="E95" s="12"/>
    </row>
    <row r="96" ht="45.0" hidden="1" customHeight="1">
      <c r="A96" s="11">
        <v>95.0</v>
      </c>
      <c r="B96" s="93" t="s">
        <v>438</v>
      </c>
      <c r="C96" s="11" t="str">
        <f>IMAGE("https://www.electronicscomp.com/image/cache/catalog/esp8266-esp01-wifi-module-india-800x800.jpg",1)</f>
        <v/>
      </c>
      <c r="D96" s="216">
        <v>10.0</v>
      </c>
      <c r="E96" s="313"/>
    </row>
    <row r="97" ht="45.0" hidden="1" customHeight="1">
      <c r="A97" s="11">
        <v>96.0</v>
      </c>
      <c r="B97" s="93" t="s">
        <v>441</v>
      </c>
      <c r="C97" s="11" t="str">
        <f>IMAGE("https://makerselectronics.com/wp-content/uploads/2020/07/ESP32-CAM-2.jpg",1)</f>
        <v/>
      </c>
      <c r="D97" s="216">
        <v>10.0</v>
      </c>
      <c r="E97" s="12"/>
    </row>
    <row r="98" ht="45.0" hidden="1" customHeight="1">
      <c r="A98" s="11">
        <v>97.0</v>
      </c>
      <c r="B98" s="93" t="s">
        <v>446</v>
      </c>
      <c r="C98" s="11" t="str">
        <f>IMAGE("https://www.berrybase.de/media/image/c5/26/b6/ID_186599_orig_600x600.jpg",1)</f>
        <v/>
      </c>
      <c r="D98" s="216">
        <v>10.0</v>
      </c>
      <c r="E98" s="12"/>
    </row>
    <row r="99" ht="45.0" hidden="1" customHeight="1">
      <c r="A99" s="11">
        <v>98.0</v>
      </c>
      <c r="B99" s="93" t="s">
        <v>450</v>
      </c>
      <c r="C99" s="11" t="str">
        <f>IMAGE("https://m.media-amazon.com/images/I/61rcnccrByL._SL1238_.jpg",1)</f>
        <v/>
      </c>
      <c r="D99" s="216">
        <v>15.0</v>
      </c>
      <c r="E99" s="12"/>
    </row>
    <row r="100" ht="45.0" hidden="1" customHeight="1">
      <c r="A100" s="11">
        <v>99.0</v>
      </c>
      <c r="B100" s="93" t="s">
        <v>454</v>
      </c>
      <c r="C100" s="11" t="str">
        <f>IMAGE("https://m.media-amazon.com/images/W/MEDIAX_792452-T2/images/I/61t+lNeiChL._SL1443_.jpg",1)</f>
        <v/>
      </c>
      <c r="D100" s="216">
        <v>15.0</v>
      </c>
      <c r="E100" s="12"/>
    </row>
    <row r="101" ht="45.0" hidden="1" customHeight="1">
      <c r="A101" s="11">
        <v>100.0</v>
      </c>
      <c r="B101" s="107" t="s">
        <v>459</v>
      </c>
      <c r="C101" s="11" t="str">
        <f>IMAGE("https://m.media-amazon.com/images/W/MEDIAX_792452-T2/images/I/61xb9SMx4AL._SL1440_.jpg",1)</f>
        <v/>
      </c>
      <c r="D101" s="216">
        <v>10.0</v>
      </c>
      <c r="E101" s="12"/>
    </row>
    <row r="102" ht="45.0" hidden="1" customHeight="1">
      <c r="A102" s="11">
        <v>101.0</v>
      </c>
      <c r="B102" s="270" t="s">
        <v>2160</v>
      </c>
      <c r="C102" s="11" t="str">
        <f>IMAGE("https://sumeetinstruments.com/image/cache/catalog/3dprinter/A4988-Stepper-Motor-Driver-Module-Heat-Sink-3D-Printer-Parts.-550x550.jpg",1)</f>
        <v/>
      </c>
      <c r="D102" s="237">
        <v>21.0</v>
      </c>
      <c r="E102" s="12"/>
    </row>
    <row r="103" ht="45.0" hidden="1" customHeight="1">
      <c r="A103" s="11">
        <v>102.0</v>
      </c>
      <c r="B103" s="272" t="s">
        <v>2161</v>
      </c>
      <c r="C103" s="275"/>
      <c r="D103" s="274">
        <v>10.0</v>
      </c>
      <c r="E103" s="314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276"/>
      <c r="AE103" s="276"/>
      <c r="AF103" s="276"/>
      <c r="AG103" s="276"/>
      <c r="AH103" s="276"/>
      <c r="AI103" s="276"/>
      <c r="AJ103" s="276"/>
      <c r="AK103" s="276"/>
    </row>
    <row r="104" ht="45.0" hidden="1" customHeight="1">
      <c r="A104" s="11">
        <v>103.0</v>
      </c>
      <c r="B104" s="272" t="s">
        <v>2162</v>
      </c>
      <c r="C104" s="275"/>
      <c r="D104" s="274">
        <v>2.0</v>
      </c>
      <c r="E104" s="314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76"/>
      <c r="AG104" s="276"/>
      <c r="AH104" s="276"/>
      <c r="AI104" s="276"/>
      <c r="AJ104" s="276"/>
      <c r="AK104" s="276"/>
    </row>
    <row r="105" ht="45.0" hidden="1" customHeight="1">
      <c r="A105" s="11">
        <v>104.0</v>
      </c>
      <c r="B105" s="93" t="s">
        <v>505</v>
      </c>
      <c r="C105" s="11" t="str">
        <f>IMAGE("https://rukminim2.flixcart.com/image/832/832/ks243gw0/electronic-hobby-kit/x/f/2/2mm-pitch-female-burg-strip-40-pin-5-pcs-prime-intact-original-imag5pxpqjxcdsgh.jpeg?q=70",1)</f>
        <v/>
      </c>
      <c r="D105" s="216">
        <v>100.0</v>
      </c>
      <c r="E105" s="266"/>
    </row>
    <row r="106" ht="45.0" hidden="1" customHeight="1">
      <c r="A106" s="11">
        <v>105.0</v>
      </c>
      <c r="B106" s="93" t="s">
        <v>626</v>
      </c>
      <c r="C106" s="11" t="str">
        <f>IMAGE("https://5.imimg.com/data5/AH/OG/AM/SELLER-5278310/mkc-27701-changeover-reed-switch-500x500.jpg",1)</f>
        <v/>
      </c>
      <c r="D106" s="216">
        <v>20.0</v>
      </c>
      <c r="E106" s="12"/>
    </row>
    <row r="107" ht="45.0" hidden="1" customHeight="1">
      <c r="A107" s="11">
        <v>106.0</v>
      </c>
      <c r="B107" s="93" t="s">
        <v>1942</v>
      </c>
      <c r="C107" s="11" t="str">
        <f>IMAGE("https://5.imimg.com/data5/SR/JZ/RD/SELLER-80355495/large-breadboard-800-points--500x500.jpg",1)</f>
        <v/>
      </c>
      <c r="D107" s="216">
        <v>10.0</v>
      </c>
      <c r="E107" s="12"/>
    </row>
    <row r="108" ht="45.0" hidden="1" customHeight="1">
      <c r="A108" s="11">
        <v>107.0</v>
      </c>
      <c r="B108" s="93" t="s">
        <v>497</v>
      </c>
      <c r="C108" s="11" t="str">
        <f>IMAGE("https://5.imimg.com/data5/SELLER/Default/2020/12/GY/DK/LM/59387089/400-point-solderless-breadboard-500x500.jpg",1)</f>
        <v/>
      </c>
      <c r="D108" s="216">
        <v>10.0</v>
      </c>
      <c r="E108" s="12"/>
    </row>
    <row r="109" ht="45.0" hidden="1" customHeight="1">
      <c r="A109" s="11">
        <v>108.0</v>
      </c>
      <c r="B109" s="93" t="s">
        <v>501</v>
      </c>
      <c r="C109" s="11" t="str">
        <f>IMAGE("https://1ohm.in/wp-content/uploads/2021/07/MB102-3.3V5V-Breadboard-Power-Supply-Module.png",1)</f>
        <v/>
      </c>
      <c r="D109" s="216">
        <v>10.0</v>
      </c>
      <c r="E109" s="12"/>
    </row>
    <row r="110" ht="45.0" hidden="1" customHeight="1">
      <c r="A110" s="11">
        <v>109.0</v>
      </c>
      <c r="B110" s="93" t="s">
        <v>509</v>
      </c>
      <c r="C110" s="11" t="str">
        <f>IMAGE("https://5.imimg.com/data5/OF/VW/IL/SELLER-9316309/burg-strips-500x500.jpg",1)</f>
        <v/>
      </c>
      <c r="D110" s="216">
        <v>50.0</v>
      </c>
      <c r="E110" s="266"/>
    </row>
    <row r="111" ht="45.0" hidden="1" customHeight="1">
      <c r="A111" s="11">
        <v>110.0</v>
      </c>
      <c r="B111" s="242" t="s">
        <v>513</v>
      </c>
      <c r="C111" s="11" t="str">
        <f>IMAGE("https://www.tomsonelectronics.com/cdn/shop/products/40X1MALERAI_2048x2048.jpg?v=1602835171",1)</f>
        <v/>
      </c>
      <c r="D111" s="216">
        <v>50.0</v>
      </c>
      <c r="E111" s="266"/>
    </row>
    <row r="112" ht="45.0" hidden="1" customHeight="1">
      <c r="A112" s="11">
        <v>111.0</v>
      </c>
      <c r="B112" s="240" t="s">
        <v>522</v>
      </c>
      <c r="C112" s="11" t="str">
        <f>IMAGE("https://projectpoint.in/image/cache/catalog/102-672x504.jpg",1)</f>
        <v/>
      </c>
      <c r="D112" s="216">
        <v>100.0</v>
      </c>
      <c r="E112" s="12"/>
    </row>
    <row r="113" ht="45.0" hidden="1" customHeight="1">
      <c r="A113" s="11">
        <v>112.0</v>
      </c>
      <c r="B113" s="240" t="s">
        <v>517</v>
      </c>
      <c r="C113" s="11" t="str">
        <f t="shared" ref="C113:C114" si="6">IMAGE("https://projectpoint.in/image/cache/catalog/103-672x504.jpg",1)</f>
        <v/>
      </c>
      <c r="D113" s="216">
        <v>100.0</v>
      </c>
      <c r="E113" s="12"/>
    </row>
    <row r="114" ht="45.0" hidden="1" customHeight="1">
      <c r="A114" s="11">
        <v>113.0</v>
      </c>
      <c r="B114" s="240" t="s">
        <v>530</v>
      </c>
      <c r="C114" s="11" t="str">
        <f t="shared" si="6"/>
        <v/>
      </c>
      <c r="D114" s="216">
        <v>100.0</v>
      </c>
      <c r="E114" s="12"/>
    </row>
    <row r="115" ht="45.0" hidden="1" customHeight="1">
      <c r="A115" s="11">
        <v>114.0</v>
      </c>
      <c r="B115" s="240" t="s">
        <v>526</v>
      </c>
      <c r="C115" s="11" t="str">
        <f t="shared" ref="C115:C117" si="7">IMAGE("https://www.ato.com/content/images/thumbs/0011952_01f-50v-disc-ceramic-capacitor_550.jpeg",1)</f>
        <v/>
      </c>
      <c r="D115" s="216">
        <v>100.0</v>
      </c>
      <c r="E115" s="12"/>
    </row>
    <row r="116" ht="45.0" hidden="1" customHeight="1">
      <c r="A116" s="11">
        <v>115.0</v>
      </c>
      <c r="B116" s="240" t="s">
        <v>566</v>
      </c>
      <c r="C116" s="11" t="str">
        <f t="shared" si="7"/>
        <v/>
      </c>
      <c r="D116" s="216">
        <v>50.0</v>
      </c>
      <c r="E116" s="12"/>
    </row>
    <row r="117" ht="45.0" hidden="1" customHeight="1">
      <c r="A117" s="11">
        <v>116.0</v>
      </c>
      <c r="B117" s="240" t="s">
        <v>574</v>
      </c>
      <c r="C117" s="11" t="str">
        <f t="shared" si="7"/>
        <v/>
      </c>
      <c r="D117" s="216">
        <v>50.0</v>
      </c>
      <c r="E117" s="12"/>
    </row>
    <row r="118" ht="45.0" hidden="1" customHeight="1">
      <c r="A118" s="11">
        <v>117.0</v>
      </c>
      <c r="B118" s="240" t="s">
        <v>534</v>
      </c>
      <c r="C118" s="11" t="str">
        <f>IMAGE("https://projectpoint.in/image/cache/catalog/22uf-450v-672x504.jpg",1)</f>
        <v/>
      </c>
      <c r="D118" s="216">
        <v>20.0</v>
      </c>
      <c r="E118" s="12"/>
    </row>
    <row r="119" ht="45.0" hidden="1" customHeight="1">
      <c r="A119" s="11">
        <v>118.0</v>
      </c>
      <c r="B119" s="240" t="s">
        <v>550</v>
      </c>
      <c r="C119" s="11" t="str">
        <f>IMAGE("https://res.cloudinary.com/rsc/image/upload/b_rgb:FFFFFF,c_pad,dpr_1.0,f_auto,q_auto,w_700/c_pad,w_700/F5201539-01",1)</f>
        <v/>
      </c>
      <c r="D119" s="216">
        <v>20.0</v>
      </c>
      <c r="E119" s="12"/>
    </row>
    <row r="120" ht="45.0" hidden="1" customHeight="1">
      <c r="A120" s="11">
        <v>119.0</v>
      </c>
      <c r="B120" s="240" t="s">
        <v>570</v>
      </c>
      <c r="C120" s="11" t="str">
        <f>IMAGE("https://sharvielectronics.com/wp-content/uploads/2020/02/2.2uF-50V-Electrolytic-Capacitor.jpg",1)</f>
        <v/>
      </c>
      <c r="D120" s="216">
        <v>50.0</v>
      </c>
      <c r="E120" s="12"/>
    </row>
    <row r="121" ht="45.0" hidden="1" customHeight="1">
      <c r="A121" s="11">
        <v>120.0</v>
      </c>
      <c r="B121" s="240" t="s">
        <v>538</v>
      </c>
      <c r="C121" s="11" t="str">
        <f>IMAGE("https://projectpoint.in/image/cache/catalog/22uf-450v-672x504.jpg",1)</f>
        <v/>
      </c>
      <c r="D121" s="216">
        <v>50.0</v>
      </c>
      <c r="E121" s="12"/>
    </row>
    <row r="122" ht="45.0" hidden="1" customHeight="1">
      <c r="A122" s="11">
        <v>121.0</v>
      </c>
      <c r="B122" s="240" t="s">
        <v>554</v>
      </c>
      <c r="C122" s="11" t="str">
        <f>IMAGE("https://5.imimg.com/data5/SP/GM/AD/SELLER-84581978/keltron-2200uf-35-v-electrolytic-capacitors-500x500.jpg",1)</f>
        <v/>
      </c>
      <c r="D122" s="216">
        <v>20.0</v>
      </c>
      <c r="E122" s="12"/>
    </row>
    <row r="123" ht="45.0" hidden="1" customHeight="1">
      <c r="A123" s="11">
        <v>122.0</v>
      </c>
      <c r="B123" s="240" t="s">
        <v>578</v>
      </c>
      <c r="C123" s="11" t="str">
        <f>IMAGE("https://5.imimg.com/data5/QO/AU/MY-77080729/uge-electrolytic-capacitors-500x375-500x500.jpg",1)</f>
        <v/>
      </c>
      <c r="D123" s="216">
        <v>20.0</v>
      </c>
      <c r="E123" s="12"/>
    </row>
    <row r="124" ht="45.0" hidden="1" customHeight="1">
      <c r="A124" s="11">
        <v>123.0</v>
      </c>
      <c r="B124" s="240" t="s">
        <v>542</v>
      </c>
      <c r="C124" s="11"/>
      <c r="D124" s="216">
        <v>100.0</v>
      </c>
      <c r="E124" s="12"/>
    </row>
    <row r="125" ht="45.0" hidden="1" customHeight="1">
      <c r="A125" s="11">
        <v>124.0</v>
      </c>
      <c r="B125" s="240" t="s">
        <v>558</v>
      </c>
      <c r="C125" s="11" t="str">
        <f>IMAGE("https://5.imimg.com/data5/SP/GM/AD/SELLER-84581978/keltron-2200uf-35-v-electrolytic-capacitors-500x500.jpg",1)</f>
        <v/>
      </c>
      <c r="D125" s="216">
        <v>100.0</v>
      </c>
      <c r="E125" s="12"/>
    </row>
    <row r="126" ht="45.0" hidden="1" customHeight="1">
      <c r="A126" s="11">
        <v>125.0</v>
      </c>
      <c r="B126" s="115" t="s">
        <v>582</v>
      </c>
      <c r="C126" s="11" t="str">
        <f>IMAGE("https://5.imimg.com/data5/JL/JS/ZA/SELLER-21614932/4-7uf-400v-keltron-capacitor-500x500.jpg",1)</f>
        <v/>
      </c>
      <c r="D126" s="216">
        <v>50.0</v>
      </c>
      <c r="E126" s="12"/>
    </row>
    <row r="127" ht="45.0" hidden="1" customHeight="1">
      <c r="A127" s="11">
        <v>126.0</v>
      </c>
      <c r="B127" s="115" t="s">
        <v>546</v>
      </c>
      <c r="C127" s="11" t="str">
        <f>IMAGE("https://projectpoint.in/image/cache/catalog/47uf-250v-672x504.jpg",1)</f>
        <v/>
      </c>
      <c r="D127" s="216">
        <v>50.0</v>
      </c>
      <c r="E127" s="12"/>
    </row>
    <row r="128" ht="45.0" hidden="1" customHeight="1">
      <c r="A128" s="11">
        <v>127.0</v>
      </c>
      <c r="B128" s="115" t="s">
        <v>562</v>
      </c>
      <c r="C128" s="11" t="str">
        <f>IMAGE("https://5.imimg.com/data5/QO/AU/MY-77080729/uge-electrolytic-capacitors-500x375-500x500.jpg",1)</f>
        <v/>
      </c>
      <c r="D128" s="216">
        <v>20.0</v>
      </c>
      <c r="E128" s="12"/>
    </row>
    <row r="129" ht="45.0" hidden="1" customHeight="1">
      <c r="A129" s="11">
        <v>128.0</v>
      </c>
      <c r="B129" s="93" t="s">
        <v>590</v>
      </c>
      <c r="C129" s="11" t="str">
        <f t="shared" ref="C129:C130" si="8">IMAGE("https://m.media-amazon.com/images/W/MEDIAX_792452-T2/images/I/41A+MQfyyEL.jpg",1)</f>
        <v/>
      </c>
      <c r="D129" s="216">
        <v>20.0</v>
      </c>
      <c r="E129" s="12"/>
    </row>
    <row r="130" ht="45.0" hidden="1" customHeight="1">
      <c r="A130" s="11">
        <v>129.0</v>
      </c>
      <c r="B130" s="93" t="s">
        <v>594</v>
      </c>
      <c r="C130" s="11" t="str">
        <f t="shared" si="8"/>
        <v/>
      </c>
      <c r="D130" s="216">
        <v>20.0</v>
      </c>
      <c r="E130" s="12"/>
    </row>
    <row r="131" ht="45.0" hidden="1" customHeight="1">
      <c r="A131" s="11">
        <v>130.0</v>
      </c>
      <c r="B131" s="93" t="s">
        <v>1860</v>
      </c>
      <c r="C131" s="11" t="str">
        <f>IMAGE("https://www.electronicscomp.com/image/cache/catalog/cd4033-5-stage-johnson-decade-counter-ic-dip-16-800x800.jpg",1)</f>
        <v/>
      </c>
      <c r="D131" s="216">
        <v>20.0</v>
      </c>
      <c r="E131" s="266"/>
    </row>
    <row r="132" ht="45.0" hidden="1" customHeight="1">
      <c r="A132" s="11">
        <v>131.0</v>
      </c>
      <c r="B132" s="93" t="s">
        <v>1862</v>
      </c>
      <c r="C132" s="11" t="str">
        <f>IMAGE("https://robu.in/wp-content/uploads/2018/11/LM358P-PDIP-8-High-Gain-Operational-Amplifier-Pack-of-5-ICs-9.jpg",1)</f>
        <v/>
      </c>
      <c r="D132" s="216">
        <v>20.0</v>
      </c>
      <c r="E132" s="266"/>
    </row>
    <row r="133" ht="45.0" hidden="1" customHeight="1">
      <c r="A133" s="11">
        <v>132.0</v>
      </c>
      <c r="B133" s="93" t="s">
        <v>2085</v>
      </c>
      <c r="C133" s="11" t="str">
        <f>IMAGE("https://potentiallabs.com/cart/image/cache/catalog/2021/555-timer-ic-400x400.jpeg",1)</f>
        <v/>
      </c>
      <c r="D133" s="216">
        <v>20.0</v>
      </c>
      <c r="E133" s="315"/>
    </row>
    <row r="134" ht="45.0" hidden="1" customHeight="1">
      <c r="A134" s="11">
        <v>133.0</v>
      </c>
      <c r="B134" s="93" t="s">
        <v>603</v>
      </c>
      <c r="C134" s="11" t="str">
        <f>IMAGE("https://rukminim2.flixcart.com/image/832/832/xif0q/electronic-hobby-kit/d/o/s/50-pcs-blue-led-5mm-kitsguru-original-imaghfqbjbn4hshz.jpeg?q=70",1)</f>
        <v/>
      </c>
      <c r="D134" s="216">
        <v>500.0</v>
      </c>
      <c r="E134" s="316"/>
    </row>
    <row r="135" ht="45.0" hidden="1" customHeight="1">
      <c r="A135" s="11">
        <v>134.0</v>
      </c>
      <c r="B135" s="93" t="s">
        <v>607</v>
      </c>
      <c r="C135" s="11" t="str">
        <f>IMAGE("https://rukminim2.flixcart.com/image/832/832/krz97rk0/electronic-hobby-kit/r/p/r/5mm-green-led-light-emitting-diode-highlight-for-arduino-pack-of-original-imag5n63ad6pnxqe.jpeg?q=70", 1)</f>
        <v/>
      </c>
      <c r="D135" s="216">
        <v>500.0</v>
      </c>
      <c r="E135" s="316"/>
    </row>
    <row r="136" ht="45.0" hidden="1" customHeight="1">
      <c r="A136" s="11">
        <v>135.0</v>
      </c>
      <c r="B136" s="93" t="s">
        <v>610</v>
      </c>
      <c r="C136" s="11" t="str">
        <f>IMAGE("https://rukminim2.flixcart.com/image/832/832/ktrk13k0/electronic-hobby-kit/u/f/w/10-pcs-5mm-round-diffused-red-color-led-light-bulb-lamp-light-original-imag7ff6rchccrbz.jpeg?q=70", 1)</f>
        <v/>
      </c>
      <c r="D136" s="216">
        <v>500.0</v>
      </c>
      <c r="E136" s="316"/>
    </row>
    <row r="137" ht="45.0" hidden="1" customHeight="1">
      <c r="A137" s="11">
        <v>136.0</v>
      </c>
      <c r="B137" s="93" t="s">
        <v>614</v>
      </c>
      <c r="C137" s="11" t="str">
        <f>IMAGE("https://robu.in/wp-content/uploads/2020/10/5mm-DIP-Led-White.png", 1)</f>
        <v/>
      </c>
      <c r="D137" s="216">
        <v>500.0</v>
      </c>
      <c r="E137" s="316"/>
    </row>
    <row r="138" ht="45.0" hidden="1" customHeight="1">
      <c r="A138" s="11">
        <v>137.0</v>
      </c>
      <c r="B138" s="93" t="s">
        <v>618</v>
      </c>
      <c r="C138" s="11" t="str">
        <f>IMAGE("https://robu.in/wp-content/uploads/2020/10/5-mm-DIP-Led-Yellow.png", 1)</f>
        <v/>
      </c>
      <c r="D138" s="216">
        <v>500.0</v>
      </c>
      <c r="E138" s="316"/>
    </row>
    <row r="139" ht="45.0" hidden="1" customHeight="1">
      <c r="A139" s="11">
        <v>138.0</v>
      </c>
      <c r="B139" s="93" t="s">
        <v>622</v>
      </c>
      <c r="C139" s="11" t="str">
        <f>IMAGE("https://image.robotistan.com/5mm-transparent-rgb-led-2633-11-O.jpg", 1)</f>
        <v/>
      </c>
      <c r="D139" s="216">
        <v>100.0</v>
      </c>
      <c r="E139" s="316"/>
    </row>
    <row r="140" ht="45.0" hidden="1" customHeight="1">
      <c r="A140" s="11">
        <v>139.0</v>
      </c>
      <c r="B140" s="93" t="s">
        <v>630</v>
      </c>
      <c r="C140" s="11" t="str">
        <f t="shared" ref="C140:C141" si="9">IMAGE("https://www.electronicscomp.com/image/cache/catalog/irfz44-n-channel-power-mosfet-1-800x800.JPG",1)</f>
        <v/>
      </c>
      <c r="D140" s="216">
        <v>20.0</v>
      </c>
      <c r="E140" s="12"/>
    </row>
    <row r="141" ht="45.0" hidden="1" customHeight="1">
      <c r="A141" s="11">
        <v>140.0</v>
      </c>
      <c r="B141" s="93" t="s">
        <v>634</v>
      </c>
      <c r="C141" s="11" t="str">
        <f t="shared" si="9"/>
        <v/>
      </c>
      <c r="D141" s="216">
        <v>20.0</v>
      </c>
      <c r="E141" s="12"/>
    </row>
    <row r="142" ht="45.0" hidden="1" customHeight="1">
      <c r="A142" s="11">
        <v>141.0</v>
      </c>
      <c r="B142" s="93" t="s">
        <v>886</v>
      </c>
      <c r="C142" s="11" t="str">
        <f>IMAGE("https://www.olelectronics.in/wp-content/uploads/Miniature-Vibration-Motor.png",1)</f>
        <v/>
      </c>
      <c r="D142" s="216">
        <v>20.0</v>
      </c>
      <c r="E142" s="266"/>
    </row>
    <row r="143" ht="45.0" hidden="1" customHeight="1">
      <c r="A143" s="11">
        <v>142.0</v>
      </c>
      <c r="B143" s="93" t="s">
        <v>642</v>
      </c>
      <c r="C143" s="11" t="str">
        <f t="shared" ref="C143:C146" si="10">IMAGE("https://m.media-amazon.com/images/I/31ALofIyvBL._SX466_.jpg",1)</f>
        <v/>
      </c>
      <c r="D143" s="216">
        <v>20.0</v>
      </c>
      <c r="E143" s="12"/>
    </row>
    <row r="144" ht="45.0" hidden="1" customHeight="1">
      <c r="A144" s="11">
        <v>143.0</v>
      </c>
      <c r="B144" s="93" t="s">
        <v>646</v>
      </c>
      <c r="C144" s="11" t="str">
        <f t="shared" si="10"/>
        <v/>
      </c>
      <c r="D144" s="216">
        <v>20.0</v>
      </c>
      <c r="E144" s="317"/>
    </row>
    <row r="145" ht="45.0" hidden="1" customHeight="1">
      <c r="A145" s="11">
        <v>144.0</v>
      </c>
      <c r="B145" s="242" t="s">
        <v>650</v>
      </c>
      <c r="C145" s="11" t="str">
        <f t="shared" si="10"/>
        <v/>
      </c>
      <c r="D145" s="216">
        <v>20.0</v>
      </c>
      <c r="E145" s="317"/>
    </row>
    <row r="146" ht="45.0" hidden="1" customHeight="1">
      <c r="A146" s="11">
        <v>145.0</v>
      </c>
      <c r="B146" s="242" t="s">
        <v>654</v>
      </c>
      <c r="C146" s="11" t="str">
        <f t="shared" si="10"/>
        <v/>
      </c>
      <c r="D146" s="216">
        <v>20.0</v>
      </c>
      <c r="E146" s="12"/>
    </row>
    <row r="147" ht="45.0" hidden="1" customHeight="1">
      <c r="A147" s="11">
        <v>146.0</v>
      </c>
      <c r="B147" s="242" t="s">
        <v>874</v>
      </c>
      <c r="C147" s="11" t="str">
        <f t="shared" ref="C147:C149" si="11">IMAGE("https://probots.co.in/pub/media/catalog/product/cache/d8ddd0f9b0cd008b57085cd218b48832/1/k/1k_ohm_variable_resistor_potentiometer1-1000x1000_12.jpg",1)</f>
        <v/>
      </c>
      <c r="D147" s="216">
        <v>20.0</v>
      </c>
      <c r="E147" s="12"/>
    </row>
    <row r="148" ht="45.0" hidden="1" customHeight="1">
      <c r="A148" s="11">
        <v>147.0</v>
      </c>
      <c r="B148" s="242" t="s">
        <v>878</v>
      </c>
      <c r="C148" s="11" t="str">
        <f t="shared" si="11"/>
        <v/>
      </c>
      <c r="D148" s="216">
        <v>20.0</v>
      </c>
      <c r="E148" s="12"/>
    </row>
    <row r="149" ht="45.0" hidden="1" customHeight="1">
      <c r="A149" s="11">
        <v>148.0</v>
      </c>
      <c r="B149" s="242" t="s">
        <v>882</v>
      </c>
      <c r="C149" s="11" t="str">
        <f t="shared" si="11"/>
        <v/>
      </c>
      <c r="D149" s="216">
        <v>20.0</v>
      </c>
      <c r="E149" s="12"/>
    </row>
    <row r="150" ht="45.0" hidden="1" customHeight="1">
      <c r="A150" s="11">
        <v>149.0</v>
      </c>
      <c r="B150" s="240" t="s">
        <v>662</v>
      </c>
      <c r="C150" s="11" t="str">
        <f t="shared" ref="C150:C191" si="12">IMAGE("https://projectpoint.in/image/cache/catalog/CFR_Resistor_Kit-672x504.jpg",1)</f>
        <v/>
      </c>
      <c r="D150" s="216">
        <v>100.0</v>
      </c>
      <c r="E150" s="12"/>
    </row>
    <row r="151" ht="45.0" hidden="1" customHeight="1">
      <c r="A151" s="11">
        <v>150.0</v>
      </c>
      <c r="B151" s="240" t="s">
        <v>1757</v>
      </c>
      <c r="C151" s="11" t="str">
        <f t="shared" si="12"/>
        <v/>
      </c>
      <c r="D151" s="216">
        <v>100.0</v>
      </c>
      <c r="E151" s="12"/>
    </row>
    <row r="152" ht="45.0" hidden="1" customHeight="1">
      <c r="A152" s="11">
        <v>151.0</v>
      </c>
      <c r="B152" s="240" t="s">
        <v>698</v>
      </c>
      <c r="C152" s="11" t="str">
        <f t="shared" si="12"/>
        <v/>
      </c>
      <c r="D152" s="216">
        <v>100.0</v>
      </c>
      <c r="E152" s="12"/>
    </row>
    <row r="153" ht="45.0" hidden="1" customHeight="1">
      <c r="A153" s="11">
        <v>152.0</v>
      </c>
      <c r="B153" s="240" t="s">
        <v>706</v>
      </c>
      <c r="C153" s="11" t="str">
        <f t="shared" si="12"/>
        <v/>
      </c>
      <c r="D153" s="216">
        <v>100.0</v>
      </c>
      <c r="E153" s="12"/>
    </row>
    <row r="154" ht="45.0" hidden="1" customHeight="1">
      <c r="A154" s="11">
        <v>153.0</v>
      </c>
      <c r="B154" s="240" t="s">
        <v>718</v>
      </c>
      <c r="C154" s="11" t="str">
        <f t="shared" si="12"/>
        <v/>
      </c>
      <c r="D154" s="216">
        <v>100.0</v>
      </c>
      <c r="E154" s="12"/>
    </row>
    <row r="155" ht="45.0" hidden="1" customHeight="1">
      <c r="A155" s="11">
        <v>154.0</v>
      </c>
      <c r="B155" s="240" t="s">
        <v>734</v>
      </c>
      <c r="C155" s="11" t="str">
        <f t="shared" si="12"/>
        <v/>
      </c>
      <c r="D155" s="216">
        <v>100.0</v>
      </c>
      <c r="E155" s="12"/>
    </row>
    <row r="156" ht="45.0" hidden="1" customHeight="1">
      <c r="A156" s="11">
        <v>155.0</v>
      </c>
      <c r="B156" s="240" t="s">
        <v>1779</v>
      </c>
      <c r="C156" s="11" t="str">
        <f t="shared" si="12"/>
        <v/>
      </c>
      <c r="D156" s="216">
        <v>100.0</v>
      </c>
      <c r="E156" s="318"/>
    </row>
    <row r="157" ht="45.0" hidden="1" customHeight="1">
      <c r="A157" s="11">
        <v>156.0</v>
      </c>
      <c r="B157" s="240" t="s">
        <v>754</v>
      </c>
      <c r="C157" s="11" t="str">
        <f t="shared" si="12"/>
        <v/>
      </c>
      <c r="D157" s="216">
        <v>100.0</v>
      </c>
      <c r="E157" s="318"/>
    </row>
    <row r="158" ht="45.0" hidden="1" customHeight="1">
      <c r="A158" s="11">
        <v>157.0</v>
      </c>
      <c r="B158" s="240" t="s">
        <v>774</v>
      </c>
      <c r="C158" s="11" t="str">
        <f t="shared" si="12"/>
        <v/>
      </c>
      <c r="D158" s="216">
        <v>100.0</v>
      </c>
      <c r="E158" s="318"/>
    </row>
    <row r="159" ht="45.0" hidden="1" customHeight="1">
      <c r="A159" s="11">
        <v>158.0</v>
      </c>
      <c r="B159" s="240" t="s">
        <v>658</v>
      </c>
      <c r="C159" s="11" t="str">
        <f t="shared" si="12"/>
        <v/>
      </c>
      <c r="D159" s="216">
        <v>100.0</v>
      </c>
      <c r="E159" s="318"/>
    </row>
    <row r="160" ht="45.0" hidden="1" customHeight="1">
      <c r="A160" s="11">
        <v>159.0</v>
      </c>
      <c r="B160" s="240" t="s">
        <v>1792</v>
      </c>
      <c r="C160" s="11" t="str">
        <f t="shared" si="12"/>
        <v/>
      </c>
      <c r="D160" s="216">
        <v>100.0</v>
      </c>
      <c r="E160" s="318"/>
    </row>
    <row r="161" ht="45.0" hidden="1" customHeight="1">
      <c r="A161" s="11">
        <v>160.0</v>
      </c>
      <c r="B161" s="240" t="s">
        <v>690</v>
      </c>
      <c r="C161" s="11" t="str">
        <f t="shared" si="12"/>
        <v/>
      </c>
      <c r="D161" s="216">
        <v>100.0</v>
      </c>
      <c r="E161" s="318"/>
    </row>
    <row r="162" ht="45.0" hidden="1" customHeight="1">
      <c r="A162" s="11">
        <v>161.0</v>
      </c>
      <c r="B162" s="240" t="s">
        <v>1799</v>
      </c>
      <c r="C162" s="11" t="str">
        <f t="shared" si="12"/>
        <v/>
      </c>
      <c r="D162" s="216">
        <v>100.0</v>
      </c>
      <c r="E162" s="318"/>
    </row>
    <row r="163" ht="45.0" hidden="1" customHeight="1">
      <c r="A163" s="11">
        <v>162.0</v>
      </c>
      <c r="B163" s="240" t="s">
        <v>710</v>
      </c>
      <c r="C163" s="11" t="str">
        <f t="shared" si="12"/>
        <v/>
      </c>
      <c r="D163" s="216">
        <v>100.0</v>
      </c>
      <c r="E163" s="318"/>
    </row>
    <row r="164" ht="45.0" hidden="1" customHeight="1">
      <c r="A164" s="11">
        <v>163.0</v>
      </c>
      <c r="B164" s="240" t="s">
        <v>726</v>
      </c>
      <c r="C164" s="11" t="str">
        <f t="shared" si="12"/>
        <v/>
      </c>
      <c r="D164" s="216">
        <v>100.0</v>
      </c>
      <c r="E164" s="318"/>
    </row>
    <row r="165" ht="45.0" hidden="1" customHeight="1">
      <c r="A165" s="11">
        <v>164.0</v>
      </c>
      <c r="B165" s="240" t="s">
        <v>1808</v>
      </c>
      <c r="C165" s="11" t="str">
        <f t="shared" si="12"/>
        <v/>
      </c>
      <c r="D165" s="216">
        <v>100.0</v>
      </c>
      <c r="E165" s="318"/>
    </row>
    <row r="166" ht="45.0" hidden="1" customHeight="1">
      <c r="A166" s="11">
        <v>165.0</v>
      </c>
      <c r="B166" s="240" t="s">
        <v>746</v>
      </c>
      <c r="C166" s="11" t="str">
        <f t="shared" si="12"/>
        <v/>
      </c>
      <c r="D166" s="216">
        <v>100.0</v>
      </c>
      <c r="E166" s="318"/>
    </row>
    <row r="167" ht="45.0" hidden="1" customHeight="1">
      <c r="A167" s="11">
        <v>166.0</v>
      </c>
      <c r="B167" s="240" t="s">
        <v>766</v>
      </c>
      <c r="C167" s="11" t="str">
        <f t="shared" si="12"/>
        <v/>
      </c>
      <c r="D167" s="216">
        <v>100.0</v>
      </c>
      <c r="E167" s="318"/>
    </row>
    <row r="168" ht="45.0" hidden="1" customHeight="1">
      <c r="A168" s="11">
        <v>167.0</v>
      </c>
      <c r="B168" s="240" t="s">
        <v>678</v>
      </c>
      <c r="C168" s="11" t="str">
        <f t="shared" si="12"/>
        <v/>
      </c>
      <c r="D168" s="216">
        <v>100.0</v>
      </c>
      <c r="E168" s="318"/>
    </row>
    <row r="169" ht="45.0" hidden="1" customHeight="1">
      <c r="A169" s="11">
        <v>168.0</v>
      </c>
      <c r="B169" s="240" t="s">
        <v>686</v>
      </c>
      <c r="C169" s="11" t="str">
        <f t="shared" si="12"/>
        <v/>
      </c>
      <c r="D169" s="216">
        <v>100.0</v>
      </c>
      <c r="E169" s="318"/>
    </row>
    <row r="170" ht="45.0" hidden="1" customHeight="1">
      <c r="A170" s="11">
        <v>169.0</v>
      </c>
      <c r="B170" s="240" t="s">
        <v>742</v>
      </c>
      <c r="C170" s="11" t="str">
        <f t="shared" si="12"/>
        <v/>
      </c>
      <c r="D170" s="216">
        <v>100.0</v>
      </c>
      <c r="E170" s="318"/>
    </row>
    <row r="171" ht="45.0" hidden="1" customHeight="1">
      <c r="A171" s="11">
        <v>170.0</v>
      </c>
      <c r="B171" s="240" t="s">
        <v>666</v>
      </c>
      <c r="C171" s="11" t="str">
        <f t="shared" si="12"/>
        <v/>
      </c>
      <c r="D171" s="216">
        <v>100.0</v>
      </c>
      <c r="E171" s="318"/>
    </row>
    <row r="172" ht="45.0" hidden="1" customHeight="1">
      <c r="A172" s="11">
        <v>171.0</v>
      </c>
      <c r="B172" s="240" t="s">
        <v>794</v>
      </c>
      <c r="C172" s="11" t="str">
        <f t="shared" si="12"/>
        <v/>
      </c>
      <c r="D172" s="216">
        <v>100.0</v>
      </c>
      <c r="E172" s="318"/>
    </row>
    <row r="173" ht="45.0" hidden="1" customHeight="1">
      <c r="A173" s="11">
        <v>172.0</v>
      </c>
      <c r="B173" s="240" t="s">
        <v>702</v>
      </c>
      <c r="C173" s="11" t="str">
        <f t="shared" si="12"/>
        <v/>
      </c>
      <c r="D173" s="216">
        <v>100.0</v>
      </c>
      <c r="E173" s="318"/>
    </row>
    <row r="174" ht="45.0" hidden="1" customHeight="1">
      <c r="A174" s="11">
        <v>173.0</v>
      </c>
      <c r="B174" s="240" t="s">
        <v>806</v>
      </c>
      <c r="C174" s="11" t="str">
        <f t="shared" si="12"/>
        <v/>
      </c>
      <c r="D174" s="216">
        <v>100.0</v>
      </c>
      <c r="E174" s="318"/>
    </row>
    <row r="175" ht="45.0" hidden="1" customHeight="1">
      <c r="A175" s="11">
        <v>174.0</v>
      </c>
      <c r="B175" s="240" t="s">
        <v>722</v>
      </c>
      <c r="C175" s="11" t="str">
        <f t="shared" si="12"/>
        <v/>
      </c>
      <c r="D175" s="216">
        <v>100.0</v>
      </c>
      <c r="E175" s="318"/>
    </row>
    <row r="176" ht="45.0" hidden="1" customHeight="1">
      <c r="A176" s="11">
        <v>175.0</v>
      </c>
      <c r="B176" s="240" t="s">
        <v>738</v>
      </c>
      <c r="C176" s="11" t="str">
        <f t="shared" si="12"/>
        <v/>
      </c>
      <c r="D176" s="216">
        <v>100.0</v>
      </c>
      <c r="E176" s="318"/>
    </row>
    <row r="177" ht="45.0" hidden="1" customHeight="1">
      <c r="A177" s="11">
        <v>176.0</v>
      </c>
      <c r="B177" s="240" t="s">
        <v>822</v>
      </c>
      <c r="C177" s="11" t="str">
        <f t="shared" si="12"/>
        <v/>
      </c>
      <c r="D177" s="216">
        <v>100.0</v>
      </c>
      <c r="E177" s="318"/>
    </row>
    <row r="178" ht="45.0" hidden="1" customHeight="1">
      <c r="A178" s="11">
        <v>177.0</v>
      </c>
      <c r="B178" s="240" t="s">
        <v>758</v>
      </c>
      <c r="C178" s="11" t="str">
        <f t="shared" si="12"/>
        <v/>
      </c>
      <c r="D178" s="216">
        <v>100.0</v>
      </c>
      <c r="E178" s="318"/>
    </row>
    <row r="179" ht="45.0" hidden="1" customHeight="1">
      <c r="A179" s="11">
        <v>178.0</v>
      </c>
      <c r="B179" s="240" t="s">
        <v>778</v>
      </c>
      <c r="C179" s="11" t="str">
        <f t="shared" si="12"/>
        <v/>
      </c>
      <c r="D179" s="216">
        <v>100.0</v>
      </c>
      <c r="E179" s="318"/>
    </row>
    <row r="180" ht="45.0" hidden="1" customHeight="1">
      <c r="A180" s="11">
        <v>179.0</v>
      </c>
      <c r="B180" s="240" t="s">
        <v>670</v>
      </c>
      <c r="C180" s="11" t="str">
        <f t="shared" si="12"/>
        <v/>
      </c>
      <c r="D180" s="216">
        <v>100.0</v>
      </c>
      <c r="E180" s="318"/>
    </row>
    <row r="181" ht="45.0" hidden="1" customHeight="1">
      <c r="A181" s="11">
        <v>180.0</v>
      </c>
      <c r="B181" s="240" t="s">
        <v>786</v>
      </c>
      <c r="C181" s="11" t="str">
        <f t="shared" si="12"/>
        <v/>
      </c>
      <c r="D181" s="216">
        <v>100.0</v>
      </c>
      <c r="E181" s="318"/>
    </row>
    <row r="182" ht="45.0" hidden="1" customHeight="1">
      <c r="A182" s="11">
        <v>181.0</v>
      </c>
      <c r="B182" s="240" t="s">
        <v>674</v>
      </c>
      <c r="C182" s="11" t="str">
        <f t="shared" si="12"/>
        <v/>
      </c>
      <c r="D182" s="216">
        <v>100.0</v>
      </c>
      <c r="E182" s="318"/>
    </row>
    <row r="183" ht="45.0" hidden="1" customHeight="1">
      <c r="A183" s="11">
        <v>182.0</v>
      </c>
      <c r="B183" s="240" t="s">
        <v>694</v>
      </c>
      <c r="C183" s="11" t="str">
        <f t="shared" si="12"/>
        <v/>
      </c>
      <c r="D183" s="216">
        <v>100.0</v>
      </c>
      <c r="E183" s="318"/>
    </row>
    <row r="184" ht="45.0" hidden="1" customHeight="1">
      <c r="A184" s="11">
        <v>183.0</v>
      </c>
      <c r="B184" s="240" t="s">
        <v>802</v>
      </c>
      <c r="C184" s="11" t="str">
        <f t="shared" si="12"/>
        <v/>
      </c>
      <c r="D184" s="216">
        <v>100.0</v>
      </c>
      <c r="E184" s="318"/>
    </row>
    <row r="185" ht="45.0" hidden="1" customHeight="1">
      <c r="A185" s="11">
        <v>184.0</v>
      </c>
      <c r="B185" s="240" t="s">
        <v>714</v>
      </c>
      <c r="C185" s="11" t="str">
        <f t="shared" si="12"/>
        <v/>
      </c>
      <c r="D185" s="216">
        <v>100.0</v>
      </c>
      <c r="E185" s="318"/>
    </row>
    <row r="186" ht="45.0" hidden="1" customHeight="1">
      <c r="A186" s="11">
        <v>185.0</v>
      </c>
      <c r="B186" s="115" t="s">
        <v>730</v>
      </c>
      <c r="C186" s="11" t="str">
        <f t="shared" si="12"/>
        <v/>
      </c>
      <c r="D186" s="216">
        <v>100.0</v>
      </c>
      <c r="E186" s="318"/>
    </row>
    <row r="187" ht="45.0" hidden="1" customHeight="1">
      <c r="A187" s="11">
        <v>186.0</v>
      </c>
      <c r="B187" s="115" t="s">
        <v>814</v>
      </c>
      <c r="C187" s="11" t="str">
        <f t="shared" si="12"/>
        <v/>
      </c>
      <c r="D187" s="216">
        <v>100.0</v>
      </c>
      <c r="E187" s="318"/>
    </row>
    <row r="188" ht="45.0" hidden="1" customHeight="1">
      <c r="A188" s="11">
        <v>187.0</v>
      </c>
      <c r="B188" s="115" t="s">
        <v>750</v>
      </c>
      <c r="C188" s="11" t="str">
        <f t="shared" si="12"/>
        <v/>
      </c>
      <c r="D188" s="216">
        <v>100.0</v>
      </c>
      <c r="E188" s="318"/>
    </row>
    <row r="189" ht="45.0" hidden="1" customHeight="1">
      <c r="A189" s="11">
        <v>188.0</v>
      </c>
      <c r="B189" s="115" t="s">
        <v>762</v>
      </c>
      <c r="C189" s="11" t="str">
        <f t="shared" si="12"/>
        <v/>
      </c>
      <c r="D189" s="216">
        <v>100.0</v>
      </c>
      <c r="E189" s="318"/>
    </row>
    <row r="190" ht="45.0" hidden="1" customHeight="1">
      <c r="A190" s="11">
        <v>189.0</v>
      </c>
      <c r="B190" s="115" t="s">
        <v>770</v>
      </c>
      <c r="C190" s="11" t="str">
        <f t="shared" si="12"/>
        <v/>
      </c>
      <c r="D190" s="216">
        <v>100.0</v>
      </c>
      <c r="E190" s="318"/>
    </row>
    <row r="191" ht="45.0" hidden="1" customHeight="1">
      <c r="A191" s="11">
        <v>190.0</v>
      </c>
      <c r="B191" s="115" t="s">
        <v>682</v>
      </c>
      <c r="C191" s="11" t="str">
        <f t="shared" si="12"/>
        <v/>
      </c>
      <c r="D191" s="216">
        <v>100.0</v>
      </c>
      <c r="E191" s="318"/>
    </row>
    <row r="192" ht="45.0" hidden="1" customHeight="1">
      <c r="A192" s="11">
        <v>191.0</v>
      </c>
      <c r="B192" s="93" t="s">
        <v>488</v>
      </c>
      <c r="C192" s="11" t="str">
        <f>IMAGE("https://m.media-amazon.com/images/I/51BByYhTjOL._SX425_.jpg",1)</f>
        <v/>
      </c>
      <c r="D192" s="216">
        <v>20.0</v>
      </c>
      <c r="E192" s="12"/>
    </row>
    <row r="193" ht="45.0" hidden="1" customHeight="1">
      <c r="A193" s="11">
        <v>192.0</v>
      </c>
      <c r="B193" s="93" t="s">
        <v>1804</v>
      </c>
      <c r="C193" s="11" t="str">
        <f>IMAGE("https://5.imimg.com/data5/FI/FV/DZ/SELLER-22718366/27-mm-3p-piezoelectric-buzzer-plate-500x500.jpg",1)</f>
        <v/>
      </c>
      <c r="D193" s="216">
        <v>20.0</v>
      </c>
      <c r="E193" s="12"/>
    </row>
    <row r="194" ht="45.0" hidden="1" customHeight="1">
      <c r="A194" s="11">
        <v>193.0</v>
      </c>
      <c r="B194" s="93" t="s">
        <v>826</v>
      </c>
      <c r="C194" s="11" t="str">
        <f>IMAGE("https://encrypted-tbn0.gstatic.com/images?q=tbn:ANd9GcR-ur1Cl_3Rq82qZ9KbLtZX3U_7cevDQWdUVA&amp;usqp=CAU",1)</f>
        <v/>
      </c>
      <c r="D194" s="216">
        <v>100.0</v>
      </c>
      <c r="E194" s="12"/>
    </row>
    <row r="195" ht="45.0" hidden="1" customHeight="1">
      <c r="A195" s="11">
        <v>194.0</v>
      </c>
      <c r="B195" s="93" t="s">
        <v>830</v>
      </c>
      <c r="C195" s="11" t="str">
        <f>IMAGE("https://m.media-amazon.com/images/I/51khY6g46VL._AC_SL1500_.jpg",1)</f>
        <v/>
      </c>
      <c r="D195" s="216">
        <v>50.0</v>
      </c>
      <c r="E195" s="266"/>
    </row>
    <row r="196" ht="45.0" hidden="1" customHeight="1">
      <c r="A196" s="11">
        <v>195.0</v>
      </c>
      <c r="B196" s="93" t="s">
        <v>834</v>
      </c>
      <c r="C196" s="11" t="str">
        <f>IMAGE("https://etstore.in/wp-content/uploads/2021/12/IMG_20201130_100203.png",1)</f>
        <v/>
      </c>
      <c r="D196" s="216">
        <v>50.0</v>
      </c>
      <c r="E196" s="319"/>
    </row>
    <row r="197" ht="45.0" hidden="1" customHeight="1">
      <c r="A197" s="11">
        <v>196.0</v>
      </c>
      <c r="B197" s="93" t="s">
        <v>838</v>
      </c>
      <c r="C197" s="11" t="str">
        <f>IMAGE("https://m.media-amazon.com/images/I/71UDXftBeaL._SX466_.jpg",1)</f>
        <v/>
      </c>
      <c r="D197" s="216">
        <v>50.0</v>
      </c>
      <c r="E197" s="316"/>
    </row>
    <row r="198" ht="45.0" hidden="1" customHeight="1">
      <c r="A198" s="11">
        <v>197.0</v>
      </c>
      <c r="B198" s="93" t="s">
        <v>842</v>
      </c>
      <c r="C198" s="11" t="str">
        <f>IMAGE("https://m.media-amazon.com/images/I/4116hBQx0XL._SX425_.jpg",1)</f>
        <v/>
      </c>
      <c r="D198" s="216">
        <v>50.0</v>
      </c>
      <c r="E198" s="317"/>
    </row>
    <row r="199" ht="45.0" hidden="1" customHeight="1">
      <c r="A199" s="11">
        <v>198.0</v>
      </c>
      <c r="B199" s="93" t="s">
        <v>850</v>
      </c>
      <c r="C199" s="11" t="str">
        <f>IMAGE("https://5.imimg.com/data5/SELLER/Default/2020/8/IJ/BD/HA/84543611/2n3904-transistor-500x500.jpg",1)</f>
        <v/>
      </c>
      <c r="D199" s="216">
        <v>100.0</v>
      </c>
      <c r="E199" s="318"/>
    </row>
    <row r="200" ht="45.0" hidden="1" customHeight="1">
      <c r="A200" s="11">
        <v>199.0</v>
      </c>
      <c r="B200" s="93" t="s">
        <v>854</v>
      </c>
      <c r="C200" s="11" t="str">
        <f>IMAGE("https://rukminim2.flixcart.com/image/832/832/k44hksw0/transistor/d/m/d/100-pics-bc547-npn-transistor-sme-original-imafn3dfw2fqwgxg.jpeg?q=70",1)</f>
        <v/>
      </c>
      <c r="D200" s="216">
        <v>100.0</v>
      </c>
      <c r="E200" s="320"/>
    </row>
    <row r="201" ht="45.0" hidden="1" customHeight="1">
      <c r="A201" s="11">
        <v>200.0</v>
      </c>
      <c r="B201" s="93" t="s">
        <v>858</v>
      </c>
      <c r="C201" s="11" t="str">
        <f>IMAGE("https://m.media-amazon.com/images/W/MEDIAX_792452-T2/images/I/31po6g2eu+L.jpg",1)</f>
        <v/>
      </c>
      <c r="D201" s="216">
        <v>100.0</v>
      </c>
      <c r="E201" s="12"/>
    </row>
    <row r="202" ht="45.0" hidden="1" customHeight="1">
      <c r="A202" s="11">
        <v>201.0</v>
      </c>
      <c r="B202" s="93" t="s">
        <v>862</v>
      </c>
      <c r="C202" s="11" t="str">
        <f>IMAGE("https://5.imimg.com/data5/MA/XW/GW/SELLER-84581978/cdil-transistor-bc557-500x500.jpg",1)</f>
        <v/>
      </c>
      <c r="D202" s="216">
        <v>100.0</v>
      </c>
      <c r="E202" s="12"/>
    </row>
    <row r="203" ht="45.0" hidden="1" customHeight="1">
      <c r="A203" s="11">
        <v>202.0</v>
      </c>
      <c r="B203" s="93" t="s">
        <v>866</v>
      </c>
      <c r="C203" s="11" t="str">
        <f>IMAGE("https://www.chipmart.in/wp-content/uploads/2022/08/SL100-NPN-General-Purpose-Medium-Power-Transistor-50V-500mA.png",1)</f>
        <v/>
      </c>
      <c r="D203" s="216">
        <v>100.0</v>
      </c>
      <c r="E203" s="317"/>
    </row>
    <row r="204" ht="45.0" hidden="1" customHeight="1">
      <c r="A204" s="11">
        <v>203.0</v>
      </c>
      <c r="B204" s="93" t="s">
        <v>870</v>
      </c>
      <c r="C204" s="11" t="str">
        <f>IMAGE("https://5.imimg.com/data5/WJ/EW/MY-25117786/2n2222-npn-transistors-500x500.jpg",1)</f>
        <v/>
      </c>
      <c r="D204" s="216">
        <v>100.0</v>
      </c>
      <c r="E204" s="12"/>
    </row>
    <row r="205" ht="45.0" hidden="1" customHeight="1">
      <c r="A205" s="11">
        <v>204.0</v>
      </c>
      <c r="B205" s="270" t="s">
        <v>2157</v>
      </c>
      <c r="C205" s="11"/>
      <c r="D205" s="281">
        <v>100.0</v>
      </c>
      <c r="E205" s="266"/>
    </row>
    <row r="206" ht="45.0" hidden="1" customHeight="1">
      <c r="A206" s="11">
        <v>205.0</v>
      </c>
      <c r="B206" s="272" t="s">
        <v>2163</v>
      </c>
      <c r="C206" s="275"/>
      <c r="D206" s="274">
        <v>3.0</v>
      </c>
      <c r="E206" s="314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  <c r="AA206" s="276"/>
      <c r="AB206" s="276"/>
      <c r="AC206" s="276"/>
      <c r="AD206" s="276"/>
      <c r="AE206" s="276"/>
      <c r="AF206" s="276"/>
      <c r="AG206" s="276"/>
      <c r="AH206" s="276"/>
      <c r="AI206" s="276"/>
      <c r="AJ206" s="276"/>
      <c r="AK206" s="276"/>
    </row>
    <row r="207" ht="45.0" hidden="1" customHeight="1">
      <c r="A207" s="11">
        <v>206.0</v>
      </c>
      <c r="B207" s="272" t="s">
        <v>2164</v>
      </c>
      <c r="C207" s="275"/>
      <c r="D207" s="274">
        <v>20.0</v>
      </c>
      <c r="E207" s="314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  <c r="AA207" s="276"/>
      <c r="AB207" s="276"/>
      <c r="AC207" s="276"/>
      <c r="AD207" s="276"/>
      <c r="AE207" s="276"/>
      <c r="AF207" s="276"/>
      <c r="AG207" s="276"/>
      <c r="AH207" s="276"/>
      <c r="AI207" s="276"/>
      <c r="AJ207" s="276"/>
      <c r="AK207" s="276"/>
    </row>
    <row r="208" ht="45.0" hidden="1" customHeight="1">
      <c r="A208" s="11">
        <v>207.0</v>
      </c>
      <c r="B208" s="272" t="s">
        <v>2165</v>
      </c>
      <c r="C208" s="275"/>
      <c r="D208" s="274">
        <v>4.0</v>
      </c>
      <c r="E208" s="314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  <c r="AA208" s="276"/>
      <c r="AB208" s="276"/>
      <c r="AC208" s="276"/>
      <c r="AD208" s="276"/>
      <c r="AE208" s="276"/>
      <c r="AF208" s="276"/>
      <c r="AG208" s="276"/>
      <c r="AH208" s="276"/>
      <c r="AI208" s="276"/>
      <c r="AJ208" s="276"/>
      <c r="AK208" s="276"/>
    </row>
    <row r="209" ht="45.0" hidden="1" customHeight="1">
      <c r="A209" s="11">
        <v>208.0</v>
      </c>
      <c r="B209" s="277" t="s">
        <v>2166</v>
      </c>
      <c r="C209" s="275"/>
      <c r="D209" s="279">
        <v>2.0</v>
      </c>
      <c r="E209" s="314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  <c r="AC209" s="276"/>
      <c r="AD209" s="276"/>
      <c r="AE209" s="276"/>
      <c r="AF209" s="276"/>
      <c r="AG209" s="276"/>
      <c r="AH209" s="276"/>
      <c r="AI209" s="276"/>
      <c r="AJ209" s="276"/>
      <c r="AK209" s="276"/>
    </row>
    <row r="210" ht="45.0" hidden="1" customHeight="1">
      <c r="A210" s="11">
        <v>209.0</v>
      </c>
      <c r="B210" s="93" t="s">
        <v>1754</v>
      </c>
      <c r="C210" s="11" t="str">
        <f>IMAGE("https://encrypted-tbn0.gstatic.com/images?q=tbn:ANd9GcQ9HdcUbkhENGQnNmIni640zFk33IAUdUx_x0uluq_AFf1Hud04FBhhZQFZXM2xrHw_7W4&amp;usqp=CAU",1)</f>
        <v/>
      </c>
      <c r="D210" s="216">
        <v>10.0</v>
      </c>
      <c r="E210" s="12"/>
    </row>
    <row r="211" ht="45.0" hidden="1" customHeight="1">
      <c r="A211" s="11">
        <v>210.0</v>
      </c>
      <c r="B211" s="93" t="s">
        <v>895</v>
      </c>
      <c r="C211" s="11" t="str">
        <f>IMAGE("https://m.media-amazon.com/images/W/MEDIAX_792452-T2/images/I/612Fb4y5P6S._SL1100_.jpg",1)</f>
        <v/>
      </c>
      <c r="D211" s="216">
        <v>10.0</v>
      </c>
      <c r="E211" s="12"/>
    </row>
    <row r="212" ht="45.0" hidden="1" customHeight="1">
      <c r="A212" s="11">
        <v>211.0</v>
      </c>
      <c r="B212" s="232" t="s">
        <v>899</v>
      </c>
      <c r="C212" s="222" t="str">
        <f>IMAGE("https://robu.in/wp-content/uploads/2021/05/DC-DC-Boost-Module-0.9V5V-to-5V-600MA-USB-Step-up-Board-5V-Output-1.png",1)</f>
        <v/>
      </c>
      <c r="D212" s="222">
        <v>1.0</v>
      </c>
      <c r="E212" s="12"/>
    </row>
    <row r="213" ht="45.0" hidden="1" customHeight="1">
      <c r="A213" s="11">
        <v>212.0</v>
      </c>
      <c r="B213" s="93" t="s">
        <v>923</v>
      </c>
      <c r="C213" s="11" t="str">
        <f>IMAGE("https://robu.in/wp-content/uploads/2017/06/robu-3-13.jpg",1)</f>
        <v/>
      </c>
      <c r="D213" s="216">
        <v>5.0</v>
      </c>
      <c r="E213" s="321"/>
    </row>
    <row r="214" ht="45.0" hidden="1" customHeight="1">
      <c r="A214" s="11">
        <v>213.0</v>
      </c>
      <c r="B214" s="93" t="s">
        <v>940</v>
      </c>
      <c r="C214" s="11" t="str">
        <f>IMAGE("https://robu.in/wp-content/uploads/2016/03/Ublox-Neo-6M-GPS.jpg",1)</f>
        <v/>
      </c>
      <c r="D214" s="216">
        <v>5.0</v>
      </c>
      <c r="E214" s="12"/>
    </row>
    <row r="215" ht="45.0" hidden="1" customHeight="1">
      <c r="A215" s="11">
        <v>214.0</v>
      </c>
      <c r="B215" s="93" t="s">
        <v>943</v>
      </c>
      <c r="C215" s="11" t="str">
        <f>IMAGE("https://m.media-amazon.com/images/W/MEDIAX_792452-T2/images/I/51cWZAAMiWL._SL1000_.jpg",1)</f>
        <v/>
      </c>
      <c r="D215" s="216">
        <v>5.0</v>
      </c>
      <c r="E215" s="12"/>
    </row>
    <row r="216" ht="45.0" hidden="1" customHeight="1">
      <c r="A216" s="11">
        <v>215.0</v>
      </c>
      <c r="B216" s="93" t="s">
        <v>947</v>
      </c>
      <c r="C216" s="11" t="str">
        <f>IMAGE("https://m.media-amazon.com/images/W/MEDIAX_792452-T2/images/I/61wbYlIdx0L._SL1500_.jpg",1)</f>
        <v/>
      </c>
      <c r="D216" s="216">
        <v>5.0</v>
      </c>
      <c r="E216" s="12"/>
    </row>
    <row r="217" ht="45.0" hidden="1" customHeight="1">
      <c r="A217" s="11">
        <v>216.0</v>
      </c>
      <c r="B217" s="93" t="s">
        <v>950</v>
      </c>
      <c r="C217" s="11" t="str">
        <f>IMAGE("https://5.imimg.com/data5/SELLER/Default/2022/9/HX/YZ/GJ/43948449/micro-sd-card-adapter-with-level-shifter-500x500.png",1)</f>
        <v/>
      </c>
      <c r="D217" s="216">
        <v>10.0</v>
      </c>
      <c r="E217" s="12"/>
    </row>
    <row r="218" ht="45.0" hidden="1" customHeight="1">
      <c r="A218" s="11">
        <v>217.0</v>
      </c>
      <c r="B218" s="93" t="s">
        <v>1958</v>
      </c>
      <c r="C218" s="11" t="str">
        <f>IMAGE("https://robu.in/wp-content/uploads/2020/09/L298P-Motor-Driver-Shield-for-Arduino-3.jpg",1)</f>
        <v/>
      </c>
      <c r="D218" s="216">
        <v>10.0</v>
      </c>
      <c r="E218" s="266"/>
    </row>
    <row r="219" ht="45.0" hidden="1" customHeight="1">
      <c r="A219" s="11">
        <v>218.0</v>
      </c>
      <c r="B219" s="93" t="s">
        <v>1760</v>
      </c>
      <c r="C219" s="11" t="str">
        <f>IMAGE("https://m.media-amazon.com/images/I/41Y-5b4TQcL.jpg",1)</f>
        <v/>
      </c>
      <c r="D219" s="216">
        <v>5.0</v>
      </c>
      <c r="E219" s="12"/>
    </row>
    <row r="220" ht="45.0" hidden="1" customHeight="1">
      <c r="A220" s="11">
        <v>219.0</v>
      </c>
      <c r="B220" s="93" t="s">
        <v>962</v>
      </c>
      <c r="C220" s="11" t="str">
        <f>IMAGE("https://robu.in/wp-content/uploads/2016/02/617hpF6cJbL._SL1000_.jpg",1)</f>
        <v/>
      </c>
      <c r="D220" s="216">
        <v>10.0</v>
      </c>
      <c r="E220" s="266"/>
    </row>
    <row r="221" ht="45.0" hidden="1" customHeight="1">
      <c r="A221" s="11">
        <v>220.0</v>
      </c>
      <c r="B221" s="93" t="s">
        <v>1820</v>
      </c>
      <c r="C221" s="11" t="str">
        <f>IMAGE("https://rukminim1.flixcart.com/image/850/1000/k62i5jk0/solar-panel/7/g/q/diy-projects-6v-80ma-wire-attached-mini-power-solar-cells-for-original-imafzm93vcqqnsat.jpeg?q=20")</f>
        <v/>
      </c>
      <c r="D221" s="216">
        <v>10.0</v>
      </c>
      <c r="E221" s="266"/>
    </row>
    <row r="222" ht="45.0" hidden="1" customHeight="1">
      <c r="A222" s="11">
        <v>221.0</v>
      </c>
      <c r="B222" s="93" t="s">
        <v>934</v>
      </c>
      <c r="C222" s="11" t="str">
        <f>IMAGE("https://robu.in/wp-content/uploads/2020/10/TP4056-1A-Li-ion-lithium-Battery-Charging-Module-With-Current-Protection-Type-C-2.png",1)</f>
        <v/>
      </c>
      <c r="D222" s="11">
        <v>15.0</v>
      </c>
      <c r="E222" s="12"/>
    </row>
    <row r="223" ht="45.0" hidden="1" customHeight="1">
      <c r="A223" s="11">
        <v>222.0</v>
      </c>
      <c r="B223" s="93" t="s">
        <v>1955</v>
      </c>
      <c r="C223" s="11" t="str">
        <f>IMAGE("https://5.imimg.com/data5/II/UT/SO/SELLER-1968074/16x2-lcd-display-500x500.jpg",1)</f>
        <v/>
      </c>
      <c r="D223" s="216">
        <v>10.0</v>
      </c>
      <c r="E223" s="266"/>
    </row>
    <row r="224" ht="45.0" hidden="1" customHeight="1">
      <c r="A224" s="11">
        <v>223.0</v>
      </c>
      <c r="B224" s="93" t="s">
        <v>1811</v>
      </c>
      <c r="C224" s="11" t="str">
        <f>IMAGE("https://m.media-amazon.com/images/I/51l+Qhaiu3L._SL1000_.jpg",1)</f>
        <v/>
      </c>
      <c r="D224" s="216">
        <v>10.0</v>
      </c>
      <c r="E224" s="12"/>
    </row>
    <row r="225" ht="45.0" hidden="1" customHeight="1">
      <c r="A225" s="11">
        <v>224.0</v>
      </c>
      <c r="B225" s="93" t="s">
        <v>911</v>
      </c>
      <c r="C225" s="11" t="str">
        <f>IMAGE("https://ashokaonlineshop.in/wp-content/uploads/2022/11/650nm-Mini-Laser-Dot-Diode-Module1.jpeg",1)</f>
        <v/>
      </c>
      <c r="D225" s="216">
        <v>20.0</v>
      </c>
      <c r="E225" s="12"/>
    </row>
    <row r="226" ht="45.0" hidden="1" customHeight="1">
      <c r="A226" s="11">
        <v>225.0</v>
      </c>
      <c r="B226" s="93" t="s">
        <v>903</v>
      </c>
      <c r="C226" s="11" t="str">
        <f>IMAGE("https://makerbazar.in/cdn/shop/files/6015fanwithwire_600x.jpg?v=1695792315",1)</f>
        <v/>
      </c>
      <c r="D226" s="216">
        <v>5.0</v>
      </c>
      <c r="E226" s="12"/>
    </row>
    <row r="227" ht="45.0" hidden="1" customHeight="1">
      <c r="A227" s="11">
        <v>226.0</v>
      </c>
      <c r="B227" s="93" t="s">
        <v>930</v>
      </c>
      <c r="C227" s="11" t="str">
        <f>IMAGE("https://5.imimg.com/data5/SELLER/Default/2023/2/OP/GV/HH/182244990/water-pump-module-1000x1000.jpg",1)</f>
        <v/>
      </c>
      <c r="D227" s="216">
        <v>10.0</v>
      </c>
      <c r="E227" s="12"/>
    </row>
    <row r="228" ht="45.0" hidden="1" customHeight="1">
      <c r="A228" s="11">
        <v>227.0</v>
      </c>
      <c r="B228" s="93" t="s">
        <v>927</v>
      </c>
      <c r="C228" s="11" t="str">
        <f>IMAGE("https://robu.in/wp-content/uploads/2021/05/0.5W-8OHM-Trumpet-Diameter-36mm-1.jpeg",1)</f>
        <v/>
      </c>
      <c r="D228" s="216">
        <v>10.0</v>
      </c>
      <c r="E228" s="12"/>
    </row>
    <row r="229" ht="45.0" hidden="1" customHeight="1">
      <c r="A229" s="11">
        <v>228.0</v>
      </c>
      <c r="B229" s="272" t="s">
        <v>2167</v>
      </c>
      <c r="C229" s="275"/>
      <c r="D229" s="274">
        <v>10.0</v>
      </c>
      <c r="E229" s="314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  <c r="AC229" s="276"/>
      <c r="AD229" s="276"/>
      <c r="AE229" s="276"/>
      <c r="AF229" s="276"/>
      <c r="AG229" s="276"/>
      <c r="AH229" s="276"/>
      <c r="AI229" s="276"/>
      <c r="AJ229" s="276"/>
      <c r="AK229" s="276"/>
    </row>
    <row r="230" ht="45.0" hidden="1" customHeight="1">
      <c r="A230" s="11">
        <v>229.0</v>
      </c>
      <c r="B230" s="272" t="s">
        <v>2168</v>
      </c>
      <c r="C230" s="275"/>
      <c r="D230" s="274">
        <v>10.0</v>
      </c>
      <c r="E230" s="314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  <c r="AC230" s="276"/>
      <c r="AD230" s="276"/>
      <c r="AE230" s="276"/>
      <c r="AF230" s="276"/>
      <c r="AG230" s="276"/>
      <c r="AH230" s="276"/>
      <c r="AI230" s="276"/>
      <c r="AJ230" s="276"/>
      <c r="AK230" s="276"/>
    </row>
    <row r="231" ht="45.0" hidden="1" customHeight="1">
      <c r="A231" s="11">
        <v>230.0</v>
      </c>
      <c r="B231" s="272" t="s">
        <v>2169</v>
      </c>
      <c r="C231" s="275"/>
      <c r="D231" s="274">
        <v>10.0</v>
      </c>
      <c r="E231" s="314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  <c r="AC231" s="276"/>
      <c r="AD231" s="276"/>
      <c r="AE231" s="276"/>
      <c r="AF231" s="276"/>
      <c r="AG231" s="276"/>
      <c r="AH231" s="276"/>
      <c r="AI231" s="276"/>
      <c r="AJ231" s="276"/>
      <c r="AK231" s="276"/>
    </row>
    <row r="232" ht="45.0" hidden="1" customHeight="1">
      <c r="A232" s="11">
        <v>231.0</v>
      </c>
      <c r="B232" s="272" t="s">
        <v>2170</v>
      </c>
      <c r="C232" s="275"/>
      <c r="D232" s="274">
        <v>4.0</v>
      </c>
      <c r="E232" s="314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  <c r="AA232" s="276"/>
      <c r="AB232" s="276"/>
      <c r="AC232" s="276"/>
      <c r="AD232" s="276"/>
      <c r="AE232" s="276"/>
      <c r="AF232" s="276"/>
      <c r="AG232" s="276"/>
      <c r="AH232" s="276"/>
      <c r="AI232" s="276"/>
      <c r="AJ232" s="276"/>
      <c r="AK232" s="276"/>
    </row>
    <row r="233" ht="45.0" hidden="1" customHeight="1">
      <c r="A233" s="11">
        <v>232.0</v>
      </c>
      <c r="B233" s="93" t="s">
        <v>1767</v>
      </c>
      <c r="C233" s="11" t="str">
        <f>IMAGE("https://m.media-amazon.com/images/I/61PFvg8BbeL._SL1500_.jpg",1)</f>
        <v/>
      </c>
      <c r="D233" s="216">
        <v>10.0</v>
      </c>
      <c r="E233" s="12"/>
    </row>
    <row r="234" ht="45.0" hidden="1" customHeight="1">
      <c r="A234" s="11">
        <v>233.0</v>
      </c>
      <c r="B234" s="93" t="s">
        <v>1249</v>
      </c>
      <c r="C234" s="11" t="str">
        <f>IMAGE("https://www.atel-electronics.eu/pic_cache/10/06158.jpg",1)</f>
        <v/>
      </c>
      <c r="D234" s="216">
        <v>7.0</v>
      </c>
      <c r="E234" s="12"/>
    </row>
    <row r="235" ht="45.0" hidden="1" customHeight="1">
      <c r="A235" s="11">
        <v>234.0</v>
      </c>
      <c r="B235" s="93" t="s">
        <v>1254</v>
      </c>
      <c r="C235" s="11" t="str">
        <f>IMAGE("https://in.element14.com/productimages/large/en_GB/IN07444-40.jpg",1)</f>
        <v/>
      </c>
      <c r="D235" s="216">
        <v>1.0</v>
      </c>
      <c r="E235" s="12"/>
    </row>
    <row r="236" ht="45.0" hidden="1" customHeight="1">
      <c r="A236" s="11">
        <v>235.0</v>
      </c>
      <c r="B236" s="93" t="s">
        <v>1258</v>
      </c>
      <c r="C236" s="11" t="str">
        <f>IMAGE("https://m.media-amazon.com/images/I/51LxodXCiyS._SL1000_.jpg",1)</f>
        <v/>
      </c>
      <c r="D236" s="216">
        <v>1.0</v>
      </c>
      <c r="E236" s="12"/>
    </row>
    <row r="237" ht="45.0" hidden="1" customHeight="1">
      <c r="A237" s="11">
        <v>236.0</v>
      </c>
      <c r="B237" s="93" t="s">
        <v>1262</v>
      </c>
      <c r="C237" s="11" t="str">
        <f>IMAGE("https://m.media-amazon.com/images/I/61WLNOGJ4JS.jpg")</f>
        <v/>
      </c>
      <c r="D237" s="216">
        <v>1.0</v>
      </c>
      <c r="E237" s="12"/>
    </row>
    <row r="238" ht="45.0" hidden="1" customHeight="1">
      <c r="A238" s="11">
        <v>237.0</v>
      </c>
      <c r="B238" s="93" t="s">
        <v>1266</v>
      </c>
      <c r="C238" s="11" t="str">
        <f>IMAGE("https://cdn.shopify.com/s/files/1/0559/1970/6265/products/4_61325b1b-840f-41dd-a6d9-0ddb00c5c7bc_1024x1024@2x.png?v=1670588177",1)</f>
        <v/>
      </c>
      <c r="D238" s="216">
        <v>1.0</v>
      </c>
      <c r="E238" s="12"/>
    </row>
    <row r="239" ht="45.0" hidden="1" customHeight="1">
      <c r="A239" s="11">
        <v>238.0</v>
      </c>
      <c r="B239" s="93" t="s">
        <v>1329</v>
      </c>
      <c r="C239" s="11" t="str">
        <f>IMAGE("https://m.media-amazon.com/images/I/61vUDUTouNL._SL1500_.jpg",1)</f>
        <v/>
      </c>
      <c r="D239" s="11">
        <v>100.0</v>
      </c>
      <c r="E239" s="266"/>
    </row>
    <row r="240" ht="45.0" hidden="1" customHeight="1">
      <c r="A240" s="11">
        <v>239.0</v>
      </c>
      <c r="B240" s="93" t="s">
        <v>1335</v>
      </c>
      <c r="C240" s="11" t="str">
        <f>IMAGE("https://m.media-amazon.com/images/I/31ye7Xw2PpL.jpg",1)</f>
        <v/>
      </c>
      <c r="D240" s="11">
        <v>100.0</v>
      </c>
      <c r="E240" s="266"/>
    </row>
    <row r="241" ht="45.0" hidden="1" customHeight="1">
      <c r="A241" s="11">
        <v>240.0</v>
      </c>
      <c r="B241" s="93" t="s">
        <v>1339</v>
      </c>
      <c r="C241" s="11" t="str">
        <f>IMAGE("https://m.media-amazon.com/images/I/414cC-M+nlL._SL1000_.jpg",1)</f>
        <v/>
      </c>
      <c r="D241" s="11">
        <v>10.0</v>
      </c>
      <c r="E241" s="12"/>
    </row>
    <row r="242" ht="45.0" hidden="1" customHeight="1">
      <c r="A242" s="11">
        <v>241.0</v>
      </c>
      <c r="B242" s="93" t="s">
        <v>1344</v>
      </c>
      <c r="C242" s="11" t="str">
        <f>IMAGE("https://m.media-amazon.com/images/I/31nb9BadkoL.jpg",1)</f>
        <v/>
      </c>
      <c r="D242" s="11">
        <v>100.0</v>
      </c>
      <c r="E242" s="266"/>
    </row>
    <row r="243" ht="45.0" hidden="1" customHeight="1">
      <c r="A243" s="11">
        <v>242.0</v>
      </c>
      <c r="B243" s="93" t="s">
        <v>1358</v>
      </c>
      <c r="C243" s="11" t="str">
        <f>IMAGE("https://robu.in/wp-content/uploads/2017/11/mg995-high-speed-digital-metal-gear-2bb-torque-rc-for-servo-hpi-savage-xl-2.jpg",1)</f>
        <v/>
      </c>
      <c r="D243" s="216">
        <v>15.0</v>
      </c>
      <c r="E243" s="12"/>
    </row>
    <row r="244" ht="45.0" hidden="1" customHeight="1">
      <c r="A244" s="11">
        <v>243.0</v>
      </c>
      <c r="B244" s="93" t="s">
        <v>1363</v>
      </c>
      <c r="C244" s="11" t="str">
        <f t="shared" ref="C244:C245" si="13">IMAGE("https://m.media-amazon.com/images/W/MEDIAX_792452-T2/images/I/21bgQSzvxLL.jpg",1)</f>
        <v/>
      </c>
      <c r="D244" s="216">
        <v>30.0</v>
      </c>
      <c r="E244" s="12"/>
    </row>
    <row r="245" ht="45.0" hidden="1" customHeight="1">
      <c r="A245" s="11">
        <v>244.0</v>
      </c>
      <c r="B245" s="93" t="s">
        <v>1367</v>
      </c>
      <c r="C245" s="11" t="str">
        <f t="shared" si="13"/>
        <v/>
      </c>
      <c r="D245" s="216">
        <v>30.0</v>
      </c>
      <c r="E245" s="12"/>
    </row>
    <row r="246" ht="45.0" hidden="1" customHeight="1">
      <c r="A246" s="11">
        <v>245.0</v>
      </c>
      <c r="B246" s="93" t="s">
        <v>1372</v>
      </c>
      <c r="C246" s="11" t="str">
        <f>IMAGE("https://5.imimg.com/data5/DJ/PF/TV/SELLER-95692783/bo-wheel-500x500.jpg",1)</f>
        <v/>
      </c>
      <c r="D246" s="216">
        <v>30.0</v>
      </c>
      <c r="E246" s="12"/>
    </row>
    <row r="247" ht="45.0" hidden="1" customHeight="1">
      <c r="A247" s="11">
        <v>246.0</v>
      </c>
      <c r="B247" s="93" t="s">
        <v>1376</v>
      </c>
      <c r="C247" s="11" t="str">
        <f>IMAGE("https://aryabot.in/wp-content/uploads/2023/10/castor-wheel-big-550x550w.webp",1)</f>
        <v/>
      </c>
      <c r="D247" s="216">
        <v>20.0</v>
      </c>
      <c r="E247" s="12"/>
    </row>
    <row r="248" ht="45.0" hidden="1" customHeight="1">
      <c r="A248" s="11">
        <v>247.0</v>
      </c>
      <c r="B248" s="93" t="s">
        <v>1380</v>
      </c>
      <c r="C248" s="11" t="str">
        <f>IMAGE("https://robu.in/wp-content/uploads/2020/09/DC3-6V-130-DIY-Toy-Motor-2-Pcs.-1.png",1)</f>
        <v/>
      </c>
      <c r="D248" s="216">
        <v>10.0</v>
      </c>
      <c r="E248" s="266"/>
    </row>
    <row r="249" ht="45.0" hidden="1" customHeight="1">
      <c r="A249" s="11">
        <v>248.0</v>
      </c>
      <c r="B249" s="93" t="s">
        <v>1384</v>
      </c>
      <c r="C249" s="11" t="str">
        <f>IMAGE("https://i0.wp.com/www.circuituncle.com/wp-content/uploads/2019/10/mg90s.png?fit=1001%2C1001&amp;ssl=1",1)</f>
        <v/>
      </c>
      <c r="D249" s="216">
        <v>30.0</v>
      </c>
      <c r="E249" s="12"/>
    </row>
    <row r="250" ht="45.0" hidden="1" customHeight="1">
      <c r="A250" s="11">
        <v>249.0</v>
      </c>
      <c r="B250" s="93" t="s">
        <v>1388</v>
      </c>
      <c r="C250" s="11" t="str">
        <f>IMAGE("https://robu.in/wp-content/uploads/2016/04/61nEdk-NxSL._SY355_.jpg",1)</f>
        <v/>
      </c>
      <c r="D250" s="216">
        <v>5.0</v>
      </c>
      <c r="E250" s="266"/>
    </row>
    <row r="251" ht="45.0" hidden="1" customHeight="1">
      <c r="A251" s="11">
        <v>250.0</v>
      </c>
      <c r="B251" s="93" t="s">
        <v>1391</v>
      </c>
      <c r="C251" s="11" t="str">
        <f>IMAGE("https://robu.in/wp-content/uploads/2023/09/34.jpg",1)</f>
        <v/>
      </c>
      <c r="D251" s="237">
        <v>21.0</v>
      </c>
      <c r="E251" s="322"/>
    </row>
    <row r="252" ht="45.0" hidden="1" customHeight="1">
      <c r="A252" s="11">
        <v>251.0</v>
      </c>
      <c r="B252" s="93" t="s">
        <v>1395</v>
      </c>
      <c r="C252" s="11" t="str">
        <f>IMAGE("https://cdn.shopify.com/s/files/1/0088/0056/7392/products/Stepper_motor_with_Driver_board.jpg?v=1552579276",1)</f>
        <v/>
      </c>
      <c r="D252" s="216">
        <v>15.0</v>
      </c>
      <c r="E252" s="12"/>
    </row>
    <row r="253" ht="45.0" hidden="1" customHeight="1">
      <c r="A253" s="11">
        <v>252.0</v>
      </c>
      <c r="B253" s="93" t="s">
        <v>1824</v>
      </c>
      <c r="C253" s="11" t="str">
        <f>IMAGE("https://robu.in/wp-content/uploads/2017/06/31100-2.jpg",1)</f>
        <v/>
      </c>
      <c r="D253" s="216">
        <v>5.0</v>
      </c>
      <c r="E253" s="266"/>
    </row>
    <row r="254" ht="45.0" hidden="1" customHeight="1">
      <c r="A254" s="11">
        <v>253.0</v>
      </c>
      <c r="B254" s="93" t="s">
        <v>1744</v>
      </c>
      <c r="C254" s="11" t="str">
        <f>IMAGE("https://m.media-amazon.com/images/W/MEDIAX_792452-T2/images/I/71PSVpNRPuL._SL1500_.jpg",1)</f>
        <v/>
      </c>
      <c r="D254" s="216">
        <v>5.0</v>
      </c>
      <c r="E254" s="266"/>
    </row>
    <row r="255" ht="45.0" hidden="1" customHeight="1">
      <c r="A255" s="11">
        <v>254.0</v>
      </c>
      <c r="B255" s="93" t="s">
        <v>1526</v>
      </c>
      <c r="C255" s="11" t="str">
        <f>IMAGE("https://robu.in/wp-content/uploads/2016/08/2-1.jpg",1)</f>
        <v/>
      </c>
      <c r="D255" s="216">
        <v>5.0</v>
      </c>
      <c r="E255" s="12"/>
    </row>
    <row r="256" ht="45.0" hidden="1" customHeight="1">
      <c r="A256" s="11">
        <v>255.0</v>
      </c>
      <c r="B256" s="93" t="s">
        <v>1530</v>
      </c>
      <c r="C256" s="11" t="str">
        <f>IMAGE("https://5.imimg.com/data5/SELLER/Default/2023/1/KQ/RE/WN/37611021/unique-india-force-pressure-sensor-square-500x500.jpg",1)</f>
        <v/>
      </c>
      <c r="D256" s="216">
        <v>5.0</v>
      </c>
      <c r="E256" s="12"/>
    </row>
    <row r="257" ht="45.0" hidden="1" customHeight="1">
      <c r="A257" s="11">
        <v>256.0</v>
      </c>
      <c r="B257" s="93" t="s">
        <v>1781</v>
      </c>
      <c r="C257" s="11" t="str">
        <f>IMAGE("https://m.media-amazon.com/images/W/MEDIAX_792452-T2/images/I/61e+2rew8OL._SL1011_.jpg",1)</f>
        <v/>
      </c>
      <c r="D257" s="216">
        <v>10.0</v>
      </c>
      <c r="E257" s="12"/>
    </row>
    <row r="258" ht="45.0" hidden="1" customHeight="1">
      <c r="A258" s="11">
        <v>257.0</v>
      </c>
      <c r="B258" s="93" t="s">
        <v>1791</v>
      </c>
      <c r="C258" s="11" t="str">
        <f>IMAGE("https://makerbazar.in/cdn/shop/products/IR_transmitter-receiver_-_TSOP_1738_600x.jpg?v=1582114496",1)</f>
        <v/>
      </c>
      <c r="D258" s="216">
        <v>5.0</v>
      </c>
      <c r="E258" s="12"/>
    </row>
    <row r="259" ht="45.0" hidden="1" customHeight="1">
      <c r="A259" s="11">
        <v>258.0</v>
      </c>
      <c r="B259" s="93" t="s">
        <v>1786</v>
      </c>
      <c r="C259" s="11" t="str">
        <f>IMAGE("https://makerbazar.in/cdn/shop/products/IR-Array_2048x2048_29f53719-c65f-4f67-a7f9-06b99966bf49_400x.jpg?v=1628014848",1)</f>
        <v/>
      </c>
      <c r="D259" s="216">
        <v>5.0</v>
      </c>
      <c r="E259" s="12"/>
    </row>
    <row r="260" ht="45.0" hidden="1" customHeight="1">
      <c r="A260" s="11">
        <v>259.0</v>
      </c>
      <c r="B260" s="93" t="s">
        <v>1546</v>
      </c>
      <c r="C260" s="11" t="str">
        <f>IMAGE("https://robu.in/wp-content/uploads/2017/05/LDR-module-1.png",1)</f>
        <v/>
      </c>
      <c r="D260" s="216">
        <v>10.0</v>
      </c>
      <c r="E260" s="12"/>
    </row>
    <row r="261" ht="45.0" hidden="1" customHeight="1">
      <c r="A261" s="11">
        <v>260.0</v>
      </c>
      <c r="B261" s="93" t="s">
        <v>1775</v>
      </c>
      <c r="C261" s="253" t="str">
        <f>IMAGE("https://m.media-amazon.com/images/W/MEDIAX_792452-T2/images/I/7158I82c4bL._SL1500_.jpg",1)</f>
        <v/>
      </c>
      <c r="D261" s="216">
        <v>5.0</v>
      </c>
      <c r="E261" s="12"/>
    </row>
    <row r="262" ht="45.0" hidden="1" customHeight="1">
      <c r="A262" s="11">
        <v>261.0</v>
      </c>
      <c r="B262" s="93" t="s">
        <v>1822</v>
      </c>
      <c r="C262" s="12" t="str">
        <f>IMAGE("https://robu.in/wp-content/uploads/2017/09/download-1-2.jpg",1)</f>
        <v/>
      </c>
      <c r="D262" s="216">
        <v>5.0</v>
      </c>
      <c r="E262" s="266"/>
    </row>
    <row r="263" ht="45.0" hidden="1" customHeight="1">
      <c r="A263" s="11">
        <v>262.0</v>
      </c>
      <c r="B263" s="93" t="s">
        <v>1758</v>
      </c>
      <c r="C263" s="11" t="str">
        <f>IMAGE("https://cdn.shopify.com/s/files/1/0088/0056/7392/products/Sound_Detector_Module.jpg?v=1566646449",1)</f>
        <v/>
      </c>
      <c r="D263" s="216">
        <v>10.0</v>
      </c>
      <c r="E263" s="12"/>
    </row>
    <row r="264" ht="45.0" hidden="1" customHeight="1">
      <c r="A264" s="11">
        <v>263.0</v>
      </c>
      <c r="B264" s="93" t="s">
        <v>1789</v>
      </c>
      <c r="C264" s="11" t="str">
        <f>IMAGE("https://encrypted-tbn0.gstatic.com/images?q=tbn:ANd9GcRrIyUWjQ1rnIJDwYms78skSv9zbdkdml4sTR1WfoKl6GFD5OWnZULG8H98AB-i394c3VQ&amp;usqp=CAU",1)</f>
        <v/>
      </c>
      <c r="D264" s="216">
        <v>10.0</v>
      </c>
      <c r="E264" s="12"/>
    </row>
    <row r="265" ht="45.0" hidden="1" customHeight="1">
      <c r="A265" s="11">
        <v>264.0</v>
      </c>
      <c r="B265" s="93" t="s">
        <v>2149</v>
      </c>
      <c r="C265" s="11" t="str">
        <f>IMAGE("https://robu.in/wp-content/uploads/2019/05/MAX30100-Pulse-Oximeter-Heart-Rate-Sensor-Module-2.jpg",1)</f>
        <v/>
      </c>
      <c r="D265" s="216">
        <v>5.0</v>
      </c>
      <c r="E265" s="266"/>
    </row>
    <row r="266" ht="45.0" hidden="1" customHeight="1">
      <c r="A266" s="11">
        <v>265.0</v>
      </c>
      <c r="B266" s="93" t="s">
        <v>1769</v>
      </c>
      <c r="C266" s="11" t="str">
        <f>IMAGE("https://makerbazar.in/cdn/shop/products/Untitled-1_39_1_60x.jpg?v=1637233670",1)</f>
        <v/>
      </c>
      <c r="D266" s="216">
        <v>5.0</v>
      </c>
      <c r="E266" s="266"/>
    </row>
    <row r="267" ht="45.0" hidden="1" customHeight="1">
      <c r="A267" s="11">
        <v>266.0</v>
      </c>
      <c r="B267" s="93" t="s">
        <v>1772</v>
      </c>
      <c r="C267" s="11" t="str">
        <f>IMAGE("https://5.imimg.com/data5/SELLER/Default/2021/6/XN/UI/NS/84973740/mq2-flammable-gas-and-smoke-sensor-module-500x500.jpg",1)</f>
        <v/>
      </c>
      <c r="D267" s="216">
        <v>5.0</v>
      </c>
      <c r="E267" s="12"/>
    </row>
    <row r="268" ht="45.0" hidden="1" customHeight="1">
      <c r="A268" s="11">
        <v>267.0</v>
      </c>
      <c r="B268" s="93" t="s">
        <v>1576</v>
      </c>
      <c r="C268" s="11" t="str">
        <f>IMAGE("https://robu.in/wp-content/uploads/2016/03/12251.jpg",1)</f>
        <v/>
      </c>
      <c r="D268" s="216">
        <v>10.0</v>
      </c>
      <c r="E268" s="12"/>
    </row>
    <row r="269" ht="45.0" hidden="1" customHeight="1">
      <c r="A269" s="11">
        <v>268.0</v>
      </c>
      <c r="B269" s="258" t="s">
        <v>1763</v>
      </c>
      <c r="C269" s="11" t="str">
        <f>IMAGE("https://m.media-amazon.com/images/W/MEDIAX_792452-T2/images/I/61QNSpIV-GL._SL1000_.jpg",1)</f>
        <v/>
      </c>
      <c r="D269" s="216">
        <v>5.0</v>
      </c>
      <c r="E269" s="12"/>
    </row>
    <row r="270" ht="45.0" hidden="1" customHeight="1">
      <c r="A270" s="11">
        <v>269.0</v>
      </c>
      <c r="B270" s="93" t="s">
        <v>1584</v>
      </c>
      <c r="C270" s="11" t="str">
        <f>IMAGE("https://projecthubbharat.com/wp-content/uploads/2022/02/dht-11-sensor-module-india-800x800-1.jpg",1)</f>
        <v/>
      </c>
      <c r="D270" s="216">
        <v>10.0</v>
      </c>
      <c r="E270" s="12"/>
    </row>
    <row r="271" ht="45.0" hidden="1" customHeight="1">
      <c r="A271" s="11">
        <v>270.0</v>
      </c>
      <c r="B271" s="93" t="s">
        <v>1795</v>
      </c>
      <c r="C271" s="11" t="str">
        <f>IMAGE("https://potentiallabs.com/cart/image/cache/catalog/nov-dec/DS18B20-500x500-500x500.jpg",1)</f>
        <v/>
      </c>
      <c r="D271" s="216">
        <v>10.0</v>
      </c>
      <c r="E271" s="12"/>
    </row>
    <row r="272" ht="45.0" hidden="1" customHeight="1">
      <c r="A272" s="11">
        <v>271.0</v>
      </c>
      <c r="B272" s="93" t="s">
        <v>1798</v>
      </c>
      <c r="C272" s="216" t="str">
        <f>IMAGE("https://5.imimg.com/data5/SELLER/Default/2021/9/HF/RK/UF/37611021/10k-ohm-ntc-thermistor-500x500.jpg",1)</f>
        <v/>
      </c>
      <c r="D272" s="216">
        <v>20.0</v>
      </c>
      <c r="E272" s="12"/>
    </row>
    <row r="273" ht="45.0" hidden="1" customHeight="1">
      <c r="A273" s="11">
        <v>272.0</v>
      </c>
      <c r="B273" s="93" t="s">
        <v>1777</v>
      </c>
      <c r="C273" s="11" t="str">
        <f>IMAGE("https://media.distrelec.com/Web/WebShopImages/landscape_large/7-/01/Adafruit_163_30129187-01.jpg",1)</f>
        <v/>
      </c>
      <c r="D273" s="216">
        <v>5.0</v>
      </c>
      <c r="E273" s="12"/>
    </row>
    <row r="274" ht="45.0" hidden="1" customHeight="1">
      <c r="A274" s="11">
        <v>273.0</v>
      </c>
      <c r="B274" s="93" t="s">
        <v>1619</v>
      </c>
      <c r="C274" s="11" t="str">
        <f>IMAGE("https://i0.wp.com/superbtech.in/wp-content/uploads/2020/07/2-60.jpg?fit=500%2C500&amp;ssl=1",1)</f>
        <v/>
      </c>
      <c r="D274" s="216">
        <v>10.0</v>
      </c>
      <c r="E274" s="12"/>
    </row>
    <row r="275" ht="45.0" hidden="1" customHeight="1">
      <c r="A275" s="11">
        <v>274.0</v>
      </c>
      <c r="B275" s="93" t="s">
        <v>1623</v>
      </c>
      <c r="C275" s="11" t="str">
        <f>IMAGE("https://cdn.shopify.com/s/files/1/0559/1970/6265/products/1_9713a8db-db1e-42d0-a3e7-eebb7f66c4e9.jpg?v=1670581925",1)</f>
        <v/>
      </c>
      <c r="D275" s="216">
        <v>5.0</v>
      </c>
      <c r="E275" s="12"/>
    </row>
    <row r="276" ht="45.0" hidden="1" customHeight="1">
      <c r="A276" s="11">
        <v>275.0</v>
      </c>
      <c r="B276" s="93" t="s">
        <v>1627</v>
      </c>
      <c r="C276" s="11" t="str">
        <f>IMAGE("https://m.media-amazon.com/images/W/MEDIAX_792452-T2/images/I/419leG1YjXL.jpg",1)</f>
        <v/>
      </c>
      <c r="D276" s="216">
        <v>10.0</v>
      </c>
      <c r="E276" s="12"/>
    </row>
    <row r="277" ht="45.0" hidden="1" customHeight="1">
      <c r="A277" s="11">
        <v>276.0</v>
      </c>
      <c r="B277" s="93" t="s">
        <v>1633</v>
      </c>
      <c r="C277" s="11" t="str">
        <f>IMAGE("https://i0.wp.com/armsol.in/wp-content/uploads/2021/08/1-5-rotated.jpg?fit=600%2C600&amp;ssl=1",1)</f>
        <v/>
      </c>
      <c r="D277" s="216">
        <v>10.0</v>
      </c>
      <c r="E277" s="12"/>
    </row>
    <row r="278" ht="45.0" hidden="1" customHeight="1">
      <c r="A278" s="11">
        <v>277.0</v>
      </c>
      <c r="B278" s="93" t="s">
        <v>1988</v>
      </c>
      <c r="C278" s="11" t="str">
        <f>IMAGE("https://www.voltaat.com/cdn/shop/products/voltaat-soldering-board-5cm-x-7cm-10728457568358_1024x1024.jpg?v=1628445244")</f>
        <v/>
      </c>
      <c r="D278" s="216">
        <v>30.0</v>
      </c>
      <c r="E278" s="12"/>
    </row>
    <row r="279" ht="45.0" hidden="1" customHeight="1">
      <c r="A279" s="11">
        <v>278.0</v>
      </c>
      <c r="B279" s="93" t="s">
        <v>1989</v>
      </c>
      <c r="C279" s="11" t="str">
        <f>IMAGE("https://m.media-amazon.com/images/W/MEDIAX_792452-T2/images/I/91hMIBtDtPS._SL1500_.jpg")</f>
        <v/>
      </c>
      <c r="D279" s="216">
        <v>10.0</v>
      </c>
      <c r="E279" s="12"/>
    </row>
    <row r="280" ht="45.0" hidden="1" customHeight="1">
      <c r="A280" s="11">
        <v>279.0</v>
      </c>
      <c r="B280" s="93" t="s">
        <v>1646</v>
      </c>
      <c r="C280" s="11" t="str">
        <f>IMAGE("https://5.imimg.com/data5/SELLER/Default/2022/1/IK/KY/AC/131638211/31tvrpe7ijl-500x500.jpg")</f>
        <v/>
      </c>
      <c r="D280" s="216">
        <v>5.0</v>
      </c>
      <c r="E280" s="12"/>
    </row>
    <row r="281" ht="45.0" hidden="1" customHeight="1">
      <c r="A281" s="11">
        <v>280.0</v>
      </c>
      <c r="B281" s="93" t="s">
        <v>1650</v>
      </c>
      <c r="C281" s="11" t="str">
        <f>IMAGE("https://i0.wp.com/roboticsdna.in/wp-content/uploads/2020/11/IRON-TIP-1.png?fit=1000%2C1000&amp;ssl=1",1)</f>
        <v/>
      </c>
      <c r="D281" s="216">
        <v>10.0</v>
      </c>
      <c r="E281" s="12"/>
    </row>
    <row r="282" ht="45.0" hidden="1" customHeight="1">
      <c r="A282" s="11">
        <v>281.0</v>
      </c>
      <c r="B282" s="93" t="s">
        <v>1654</v>
      </c>
      <c r="C282" s="11" t="str">
        <f>IMAGE("https://www.toolworld.in/storage/media/product/1656317774.jpg",1)</f>
        <v/>
      </c>
      <c r="D282" s="216">
        <v>10.0</v>
      </c>
      <c r="E282" s="12"/>
    </row>
    <row r="283" ht="45.0" hidden="1" customHeight="1">
      <c r="A283" s="11">
        <v>282.0</v>
      </c>
      <c r="B283" s="93" t="s">
        <v>1658</v>
      </c>
      <c r="C283" s="11" t="str">
        <f>IMAGE("https://m.media-amazon.com/images/W/MEDIAX_792452-T2/images/I/41OjS3jnL4L.jpg",1)</f>
        <v/>
      </c>
      <c r="D283" s="216">
        <v>10.0</v>
      </c>
      <c r="E283" s="12"/>
    </row>
    <row r="284" ht="45.0" hidden="1" customHeight="1">
      <c r="A284" s="11">
        <v>283.0</v>
      </c>
      <c r="B284" s="93" t="s">
        <v>1662</v>
      </c>
      <c r="C284" s="11" t="str">
        <f>IMAGE("https://m.media-amazon.com/images/W/MEDIAX_792452-T2/images/I/61gvV3Wc-NL._SL1024_.jpg")</f>
        <v/>
      </c>
      <c r="D284" s="216">
        <v>2.0</v>
      </c>
      <c r="E284" s="12"/>
    </row>
    <row r="285" ht="45.0" hidden="1" customHeight="1">
      <c r="A285" s="11">
        <v>284.0</v>
      </c>
      <c r="B285" s="93" t="s">
        <v>1666</v>
      </c>
      <c r="C285" s="11" t="str">
        <f>IMAGE("https://robu.in/wp-content/uploads/2015/10/Soldron-25-Watt-Iron-Soldering-Gun-5.jpg")</f>
        <v/>
      </c>
      <c r="D285" s="216">
        <v>10.0</v>
      </c>
      <c r="E285" s="12"/>
    </row>
    <row r="286" ht="45.0" hidden="1" customHeight="1">
      <c r="A286" s="11">
        <v>285.0</v>
      </c>
      <c r="B286" s="93" t="s">
        <v>1670</v>
      </c>
      <c r="C286" s="11" t="str">
        <f>IMAGE("https://m.media-amazon.com/images/I/71Nb2wKaZgS._SL1500_.jpg", 1)</f>
        <v/>
      </c>
      <c r="D286" s="216">
        <v>1.0</v>
      </c>
      <c r="E286" s="12"/>
    </row>
    <row r="287" ht="45.0" hidden="1" customHeight="1">
      <c r="A287" s="11">
        <v>286.0</v>
      </c>
      <c r="B287" s="93" t="s">
        <v>1674</v>
      </c>
      <c r="C287" s="11" t="str">
        <f>IMAGE("https://m.media-amazon.com/images/W/MEDIAX_792452-T2/images/I/511g3IePVzL.jpg",1)</f>
        <v/>
      </c>
      <c r="D287" s="216">
        <v>10.0</v>
      </c>
      <c r="E287" s="12"/>
    </row>
    <row r="288" ht="45.0" hidden="1" customHeight="1">
      <c r="A288" s="11">
        <v>287.0</v>
      </c>
      <c r="B288" s="93" t="s">
        <v>1678</v>
      </c>
      <c r="C288" s="11" t="str">
        <f>IMAGE("https://5.imimg.com/data5/FT/MG/MY-9316309/soldering-wire-500x500.jpg",1)</f>
        <v/>
      </c>
      <c r="D288" s="216">
        <v>10.0</v>
      </c>
      <c r="E288" s="12"/>
    </row>
    <row r="289" ht="45.0" customHeight="1">
      <c r="A289" s="11">
        <v>288.0</v>
      </c>
      <c r="B289" s="93" t="s">
        <v>324</v>
      </c>
      <c r="C289" s="11" t="str">
        <f>IMAGE("https://5.imimg.com/data5/PL/FV/MY-11916319/synthetic-angle-broom-500x500.jpg",1)</f>
        <v/>
      </c>
      <c r="D289" s="11">
        <v>1.0</v>
      </c>
      <c r="E289" s="301"/>
      <c r="F289" s="301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  <c r="AC289" s="301"/>
      <c r="AD289" s="301"/>
      <c r="AE289" s="301"/>
      <c r="AF289" s="301"/>
      <c r="AG289" s="301"/>
      <c r="AH289" s="301"/>
      <c r="AI289" s="301"/>
      <c r="AJ289" s="301"/>
      <c r="AK289" s="301"/>
    </row>
    <row r="290" ht="45.0" customHeight="1">
      <c r="A290" s="11">
        <v>289.0</v>
      </c>
      <c r="B290" s="93" t="s">
        <v>329</v>
      </c>
      <c r="C290" s="11" t="str">
        <f>IMAGE("https://m.media-amazon.com/images/W/MEDIAX_792452-T2/images/I/61z4uqZdmPL._AC_UF1000,1000_QL80_.jpg",1)</f>
        <v/>
      </c>
      <c r="D290" s="11">
        <v>1.0</v>
      </c>
      <c r="E290" s="301"/>
      <c r="F290" s="301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  <c r="AC290" s="301"/>
      <c r="AD290" s="301"/>
      <c r="AE290" s="301"/>
      <c r="AF290" s="301"/>
      <c r="AG290" s="301"/>
      <c r="AH290" s="301"/>
      <c r="AI290" s="301"/>
      <c r="AJ290" s="301"/>
      <c r="AK290" s="301"/>
    </row>
    <row r="291" ht="45.0" customHeight="1">
      <c r="A291" s="11">
        <v>290.0</v>
      </c>
      <c r="B291" s="93" t="s">
        <v>333</v>
      </c>
      <c r="C291" s="11" t="str">
        <f>IMAGE("https://m.media-amazon.com/images/W/MEDIAX_792452-T2/images/I/61Njm4X2d2L._AC_UF1000,1000_QL80_.jpg",1)</f>
        <v/>
      </c>
      <c r="D291" s="11">
        <v>5.0</v>
      </c>
      <c r="E291" s="301"/>
      <c r="F291" s="301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  <c r="AC291" s="301"/>
      <c r="AD291" s="301"/>
      <c r="AE291" s="301"/>
      <c r="AF291" s="301"/>
      <c r="AG291" s="301"/>
      <c r="AH291" s="301"/>
      <c r="AI291" s="301"/>
      <c r="AJ291" s="301"/>
      <c r="AK291" s="301"/>
    </row>
    <row r="292" ht="45.0" customHeight="1">
      <c r="A292" s="11">
        <v>291.0</v>
      </c>
      <c r="B292" s="93" t="s">
        <v>341</v>
      </c>
      <c r="C292" s="11" t="str">
        <f>IMAGE("https://rukminim2.flixcart.com/image/850/1000/kshtxu80/dustbin/p/l/y/swaccha-bharat-champaign-dry-and-wet-waste-bins-small-11ltr-original-imag6fnfj6pqmsba.jpeg?q=20",1)</f>
        <v/>
      </c>
      <c r="D292" s="11">
        <v>3.0</v>
      </c>
      <c r="E292" s="301"/>
      <c r="F292" s="301"/>
      <c r="G292" s="301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  <c r="AD292" s="301"/>
      <c r="AE292" s="301"/>
      <c r="AF292" s="301"/>
      <c r="AG292" s="301"/>
      <c r="AH292" s="301"/>
      <c r="AI292" s="301"/>
      <c r="AJ292" s="301"/>
      <c r="AK292" s="301"/>
    </row>
    <row r="293" ht="45.0" customHeight="1">
      <c r="A293" s="11">
        <v>292.0</v>
      </c>
      <c r="B293" s="93" t="s">
        <v>1959</v>
      </c>
      <c r="C293" s="11" t="str">
        <f>IMAGE("https://www.220converters.com/resize/Shared/images/Product/Seven-Star-ES5C-220-Volt-Universal-5-Outlet-Power-Strip-With-Surge-Protection-220V-240V/es5c.jpg?bw=500&amp;bh=500",1)</f>
        <v/>
      </c>
      <c r="D293" s="216">
        <v>6.0</v>
      </c>
      <c r="E293" s="301"/>
      <c r="F293" s="301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  <c r="AC293" s="301"/>
      <c r="AD293" s="301"/>
      <c r="AE293" s="301"/>
      <c r="AF293" s="301"/>
      <c r="AG293" s="301"/>
      <c r="AH293" s="301"/>
      <c r="AI293" s="301"/>
      <c r="AJ293" s="301"/>
      <c r="AK293" s="301"/>
    </row>
    <row r="294" ht="45.0" customHeight="1">
      <c r="A294" s="11">
        <v>293.0</v>
      </c>
      <c r="B294" s="93" t="s">
        <v>970</v>
      </c>
      <c r="C294" s="11" t="str">
        <f>IMAGE("https://www.jiomart.com/images/product/original/491503417/mi-home-security-camera-digital-o491503417-p590045677-0-202010110622.jpeg")</f>
        <v/>
      </c>
      <c r="D294" s="216">
        <v>1.0</v>
      </c>
      <c r="E294" s="301"/>
      <c r="F294" s="301"/>
      <c r="G294" s="301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  <c r="AD294" s="301"/>
      <c r="AE294" s="301"/>
      <c r="AF294" s="301"/>
      <c r="AG294" s="301"/>
      <c r="AH294" s="301"/>
      <c r="AI294" s="301"/>
      <c r="AJ294" s="301"/>
      <c r="AK294" s="301"/>
    </row>
    <row r="295" ht="45.0" hidden="1" customHeight="1">
      <c r="A295" s="11">
        <v>294.0</v>
      </c>
      <c r="B295" s="272" t="s">
        <v>2171</v>
      </c>
      <c r="C295" s="275"/>
      <c r="D295" s="274">
        <v>2.0</v>
      </c>
      <c r="E295" s="314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  <c r="AA295" s="276"/>
      <c r="AB295" s="276"/>
      <c r="AC295" s="276"/>
      <c r="AD295" s="276"/>
      <c r="AE295" s="276"/>
      <c r="AF295" s="276"/>
      <c r="AG295" s="276"/>
      <c r="AH295" s="276"/>
      <c r="AI295" s="276"/>
      <c r="AJ295" s="276"/>
      <c r="AK295" s="276"/>
    </row>
    <row r="296" ht="45.0" hidden="1" customHeight="1">
      <c r="A296" s="11">
        <v>295.0</v>
      </c>
      <c r="B296" s="93" t="s">
        <v>140</v>
      </c>
      <c r="C296" s="11" t="e">
        <v>#VALUE!</v>
      </c>
      <c r="D296" s="11">
        <v>1.0</v>
      </c>
      <c r="E296" s="12"/>
    </row>
    <row r="297" ht="45.0" hidden="1" customHeight="1">
      <c r="A297" s="11">
        <v>296.0</v>
      </c>
      <c r="B297" s="93" t="s">
        <v>155</v>
      </c>
      <c r="C297" s="11" t="str">
        <f>IMAGE("https://m.media-amazon.com/images/I/61Zlcg+2mNL.jpg")</f>
        <v/>
      </c>
      <c r="D297" s="216">
        <v>1.0</v>
      </c>
      <c r="E297" s="12"/>
    </row>
    <row r="298" ht="45.0" hidden="1" customHeight="1">
      <c r="A298" s="11">
        <v>297.0</v>
      </c>
      <c r="B298" s="93" t="s">
        <v>159</v>
      </c>
      <c r="C298" s="11" t="str">
        <f>IMAGE("https://c1.neweggimages.com/Productimage/24-001-864-04.jpg",1)</f>
        <v/>
      </c>
      <c r="D298" s="216">
        <v>1.0</v>
      </c>
      <c r="E298" s="12"/>
    </row>
    <row r="299" ht="45.0" hidden="1" customHeight="1">
      <c r="A299" s="11">
        <v>298.0</v>
      </c>
      <c r="B299" s="93" t="s">
        <v>163</v>
      </c>
      <c r="C299" s="11" t="str">
        <f>IMAGE("https://m.media-amazon.com/images/I/6100FnINmsL._SL1468_.jpg",1)</f>
        <v/>
      </c>
      <c r="D299" s="216">
        <v>1.0</v>
      </c>
      <c r="E299" s="12"/>
    </row>
    <row r="300" ht="45.0" hidden="1" customHeight="1">
      <c r="A300" s="11">
        <v>299.0</v>
      </c>
      <c r="B300" s="93" t="s">
        <v>167</v>
      </c>
      <c r="C300" s="11" t="str">
        <f>IMAGE("https://encrypted-tbn1.gstatic.com/shopping?q=tbn:ANd9GcSwk1vUmWwFhmXgluT27_kpt_1XbFeMGM9voPktN2V8FycBha0_9qycLyoE5G3LsPm9IAaz9ZK9JsFmIAo5gwJtywrUheHD9Zzv6NIaMNLbw1go2XSC6Z0l&amp;usqp=CAE",1)</f>
        <v/>
      </c>
      <c r="D300" s="216">
        <v>1.0</v>
      </c>
      <c r="E300" s="12"/>
    </row>
    <row r="301" ht="45.0" hidden="1" customHeight="1">
      <c r="A301" s="11">
        <v>300.0</v>
      </c>
      <c r="B301" s="93" t="s">
        <v>171</v>
      </c>
      <c r="C301" s="11" t="str">
        <f>IMAGE("https://www.designinfo.in/wp-content/uploads/nc/p/5/1/4/9/0/51490-485x485.jpg",1)</f>
        <v/>
      </c>
      <c r="D301" s="216">
        <v>1.0</v>
      </c>
      <c r="E301" s="12"/>
    </row>
    <row r="302" ht="45.0" hidden="1" customHeight="1">
      <c r="A302" s="11">
        <v>301.0</v>
      </c>
      <c r="B302" s="93" t="s">
        <v>245</v>
      </c>
      <c r="C302" s="11" t="str">
        <f>IMAGE("https://m.media-amazon.com/images/I/61YPX7I4aSL._SL1500_.jpg",1)</f>
        <v/>
      </c>
      <c r="D302" s="11">
        <v>1.0</v>
      </c>
      <c r="E302" s="12"/>
    </row>
    <row r="303" ht="45.0" hidden="1" customHeight="1">
      <c r="A303" s="11">
        <v>302.0</v>
      </c>
      <c r="B303" s="93" t="s">
        <v>974</v>
      </c>
      <c r="C303" s="11" t="str">
        <f>IMAGE("https://cdn.ttgtmedia.com/rms/onlineimages/hp_elitebook_mobile.jpg",1)</f>
        <v/>
      </c>
      <c r="D303" s="216">
        <v>1.0</v>
      </c>
      <c r="E303" s="12"/>
    </row>
    <row r="304" ht="45.0" hidden="1" customHeight="1">
      <c r="A304" s="11">
        <v>303.0</v>
      </c>
      <c r="B304" s="93" t="s">
        <v>977</v>
      </c>
      <c r="C304" s="11" t="str">
        <f>IMAGE("https://m.media-amazon.com/images/W/MEDIAX_792452-T2/images/I/51UzU+2x3OS._SL1000_.jpg")</f>
        <v/>
      </c>
      <c r="D304" s="216">
        <v>1.0</v>
      </c>
      <c r="E304" s="12"/>
    </row>
    <row r="305" ht="45.0" customHeight="1">
      <c r="A305" s="11">
        <v>304.0</v>
      </c>
      <c r="B305" s="93" t="s">
        <v>1475</v>
      </c>
      <c r="C305" s="11" t="str">
        <f>IMAGE("https://rukminim1.flixcart.com/image/416/416/jj367bk0/fire-extinguisher-mount/w/s/y/2-kg-abc-type-fire-extinguisher-safepro-original-imaf6h7fkdngmbqd.jpeg?q=70",1)</f>
        <v/>
      </c>
      <c r="D305" s="216">
        <v>1.0</v>
      </c>
      <c r="E305" s="301"/>
      <c r="F305" s="301"/>
      <c r="G305" s="301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  <c r="AB305" s="301"/>
      <c r="AC305" s="301"/>
      <c r="AD305" s="301"/>
      <c r="AE305" s="301"/>
      <c r="AF305" s="301"/>
      <c r="AG305" s="301"/>
      <c r="AH305" s="301"/>
      <c r="AI305" s="301"/>
      <c r="AJ305" s="301"/>
      <c r="AK305" s="301"/>
    </row>
    <row r="306" ht="45.0" customHeight="1">
      <c r="A306" s="11">
        <v>305.0</v>
      </c>
      <c r="B306" s="93" t="s">
        <v>1481</v>
      </c>
      <c r="C306" s="11" t="str">
        <f>IMAGE("https://m.media-amazon.com/images/I/61UHX6mp+wL._AC_UF894,1000_QL80_.jpg",1)</f>
        <v/>
      </c>
      <c r="D306" s="216">
        <v>1.0</v>
      </c>
      <c r="E306" s="301"/>
      <c r="F306" s="301"/>
      <c r="G306" s="301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  <c r="AB306" s="301"/>
      <c r="AC306" s="301"/>
      <c r="AD306" s="301"/>
      <c r="AE306" s="301"/>
      <c r="AF306" s="301"/>
      <c r="AG306" s="301"/>
      <c r="AH306" s="301"/>
      <c r="AI306" s="301"/>
      <c r="AJ306" s="301"/>
      <c r="AK306" s="301"/>
    </row>
    <row r="307" ht="45.0" customHeight="1">
      <c r="A307" s="11">
        <v>306.0</v>
      </c>
      <c r="B307" s="93" t="s">
        <v>1485</v>
      </c>
      <c r="C307" s="11" t="str">
        <f>IMAGE("https://m.media-amazon.com/images/I/41yRsXk89rS._SX355_.jpg",1)</f>
        <v/>
      </c>
      <c r="D307" s="216">
        <v>1.0</v>
      </c>
      <c r="E307" s="301"/>
      <c r="F307" s="301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  <c r="AB307" s="301"/>
      <c r="AC307" s="301"/>
      <c r="AD307" s="301"/>
      <c r="AE307" s="301"/>
      <c r="AF307" s="301"/>
      <c r="AG307" s="301"/>
      <c r="AH307" s="301"/>
      <c r="AI307" s="301"/>
      <c r="AJ307" s="301"/>
      <c r="AK307" s="301"/>
    </row>
    <row r="308" ht="45.0" customHeight="1">
      <c r="A308" s="11">
        <v>307.0</v>
      </c>
      <c r="B308" s="93" t="s">
        <v>1489</v>
      </c>
      <c r="C308" s="11" t="str">
        <f>IMAGE("https://5.imimg.com/data5/AR/LM/NG/SELLER-21409398/lab-uniform-500x500.jpg",1)</f>
        <v/>
      </c>
      <c r="D308" s="11">
        <v>5.0</v>
      </c>
      <c r="E308" s="301"/>
      <c r="F308" s="301"/>
      <c r="G308" s="301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  <c r="AB308" s="301"/>
      <c r="AC308" s="301"/>
      <c r="AD308" s="301"/>
      <c r="AE308" s="301"/>
      <c r="AF308" s="301"/>
      <c r="AG308" s="301"/>
      <c r="AH308" s="301"/>
      <c r="AI308" s="301"/>
      <c r="AJ308" s="301"/>
      <c r="AK308" s="301"/>
    </row>
    <row r="309" ht="45.0" customHeight="1">
      <c r="A309" s="11">
        <v>308.0</v>
      </c>
      <c r="B309" s="93" t="s">
        <v>1493</v>
      </c>
      <c r="C309" s="11" t="str">
        <f>IMAGE("https://cdn.moglix.com/p/oBWcDtePyNEFP.jpg",1)</f>
        <v/>
      </c>
      <c r="D309" s="216">
        <v>2.0</v>
      </c>
      <c r="E309" s="301"/>
      <c r="F309" s="301"/>
      <c r="G309" s="301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  <c r="AB309" s="301"/>
      <c r="AC309" s="301"/>
      <c r="AD309" s="301"/>
      <c r="AE309" s="301"/>
      <c r="AF309" s="301"/>
      <c r="AG309" s="301"/>
      <c r="AH309" s="301"/>
      <c r="AI309" s="301"/>
      <c r="AJ309" s="301"/>
      <c r="AK309" s="301"/>
    </row>
    <row r="310" ht="45.0" customHeight="1">
      <c r="A310" s="11">
        <v>309.0</v>
      </c>
      <c r="B310" s="93" t="s">
        <v>1497</v>
      </c>
      <c r="C310" s="11" t="str">
        <f>IMAGE("https://5.imimg.com/data5/SELLER/Default/2023/5/311302937/IM/IY/MO/34533827/safety-rubber-apron-1000x1000.jpg", 1)</f>
        <v/>
      </c>
      <c r="D310" s="11">
        <v>5.0</v>
      </c>
      <c r="E310" s="301"/>
      <c r="F310" s="301"/>
      <c r="G310" s="301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  <c r="AC310" s="301"/>
      <c r="AD310" s="301"/>
      <c r="AE310" s="301"/>
      <c r="AF310" s="301"/>
      <c r="AG310" s="301"/>
      <c r="AH310" s="301"/>
      <c r="AI310" s="301"/>
      <c r="AJ310" s="301"/>
      <c r="AK310" s="301"/>
    </row>
    <row r="311" ht="45.0" customHeight="1">
      <c r="A311" s="11">
        <v>310.0</v>
      </c>
      <c r="B311" s="93" t="s">
        <v>1501</v>
      </c>
      <c r="C311" s="11" t="str">
        <f>IMAGE("https://5.imimg.com/data5/DM/UP/MY-3422722/latex-coated-gloves-500x500.jpg",1)</f>
        <v/>
      </c>
      <c r="D311" s="216">
        <v>15.0</v>
      </c>
      <c r="E311" s="301"/>
      <c r="F311" s="301"/>
      <c r="G311" s="301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  <c r="AB311" s="301"/>
      <c r="AC311" s="301"/>
      <c r="AD311" s="301"/>
      <c r="AE311" s="301"/>
      <c r="AF311" s="301"/>
      <c r="AG311" s="301"/>
      <c r="AH311" s="301"/>
      <c r="AI311" s="301"/>
      <c r="AJ311" s="301"/>
      <c r="AK311" s="301"/>
    </row>
    <row r="312" ht="45.0" customHeight="1">
      <c r="A312" s="11">
        <v>311.0</v>
      </c>
      <c r="B312" s="93" t="s">
        <v>1505</v>
      </c>
      <c r="C312" s="11" t="str">
        <f>IMAGE("https://5.imimg.com/data5/RD/NQ/ZF/SELLER-67911650/safety-goggles.jpg")</f>
        <v/>
      </c>
      <c r="D312" s="216">
        <v>30.0</v>
      </c>
      <c r="E312" s="301"/>
      <c r="F312" s="301"/>
      <c r="G312" s="301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  <c r="AB312" s="301"/>
      <c r="AC312" s="301"/>
      <c r="AD312" s="301"/>
      <c r="AE312" s="301"/>
      <c r="AF312" s="301"/>
      <c r="AG312" s="301"/>
      <c r="AH312" s="301"/>
      <c r="AI312" s="301"/>
      <c r="AJ312" s="301"/>
      <c r="AK312" s="301"/>
    </row>
    <row r="313" ht="45.0" customHeight="1">
      <c r="A313" s="11">
        <v>312.0</v>
      </c>
      <c r="B313" s="93" t="s">
        <v>1509</v>
      </c>
      <c r="C313" s="11" t="str">
        <f>IMAGE("https://img2.exportersindia.com/product_images/bc-full/dir_151/4514764/dust-masks-1499837104-3125900.jpg",1)</f>
        <v/>
      </c>
      <c r="D313" s="216">
        <v>60.0</v>
      </c>
      <c r="E313" s="301"/>
      <c r="F313" s="301"/>
      <c r="G313" s="301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  <c r="AB313" s="301"/>
      <c r="AC313" s="301"/>
      <c r="AD313" s="301"/>
      <c r="AE313" s="301"/>
      <c r="AF313" s="301"/>
      <c r="AG313" s="301"/>
      <c r="AH313" s="301"/>
      <c r="AI313" s="301"/>
      <c r="AJ313" s="301"/>
      <c r="AK313" s="301"/>
    </row>
    <row r="314" ht="45.0" hidden="1" customHeight="1">
      <c r="A314" s="11">
        <v>313.0</v>
      </c>
      <c r="B314" s="93" t="s">
        <v>151</v>
      </c>
      <c r="C314" s="11" t="str">
        <f>IMAGE("https://m.media-amazon.com/images/I/51KO2QtXE8L._SL1000_.jpg", 1)</f>
        <v/>
      </c>
      <c r="D314" s="216">
        <v>2.0</v>
      </c>
      <c r="E314" s="12"/>
    </row>
    <row r="315" ht="45.0" hidden="1" customHeight="1">
      <c r="A315" s="11">
        <v>314.0</v>
      </c>
      <c r="B315" s="283" t="s">
        <v>2173</v>
      </c>
      <c r="C315" s="275"/>
      <c r="D315" s="285">
        <v>1.0</v>
      </c>
      <c r="E315" s="314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  <c r="AA315" s="276"/>
      <c r="AB315" s="276"/>
      <c r="AC315" s="276"/>
      <c r="AD315" s="276"/>
      <c r="AE315" s="276"/>
      <c r="AF315" s="276"/>
      <c r="AG315" s="276"/>
      <c r="AH315" s="276"/>
      <c r="AI315" s="276"/>
      <c r="AJ315" s="276"/>
      <c r="AK315" s="276"/>
    </row>
    <row r="316" ht="45.0" hidden="1" customHeight="1">
      <c r="A316" s="11">
        <v>315.0</v>
      </c>
      <c r="B316" s="288" t="s">
        <v>2175</v>
      </c>
      <c r="C316" s="275"/>
      <c r="D316" s="290">
        <v>1.0</v>
      </c>
      <c r="E316" s="314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  <c r="AA316" s="276"/>
      <c r="AB316" s="276"/>
      <c r="AC316" s="276"/>
      <c r="AD316" s="276"/>
      <c r="AE316" s="276"/>
      <c r="AF316" s="276"/>
      <c r="AG316" s="276"/>
      <c r="AH316" s="276"/>
      <c r="AI316" s="276"/>
      <c r="AJ316" s="276"/>
      <c r="AK316" s="276"/>
    </row>
    <row r="317" ht="45.0" hidden="1" customHeight="1">
      <c r="A317" s="11">
        <v>316.0</v>
      </c>
      <c r="B317" s="283" t="s">
        <v>2176</v>
      </c>
      <c r="C317" s="275"/>
      <c r="D317" s="285">
        <v>1.0</v>
      </c>
      <c r="E317" s="314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  <c r="AA317" s="276"/>
      <c r="AB317" s="276"/>
      <c r="AC317" s="276"/>
      <c r="AD317" s="276"/>
      <c r="AE317" s="276"/>
      <c r="AF317" s="276"/>
      <c r="AG317" s="276"/>
      <c r="AH317" s="276"/>
      <c r="AI317" s="276"/>
      <c r="AJ317" s="276"/>
      <c r="AK317" s="276"/>
    </row>
    <row r="318" ht="45.0" hidden="1" customHeight="1">
      <c r="A318" s="11">
        <v>317.0</v>
      </c>
      <c r="B318" s="288" t="s">
        <v>2177</v>
      </c>
      <c r="C318" s="275"/>
      <c r="D318" s="290">
        <v>1.0</v>
      </c>
      <c r="E318" s="314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  <c r="AA318" s="276"/>
      <c r="AB318" s="276"/>
      <c r="AC318" s="276"/>
      <c r="AD318" s="276"/>
      <c r="AE318" s="276"/>
      <c r="AF318" s="276"/>
      <c r="AG318" s="276"/>
      <c r="AH318" s="276"/>
      <c r="AI318" s="276"/>
      <c r="AJ318" s="276"/>
      <c r="AK318" s="276"/>
    </row>
    <row r="319" ht="45.0" hidden="1" customHeight="1">
      <c r="A319" s="11">
        <v>318.0</v>
      </c>
      <c r="B319" s="283" t="s">
        <v>2178</v>
      </c>
      <c r="C319" s="275"/>
      <c r="D319" s="285">
        <v>10.0</v>
      </c>
      <c r="E319" s="314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  <c r="AA319" s="276"/>
      <c r="AB319" s="276"/>
      <c r="AC319" s="276"/>
      <c r="AD319" s="276"/>
      <c r="AE319" s="276"/>
      <c r="AF319" s="276"/>
      <c r="AG319" s="276"/>
      <c r="AH319" s="276"/>
      <c r="AI319" s="276"/>
      <c r="AJ319" s="276"/>
      <c r="AK319" s="276"/>
    </row>
    <row r="320" ht="45.0" hidden="1" customHeight="1">
      <c r="A320" s="11">
        <v>319.0</v>
      </c>
      <c r="B320" s="288" t="s">
        <v>2179</v>
      </c>
      <c r="C320" s="275"/>
      <c r="D320" s="290">
        <v>2.0</v>
      </c>
      <c r="E320" s="314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  <c r="AA320" s="276"/>
      <c r="AB320" s="276"/>
      <c r="AC320" s="276"/>
      <c r="AD320" s="276"/>
      <c r="AE320" s="276"/>
      <c r="AF320" s="276"/>
      <c r="AG320" s="276"/>
      <c r="AH320" s="276"/>
      <c r="AI320" s="276"/>
      <c r="AJ320" s="276"/>
      <c r="AK320" s="276"/>
    </row>
    <row r="321" ht="45.0" hidden="1" customHeight="1">
      <c r="A321" s="11">
        <v>320.0</v>
      </c>
      <c r="B321" s="272" t="s">
        <v>2180</v>
      </c>
      <c r="C321" s="275"/>
      <c r="D321" s="274" t="s">
        <v>2181</v>
      </c>
      <c r="E321" s="314"/>
      <c r="F321" s="276"/>
      <c r="G321" s="276"/>
      <c r="H321" s="276"/>
      <c r="I321" s="276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  <c r="Y321" s="276"/>
      <c r="Z321" s="276"/>
      <c r="AA321" s="276"/>
      <c r="AB321" s="276"/>
      <c r="AC321" s="276"/>
      <c r="AD321" s="276"/>
      <c r="AE321" s="276"/>
      <c r="AF321" s="276"/>
      <c r="AG321" s="276"/>
      <c r="AH321" s="276"/>
      <c r="AI321" s="276"/>
      <c r="AJ321" s="276"/>
      <c r="AK321" s="276"/>
    </row>
    <row r="322" ht="45.0" hidden="1" customHeight="1">
      <c r="A322" s="11">
        <v>321.0</v>
      </c>
      <c r="B322" s="272" t="s">
        <v>2182</v>
      </c>
      <c r="C322" s="275"/>
      <c r="D322" s="274" t="s">
        <v>2183</v>
      </c>
      <c r="E322" s="314"/>
      <c r="F322" s="276"/>
      <c r="G322" s="276"/>
      <c r="H322" s="276"/>
      <c r="I322" s="276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  <c r="Y322" s="276"/>
      <c r="Z322" s="276"/>
      <c r="AA322" s="276"/>
      <c r="AB322" s="276"/>
      <c r="AC322" s="276"/>
      <c r="AD322" s="276"/>
      <c r="AE322" s="276"/>
      <c r="AF322" s="276"/>
      <c r="AG322" s="276"/>
      <c r="AH322" s="276"/>
      <c r="AI322" s="276"/>
      <c r="AJ322" s="276"/>
      <c r="AK322" s="276"/>
    </row>
    <row r="323" ht="45.0" hidden="1" customHeight="1">
      <c r="A323" s="11">
        <v>322.0</v>
      </c>
      <c r="B323" s="272" t="s">
        <v>2184</v>
      </c>
      <c r="C323" s="275"/>
      <c r="D323" s="285">
        <v>20.0</v>
      </c>
      <c r="E323" s="314"/>
      <c r="F323" s="276"/>
      <c r="G323" s="276"/>
      <c r="H323" s="276"/>
      <c r="I323" s="276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  <c r="Y323" s="276"/>
      <c r="Z323" s="276"/>
      <c r="AA323" s="276"/>
      <c r="AB323" s="276"/>
      <c r="AC323" s="276"/>
      <c r="AD323" s="276"/>
      <c r="AE323" s="276"/>
      <c r="AF323" s="276"/>
      <c r="AG323" s="276"/>
      <c r="AH323" s="276"/>
      <c r="AI323" s="276"/>
      <c r="AJ323" s="276"/>
      <c r="AK323" s="276"/>
    </row>
    <row r="324" ht="45.0" hidden="1" customHeight="1">
      <c r="A324" s="11">
        <v>323.0</v>
      </c>
      <c r="B324" s="292" t="s">
        <v>2186</v>
      </c>
      <c r="C324" s="275"/>
      <c r="D324" s="285">
        <v>2.0</v>
      </c>
      <c r="E324" s="314"/>
      <c r="F324" s="276"/>
      <c r="G324" s="276"/>
      <c r="H324" s="276"/>
      <c r="I324" s="276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  <c r="Y324" s="276"/>
      <c r="Z324" s="276"/>
      <c r="AA324" s="276"/>
      <c r="AB324" s="276"/>
      <c r="AC324" s="276"/>
      <c r="AD324" s="276"/>
      <c r="AE324" s="276"/>
      <c r="AF324" s="276"/>
      <c r="AG324" s="276"/>
      <c r="AH324" s="276"/>
      <c r="AI324" s="276"/>
      <c r="AJ324" s="276"/>
      <c r="AK324" s="276"/>
    </row>
    <row r="325" ht="45.0" hidden="1" customHeight="1">
      <c r="A325" s="11">
        <v>324.0</v>
      </c>
      <c r="B325" s="93" t="s">
        <v>1172</v>
      </c>
      <c r="C325" s="11" t="str">
        <f>IMAGE("https://www.sigmaaldrich.com/deepweb/content/dam/sigma-aldrich/product2/017/wha2200110.tif/_jcr_content/renditions/wha2200110-large.jpg", 1)</f>
        <v/>
      </c>
      <c r="D325" s="255">
        <v>1.0</v>
      </c>
      <c r="E325" s="12"/>
    </row>
    <row r="326" ht="45.0" hidden="1" customHeight="1">
      <c r="A326" s="11">
        <v>325.0</v>
      </c>
      <c r="B326" s="93" t="s">
        <v>1184</v>
      </c>
      <c r="C326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D326" s="11">
        <v>1.0</v>
      </c>
      <c r="E326" s="12"/>
    </row>
    <row r="327" ht="45.0" hidden="1" customHeight="1">
      <c r="A327" s="11">
        <v>326.0</v>
      </c>
      <c r="B327" s="93" t="s">
        <v>1188</v>
      </c>
      <c r="C327" s="11" t="str">
        <f>IMAGE("https://m.media-amazon.com/images/I/61ra1C535pL._SL1500_.jpg", 1)</f>
        <v/>
      </c>
      <c r="D327" s="216">
        <v>1.0</v>
      </c>
      <c r="E327" s="12"/>
    </row>
    <row r="328" ht="45.0" hidden="1" customHeight="1">
      <c r="A328" s="11">
        <v>327.0</v>
      </c>
      <c r="B328" s="93" t="s">
        <v>2110</v>
      </c>
      <c r="C328" s="11" t="str">
        <f>IMAGE("https://5.imimg.com/data5/SB/TW/SA/SELLER-91497159/glass-beaker-500x500.jpg",1)</f>
        <v/>
      </c>
      <c r="D328" s="216">
        <v>10.0</v>
      </c>
      <c r="E328" s="266"/>
    </row>
    <row r="329" ht="45.0" hidden="1" customHeight="1">
      <c r="A329" s="11">
        <v>328.0</v>
      </c>
      <c r="B329" s="93" t="s">
        <v>1160</v>
      </c>
      <c r="C329" s="11" t="str">
        <f>IMAGE("https://m.media-amazon.com/images/I/41vGxqzVasL.jpg",1)</f>
        <v/>
      </c>
      <c r="D329" s="11">
        <v>5.0</v>
      </c>
      <c r="E329" s="266"/>
    </row>
    <row r="330" ht="45.0" hidden="1" customHeight="1">
      <c r="A330" s="11">
        <v>329.0</v>
      </c>
      <c r="B330" s="93" t="s">
        <v>1164</v>
      </c>
      <c r="C330" s="11" t="str">
        <f>IMAGE("https://m.media-amazon.com/images/I/31b1KCUwqyL.jpg", 1)</f>
        <v/>
      </c>
      <c r="D330" s="216">
        <v>8.0</v>
      </c>
      <c r="E330" s="266"/>
    </row>
    <row r="331" ht="45.0" hidden="1" customHeight="1">
      <c r="A331" s="11">
        <v>330.0</v>
      </c>
      <c r="B331" s="93" t="s">
        <v>1176</v>
      </c>
      <c r="C331" s="11" t="str">
        <f>IMAGE("https://m.media-amazon.com/images/I/A1PFWcAysAL.jpg", 1)</f>
        <v/>
      </c>
      <c r="D331" s="216">
        <v>1.0</v>
      </c>
      <c r="E331" s="12"/>
    </row>
    <row r="332" ht="45.0" hidden="1" customHeight="1">
      <c r="A332" s="11">
        <v>331.0</v>
      </c>
      <c r="B332" s="93" t="s">
        <v>1205</v>
      </c>
      <c r="C332" s="11" t="str">
        <f>IMAGE("https://www.abdoslifesciences.com/wp-content/uploads/Abdos_Delhi2-107_P10911-to-P10918-2.png",1)</f>
        <v/>
      </c>
      <c r="D332" s="216">
        <v>30.0</v>
      </c>
      <c r="E332" s="12"/>
    </row>
    <row r="333" ht="45.0" hidden="1" customHeight="1">
      <c r="A333" s="11">
        <v>332.0</v>
      </c>
      <c r="B333" s="93" t="s">
        <v>1209</v>
      </c>
      <c r="C333" s="11" t="str">
        <f>IMAGE("https://pim-resources.coleparmer.com/product/l/dwk-life-sciences-kimble-dwk-kimble-babcock-pipettes-14663.jpg",1)</f>
        <v/>
      </c>
      <c r="D333" s="11">
        <v>2.0</v>
      </c>
      <c r="E333" s="12"/>
    </row>
    <row r="334" ht="45.0" hidden="1" customHeight="1">
      <c r="A334" s="11">
        <v>333.0</v>
      </c>
      <c r="B334" s="93" t="s">
        <v>1229</v>
      </c>
      <c r="C334" s="11" t="str">
        <f>IMAGE("https://m.media-amazon.com/images/I/51+vdFGMMML._SL1001_.jpg",1)</f>
        <v/>
      </c>
      <c r="D334" s="11">
        <v>1.0</v>
      </c>
      <c r="E334" s="12"/>
    </row>
    <row r="335" ht="45.0" hidden="1" customHeight="1">
      <c r="A335" s="11">
        <v>334.0</v>
      </c>
      <c r="B335" s="93" t="s">
        <v>1233</v>
      </c>
      <c r="C335" s="11" t="str">
        <f>IMAGE("https://5.imimg.com/data5/SELLER/Default/2022/10/RF/ME/PW/7444604/12x100mm-glass-test-tube-500x500.jpg", 1)</f>
        <v/>
      </c>
      <c r="D335" s="216">
        <v>10.0</v>
      </c>
      <c r="E335" s="12"/>
    </row>
    <row r="336" ht="45.0" hidden="1" customHeight="1">
      <c r="A336" s="11">
        <v>335.0</v>
      </c>
      <c r="B336" s="93" t="s">
        <v>1237</v>
      </c>
      <c r="C336" s="11" t="str">
        <f>IMAGE("https://www.abdoslifesciences.com/wp-content/uploads/p10.jpg", 1)</f>
        <v/>
      </c>
      <c r="D336" s="216">
        <v>2.0</v>
      </c>
      <c r="E336" s="12"/>
    </row>
    <row r="337" ht="45.0" hidden="1" customHeight="1">
      <c r="A337" s="11">
        <v>336.0</v>
      </c>
      <c r="B337" s="93" t="s">
        <v>1245</v>
      </c>
      <c r="C337" s="11" t="str">
        <f>IMAGE("https://m.media-amazon.com/images/I/31U00ndDv2L._SX679_.jpg",1)</f>
        <v/>
      </c>
      <c r="D337" s="11">
        <v>10.0</v>
      </c>
      <c r="E337" s="12"/>
    </row>
    <row r="338" ht="45.0" hidden="1" customHeight="1">
      <c r="A338" s="11">
        <v>337.0</v>
      </c>
      <c r="B338" s="93" t="s">
        <v>1168</v>
      </c>
      <c r="C338" s="11" t="str">
        <f>IMAGE("https://m.media-amazon.com/images/W/MEDIAX_792452-T2/images/I/71veIL4opPL.jpg",1)</f>
        <v/>
      </c>
      <c r="D338" s="11">
        <v>2.0</v>
      </c>
      <c r="E338" s="12"/>
    </row>
    <row r="339" ht="45.0" hidden="1" customHeight="1">
      <c r="A339" s="11">
        <v>338.0</v>
      </c>
      <c r="B339" s="93" t="s">
        <v>1213</v>
      </c>
      <c r="C339" s="11" t="str">
        <f>IMAGE("https://5.imimg.com/data5/QC/NX/MY-932240/clear-plastic-funnel-250x250.jpg", 1)</f>
        <v/>
      </c>
      <c r="D339" s="216">
        <v>10.0</v>
      </c>
      <c r="E339" s="12"/>
    </row>
    <row r="340" ht="45.0" hidden="1" customHeight="1">
      <c r="A340" s="11">
        <v>339.0</v>
      </c>
      <c r="B340" s="93" t="s">
        <v>1217</v>
      </c>
      <c r="C340" s="11" t="str">
        <f>IMAGE("https://www.reagecon.com/product/image/medium/6267270_1.jpg",1)</f>
        <v/>
      </c>
      <c r="D340" s="216">
        <v>10.0</v>
      </c>
      <c r="E340" s="12"/>
    </row>
    <row r="341" ht="45.0" hidden="1" customHeight="1">
      <c r="A341" s="11">
        <v>340.0</v>
      </c>
      <c r="B341" s="93" t="s">
        <v>1225</v>
      </c>
      <c r="C341" s="11" t="str">
        <f>IMAGE("https://5.imimg.com/data5/GX/OE/MY-972879/30ml-specimen-container-500x500.jpg", 1)</f>
        <v/>
      </c>
      <c r="D341" s="216">
        <v>100.0</v>
      </c>
      <c r="E341" s="12"/>
    </row>
    <row r="342" ht="45.0" hidden="1" customHeight="1">
      <c r="A342" s="11">
        <v>341.0</v>
      </c>
      <c r="B342" s="93" t="s">
        <v>1241</v>
      </c>
      <c r="C342" s="11" t="str">
        <f>IMAGE("https://www.abdoslifesciences.com/wp-content/uploads/Wash-Bottle-LDPE-day-20376.jpg", 1)</f>
        <v/>
      </c>
      <c r="D342" s="216">
        <v>2.0</v>
      </c>
      <c r="E342" s="266"/>
    </row>
    <row r="343" ht="45.0" hidden="1" customHeight="1">
      <c r="A343" s="11">
        <v>342.0</v>
      </c>
      <c r="B343" s="93" t="s">
        <v>1192</v>
      </c>
      <c r="C343" s="11" t="str">
        <f>IMAGE("https://5.imimg.com/data5/SI/VL/MY-6819814/multi-volume-adjustable-micropipette.jpg",1)</f>
        <v/>
      </c>
      <c r="D343" s="11">
        <v>1.0</v>
      </c>
      <c r="E343" s="12"/>
    </row>
    <row r="344" ht="45.0" hidden="1" customHeight="1">
      <c r="A344" s="11">
        <v>343.0</v>
      </c>
      <c r="B344" s="93" t="s">
        <v>1196</v>
      </c>
      <c r="C344" s="11" t="str">
        <f>IMAGE("https://5.imimg.com/data5/SELLER/Default/2021/7/IF/DT/PV/116258883/microscope-cover-glass-250x250.JPG",1)</f>
        <v/>
      </c>
      <c r="D344" s="216">
        <v>1.0</v>
      </c>
      <c r="E344" s="12"/>
    </row>
    <row r="345" ht="45.0" hidden="1" customHeight="1">
      <c r="A345" s="11">
        <v>344.0</v>
      </c>
      <c r="B345" s="93" t="s">
        <v>1201</v>
      </c>
      <c r="C345" s="11" t="str">
        <f>IMAGE("https://5.imimg.com/data5/AZ/OD/EC/SELLER-20177713/laboratory-slides-500x500.jpg",1)</f>
        <v/>
      </c>
      <c r="D345" s="216">
        <v>1.0</v>
      </c>
      <c r="E345" s="12"/>
    </row>
    <row r="346" ht="45.0" hidden="1" customHeight="1">
      <c r="A346" s="11">
        <v>345.0</v>
      </c>
      <c r="B346" s="93" t="s">
        <v>1180</v>
      </c>
      <c r="C346" s="11" t="str">
        <f>IMAGE("https://www.domo.in/image/cache/catalog/nHance/LNSS4201/Display-228x228.jpg")</f>
        <v/>
      </c>
      <c r="D346" s="216">
        <v>20.0</v>
      </c>
      <c r="E346" s="12"/>
    </row>
    <row r="347" ht="45.0" hidden="1" customHeight="1">
      <c r="A347" s="11">
        <v>346.0</v>
      </c>
      <c r="B347" s="260" t="s">
        <v>1999</v>
      </c>
      <c r="C347" s="11"/>
      <c r="D347" s="216">
        <v>4.0</v>
      </c>
      <c r="E347" s="12"/>
    </row>
    <row r="348" ht="45.0" hidden="1" customHeight="1">
      <c r="A348" s="11">
        <v>347.0</v>
      </c>
      <c r="B348" s="37" t="s">
        <v>1270</v>
      </c>
      <c r="C348" s="11" t="str">
        <f>IMAGE("https://m.media-amazon.com/images/I/61USTYJ+OPL._SL1500_.jpg",1)</f>
        <v/>
      </c>
      <c r="D348" s="11">
        <v>1.0</v>
      </c>
      <c r="E348" s="12"/>
    </row>
    <row r="349" ht="45.0" hidden="1" customHeight="1">
      <c r="A349" s="11">
        <v>348.0</v>
      </c>
      <c r="B349" s="93" t="s">
        <v>1302</v>
      </c>
      <c r="C349" s="11" t="str">
        <f>IMAGE("https://5.imimg.com/data5/XG/YW/VV/SELLER-219478/hot-plate-round-250x250.jpg",1)</f>
        <v/>
      </c>
      <c r="D349" s="216">
        <v>1.0</v>
      </c>
      <c r="E349" s="12"/>
    </row>
    <row r="350" ht="45.0" hidden="1" customHeight="1">
      <c r="A350" s="11">
        <v>349.0</v>
      </c>
      <c r="B350" s="93" t="s">
        <v>1285</v>
      </c>
      <c r="C350" s="11"/>
      <c r="D350" s="11">
        <v>1.0</v>
      </c>
      <c r="E350" s="12"/>
    </row>
    <row r="351" ht="45.0" hidden="1" customHeight="1">
      <c r="A351" s="11">
        <v>350.0</v>
      </c>
      <c r="B351" s="93" t="s">
        <v>1306</v>
      </c>
      <c r="C351" s="11" t="str">
        <f>IMAGE("https://image.made-in-china.com/202f0j00DeSTmvGBnZpR/Electronic-Weighing-Scale-Digital-Scale-of-High-Precision-HWA-.jpg",1)</f>
        <v/>
      </c>
      <c r="D351" s="216">
        <v>1.0</v>
      </c>
      <c r="E351" s="12"/>
    </row>
    <row r="352" ht="45.0" hidden="1" customHeight="1">
      <c r="A352" s="11">
        <v>351.0</v>
      </c>
      <c r="B352" s="93" t="s">
        <v>1310</v>
      </c>
      <c r="C352" s="11" t="str">
        <f>IMAGE("https://m.media-amazon.com/images/I/71-uBViGV+L._SX522_.jpg",1)</f>
        <v/>
      </c>
      <c r="D352" s="216">
        <v>1.0</v>
      </c>
      <c r="E352" s="12"/>
    </row>
    <row r="353" ht="45.0" hidden="1" customHeight="1">
      <c r="A353" s="11">
        <v>352.0</v>
      </c>
      <c r="B353" s="93" t="s">
        <v>1976</v>
      </c>
      <c r="C353" s="11" t="str">
        <f>IMAGE("https://m.media-amazon.com/images/I/71O3EMayekL.jpg",1)</f>
        <v/>
      </c>
      <c r="D353" s="216">
        <v>20.0</v>
      </c>
      <c r="E353" s="12"/>
    </row>
    <row r="354" ht="45.0" hidden="1" customHeight="1">
      <c r="A354" s="11">
        <v>353.0</v>
      </c>
      <c r="B354" s="93" t="s">
        <v>1314</v>
      </c>
      <c r="C354" s="11" t="str">
        <f>IMAGE("https://m.media-amazon.com/images/I/61MstERkLZL._SL1500_.jpg",1)</f>
        <v/>
      </c>
      <c r="D354" s="11">
        <v>1.0</v>
      </c>
      <c r="E354" s="12"/>
    </row>
    <row r="355" ht="45.0" hidden="1" customHeight="1">
      <c r="A355" s="11">
        <v>354.0</v>
      </c>
      <c r="B355" s="93" t="s">
        <v>1322</v>
      </c>
      <c r="C355" s="11" t="str">
        <f>IMAGE("https://m.media-amazon.com/images/I/61yYBr4qxBL._SL1276_.jpg",1)</f>
        <v/>
      </c>
      <c r="D355" s="216">
        <v>1.0</v>
      </c>
      <c r="E355" s="12"/>
    </row>
    <row r="356" ht="45.0" hidden="1" customHeight="1">
      <c r="A356" s="11">
        <v>355.0</v>
      </c>
      <c r="B356" s="288" t="s">
        <v>2188</v>
      </c>
      <c r="C356" s="275"/>
      <c r="D356" s="290">
        <v>2.0</v>
      </c>
      <c r="E356" s="314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  <c r="AA356" s="276"/>
      <c r="AB356" s="276"/>
      <c r="AC356" s="276"/>
      <c r="AD356" s="276"/>
      <c r="AE356" s="276"/>
      <c r="AF356" s="276"/>
      <c r="AG356" s="276"/>
      <c r="AH356" s="276"/>
      <c r="AI356" s="276"/>
      <c r="AJ356" s="276"/>
      <c r="AK356" s="276"/>
    </row>
    <row r="357" ht="45.0" hidden="1" customHeight="1">
      <c r="A357" s="11">
        <v>356.0</v>
      </c>
      <c r="B357" s="283" t="s">
        <v>2190</v>
      </c>
      <c r="C357" s="275"/>
      <c r="D357" s="285">
        <v>2.0</v>
      </c>
      <c r="E357" s="314"/>
      <c r="F357" s="276"/>
      <c r="G357" s="276"/>
      <c r="H357" s="276"/>
      <c r="I357" s="276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  <c r="Y357" s="276"/>
      <c r="Z357" s="276"/>
      <c r="AA357" s="276"/>
      <c r="AB357" s="276"/>
      <c r="AC357" s="276"/>
      <c r="AD357" s="276"/>
      <c r="AE357" s="276"/>
      <c r="AF357" s="276"/>
      <c r="AG357" s="276"/>
      <c r="AH357" s="276"/>
      <c r="AI357" s="276"/>
      <c r="AJ357" s="276"/>
      <c r="AK357" s="276"/>
    </row>
    <row r="358" ht="45.0" hidden="1" customHeight="1">
      <c r="A358" s="11">
        <v>357.0</v>
      </c>
      <c r="B358" s="296" t="s">
        <v>2191</v>
      </c>
      <c r="C358" s="275"/>
      <c r="D358" s="290">
        <v>1.0</v>
      </c>
      <c r="E358" s="314"/>
      <c r="F358" s="276"/>
      <c r="G358" s="276"/>
      <c r="H358" s="276"/>
      <c r="I358" s="276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  <c r="Y358" s="276"/>
      <c r="Z358" s="276"/>
      <c r="AA358" s="276"/>
      <c r="AB358" s="276"/>
      <c r="AC358" s="276"/>
      <c r="AD358" s="276"/>
      <c r="AE358" s="276"/>
      <c r="AF358" s="276"/>
      <c r="AG358" s="276"/>
      <c r="AH358" s="276"/>
      <c r="AI358" s="276"/>
      <c r="AJ358" s="276"/>
      <c r="AK358" s="276"/>
    </row>
    <row r="359" ht="45.0" hidden="1" customHeight="1">
      <c r="A359" s="11">
        <v>358.0</v>
      </c>
      <c r="B359" s="288" t="s">
        <v>2192</v>
      </c>
      <c r="C359" s="275"/>
      <c r="D359" s="290">
        <v>2.0</v>
      </c>
      <c r="E359" s="314"/>
      <c r="F359" s="276"/>
      <c r="G359" s="276"/>
      <c r="H359" s="276"/>
      <c r="I359" s="276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  <c r="Y359" s="276"/>
      <c r="Z359" s="276"/>
      <c r="AA359" s="276"/>
      <c r="AB359" s="276"/>
      <c r="AC359" s="276"/>
      <c r="AD359" s="276"/>
      <c r="AE359" s="276"/>
      <c r="AF359" s="276"/>
      <c r="AG359" s="276"/>
      <c r="AH359" s="276"/>
      <c r="AI359" s="276"/>
      <c r="AJ359" s="276"/>
      <c r="AK359" s="276"/>
    </row>
    <row r="360" ht="45.0" hidden="1" customHeight="1">
      <c r="A360" s="11">
        <v>359.0</v>
      </c>
      <c r="B360" s="283" t="s">
        <v>2194</v>
      </c>
      <c r="C360" s="275"/>
      <c r="D360" s="285">
        <v>2.0</v>
      </c>
      <c r="E360" s="314"/>
      <c r="F360" s="276"/>
      <c r="G360" s="276"/>
      <c r="H360" s="276"/>
      <c r="I360" s="276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  <c r="AA360" s="276"/>
      <c r="AB360" s="276"/>
      <c r="AC360" s="276"/>
      <c r="AD360" s="276"/>
      <c r="AE360" s="276"/>
      <c r="AF360" s="276"/>
      <c r="AG360" s="276"/>
      <c r="AH360" s="276"/>
      <c r="AI360" s="276"/>
      <c r="AJ360" s="276"/>
      <c r="AK360" s="276"/>
    </row>
    <row r="361" ht="45.0" hidden="1" customHeight="1">
      <c r="A361" s="11">
        <v>360.0</v>
      </c>
      <c r="B361" s="93" t="s">
        <v>345</v>
      </c>
      <c r="C361" s="11" t="str">
        <f>IMAGE("https://m.media-amazon.com/images/I/71NdWJD1LKL._SL1500_.jpg",1)</f>
        <v/>
      </c>
      <c r="D361" s="216">
        <v>2.0</v>
      </c>
      <c r="E361" s="12"/>
    </row>
    <row r="362" ht="45.0" hidden="1" customHeight="1">
      <c r="A362" s="11">
        <v>361.0</v>
      </c>
      <c r="B362" s="93" t="s">
        <v>351</v>
      </c>
      <c r="C362" s="11" t="str">
        <f>IMAGE("https://m.media-amazon.com/images/I/41GBeFsg3kL.jpg",1)</f>
        <v/>
      </c>
      <c r="D362" s="216">
        <v>2.0</v>
      </c>
      <c r="E362" s="12"/>
    </row>
    <row r="363" ht="45.0" hidden="1" customHeight="1">
      <c r="A363" s="11">
        <v>362.0</v>
      </c>
      <c r="B363" s="93" t="s">
        <v>356</v>
      </c>
      <c r="C363" s="11" t="str">
        <f>IMAGE("https://services.ibo.com/media/v1/products/images/db78032d-e5ba-4c4c-bc8f-110fa0021b77/stanley-sta7221xjin-16-pc-drilling-and-screwdriving-set-1.jpeg",1)</f>
        <v/>
      </c>
      <c r="D363" s="216">
        <v>1.0</v>
      </c>
      <c r="E363" s="12"/>
    </row>
    <row r="364" ht="45.0" hidden="1" customHeight="1">
      <c r="A364" s="11">
        <v>363.0</v>
      </c>
      <c r="B364" s="93" t="s">
        <v>360</v>
      </c>
      <c r="C364" s="11" t="str">
        <f>IMAGE("https://cdn.moglix.com/p/Rn8lZopeAizs5-xxlarge.jpg",1)</f>
        <v/>
      </c>
      <c r="D364" s="216">
        <v>1.0</v>
      </c>
      <c r="E364" s="12"/>
    </row>
    <row r="365" ht="45.0" hidden="1" customHeight="1">
      <c r="A365" s="11">
        <v>364.0</v>
      </c>
      <c r="B365" s="93" t="s">
        <v>364</v>
      </c>
      <c r="C365" s="11" t="str">
        <f>IMAGE("https://m.media-amazon.com/images/I/51wli9aWH9S._SL1000_.jpg",1)</f>
        <v/>
      </c>
      <c r="D365" s="216">
        <v>1.0</v>
      </c>
      <c r="E365" s="12"/>
    </row>
    <row r="366" ht="45.0" hidden="1" customHeight="1">
      <c r="A366" s="11">
        <v>365.0</v>
      </c>
      <c r="B366" s="93" t="s">
        <v>368</v>
      </c>
      <c r="C366" s="11" t="str">
        <f>IMAGE("https://res.cloudinary.com/rsc/image/upload/b_rgb:FFFFFF,c_pad,dpr_1.0,f_auto,q_auto,w_700/c_pad,w_700/C4847566-05",1)</f>
        <v/>
      </c>
      <c r="D366" s="216">
        <v>20.0</v>
      </c>
      <c r="E366" s="12"/>
    </row>
    <row r="367" ht="45.0" hidden="1" customHeight="1">
      <c r="A367" s="11">
        <v>366.0</v>
      </c>
      <c r="B367" s="93" t="s">
        <v>372</v>
      </c>
      <c r="C367" s="11" t="str">
        <f>IMAGE("https://5.imimg.com/data5/JR/LF/GK/SELLER-30390418/hacksaw-500x500.png",1)</f>
        <v/>
      </c>
      <c r="D367" s="216">
        <v>2.0</v>
      </c>
      <c r="E367" s="12"/>
    </row>
    <row r="368" ht="45.0" hidden="1" customHeight="1">
      <c r="A368" s="11">
        <v>367.0</v>
      </c>
      <c r="B368" s="93" t="s">
        <v>375</v>
      </c>
      <c r="C368" s="11" t="str">
        <f>IMAGE("https://encrypted-tbn0.gstatic.com/images?q=tbn:ANd9GcRnlFGDkPLnXJSjTXFe7fzQ2kj51brspxAcjVtkmgU5NgUWN5-EbmbNTptE-Y3t4g8lr84&amp;usqp=CAU",1)</f>
        <v/>
      </c>
      <c r="D368" s="216">
        <v>5.0</v>
      </c>
      <c r="E368" s="12"/>
    </row>
    <row r="369" ht="45.0" hidden="1" customHeight="1">
      <c r="A369" s="11">
        <v>368.0</v>
      </c>
      <c r="B369" s="93" t="s">
        <v>379</v>
      </c>
      <c r="C369" s="11" t="str">
        <f>IMAGE("https://www.stanleytools.me/EMEA/PRODUCT/IMAGES/HIRES/STHT0-10194/STHT0-10194_1.jpg?resize=530x530",1)</f>
        <v/>
      </c>
      <c r="D369" s="216">
        <v>2.0</v>
      </c>
      <c r="E369" s="12"/>
    </row>
    <row r="370" ht="45.0" hidden="1" customHeight="1">
      <c r="A370" s="11">
        <v>369.0</v>
      </c>
      <c r="B370" s="93" t="s">
        <v>382</v>
      </c>
      <c r="C370" s="11" t="str">
        <f>IMAGE("https://sc04.alicdn.com/kf/HTB1fK8lXPvuK1Rjy0Faq6x2aVXa5.jpg",1)</f>
        <v/>
      </c>
      <c r="D370" s="216">
        <v>10.0</v>
      </c>
      <c r="E370" s="12"/>
    </row>
    <row r="371" ht="45.0" hidden="1" customHeight="1">
      <c r="A371" s="11">
        <v>370.0</v>
      </c>
      <c r="B371" s="93" t="s">
        <v>1926</v>
      </c>
      <c r="C371" s="11" t="str">
        <f>IMAGE("https://asia.blackanddecker.global/ASIA/PRODUCT/IMAGES/HIRES/RT18KA-B1/RT18KA_1.jpg?resize=530x530", 1)</f>
        <v/>
      </c>
      <c r="D371" s="11">
        <v>1.0</v>
      </c>
      <c r="E371" s="12"/>
    </row>
    <row r="372" ht="45.0" hidden="1" customHeight="1">
      <c r="A372" s="11">
        <v>371.0</v>
      </c>
      <c r="B372" s="93" t="s">
        <v>1927</v>
      </c>
      <c r="C372" s="11" t="str">
        <f>IMAGE("https://m.media-amazon.com/images/I/518vUksgebL._SL1100_.jpg",1)</f>
        <v/>
      </c>
      <c r="D372" s="216">
        <v>5.0</v>
      </c>
      <c r="E372" s="12"/>
    </row>
    <row r="373" ht="45.0" hidden="1" customHeight="1">
      <c r="A373" s="11">
        <v>372.0</v>
      </c>
      <c r="B373" s="93" t="s">
        <v>1928</v>
      </c>
      <c r="C373" s="11" t="str">
        <f>IMAGE("https://rukminim1.flixcart.com/image/416/416/jidg9zk0/art-craft-kit/f/g/a/9mm-snap-off-precision-blades-30-degree-blades-100-blade-pack-1-original-imaf66g6ahvgzem3.jpeg?q=70",1)</f>
        <v/>
      </c>
      <c r="D373" s="216">
        <v>5.0</v>
      </c>
      <c r="E373" s="12"/>
    </row>
    <row r="374" ht="45.0" hidden="1" customHeight="1">
      <c r="A374" s="11">
        <v>373.0</v>
      </c>
      <c r="B374" s="93" t="s">
        <v>1929</v>
      </c>
      <c r="C374" s="11" t="str">
        <f>IMAGE("https://m.media-amazon.com/images/I/31u15vg7r0L._SX342_.jpg",1)</f>
        <v/>
      </c>
      <c r="D374" s="216">
        <v>5.0</v>
      </c>
      <c r="E374" s="12"/>
    </row>
    <row r="375" ht="45.0" hidden="1" customHeight="1">
      <c r="A375" s="11">
        <v>374.0</v>
      </c>
      <c r="B375" s="93" t="s">
        <v>1930</v>
      </c>
      <c r="C375" s="11" t="str">
        <f>IMAGE("https://hydetools.com/wp-content/uploads/2019/09/42046b.jpg",1)</f>
        <v/>
      </c>
      <c r="D375" s="216">
        <v>10.0</v>
      </c>
      <c r="E375" s="12"/>
    </row>
    <row r="376" ht="45.0" hidden="1" customHeight="1">
      <c r="A376" s="11">
        <v>375.0</v>
      </c>
      <c r="B376" s="93" t="s">
        <v>405</v>
      </c>
      <c r="C376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D376" s="216">
        <v>10.0</v>
      </c>
      <c r="E376" s="12"/>
    </row>
    <row r="377" ht="45.0" hidden="1" customHeight="1">
      <c r="A377" s="11">
        <v>376.0</v>
      </c>
      <c r="B377" s="93" t="s">
        <v>408</v>
      </c>
      <c r="C377" s="11" t="str">
        <f>IMAGE("https://cdn-reichelt.de/bilder/web/xxl_ws/I210/LEITZ_54166095.png",1)</f>
        <v/>
      </c>
      <c r="D377" s="216">
        <v>10.0</v>
      </c>
      <c r="E377" s="12"/>
    </row>
    <row r="378" ht="45.0" hidden="1" customHeight="1">
      <c r="A378" s="11">
        <v>377.0</v>
      </c>
      <c r="B378" s="93" t="s">
        <v>1023</v>
      </c>
      <c r="C378" s="11" t="str">
        <f>IMAGE("https://www.shaanstationery.com/image/cache/catalog/kangaro/kangaro-stapler-no-10-corner-view-1000x1000.jpg",1)</f>
        <v/>
      </c>
      <c r="D378" s="216">
        <v>10.0</v>
      </c>
      <c r="E378" s="12"/>
    </row>
    <row r="379" ht="45.0" hidden="1" customHeight="1">
      <c r="A379" s="11">
        <v>378.0</v>
      </c>
      <c r="B379" s="93" t="s">
        <v>1027</v>
      </c>
      <c r="C379" s="11" t="str">
        <f>IMAGE("https://sc04.alicdn.com/kf/HTB1f9mqOZbpK1RjSZFyq6x_qFXaz.jpg",1)</f>
        <v/>
      </c>
      <c r="D379" s="216">
        <v>10.0</v>
      </c>
      <c r="E379" s="12"/>
    </row>
    <row r="380" ht="45.0" hidden="1" customHeight="1">
      <c r="A380" s="11">
        <v>379.0</v>
      </c>
      <c r="B380" s="93" t="s">
        <v>1078</v>
      </c>
      <c r="C380" s="11" t="str">
        <f>IMAGE("https://m.media-amazon.com/images/I/51OTKanSUXL._SL1024_.jpg",1)</f>
        <v/>
      </c>
      <c r="D380" s="216">
        <v>50.0</v>
      </c>
      <c r="E380" s="12"/>
    </row>
    <row r="381" ht="45.0" hidden="1" customHeight="1">
      <c r="A381" s="11">
        <v>380.0</v>
      </c>
      <c r="B381" s="93" t="s">
        <v>1128</v>
      </c>
      <c r="C381" s="11" t="str">
        <f>IMAGE("https://cdn.bmstores.co.uk/images/hpcProductImage/imgFull/369783-stanley-sealant-gun-diy.jpg",1)</f>
        <v/>
      </c>
      <c r="D381" s="216">
        <v>1.0</v>
      </c>
      <c r="E381" s="12"/>
    </row>
    <row r="382" ht="45.0" hidden="1" customHeight="1">
      <c r="A382" s="11">
        <v>381.0</v>
      </c>
      <c r="B382" s="93" t="s">
        <v>1132</v>
      </c>
      <c r="C382" s="11" t="str">
        <f>IMAGE("https://5.imimg.com/data5/SELLER/Default/2020/12/RU/ZP/SZ/45671901/alstone-silicone-sealant-500x500.jpeg",1)</f>
        <v/>
      </c>
      <c r="D382" s="216">
        <v>1.0</v>
      </c>
      <c r="E382" s="266"/>
    </row>
    <row r="383" ht="45.0" hidden="1" customHeight="1">
      <c r="A383" s="11">
        <v>382.0</v>
      </c>
      <c r="B383" s="93" t="s">
        <v>1031</v>
      </c>
      <c r="C383" s="11" t="str">
        <f>IMAGE("https://m.media-amazon.com/images/I/61+L7sYwiBL._SL1500_.jpg",1)</f>
        <v/>
      </c>
      <c r="D383" s="11">
        <v>1.0</v>
      </c>
      <c r="E383" s="12"/>
    </row>
    <row r="384" ht="45.0" hidden="1" customHeight="1">
      <c r="A384" s="11">
        <v>383.0</v>
      </c>
      <c r="B384" s="93" t="s">
        <v>1036</v>
      </c>
      <c r="C384" s="11" t="e">
        <v>#VALUE!</v>
      </c>
      <c r="D384" s="216">
        <v>2.0</v>
      </c>
      <c r="E384" s="12"/>
    </row>
    <row r="385" ht="45.0" hidden="1" customHeight="1">
      <c r="A385" s="11">
        <v>384.0</v>
      </c>
      <c r="B385" s="93" t="s">
        <v>1039</v>
      </c>
      <c r="C385" s="11" t="str">
        <f>IMAGE("https://m.media-amazon.com/images/I/71qyUXJ5i6L._AC_UF1000,1000_QL80_.jpg",1)</f>
        <v/>
      </c>
      <c r="D385" s="216">
        <v>1.0</v>
      </c>
      <c r="E385" s="12"/>
    </row>
    <row r="386" ht="45.0" hidden="1" customHeight="1">
      <c r="A386" s="11">
        <v>385.0</v>
      </c>
      <c r="B386" s="93" t="s">
        <v>1043</v>
      </c>
      <c r="C386" s="11" t="str">
        <f>IMAGE("https://5.imimg.com/data5/TS/AU/MY-11200044/steel-shaft-claw-hammer-500x500.jpg",1)</f>
        <v/>
      </c>
      <c r="D386" s="216">
        <v>1.0</v>
      </c>
      <c r="E386" s="12"/>
    </row>
    <row r="387" ht="45.0" hidden="1" customHeight="1">
      <c r="A387" s="11">
        <v>386.0</v>
      </c>
      <c r="B387" s="93" t="s">
        <v>1047</v>
      </c>
      <c r="C387" s="11" t="str">
        <f>IMAGE("https://5.imimg.com/data5/GU/RT/MY-2970994/bench-clamp.jpg",1)</f>
        <v/>
      </c>
      <c r="D387" s="216">
        <v>1.0</v>
      </c>
      <c r="E387" s="12"/>
    </row>
    <row r="388" ht="45.0" hidden="1" customHeight="1">
      <c r="A388" s="11">
        <v>387.0</v>
      </c>
      <c r="B388" s="93" t="s">
        <v>1051</v>
      </c>
      <c r="C388" s="11" t="str">
        <f>IMAGE("https://images.jdmagicbox.com/quickquotes/images_main/plier-381885296-5n4zf.jpg",1)</f>
        <v/>
      </c>
      <c r="D388" s="216">
        <v>1.0</v>
      </c>
      <c r="E388" s="12"/>
    </row>
    <row r="389" ht="45.0" hidden="1" customHeight="1">
      <c r="A389" s="11">
        <v>388.0</v>
      </c>
      <c r="B389" s="93" t="s">
        <v>1055</v>
      </c>
      <c r="C389" s="11" t="str">
        <f>IMAGE("https://m.media-amazon.com/images/I/613WSFIoSjL._SL1500_.jpg",1)</f>
        <v/>
      </c>
      <c r="D389" s="216">
        <v>1.0</v>
      </c>
      <c r="E389" s="12"/>
    </row>
    <row r="390" ht="45.0" hidden="1" customHeight="1">
      <c r="A390" s="11">
        <v>389.0</v>
      </c>
      <c r="B390" s="93" t="s">
        <v>1059</v>
      </c>
      <c r="C390" s="11" t="str">
        <f>IMAGE("https://in.misumi-ec.com/linked/material/fs/FUJ1/PHOTO/223000817171_001.jpg?$product_main$",1)</f>
        <v/>
      </c>
      <c r="D390" s="216">
        <v>1.0</v>
      </c>
      <c r="E390" s="12"/>
    </row>
    <row r="391" ht="45.0" hidden="1" customHeight="1">
      <c r="A391" s="11">
        <v>390.0</v>
      </c>
      <c r="B391" s="93" t="s">
        <v>1063</v>
      </c>
      <c r="C391" s="11" t="str">
        <f>IMAGE("https://i.ebayimg.com/images/g/QLMAAOSwETxj4~0j/s-l1600.jpg",1)</f>
        <v/>
      </c>
      <c r="D391" s="216">
        <v>2.0</v>
      </c>
      <c r="E391" s="12"/>
    </row>
    <row r="392" ht="45.0" hidden="1" customHeight="1">
      <c r="A392" s="11">
        <v>391.0</v>
      </c>
      <c r="B392" s="93" t="s">
        <v>1067</v>
      </c>
      <c r="C392" s="11" t="str">
        <f>IMAGE("https://res.cloudinary.com/rsc/image/upload/b_rgb:FFFFFF,c_pad,dpr_1.0,f_auto,q_auto,w_700/c_pad,w_700/C1985249-01",1)</f>
        <v/>
      </c>
      <c r="D392" s="216">
        <v>1.0</v>
      </c>
      <c r="E392" s="12"/>
    </row>
    <row r="393" ht="45.0" hidden="1" customHeight="1">
      <c r="A393" s="11">
        <v>392.0</v>
      </c>
      <c r="B393" s="93" t="s">
        <v>1071</v>
      </c>
      <c r="C393" s="11" t="str">
        <f>IMAGE("https://cdn.shopify.com/s/files/1/0064/3412/7939/products/71vpWrfPgFL._SL1000_9c7ae600-0e17-44f0-97b0-7a8fa32a55cc_2048x.jpg?v=1540199513",1)</f>
        <v/>
      </c>
      <c r="D393" s="216">
        <v>10.0</v>
      </c>
      <c r="E393" s="323"/>
      <c r="F393" s="298"/>
    </row>
    <row r="394" ht="45.0" hidden="1" customHeight="1">
      <c r="A394" s="11">
        <v>393.0</v>
      </c>
      <c r="B394" s="93" t="s">
        <v>1075</v>
      </c>
      <c r="C394" s="11" t="str">
        <f>IMAGE("https://cdn.shopify.com/s/files/1/0088/0056/7392/products/71GahpQFYhL._SL1500_1024x.jpg?v=1634034762",1)</f>
        <v/>
      </c>
      <c r="D394" s="216">
        <v>4.0</v>
      </c>
      <c r="E394" s="25"/>
      <c r="F394" s="298"/>
    </row>
    <row r="395" ht="45.0" customHeight="1">
      <c r="A395" s="11">
        <v>394.0</v>
      </c>
      <c r="B395" s="93" t="s">
        <v>1082</v>
      </c>
      <c r="C395" s="12" t="str">
        <f>IMAGE("https://m.media-amazon.com/images/I/41XSpNsGoiL._SL1024_.jpg",1)</f>
        <v/>
      </c>
      <c r="D395" s="216">
        <v>1.0</v>
      </c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  <c r="AD395" s="301"/>
      <c r="AE395" s="301"/>
      <c r="AF395" s="301"/>
      <c r="AG395" s="301"/>
      <c r="AH395" s="301"/>
      <c r="AI395" s="301"/>
      <c r="AJ395" s="301"/>
      <c r="AK395" s="301"/>
    </row>
    <row r="396" ht="45.0" customHeight="1">
      <c r="A396" s="11">
        <v>395.0</v>
      </c>
      <c r="B396" s="93" t="s">
        <v>1094</v>
      </c>
      <c r="C396" s="12" t="str">
        <f>IMAGE("https://m.media-amazon.com/images/I/41pgJCdOd0L._AC_SX522_.jpg", 1)</f>
        <v/>
      </c>
      <c r="D396" s="216">
        <v>2.0</v>
      </c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  <c r="AE396" s="301"/>
      <c r="AF396" s="301"/>
      <c r="AG396" s="301"/>
      <c r="AH396" s="301"/>
      <c r="AI396" s="301"/>
      <c r="AJ396" s="301"/>
      <c r="AK396" s="301"/>
    </row>
    <row r="397" ht="45.0" customHeight="1">
      <c r="A397" s="11">
        <v>396.0</v>
      </c>
      <c r="B397" s="93" t="s">
        <v>1098</v>
      </c>
      <c r="C397" s="12" t="str">
        <f>IMAGE("https://5.imimg.com/data5/UF/DF/MY-45635244/sand-paper-500x500.jpg",1)</f>
        <v/>
      </c>
      <c r="D397" s="216">
        <v>25.0</v>
      </c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  <c r="AD397" s="301"/>
      <c r="AE397" s="301"/>
      <c r="AF397" s="301"/>
      <c r="AG397" s="301"/>
      <c r="AH397" s="301"/>
      <c r="AI397" s="301"/>
      <c r="AJ397" s="301"/>
      <c r="AK397" s="301"/>
    </row>
    <row r="398" ht="45.0" customHeight="1">
      <c r="A398" s="11">
        <v>397.0</v>
      </c>
      <c r="B398" s="93" t="s">
        <v>1101</v>
      </c>
      <c r="C398" s="89" t="e">
        <v>#VALUE!</v>
      </c>
      <c r="D398" s="281">
        <v>2.0</v>
      </c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  <c r="AD398" s="301"/>
      <c r="AE398" s="301"/>
      <c r="AF398" s="301"/>
      <c r="AG398" s="301"/>
      <c r="AH398" s="301"/>
      <c r="AI398" s="301"/>
      <c r="AJ398" s="301"/>
      <c r="AK398" s="301"/>
    </row>
    <row r="399" ht="45.0" customHeight="1">
      <c r="A399" s="11">
        <v>398.0</v>
      </c>
      <c r="B399" s="93" t="s">
        <v>1104</v>
      </c>
      <c r="C399" s="89" t="e">
        <v>#VALUE!</v>
      </c>
      <c r="D399" s="281">
        <v>2.0</v>
      </c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  <c r="AD399" s="301"/>
      <c r="AE399" s="301"/>
      <c r="AF399" s="301"/>
      <c r="AG399" s="301"/>
      <c r="AH399" s="301"/>
      <c r="AI399" s="301"/>
      <c r="AJ399" s="301"/>
      <c r="AK399" s="301"/>
    </row>
    <row r="400" ht="45.0" customHeight="1">
      <c r="A400" s="11">
        <v>399.0</v>
      </c>
      <c r="B400" s="107" t="s">
        <v>1107</v>
      </c>
      <c r="C400" s="89" t="e">
        <v>#VALUE!</v>
      </c>
      <c r="D400" s="281">
        <v>2.0</v>
      </c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  <c r="AD400" s="301"/>
      <c r="AE400" s="301"/>
      <c r="AF400" s="301"/>
      <c r="AG400" s="301"/>
      <c r="AH400" s="301"/>
      <c r="AI400" s="301"/>
      <c r="AJ400" s="301"/>
      <c r="AK400" s="301"/>
    </row>
    <row r="401" ht="45.0" customHeight="1">
      <c r="A401" s="11">
        <v>400.0</v>
      </c>
      <c r="B401" s="107" t="s">
        <v>1110</v>
      </c>
      <c r="C401" s="262" t="e">
        <v>#VALUE!</v>
      </c>
      <c r="D401" s="281">
        <v>2.0</v>
      </c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  <c r="AD401" s="301"/>
      <c r="AE401" s="301"/>
      <c r="AF401" s="301"/>
      <c r="AG401" s="301"/>
      <c r="AH401" s="301"/>
      <c r="AI401" s="301"/>
      <c r="AJ401" s="301"/>
      <c r="AK401" s="301"/>
    </row>
    <row r="402" ht="45.0" customHeight="1">
      <c r="A402" s="11">
        <v>401.0</v>
      </c>
      <c r="B402" s="93" t="s">
        <v>1114</v>
      </c>
      <c r="C402" s="262" t="e">
        <v>#VALUE!</v>
      </c>
      <c r="D402" s="281">
        <v>1.0</v>
      </c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  <c r="AD402" s="301"/>
      <c r="AE402" s="301"/>
      <c r="AF402" s="301"/>
      <c r="AG402" s="301"/>
      <c r="AH402" s="301"/>
      <c r="AI402" s="301"/>
      <c r="AJ402" s="301"/>
      <c r="AK402" s="301"/>
    </row>
    <row r="403" ht="45.0" customHeight="1">
      <c r="A403" s="11">
        <v>402.0</v>
      </c>
      <c r="B403" s="93" t="s">
        <v>1117</v>
      </c>
      <c r="C403" s="262" t="e">
        <v>#VALUE!</v>
      </c>
      <c r="D403" s="281">
        <v>1.0</v>
      </c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  <c r="AD403" s="301"/>
      <c r="AE403" s="301"/>
      <c r="AF403" s="301"/>
      <c r="AG403" s="301"/>
      <c r="AH403" s="301"/>
      <c r="AI403" s="301"/>
      <c r="AJ403" s="301"/>
      <c r="AK403" s="301"/>
    </row>
    <row r="404" ht="45.0" customHeight="1">
      <c r="A404" s="11">
        <v>403.0</v>
      </c>
      <c r="B404" s="93" t="s">
        <v>1121</v>
      </c>
      <c r="C404" s="12" t="str">
        <f>IMAGE("https://5.imimg.com/data5/DH/NE/PV/SELLER-4135781/6-pc-precision-screwdriver-set-500x500.jpg",1)</f>
        <v/>
      </c>
      <c r="D404" s="216">
        <v>1.0</v>
      </c>
      <c r="E404" s="301"/>
      <c r="F404" s="301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  <c r="AC404" s="301"/>
      <c r="AD404" s="301"/>
      <c r="AE404" s="301"/>
      <c r="AF404" s="301"/>
      <c r="AG404" s="301"/>
      <c r="AH404" s="301"/>
      <c r="AI404" s="301"/>
      <c r="AJ404" s="301"/>
      <c r="AK404" s="301"/>
    </row>
    <row r="405" ht="45.0" customHeight="1">
      <c r="A405" s="11">
        <v>404.0</v>
      </c>
      <c r="B405" s="93" t="s">
        <v>1136</v>
      </c>
      <c r="C405" s="12" t="str">
        <f>IMAGE("https://ravimachines.com/wp-content/uploads/2016/07/full_13.jpg",1)</f>
        <v/>
      </c>
      <c r="D405" s="216">
        <v>1.0</v>
      </c>
      <c r="E405" s="301"/>
      <c r="F405" s="301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  <c r="AC405" s="301"/>
      <c r="AD405" s="301"/>
      <c r="AE405" s="301"/>
      <c r="AF405" s="301"/>
      <c r="AG405" s="301"/>
      <c r="AH405" s="301"/>
      <c r="AI405" s="301"/>
      <c r="AJ405" s="301"/>
      <c r="AK405" s="301"/>
    </row>
    <row r="406" ht="45.0" customHeight="1">
      <c r="A406" s="11">
        <v>405.0</v>
      </c>
      <c r="B406" s="217" t="s">
        <v>1140</v>
      </c>
      <c r="C406" s="12" t="str">
        <f>IMAGE("https://m.media-amazon.com/images/I/61O+7azby+L.jpg",1)</f>
        <v/>
      </c>
      <c r="D406" s="11">
        <v>10.0</v>
      </c>
      <c r="E406" s="305"/>
      <c r="F406" s="305"/>
      <c r="G406" s="305"/>
      <c r="H406" s="305"/>
      <c r="I406" s="305"/>
      <c r="J406" s="305"/>
      <c r="K406" s="305"/>
      <c r="L406" s="305"/>
      <c r="M406" s="305"/>
      <c r="N406" s="305"/>
      <c r="O406" s="305"/>
      <c r="P406" s="305"/>
      <c r="Q406" s="305"/>
      <c r="R406" s="305"/>
      <c r="S406" s="305"/>
      <c r="T406" s="305"/>
      <c r="U406" s="305"/>
      <c r="V406" s="305"/>
      <c r="W406" s="305"/>
      <c r="X406" s="305"/>
      <c r="Y406" s="305"/>
      <c r="Z406" s="305"/>
      <c r="AA406" s="305"/>
      <c r="AB406" s="305"/>
      <c r="AC406" s="305"/>
      <c r="AD406" s="305"/>
      <c r="AE406" s="305"/>
      <c r="AF406" s="305"/>
      <c r="AG406" s="305"/>
      <c r="AH406" s="305"/>
      <c r="AI406" s="305"/>
      <c r="AJ406" s="305"/>
      <c r="AK406" s="305"/>
    </row>
    <row r="407" ht="45.0" customHeight="1">
      <c r="A407" s="11">
        <v>406.0</v>
      </c>
      <c r="B407" s="93" t="s">
        <v>1144</v>
      </c>
      <c r="C407" s="12" t="str">
        <f>IMAGE("https://5.imimg.com/data5/SELLER/Default/2021/4/UH/ZY/EE/41301440/machine.jpeg",1)</f>
        <v/>
      </c>
      <c r="D407" s="216">
        <v>1.0</v>
      </c>
      <c r="E407" s="301"/>
      <c r="F407" s="301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  <c r="AC407" s="301"/>
      <c r="AD407" s="301"/>
      <c r="AE407" s="301"/>
      <c r="AF407" s="301"/>
      <c r="AG407" s="301"/>
      <c r="AH407" s="301"/>
      <c r="AI407" s="301"/>
      <c r="AJ407" s="301"/>
      <c r="AK407" s="301"/>
    </row>
    <row r="408" ht="45.0" customHeight="1">
      <c r="A408" s="11">
        <v>407.0</v>
      </c>
      <c r="B408" s="93" t="s">
        <v>1148</v>
      </c>
      <c r="C408" s="12"/>
      <c r="D408" s="216">
        <v>2.0</v>
      </c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  <c r="AD408" s="301"/>
      <c r="AE408" s="301"/>
      <c r="AF408" s="301"/>
      <c r="AG408" s="301"/>
      <c r="AH408" s="301"/>
      <c r="AI408" s="301"/>
      <c r="AJ408" s="301"/>
      <c r="AK408" s="301"/>
    </row>
    <row r="409" ht="45.0" customHeight="1">
      <c r="A409" s="11">
        <v>408.0</v>
      </c>
      <c r="B409" s="93" t="s">
        <v>1151</v>
      </c>
      <c r="C409" s="12" t="str">
        <f>IMAGE("https://5.imimg.com/data5/SELLER/Default/2020/10/KC/AV/BY/25174136/150b-cutter-stripper-250x250.jpg",1)</f>
        <v/>
      </c>
      <c r="D409" s="216">
        <v>10.0</v>
      </c>
      <c r="E409" s="301"/>
      <c r="F409" s="301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  <c r="AC409" s="301"/>
      <c r="AD409" s="301"/>
      <c r="AE409" s="301"/>
      <c r="AF409" s="301"/>
      <c r="AG409" s="301"/>
      <c r="AH409" s="301"/>
      <c r="AI409" s="301"/>
      <c r="AJ409" s="301"/>
      <c r="AK409" s="301"/>
    </row>
    <row r="410" ht="45.0" customHeight="1">
      <c r="A410" s="11">
        <v>409.0</v>
      </c>
      <c r="B410" s="93" t="s">
        <v>1086</v>
      </c>
      <c r="C410" s="12" t="str">
        <f>IMAGE("https://m.media-amazon.com/images/I/513ZkVzGbdL._AC_.jpg", 1)</f>
        <v/>
      </c>
      <c r="D410" s="216">
        <v>2.0</v>
      </c>
      <c r="E410" s="301"/>
      <c r="F410" s="301"/>
      <c r="G410" s="301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  <c r="AB410" s="301"/>
      <c r="AC410" s="301"/>
      <c r="AD410" s="301"/>
      <c r="AE410" s="301"/>
      <c r="AF410" s="301"/>
      <c r="AG410" s="301"/>
      <c r="AH410" s="301"/>
      <c r="AI410" s="301"/>
      <c r="AJ410" s="301"/>
      <c r="AK410" s="301"/>
    </row>
    <row r="411" ht="45.0" customHeight="1">
      <c r="A411" s="11">
        <v>410.0</v>
      </c>
      <c r="B411" s="93" t="s">
        <v>1090</v>
      </c>
      <c r="C411" s="12" t="str">
        <f>IMAGE("https://m.media-amazon.com/images/I/41V47za3aNL.jpg",1)</f>
        <v/>
      </c>
      <c r="D411" s="216">
        <v>2.0</v>
      </c>
      <c r="E411" s="301"/>
      <c r="F411" s="301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  <c r="AC411" s="301"/>
      <c r="AD411" s="301"/>
      <c r="AE411" s="301"/>
      <c r="AF411" s="301"/>
      <c r="AG411" s="301"/>
      <c r="AH411" s="301"/>
      <c r="AI411" s="301"/>
      <c r="AJ411" s="301"/>
      <c r="AK411" s="301"/>
    </row>
    <row r="412" ht="45.0" customHeight="1">
      <c r="A412" s="11">
        <v>411.0</v>
      </c>
      <c r="B412" s="93" t="s">
        <v>1325</v>
      </c>
      <c r="C412" s="12" t="e">
        <v>#VALUE!</v>
      </c>
      <c r="D412" s="216">
        <v>1.0</v>
      </c>
      <c r="E412" s="301"/>
      <c r="F412" s="301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  <c r="AC412" s="301"/>
      <c r="AD412" s="301"/>
      <c r="AE412" s="301"/>
      <c r="AF412" s="301"/>
      <c r="AG412" s="301"/>
      <c r="AH412" s="301"/>
      <c r="AI412" s="301"/>
      <c r="AJ412" s="301"/>
      <c r="AK412" s="301"/>
    </row>
    <row r="413" ht="45.0" customHeight="1">
      <c r="A413" s="11">
        <v>412.0</v>
      </c>
      <c r="B413" s="93" t="s">
        <v>1350</v>
      </c>
      <c r="C413" s="12" t="str">
        <f>IMAGE("https://5.imimg.com/data5/SELLER/Default/2023/1/CR/QN/CU/119456209/b22-cap-punching-tool-1000x1000.jpg",1)</f>
        <v/>
      </c>
      <c r="D413" s="11">
        <v>1.0</v>
      </c>
      <c r="E413" s="301"/>
      <c r="F413" s="301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  <c r="AC413" s="301"/>
      <c r="AD413" s="301"/>
      <c r="AE413" s="301"/>
      <c r="AF413" s="301"/>
      <c r="AG413" s="301"/>
      <c r="AH413" s="301"/>
      <c r="AI413" s="301"/>
      <c r="AJ413" s="301"/>
      <c r="AK413" s="301"/>
    </row>
    <row r="414" ht="45.0" customHeight="1">
      <c r="A414" s="11">
        <v>413.0</v>
      </c>
      <c r="B414" s="93" t="s">
        <v>1354</v>
      </c>
      <c r="C414" s="12" t="str">
        <f>IMAGE("https://m.media-amazon.com/images/I/31xTdt3sfiL.jpg",1)</f>
        <v/>
      </c>
      <c r="D414" s="11">
        <v>1.0</v>
      </c>
      <c r="E414" s="301"/>
      <c r="F414" s="301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  <c r="AC414" s="301"/>
      <c r="AD414" s="301"/>
      <c r="AE414" s="301"/>
      <c r="AF414" s="301"/>
      <c r="AG414" s="301"/>
      <c r="AH414" s="301"/>
      <c r="AI414" s="301"/>
      <c r="AJ414" s="301"/>
      <c r="AK414" s="301"/>
    </row>
    <row r="415" ht="45.0" customHeight="1">
      <c r="A415" s="11">
        <v>414.0</v>
      </c>
      <c r="B415" s="93" t="s">
        <v>1399</v>
      </c>
      <c r="C415" s="12" t="str">
        <f>IMAGE("https://m.media-amazon.com/images/I/41giw5t2ycL.jpg",1)</f>
        <v/>
      </c>
      <c r="D415" s="11">
        <v>1.0</v>
      </c>
      <c r="E415" s="301"/>
      <c r="F415" s="301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  <c r="AC415" s="301"/>
      <c r="AD415" s="301"/>
      <c r="AE415" s="301"/>
      <c r="AF415" s="301"/>
      <c r="AG415" s="301"/>
      <c r="AH415" s="301"/>
      <c r="AI415" s="301"/>
      <c r="AJ415" s="301"/>
      <c r="AK415" s="301"/>
    </row>
    <row r="416" ht="45.0" customHeight="1">
      <c r="A416" s="11">
        <v>415.0</v>
      </c>
      <c r="B416" s="93" t="s">
        <v>1404</v>
      </c>
      <c r="C416" s="12" t="str">
        <f>IMAGE("https://m.media-amazon.com/images/I/71vAZkeQh9L._SL1500_.jpg",1)</f>
        <v/>
      </c>
      <c r="D416" s="11">
        <v>1.0</v>
      </c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  <c r="AC416" s="301"/>
      <c r="AD416" s="301"/>
      <c r="AE416" s="301"/>
      <c r="AF416" s="301"/>
      <c r="AG416" s="301"/>
      <c r="AH416" s="301"/>
      <c r="AI416" s="301"/>
      <c r="AJ416" s="301"/>
      <c r="AK416" s="301"/>
    </row>
    <row r="417" ht="45.0" customHeight="1">
      <c r="A417" s="11">
        <v>416.0</v>
      </c>
      <c r="B417" s="93" t="s">
        <v>1412</v>
      </c>
      <c r="C417" s="12" t="str">
        <f>IMAGE("https://m.media-amazon.com/images/I/61saUYFEn9L._SL1500_.jpg",1)</f>
        <v/>
      </c>
      <c r="D417" s="11">
        <v>5.0</v>
      </c>
      <c r="E417" s="305"/>
      <c r="F417" s="305"/>
      <c r="G417" s="305"/>
      <c r="H417" s="305"/>
      <c r="I417" s="305"/>
      <c r="J417" s="305"/>
      <c r="K417" s="305"/>
      <c r="L417" s="305"/>
      <c r="M417" s="305"/>
      <c r="N417" s="305"/>
      <c r="O417" s="305"/>
      <c r="P417" s="305"/>
      <c r="Q417" s="305"/>
      <c r="R417" s="305"/>
      <c r="S417" s="305"/>
      <c r="T417" s="305"/>
      <c r="U417" s="305"/>
      <c r="V417" s="305"/>
      <c r="W417" s="305"/>
      <c r="X417" s="305"/>
      <c r="Y417" s="305"/>
      <c r="Z417" s="305"/>
      <c r="AA417" s="305"/>
      <c r="AB417" s="305"/>
      <c r="AC417" s="305"/>
      <c r="AD417" s="305"/>
      <c r="AE417" s="305"/>
      <c r="AF417" s="305"/>
      <c r="AG417" s="305"/>
      <c r="AH417" s="305"/>
      <c r="AI417" s="305"/>
      <c r="AJ417" s="305"/>
      <c r="AK417" s="305"/>
    </row>
    <row r="418" ht="45.0" customHeight="1">
      <c r="A418" s="11">
        <v>417.0</v>
      </c>
      <c r="B418" s="93" t="s">
        <v>1416</v>
      </c>
      <c r="C418" s="12" t="str">
        <f>IMAGE("https://m.media-amazon.com/images/I/61zRix8Lt0L._SL1500_.jpg",1)</f>
        <v/>
      </c>
      <c r="D418" s="11">
        <v>1.0</v>
      </c>
      <c r="E418" s="301"/>
      <c r="F418" s="301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  <c r="AC418" s="301"/>
      <c r="AD418" s="301"/>
      <c r="AE418" s="301"/>
      <c r="AF418" s="301"/>
      <c r="AG418" s="301"/>
      <c r="AH418" s="301"/>
      <c r="AI418" s="301"/>
      <c r="AJ418" s="301"/>
      <c r="AK418" s="301"/>
    </row>
    <row r="419" ht="45.0" customHeight="1">
      <c r="A419" s="11">
        <v>418.0</v>
      </c>
      <c r="B419" s="93" t="s">
        <v>1611</v>
      </c>
      <c r="C419" s="12" t="str">
        <f>IMAGE("https://delhi6online.in/cdn/shop/products/S1_800x.jpg?v=1545883083.jpg",1)</f>
        <v/>
      </c>
      <c r="D419" s="11">
        <v>5.0</v>
      </c>
      <c r="E419" s="301"/>
      <c r="F419" s="301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  <c r="AC419" s="301"/>
      <c r="AD419" s="301"/>
      <c r="AE419" s="301"/>
      <c r="AF419" s="301"/>
      <c r="AG419" s="301"/>
      <c r="AH419" s="301"/>
      <c r="AI419" s="301"/>
      <c r="AJ419" s="301"/>
      <c r="AK419" s="301"/>
    </row>
    <row r="420" ht="45.0" customHeight="1">
      <c r="A420" s="11">
        <v>419.0</v>
      </c>
      <c r="B420" s="93" t="s">
        <v>1615</v>
      </c>
      <c r="C420" s="12" t="str">
        <f>IMAGE("https://4.imimg.com/data4/JF/WX/MY-2704359/thread-cutter-1000x1000.jpg",1)</f>
        <v/>
      </c>
      <c r="D420" s="11">
        <v>5.0</v>
      </c>
      <c r="E420" s="301"/>
      <c r="F420" s="301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  <c r="AC420" s="301"/>
      <c r="AD420" s="301"/>
      <c r="AE420" s="301"/>
      <c r="AF420" s="301"/>
      <c r="AG420" s="301"/>
      <c r="AH420" s="301"/>
      <c r="AI420" s="301"/>
      <c r="AJ420" s="301"/>
      <c r="AK420" s="301"/>
    </row>
    <row r="421" ht="45.0" customHeight="1">
      <c r="A421" s="12"/>
      <c r="B421" s="37"/>
      <c r="C421" s="12"/>
      <c r="D421" s="12"/>
      <c r="E421" s="301"/>
      <c r="F421" s="301"/>
      <c r="G421" s="301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  <c r="AB421" s="301"/>
      <c r="AC421" s="301"/>
      <c r="AD421" s="301"/>
      <c r="AE421" s="301"/>
      <c r="AF421" s="301"/>
      <c r="AG421" s="301"/>
      <c r="AH421" s="301"/>
      <c r="AI421" s="301"/>
      <c r="AJ421" s="301"/>
      <c r="AK421" s="301"/>
    </row>
    <row r="422" ht="45.0" customHeight="1">
      <c r="A422" s="12"/>
      <c r="B422" s="37"/>
      <c r="C422" s="12"/>
      <c r="D422" s="12"/>
      <c r="E422" s="301"/>
      <c r="F422" s="301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  <c r="AC422" s="301"/>
      <c r="AD422" s="301"/>
      <c r="AE422" s="301"/>
      <c r="AF422" s="301"/>
      <c r="AG422" s="301"/>
      <c r="AH422" s="301"/>
      <c r="AI422" s="301"/>
      <c r="AJ422" s="301"/>
      <c r="AK422" s="301"/>
    </row>
    <row r="423" ht="45.0" customHeight="1">
      <c r="A423" s="12"/>
      <c r="B423" s="37"/>
      <c r="C423" s="12"/>
      <c r="D423" s="12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  <c r="AC423" s="301"/>
      <c r="AD423" s="301"/>
      <c r="AE423" s="301"/>
      <c r="AF423" s="301"/>
      <c r="AG423" s="301"/>
      <c r="AH423" s="301"/>
      <c r="AI423" s="301"/>
      <c r="AJ423" s="301"/>
      <c r="AK423" s="301"/>
    </row>
    <row r="424" ht="45.0" customHeight="1">
      <c r="A424" s="12"/>
      <c r="B424" s="37"/>
      <c r="C424" s="12"/>
      <c r="D424" s="12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  <c r="AC424" s="301"/>
      <c r="AD424" s="301"/>
      <c r="AE424" s="301"/>
      <c r="AF424" s="301"/>
      <c r="AG424" s="301"/>
      <c r="AH424" s="301"/>
      <c r="AI424" s="301"/>
      <c r="AJ424" s="301"/>
      <c r="AK424" s="301"/>
    </row>
    <row r="425" ht="45.0" customHeight="1">
      <c r="A425" s="12"/>
      <c r="B425" s="37"/>
      <c r="C425" s="12"/>
      <c r="D425" s="12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  <c r="AC425" s="301"/>
      <c r="AD425" s="301"/>
      <c r="AE425" s="301"/>
      <c r="AF425" s="301"/>
      <c r="AG425" s="301"/>
      <c r="AH425" s="301"/>
      <c r="AI425" s="301"/>
      <c r="AJ425" s="301"/>
      <c r="AK425" s="301"/>
    </row>
    <row r="426" ht="45.0" customHeight="1">
      <c r="A426" s="12"/>
      <c r="B426" s="37"/>
      <c r="C426" s="12"/>
      <c r="D426" s="12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  <c r="AC426" s="301"/>
      <c r="AD426" s="301"/>
      <c r="AE426" s="301"/>
      <c r="AF426" s="301"/>
      <c r="AG426" s="301"/>
      <c r="AH426" s="301"/>
      <c r="AI426" s="301"/>
      <c r="AJ426" s="301"/>
      <c r="AK426" s="301"/>
    </row>
    <row r="427" ht="45.0" customHeight="1">
      <c r="A427" s="12"/>
      <c r="B427" s="37"/>
      <c r="C427" s="12"/>
      <c r="D427" s="12"/>
      <c r="E427" s="301"/>
      <c r="F427" s="301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  <c r="AC427" s="301"/>
      <c r="AD427" s="301"/>
      <c r="AE427" s="301"/>
      <c r="AF427" s="301"/>
      <c r="AG427" s="301"/>
      <c r="AH427" s="301"/>
      <c r="AI427" s="301"/>
      <c r="AJ427" s="301"/>
      <c r="AK427" s="301"/>
    </row>
    <row r="428" ht="45.0" customHeight="1">
      <c r="A428" s="12"/>
      <c r="B428" s="37"/>
      <c r="C428" s="12"/>
      <c r="D428" s="12"/>
      <c r="E428" s="301"/>
      <c r="F428" s="301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  <c r="AC428" s="301"/>
      <c r="AD428" s="301"/>
      <c r="AE428" s="301"/>
      <c r="AF428" s="301"/>
      <c r="AG428" s="301"/>
      <c r="AH428" s="301"/>
      <c r="AI428" s="301"/>
      <c r="AJ428" s="301"/>
      <c r="AK428" s="301"/>
    </row>
    <row r="429" ht="45.0" customHeight="1">
      <c r="A429" s="12"/>
      <c r="B429" s="37"/>
      <c r="C429" s="12"/>
      <c r="D429" s="12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  <c r="AB429" s="301"/>
      <c r="AC429" s="301"/>
      <c r="AD429" s="301"/>
      <c r="AE429" s="301"/>
      <c r="AF429" s="301"/>
      <c r="AG429" s="301"/>
      <c r="AH429" s="301"/>
      <c r="AI429" s="301"/>
      <c r="AJ429" s="301"/>
      <c r="AK429" s="301"/>
    </row>
    <row r="430" ht="45.0" customHeight="1">
      <c r="A430" s="12"/>
      <c r="B430" s="37"/>
      <c r="C430" s="12"/>
      <c r="D430" s="12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  <c r="AB430" s="301"/>
      <c r="AC430" s="301"/>
      <c r="AD430" s="301"/>
      <c r="AE430" s="301"/>
      <c r="AF430" s="301"/>
      <c r="AG430" s="301"/>
      <c r="AH430" s="301"/>
      <c r="AI430" s="301"/>
      <c r="AJ430" s="301"/>
      <c r="AK430" s="301"/>
    </row>
    <row r="431" ht="45.0" customHeight="1">
      <c r="A431" s="12"/>
      <c r="B431" s="37"/>
      <c r="C431" s="12"/>
      <c r="D431" s="12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  <c r="AC431" s="301"/>
      <c r="AD431" s="301"/>
      <c r="AE431" s="301"/>
      <c r="AF431" s="301"/>
      <c r="AG431" s="301"/>
      <c r="AH431" s="301"/>
      <c r="AI431" s="301"/>
      <c r="AJ431" s="301"/>
      <c r="AK431" s="301"/>
    </row>
    <row r="432" ht="45.0" customHeight="1">
      <c r="A432" s="12"/>
      <c r="B432" s="37"/>
      <c r="C432" s="12"/>
      <c r="D432" s="12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  <c r="AC432" s="301"/>
      <c r="AD432" s="301"/>
      <c r="AE432" s="301"/>
      <c r="AF432" s="301"/>
      <c r="AG432" s="301"/>
      <c r="AH432" s="301"/>
      <c r="AI432" s="301"/>
      <c r="AJ432" s="301"/>
      <c r="AK432" s="301"/>
    </row>
    <row r="433" ht="45.0" customHeight="1">
      <c r="A433" s="12"/>
      <c r="B433" s="37"/>
      <c r="C433" s="12"/>
      <c r="D433" s="12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  <c r="AC433" s="301"/>
      <c r="AD433" s="301"/>
      <c r="AE433" s="301"/>
      <c r="AF433" s="301"/>
      <c r="AG433" s="301"/>
      <c r="AH433" s="301"/>
      <c r="AI433" s="301"/>
      <c r="AJ433" s="301"/>
      <c r="AK433" s="301"/>
    </row>
    <row r="434" ht="45.0" customHeight="1">
      <c r="A434" s="12"/>
      <c r="B434" s="37"/>
      <c r="C434" s="12"/>
      <c r="D434" s="12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  <c r="AC434" s="301"/>
      <c r="AD434" s="301"/>
      <c r="AE434" s="301"/>
      <c r="AF434" s="301"/>
      <c r="AG434" s="301"/>
      <c r="AH434" s="301"/>
      <c r="AI434" s="301"/>
      <c r="AJ434" s="301"/>
      <c r="AK434" s="301"/>
    </row>
    <row r="435" ht="45.0" customHeight="1">
      <c r="A435" s="12"/>
      <c r="B435" s="37"/>
      <c r="C435" s="12"/>
      <c r="D435" s="12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  <c r="AC435" s="301"/>
      <c r="AD435" s="301"/>
      <c r="AE435" s="301"/>
      <c r="AF435" s="301"/>
      <c r="AG435" s="301"/>
      <c r="AH435" s="301"/>
      <c r="AI435" s="301"/>
      <c r="AJ435" s="301"/>
      <c r="AK435" s="301"/>
    </row>
    <row r="436" ht="45.0" customHeight="1">
      <c r="A436" s="12"/>
      <c r="B436" s="37"/>
      <c r="C436" s="12"/>
      <c r="D436" s="12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  <c r="AC436" s="301"/>
      <c r="AD436" s="301"/>
      <c r="AE436" s="301"/>
      <c r="AF436" s="301"/>
      <c r="AG436" s="301"/>
      <c r="AH436" s="301"/>
      <c r="AI436" s="301"/>
      <c r="AJ436" s="301"/>
      <c r="AK436" s="301"/>
    </row>
    <row r="437" ht="45.0" customHeight="1">
      <c r="A437" s="12"/>
      <c r="B437" s="37"/>
      <c r="C437" s="12"/>
      <c r="D437" s="12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  <c r="AC437" s="301"/>
      <c r="AD437" s="301"/>
      <c r="AE437" s="301"/>
      <c r="AF437" s="301"/>
      <c r="AG437" s="301"/>
      <c r="AH437" s="301"/>
      <c r="AI437" s="301"/>
      <c r="AJ437" s="301"/>
      <c r="AK437" s="301"/>
    </row>
    <row r="438" ht="45.0" customHeight="1">
      <c r="A438" s="12"/>
      <c r="B438" s="37"/>
      <c r="C438" s="12"/>
      <c r="D438" s="12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  <c r="AC438" s="301"/>
      <c r="AD438" s="301"/>
      <c r="AE438" s="301"/>
      <c r="AF438" s="301"/>
      <c r="AG438" s="301"/>
      <c r="AH438" s="301"/>
      <c r="AI438" s="301"/>
      <c r="AJ438" s="301"/>
      <c r="AK438" s="301"/>
    </row>
    <row r="439" ht="45.0" customHeight="1">
      <c r="A439" s="12"/>
      <c r="B439" s="37"/>
      <c r="C439" s="12"/>
      <c r="D439" s="12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  <c r="AD439" s="301"/>
      <c r="AE439" s="301"/>
      <c r="AF439" s="301"/>
      <c r="AG439" s="301"/>
      <c r="AH439" s="301"/>
      <c r="AI439" s="301"/>
      <c r="AJ439" s="301"/>
      <c r="AK439" s="301"/>
    </row>
    <row r="440" ht="45.0" customHeight="1">
      <c r="A440" s="12"/>
      <c r="B440" s="37"/>
      <c r="C440" s="12"/>
      <c r="D440" s="12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  <c r="AB440" s="301"/>
      <c r="AC440" s="301"/>
      <c r="AD440" s="301"/>
      <c r="AE440" s="301"/>
      <c r="AF440" s="301"/>
      <c r="AG440" s="301"/>
      <c r="AH440" s="301"/>
      <c r="AI440" s="301"/>
      <c r="AJ440" s="301"/>
      <c r="AK440" s="301"/>
    </row>
    <row r="441" ht="45.0" customHeight="1">
      <c r="A441" s="12"/>
      <c r="B441" s="37"/>
      <c r="C441" s="12"/>
      <c r="D441" s="12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  <c r="AC441" s="301"/>
      <c r="AD441" s="301"/>
      <c r="AE441" s="301"/>
      <c r="AF441" s="301"/>
      <c r="AG441" s="301"/>
      <c r="AH441" s="301"/>
      <c r="AI441" s="301"/>
      <c r="AJ441" s="301"/>
      <c r="AK441" s="301"/>
    </row>
    <row r="442" ht="45.0" customHeight="1">
      <c r="A442" s="12"/>
      <c r="B442" s="37"/>
      <c r="C442" s="12"/>
      <c r="D442" s="12"/>
      <c r="E442" s="301"/>
      <c r="F442" s="301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  <c r="AC442" s="301"/>
      <c r="AD442" s="301"/>
      <c r="AE442" s="301"/>
      <c r="AF442" s="301"/>
      <c r="AG442" s="301"/>
      <c r="AH442" s="301"/>
      <c r="AI442" s="301"/>
      <c r="AJ442" s="301"/>
      <c r="AK442" s="301"/>
    </row>
    <row r="443" ht="45.0" customHeight="1">
      <c r="A443" s="12"/>
      <c r="B443" s="37"/>
      <c r="C443" s="12"/>
      <c r="D443" s="12"/>
      <c r="E443" s="301"/>
      <c r="F443" s="301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  <c r="AC443" s="301"/>
      <c r="AD443" s="301"/>
      <c r="AE443" s="301"/>
      <c r="AF443" s="301"/>
      <c r="AG443" s="301"/>
      <c r="AH443" s="301"/>
      <c r="AI443" s="301"/>
      <c r="AJ443" s="301"/>
      <c r="AK443" s="301"/>
    </row>
    <row r="444" ht="45.0" customHeight="1">
      <c r="A444" s="12"/>
      <c r="B444" s="37"/>
      <c r="C444" s="12"/>
      <c r="D444" s="12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  <c r="AC444" s="301"/>
      <c r="AD444" s="301"/>
      <c r="AE444" s="301"/>
      <c r="AF444" s="301"/>
      <c r="AG444" s="301"/>
      <c r="AH444" s="301"/>
      <c r="AI444" s="301"/>
      <c r="AJ444" s="301"/>
      <c r="AK444" s="301"/>
    </row>
    <row r="445" ht="45.0" customHeight="1">
      <c r="A445" s="12"/>
      <c r="B445" s="37"/>
      <c r="C445" s="12"/>
      <c r="D445" s="12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  <c r="AC445" s="301"/>
      <c r="AD445" s="301"/>
      <c r="AE445" s="301"/>
      <c r="AF445" s="301"/>
      <c r="AG445" s="301"/>
      <c r="AH445" s="301"/>
      <c r="AI445" s="301"/>
      <c r="AJ445" s="301"/>
      <c r="AK445" s="301"/>
    </row>
    <row r="446" ht="45.0" customHeight="1">
      <c r="A446" s="12"/>
      <c r="B446" s="37"/>
      <c r="C446" s="12"/>
      <c r="D446" s="12"/>
      <c r="E446" s="301"/>
      <c r="F446" s="301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  <c r="AC446" s="301"/>
      <c r="AD446" s="301"/>
      <c r="AE446" s="301"/>
      <c r="AF446" s="301"/>
      <c r="AG446" s="301"/>
      <c r="AH446" s="301"/>
      <c r="AI446" s="301"/>
      <c r="AJ446" s="301"/>
      <c r="AK446" s="301"/>
    </row>
    <row r="447" ht="45.0" customHeight="1">
      <c r="A447" s="12"/>
      <c r="B447" s="37"/>
      <c r="C447" s="12"/>
      <c r="D447" s="12"/>
      <c r="E447" s="301"/>
      <c r="F447" s="301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  <c r="AC447" s="301"/>
      <c r="AD447" s="301"/>
      <c r="AE447" s="301"/>
      <c r="AF447" s="301"/>
      <c r="AG447" s="301"/>
      <c r="AH447" s="301"/>
      <c r="AI447" s="301"/>
      <c r="AJ447" s="301"/>
      <c r="AK447" s="301"/>
    </row>
    <row r="448" ht="45.0" customHeight="1">
      <c r="A448" s="12"/>
      <c r="B448" s="37"/>
      <c r="C448" s="12"/>
      <c r="D448" s="12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  <c r="AC448" s="301"/>
      <c r="AD448" s="301"/>
      <c r="AE448" s="301"/>
      <c r="AF448" s="301"/>
      <c r="AG448" s="301"/>
      <c r="AH448" s="301"/>
      <c r="AI448" s="301"/>
      <c r="AJ448" s="301"/>
      <c r="AK448" s="301"/>
    </row>
    <row r="449" ht="45.0" customHeight="1">
      <c r="A449" s="12"/>
      <c r="B449" s="37"/>
      <c r="C449" s="12"/>
      <c r="D449" s="12"/>
      <c r="E449" s="301"/>
      <c r="F449" s="301"/>
      <c r="G449" s="301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  <c r="AC449" s="301"/>
      <c r="AD449" s="301"/>
      <c r="AE449" s="301"/>
      <c r="AF449" s="301"/>
      <c r="AG449" s="301"/>
      <c r="AH449" s="301"/>
      <c r="AI449" s="301"/>
      <c r="AJ449" s="301"/>
      <c r="AK449" s="301"/>
    </row>
    <row r="450" ht="45.0" customHeight="1">
      <c r="A450" s="12"/>
      <c r="B450" s="37"/>
      <c r="C450" s="12"/>
      <c r="D450" s="12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  <c r="AC450" s="301"/>
      <c r="AD450" s="301"/>
      <c r="AE450" s="301"/>
      <c r="AF450" s="301"/>
      <c r="AG450" s="301"/>
      <c r="AH450" s="301"/>
      <c r="AI450" s="301"/>
      <c r="AJ450" s="301"/>
      <c r="AK450" s="301"/>
    </row>
    <row r="451" ht="45.0" customHeight="1">
      <c r="A451" s="12"/>
      <c r="B451" s="37"/>
      <c r="C451" s="12"/>
      <c r="D451" s="12"/>
      <c r="E451" s="301"/>
      <c r="F451" s="301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  <c r="AC451" s="301"/>
      <c r="AD451" s="301"/>
      <c r="AE451" s="301"/>
      <c r="AF451" s="301"/>
      <c r="AG451" s="301"/>
      <c r="AH451" s="301"/>
      <c r="AI451" s="301"/>
      <c r="AJ451" s="301"/>
      <c r="AK451" s="301"/>
    </row>
    <row r="452" ht="45.0" customHeight="1">
      <c r="A452" s="12"/>
      <c r="B452" s="37"/>
      <c r="C452" s="12"/>
      <c r="D452" s="12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  <c r="AC452" s="301"/>
      <c r="AD452" s="301"/>
      <c r="AE452" s="301"/>
      <c r="AF452" s="301"/>
      <c r="AG452" s="301"/>
      <c r="AH452" s="301"/>
      <c r="AI452" s="301"/>
      <c r="AJ452" s="301"/>
      <c r="AK452" s="301"/>
    </row>
    <row r="453" ht="45.0" customHeight="1">
      <c r="A453" s="12"/>
      <c r="B453" s="37"/>
      <c r="C453" s="12"/>
      <c r="D453" s="12"/>
      <c r="E453" s="301"/>
      <c r="F453" s="301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  <c r="AC453" s="301"/>
      <c r="AD453" s="301"/>
      <c r="AE453" s="301"/>
      <c r="AF453" s="301"/>
      <c r="AG453" s="301"/>
      <c r="AH453" s="301"/>
      <c r="AI453" s="301"/>
      <c r="AJ453" s="301"/>
      <c r="AK453" s="301"/>
    </row>
    <row r="454" ht="45.0" customHeight="1">
      <c r="A454" s="12"/>
      <c r="B454" s="37"/>
      <c r="C454" s="12"/>
      <c r="D454" s="12"/>
      <c r="E454" s="301"/>
      <c r="F454" s="301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  <c r="AC454" s="301"/>
      <c r="AD454" s="301"/>
      <c r="AE454" s="301"/>
      <c r="AF454" s="301"/>
      <c r="AG454" s="301"/>
      <c r="AH454" s="301"/>
      <c r="AI454" s="301"/>
      <c r="AJ454" s="301"/>
      <c r="AK454" s="301"/>
    </row>
    <row r="455" ht="45.0" customHeight="1">
      <c r="A455" s="12"/>
      <c r="B455" s="37"/>
      <c r="C455" s="12"/>
      <c r="D455" s="12"/>
      <c r="E455" s="301"/>
      <c r="F455" s="301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  <c r="AB455" s="301"/>
      <c r="AC455" s="301"/>
      <c r="AD455" s="301"/>
      <c r="AE455" s="301"/>
      <c r="AF455" s="301"/>
      <c r="AG455" s="301"/>
      <c r="AH455" s="301"/>
      <c r="AI455" s="301"/>
      <c r="AJ455" s="301"/>
      <c r="AK455" s="301"/>
    </row>
    <row r="456" ht="45.0" customHeight="1">
      <c r="A456" s="12"/>
      <c r="B456" s="37"/>
      <c r="C456" s="12"/>
      <c r="D456" s="12"/>
      <c r="E456" s="301"/>
      <c r="F456" s="301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  <c r="AB456" s="301"/>
      <c r="AC456" s="301"/>
      <c r="AD456" s="301"/>
      <c r="AE456" s="301"/>
      <c r="AF456" s="301"/>
      <c r="AG456" s="301"/>
      <c r="AH456" s="301"/>
      <c r="AI456" s="301"/>
      <c r="AJ456" s="301"/>
      <c r="AK456" s="301"/>
    </row>
    <row r="457" ht="45.0" customHeight="1">
      <c r="A457" s="12"/>
      <c r="B457" s="37"/>
      <c r="C457" s="12"/>
      <c r="D457" s="12"/>
      <c r="E457" s="301"/>
      <c r="F457" s="301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  <c r="AB457" s="301"/>
      <c r="AC457" s="301"/>
      <c r="AD457" s="301"/>
      <c r="AE457" s="301"/>
      <c r="AF457" s="301"/>
      <c r="AG457" s="301"/>
      <c r="AH457" s="301"/>
      <c r="AI457" s="301"/>
      <c r="AJ457" s="301"/>
      <c r="AK457" s="301"/>
    </row>
    <row r="458" ht="45.0" customHeight="1">
      <c r="A458" s="12"/>
      <c r="B458" s="37"/>
      <c r="C458" s="12"/>
      <c r="D458" s="12"/>
      <c r="E458" s="301"/>
      <c r="F458" s="301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  <c r="AB458" s="301"/>
      <c r="AC458" s="301"/>
      <c r="AD458" s="301"/>
      <c r="AE458" s="301"/>
      <c r="AF458" s="301"/>
      <c r="AG458" s="301"/>
      <c r="AH458" s="301"/>
      <c r="AI458" s="301"/>
      <c r="AJ458" s="301"/>
      <c r="AK458" s="301"/>
    </row>
    <row r="459" ht="45.0" customHeight="1">
      <c r="A459" s="12"/>
      <c r="B459" s="37"/>
      <c r="C459" s="12"/>
      <c r="D459" s="12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  <c r="AB459" s="301"/>
      <c r="AC459" s="301"/>
      <c r="AD459" s="301"/>
      <c r="AE459" s="301"/>
      <c r="AF459" s="301"/>
      <c r="AG459" s="301"/>
      <c r="AH459" s="301"/>
      <c r="AI459" s="301"/>
      <c r="AJ459" s="301"/>
      <c r="AK459" s="301"/>
    </row>
    <row r="460" ht="45.0" customHeight="1">
      <c r="A460" s="12"/>
      <c r="B460" s="37"/>
      <c r="C460" s="12"/>
      <c r="D460" s="12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  <c r="AC460" s="301"/>
      <c r="AD460" s="301"/>
      <c r="AE460" s="301"/>
      <c r="AF460" s="301"/>
      <c r="AG460" s="301"/>
      <c r="AH460" s="301"/>
      <c r="AI460" s="301"/>
      <c r="AJ460" s="301"/>
      <c r="AK460" s="301"/>
    </row>
    <row r="461" ht="45.0" customHeight="1">
      <c r="A461" s="12"/>
      <c r="B461" s="37"/>
      <c r="C461" s="12"/>
      <c r="D461" s="12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  <c r="AC461" s="301"/>
      <c r="AD461" s="301"/>
      <c r="AE461" s="301"/>
      <c r="AF461" s="301"/>
      <c r="AG461" s="301"/>
      <c r="AH461" s="301"/>
      <c r="AI461" s="301"/>
      <c r="AJ461" s="301"/>
      <c r="AK461" s="301"/>
    </row>
    <row r="462" ht="45.0" customHeight="1">
      <c r="A462" s="12"/>
      <c r="B462" s="37"/>
      <c r="C462" s="12"/>
      <c r="D462" s="12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  <c r="AC462" s="301"/>
      <c r="AD462" s="301"/>
      <c r="AE462" s="301"/>
      <c r="AF462" s="301"/>
      <c r="AG462" s="301"/>
      <c r="AH462" s="301"/>
      <c r="AI462" s="301"/>
      <c r="AJ462" s="301"/>
      <c r="AK462" s="301"/>
    </row>
    <row r="463" ht="45.0" customHeight="1">
      <c r="A463" s="12"/>
      <c r="B463" s="37"/>
      <c r="C463" s="12"/>
      <c r="D463" s="12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  <c r="AC463" s="301"/>
      <c r="AD463" s="301"/>
      <c r="AE463" s="301"/>
      <c r="AF463" s="301"/>
      <c r="AG463" s="301"/>
      <c r="AH463" s="301"/>
      <c r="AI463" s="301"/>
      <c r="AJ463" s="301"/>
      <c r="AK463" s="301"/>
    </row>
    <row r="464" ht="45.0" customHeight="1">
      <c r="A464" s="12"/>
      <c r="B464" s="37"/>
      <c r="C464" s="12"/>
      <c r="D464" s="12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  <c r="AC464" s="301"/>
      <c r="AD464" s="301"/>
      <c r="AE464" s="301"/>
      <c r="AF464" s="301"/>
      <c r="AG464" s="301"/>
      <c r="AH464" s="301"/>
      <c r="AI464" s="301"/>
      <c r="AJ464" s="301"/>
      <c r="AK464" s="301"/>
    </row>
    <row r="465" ht="45.0" customHeight="1">
      <c r="A465" s="12"/>
      <c r="B465" s="37"/>
      <c r="C465" s="12"/>
      <c r="D465" s="12"/>
      <c r="E465" s="305"/>
      <c r="F465" s="305"/>
      <c r="G465" s="305"/>
      <c r="H465" s="305"/>
      <c r="I465" s="305"/>
      <c r="J465" s="305"/>
      <c r="K465" s="305"/>
      <c r="L465" s="305"/>
      <c r="M465" s="305"/>
      <c r="N465" s="305"/>
      <c r="O465" s="305"/>
      <c r="P465" s="305"/>
      <c r="Q465" s="305"/>
      <c r="R465" s="305"/>
      <c r="S465" s="305"/>
      <c r="T465" s="305"/>
      <c r="U465" s="305"/>
      <c r="V465" s="305"/>
      <c r="W465" s="305"/>
      <c r="X465" s="305"/>
      <c r="Y465" s="305"/>
      <c r="Z465" s="305"/>
      <c r="AA465" s="305"/>
      <c r="AB465" s="305"/>
      <c r="AC465" s="305"/>
      <c r="AD465" s="305"/>
      <c r="AE465" s="305"/>
      <c r="AF465" s="305"/>
      <c r="AG465" s="305"/>
      <c r="AH465" s="305"/>
      <c r="AI465" s="305"/>
      <c r="AJ465" s="305"/>
      <c r="AK465" s="305"/>
    </row>
    <row r="466" ht="45.0" customHeight="1">
      <c r="A466" s="12"/>
      <c r="B466" s="37"/>
      <c r="C466" s="12"/>
      <c r="D466" s="12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  <c r="AC466" s="301"/>
      <c r="AD466" s="301"/>
      <c r="AE466" s="301"/>
      <c r="AF466" s="301"/>
      <c r="AG466" s="301"/>
      <c r="AH466" s="301"/>
      <c r="AI466" s="301"/>
      <c r="AJ466" s="301"/>
      <c r="AK466" s="301"/>
    </row>
    <row r="467" ht="45.0" customHeight="1">
      <c r="A467" s="12"/>
      <c r="B467" s="37"/>
      <c r="C467" s="12"/>
      <c r="D467" s="12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  <c r="AC467" s="301"/>
      <c r="AD467" s="301"/>
      <c r="AE467" s="301"/>
      <c r="AF467" s="301"/>
      <c r="AG467" s="301"/>
      <c r="AH467" s="301"/>
      <c r="AI467" s="301"/>
      <c r="AJ467" s="301"/>
      <c r="AK467" s="301"/>
    </row>
    <row r="468" ht="45.0" customHeight="1">
      <c r="A468" s="12"/>
      <c r="B468" s="37"/>
      <c r="C468" s="12"/>
      <c r="D468" s="12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  <c r="AC468" s="301"/>
      <c r="AD468" s="301"/>
      <c r="AE468" s="301"/>
      <c r="AF468" s="301"/>
      <c r="AG468" s="301"/>
      <c r="AH468" s="301"/>
      <c r="AI468" s="301"/>
      <c r="AJ468" s="301"/>
      <c r="AK468" s="301"/>
    </row>
    <row r="469" ht="45.0" customHeight="1">
      <c r="A469" s="12"/>
      <c r="B469" s="37"/>
      <c r="C469" s="12"/>
      <c r="D469" s="12"/>
      <c r="E469" s="301"/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1"/>
      <c r="AG469" s="301"/>
      <c r="AH469" s="301"/>
      <c r="AI469" s="301"/>
      <c r="AJ469" s="301"/>
      <c r="AK469" s="301"/>
    </row>
    <row r="470" ht="45.0" customHeight="1">
      <c r="A470" s="12"/>
      <c r="B470" s="37"/>
      <c r="C470" s="12"/>
      <c r="D470" s="12"/>
      <c r="E470" s="301"/>
      <c r="F470" s="301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  <c r="AB470" s="301"/>
      <c r="AC470" s="301"/>
      <c r="AD470" s="301"/>
      <c r="AE470" s="301"/>
      <c r="AF470" s="301"/>
      <c r="AG470" s="301"/>
      <c r="AH470" s="301"/>
      <c r="AI470" s="301"/>
      <c r="AJ470" s="301"/>
      <c r="AK470" s="301"/>
    </row>
    <row r="471" ht="45.0" customHeight="1">
      <c r="A471" s="12"/>
      <c r="B471" s="37"/>
      <c r="C471" s="12"/>
      <c r="D471" s="12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  <c r="AC471" s="301"/>
      <c r="AD471" s="301"/>
      <c r="AE471" s="301"/>
      <c r="AF471" s="301"/>
      <c r="AG471" s="301"/>
      <c r="AH471" s="301"/>
      <c r="AI471" s="301"/>
      <c r="AJ471" s="301"/>
      <c r="AK471" s="301"/>
    </row>
    <row r="472" ht="45.0" customHeight="1">
      <c r="A472" s="12"/>
      <c r="B472" s="37"/>
      <c r="C472" s="12"/>
      <c r="D472" s="12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  <c r="AC472" s="301"/>
      <c r="AD472" s="301"/>
      <c r="AE472" s="301"/>
      <c r="AF472" s="301"/>
      <c r="AG472" s="301"/>
      <c r="AH472" s="301"/>
      <c r="AI472" s="301"/>
      <c r="AJ472" s="301"/>
      <c r="AK472" s="301"/>
    </row>
    <row r="473" ht="45.0" customHeight="1">
      <c r="A473" s="12"/>
      <c r="B473" s="37"/>
      <c r="C473" s="12"/>
      <c r="D473" s="12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  <c r="AC473" s="301"/>
      <c r="AD473" s="301"/>
      <c r="AE473" s="301"/>
      <c r="AF473" s="301"/>
      <c r="AG473" s="301"/>
      <c r="AH473" s="301"/>
      <c r="AI473" s="301"/>
      <c r="AJ473" s="301"/>
      <c r="AK473" s="301"/>
    </row>
    <row r="474" ht="45.0" customHeight="1">
      <c r="A474" s="12"/>
      <c r="B474" s="37"/>
      <c r="C474" s="12"/>
      <c r="D474" s="12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  <c r="AC474" s="301"/>
      <c r="AD474" s="301"/>
      <c r="AE474" s="301"/>
      <c r="AF474" s="301"/>
      <c r="AG474" s="301"/>
      <c r="AH474" s="301"/>
      <c r="AI474" s="301"/>
      <c r="AJ474" s="301"/>
      <c r="AK474" s="301"/>
    </row>
    <row r="475" ht="45.0" customHeight="1">
      <c r="A475" s="12"/>
      <c r="B475" s="37"/>
      <c r="C475" s="12"/>
      <c r="D475" s="12"/>
      <c r="E475" s="301"/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  <c r="AC475" s="301"/>
      <c r="AD475" s="301"/>
      <c r="AE475" s="301"/>
      <c r="AF475" s="301"/>
      <c r="AG475" s="301"/>
      <c r="AH475" s="301"/>
      <c r="AI475" s="301"/>
      <c r="AJ475" s="301"/>
      <c r="AK475" s="301"/>
    </row>
    <row r="476" ht="45.0" customHeight="1">
      <c r="A476" s="12"/>
      <c r="B476" s="37"/>
      <c r="C476" s="12"/>
      <c r="D476" s="12"/>
      <c r="E476" s="305"/>
      <c r="F476" s="305"/>
      <c r="G476" s="305"/>
      <c r="H476" s="305"/>
      <c r="I476" s="305"/>
      <c r="J476" s="305"/>
      <c r="K476" s="305"/>
      <c r="L476" s="305"/>
      <c r="M476" s="305"/>
      <c r="N476" s="305"/>
      <c r="O476" s="305"/>
      <c r="P476" s="305"/>
      <c r="Q476" s="305"/>
      <c r="R476" s="305"/>
      <c r="S476" s="305"/>
      <c r="T476" s="305"/>
      <c r="U476" s="305"/>
      <c r="V476" s="305"/>
      <c r="W476" s="305"/>
      <c r="X476" s="305"/>
      <c r="Y476" s="305"/>
      <c r="Z476" s="305"/>
      <c r="AA476" s="305"/>
      <c r="AB476" s="305"/>
      <c r="AC476" s="305"/>
      <c r="AD476" s="305"/>
      <c r="AE476" s="305"/>
      <c r="AF476" s="305"/>
      <c r="AG476" s="305"/>
      <c r="AH476" s="305"/>
      <c r="AI476" s="305"/>
      <c r="AJ476" s="305"/>
      <c r="AK476" s="305"/>
    </row>
    <row r="477" ht="45.0" customHeight="1">
      <c r="A477" s="12"/>
      <c r="B477" s="37"/>
      <c r="C477" s="12"/>
      <c r="D477" s="12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  <c r="AC477" s="301"/>
      <c r="AD477" s="301"/>
      <c r="AE477" s="301"/>
      <c r="AF477" s="301"/>
      <c r="AG477" s="301"/>
      <c r="AH477" s="301"/>
      <c r="AI477" s="301"/>
      <c r="AJ477" s="301"/>
      <c r="AK477" s="301"/>
    </row>
    <row r="478" ht="45.0" customHeight="1">
      <c r="A478" s="12"/>
      <c r="B478" s="37"/>
      <c r="C478" s="12"/>
      <c r="D478" s="12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  <c r="AC478" s="301"/>
      <c r="AD478" s="301"/>
      <c r="AE478" s="301"/>
      <c r="AF478" s="301"/>
      <c r="AG478" s="301"/>
      <c r="AH478" s="301"/>
      <c r="AI478" s="301"/>
      <c r="AJ478" s="301"/>
      <c r="AK478" s="301"/>
    </row>
    <row r="479" ht="45.0" customHeight="1">
      <c r="A479" s="12"/>
      <c r="B479" s="37"/>
      <c r="C479" s="12"/>
      <c r="D479" s="12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  <c r="AC479" s="301"/>
      <c r="AD479" s="301"/>
      <c r="AE479" s="301"/>
      <c r="AF479" s="301"/>
      <c r="AG479" s="301"/>
      <c r="AH479" s="301"/>
      <c r="AI479" s="301"/>
      <c r="AJ479" s="301"/>
      <c r="AK479" s="301"/>
    </row>
    <row r="480" ht="45.0" customHeight="1">
      <c r="A480" s="12"/>
      <c r="B480" s="37"/>
      <c r="C480" s="12"/>
      <c r="D480" s="12"/>
      <c r="E480" s="301"/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  <c r="AC480" s="301"/>
      <c r="AD480" s="301"/>
      <c r="AE480" s="301"/>
      <c r="AF480" s="301"/>
      <c r="AG480" s="301"/>
      <c r="AH480" s="301"/>
      <c r="AI480" s="301"/>
      <c r="AJ480" s="301"/>
      <c r="AK480" s="301"/>
    </row>
    <row r="481" ht="45.0" customHeight="1">
      <c r="A481" s="12"/>
      <c r="B481" s="37"/>
      <c r="C481" s="12"/>
      <c r="D481" s="12"/>
      <c r="E481" s="301"/>
      <c r="F481" s="301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  <c r="AB481" s="301"/>
      <c r="AC481" s="301"/>
      <c r="AD481" s="301"/>
      <c r="AE481" s="301"/>
      <c r="AF481" s="301"/>
      <c r="AG481" s="301"/>
      <c r="AH481" s="301"/>
      <c r="AI481" s="301"/>
      <c r="AJ481" s="301"/>
      <c r="AK481" s="301"/>
    </row>
    <row r="482" ht="45.0" customHeight="1">
      <c r="A482" s="12"/>
      <c r="B482" s="37"/>
      <c r="C482" s="12"/>
      <c r="D482" s="12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  <c r="AC482" s="301"/>
      <c r="AD482" s="301"/>
      <c r="AE482" s="301"/>
      <c r="AF482" s="301"/>
      <c r="AG482" s="301"/>
      <c r="AH482" s="301"/>
      <c r="AI482" s="301"/>
      <c r="AJ482" s="301"/>
      <c r="AK482" s="301"/>
    </row>
    <row r="483" ht="45.0" customHeight="1">
      <c r="A483" s="12"/>
      <c r="B483" s="37"/>
      <c r="C483" s="12"/>
      <c r="D483" s="12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  <c r="AC483" s="301"/>
      <c r="AD483" s="301"/>
      <c r="AE483" s="301"/>
      <c r="AF483" s="301"/>
      <c r="AG483" s="301"/>
      <c r="AH483" s="301"/>
      <c r="AI483" s="301"/>
      <c r="AJ483" s="301"/>
      <c r="AK483" s="301"/>
    </row>
    <row r="484" ht="45.0" customHeight="1">
      <c r="A484" s="12"/>
      <c r="B484" s="37"/>
      <c r="C484" s="12"/>
      <c r="D484" s="12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  <c r="AC484" s="301"/>
      <c r="AD484" s="301"/>
      <c r="AE484" s="301"/>
      <c r="AF484" s="301"/>
      <c r="AG484" s="301"/>
      <c r="AH484" s="301"/>
      <c r="AI484" s="301"/>
      <c r="AJ484" s="301"/>
      <c r="AK484" s="301"/>
    </row>
    <row r="485" ht="45.0" customHeight="1">
      <c r="A485" s="12"/>
      <c r="B485" s="37"/>
      <c r="C485" s="12"/>
      <c r="D485" s="12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  <c r="AC485" s="301"/>
      <c r="AD485" s="301"/>
      <c r="AE485" s="301"/>
      <c r="AF485" s="301"/>
      <c r="AG485" s="301"/>
      <c r="AH485" s="301"/>
      <c r="AI485" s="301"/>
      <c r="AJ485" s="301"/>
      <c r="AK485" s="301"/>
    </row>
    <row r="486" ht="45.0" customHeight="1">
      <c r="A486" s="12"/>
      <c r="B486" s="37"/>
      <c r="C486" s="12"/>
      <c r="D486" s="12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  <c r="AC486" s="301"/>
      <c r="AD486" s="301"/>
      <c r="AE486" s="301"/>
      <c r="AF486" s="301"/>
      <c r="AG486" s="301"/>
      <c r="AH486" s="301"/>
      <c r="AI486" s="301"/>
      <c r="AJ486" s="301"/>
      <c r="AK486" s="301"/>
    </row>
    <row r="487" ht="45.0" customHeight="1">
      <c r="A487" s="12"/>
      <c r="B487" s="37"/>
      <c r="C487" s="12"/>
      <c r="D487" s="12"/>
      <c r="E487" s="301"/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  <c r="AC487" s="301"/>
      <c r="AD487" s="301"/>
      <c r="AE487" s="301"/>
      <c r="AF487" s="301"/>
      <c r="AG487" s="301"/>
      <c r="AH487" s="301"/>
      <c r="AI487" s="301"/>
      <c r="AJ487" s="301"/>
      <c r="AK487" s="301"/>
    </row>
    <row r="488" ht="45.0" customHeight="1">
      <c r="A488" s="12"/>
      <c r="B488" s="37"/>
      <c r="C488" s="12"/>
      <c r="D488" s="12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  <c r="AC488" s="301"/>
      <c r="AD488" s="301"/>
      <c r="AE488" s="301"/>
      <c r="AF488" s="301"/>
      <c r="AG488" s="301"/>
      <c r="AH488" s="301"/>
      <c r="AI488" s="301"/>
      <c r="AJ488" s="301"/>
      <c r="AK488" s="301"/>
    </row>
    <row r="489" ht="45.0" customHeight="1">
      <c r="A489" s="12"/>
      <c r="B489" s="37"/>
      <c r="C489" s="12"/>
      <c r="D489" s="12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  <c r="AC489" s="301"/>
      <c r="AD489" s="301"/>
      <c r="AE489" s="301"/>
      <c r="AF489" s="301"/>
      <c r="AG489" s="301"/>
      <c r="AH489" s="301"/>
      <c r="AI489" s="301"/>
      <c r="AJ489" s="301"/>
      <c r="AK489" s="301"/>
    </row>
    <row r="490" ht="45.0" customHeight="1">
      <c r="A490" s="12"/>
      <c r="B490" s="37"/>
      <c r="C490" s="12"/>
      <c r="D490" s="12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  <c r="AC490" s="301"/>
      <c r="AD490" s="301"/>
      <c r="AE490" s="301"/>
      <c r="AF490" s="301"/>
      <c r="AG490" s="301"/>
      <c r="AH490" s="301"/>
      <c r="AI490" s="301"/>
      <c r="AJ490" s="301"/>
      <c r="AK490" s="301"/>
    </row>
    <row r="491" ht="45.0" customHeight="1">
      <c r="A491" s="12"/>
      <c r="B491" s="37"/>
      <c r="C491" s="12"/>
      <c r="D491" s="12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  <c r="AC491" s="301"/>
      <c r="AD491" s="301"/>
      <c r="AE491" s="301"/>
      <c r="AF491" s="301"/>
      <c r="AG491" s="301"/>
      <c r="AH491" s="301"/>
      <c r="AI491" s="301"/>
      <c r="AJ491" s="301"/>
      <c r="AK491" s="301"/>
    </row>
    <row r="492" ht="45.0" customHeight="1">
      <c r="A492" s="12"/>
      <c r="B492" s="37"/>
      <c r="C492" s="12"/>
      <c r="D492" s="12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  <c r="AC492" s="301"/>
      <c r="AD492" s="301"/>
      <c r="AE492" s="301"/>
      <c r="AF492" s="301"/>
      <c r="AG492" s="301"/>
      <c r="AH492" s="301"/>
      <c r="AI492" s="301"/>
      <c r="AJ492" s="301"/>
      <c r="AK492" s="301"/>
    </row>
    <row r="493" ht="45.0" customHeight="1">
      <c r="A493" s="12"/>
      <c r="B493" s="37"/>
      <c r="C493" s="12"/>
      <c r="D493" s="12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  <c r="AC493" s="301"/>
      <c r="AD493" s="301"/>
      <c r="AE493" s="301"/>
      <c r="AF493" s="301"/>
      <c r="AG493" s="301"/>
      <c r="AH493" s="301"/>
      <c r="AI493" s="301"/>
      <c r="AJ493" s="301"/>
      <c r="AK493" s="301"/>
    </row>
    <row r="494" ht="45.0" customHeight="1">
      <c r="A494" s="12"/>
      <c r="B494" s="37"/>
      <c r="C494" s="12"/>
      <c r="D494" s="12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  <c r="AC494" s="301"/>
      <c r="AD494" s="301"/>
      <c r="AE494" s="301"/>
      <c r="AF494" s="301"/>
      <c r="AG494" s="301"/>
      <c r="AH494" s="301"/>
      <c r="AI494" s="301"/>
      <c r="AJ494" s="301"/>
      <c r="AK494" s="301"/>
    </row>
    <row r="495" ht="45.0" customHeight="1">
      <c r="A495" s="12"/>
      <c r="B495" s="37"/>
      <c r="C495" s="12"/>
      <c r="D495" s="12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  <c r="AC495" s="301"/>
      <c r="AD495" s="301"/>
      <c r="AE495" s="301"/>
      <c r="AF495" s="301"/>
      <c r="AG495" s="301"/>
      <c r="AH495" s="301"/>
      <c r="AI495" s="301"/>
      <c r="AJ495" s="301"/>
      <c r="AK495" s="301"/>
    </row>
    <row r="496" ht="45.0" customHeight="1">
      <c r="A496" s="12"/>
      <c r="B496" s="37"/>
      <c r="C496" s="12"/>
      <c r="D496" s="12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  <c r="AC496" s="301"/>
      <c r="AD496" s="301"/>
      <c r="AE496" s="301"/>
      <c r="AF496" s="301"/>
      <c r="AG496" s="301"/>
      <c r="AH496" s="301"/>
      <c r="AI496" s="301"/>
      <c r="AJ496" s="301"/>
      <c r="AK496" s="301"/>
    </row>
    <row r="497" ht="45.0" customHeight="1">
      <c r="A497" s="12"/>
      <c r="B497" s="37"/>
      <c r="C497" s="12"/>
      <c r="D497" s="12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  <c r="AC497" s="301"/>
      <c r="AD497" s="301"/>
      <c r="AE497" s="301"/>
      <c r="AF497" s="301"/>
      <c r="AG497" s="301"/>
      <c r="AH497" s="301"/>
      <c r="AI497" s="301"/>
      <c r="AJ497" s="301"/>
      <c r="AK497" s="301"/>
    </row>
    <row r="498" ht="45.0" customHeight="1">
      <c r="A498" s="12"/>
      <c r="B498" s="37"/>
      <c r="C498" s="12"/>
      <c r="D498" s="12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  <c r="AC498" s="301"/>
      <c r="AD498" s="301"/>
      <c r="AE498" s="301"/>
      <c r="AF498" s="301"/>
      <c r="AG498" s="301"/>
      <c r="AH498" s="301"/>
      <c r="AI498" s="301"/>
      <c r="AJ498" s="301"/>
      <c r="AK498" s="301"/>
    </row>
    <row r="499" ht="45.0" customHeight="1">
      <c r="A499" s="12"/>
      <c r="B499" s="37"/>
      <c r="C499" s="12"/>
      <c r="D499" s="12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  <c r="AC499" s="301"/>
      <c r="AD499" s="301"/>
      <c r="AE499" s="301"/>
      <c r="AF499" s="301"/>
      <c r="AG499" s="301"/>
      <c r="AH499" s="301"/>
      <c r="AI499" s="301"/>
      <c r="AJ499" s="301"/>
      <c r="AK499" s="301"/>
    </row>
    <row r="500" ht="45.0" customHeight="1">
      <c r="A500" s="12"/>
      <c r="B500" s="37"/>
      <c r="C500" s="12"/>
      <c r="D500" s="12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  <c r="AB500" s="301"/>
      <c r="AC500" s="301"/>
      <c r="AD500" s="301"/>
      <c r="AE500" s="301"/>
      <c r="AF500" s="301"/>
      <c r="AG500" s="301"/>
      <c r="AH500" s="301"/>
      <c r="AI500" s="301"/>
      <c r="AJ500" s="301"/>
      <c r="AK500" s="301"/>
    </row>
    <row r="501" ht="45.0" customHeight="1">
      <c r="A501" s="12"/>
      <c r="B501" s="37"/>
      <c r="C501" s="12"/>
      <c r="D501" s="12"/>
      <c r="E501" s="301"/>
      <c r="F501" s="301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  <c r="AB501" s="301"/>
      <c r="AC501" s="301"/>
      <c r="AD501" s="301"/>
      <c r="AE501" s="301"/>
      <c r="AF501" s="301"/>
      <c r="AG501" s="301"/>
      <c r="AH501" s="301"/>
      <c r="AI501" s="301"/>
      <c r="AJ501" s="301"/>
      <c r="AK501" s="301"/>
    </row>
    <row r="502" ht="45.0" customHeight="1">
      <c r="A502" s="12"/>
      <c r="B502" s="37"/>
      <c r="C502" s="12"/>
      <c r="D502" s="12"/>
      <c r="E502" s="301"/>
      <c r="F502" s="301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  <c r="AB502" s="301"/>
      <c r="AC502" s="301"/>
      <c r="AD502" s="301"/>
      <c r="AE502" s="301"/>
      <c r="AF502" s="301"/>
      <c r="AG502" s="301"/>
      <c r="AH502" s="301"/>
      <c r="AI502" s="301"/>
      <c r="AJ502" s="301"/>
      <c r="AK502" s="301"/>
    </row>
    <row r="503" ht="45.0" customHeight="1">
      <c r="A503" s="12"/>
      <c r="B503" s="37"/>
      <c r="C503" s="12"/>
      <c r="D503" s="12"/>
      <c r="E503" s="301"/>
      <c r="F503" s="301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  <c r="AB503" s="301"/>
      <c r="AC503" s="301"/>
      <c r="AD503" s="301"/>
      <c r="AE503" s="301"/>
      <c r="AF503" s="301"/>
      <c r="AG503" s="301"/>
      <c r="AH503" s="301"/>
      <c r="AI503" s="301"/>
      <c r="AJ503" s="301"/>
      <c r="AK503" s="301"/>
    </row>
    <row r="504" ht="45.0" customHeight="1">
      <c r="A504" s="12"/>
      <c r="B504" s="37"/>
      <c r="C504" s="12"/>
      <c r="D504" s="12"/>
      <c r="E504" s="301"/>
      <c r="F504" s="301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  <c r="AB504" s="301"/>
      <c r="AC504" s="301"/>
      <c r="AD504" s="301"/>
      <c r="AE504" s="301"/>
      <c r="AF504" s="301"/>
      <c r="AG504" s="301"/>
      <c r="AH504" s="301"/>
      <c r="AI504" s="301"/>
      <c r="AJ504" s="301"/>
      <c r="AK504" s="301"/>
    </row>
    <row r="505" ht="45.0" customHeight="1">
      <c r="A505" s="12"/>
      <c r="B505" s="37"/>
      <c r="C505" s="12"/>
      <c r="D505" s="12"/>
      <c r="E505" s="301"/>
      <c r="F505" s="301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  <c r="AB505" s="301"/>
      <c r="AC505" s="301"/>
      <c r="AD505" s="301"/>
      <c r="AE505" s="301"/>
      <c r="AF505" s="301"/>
      <c r="AG505" s="301"/>
      <c r="AH505" s="301"/>
      <c r="AI505" s="301"/>
      <c r="AJ505" s="301"/>
      <c r="AK505" s="301"/>
    </row>
    <row r="506" ht="45.0" customHeight="1">
      <c r="A506" s="12"/>
      <c r="B506" s="37"/>
      <c r="C506" s="12"/>
      <c r="D506" s="12"/>
      <c r="E506" s="301"/>
      <c r="F506" s="301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  <c r="AC506" s="301"/>
      <c r="AD506" s="301"/>
      <c r="AE506" s="301"/>
      <c r="AF506" s="301"/>
      <c r="AG506" s="301"/>
      <c r="AH506" s="301"/>
      <c r="AI506" s="301"/>
      <c r="AJ506" s="301"/>
      <c r="AK506" s="301"/>
    </row>
    <row r="507" ht="45.0" customHeight="1">
      <c r="A507" s="12"/>
      <c r="B507" s="37"/>
      <c r="C507" s="12"/>
      <c r="D507" s="12"/>
      <c r="E507" s="301"/>
      <c r="F507" s="301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  <c r="AB507" s="301"/>
      <c r="AC507" s="301"/>
      <c r="AD507" s="301"/>
      <c r="AE507" s="301"/>
      <c r="AF507" s="301"/>
      <c r="AG507" s="301"/>
      <c r="AH507" s="301"/>
      <c r="AI507" s="301"/>
      <c r="AJ507" s="301"/>
      <c r="AK507" s="301"/>
    </row>
    <row r="508" ht="45.0" customHeight="1">
      <c r="A508" s="12"/>
      <c r="B508" s="37"/>
      <c r="C508" s="12"/>
      <c r="D508" s="12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  <c r="AB508" s="301"/>
      <c r="AC508" s="301"/>
      <c r="AD508" s="301"/>
      <c r="AE508" s="301"/>
      <c r="AF508" s="301"/>
      <c r="AG508" s="301"/>
      <c r="AH508" s="301"/>
      <c r="AI508" s="301"/>
      <c r="AJ508" s="301"/>
      <c r="AK508" s="301"/>
    </row>
    <row r="509" ht="45.0" customHeight="1">
      <c r="A509" s="12"/>
      <c r="B509" s="37"/>
      <c r="C509" s="12"/>
      <c r="D509" s="12"/>
      <c r="E509" s="301"/>
      <c r="F509" s="301"/>
      <c r="G509" s="301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  <c r="AB509" s="301"/>
      <c r="AC509" s="301"/>
      <c r="AD509" s="301"/>
      <c r="AE509" s="301"/>
      <c r="AF509" s="301"/>
      <c r="AG509" s="301"/>
      <c r="AH509" s="301"/>
      <c r="AI509" s="301"/>
      <c r="AJ509" s="301"/>
      <c r="AK509" s="301"/>
    </row>
    <row r="510" ht="45.0" customHeight="1">
      <c r="A510" s="12"/>
      <c r="B510" s="37"/>
      <c r="C510" s="12"/>
      <c r="D510" s="12"/>
      <c r="E510" s="301"/>
      <c r="F510" s="301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  <c r="AB510" s="301"/>
      <c r="AC510" s="301"/>
      <c r="AD510" s="301"/>
      <c r="AE510" s="301"/>
      <c r="AF510" s="301"/>
      <c r="AG510" s="301"/>
      <c r="AH510" s="301"/>
      <c r="AI510" s="301"/>
      <c r="AJ510" s="301"/>
      <c r="AK510" s="301"/>
    </row>
    <row r="511" ht="45.0" customHeight="1">
      <c r="A511" s="12"/>
      <c r="B511" s="37"/>
      <c r="C511" s="12"/>
      <c r="D511" s="12"/>
      <c r="E511" s="301"/>
      <c r="F511" s="301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  <c r="AB511" s="301"/>
      <c r="AC511" s="301"/>
      <c r="AD511" s="301"/>
      <c r="AE511" s="301"/>
      <c r="AF511" s="301"/>
      <c r="AG511" s="301"/>
      <c r="AH511" s="301"/>
      <c r="AI511" s="301"/>
      <c r="AJ511" s="301"/>
      <c r="AK511" s="301"/>
    </row>
    <row r="512" ht="45.0" customHeight="1">
      <c r="A512" s="12"/>
      <c r="B512" s="37"/>
      <c r="C512" s="12"/>
      <c r="D512" s="12"/>
      <c r="E512" s="301"/>
      <c r="F512" s="301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  <c r="AB512" s="301"/>
      <c r="AC512" s="301"/>
      <c r="AD512" s="301"/>
      <c r="AE512" s="301"/>
      <c r="AF512" s="301"/>
      <c r="AG512" s="301"/>
      <c r="AH512" s="301"/>
      <c r="AI512" s="301"/>
      <c r="AJ512" s="301"/>
      <c r="AK512" s="301"/>
    </row>
    <row r="513" ht="45.0" customHeight="1">
      <c r="A513" s="12"/>
      <c r="B513" s="37"/>
      <c r="C513" s="12"/>
      <c r="D513" s="12"/>
      <c r="E513" s="301"/>
      <c r="F513" s="301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  <c r="AB513" s="301"/>
      <c r="AC513" s="301"/>
      <c r="AD513" s="301"/>
      <c r="AE513" s="301"/>
      <c r="AF513" s="301"/>
      <c r="AG513" s="301"/>
      <c r="AH513" s="301"/>
      <c r="AI513" s="301"/>
      <c r="AJ513" s="301"/>
      <c r="AK513" s="301"/>
    </row>
    <row r="514" ht="45.0" customHeight="1">
      <c r="A514" s="12"/>
      <c r="B514" s="37"/>
      <c r="C514" s="12"/>
      <c r="D514" s="12"/>
      <c r="E514" s="301"/>
      <c r="F514" s="301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  <c r="AB514" s="301"/>
      <c r="AC514" s="301"/>
      <c r="AD514" s="301"/>
      <c r="AE514" s="301"/>
      <c r="AF514" s="301"/>
      <c r="AG514" s="301"/>
      <c r="AH514" s="301"/>
      <c r="AI514" s="301"/>
      <c r="AJ514" s="301"/>
      <c r="AK514" s="301"/>
    </row>
    <row r="515" ht="45.0" customHeight="1">
      <c r="A515" s="12"/>
      <c r="B515" s="37"/>
      <c r="C515" s="12"/>
      <c r="D515" s="12"/>
      <c r="E515" s="301"/>
      <c r="F515" s="301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  <c r="AB515" s="301"/>
      <c r="AC515" s="301"/>
      <c r="AD515" s="301"/>
      <c r="AE515" s="301"/>
      <c r="AF515" s="301"/>
      <c r="AG515" s="301"/>
      <c r="AH515" s="301"/>
      <c r="AI515" s="301"/>
      <c r="AJ515" s="301"/>
      <c r="AK515" s="301"/>
    </row>
    <row r="516" ht="45.0" customHeight="1">
      <c r="A516" s="12"/>
      <c r="B516" s="37"/>
      <c r="C516" s="12"/>
      <c r="D516" s="12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  <c r="AB516" s="301"/>
      <c r="AC516" s="301"/>
      <c r="AD516" s="301"/>
      <c r="AE516" s="301"/>
      <c r="AF516" s="301"/>
      <c r="AG516" s="301"/>
      <c r="AH516" s="301"/>
      <c r="AI516" s="301"/>
      <c r="AJ516" s="301"/>
      <c r="AK516" s="301"/>
    </row>
    <row r="517" ht="45.0" customHeight="1">
      <c r="A517" s="12"/>
      <c r="B517" s="37"/>
      <c r="C517" s="12"/>
      <c r="D517" s="12"/>
      <c r="E517" s="301"/>
      <c r="F517" s="301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  <c r="AB517" s="301"/>
      <c r="AC517" s="301"/>
      <c r="AD517" s="301"/>
      <c r="AE517" s="301"/>
      <c r="AF517" s="301"/>
      <c r="AG517" s="301"/>
      <c r="AH517" s="301"/>
      <c r="AI517" s="301"/>
      <c r="AJ517" s="301"/>
      <c r="AK517" s="301"/>
    </row>
    <row r="518" ht="45.0" customHeight="1">
      <c r="A518" s="12"/>
      <c r="B518" s="37"/>
      <c r="C518" s="12"/>
      <c r="D518" s="12"/>
      <c r="E518" s="301"/>
      <c r="F518" s="301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  <c r="AB518" s="301"/>
      <c r="AC518" s="301"/>
      <c r="AD518" s="301"/>
      <c r="AE518" s="301"/>
      <c r="AF518" s="301"/>
      <c r="AG518" s="301"/>
      <c r="AH518" s="301"/>
      <c r="AI518" s="301"/>
      <c r="AJ518" s="301"/>
      <c r="AK518" s="301"/>
    </row>
    <row r="519" ht="45.0" customHeight="1">
      <c r="A519" s="12"/>
      <c r="B519" s="37"/>
      <c r="C519" s="12"/>
      <c r="D519" s="12"/>
      <c r="E519" s="301"/>
      <c r="F519" s="301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  <c r="AB519" s="301"/>
      <c r="AC519" s="301"/>
      <c r="AD519" s="301"/>
      <c r="AE519" s="301"/>
      <c r="AF519" s="301"/>
      <c r="AG519" s="301"/>
      <c r="AH519" s="301"/>
      <c r="AI519" s="301"/>
      <c r="AJ519" s="301"/>
      <c r="AK519" s="301"/>
    </row>
    <row r="520" ht="45.0" customHeight="1">
      <c r="A520" s="12"/>
      <c r="B520" s="37"/>
      <c r="C520" s="12"/>
      <c r="D520" s="12"/>
      <c r="E520" s="301"/>
      <c r="F520" s="301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  <c r="AB520" s="301"/>
      <c r="AC520" s="301"/>
      <c r="AD520" s="301"/>
      <c r="AE520" s="301"/>
      <c r="AF520" s="301"/>
      <c r="AG520" s="301"/>
      <c r="AH520" s="301"/>
      <c r="AI520" s="301"/>
      <c r="AJ520" s="301"/>
      <c r="AK520" s="301"/>
    </row>
    <row r="521" ht="45.0" customHeight="1">
      <c r="A521" s="12"/>
      <c r="B521" s="37"/>
      <c r="C521" s="12"/>
      <c r="D521" s="12"/>
      <c r="E521" s="301"/>
      <c r="F521" s="301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  <c r="AC521" s="301"/>
      <c r="AD521" s="301"/>
      <c r="AE521" s="301"/>
      <c r="AF521" s="301"/>
      <c r="AG521" s="301"/>
      <c r="AH521" s="301"/>
      <c r="AI521" s="301"/>
      <c r="AJ521" s="301"/>
      <c r="AK521" s="301"/>
    </row>
    <row r="522" ht="45.0" customHeight="1">
      <c r="A522" s="12"/>
      <c r="B522" s="37"/>
      <c r="C522" s="12"/>
      <c r="D522" s="12"/>
      <c r="E522" s="301"/>
      <c r="F522" s="301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  <c r="AC522" s="301"/>
      <c r="AD522" s="301"/>
      <c r="AE522" s="301"/>
      <c r="AF522" s="301"/>
      <c r="AG522" s="301"/>
      <c r="AH522" s="301"/>
      <c r="AI522" s="301"/>
      <c r="AJ522" s="301"/>
      <c r="AK522" s="301"/>
    </row>
    <row r="523" ht="45.0" customHeight="1">
      <c r="A523" s="12"/>
      <c r="B523" s="37"/>
      <c r="C523" s="12"/>
      <c r="D523" s="12"/>
      <c r="E523" s="301"/>
      <c r="F523" s="301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  <c r="AC523" s="301"/>
      <c r="AD523" s="301"/>
      <c r="AE523" s="301"/>
      <c r="AF523" s="301"/>
      <c r="AG523" s="301"/>
      <c r="AH523" s="301"/>
      <c r="AI523" s="301"/>
      <c r="AJ523" s="301"/>
      <c r="AK523" s="301"/>
    </row>
    <row r="524" ht="45.0" customHeight="1">
      <c r="A524" s="12"/>
      <c r="B524" s="37"/>
      <c r="C524" s="12"/>
      <c r="D524" s="12"/>
      <c r="E524" s="305"/>
      <c r="F524" s="305"/>
      <c r="G524" s="305"/>
      <c r="H524" s="305"/>
      <c r="I524" s="305"/>
      <c r="J524" s="305"/>
      <c r="K524" s="305"/>
      <c r="L524" s="305"/>
      <c r="M524" s="305"/>
      <c r="N524" s="305"/>
      <c r="O524" s="305"/>
      <c r="P524" s="305"/>
      <c r="Q524" s="305"/>
      <c r="R524" s="305"/>
      <c r="S524" s="305"/>
      <c r="T524" s="305"/>
      <c r="U524" s="305"/>
      <c r="V524" s="305"/>
      <c r="W524" s="305"/>
      <c r="X524" s="305"/>
      <c r="Y524" s="305"/>
      <c r="Z524" s="305"/>
      <c r="AA524" s="305"/>
      <c r="AB524" s="305"/>
      <c r="AC524" s="305"/>
      <c r="AD524" s="305"/>
      <c r="AE524" s="305"/>
      <c r="AF524" s="305"/>
      <c r="AG524" s="305"/>
      <c r="AH524" s="305"/>
      <c r="AI524" s="305"/>
      <c r="AJ524" s="305"/>
      <c r="AK524" s="305"/>
    </row>
    <row r="525" ht="45.0" customHeight="1">
      <c r="A525" s="12"/>
      <c r="B525" s="37"/>
      <c r="C525" s="12"/>
      <c r="D525" s="12"/>
      <c r="E525" s="301"/>
      <c r="F525" s="301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  <c r="AB525" s="301"/>
      <c r="AC525" s="301"/>
      <c r="AD525" s="301"/>
      <c r="AE525" s="301"/>
      <c r="AF525" s="301"/>
      <c r="AG525" s="301"/>
      <c r="AH525" s="301"/>
      <c r="AI525" s="301"/>
      <c r="AJ525" s="301"/>
      <c r="AK525" s="301"/>
    </row>
    <row r="526" ht="45.0" customHeight="1">
      <c r="A526" s="12"/>
      <c r="B526" s="37"/>
      <c r="C526" s="12"/>
      <c r="D526" s="12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  <c r="AB526" s="301"/>
      <c r="AC526" s="301"/>
      <c r="AD526" s="301"/>
      <c r="AE526" s="301"/>
      <c r="AF526" s="301"/>
      <c r="AG526" s="301"/>
      <c r="AH526" s="301"/>
      <c r="AI526" s="301"/>
      <c r="AJ526" s="301"/>
      <c r="AK526" s="301"/>
    </row>
    <row r="527" ht="45.0" customHeight="1">
      <c r="A527" s="12"/>
      <c r="B527" s="37"/>
      <c r="C527" s="12"/>
      <c r="D527" s="12"/>
      <c r="E527" s="301"/>
      <c r="F527" s="301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  <c r="AB527" s="301"/>
      <c r="AC527" s="301"/>
      <c r="AD527" s="301"/>
      <c r="AE527" s="301"/>
      <c r="AF527" s="301"/>
      <c r="AG527" s="301"/>
      <c r="AH527" s="301"/>
      <c r="AI527" s="301"/>
      <c r="AJ527" s="301"/>
      <c r="AK527" s="301"/>
    </row>
    <row r="528" ht="45.0" customHeight="1">
      <c r="A528" s="12"/>
      <c r="B528" s="37"/>
      <c r="C528" s="12"/>
      <c r="D528" s="12"/>
      <c r="E528" s="301"/>
      <c r="F528" s="301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  <c r="AB528" s="301"/>
      <c r="AC528" s="301"/>
      <c r="AD528" s="301"/>
      <c r="AE528" s="301"/>
      <c r="AF528" s="301"/>
      <c r="AG528" s="301"/>
      <c r="AH528" s="301"/>
      <c r="AI528" s="301"/>
      <c r="AJ528" s="301"/>
      <c r="AK528" s="301"/>
    </row>
    <row r="529" ht="45.0" customHeight="1">
      <c r="A529" s="12"/>
      <c r="B529" s="37"/>
      <c r="C529" s="12"/>
      <c r="D529" s="12"/>
      <c r="E529" s="301"/>
      <c r="F529" s="301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  <c r="AB529" s="301"/>
      <c r="AC529" s="301"/>
      <c r="AD529" s="301"/>
      <c r="AE529" s="301"/>
      <c r="AF529" s="301"/>
      <c r="AG529" s="301"/>
      <c r="AH529" s="301"/>
      <c r="AI529" s="301"/>
      <c r="AJ529" s="301"/>
      <c r="AK529" s="301"/>
    </row>
    <row r="530" ht="45.0" customHeight="1">
      <c r="A530" s="12"/>
      <c r="B530" s="37"/>
      <c r="C530" s="12"/>
      <c r="D530" s="12"/>
      <c r="E530" s="301"/>
      <c r="F530" s="301"/>
      <c r="G530" s="301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  <c r="AB530" s="301"/>
      <c r="AC530" s="301"/>
      <c r="AD530" s="301"/>
      <c r="AE530" s="301"/>
      <c r="AF530" s="301"/>
      <c r="AG530" s="301"/>
      <c r="AH530" s="301"/>
      <c r="AI530" s="301"/>
      <c r="AJ530" s="301"/>
      <c r="AK530" s="301"/>
    </row>
    <row r="531" ht="45.0" customHeight="1">
      <c r="A531" s="12"/>
      <c r="B531" s="37"/>
      <c r="C531" s="12"/>
      <c r="D531" s="12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  <c r="AB531" s="301"/>
      <c r="AC531" s="301"/>
      <c r="AD531" s="301"/>
      <c r="AE531" s="301"/>
      <c r="AF531" s="301"/>
      <c r="AG531" s="301"/>
      <c r="AH531" s="301"/>
      <c r="AI531" s="301"/>
      <c r="AJ531" s="301"/>
      <c r="AK531" s="301"/>
    </row>
    <row r="532" ht="45.0" customHeight="1">
      <c r="A532" s="12"/>
      <c r="B532" s="37"/>
      <c r="C532" s="12"/>
      <c r="D532" s="12"/>
      <c r="E532" s="301"/>
      <c r="F532" s="301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  <c r="AB532" s="301"/>
      <c r="AC532" s="301"/>
      <c r="AD532" s="301"/>
      <c r="AE532" s="301"/>
      <c r="AF532" s="301"/>
      <c r="AG532" s="301"/>
      <c r="AH532" s="301"/>
      <c r="AI532" s="301"/>
      <c r="AJ532" s="301"/>
      <c r="AK532" s="301"/>
    </row>
    <row r="533" ht="45.0" customHeight="1">
      <c r="A533" s="12"/>
      <c r="B533" s="37"/>
      <c r="C533" s="12"/>
      <c r="D533" s="12"/>
      <c r="E533" s="301"/>
      <c r="F533" s="301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  <c r="AC533" s="301"/>
      <c r="AD533" s="301"/>
      <c r="AE533" s="301"/>
      <c r="AF533" s="301"/>
      <c r="AG533" s="301"/>
      <c r="AH533" s="301"/>
      <c r="AI533" s="301"/>
      <c r="AJ533" s="301"/>
      <c r="AK533" s="301"/>
    </row>
    <row r="534" ht="45.0" customHeight="1">
      <c r="A534" s="12"/>
      <c r="B534" s="37"/>
      <c r="C534" s="12"/>
      <c r="D534" s="12"/>
      <c r="E534" s="301"/>
      <c r="F534" s="301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  <c r="AC534" s="301"/>
      <c r="AD534" s="301"/>
      <c r="AE534" s="301"/>
      <c r="AF534" s="301"/>
      <c r="AG534" s="301"/>
      <c r="AH534" s="301"/>
      <c r="AI534" s="301"/>
      <c r="AJ534" s="301"/>
      <c r="AK534" s="301"/>
    </row>
    <row r="535" ht="45.0" customHeight="1">
      <c r="A535" s="12"/>
      <c r="B535" s="37"/>
      <c r="C535" s="12"/>
      <c r="D535" s="12"/>
      <c r="E535" s="305"/>
      <c r="F535" s="305"/>
      <c r="G535" s="305"/>
      <c r="H535" s="305"/>
      <c r="I535" s="305"/>
      <c r="J535" s="305"/>
      <c r="K535" s="305"/>
      <c r="L535" s="305"/>
      <c r="M535" s="305"/>
      <c r="N535" s="305"/>
      <c r="O535" s="305"/>
      <c r="P535" s="305"/>
      <c r="Q535" s="305"/>
      <c r="R535" s="305"/>
      <c r="S535" s="305"/>
      <c r="T535" s="305"/>
      <c r="U535" s="305"/>
      <c r="V535" s="305"/>
      <c r="W535" s="305"/>
      <c r="X535" s="305"/>
      <c r="Y535" s="305"/>
      <c r="Z535" s="305"/>
      <c r="AA535" s="305"/>
      <c r="AB535" s="305"/>
      <c r="AC535" s="305"/>
      <c r="AD535" s="305"/>
      <c r="AE535" s="305"/>
      <c r="AF535" s="305"/>
      <c r="AG535" s="305"/>
      <c r="AH535" s="305"/>
      <c r="AI535" s="305"/>
      <c r="AJ535" s="305"/>
      <c r="AK535" s="305"/>
    </row>
    <row r="536" ht="45.0" customHeight="1">
      <c r="A536" s="12"/>
      <c r="B536" s="37"/>
      <c r="C536" s="12"/>
      <c r="D536" s="12"/>
      <c r="E536" s="301"/>
      <c r="F536" s="301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  <c r="AB536" s="301"/>
      <c r="AC536" s="301"/>
      <c r="AD536" s="301"/>
      <c r="AE536" s="301"/>
      <c r="AF536" s="301"/>
      <c r="AG536" s="301"/>
      <c r="AH536" s="301"/>
      <c r="AI536" s="301"/>
      <c r="AJ536" s="301"/>
      <c r="AK536" s="301"/>
    </row>
    <row r="537" ht="45.0" customHeight="1">
      <c r="A537" s="12"/>
      <c r="B537" s="37"/>
      <c r="C537" s="12"/>
      <c r="D537" s="12"/>
      <c r="E537" s="301"/>
      <c r="F537" s="301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  <c r="AC537" s="301"/>
      <c r="AD537" s="301"/>
      <c r="AE537" s="301"/>
      <c r="AF537" s="301"/>
      <c r="AG537" s="301"/>
      <c r="AH537" s="301"/>
      <c r="AI537" s="301"/>
      <c r="AJ537" s="301"/>
      <c r="AK537" s="301"/>
    </row>
    <row r="538" ht="45.0" customHeight="1">
      <c r="A538" s="12"/>
      <c r="B538" s="37"/>
      <c r="C538" s="12"/>
      <c r="D538" s="12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  <c r="AC538" s="301"/>
      <c r="AD538" s="301"/>
      <c r="AE538" s="301"/>
      <c r="AF538" s="301"/>
      <c r="AG538" s="301"/>
      <c r="AH538" s="301"/>
      <c r="AI538" s="301"/>
      <c r="AJ538" s="301"/>
      <c r="AK538" s="301"/>
    </row>
    <row r="539" ht="45.0" customHeight="1">
      <c r="A539" s="12"/>
      <c r="B539" s="37"/>
      <c r="C539" s="12"/>
      <c r="D539" s="12"/>
      <c r="E539" s="301"/>
      <c r="F539" s="301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  <c r="AB539" s="301"/>
      <c r="AC539" s="301"/>
      <c r="AD539" s="301"/>
      <c r="AE539" s="301"/>
      <c r="AF539" s="301"/>
      <c r="AG539" s="301"/>
      <c r="AH539" s="301"/>
      <c r="AI539" s="301"/>
      <c r="AJ539" s="301"/>
      <c r="AK539" s="301"/>
    </row>
    <row r="540" ht="45.0" customHeight="1">
      <c r="A540" s="12"/>
      <c r="B540" s="37"/>
      <c r="C540" s="12"/>
      <c r="D540" s="12"/>
      <c r="E540" s="301"/>
      <c r="F540" s="301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  <c r="AB540" s="301"/>
      <c r="AC540" s="301"/>
      <c r="AD540" s="301"/>
      <c r="AE540" s="301"/>
      <c r="AF540" s="301"/>
      <c r="AG540" s="301"/>
      <c r="AH540" s="301"/>
      <c r="AI540" s="301"/>
      <c r="AJ540" s="301"/>
      <c r="AK540" s="301"/>
    </row>
    <row r="541" ht="45.0" customHeight="1">
      <c r="A541" s="12"/>
      <c r="B541" s="37"/>
      <c r="C541" s="12"/>
      <c r="D541" s="12"/>
      <c r="E541" s="301"/>
      <c r="F541" s="301"/>
      <c r="G541" s="301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  <c r="AB541" s="301"/>
      <c r="AC541" s="301"/>
      <c r="AD541" s="301"/>
      <c r="AE541" s="301"/>
      <c r="AF541" s="301"/>
      <c r="AG541" s="301"/>
      <c r="AH541" s="301"/>
      <c r="AI541" s="301"/>
      <c r="AJ541" s="301"/>
      <c r="AK541" s="301"/>
    </row>
    <row r="542" ht="45.0" customHeight="1">
      <c r="A542" s="12"/>
      <c r="B542" s="37"/>
      <c r="C542" s="12"/>
      <c r="D542" s="12"/>
      <c r="E542" s="301"/>
      <c r="F542" s="301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  <c r="AB542" s="301"/>
      <c r="AC542" s="301"/>
      <c r="AD542" s="301"/>
      <c r="AE542" s="301"/>
      <c r="AF542" s="301"/>
      <c r="AG542" s="301"/>
      <c r="AH542" s="301"/>
      <c r="AI542" s="301"/>
      <c r="AJ542" s="301"/>
      <c r="AK542" s="301"/>
    </row>
    <row r="543" ht="45.0" customHeight="1">
      <c r="A543" s="12"/>
      <c r="B543" s="37"/>
      <c r="C543" s="12"/>
      <c r="D543" s="12"/>
      <c r="E543" s="301"/>
      <c r="F543" s="301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  <c r="AB543" s="301"/>
      <c r="AC543" s="301"/>
      <c r="AD543" s="301"/>
      <c r="AE543" s="301"/>
      <c r="AF543" s="301"/>
      <c r="AG543" s="301"/>
      <c r="AH543" s="301"/>
      <c r="AI543" s="301"/>
      <c r="AJ543" s="301"/>
      <c r="AK543" s="301"/>
    </row>
    <row r="544" ht="45.0" customHeight="1">
      <c r="A544" s="12"/>
      <c r="B544" s="37"/>
      <c r="C544" s="12"/>
      <c r="D544" s="12"/>
      <c r="E544" s="301"/>
      <c r="F544" s="301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  <c r="AB544" s="301"/>
      <c r="AC544" s="301"/>
      <c r="AD544" s="301"/>
      <c r="AE544" s="301"/>
      <c r="AF544" s="301"/>
      <c r="AG544" s="301"/>
      <c r="AH544" s="301"/>
      <c r="AI544" s="301"/>
      <c r="AJ544" s="301"/>
      <c r="AK544" s="301"/>
    </row>
    <row r="545" ht="45.0" customHeight="1">
      <c r="A545" s="12"/>
      <c r="B545" s="37"/>
      <c r="C545" s="12"/>
      <c r="D545" s="12"/>
      <c r="E545" s="301"/>
      <c r="F545" s="301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  <c r="AC545" s="301"/>
      <c r="AD545" s="301"/>
      <c r="AE545" s="301"/>
      <c r="AF545" s="301"/>
      <c r="AG545" s="301"/>
      <c r="AH545" s="301"/>
      <c r="AI545" s="301"/>
      <c r="AJ545" s="301"/>
      <c r="AK545" s="301"/>
    </row>
    <row r="546" ht="45.0" customHeight="1">
      <c r="A546" s="12"/>
      <c r="B546" s="37"/>
      <c r="C546" s="12"/>
      <c r="D546" s="12"/>
      <c r="E546" s="301"/>
      <c r="F546" s="301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  <c r="AC546" s="301"/>
      <c r="AD546" s="301"/>
      <c r="AE546" s="301"/>
      <c r="AF546" s="301"/>
      <c r="AG546" s="301"/>
      <c r="AH546" s="301"/>
      <c r="AI546" s="301"/>
      <c r="AJ546" s="301"/>
      <c r="AK546" s="301"/>
    </row>
    <row r="547" ht="45.0" customHeight="1">
      <c r="A547" s="12"/>
      <c r="B547" s="37"/>
      <c r="C547" s="12"/>
      <c r="D547" s="12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  <c r="AB547" s="301"/>
      <c r="AC547" s="301"/>
      <c r="AD547" s="301"/>
      <c r="AE547" s="301"/>
      <c r="AF547" s="301"/>
      <c r="AG547" s="301"/>
      <c r="AH547" s="301"/>
      <c r="AI547" s="301"/>
      <c r="AJ547" s="301"/>
      <c r="AK547" s="301"/>
    </row>
    <row r="548" ht="45.0" customHeight="1">
      <c r="A548" s="12"/>
      <c r="B548" s="37"/>
      <c r="C548" s="12"/>
      <c r="D548" s="12"/>
      <c r="E548" s="301"/>
      <c r="F548" s="301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  <c r="AB548" s="301"/>
      <c r="AC548" s="301"/>
      <c r="AD548" s="301"/>
      <c r="AE548" s="301"/>
      <c r="AF548" s="301"/>
      <c r="AG548" s="301"/>
      <c r="AH548" s="301"/>
      <c r="AI548" s="301"/>
      <c r="AJ548" s="301"/>
      <c r="AK548" s="301"/>
    </row>
    <row r="549" ht="45.0" customHeight="1">
      <c r="A549" s="12"/>
      <c r="B549" s="37"/>
      <c r="C549" s="12"/>
      <c r="D549" s="12"/>
      <c r="E549" s="301"/>
      <c r="F549" s="301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  <c r="AB549" s="301"/>
      <c r="AC549" s="301"/>
      <c r="AD549" s="301"/>
      <c r="AE549" s="301"/>
      <c r="AF549" s="301"/>
      <c r="AG549" s="301"/>
      <c r="AH549" s="301"/>
      <c r="AI549" s="301"/>
      <c r="AJ549" s="301"/>
      <c r="AK549" s="301"/>
    </row>
    <row r="550" ht="45.0" customHeight="1">
      <c r="A550" s="12"/>
      <c r="B550" s="37"/>
      <c r="C550" s="12"/>
      <c r="D550" s="12"/>
      <c r="E550" s="301"/>
      <c r="F550" s="301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  <c r="AB550" s="301"/>
      <c r="AC550" s="301"/>
      <c r="AD550" s="301"/>
      <c r="AE550" s="301"/>
      <c r="AF550" s="301"/>
      <c r="AG550" s="301"/>
      <c r="AH550" s="301"/>
      <c r="AI550" s="301"/>
      <c r="AJ550" s="301"/>
      <c r="AK550" s="301"/>
    </row>
    <row r="551" ht="45.0" customHeight="1">
      <c r="A551" s="12"/>
      <c r="B551" s="37"/>
      <c r="C551" s="12"/>
      <c r="D551" s="12"/>
      <c r="E551" s="301"/>
      <c r="F551" s="301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  <c r="AB551" s="301"/>
      <c r="AC551" s="301"/>
      <c r="AD551" s="301"/>
      <c r="AE551" s="301"/>
      <c r="AF551" s="301"/>
      <c r="AG551" s="301"/>
      <c r="AH551" s="301"/>
      <c r="AI551" s="301"/>
      <c r="AJ551" s="301"/>
      <c r="AK551" s="301"/>
    </row>
    <row r="552" ht="45.0" customHeight="1">
      <c r="A552" s="12"/>
      <c r="B552" s="37"/>
      <c r="C552" s="12"/>
      <c r="D552" s="12"/>
      <c r="E552" s="301"/>
      <c r="F552" s="301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  <c r="AB552" s="301"/>
      <c r="AC552" s="301"/>
      <c r="AD552" s="301"/>
      <c r="AE552" s="301"/>
      <c r="AF552" s="301"/>
      <c r="AG552" s="301"/>
      <c r="AH552" s="301"/>
      <c r="AI552" s="301"/>
      <c r="AJ552" s="301"/>
      <c r="AK552" s="301"/>
    </row>
    <row r="553" ht="45.0" customHeight="1">
      <c r="A553" s="12"/>
      <c r="B553" s="37"/>
      <c r="C553" s="12"/>
      <c r="D553" s="12"/>
      <c r="E553" s="301"/>
      <c r="F553" s="301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  <c r="AC553" s="301"/>
      <c r="AD553" s="301"/>
      <c r="AE553" s="301"/>
      <c r="AF553" s="301"/>
      <c r="AG553" s="301"/>
      <c r="AH553" s="301"/>
      <c r="AI553" s="301"/>
      <c r="AJ553" s="301"/>
      <c r="AK553" s="301"/>
    </row>
    <row r="554" ht="45.0" customHeight="1">
      <c r="A554" s="12"/>
      <c r="B554" s="37"/>
      <c r="C554" s="12"/>
      <c r="D554" s="12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  <c r="AB554" s="301"/>
      <c r="AC554" s="301"/>
      <c r="AD554" s="301"/>
      <c r="AE554" s="301"/>
      <c r="AF554" s="301"/>
      <c r="AG554" s="301"/>
      <c r="AH554" s="301"/>
      <c r="AI554" s="301"/>
      <c r="AJ554" s="301"/>
      <c r="AK554" s="301"/>
    </row>
    <row r="555" ht="45.0" customHeight="1">
      <c r="A555" s="12"/>
      <c r="B555" s="37"/>
      <c r="C555" s="12"/>
      <c r="D555" s="12"/>
      <c r="E555" s="301"/>
      <c r="F555" s="301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  <c r="AB555" s="301"/>
      <c r="AC555" s="301"/>
      <c r="AD555" s="301"/>
      <c r="AE555" s="301"/>
      <c r="AF555" s="301"/>
      <c r="AG555" s="301"/>
      <c r="AH555" s="301"/>
      <c r="AI555" s="301"/>
      <c r="AJ555" s="301"/>
      <c r="AK555" s="301"/>
    </row>
    <row r="556" ht="45.0" customHeight="1">
      <c r="A556" s="12"/>
      <c r="B556" s="37"/>
      <c r="C556" s="12"/>
      <c r="D556" s="12"/>
      <c r="E556" s="301"/>
      <c r="F556" s="301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  <c r="AB556" s="301"/>
      <c r="AC556" s="301"/>
      <c r="AD556" s="301"/>
      <c r="AE556" s="301"/>
      <c r="AF556" s="301"/>
      <c r="AG556" s="301"/>
      <c r="AH556" s="301"/>
      <c r="AI556" s="301"/>
      <c r="AJ556" s="301"/>
      <c r="AK556" s="301"/>
    </row>
    <row r="557" ht="45.0" customHeight="1">
      <c r="A557" s="12"/>
      <c r="B557" s="37"/>
      <c r="C557" s="12"/>
      <c r="D557" s="12"/>
      <c r="E557" s="301"/>
      <c r="F557" s="301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  <c r="AB557" s="301"/>
      <c r="AC557" s="301"/>
      <c r="AD557" s="301"/>
      <c r="AE557" s="301"/>
      <c r="AF557" s="301"/>
      <c r="AG557" s="301"/>
      <c r="AH557" s="301"/>
      <c r="AI557" s="301"/>
      <c r="AJ557" s="301"/>
      <c r="AK557" s="301"/>
    </row>
    <row r="558" ht="45.0" customHeight="1">
      <c r="A558" s="12"/>
      <c r="B558" s="37"/>
      <c r="C558" s="12"/>
      <c r="D558" s="12"/>
      <c r="E558" s="301"/>
      <c r="F558" s="301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  <c r="AB558" s="301"/>
      <c r="AC558" s="301"/>
      <c r="AD558" s="301"/>
      <c r="AE558" s="301"/>
      <c r="AF558" s="301"/>
      <c r="AG558" s="301"/>
      <c r="AH558" s="301"/>
      <c r="AI558" s="301"/>
      <c r="AJ558" s="301"/>
      <c r="AK558" s="301"/>
    </row>
    <row r="559" ht="45.0" customHeight="1">
      <c r="A559" s="12"/>
      <c r="B559" s="37"/>
      <c r="C559" s="12"/>
      <c r="D559" s="12"/>
      <c r="E559" s="301"/>
      <c r="F559" s="301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  <c r="AB559" s="301"/>
      <c r="AC559" s="301"/>
      <c r="AD559" s="301"/>
      <c r="AE559" s="301"/>
      <c r="AF559" s="301"/>
      <c r="AG559" s="301"/>
      <c r="AH559" s="301"/>
      <c r="AI559" s="301"/>
      <c r="AJ559" s="301"/>
      <c r="AK559" s="301"/>
    </row>
    <row r="560" ht="45.0" customHeight="1">
      <c r="A560" s="12"/>
      <c r="B560" s="37"/>
      <c r="C560" s="12"/>
      <c r="D560" s="12"/>
      <c r="E560" s="301"/>
      <c r="F560" s="301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  <c r="AB560" s="301"/>
      <c r="AC560" s="301"/>
      <c r="AD560" s="301"/>
      <c r="AE560" s="301"/>
      <c r="AF560" s="301"/>
      <c r="AG560" s="301"/>
      <c r="AH560" s="301"/>
      <c r="AI560" s="301"/>
      <c r="AJ560" s="301"/>
      <c r="AK560" s="301"/>
    </row>
    <row r="561" ht="45.0" customHeight="1">
      <c r="A561" s="12"/>
      <c r="B561" s="37"/>
      <c r="C561" s="12"/>
      <c r="D561" s="12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  <c r="AB561" s="301"/>
      <c r="AC561" s="301"/>
      <c r="AD561" s="301"/>
      <c r="AE561" s="301"/>
      <c r="AF561" s="301"/>
      <c r="AG561" s="301"/>
      <c r="AH561" s="301"/>
      <c r="AI561" s="301"/>
      <c r="AJ561" s="301"/>
      <c r="AK561" s="301"/>
    </row>
    <row r="562" ht="45.0" customHeight="1">
      <c r="A562" s="12"/>
      <c r="B562" s="37"/>
      <c r="C562" s="12"/>
      <c r="D562" s="12"/>
      <c r="E562" s="301"/>
      <c r="F562" s="301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  <c r="AB562" s="301"/>
      <c r="AC562" s="301"/>
      <c r="AD562" s="301"/>
      <c r="AE562" s="301"/>
      <c r="AF562" s="301"/>
      <c r="AG562" s="301"/>
      <c r="AH562" s="301"/>
      <c r="AI562" s="301"/>
      <c r="AJ562" s="301"/>
      <c r="AK562" s="301"/>
    </row>
    <row r="563" ht="45.0" customHeight="1">
      <c r="A563" s="12"/>
      <c r="B563" s="37"/>
      <c r="C563" s="12"/>
      <c r="D563" s="12"/>
      <c r="E563" s="12"/>
    </row>
    <row r="564" ht="45.0" customHeight="1">
      <c r="A564" s="12"/>
      <c r="B564" s="37"/>
      <c r="C564" s="12"/>
      <c r="D564" s="12"/>
      <c r="E564" s="12"/>
    </row>
    <row r="565" ht="45.0" customHeight="1">
      <c r="A565" s="12"/>
      <c r="B565" s="37"/>
      <c r="C565" s="12"/>
      <c r="D565" s="12"/>
      <c r="E565" s="12"/>
    </row>
    <row r="566" ht="45.0" customHeight="1">
      <c r="A566" s="12"/>
      <c r="B566" s="37"/>
      <c r="C566" s="12"/>
      <c r="D566" s="12"/>
      <c r="E566" s="12"/>
    </row>
    <row r="567" ht="45.0" customHeight="1">
      <c r="A567" s="12"/>
      <c r="B567" s="37"/>
      <c r="C567" s="12"/>
      <c r="D567" s="12"/>
      <c r="E567" s="12"/>
    </row>
    <row r="568" ht="45.0" customHeight="1">
      <c r="A568" s="12"/>
      <c r="B568" s="37"/>
      <c r="C568" s="12"/>
      <c r="D568" s="12"/>
      <c r="E568" s="12"/>
    </row>
    <row r="569" ht="45.0" customHeight="1">
      <c r="A569" s="12"/>
      <c r="B569" s="37"/>
      <c r="C569" s="12"/>
      <c r="D569" s="12"/>
      <c r="E569" s="12"/>
    </row>
    <row r="570" ht="45.0" customHeight="1">
      <c r="A570" s="12"/>
      <c r="B570" s="37"/>
      <c r="C570" s="12"/>
      <c r="D570" s="12"/>
      <c r="E570" s="12"/>
    </row>
    <row r="571" ht="45.0" customHeight="1">
      <c r="A571" s="12"/>
      <c r="B571" s="37"/>
      <c r="C571" s="12"/>
      <c r="D571" s="12"/>
      <c r="E571" s="12"/>
    </row>
    <row r="572" ht="45.0" customHeight="1">
      <c r="A572" s="12"/>
      <c r="B572" s="37"/>
      <c r="C572" s="12"/>
      <c r="D572" s="12"/>
      <c r="E572" s="12"/>
    </row>
    <row r="573" ht="45.0" customHeight="1">
      <c r="A573" s="12"/>
      <c r="B573" s="37"/>
      <c r="C573" s="12"/>
      <c r="D573" s="12"/>
      <c r="E573" s="12"/>
    </row>
    <row r="574" ht="45.0" customHeight="1">
      <c r="A574" s="12"/>
      <c r="B574" s="37"/>
      <c r="C574" s="12"/>
      <c r="D574" s="12"/>
      <c r="E574" s="12"/>
    </row>
    <row r="575" ht="45.0" customHeight="1">
      <c r="A575" s="12"/>
      <c r="B575" s="37"/>
      <c r="C575" s="12"/>
      <c r="D575" s="12"/>
      <c r="E575" s="12"/>
    </row>
  </sheetData>
  <autoFilter ref="$A$1:$D$394">
    <sortState ref="A1:D394">
      <sortCondition ref="A1:A394"/>
    </sortState>
  </autoFilter>
  <conditionalFormatting sqref="B2">
    <cfRule type="containsBlanks" dxfId="0" priority="1">
      <formula>LEN(TRIM(B2))=0</formula>
    </cfRule>
  </conditionalFormatting>
  <conditionalFormatting sqref="E1:E549">
    <cfRule type="cellIs" dxfId="3" priority="2" operator="equal">
      <formula>1</formula>
    </cfRule>
  </conditionalFormatting>
  <conditionalFormatting sqref="E1:E549">
    <cfRule type="cellIs" dxfId="8" priority="3" operator="equal">
      <formula>2</formula>
    </cfRule>
  </conditionalFormatting>
  <conditionalFormatting sqref="E1:E549">
    <cfRule type="cellIs" dxfId="9" priority="4" operator="equal">
      <formula>3</formula>
    </cfRule>
  </conditionalFormatting>
  <conditionalFormatting sqref="E1:E549">
    <cfRule type="cellIs" dxfId="5" priority="5" operator="equal">
      <formula>4</formula>
    </cfRule>
  </conditionalFormatting>
  <conditionalFormatting sqref="E1:E549">
    <cfRule type="notContainsBlanks" dxfId="10" priority="6">
      <formula>LEN(TRIM(E1))&gt;0</formula>
    </cfRule>
  </conditionalFormatting>
  <printOptions horizontalCentered="1" vertic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44.29"/>
    <col customWidth="1" min="3" max="3" width="20.86"/>
    <col customWidth="1" min="4" max="4" width="14.29"/>
    <col customWidth="1" min="5" max="37" width="7.0"/>
  </cols>
  <sheetData>
    <row r="1" ht="45.0" customHeight="1">
      <c r="A1" s="210" t="s">
        <v>0</v>
      </c>
      <c r="B1" s="211" t="s">
        <v>2</v>
      </c>
      <c r="C1" s="213" t="s">
        <v>13</v>
      </c>
      <c r="D1" s="210" t="s">
        <v>2004</v>
      </c>
      <c r="E1" s="305">
        <v>1.0</v>
      </c>
      <c r="F1" s="305">
        <v>2.0</v>
      </c>
      <c r="G1" s="305">
        <v>4.0</v>
      </c>
      <c r="H1" s="305">
        <v>3.0</v>
      </c>
      <c r="I1" s="305">
        <v>5.0</v>
      </c>
      <c r="J1" s="305">
        <v>6.0</v>
      </c>
      <c r="K1" s="305">
        <v>7.0</v>
      </c>
      <c r="L1" s="305">
        <v>8.0</v>
      </c>
      <c r="M1" s="305">
        <v>9.0</v>
      </c>
      <c r="N1" s="305">
        <v>10.0</v>
      </c>
      <c r="O1" s="305">
        <v>11.0</v>
      </c>
      <c r="P1" s="305">
        <v>12.0</v>
      </c>
      <c r="Q1" s="305">
        <v>13.0</v>
      </c>
      <c r="R1" s="305">
        <v>14.0</v>
      </c>
      <c r="S1" s="305">
        <v>15.0</v>
      </c>
      <c r="T1" s="305">
        <v>16.0</v>
      </c>
      <c r="U1" s="305">
        <v>17.0</v>
      </c>
      <c r="V1" s="305">
        <v>18.0</v>
      </c>
      <c r="W1" s="305">
        <v>19.0</v>
      </c>
      <c r="X1" s="305">
        <v>20.0</v>
      </c>
      <c r="Y1" s="305">
        <v>21.0</v>
      </c>
      <c r="Z1" s="305">
        <v>22.0</v>
      </c>
      <c r="AA1" s="305">
        <v>23.0</v>
      </c>
      <c r="AB1" s="305">
        <v>24.0</v>
      </c>
      <c r="AC1" s="305">
        <v>25.0</v>
      </c>
      <c r="AD1" s="305">
        <v>26.0</v>
      </c>
      <c r="AE1" s="305">
        <v>27.0</v>
      </c>
      <c r="AF1" s="305">
        <v>28.0</v>
      </c>
      <c r="AG1" s="305">
        <v>29.0</v>
      </c>
      <c r="AH1" s="305">
        <v>30.0</v>
      </c>
      <c r="AI1" s="305">
        <v>31.0</v>
      </c>
      <c r="AJ1" s="305">
        <v>32.0</v>
      </c>
      <c r="AK1" s="305">
        <v>33.0</v>
      </c>
    </row>
    <row r="2" ht="44.25" hidden="1" customHeight="1">
      <c r="A2" s="11">
        <v>1.0</v>
      </c>
      <c r="B2" s="93" t="s">
        <v>18</v>
      </c>
      <c r="C2" s="11" t="str">
        <f>IMAGE("https://m.media-amazon.com/images/I/61ZBVWoGgCL._SL1500_.jpg",1)</f>
        <v/>
      </c>
      <c r="D2" s="216">
        <v>6.0</v>
      </c>
      <c r="E2" s="12"/>
    </row>
    <row r="3" ht="45.0" hidden="1" customHeight="1">
      <c r="A3" s="11">
        <v>2.0</v>
      </c>
      <c r="B3" s="93" t="s">
        <v>27</v>
      </c>
      <c r="C3" s="11" t="str">
        <f>IMAGE("https://5.imimg.com/data5/BN/FC/MY-25588345/omega-cell-tape-dispenser-500x500.jpg",1)</f>
        <v/>
      </c>
      <c r="D3" s="216">
        <v>2.0</v>
      </c>
      <c r="E3" s="12"/>
    </row>
    <row r="4" ht="45.0" hidden="1" customHeight="1">
      <c r="A4" s="11">
        <v>3.0</v>
      </c>
      <c r="B4" s="93" t="s">
        <v>31</v>
      </c>
      <c r="C4" s="11" t="str">
        <f>IMAGE("https://m.media-amazon.com/images/I/21wXjA1iP5L.jpg",1)</f>
        <v/>
      </c>
      <c r="D4" s="216">
        <v>6.0</v>
      </c>
      <c r="E4" s="12"/>
    </row>
    <row r="5" ht="45.0" hidden="1" customHeight="1">
      <c r="A5" s="11">
        <v>4.0</v>
      </c>
      <c r="B5" s="93" t="s">
        <v>35</v>
      </c>
      <c r="C5" s="11" t="str">
        <f>IMAGE("https://5.imimg.com/data5/YG/CD/MY-4112616/transparent-tape-500x500.jpg",1)</f>
        <v/>
      </c>
      <c r="D5" s="216">
        <v>6.0</v>
      </c>
      <c r="E5" s="12"/>
    </row>
    <row r="6" ht="45.0" hidden="1" customHeight="1">
      <c r="A6" s="11">
        <v>5.0</v>
      </c>
      <c r="B6" s="93" t="s">
        <v>1886</v>
      </c>
      <c r="C6" s="11" t="str">
        <f>IMAGE("https://m.media-amazon.com/images/I/61JiUrBk2-L._SL1082_.jpg",1)</f>
        <v/>
      </c>
      <c r="D6" s="216">
        <v>6.0</v>
      </c>
      <c r="E6" s="12"/>
    </row>
    <row r="7" ht="45.0" hidden="1" customHeight="1">
      <c r="A7" s="11">
        <v>6.0</v>
      </c>
      <c r="B7" s="93" t="s">
        <v>42</v>
      </c>
      <c r="C7" s="11" t="str">
        <f>IMAGE("https://m.media-amazon.com/images/I/51JAsOuirxL._SL1000_.jpg",1)</f>
        <v/>
      </c>
      <c r="D7" s="216">
        <v>6.0</v>
      </c>
      <c r="E7" s="12"/>
    </row>
    <row r="8" ht="45.0" hidden="1" customHeight="1">
      <c r="A8" s="11">
        <v>7.0</v>
      </c>
      <c r="B8" s="93" t="s">
        <v>46</v>
      </c>
      <c r="C8" s="11" t="str">
        <f>IMAGE("https://m.media-amazon.com/images/I/81zdeTxqkLL._SL1500_.jpg",1)</f>
        <v/>
      </c>
      <c r="D8" s="11">
        <v>10.0</v>
      </c>
      <c r="E8" s="12"/>
    </row>
    <row r="9" ht="45.0" hidden="1" customHeight="1">
      <c r="A9" s="11">
        <v>8.0</v>
      </c>
      <c r="B9" s="93" t="s">
        <v>51</v>
      </c>
      <c r="C9" s="11" t="str">
        <f>IMAGE("https://megahardwarett.com/wp-content/uploads/2022/03/71TQZaRi6yL._AC_SX425_.jpg",1)</f>
        <v/>
      </c>
      <c r="D9" s="216">
        <v>5.0</v>
      </c>
      <c r="E9" s="12"/>
    </row>
    <row r="10" ht="45.0" hidden="1" customHeight="1">
      <c r="A10" s="11">
        <v>9.0</v>
      </c>
      <c r="B10" s="93" t="s">
        <v>1887</v>
      </c>
      <c r="C10" s="11" t="str">
        <f>IMAGE("https://m.media-amazon.com/images/I/51xkFZnkVFL._SX466_.jpg",1)</f>
        <v/>
      </c>
      <c r="D10" s="216">
        <v>10.0</v>
      </c>
      <c r="E10" s="12"/>
    </row>
    <row r="11" ht="45.0" hidden="1" customHeight="1">
      <c r="A11" s="11">
        <v>10.0</v>
      </c>
      <c r="B11" s="93" t="s">
        <v>1888</v>
      </c>
      <c r="C11" s="11" t="str">
        <f>IMAGE("https://5.imimg.com/data5/LJ/PW/MY-3849711/loctite-401-super-glue-500x500.jpg",1)</f>
        <v/>
      </c>
      <c r="D11" s="216">
        <v>10.0</v>
      </c>
      <c r="E11" s="12"/>
    </row>
    <row r="12" ht="45.0" hidden="1" customHeight="1">
      <c r="A12" s="11">
        <v>11.0</v>
      </c>
      <c r="B12" s="93" t="s">
        <v>1891</v>
      </c>
      <c r="C12" s="11" t="str">
        <f>IMAGE("https://m.media-amazon.com/images/W/MEDIAX_792452-T2/images/I/611Q9E31rML._SL1500_.jpg",1)</f>
        <v/>
      </c>
      <c r="D12" s="11">
        <v>10.0</v>
      </c>
      <c r="E12" s="12"/>
    </row>
    <row r="13" ht="45.0" hidden="1" customHeight="1">
      <c r="A13" s="11">
        <v>12.0</v>
      </c>
      <c r="B13" s="93" t="s">
        <v>71</v>
      </c>
      <c r="C13" s="11" t="str">
        <f>IMAGE("https://helloaugust.in/wp-content/uploads/2020/04/dark-colour-chart-paper-full-size-300x300.jpg",1)</f>
        <v/>
      </c>
      <c r="D13" s="216">
        <v>25.0</v>
      </c>
      <c r="E13" s="12"/>
    </row>
    <row r="14" ht="45.0" hidden="1" customHeight="1">
      <c r="A14" s="11">
        <v>13.0</v>
      </c>
      <c r="B14" s="93" t="s">
        <v>352</v>
      </c>
      <c r="C14" s="11" t="str">
        <f>IMAGE("https://4.imimg.com/data4/TN/NP/MY-32886991/a4-colour-paper-500x500.jpg",1)</f>
        <v/>
      </c>
      <c r="D14" s="216">
        <v>5.0</v>
      </c>
      <c r="E14" s="12"/>
    </row>
    <row r="15" ht="45.0" hidden="1" customHeight="1">
      <c r="A15" s="11">
        <v>14.0</v>
      </c>
      <c r="B15" s="93" t="s">
        <v>1893</v>
      </c>
      <c r="C15" s="11" t="str">
        <f>IMAGE("https://www.htconline.in/images/thumbs/0019821_camlin-drawing-pencils-set-of-6.jpeg",1)</f>
        <v/>
      </c>
      <c r="D15" s="216">
        <v>5.0</v>
      </c>
      <c r="E15" s="12"/>
    </row>
    <row r="16" ht="45.0" hidden="1" customHeight="1">
      <c r="A16" s="11">
        <v>15.0</v>
      </c>
      <c r="B16" s="93" t="s">
        <v>91</v>
      </c>
      <c r="C16" s="11" t="str">
        <f>IMAGE("https://upload.wikimedia.org/wikipedia/commons/e/e8/Office-pink-erasers.jpg",1)</f>
        <v/>
      </c>
      <c r="D16" s="216">
        <v>20.0</v>
      </c>
      <c r="E16" s="12"/>
    </row>
    <row r="17" ht="45.0" hidden="1" customHeight="1">
      <c r="A17" s="11">
        <v>16.0</v>
      </c>
      <c r="B17" s="93" t="s">
        <v>95</v>
      </c>
      <c r="C17" s="11" t="str">
        <f>IMAGE("https://cdn.shopify.com/s/files/1/0064/3412/7939/products/Main-2_2baab3ae-c700-4dd7-acd2-e9442aee0358_2048x.jpg?v=1669799264",1)</f>
        <v/>
      </c>
      <c r="D17" s="216">
        <v>10.0</v>
      </c>
      <c r="E17" s="12"/>
    </row>
    <row r="18" ht="45.0" hidden="1" customHeight="1">
      <c r="A18" s="11">
        <v>17.0</v>
      </c>
      <c r="B18" s="93" t="s">
        <v>1894</v>
      </c>
      <c r="C18" s="11" t="e">
        <v>#VALUE!</v>
      </c>
      <c r="D18" s="216">
        <v>10.0</v>
      </c>
      <c r="E18" s="12"/>
    </row>
    <row r="19" ht="45.0" hidden="1" customHeight="1">
      <c r="A19" s="11">
        <v>18.0</v>
      </c>
      <c r="B19" s="93" t="s">
        <v>1896</v>
      </c>
      <c r="C19" s="11" t="str">
        <f>IMAGE("https://i5.walmartimages.com/asr/093150f9-deec-44c1-a07d-a6985f3f45c7.dad44d94862d81eed55b6d8aef2937c1.jpeg?odnHeight=612&amp;odnWidth=612&amp;odnBg=FFFFFF",1)</f>
        <v/>
      </c>
      <c r="D19" s="216">
        <v>1.0</v>
      </c>
      <c r="E19" s="12"/>
    </row>
    <row r="20" ht="45.0" hidden="1" customHeight="1">
      <c r="A20" s="11">
        <v>19.0</v>
      </c>
      <c r="B20" s="93" t="s">
        <v>115</v>
      </c>
      <c r="C20" s="11" t="str">
        <f>IMAGE("https://m.media-amazon.com/images/I/81XeaSXczEL._SL1500_.jpg",1)</f>
        <v/>
      </c>
      <c r="D20" s="216">
        <v>10.0</v>
      </c>
      <c r="E20" s="12"/>
    </row>
    <row r="21" ht="45.0" hidden="1" customHeight="1">
      <c r="A21" s="11">
        <v>20.0</v>
      </c>
      <c r="B21" s="93" t="s">
        <v>127</v>
      </c>
      <c r="C21" s="11" t="e">
        <v>#VALUE!</v>
      </c>
      <c r="D21" s="216">
        <v>5.0</v>
      </c>
      <c r="E21" s="12"/>
    </row>
    <row r="22" ht="45.0" hidden="1" customHeight="1">
      <c r="A22" s="11">
        <v>21.0</v>
      </c>
      <c r="B22" s="93" t="s">
        <v>1889</v>
      </c>
      <c r="C22" s="11" t="str">
        <f>IMAGE("https://5.imimg.com/data5/SELLER/Default/2020/9/EF/FR/SW/13763930/fevicryte-acrylic-colors-500x500.jpg",1)</f>
        <v/>
      </c>
      <c r="D22" s="216">
        <v>60.0</v>
      </c>
      <c r="E22" s="12"/>
    </row>
    <row r="23" ht="45.0" hidden="1" customHeight="1">
      <c r="A23" s="11">
        <v>22.0</v>
      </c>
      <c r="B23" s="93" t="s">
        <v>101</v>
      </c>
      <c r="C23" s="11" t="str">
        <f>IMAGE("https://i5.walmartimages.com/asr/2f51619b-ee1e-4e7f-9717-927459ae38b6.1308a61cc28d473c3122e46595affb79.jpeg",1)</f>
        <v/>
      </c>
      <c r="D23" s="216">
        <v>10.0</v>
      </c>
      <c r="E23" s="12"/>
    </row>
    <row r="24" ht="45.0" hidden="1" customHeight="1">
      <c r="A24" s="11">
        <v>23.0</v>
      </c>
      <c r="B24" s="93" t="s">
        <v>105</v>
      </c>
      <c r="C24" s="11" t="str">
        <f>IMAGE("https://c8.alamy.com/comp/R7TP32/paint-palette-with-various-acrylic-paints-and-a-brush-R7TP32.jpg",1)</f>
        <v/>
      </c>
      <c r="D24" s="216">
        <v>5.0</v>
      </c>
      <c r="E24" s="12"/>
    </row>
    <row r="25" ht="45.0" hidden="1" customHeight="1">
      <c r="A25" s="11">
        <v>24.0</v>
      </c>
      <c r="B25" s="93" t="s">
        <v>135</v>
      </c>
      <c r="C25" s="11" t="str">
        <f>IMAGE("https://m.media-amazon.com/images/I/717edTeWYZL._SL1500_.jpg",1)</f>
        <v/>
      </c>
      <c r="D25" s="216">
        <v>10.0</v>
      </c>
      <c r="E25" s="12"/>
    </row>
    <row r="26" ht="45.0" hidden="1" customHeight="1">
      <c r="A26" s="11">
        <v>25.0</v>
      </c>
      <c r="B26" s="93" t="s">
        <v>1897</v>
      </c>
      <c r="C26" s="11" t="str">
        <f>IMAGE("https://www.faithfulltools.com/images/xxlarge/FAIRULE150SS.jpg",1)</f>
        <v/>
      </c>
      <c r="D26" s="216">
        <v>10.0</v>
      </c>
      <c r="E26" s="12"/>
    </row>
    <row r="27" ht="45.0" hidden="1" customHeight="1">
      <c r="A27" s="11">
        <v>26.0</v>
      </c>
      <c r="B27" s="93" t="s">
        <v>131</v>
      </c>
      <c r="C27" s="11" t="str">
        <f>IMAGE("https://5.imimg.com/data5/AO/GN/AU/SELLER-10873750/floppy-disk-1000x1000.jpg",1)</f>
        <v/>
      </c>
      <c r="D27" s="216">
        <v>10.0</v>
      </c>
      <c r="E27" s="12"/>
    </row>
    <row r="28" ht="45.0" hidden="1" customHeight="1">
      <c r="A28" s="11">
        <v>27.0</v>
      </c>
      <c r="B28" s="93" t="s">
        <v>123</v>
      </c>
      <c r="C28" s="11" t="str">
        <f>IMAGE("https://images.meesho.com/images/products/60299132/dranx_512.jpg",1)</f>
        <v/>
      </c>
      <c r="D28" s="216">
        <v>10.0</v>
      </c>
      <c r="E28" s="12"/>
    </row>
    <row r="29" ht="45.0" hidden="1" customHeight="1">
      <c r="A29" s="11">
        <v>28.0</v>
      </c>
      <c r="B29" s="260" t="s">
        <v>2001</v>
      </c>
      <c r="C29" s="11"/>
      <c r="D29" s="216">
        <v>5.0</v>
      </c>
      <c r="E29" s="12"/>
    </row>
    <row r="30" ht="45.0" hidden="1" customHeight="1">
      <c r="A30" s="11">
        <v>29.0</v>
      </c>
      <c r="B30" s="93" t="s">
        <v>1008</v>
      </c>
      <c r="C30" s="11" t="str">
        <f>IMAGE("https://5.imimg.com/data5/KE/BV/MY-37063415/elastic-rubber-band-500x500.jpg",1)</f>
        <v/>
      </c>
      <c r="D30" s="216">
        <v>1.0</v>
      </c>
      <c r="E30" s="12"/>
    </row>
    <row r="31" ht="45.0" hidden="1" customHeight="1">
      <c r="A31" s="11">
        <v>30.0</v>
      </c>
      <c r="B31" s="93" t="s">
        <v>1012</v>
      </c>
      <c r="C31" s="11" t="str">
        <f>IMAGE("https://5.imimg.com/data5/BN/VV/MY-31202642/rubber-band-500x500.jpg",1)</f>
        <v/>
      </c>
      <c r="D31" s="216">
        <v>1.0</v>
      </c>
      <c r="E31" s="12"/>
    </row>
    <row r="32" ht="45.0" hidden="1" customHeight="1">
      <c r="A32" s="11">
        <v>31.0</v>
      </c>
      <c r="B32" s="93" t="s">
        <v>1016</v>
      </c>
      <c r="C32" s="11" t="str">
        <f>IMAGE("https://5.imimg.com/data5/YV/DJ/MY-7514996/rubber-band-500x500.jpg",1)</f>
        <v/>
      </c>
      <c r="D32" s="216">
        <v>1.0</v>
      </c>
      <c r="E32" s="12"/>
    </row>
    <row r="33" ht="45.0" hidden="1" customHeight="1">
      <c r="A33" s="11">
        <v>32.0</v>
      </c>
      <c r="B33" s="93" t="s">
        <v>980</v>
      </c>
      <c r="C33" s="11" t="str">
        <f t="shared" ref="C33:C35" si="1">IMAGE("https://encrypted-tbn0.gstatic.com/=IMAGEs?q=tbn:ANd9GcSdcvov5296EXdnf0Fj0qF-G6iK-nu0n6Z4THAWosUzBx_wQ7GuJyrL0Rnbt1uBxLroiao&amp;usqp=CAU",1)</f>
        <v/>
      </c>
      <c r="D33" s="216">
        <v>5.0</v>
      </c>
      <c r="E33" s="12"/>
    </row>
    <row r="34" ht="45.0" hidden="1" customHeight="1">
      <c r="A34" s="11">
        <v>33.0</v>
      </c>
      <c r="B34" s="93" t="s">
        <v>985</v>
      </c>
      <c r="C34" s="11" t="str">
        <f t="shared" si="1"/>
        <v/>
      </c>
      <c r="D34" s="216">
        <v>5.0</v>
      </c>
      <c r="E34" s="12"/>
    </row>
    <row r="35" ht="45.0" hidden="1" customHeight="1">
      <c r="A35" s="11">
        <v>34.0</v>
      </c>
      <c r="B35" s="93" t="s">
        <v>989</v>
      </c>
      <c r="C35" s="11" t="str">
        <f t="shared" si="1"/>
        <v/>
      </c>
      <c r="D35" s="216">
        <v>2.0</v>
      </c>
      <c r="E35" s="12"/>
    </row>
    <row r="36" ht="45.0" hidden="1" customHeight="1">
      <c r="A36" s="11">
        <v>35.0</v>
      </c>
      <c r="B36" s="93" t="s">
        <v>993</v>
      </c>
      <c r="C36" s="11" t="str">
        <f t="shared" ref="C36:C38" si="2">IMAGE("https://encrypted-tbn0.gstatic.com/=IMAGEs?q=tbn:ANd9GcTv3YU2gmM00qoI79XpKhq-dV1wM5aPXrLsmrVwQWwEda0tuTarN0ncQ0DMg_JUYk4IBe4&amp;usqp=CAU",1)</f>
        <v/>
      </c>
      <c r="D36" s="216">
        <v>5.0</v>
      </c>
      <c r="E36" s="12"/>
    </row>
    <row r="37" ht="45.0" hidden="1" customHeight="1">
      <c r="A37" s="11">
        <v>36.0</v>
      </c>
      <c r="B37" s="93" t="s">
        <v>997</v>
      </c>
      <c r="C37" s="11" t="str">
        <f t="shared" si="2"/>
        <v/>
      </c>
      <c r="D37" s="216">
        <v>5.0</v>
      </c>
      <c r="E37" s="12"/>
    </row>
    <row r="38" ht="45.0" hidden="1" customHeight="1">
      <c r="A38" s="11">
        <v>37.0</v>
      </c>
      <c r="B38" s="93" t="s">
        <v>1000</v>
      </c>
      <c r="C38" s="11" t="str">
        <f t="shared" si="2"/>
        <v/>
      </c>
      <c r="D38" s="216">
        <v>5.0</v>
      </c>
      <c r="E38" s="12"/>
    </row>
    <row r="39" ht="45.0" hidden="1" customHeight="1">
      <c r="A39" s="11">
        <v>38.0</v>
      </c>
      <c r="B39" s="93" t="s">
        <v>1004</v>
      </c>
      <c r="C39" s="11" t="str">
        <f>IMAGE("https://3.imimg.com/data3/QQ/JR/MY-2/plastic-twine-500x500.jpg",1)</f>
        <v/>
      </c>
      <c r="D39" s="216">
        <v>1.0</v>
      </c>
      <c r="E39" s="12"/>
    </row>
    <row r="40" ht="45.0" hidden="1" customHeight="1">
      <c r="A40" s="11">
        <v>39.0</v>
      </c>
      <c r="B40" s="93" t="s">
        <v>1019</v>
      </c>
      <c r="C40" s="11" t="str">
        <f>IMAGE("https://m.media-amazon.com/images/I/51XnX9DfiFL._SL1166_.jpg",1)</f>
        <v/>
      </c>
      <c r="D40" s="216">
        <v>1.0</v>
      </c>
      <c r="E40" s="12"/>
    </row>
    <row r="41" ht="45.0" hidden="1" customHeight="1">
      <c r="A41" s="11">
        <v>40.0</v>
      </c>
      <c r="B41" s="93" t="s">
        <v>1982</v>
      </c>
      <c r="C41" s="11" t="str">
        <f>IMAGE("https://m.media-amazon.com/images/I/81PowerIGsL._SL1500_.jpg")</f>
        <v/>
      </c>
      <c r="D41" s="216">
        <v>1.0</v>
      </c>
      <c r="E41" s="12"/>
    </row>
    <row r="42" ht="45.0" hidden="1" customHeight="1">
      <c r="A42" s="11">
        <v>41.0</v>
      </c>
      <c r="B42" s="93" t="s">
        <v>1439</v>
      </c>
      <c r="C42" s="11" t="str">
        <f>IMAGE("https://cdn.shopify.com/s/files/1/0032/5448/5037/products/suvidha-aluminium-foil-72-meters-pack-of-12_800x.jpg?v=1562920856",1)</f>
        <v/>
      </c>
      <c r="D42" s="216">
        <v>5.0</v>
      </c>
      <c r="E42" s="12"/>
    </row>
    <row r="43" ht="45.0" hidden="1" customHeight="1">
      <c r="A43" s="11">
        <v>42.0</v>
      </c>
      <c r="B43" s="93" t="s">
        <v>1425</v>
      </c>
      <c r="C43" s="11" t="str">
        <f>IMAGE("https://imgs.michaels.com/MAM/assets/1/5E3C12034D34434F8A9BAAFDDF0F8E1B/img/5CDBB82051B44720A8F8901B4AABD77C/10446567_2.jpg",1)</f>
        <v/>
      </c>
      <c r="D43" s="11">
        <v>5.0</v>
      </c>
      <c r="E43" s="12"/>
    </row>
    <row r="44" ht="45.0" hidden="1" customHeight="1">
      <c r="A44" s="11">
        <v>43.0</v>
      </c>
      <c r="B44" s="93" t="s">
        <v>1981</v>
      </c>
      <c r="C44" s="11" t="str">
        <f>IMAGE("https://upload.wikimedia.org/wikipedia/commons/7/79/Polymer_clay_examples.jpg",1)</f>
        <v/>
      </c>
      <c r="D44" s="11">
        <v>5.0</v>
      </c>
      <c r="E44" s="12"/>
    </row>
    <row r="45" ht="45.0" hidden="1" customHeight="1">
      <c r="A45" s="11">
        <v>44.0</v>
      </c>
      <c r="B45" s="93" t="s">
        <v>936</v>
      </c>
      <c r="C45" s="11" t="str">
        <f>IMAGE("https://m.media-amazon.com/images/I/61ywjiydpbS._SL1500_.jpg",1)</f>
        <v/>
      </c>
      <c r="D45" s="216">
        <v>4.0</v>
      </c>
      <c r="E45" s="12"/>
    </row>
    <row r="46" ht="45.0" hidden="1" customHeight="1">
      <c r="A46" s="11">
        <v>45.0</v>
      </c>
      <c r="B46" s="93" t="s">
        <v>1454</v>
      </c>
      <c r="C46" s="11" t="str">
        <f>IMAGE("https://cdn11.bigcommerce.com/s-33iv1gdknl/images/stencil/1280x1280/products/115465/70691/prd_32014_5797121027228__12010.1559545680.jpg?c=2",1)</f>
        <v/>
      </c>
      <c r="D46" s="216">
        <v>50.0</v>
      </c>
      <c r="E46" s="12"/>
    </row>
    <row r="47" ht="45.0" hidden="1" customHeight="1">
      <c r="A47" s="11">
        <v>46.0</v>
      </c>
      <c r="B47" s="93" t="s">
        <v>1470</v>
      </c>
      <c r="C47" s="11" t="str">
        <f>IMAGE("https://www.wpiinc.com/media/catalog/product/cache/57a65487c9a4c9d3ba2482ad45cfc757/5/0/503023.jpg",1)</f>
        <v/>
      </c>
      <c r="D47" s="216">
        <v>1.0</v>
      </c>
      <c r="E47" s="12"/>
    </row>
    <row r="48" ht="45.0" hidden="1" customHeight="1">
      <c r="A48" s="11">
        <v>47.0</v>
      </c>
      <c r="B48" s="93" t="s">
        <v>1458</v>
      </c>
      <c r="C48" s="11" t="str">
        <f>IMAGE("https://assetscdn1.paytm.com/images/catalog/product/S/ST/STAEVA-FOAM-SHEKAPI63599336D8CB51/1563562065545_0..jpg?imwidth=320&amp;impolicy=hq",1)</f>
        <v/>
      </c>
      <c r="D48" s="216">
        <v>10.0</v>
      </c>
      <c r="E48" s="12"/>
    </row>
    <row r="49" ht="45.0" hidden="1" customHeight="1">
      <c r="A49" s="11">
        <v>48.0</v>
      </c>
      <c r="B49" s="93" t="s">
        <v>1446</v>
      </c>
      <c r="C49" s="11" t="str">
        <f t="shared" ref="C49:C50" si="3">IMAGE("https://m.media-amazon.com/images/I/51FB8cHTJyL._SL1500_.jpg",1)</f>
        <v/>
      </c>
      <c r="D49" s="216">
        <v>5.0</v>
      </c>
      <c r="E49" s="12"/>
    </row>
    <row r="50" ht="45.0" hidden="1" customHeight="1">
      <c r="A50" s="11">
        <v>49.0</v>
      </c>
      <c r="B50" s="93" t="s">
        <v>1450</v>
      </c>
      <c r="C50" s="11" t="str">
        <f t="shared" si="3"/>
        <v/>
      </c>
      <c r="D50" s="216">
        <v>5.0</v>
      </c>
      <c r="E50" s="12"/>
    </row>
    <row r="51" ht="45.0" hidden="1" customHeight="1">
      <c r="A51" s="11">
        <v>50.0</v>
      </c>
      <c r="B51" s="93" t="s">
        <v>1466</v>
      </c>
      <c r="C51" s="11" t="str">
        <f>IMAGE("https://www.ramsayrubber.com/wp-content/uploads/2020/01/Rolls-Sheeting-Polyurethane-Foam-Rolls2-1.jpg",1)</f>
        <v/>
      </c>
      <c r="D51" s="216">
        <v>10.0</v>
      </c>
      <c r="E51" s="12"/>
    </row>
    <row r="52" ht="45.0" hidden="1" customHeight="1">
      <c r="A52" s="11">
        <v>51.0</v>
      </c>
      <c r="B52" s="93" t="s">
        <v>1461</v>
      </c>
      <c r="C52" s="11" t="str">
        <f>IMAGE("https://5.imimg.com/data5/NA/SV/MA/SELLER-5806248/transparent-ohp-sheet-1000x1000.jpg",1)</f>
        <v/>
      </c>
      <c r="D52" s="216">
        <v>1.0</v>
      </c>
      <c r="E52" s="12"/>
    </row>
    <row r="53" ht="45.0" hidden="1" customHeight="1">
      <c r="A53" s="11">
        <v>52.0</v>
      </c>
      <c r="B53" s="93" t="s">
        <v>1604</v>
      </c>
      <c r="C53" s="11" t="str">
        <f>IMAGE("https://3.imimg.com/data3/HA/PB/MY-3231014/sewing-needle.jpg",1)</f>
        <v/>
      </c>
      <c r="D53" s="11">
        <v>1.0</v>
      </c>
      <c r="E53" s="12"/>
    </row>
    <row r="54" ht="45.0" hidden="1" customHeight="1">
      <c r="A54" s="11">
        <v>53.0</v>
      </c>
      <c r="B54" s="93" t="s">
        <v>1608</v>
      </c>
      <c r="C54" s="11" t="str">
        <f>IMAGE("https://m.media-amazon.com/images/W/MEDIAX_792452-T2/images/I/71vxqqo9r7L.jpg",1)</f>
        <v/>
      </c>
      <c r="D54" s="11">
        <v>2.0</v>
      </c>
      <c r="E54" s="12"/>
    </row>
    <row r="55" ht="45.0" hidden="1" customHeight="1">
      <c r="A55" s="11">
        <v>54.0</v>
      </c>
      <c r="B55" s="93" t="s">
        <v>464</v>
      </c>
      <c r="C55" s="11" t="str">
        <f>IMAGE("https://5.imimg.com/data5/SELLER/Default/2020/10/MN/BG/IF/24066098/sunlu-sl-300-3d-pen-green-500x500.jpg",1)</f>
        <v/>
      </c>
      <c r="D55" s="216">
        <v>5.0</v>
      </c>
      <c r="E55" s="12"/>
    </row>
    <row r="56" ht="45.0" hidden="1" customHeight="1">
      <c r="A56" s="11">
        <v>55.0</v>
      </c>
      <c r="B56" s="93" t="s">
        <v>471</v>
      </c>
      <c r="C56" s="11" t="str">
        <f>IMAGE("https://m.media-amazon.com/images/I/61UtNlSmPaL._SX342_.jpg",1)</f>
        <v/>
      </c>
      <c r="D56" s="216">
        <v>1.0</v>
      </c>
      <c r="E56" s="12"/>
    </row>
    <row r="57" ht="45.0" hidden="1" customHeight="1">
      <c r="A57" s="11">
        <v>56.0</v>
      </c>
      <c r="B57" s="93" t="s">
        <v>475</v>
      </c>
      <c r="C57" s="11"/>
      <c r="D57" s="216">
        <v>1.0</v>
      </c>
      <c r="E57" s="12"/>
    </row>
    <row r="58" ht="45.0" hidden="1" customHeight="1">
      <c r="A58" s="11">
        <v>57.0</v>
      </c>
      <c r="B58" s="93" t="s">
        <v>479</v>
      </c>
      <c r="C58" s="11" t="str">
        <f>IMAGE("https://5.imimg.com/data5/LA/TM/JO/SELLER-79394111/3d-printer-nylon-filament-500x500.jpg",1)</f>
        <v/>
      </c>
      <c r="D58" s="216">
        <v>3.0</v>
      </c>
      <c r="E58" s="12"/>
    </row>
    <row r="59" ht="45.0" hidden="1" customHeight="1">
      <c r="A59" s="11">
        <v>58.0</v>
      </c>
      <c r="B59" s="260" t="s">
        <v>1995</v>
      </c>
      <c r="C59" s="11"/>
      <c r="D59" s="216">
        <v>1.0</v>
      </c>
      <c r="E59" s="12"/>
    </row>
    <row r="60" ht="45.0" hidden="1" customHeight="1">
      <c r="A60" s="11">
        <v>59.0</v>
      </c>
      <c r="B60" s="260" t="s">
        <v>1997</v>
      </c>
      <c r="C60" s="11"/>
      <c r="D60" s="216">
        <v>1.0</v>
      </c>
      <c r="E60" s="12"/>
    </row>
    <row r="61" ht="45.0" hidden="1" customHeight="1">
      <c r="A61" s="11">
        <v>60.0</v>
      </c>
      <c r="B61" s="93" t="s">
        <v>1125</v>
      </c>
      <c r="C61" s="11" t="str">
        <f>IMAGE("https://cdn.shopify.com/s/files/1/0276/7382/1286/products/57_1a2e82a1-0306-49dc-8a29-0c0b2110ddb8_600x.jpg?v=1632245164",1)</f>
        <v/>
      </c>
      <c r="D61" s="216">
        <v>1.0</v>
      </c>
      <c r="E61" s="12"/>
    </row>
    <row r="62" ht="45.0" customHeight="1">
      <c r="A62" s="11">
        <v>61.0</v>
      </c>
      <c r="B62" s="93" t="s">
        <v>176</v>
      </c>
      <c r="C62" s="11" t="str">
        <f>IMAGE("https://robu.in/wp-content/uploads/2021/05/EU-Plug-Universal-Battery-Charger-For-18650-16340-14500-Li-ion-Rechargeable-Battery-Charger-3.jpg",1)</f>
        <v/>
      </c>
      <c r="D62" s="216">
        <v>5.0</v>
      </c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  <c r="AE62" s="301"/>
      <c r="AF62" s="301"/>
      <c r="AG62" s="301"/>
      <c r="AH62" s="301"/>
      <c r="AI62" s="301"/>
      <c r="AJ62" s="301"/>
      <c r="AK62" s="301"/>
    </row>
    <row r="63" ht="45.0" customHeight="1">
      <c r="A63" s="11">
        <v>62.0</v>
      </c>
      <c r="B63" s="93" t="s">
        <v>220</v>
      </c>
      <c r="C63" s="11" t="str">
        <f>IMAGE("https://i02.psgsm.net/gsm.com/p/887576/480/power-bank-hoco-j26-10000-mah-micro-usb-type-b-input-5v-2a-2-usb-outputs-5-v-2-1-a-139-70-16-mm-with-micro-usb-cable-type-b-black.jpg",1)</f>
        <v/>
      </c>
      <c r="D63" s="216">
        <v>5.0</v>
      </c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  <c r="AD63" s="301"/>
      <c r="AE63" s="301"/>
      <c r="AF63" s="301"/>
      <c r="AG63" s="301"/>
      <c r="AH63" s="301"/>
      <c r="AI63" s="301"/>
      <c r="AJ63" s="301"/>
      <c r="AK63" s="301"/>
    </row>
    <row r="64" ht="45.0" customHeight="1">
      <c r="A64" s="11">
        <v>63.0</v>
      </c>
      <c r="B64" s="93" t="s">
        <v>1741</v>
      </c>
      <c r="C64" s="11" t="str">
        <f>IMAGE("https://images-na.ssl-images-amazon.com/images/I/51p4KPR9o1L.SS700.jpg",1)</f>
        <v/>
      </c>
      <c r="D64" s="216">
        <v>10.0</v>
      </c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  <c r="AC64" s="301"/>
      <c r="AD64" s="301"/>
      <c r="AE64" s="301"/>
      <c r="AF64" s="301"/>
      <c r="AG64" s="301"/>
      <c r="AH64" s="301"/>
      <c r="AI64" s="301"/>
      <c r="AJ64" s="301"/>
      <c r="AK64" s="301"/>
    </row>
    <row r="65" ht="45.0" customHeight="1">
      <c r="A65" s="11">
        <v>64.0</v>
      </c>
      <c r="B65" s="93" t="s">
        <v>228</v>
      </c>
      <c r="C65" s="11" t="str">
        <f>IMAGE("https://5.imimg.com/data5/SELLER/Default/2021/7/XA/OZ/BW/6610292/9v-power-plus-nimh-rechargeable-battery-500x500.jpg",1)</f>
        <v/>
      </c>
      <c r="D65" s="216">
        <v>10.0</v>
      </c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  <c r="AC65" s="301"/>
      <c r="AD65" s="301"/>
      <c r="AE65" s="301"/>
      <c r="AF65" s="301"/>
      <c r="AG65" s="301"/>
      <c r="AH65" s="301"/>
      <c r="AI65" s="301"/>
      <c r="AJ65" s="301"/>
      <c r="AK65" s="301"/>
    </row>
    <row r="66" ht="45.0" customHeight="1">
      <c r="A66" s="11">
        <v>65.0</v>
      </c>
      <c r="B66" s="93" t="s">
        <v>232</v>
      </c>
      <c r="C66" s="11" t="str">
        <f>IMAGE("https://images-cdn.ubuy.co.in/6578382306deda07ed788ca4-rechargeable-aa-batteries-aa.jpg",1)</f>
        <v/>
      </c>
      <c r="D66" s="216">
        <v>20.0</v>
      </c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  <c r="AD66" s="301"/>
      <c r="AE66" s="301"/>
      <c r="AF66" s="301"/>
      <c r="AG66" s="301"/>
      <c r="AH66" s="301"/>
      <c r="AI66" s="301"/>
      <c r="AJ66" s="301"/>
      <c r="AK66" s="301"/>
    </row>
    <row r="67" ht="45.0" customHeight="1">
      <c r="A67" s="11">
        <v>66.0</v>
      </c>
      <c r="B67" s="93" t="s">
        <v>1908</v>
      </c>
      <c r="C67" s="11" t="str">
        <f>IMAGE("https://m.media-amazon.com/images/I/6161NXWtz-L._SL1500_.jpg",1)</f>
        <v/>
      </c>
      <c r="D67" s="216">
        <v>5.0</v>
      </c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  <c r="AD67" s="301"/>
      <c r="AE67" s="301"/>
      <c r="AF67" s="301"/>
      <c r="AG67" s="301"/>
      <c r="AH67" s="301"/>
      <c r="AI67" s="301"/>
      <c r="AJ67" s="301"/>
      <c r="AK67" s="301"/>
    </row>
    <row r="68" ht="45.0" customHeight="1">
      <c r="A68" s="11">
        <v>67.0</v>
      </c>
      <c r="B68" s="93" t="s">
        <v>1910</v>
      </c>
      <c r="C68" s="11" t="str">
        <f>IMAGE("https://i0.wp.com/www.rytronics.in/wp-content/uploads/2021/09/9v-batter-connector-snap-connector02.jpg?fit=1000%2C1000&amp;ssl=1",1)</f>
        <v/>
      </c>
      <c r="D68" s="216">
        <v>20.0</v>
      </c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  <c r="AC68" s="301"/>
      <c r="AD68" s="301"/>
      <c r="AE68" s="301"/>
      <c r="AF68" s="301"/>
      <c r="AG68" s="301"/>
      <c r="AH68" s="301"/>
      <c r="AI68" s="301"/>
      <c r="AJ68" s="301"/>
      <c r="AK68" s="301"/>
    </row>
    <row r="69" ht="45.0" customHeight="1">
      <c r="A69" s="11">
        <v>68.0</v>
      </c>
      <c r="B69" s="93" t="s">
        <v>1911</v>
      </c>
      <c r="C69" s="11" t="str">
        <f>IMAGE("https://m.media-amazon.com/images/W/MEDIAX_792452-T2/images/I/61UPqH4BXuL.SS700.jpg",1)</f>
        <v/>
      </c>
      <c r="D69" s="216">
        <v>15.0</v>
      </c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  <c r="AB69" s="301"/>
      <c r="AC69" s="301"/>
      <c r="AD69" s="301"/>
      <c r="AE69" s="301"/>
      <c r="AF69" s="301"/>
      <c r="AG69" s="301"/>
      <c r="AH69" s="301"/>
      <c r="AI69" s="301"/>
      <c r="AJ69" s="301"/>
      <c r="AK69" s="301"/>
    </row>
    <row r="70" ht="45.0" customHeight="1">
      <c r="A70" s="11">
        <v>69.0</v>
      </c>
      <c r="B70" s="93" t="s">
        <v>1912</v>
      </c>
      <c r="C70" s="11" t="str">
        <f>IMAGE("https://robotools.in/wp-content/uploads/2022/09/18650-x-2-battery-holder-with-cover-and-OnOff-Switch-5.jpg",1)</f>
        <v/>
      </c>
      <c r="D70" s="216">
        <v>10.0</v>
      </c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  <c r="AB70" s="301"/>
      <c r="AC70" s="301"/>
      <c r="AD70" s="301"/>
      <c r="AE70" s="301"/>
      <c r="AF70" s="301"/>
      <c r="AG70" s="301"/>
      <c r="AH70" s="301"/>
      <c r="AI70" s="301"/>
      <c r="AJ70" s="301"/>
      <c r="AK70" s="301"/>
    </row>
    <row r="71" ht="45.0" customHeight="1">
      <c r="A71" s="11">
        <v>70.0</v>
      </c>
      <c r="B71" s="93" t="s">
        <v>1913</v>
      </c>
      <c r="C71" s="11" t="str">
        <f>IMAGE("https://robu.in/wp-content/uploads/2019/03/2-x-1.5V-AA-battery-holder-with-cover-and-OnOff-Switch-6.jpg",1)</f>
        <v/>
      </c>
      <c r="D71" s="216">
        <v>30.0</v>
      </c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  <c r="AC71" s="301"/>
      <c r="AD71" s="301"/>
      <c r="AE71" s="301"/>
      <c r="AF71" s="301"/>
      <c r="AG71" s="301"/>
      <c r="AH71" s="301"/>
      <c r="AI71" s="301"/>
      <c r="AJ71" s="301"/>
      <c r="AK71" s="301"/>
    </row>
    <row r="72" ht="45.0" customHeight="1">
      <c r="A72" s="11">
        <v>71.0</v>
      </c>
      <c r="B72" s="93" t="s">
        <v>1914</v>
      </c>
      <c r="C72" s="11" t="str">
        <f>IMAGE("https://probots.co.in/pub/media/catalog/product/cache/d8ddd0f9b0cd008b57085cd218b48832/4/-/4-x-1.5v-aa-battery-holder01.jpg",1)</f>
        <v/>
      </c>
      <c r="D72" s="216">
        <v>20.0</v>
      </c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  <c r="AC72" s="301"/>
      <c r="AD72" s="301"/>
      <c r="AE72" s="301"/>
      <c r="AF72" s="301"/>
      <c r="AG72" s="301"/>
      <c r="AH72" s="301"/>
      <c r="AI72" s="301"/>
      <c r="AJ72" s="301"/>
      <c r="AK72" s="301"/>
    </row>
    <row r="73" ht="45.0" customHeight="1">
      <c r="A73" s="11">
        <v>72.0</v>
      </c>
      <c r="B73" s="93" t="s">
        <v>1915</v>
      </c>
      <c r="C73" s="11" t="str">
        <f>IMAGE("https://robu.in/wp-content/uploads/2022/06/510c1Z93PDL._SX679_.jpg",1)</f>
        <v/>
      </c>
      <c r="D73" s="216">
        <v>20.0</v>
      </c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  <c r="AD73" s="301"/>
      <c r="AE73" s="301"/>
      <c r="AF73" s="301"/>
      <c r="AG73" s="301"/>
      <c r="AH73" s="301"/>
      <c r="AI73" s="301"/>
      <c r="AJ73" s="301"/>
      <c r="AK73" s="301"/>
    </row>
    <row r="74" ht="45.0" customHeight="1">
      <c r="A74" s="11">
        <v>73.0</v>
      </c>
      <c r="B74" s="93" t="s">
        <v>1906</v>
      </c>
      <c r="C74" s="11" t="str">
        <f>IMAGE("https://rukminim2.flixcart.com/image/832/832/krs40i80/worldwide-adaptor/f/7/g/pack-of-1-power-adapter-12v-2-amp-dual-pin-for-charger-with-original-imag5hmbvgzazbzz.jpeg?q=70",1)</f>
        <v/>
      </c>
      <c r="D74" s="216">
        <v>5.0</v>
      </c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  <c r="AE74" s="301"/>
      <c r="AF74" s="301"/>
      <c r="AG74" s="301"/>
      <c r="AH74" s="301"/>
      <c r="AI74" s="301"/>
      <c r="AJ74" s="301"/>
      <c r="AK74" s="301"/>
    </row>
    <row r="75" ht="45.0" customHeight="1">
      <c r="A75" s="11">
        <v>74.0</v>
      </c>
      <c r="B75" s="93" t="s">
        <v>1916</v>
      </c>
      <c r="C75" s="11" t="str">
        <f>IMAGE("https://robu.in/wp-content/uploads/2017/04/Alligator-Clips-Electrical-DIY-Test-Leads-10pcs-For-Test-Leads-Double-ended-Crocodile-Clips-Roach-Clip-2.jpg",1)</f>
        <v/>
      </c>
      <c r="D75" s="216">
        <v>20.0</v>
      </c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  <c r="AC75" s="301"/>
      <c r="AD75" s="301"/>
      <c r="AE75" s="301"/>
      <c r="AF75" s="301"/>
      <c r="AG75" s="301"/>
      <c r="AH75" s="301"/>
      <c r="AI75" s="301"/>
      <c r="AJ75" s="301"/>
      <c r="AK75" s="301"/>
    </row>
    <row r="76" ht="45.0" customHeight="1">
      <c r="A76" s="11">
        <v>75.0</v>
      </c>
      <c r="B76" s="93" t="s">
        <v>241</v>
      </c>
      <c r="C76" s="11" t="str">
        <f>IMAGE("https://makerbazar.in/cdn/shop/products/dcmalejackwithwire2_600x.jpg?v=1642675074",1)</f>
        <v/>
      </c>
      <c r="D76" s="216">
        <v>20.0</v>
      </c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  <c r="AD76" s="301"/>
      <c r="AE76" s="301"/>
      <c r="AF76" s="301"/>
      <c r="AG76" s="301"/>
      <c r="AH76" s="301"/>
      <c r="AI76" s="301"/>
      <c r="AJ76" s="301"/>
      <c r="AK76" s="301"/>
    </row>
    <row r="77" ht="45.0" customHeight="1">
      <c r="A77" s="11">
        <v>76.0</v>
      </c>
      <c r="B77" s="93" t="s">
        <v>1924</v>
      </c>
      <c r="C77" s="11" t="str">
        <f>IMAGE("https://robu.in/wp-content/uploads/2019/06/3.5mm-Audio-Plug-3-Pole-Gold-plated-Earphone-Adapter-For-DIY-Stereo-Headset-5.jpg",1)</f>
        <v/>
      </c>
      <c r="D77" s="216">
        <v>10.0</v>
      </c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01"/>
      <c r="AD77" s="301"/>
      <c r="AE77" s="301"/>
      <c r="AF77" s="301"/>
      <c r="AG77" s="301"/>
      <c r="AH77" s="301"/>
      <c r="AI77" s="301"/>
      <c r="AJ77" s="301"/>
      <c r="AK77" s="301"/>
    </row>
    <row r="78" ht="45.0" customHeight="1">
      <c r="A78" s="11">
        <v>77.0</v>
      </c>
      <c r="B78" s="93" t="s">
        <v>1918</v>
      </c>
      <c r="C78" s="11" t="str">
        <f>IMAGE("https://rukminim2.flixcart.com/image/832/832/k8t3jbk0/cable-sleeve/j/c/q/black-2mm-polyolefin-heat-shrink-tube-sleeve-for-wrap-60-meter-original-imafqq3y2g2v9vzz.jpeg?q=70",1)</f>
        <v/>
      </c>
      <c r="D78" s="216">
        <v>1.0</v>
      </c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  <c r="AC78" s="301"/>
      <c r="AD78" s="301"/>
      <c r="AE78" s="301"/>
      <c r="AF78" s="301"/>
      <c r="AG78" s="301"/>
      <c r="AH78" s="301"/>
      <c r="AI78" s="301"/>
      <c r="AJ78" s="301"/>
      <c r="AK78" s="301"/>
    </row>
    <row r="79" ht="45.0" customHeight="1">
      <c r="A79" s="11">
        <v>78.0</v>
      </c>
      <c r="B79" s="93" t="s">
        <v>1919</v>
      </c>
      <c r="C79" s="11" t="str">
        <f>IMAGE("https://m.media-amazon.com/images/I/61zJ0n1EqGS._AC_SL1500_.jpg",1)</f>
        <v/>
      </c>
      <c r="D79" s="216">
        <v>1.0</v>
      </c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  <c r="AD79" s="301"/>
      <c r="AE79" s="301"/>
      <c r="AF79" s="301"/>
      <c r="AG79" s="301"/>
      <c r="AH79" s="301"/>
      <c r="AI79" s="301"/>
      <c r="AJ79" s="301"/>
      <c r="AK79" s="301"/>
    </row>
    <row r="80" ht="45.0" customHeight="1">
      <c r="A80" s="11">
        <v>79.0</v>
      </c>
      <c r="B80" s="93" t="s">
        <v>1920</v>
      </c>
      <c r="C80" s="11" t="str">
        <f>IMAGE("https://m.media-amazon.com/images/W/MEDIAX_792452-T2/images/I/417I5BCQPSL.jpg",1)</f>
        <v/>
      </c>
      <c r="D80" s="216">
        <v>1.0</v>
      </c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  <c r="AC80" s="301"/>
      <c r="AD80" s="301"/>
      <c r="AE80" s="301"/>
      <c r="AF80" s="301"/>
      <c r="AG80" s="301"/>
      <c r="AH80" s="301"/>
      <c r="AI80" s="301"/>
      <c r="AJ80" s="301"/>
      <c r="AK80" s="301"/>
    </row>
    <row r="81" ht="45.0" customHeight="1">
      <c r="A81" s="11">
        <v>80.0</v>
      </c>
      <c r="B81" s="93" t="s">
        <v>1921</v>
      </c>
      <c r="C81" s="11" t="str">
        <f>IMAGE("https://m.media-amazon.com/images/I/61zJ0n1EqGS._AC_SL1500_.jpg",1)</f>
        <v/>
      </c>
      <c r="D81" s="216">
        <v>1.0</v>
      </c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  <c r="AB81" s="301"/>
      <c r="AC81" s="301"/>
      <c r="AD81" s="301"/>
      <c r="AE81" s="301"/>
      <c r="AF81" s="301"/>
      <c r="AG81" s="301"/>
      <c r="AH81" s="301"/>
      <c r="AI81" s="301"/>
      <c r="AJ81" s="301"/>
      <c r="AK81" s="301"/>
    </row>
    <row r="82" ht="45.0" customHeight="1">
      <c r="A82" s="11">
        <v>81.0</v>
      </c>
      <c r="B82" s="93" t="s">
        <v>266</v>
      </c>
      <c r="C82" s="11" t="str">
        <f t="shared" ref="C82:C86" si="4">IMAGE("https://i.ebayimg.com/images/g/xCYAAOSwjvJlEQU8/s-l1600.jpg",1)</f>
        <v/>
      </c>
      <c r="D82" s="216">
        <v>20.0</v>
      </c>
      <c r="E82" s="305"/>
      <c r="F82" s="305"/>
      <c r="G82" s="305"/>
      <c r="H82" s="305"/>
      <c r="I82" s="305"/>
      <c r="J82" s="305"/>
      <c r="K82" s="305"/>
      <c r="L82" s="305"/>
      <c r="M82" s="305"/>
      <c r="N82" s="305"/>
      <c r="O82" s="305"/>
      <c r="P82" s="305"/>
      <c r="Q82" s="305"/>
      <c r="R82" s="305"/>
      <c r="S82" s="305"/>
      <c r="T82" s="305"/>
      <c r="U82" s="305"/>
      <c r="V82" s="305"/>
      <c r="W82" s="305"/>
      <c r="X82" s="305"/>
      <c r="Y82" s="305"/>
      <c r="Z82" s="305"/>
      <c r="AA82" s="305"/>
      <c r="AB82" s="305"/>
      <c r="AC82" s="305"/>
      <c r="AD82" s="305"/>
      <c r="AE82" s="305"/>
      <c r="AF82" s="305"/>
      <c r="AG82" s="305"/>
      <c r="AH82" s="305"/>
      <c r="AI82" s="305"/>
      <c r="AJ82" s="305"/>
      <c r="AK82" s="305"/>
    </row>
    <row r="83" ht="45.0" customHeight="1">
      <c r="A83" s="11">
        <v>82.0</v>
      </c>
      <c r="B83" s="93" t="s">
        <v>271</v>
      </c>
      <c r="C83" s="11" t="str">
        <f t="shared" si="4"/>
        <v/>
      </c>
      <c r="D83" s="216">
        <v>20.0</v>
      </c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  <c r="AA83" s="301"/>
      <c r="AB83" s="301"/>
      <c r="AC83" s="301"/>
      <c r="AD83" s="301"/>
      <c r="AE83" s="301"/>
      <c r="AF83" s="301"/>
      <c r="AG83" s="301"/>
      <c r="AH83" s="301"/>
      <c r="AI83" s="301"/>
      <c r="AJ83" s="301"/>
      <c r="AK83" s="301"/>
    </row>
    <row r="84" ht="45.0" customHeight="1">
      <c r="A84" s="11">
        <v>83.0</v>
      </c>
      <c r="B84" s="93" t="s">
        <v>275</v>
      </c>
      <c r="C84" s="11" t="str">
        <f t="shared" si="4"/>
        <v/>
      </c>
      <c r="D84" s="216">
        <v>20.0</v>
      </c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  <c r="AC84" s="301"/>
      <c r="AD84" s="301"/>
      <c r="AE84" s="301"/>
      <c r="AF84" s="301"/>
      <c r="AG84" s="301"/>
      <c r="AH84" s="301"/>
      <c r="AI84" s="301"/>
      <c r="AJ84" s="301"/>
      <c r="AK84" s="301"/>
    </row>
    <row r="85" ht="45.0" customHeight="1">
      <c r="A85" s="11">
        <v>84.0</v>
      </c>
      <c r="B85" s="93" t="s">
        <v>279</v>
      </c>
      <c r="C85" s="11" t="str">
        <f t="shared" si="4"/>
        <v/>
      </c>
      <c r="D85" s="216">
        <v>20.0</v>
      </c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  <c r="AD85" s="301"/>
      <c r="AE85" s="301"/>
      <c r="AF85" s="301"/>
      <c r="AG85" s="301"/>
      <c r="AH85" s="301"/>
      <c r="AI85" s="301"/>
      <c r="AJ85" s="301"/>
      <c r="AK85" s="301"/>
    </row>
    <row r="86" ht="45.0" customHeight="1">
      <c r="A86" s="11">
        <v>85.0</v>
      </c>
      <c r="B86" s="93" t="s">
        <v>283</v>
      </c>
      <c r="C86" s="11" t="str">
        <f t="shared" si="4"/>
        <v/>
      </c>
      <c r="D86" s="216">
        <v>20.0</v>
      </c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  <c r="AC86" s="301"/>
      <c r="AD86" s="301"/>
      <c r="AE86" s="301"/>
      <c r="AF86" s="301"/>
      <c r="AG86" s="301"/>
      <c r="AH86" s="301"/>
      <c r="AI86" s="301"/>
      <c r="AJ86" s="301"/>
      <c r="AK86" s="301"/>
    </row>
    <row r="87" ht="45.0" customHeight="1">
      <c r="A87" s="11">
        <v>86.0</v>
      </c>
      <c r="B87" s="93" t="s">
        <v>287</v>
      </c>
      <c r="C87" s="11" t="str">
        <f t="shared" ref="C87:C89" si="5">IMAGE("https://cdn.shopify.com/s/files/1/0527/2692/3444/products/M-M10CM_800x.jpg?v=1620840829",1)</f>
        <v/>
      </c>
      <c r="D87" s="216">
        <v>20.0</v>
      </c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  <c r="AB87" s="301"/>
      <c r="AC87" s="301"/>
      <c r="AD87" s="301"/>
      <c r="AE87" s="301"/>
      <c r="AF87" s="301"/>
      <c r="AG87" s="301"/>
      <c r="AH87" s="301"/>
      <c r="AI87" s="301"/>
      <c r="AJ87" s="301"/>
      <c r="AK87" s="301"/>
    </row>
    <row r="88" ht="45.0" customHeight="1">
      <c r="A88" s="11">
        <v>87.0</v>
      </c>
      <c r="B88" s="93" t="s">
        <v>292</v>
      </c>
      <c r="C88" s="11" t="str">
        <f t="shared" si="5"/>
        <v/>
      </c>
      <c r="D88" s="216">
        <v>20.0</v>
      </c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  <c r="AC88" s="301"/>
      <c r="AD88" s="301"/>
      <c r="AE88" s="301"/>
      <c r="AF88" s="301"/>
      <c r="AG88" s="301"/>
      <c r="AH88" s="301"/>
      <c r="AI88" s="301"/>
      <c r="AJ88" s="301"/>
      <c r="AK88" s="301"/>
    </row>
    <row r="89" ht="45.0" customHeight="1">
      <c r="A89" s="11">
        <v>88.0</v>
      </c>
      <c r="B89" s="93" t="s">
        <v>296</v>
      </c>
      <c r="C89" s="11" t="str">
        <f t="shared" si="5"/>
        <v/>
      </c>
      <c r="D89" s="216">
        <v>20.0</v>
      </c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  <c r="AB89" s="301"/>
      <c r="AC89" s="301"/>
      <c r="AD89" s="301"/>
      <c r="AE89" s="301"/>
      <c r="AF89" s="301"/>
      <c r="AG89" s="301"/>
      <c r="AH89" s="301"/>
      <c r="AI89" s="301"/>
      <c r="AJ89" s="301"/>
      <c r="AK89" s="301"/>
    </row>
    <row r="90" ht="45.0" customHeight="1">
      <c r="A90" s="11">
        <v>89.0</v>
      </c>
      <c r="B90" s="93" t="s">
        <v>300</v>
      </c>
      <c r="C90" s="11" t="str">
        <f>IMAGE("https://encrypted-tbn0.gstatic.com/images?q=tbn:ANd9GcR4A79FMiemvwjtYU3z1SGV0ayCZPtc8oNMobr5AuvlhGOJoeuq78aTh7JjRPQlfFrsXfE&amp;usqp=CAU",1)</f>
        <v/>
      </c>
      <c r="D90" s="216">
        <v>10.0</v>
      </c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  <c r="AB90" s="301"/>
      <c r="AC90" s="301"/>
      <c r="AD90" s="301"/>
      <c r="AE90" s="301"/>
      <c r="AF90" s="301"/>
      <c r="AG90" s="301"/>
      <c r="AH90" s="301"/>
      <c r="AI90" s="301"/>
      <c r="AJ90" s="301"/>
      <c r="AK90" s="301"/>
    </row>
    <row r="91" ht="45.0" customHeight="1">
      <c r="A91" s="11">
        <v>90.0</v>
      </c>
      <c r="B91" s="93" t="s">
        <v>304</v>
      </c>
      <c r="C91" s="11" t="str">
        <f>IMAGE("https://robu.in/wp-content/uploads/2018/07/50-CM-Micro-USB-Cable-1.jpg",1)</f>
        <v/>
      </c>
      <c r="D91" s="216">
        <v>10.0</v>
      </c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  <c r="AB91" s="301"/>
      <c r="AC91" s="301"/>
      <c r="AD91" s="301"/>
      <c r="AE91" s="301"/>
      <c r="AF91" s="301"/>
      <c r="AG91" s="301"/>
      <c r="AH91" s="301"/>
      <c r="AI91" s="301"/>
      <c r="AJ91" s="301"/>
      <c r="AK91" s="301"/>
    </row>
    <row r="92" ht="45.0" customHeight="1">
      <c r="A92" s="11">
        <v>91.0</v>
      </c>
      <c r="B92" s="93" t="s">
        <v>1931</v>
      </c>
      <c r="C92" s="11" t="str">
        <f>IMAGE("https://www.electronicscomp.com/image/cache/catalog/cnc-shield-v3-400x400.jpg",1)</f>
        <v/>
      </c>
      <c r="D92" s="237">
        <v>7.0</v>
      </c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  <c r="AC92" s="301"/>
      <c r="AD92" s="301"/>
      <c r="AE92" s="301"/>
      <c r="AF92" s="301"/>
      <c r="AG92" s="301"/>
      <c r="AH92" s="301"/>
      <c r="AI92" s="301"/>
      <c r="AJ92" s="301"/>
      <c r="AK92" s="301"/>
    </row>
    <row r="93" ht="45.0" customHeight="1">
      <c r="A93" s="11">
        <v>92.0</v>
      </c>
      <c r="B93" s="93" t="s">
        <v>420</v>
      </c>
      <c r="C93" s="11" t="str">
        <f>IMAGE("https://5.imimg.com/data5/VS/XC/MY-4167793/arduino-nano-500x500.jpg",1)</f>
        <v/>
      </c>
      <c r="D93" s="216">
        <v>15.0</v>
      </c>
      <c r="E93" s="305"/>
      <c r="F93" s="305"/>
      <c r="G93" s="305"/>
      <c r="H93" s="305"/>
      <c r="I93" s="305"/>
      <c r="J93" s="305"/>
      <c r="K93" s="305"/>
      <c r="L93" s="305"/>
      <c r="M93" s="305"/>
      <c r="N93" s="305"/>
      <c r="O93" s="305"/>
      <c r="P93" s="305"/>
      <c r="Q93" s="305"/>
      <c r="R93" s="305"/>
      <c r="S93" s="305"/>
      <c r="T93" s="305"/>
      <c r="U93" s="305"/>
      <c r="V93" s="305"/>
      <c r="W93" s="305"/>
      <c r="X93" s="305"/>
      <c r="Y93" s="305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305"/>
    </row>
    <row r="94" ht="45.0" customHeight="1">
      <c r="A94" s="11">
        <v>93.0</v>
      </c>
      <c r="B94" s="93" t="s">
        <v>1933</v>
      </c>
      <c r="C94" s="11" t="str">
        <f>IMAGE("https://robu.in/wp-content/uploads/2017/04/Arduino_NANO_expansion1.jpg",1)</f>
        <v/>
      </c>
      <c r="D94" s="216">
        <v>10.0</v>
      </c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  <c r="AB94" s="301"/>
      <c r="AC94" s="301"/>
      <c r="AD94" s="301"/>
      <c r="AE94" s="301"/>
      <c r="AF94" s="301"/>
      <c r="AG94" s="301"/>
      <c r="AH94" s="301"/>
      <c r="AI94" s="301"/>
      <c r="AJ94" s="301"/>
      <c r="AK94" s="301"/>
    </row>
    <row r="95" ht="45.0" customHeight="1">
      <c r="A95" s="11">
        <v>94.0</v>
      </c>
      <c r="B95" s="93" t="s">
        <v>1934</v>
      </c>
      <c r="C95" s="11" t="str">
        <f>IMAGE("https://robu.in/wp-content/uploads/2017/10/Uno-R3-CH340G-ATmega328p-Development-Board-Compatible-with-Arduino2.png",1)</f>
        <v/>
      </c>
      <c r="D95" s="216">
        <v>15.0</v>
      </c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  <c r="AB95" s="301"/>
      <c r="AC95" s="301"/>
      <c r="AD95" s="301"/>
      <c r="AE95" s="301"/>
      <c r="AF95" s="301"/>
      <c r="AG95" s="301"/>
      <c r="AH95" s="301"/>
      <c r="AI95" s="301"/>
      <c r="AJ95" s="301"/>
      <c r="AK95" s="301"/>
    </row>
    <row r="96" ht="45.0" customHeight="1">
      <c r="A96" s="11">
        <v>95.0</v>
      </c>
      <c r="B96" s="93" t="s">
        <v>438</v>
      </c>
      <c r="C96" s="11" t="str">
        <f>IMAGE("https://www.electronicscomp.com/image/cache/catalog/esp8266-esp01-wifi-module-india-800x800.jpg",1)</f>
        <v/>
      </c>
      <c r="D96" s="216">
        <v>10.0</v>
      </c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  <c r="AB96" s="301"/>
      <c r="AC96" s="301"/>
      <c r="AD96" s="301"/>
      <c r="AE96" s="301"/>
      <c r="AF96" s="301"/>
      <c r="AG96" s="301"/>
      <c r="AH96" s="301"/>
      <c r="AI96" s="301"/>
      <c r="AJ96" s="301"/>
      <c r="AK96" s="301"/>
    </row>
    <row r="97" ht="45.0" customHeight="1">
      <c r="A97" s="11">
        <v>96.0</v>
      </c>
      <c r="B97" s="93" t="s">
        <v>441</v>
      </c>
      <c r="C97" s="11" t="str">
        <f>IMAGE("https://makerselectronics.com/wp-content/uploads/2020/07/ESP32-CAM-2.jpg",1)</f>
        <v/>
      </c>
      <c r="D97" s="216">
        <v>10.0</v>
      </c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  <c r="AB97" s="301"/>
      <c r="AC97" s="301"/>
      <c r="AD97" s="301"/>
      <c r="AE97" s="301"/>
      <c r="AF97" s="301"/>
      <c r="AG97" s="301"/>
      <c r="AH97" s="301"/>
      <c r="AI97" s="301"/>
      <c r="AJ97" s="301"/>
      <c r="AK97" s="301"/>
    </row>
    <row r="98" ht="45.0" customHeight="1">
      <c r="A98" s="11">
        <v>97.0</v>
      </c>
      <c r="B98" s="93" t="s">
        <v>446</v>
      </c>
      <c r="C98" s="11" t="str">
        <f>IMAGE("https://www.berrybase.de/media/image/c5/26/b6/ID_186599_orig_600x600.jpg",1)</f>
        <v/>
      </c>
      <c r="D98" s="216">
        <v>10.0</v>
      </c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  <c r="AB98" s="301"/>
      <c r="AC98" s="301"/>
      <c r="AD98" s="301"/>
      <c r="AE98" s="301"/>
      <c r="AF98" s="301"/>
      <c r="AG98" s="301"/>
      <c r="AH98" s="301"/>
      <c r="AI98" s="301"/>
      <c r="AJ98" s="301"/>
      <c r="AK98" s="301"/>
    </row>
    <row r="99" ht="45.0" customHeight="1">
      <c r="A99" s="11">
        <v>98.0</v>
      </c>
      <c r="B99" s="93" t="s">
        <v>450</v>
      </c>
      <c r="C99" s="11" t="str">
        <f>IMAGE("https://m.media-amazon.com/images/I/61rcnccrByL._SL1238_.jpg",1)</f>
        <v/>
      </c>
      <c r="D99" s="216">
        <v>15.0</v>
      </c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  <c r="AB99" s="301"/>
      <c r="AC99" s="301"/>
      <c r="AD99" s="301"/>
      <c r="AE99" s="301"/>
      <c r="AF99" s="301"/>
      <c r="AG99" s="301"/>
      <c r="AH99" s="301"/>
      <c r="AI99" s="301"/>
      <c r="AJ99" s="301"/>
      <c r="AK99" s="301"/>
    </row>
    <row r="100" ht="45.0" customHeight="1">
      <c r="A100" s="11">
        <v>99.0</v>
      </c>
      <c r="B100" s="93" t="s">
        <v>454</v>
      </c>
      <c r="C100" s="11" t="str">
        <f>IMAGE("https://m.media-amazon.com/images/W/MEDIAX_792452-T2/images/I/61t+lNeiChL._SL1443_.jpg",1)</f>
        <v/>
      </c>
      <c r="D100" s="216">
        <v>15.0</v>
      </c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1"/>
      <c r="AC100" s="301"/>
      <c r="AD100" s="301"/>
      <c r="AE100" s="301"/>
      <c r="AF100" s="301"/>
      <c r="AG100" s="301"/>
      <c r="AH100" s="301"/>
      <c r="AI100" s="301"/>
      <c r="AJ100" s="301"/>
      <c r="AK100" s="301"/>
    </row>
    <row r="101" ht="45.0" customHeight="1">
      <c r="A101" s="11">
        <v>100.0</v>
      </c>
      <c r="B101" s="107" t="s">
        <v>459</v>
      </c>
      <c r="C101" s="11" t="str">
        <f>IMAGE("https://m.media-amazon.com/images/W/MEDIAX_792452-T2/images/I/61xb9SMx4AL._SL1440_.jpg",1)</f>
        <v/>
      </c>
      <c r="D101" s="216">
        <v>10.0</v>
      </c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  <c r="AC101" s="301"/>
      <c r="AD101" s="301"/>
      <c r="AE101" s="301"/>
      <c r="AF101" s="301"/>
      <c r="AG101" s="301"/>
      <c r="AH101" s="301"/>
      <c r="AI101" s="301"/>
      <c r="AJ101" s="301"/>
      <c r="AK101" s="301"/>
    </row>
    <row r="102" ht="45.0" customHeight="1">
      <c r="A102" s="11">
        <v>101.0</v>
      </c>
      <c r="B102" s="270" t="s">
        <v>2160</v>
      </c>
      <c r="C102" s="11" t="str">
        <f>IMAGE("https://sumeetinstruments.com/image/cache/catalog/3dprinter/A4988-Stepper-Motor-Driver-Module-Heat-Sink-3D-Printer-Parts.-550x550.jpg",1)</f>
        <v/>
      </c>
      <c r="D102" s="237">
        <v>21.0</v>
      </c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  <c r="AD102" s="301"/>
      <c r="AE102" s="301"/>
      <c r="AF102" s="301"/>
      <c r="AG102" s="301"/>
      <c r="AH102" s="301"/>
      <c r="AI102" s="301"/>
      <c r="AJ102" s="301"/>
      <c r="AK102" s="301"/>
    </row>
    <row r="103" ht="45.0" customHeight="1">
      <c r="A103" s="11">
        <v>102.0</v>
      </c>
      <c r="B103" s="272" t="s">
        <v>2161</v>
      </c>
      <c r="C103" s="275"/>
      <c r="D103" s="274">
        <v>10.0</v>
      </c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1"/>
      <c r="AC103" s="301"/>
      <c r="AD103" s="301"/>
      <c r="AE103" s="301"/>
      <c r="AF103" s="301"/>
      <c r="AG103" s="301"/>
      <c r="AH103" s="301"/>
      <c r="AI103" s="301"/>
      <c r="AJ103" s="301"/>
      <c r="AK103" s="301"/>
    </row>
    <row r="104" ht="45.0" customHeight="1">
      <c r="A104" s="11">
        <v>103.0</v>
      </c>
      <c r="B104" s="272" t="s">
        <v>2162</v>
      </c>
      <c r="C104" s="275"/>
      <c r="D104" s="274">
        <v>2.0</v>
      </c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301"/>
      <c r="AD104" s="301"/>
      <c r="AE104" s="301"/>
      <c r="AF104" s="301"/>
      <c r="AG104" s="301"/>
      <c r="AH104" s="301"/>
      <c r="AI104" s="301"/>
      <c r="AJ104" s="301"/>
      <c r="AK104" s="301"/>
    </row>
    <row r="105" ht="45.0" customHeight="1">
      <c r="A105" s="11">
        <v>104.0</v>
      </c>
      <c r="B105" s="93" t="s">
        <v>505</v>
      </c>
      <c r="C105" s="11" t="str">
        <f>IMAGE("https://rukminim2.flixcart.com/image/832/832/ks243gw0/electronic-hobby-kit/x/f/2/2mm-pitch-female-burg-strip-40-pin-5-pcs-prime-intact-original-imag5pxpqjxcdsgh.jpeg?q=70",1)</f>
        <v/>
      </c>
      <c r="D105" s="216">
        <v>100.0</v>
      </c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1"/>
      <c r="AE105" s="301"/>
      <c r="AF105" s="301"/>
      <c r="AG105" s="301"/>
      <c r="AH105" s="301"/>
      <c r="AI105" s="301"/>
      <c r="AJ105" s="301"/>
      <c r="AK105" s="301"/>
    </row>
    <row r="106" ht="45.0" customHeight="1">
      <c r="A106" s="11">
        <v>105.0</v>
      </c>
      <c r="B106" s="93" t="s">
        <v>626</v>
      </c>
      <c r="C106" s="11" t="str">
        <f>IMAGE("https://5.imimg.com/data5/AH/OG/AM/SELLER-5278310/mkc-27701-changeover-reed-switch-500x500.jpg",1)</f>
        <v/>
      </c>
      <c r="D106" s="216">
        <v>20.0</v>
      </c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  <c r="AC106" s="301"/>
      <c r="AD106" s="301"/>
      <c r="AE106" s="301"/>
      <c r="AF106" s="301"/>
      <c r="AG106" s="301"/>
      <c r="AH106" s="301"/>
      <c r="AI106" s="301"/>
      <c r="AJ106" s="301"/>
      <c r="AK106" s="301"/>
    </row>
    <row r="107" ht="45.0" customHeight="1">
      <c r="A107" s="11">
        <v>106.0</v>
      </c>
      <c r="B107" s="93" t="s">
        <v>1942</v>
      </c>
      <c r="C107" s="11" t="str">
        <f>IMAGE("https://5.imimg.com/data5/SR/JZ/RD/SELLER-80355495/large-breadboard-800-points--500x500.jpg",1)</f>
        <v/>
      </c>
      <c r="D107" s="216">
        <v>10.0</v>
      </c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  <c r="AB107" s="301"/>
      <c r="AC107" s="301"/>
      <c r="AD107" s="301"/>
      <c r="AE107" s="301"/>
      <c r="AF107" s="301"/>
      <c r="AG107" s="301"/>
      <c r="AH107" s="301"/>
      <c r="AI107" s="301"/>
      <c r="AJ107" s="301"/>
      <c r="AK107" s="301"/>
    </row>
    <row r="108" ht="45.0" customHeight="1">
      <c r="A108" s="11">
        <v>107.0</v>
      </c>
      <c r="B108" s="93" t="s">
        <v>497</v>
      </c>
      <c r="C108" s="11" t="str">
        <f>IMAGE("https://5.imimg.com/data5/SELLER/Default/2020/12/GY/DK/LM/59387089/400-point-solderless-breadboard-500x500.jpg",1)</f>
        <v/>
      </c>
      <c r="D108" s="216">
        <v>10.0</v>
      </c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  <c r="AB108" s="301"/>
      <c r="AC108" s="301"/>
      <c r="AD108" s="301"/>
      <c r="AE108" s="301"/>
      <c r="AF108" s="301"/>
      <c r="AG108" s="301"/>
      <c r="AH108" s="301"/>
      <c r="AI108" s="301"/>
      <c r="AJ108" s="301"/>
      <c r="AK108" s="301"/>
    </row>
    <row r="109" ht="45.0" customHeight="1">
      <c r="A109" s="11">
        <v>108.0</v>
      </c>
      <c r="B109" s="93" t="s">
        <v>501</v>
      </c>
      <c r="C109" s="11" t="str">
        <f>IMAGE("https://1ohm.in/wp-content/uploads/2021/07/MB102-3.3V5V-Breadboard-Power-Supply-Module.png",1)</f>
        <v/>
      </c>
      <c r="D109" s="216">
        <v>10.0</v>
      </c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  <c r="AB109" s="301"/>
      <c r="AC109" s="301"/>
      <c r="AD109" s="301"/>
      <c r="AE109" s="301"/>
      <c r="AF109" s="301"/>
      <c r="AG109" s="301"/>
      <c r="AH109" s="301"/>
      <c r="AI109" s="301"/>
      <c r="AJ109" s="301"/>
      <c r="AK109" s="301"/>
    </row>
    <row r="110" ht="45.0" customHeight="1">
      <c r="A110" s="11">
        <v>109.0</v>
      </c>
      <c r="B110" s="93" t="s">
        <v>509</v>
      </c>
      <c r="C110" s="11" t="str">
        <f>IMAGE("https://5.imimg.com/data5/OF/VW/IL/SELLER-9316309/burg-strips-500x500.jpg",1)</f>
        <v/>
      </c>
      <c r="D110" s="216">
        <v>50.0</v>
      </c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  <c r="AB110" s="301"/>
      <c r="AC110" s="301"/>
      <c r="AD110" s="301"/>
      <c r="AE110" s="301"/>
      <c r="AF110" s="301"/>
      <c r="AG110" s="301"/>
      <c r="AH110" s="301"/>
      <c r="AI110" s="301"/>
      <c r="AJ110" s="301"/>
      <c r="AK110" s="301"/>
    </row>
    <row r="111" ht="45.0" customHeight="1">
      <c r="A111" s="11">
        <v>110.0</v>
      </c>
      <c r="B111" s="242" t="s">
        <v>513</v>
      </c>
      <c r="C111" s="11" t="str">
        <f>IMAGE("https://www.tomsonelectronics.com/cdn/shop/products/40X1MALERAI_2048x2048.jpg?v=1602835171",1)</f>
        <v/>
      </c>
      <c r="D111" s="216">
        <v>50.0</v>
      </c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  <c r="AC111" s="301"/>
      <c r="AD111" s="301"/>
      <c r="AE111" s="301"/>
      <c r="AF111" s="301"/>
      <c r="AG111" s="301"/>
      <c r="AH111" s="301"/>
      <c r="AI111" s="301"/>
      <c r="AJ111" s="301"/>
      <c r="AK111" s="301"/>
    </row>
    <row r="112" ht="45.0" customHeight="1">
      <c r="A112" s="11">
        <v>111.0</v>
      </c>
      <c r="B112" s="240" t="s">
        <v>522</v>
      </c>
      <c r="C112" s="11" t="str">
        <f>IMAGE("https://projectpoint.in/image/cache/catalog/102-672x504.jpg",1)</f>
        <v/>
      </c>
      <c r="D112" s="216">
        <v>100.0</v>
      </c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  <c r="AB112" s="301"/>
      <c r="AC112" s="301"/>
      <c r="AD112" s="301"/>
      <c r="AE112" s="301"/>
      <c r="AF112" s="301"/>
      <c r="AG112" s="301"/>
      <c r="AH112" s="301"/>
      <c r="AI112" s="301"/>
      <c r="AJ112" s="301"/>
      <c r="AK112" s="301"/>
    </row>
    <row r="113" ht="45.0" customHeight="1">
      <c r="A113" s="11">
        <v>112.0</v>
      </c>
      <c r="B113" s="240" t="s">
        <v>517</v>
      </c>
      <c r="C113" s="11" t="str">
        <f t="shared" ref="C113:C114" si="6">IMAGE("https://projectpoint.in/image/cache/catalog/103-672x504.jpg",1)</f>
        <v/>
      </c>
      <c r="D113" s="216">
        <v>100.0</v>
      </c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  <c r="AC113" s="301"/>
      <c r="AD113" s="301"/>
      <c r="AE113" s="301"/>
      <c r="AF113" s="301"/>
      <c r="AG113" s="301"/>
      <c r="AH113" s="301"/>
      <c r="AI113" s="301"/>
      <c r="AJ113" s="301"/>
      <c r="AK113" s="301"/>
    </row>
    <row r="114" ht="45.0" customHeight="1">
      <c r="A114" s="11">
        <v>113.0</v>
      </c>
      <c r="B114" s="240" t="s">
        <v>530</v>
      </c>
      <c r="C114" s="11" t="str">
        <f t="shared" si="6"/>
        <v/>
      </c>
      <c r="D114" s="216">
        <v>100.0</v>
      </c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  <c r="AB114" s="301"/>
      <c r="AC114" s="301"/>
      <c r="AD114" s="301"/>
      <c r="AE114" s="301"/>
      <c r="AF114" s="301"/>
      <c r="AG114" s="301"/>
      <c r="AH114" s="301"/>
      <c r="AI114" s="301"/>
      <c r="AJ114" s="301"/>
      <c r="AK114" s="301"/>
    </row>
    <row r="115" ht="45.0" customHeight="1">
      <c r="A115" s="11">
        <v>114.0</v>
      </c>
      <c r="B115" s="240" t="s">
        <v>526</v>
      </c>
      <c r="C115" s="11" t="str">
        <f t="shared" ref="C115:C117" si="7">IMAGE("https://www.ato.com/content/images/thumbs/0011952_01f-50v-disc-ceramic-capacitor_550.jpeg",1)</f>
        <v/>
      </c>
      <c r="D115" s="216">
        <v>100.0</v>
      </c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  <c r="AB115" s="301"/>
      <c r="AC115" s="301"/>
      <c r="AD115" s="301"/>
      <c r="AE115" s="301"/>
      <c r="AF115" s="301"/>
      <c r="AG115" s="301"/>
      <c r="AH115" s="301"/>
      <c r="AI115" s="301"/>
      <c r="AJ115" s="301"/>
      <c r="AK115" s="301"/>
    </row>
    <row r="116" ht="45.0" customHeight="1">
      <c r="A116" s="11">
        <v>115.0</v>
      </c>
      <c r="B116" s="240" t="s">
        <v>566</v>
      </c>
      <c r="C116" s="11" t="str">
        <f t="shared" si="7"/>
        <v/>
      </c>
      <c r="D116" s="216">
        <v>50.0</v>
      </c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  <c r="AB116" s="301"/>
      <c r="AC116" s="301"/>
      <c r="AD116" s="301"/>
      <c r="AE116" s="301"/>
      <c r="AF116" s="301"/>
      <c r="AG116" s="301"/>
      <c r="AH116" s="301"/>
      <c r="AI116" s="301"/>
      <c r="AJ116" s="301"/>
      <c r="AK116" s="301"/>
    </row>
    <row r="117" ht="45.0" customHeight="1">
      <c r="A117" s="11">
        <v>116.0</v>
      </c>
      <c r="B117" s="240" t="s">
        <v>574</v>
      </c>
      <c r="C117" s="11" t="str">
        <f t="shared" si="7"/>
        <v/>
      </c>
      <c r="D117" s="216">
        <v>50.0</v>
      </c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  <c r="AB117" s="301"/>
      <c r="AC117" s="301"/>
      <c r="AD117" s="301"/>
      <c r="AE117" s="301"/>
      <c r="AF117" s="301"/>
      <c r="AG117" s="301"/>
      <c r="AH117" s="301"/>
      <c r="AI117" s="301"/>
      <c r="AJ117" s="301"/>
      <c r="AK117" s="301"/>
    </row>
    <row r="118" ht="45.0" customHeight="1">
      <c r="A118" s="11">
        <v>117.0</v>
      </c>
      <c r="B118" s="240" t="s">
        <v>534</v>
      </c>
      <c r="C118" s="11" t="str">
        <f>IMAGE("https://projectpoint.in/image/cache/catalog/22uf-450v-672x504.jpg",1)</f>
        <v/>
      </c>
      <c r="D118" s="216">
        <v>20.0</v>
      </c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  <c r="AB118" s="301"/>
      <c r="AC118" s="301"/>
      <c r="AD118" s="301"/>
      <c r="AE118" s="301"/>
      <c r="AF118" s="301"/>
      <c r="AG118" s="301"/>
      <c r="AH118" s="301"/>
      <c r="AI118" s="301"/>
      <c r="AJ118" s="301"/>
      <c r="AK118" s="301"/>
    </row>
    <row r="119" ht="45.0" customHeight="1">
      <c r="A119" s="11">
        <v>118.0</v>
      </c>
      <c r="B119" s="240" t="s">
        <v>550</v>
      </c>
      <c r="C119" s="11" t="str">
        <f>IMAGE("https://res.cloudinary.com/rsc/image/upload/b_rgb:FFFFFF,c_pad,dpr_1.0,f_auto,q_auto,w_700/c_pad,w_700/F5201539-01",1)</f>
        <v/>
      </c>
      <c r="D119" s="216">
        <v>20.0</v>
      </c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  <c r="AD119" s="301"/>
      <c r="AE119" s="301"/>
      <c r="AF119" s="301"/>
      <c r="AG119" s="301"/>
      <c r="AH119" s="301"/>
      <c r="AI119" s="301"/>
      <c r="AJ119" s="301"/>
      <c r="AK119" s="301"/>
    </row>
    <row r="120" ht="45.0" customHeight="1">
      <c r="A120" s="11">
        <v>119.0</v>
      </c>
      <c r="B120" s="240" t="s">
        <v>570</v>
      </c>
      <c r="C120" s="11" t="str">
        <f>IMAGE("https://sharvielectronics.com/wp-content/uploads/2020/02/2.2uF-50V-Electrolytic-Capacitor.jpg",1)</f>
        <v/>
      </c>
      <c r="D120" s="216">
        <v>50.0</v>
      </c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  <c r="AB120" s="301"/>
      <c r="AC120" s="301"/>
      <c r="AD120" s="301"/>
      <c r="AE120" s="301"/>
      <c r="AF120" s="301"/>
      <c r="AG120" s="301"/>
      <c r="AH120" s="301"/>
      <c r="AI120" s="301"/>
      <c r="AJ120" s="301"/>
      <c r="AK120" s="301"/>
    </row>
    <row r="121" ht="45.0" customHeight="1">
      <c r="A121" s="11">
        <v>121.0</v>
      </c>
      <c r="B121" s="240" t="s">
        <v>554</v>
      </c>
      <c r="C121" s="11" t="str">
        <f>IMAGE("https://5.imimg.com/data5/SP/GM/AD/SELLER-84581978/keltron-2200uf-35-v-electrolytic-capacitors-500x500.jpg",1)</f>
        <v/>
      </c>
      <c r="D121" s="216">
        <v>20.0</v>
      </c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  <c r="AB121" s="301"/>
      <c r="AC121" s="301"/>
      <c r="AD121" s="301"/>
      <c r="AE121" s="301"/>
      <c r="AF121" s="301"/>
      <c r="AG121" s="301"/>
      <c r="AH121" s="301"/>
      <c r="AI121" s="301"/>
      <c r="AJ121" s="301"/>
      <c r="AK121" s="301"/>
    </row>
    <row r="122" ht="45.0" customHeight="1">
      <c r="A122" s="11">
        <v>122.0</v>
      </c>
      <c r="B122" s="240" t="s">
        <v>578</v>
      </c>
      <c r="C122" s="11" t="str">
        <f>IMAGE("https://5.imimg.com/data5/QO/AU/MY-77080729/uge-electrolytic-capacitors-500x375-500x500.jpg",1)</f>
        <v/>
      </c>
      <c r="D122" s="216">
        <v>20.0</v>
      </c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  <c r="AD122" s="301"/>
      <c r="AE122" s="301"/>
      <c r="AF122" s="301"/>
      <c r="AG122" s="301"/>
      <c r="AH122" s="301"/>
      <c r="AI122" s="301"/>
      <c r="AJ122" s="301"/>
      <c r="AK122" s="301"/>
    </row>
    <row r="123" ht="45.0" customHeight="1">
      <c r="A123" s="11">
        <v>123.0</v>
      </c>
      <c r="B123" s="240" t="s">
        <v>542</v>
      </c>
      <c r="C123" s="11"/>
      <c r="D123" s="216">
        <v>100.0</v>
      </c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  <c r="AI123" s="301"/>
      <c r="AJ123" s="301"/>
      <c r="AK123" s="301"/>
    </row>
    <row r="124" ht="45.0" customHeight="1">
      <c r="A124" s="11">
        <v>124.0</v>
      </c>
      <c r="B124" s="240" t="s">
        <v>558</v>
      </c>
      <c r="C124" s="11" t="str">
        <f>IMAGE("https://5.imimg.com/data5/SP/GM/AD/SELLER-84581978/keltron-2200uf-35-v-electrolytic-capacitors-500x500.jpg",1)</f>
        <v/>
      </c>
      <c r="D124" s="216">
        <v>100.0</v>
      </c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</row>
    <row r="125" ht="45.0" customHeight="1">
      <c r="A125" s="11">
        <v>125.0</v>
      </c>
      <c r="B125" s="115" t="s">
        <v>582</v>
      </c>
      <c r="C125" s="11" t="str">
        <f>IMAGE("https://5.imimg.com/data5/JL/JS/ZA/SELLER-21614932/4-7uf-400v-keltron-capacitor-500x500.jpg",1)</f>
        <v/>
      </c>
      <c r="D125" s="216">
        <v>50.0</v>
      </c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  <c r="AI125" s="301"/>
      <c r="AJ125" s="301"/>
      <c r="AK125" s="301"/>
    </row>
    <row r="126" ht="45.0" customHeight="1">
      <c r="A126" s="11">
        <v>126.0</v>
      </c>
      <c r="B126" s="115" t="s">
        <v>546</v>
      </c>
      <c r="C126" s="11" t="str">
        <f>IMAGE("https://projectpoint.in/image/cache/catalog/47uf-250v-672x504.jpg",1)</f>
        <v/>
      </c>
      <c r="D126" s="216">
        <v>50.0</v>
      </c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  <c r="AE126" s="301"/>
      <c r="AF126" s="301"/>
      <c r="AG126" s="301"/>
      <c r="AH126" s="301"/>
      <c r="AI126" s="301"/>
      <c r="AJ126" s="301"/>
      <c r="AK126" s="301"/>
    </row>
    <row r="127" ht="45.0" customHeight="1">
      <c r="A127" s="11">
        <v>127.0</v>
      </c>
      <c r="B127" s="115" t="s">
        <v>562</v>
      </c>
      <c r="C127" s="11" t="str">
        <f>IMAGE("https://5.imimg.com/data5/QO/AU/MY-77080729/uge-electrolytic-capacitors-500x375-500x500.jpg",1)</f>
        <v/>
      </c>
      <c r="D127" s="216">
        <v>20.0</v>
      </c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  <c r="AE127" s="301"/>
      <c r="AF127" s="301"/>
      <c r="AG127" s="301"/>
      <c r="AH127" s="301"/>
      <c r="AI127" s="301"/>
      <c r="AJ127" s="301"/>
      <c r="AK127" s="301"/>
    </row>
    <row r="128" ht="45.0" customHeight="1">
      <c r="A128" s="11">
        <v>128.0</v>
      </c>
      <c r="B128" s="93" t="s">
        <v>590</v>
      </c>
      <c r="C128" s="11" t="str">
        <f t="shared" ref="C128:C129" si="8">IMAGE("https://m.media-amazon.com/images/W/MEDIAX_792452-T2/images/I/41A+MQfyyEL.jpg",1)</f>
        <v/>
      </c>
      <c r="D128" s="216">
        <v>20.0</v>
      </c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  <c r="AC128" s="301"/>
      <c r="AD128" s="301"/>
      <c r="AE128" s="301"/>
      <c r="AF128" s="301"/>
      <c r="AG128" s="301"/>
      <c r="AH128" s="301"/>
      <c r="AI128" s="301"/>
      <c r="AJ128" s="301"/>
      <c r="AK128" s="301"/>
    </row>
    <row r="129" ht="45.0" customHeight="1">
      <c r="A129" s="11">
        <v>129.0</v>
      </c>
      <c r="B129" s="93" t="s">
        <v>594</v>
      </c>
      <c r="C129" s="11" t="str">
        <f t="shared" si="8"/>
        <v/>
      </c>
      <c r="D129" s="216">
        <v>20.0</v>
      </c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  <c r="AC129" s="301"/>
      <c r="AD129" s="301"/>
      <c r="AE129" s="301"/>
      <c r="AF129" s="301"/>
      <c r="AG129" s="301"/>
      <c r="AH129" s="301"/>
      <c r="AI129" s="301"/>
      <c r="AJ129" s="301"/>
      <c r="AK129" s="301"/>
    </row>
    <row r="130" ht="45.0" customHeight="1">
      <c r="A130" s="11">
        <v>130.0</v>
      </c>
      <c r="B130" s="93" t="s">
        <v>1860</v>
      </c>
      <c r="C130" s="11" t="str">
        <f>IMAGE("https://www.electronicscomp.com/image/cache/catalog/cd4033-5-stage-johnson-decade-counter-ic-dip-16-800x800.jpg",1)</f>
        <v/>
      </c>
      <c r="D130" s="216">
        <v>20.0</v>
      </c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  <c r="AB130" s="301"/>
      <c r="AC130" s="301"/>
      <c r="AD130" s="301"/>
      <c r="AE130" s="301"/>
      <c r="AF130" s="301"/>
      <c r="AG130" s="301"/>
      <c r="AH130" s="301"/>
      <c r="AI130" s="301"/>
      <c r="AJ130" s="301"/>
      <c r="AK130" s="301"/>
    </row>
    <row r="131" ht="45.0" customHeight="1">
      <c r="A131" s="11">
        <v>131.0</v>
      </c>
      <c r="B131" s="93" t="s">
        <v>1862</v>
      </c>
      <c r="C131" s="11" t="str">
        <f>IMAGE("https://robu.in/wp-content/uploads/2018/11/LM358P-PDIP-8-High-Gain-Operational-Amplifier-Pack-of-5-ICs-9.jpg",1)</f>
        <v/>
      </c>
      <c r="D131" s="216">
        <v>20.0</v>
      </c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  <c r="AC131" s="301"/>
      <c r="AD131" s="301"/>
      <c r="AE131" s="301"/>
      <c r="AF131" s="301"/>
      <c r="AG131" s="301"/>
      <c r="AH131" s="301"/>
      <c r="AI131" s="301"/>
      <c r="AJ131" s="301"/>
      <c r="AK131" s="301"/>
    </row>
    <row r="132" ht="45.0" customHeight="1">
      <c r="A132" s="11">
        <v>132.0</v>
      </c>
      <c r="B132" s="93" t="s">
        <v>2085</v>
      </c>
      <c r="C132" s="11" t="str">
        <f>IMAGE("https://potentiallabs.com/cart/image/cache/catalog/2021/555-timer-ic-400x400.jpeg",1)</f>
        <v/>
      </c>
      <c r="D132" s="216">
        <v>20.0</v>
      </c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  <c r="AI132" s="301"/>
      <c r="AJ132" s="301"/>
      <c r="AK132" s="301"/>
    </row>
    <row r="133" ht="45.0" customHeight="1">
      <c r="A133" s="11">
        <v>133.0</v>
      </c>
      <c r="B133" s="93" t="s">
        <v>603</v>
      </c>
      <c r="C133" s="11" t="str">
        <f>IMAGE("https://rukminim2.flixcart.com/image/832/832/xif0q/electronic-hobby-kit/d/o/s/50-pcs-blue-led-5mm-kitsguru-original-imaghfqbjbn4hshz.jpeg?q=70",1)</f>
        <v/>
      </c>
      <c r="D133" s="216">
        <v>500.0</v>
      </c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  <c r="AD133" s="301"/>
      <c r="AE133" s="301"/>
      <c r="AF133" s="301"/>
      <c r="AG133" s="301"/>
      <c r="AH133" s="301"/>
      <c r="AI133" s="301"/>
      <c r="AJ133" s="301"/>
      <c r="AK133" s="301"/>
    </row>
    <row r="134" ht="45.0" customHeight="1">
      <c r="A134" s="11">
        <v>134.0</v>
      </c>
      <c r="B134" s="93" t="s">
        <v>607</v>
      </c>
      <c r="C134" s="11" t="str">
        <f>IMAGE("https://rukminim2.flixcart.com/image/832/832/krz97rk0/electronic-hobby-kit/r/p/r/5mm-green-led-light-emitting-diode-highlight-for-arduino-pack-of-original-imag5n63ad6pnxqe.jpeg?q=70", 1)</f>
        <v/>
      </c>
      <c r="D134" s="216">
        <v>500.0</v>
      </c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  <c r="AI134" s="301"/>
      <c r="AJ134" s="301"/>
      <c r="AK134" s="301"/>
    </row>
    <row r="135" ht="45.0" customHeight="1">
      <c r="A135" s="11">
        <v>135.0</v>
      </c>
      <c r="B135" s="93" t="s">
        <v>610</v>
      </c>
      <c r="C135" s="11" t="str">
        <f>IMAGE("https://rukminim2.flixcart.com/image/832/832/ktrk13k0/electronic-hobby-kit/u/f/w/10-pcs-5mm-round-diffused-red-color-led-light-bulb-lamp-light-original-imag7ff6rchccrbz.jpeg?q=70", 1)</f>
        <v/>
      </c>
      <c r="D135" s="216">
        <v>500.0</v>
      </c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  <c r="AC135" s="301"/>
      <c r="AD135" s="301"/>
      <c r="AE135" s="301"/>
      <c r="AF135" s="301"/>
      <c r="AG135" s="301"/>
      <c r="AH135" s="301"/>
      <c r="AI135" s="301"/>
      <c r="AJ135" s="301"/>
      <c r="AK135" s="301"/>
    </row>
    <row r="136" ht="45.0" customHeight="1">
      <c r="A136" s="11">
        <v>136.0</v>
      </c>
      <c r="B136" s="93" t="s">
        <v>614</v>
      </c>
      <c r="C136" s="11" t="str">
        <f>IMAGE("https://robu.in/wp-content/uploads/2020/10/5mm-DIP-Led-White.png", 1)</f>
        <v/>
      </c>
      <c r="D136" s="216">
        <v>500.0</v>
      </c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  <c r="AE136" s="301"/>
      <c r="AF136" s="301"/>
      <c r="AG136" s="301"/>
      <c r="AH136" s="301"/>
      <c r="AI136" s="301"/>
      <c r="AJ136" s="301"/>
      <c r="AK136" s="301"/>
    </row>
    <row r="137" ht="45.0" customHeight="1">
      <c r="A137" s="11">
        <v>137.0</v>
      </c>
      <c r="B137" s="93" t="s">
        <v>618</v>
      </c>
      <c r="C137" s="11" t="str">
        <f>IMAGE("https://robu.in/wp-content/uploads/2020/10/5-mm-DIP-Led-Yellow.png", 1)</f>
        <v/>
      </c>
      <c r="D137" s="216">
        <v>500.0</v>
      </c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  <c r="AC137" s="301"/>
      <c r="AD137" s="301"/>
      <c r="AE137" s="301"/>
      <c r="AF137" s="301"/>
      <c r="AG137" s="301"/>
      <c r="AH137" s="301"/>
      <c r="AI137" s="301"/>
      <c r="AJ137" s="301"/>
      <c r="AK137" s="301"/>
    </row>
    <row r="138" ht="45.0" customHeight="1">
      <c r="A138" s="11">
        <v>138.0</v>
      </c>
      <c r="B138" s="93" t="s">
        <v>622</v>
      </c>
      <c r="C138" s="11" t="str">
        <f>IMAGE("https://image.robotistan.com/5mm-transparent-rgb-led-2633-11-O.jpg", 1)</f>
        <v/>
      </c>
      <c r="D138" s="216">
        <v>100.0</v>
      </c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  <c r="AC138" s="301"/>
      <c r="AD138" s="301"/>
      <c r="AE138" s="301"/>
      <c r="AF138" s="301"/>
      <c r="AG138" s="301"/>
      <c r="AH138" s="301"/>
      <c r="AI138" s="301"/>
      <c r="AJ138" s="301"/>
      <c r="AK138" s="301"/>
    </row>
    <row r="139" ht="45.0" customHeight="1">
      <c r="A139" s="11">
        <v>139.0</v>
      </c>
      <c r="B139" s="93" t="s">
        <v>630</v>
      </c>
      <c r="C139" s="11" t="str">
        <f t="shared" ref="C139:C140" si="9">IMAGE("https://www.electronicscomp.com/image/cache/catalog/irfz44-n-channel-power-mosfet-1-800x800.JPG",1)</f>
        <v/>
      </c>
      <c r="D139" s="216">
        <v>20.0</v>
      </c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  <c r="AD139" s="301"/>
      <c r="AE139" s="301"/>
      <c r="AF139" s="301"/>
      <c r="AG139" s="301"/>
      <c r="AH139" s="301"/>
      <c r="AI139" s="301"/>
      <c r="AJ139" s="301"/>
      <c r="AK139" s="301"/>
    </row>
    <row r="140" ht="45.0" customHeight="1">
      <c r="A140" s="11">
        <v>140.0</v>
      </c>
      <c r="B140" s="93" t="s">
        <v>634</v>
      </c>
      <c r="C140" s="11" t="str">
        <f t="shared" si="9"/>
        <v/>
      </c>
      <c r="D140" s="216">
        <v>20.0</v>
      </c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  <c r="AC140" s="301"/>
      <c r="AD140" s="301"/>
      <c r="AE140" s="301"/>
      <c r="AF140" s="301"/>
      <c r="AG140" s="301"/>
      <c r="AH140" s="301"/>
      <c r="AI140" s="301"/>
      <c r="AJ140" s="301"/>
      <c r="AK140" s="301"/>
    </row>
    <row r="141" ht="45.0" customHeight="1">
      <c r="A141" s="11">
        <v>141.0</v>
      </c>
      <c r="B141" s="93" t="s">
        <v>886</v>
      </c>
      <c r="C141" s="11" t="str">
        <f>IMAGE("https://www.olelectronics.in/wp-content/uploads/Miniature-Vibration-Motor.png",1)</f>
        <v/>
      </c>
      <c r="D141" s="216">
        <v>20.0</v>
      </c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5"/>
      <c r="AH141" s="305"/>
      <c r="AI141" s="305"/>
      <c r="AJ141" s="305"/>
      <c r="AK141" s="305"/>
    </row>
    <row r="142" ht="45.0" customHeight="1">
      <c r="A142" s="11">
        <v>142.0</v>
      </c>
      <c r="B142" s="93" t="s">
        <v>642</v>
      </c>
      <c r="C142" s="11" t="str">
        <f t="shared" ref="C142:C145" si="10">IMAGE("https://m.media-amazon.com/images/I/31ALofIyvBL._SX466_.jpg",1)</f>
        <v/>
      </c>
      <c r="D142" s="216">
        <v>20.0</v>
      </c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  <c r="AB142" s="301"/>
      <c r="AC142" s="301"/>
      <c r="AD142" s="301"/>
      <c r="AE142" s="301"/>
      <c r="AF142" s="301"/>
      <c r="AG142" s="301"/>
      <c r="AH142" s="301"/>
      <c r="AI142" s="301"/>
      <c r="AJ142" s="301"/>
      <c r="AK142" s="301"/>
    </row>
    <row r="143" ht="45.0" customHeight="1">
      <c r="A143" s="11">
        <v>143.0</v>
      </c>
      <c r="B143" s="93" t="s">
        <v>646</v>
      </c>
      <c r="C143" s="11" t="str">
        <f t="shared" si="10"/>
        <v/>
      </c>
      <c r="D143" s="216">
        <v>20.0</v>
      </c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  <c r="AB143" s="301"/>
      <c r="AC143" s="301"/>
      <c r="AD143" s="301"/>
      <c r="AE143" s="301"/>
      <c r="AF143" s="301"/>
      <c r="AG143" s="301"/>
      <c r="AH143" s="301"/>
      <c r="AI143" s="301"/>
      <c r="AJ143" s="301"/>
      <c r="AK143" s="301"/>
    </row>
    <row r="144" ht="45.0" customHeight="1">
      <c r="A144" s="11">
        <v>144.0</v>
      </c>
      <c r="B144" s="242" t="s">
        <v>650</v>
      </c>
      <c r="C144" s="11" t="str">
        <f t="shared" si="10"/>
        <v/>
      </c>
      <c r="D144" s="216">
        <v>20.0</v>
      </c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  <c r="AC144" s="301"/>
      <c r="AD144" s="301"/>
      <c r="AE144" s="301"/>
      <c r="AF144" s="301"/>
      <c r="AG144" s="301"/>
      <c r="AH144" s="301"/>
      <c r="AI144" s="301"/>
      <c r="AJ144" s="301"/>
      <c r="AK144" s="301"/>
    </row>
    <row r="145" ht="45.0" customHeight="1">
      <c r="A145" s="11">
        <v>145.0</v>
      </c>
      <c r="B145" s="242" t="s">
        <v>654</v>
      </c>
      <c r="C145" s="11" t="str">
        <f t="shared" si="10"/>
        <v/>
      </c>
      <c r="D145" s="216">
        <v>20.0</v>
      </c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  <c r="AD145" s="301"/>
      <c r="AE145" s="301"/>
      <c r="AF145" s="301"/>
      <c r="AG145" s="301"/>
      <c r="AH145" s="301"/>
      <c r="AI145" s="301"/>
      <c r="AJ145" s="301"/>
      <c r="AK145" s="301"/>
    </row>
    <row r="146" ht="45.0" customHeight="1">
      <c r="A146" s="11">
        <v>146.0</v>
      </c>
      <c r="B146" s="242" t="s">
        <v>874</v>
      </c>
      <c r="C146" s="11" t="str">
        <f t="shared" ref="C146:C148" si="11">IMAGE("https://probots.co.in/pub/media/catalog/product/cache/d8ddd0f9b0cd008b57085cd218b48832/1/k/1k_ohm_variable_resistor_potentiometer1-1000x1000_12.jpg",1)</f>
        <v/>
      </c>
      <c r="D146" s="216">
        <v>20.0</v>
      </c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  <c r="AE146" s="301"/>
      <c r="AF146" s="301"/>
      <c r="AG146" s="301"/>
      <c r="AH146" s="301"/>
      <c r="AI146" s="301"/>
      <c r="AJ146" s="301"/>
      <c r="AK146" s="301"/>
    </row>
    <row r="147" ht="45.0" customHeight="1">
      <c r="A147" s="11">
        <v>147.0</v>
      </c>
      <c r="B147" s="242" t="s">
        <v>878</v>
      </c>
      <c r="C147" s="11" t="str">
        <f t="shared" si="11"/>
        <v/>
      </c>
      <c r="D147" s="216">
        <v>20.0</v>
      </c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301"/>
      <c r="AE147" s="301"/>
      <c r="AF147" s="301"/>
      <c r="AG147" s="301"/>
      <c r="AH147" s="301"/>
      <c r="AI147" s="301"/>
      <c r="AJ147" s="301"/>
      <c r="AK147" s="301"/>
    </row>
    <row r="148" ht="45.0" customHeight="1">
      <c r="A148" s="11">
        <v>148.0</v>
      </c>
      <c r="B148" s="242" t="s">
        <v>882</v>
      </c>
      <c r="C148" s="11" t="str">
        <f t="shared" si="11"/>
        <v/>
      </c>
      <c r="D148" s="216">
        <v>20.0</v>
      </c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301"/>
      <c r="AH148" s="301"/>
      <c r="AI148" s="301"/>
      <c r="AJ148" s="301"/>
      <c r="AK148" s="301"/>
    </row>
    <row r="149" ht="45.0" customHeight="1">
      <c r="A149" s="11">
        <v>149.0</v>
      </c>
      <c r="B149" s="240" t="s">
        <v>662</v>
      </c>
      <c r="C149" s="11" t="str">
        <f t="shared" ref="C149:C189" si="12">IMAGE("https://projectpoint.in/image/cache/catalog/CFR_Resistor_Kit-672x504.jpg",1)</f>
        <v/>
      </c>
      <c r="D149" s="216">
        <v>100.0</v>
      </c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  <c r="AC149" s="301"/>
      <c r="AD149" s="301"/>
      <c r="AE149" s="301"/>
      <c r="AF149" s="301"/>
      <c r="AG149" s="301"/>
      <c r="AH149" s="301"/>
      <c r="AI149" s="301"/>
      <c r="AJ149" s="301"/>
      <c r="AK149" s="301"/>
    </row>
    <row r="150" ht="45.0" customHeight="1">
      <c r="A150" s="11">
        <v>150.0</v>
      </c>
      <c r="B150" s="240" t="s">
        <v>1757</v>
      </c>
      <c r="C150" s="11" t="str">
        <f t="shared" si="12"/>
        <v/>
      </c>
      <c r="D150" s="216">
        <v>100.0</v>
      </c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301"/>
      <c r="AH150" s="301"/>
      <c r="AI150" s="301"/>
      <c r="AJ150" s="301"/>
      <c r="AK150" s="301"/>
    </row>
    <row r="151" ht="45.0" customHeight="1">
      <c r="A151" s="11">
        <v>151.0</v>
      </c>
      <c r="B151" s="240" t="s">
        <v>698</v>
      </c>
      <c r="C151" s="11" t="str">
        <f t="shared" si="12"/>
        <v/>
      </c>
      <c r="D151" s="216">
        <v>100.0</v>
      </c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301"/>
      <c r="AH151" s="301"/>
      <c r="AI151" s="301"/>
      <c r="AJ151" s="301"/>
      <c r="AK151" s="301"/>
    </row>
    <row r="152" ht="45.0" customHeight="1">
      <c r="A152" s="11">
        <v>152.0</v>
      </c>
      <c r="B152" s="240" t="s">
        <v>706</v>
      </c>
      <c r="C152" s="11" t="str">
        <f t="shared" si="12"/>
        <v/>
      </c>
      <c r="D152" s="216">
        <v>100.0</v>
      </c>
      <c r="E152" s="305"/>
      <c r="F152" s="305"/>
      <c r="G152" s="305"/>
      <c r="H152" s="305"/>
      <c r="I152" s="305"/>
      <c r="J152" s="305"/>
      <c r="K152" s="305"/>
      <c r="L152" s="305"/>
      <c r="M152" s="305"/>
      <c r="N152" s="305"/>
      <c r="O152" s="305"/>
      <c r="P152" s="305"/>
      <c r="Q152" s="305"/>
      <c r="R152" s="305"/>
      <c r="S152" s="305"/>
      <c r="T152" s="305"/>
      <c r="U152" s="305"/>
      <c r="V152" s="305"/>
      <c r="W152" s="305"/>
      <c r="X152" s="305"/>
      <c r="Y152" s="305"/>
      <c r="Z152" s="305"/>
      <c r="AA152" s="305"/>
      <c r="AB152" s="305"/>
      <c r="AC152" s="305"/>
      <c r="AD152" s="305"/>
      <c r="AE152" s="305"/>
      <c r="AF152" s="305"/>
      <c r="AG152" s="305"/>
      <c r="AH152" s="305"/>
      <c r="AI152" s="305"/>
      <c r="AJ152" s="305"/>
      <c r="AK152" s="305"/>
    </row>
    <row r="153" ht="45.0" customHeight="1">
      <c r="A153" s="11">
        <v>153.0</v>
      </c>
      <c r="B153" s="240" t="s">
        <v>718</v>
      </c>
      <c r="C153" s="11" t="str">
        <f t="shared" si="12"/>
        <v/>
      </c>
      <c r="D153" s="216">
        <v>100.0</v>
      </c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  <c r="AE153" s="301"/>
      <c r="AF153" s="301"/>
      <c r="AG153" s="301"/>
      <c r="AH153" s="301"/>
      <c r="AI153" s="301"/>
      <c r="AJ153" s="301"/>
      <c r="AK153" s="301"/>
    </row>
    <row r="154" ht="45.0" customHeight="1">
      <c r="A154" s="11">
        <v>154.0</v>
      </c>
      <c r="B154" s="240" t="s">
        <v>734</v>
      </c>
      <c r="C154" s="11" t="str">
        <f t="shared" si="12"/>
        <v/>
      </c>
      <c r="D154" s="216">
        <v>100.0</v>
      </c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  <c r="AE154" s="301"/>
      <c r="AF154" s="301"/>
      <c r="AG154" s="301"/>
      <c r="AH154" s="301"/>
      <c r="AI154" s="301"/>
      <c r="AJ154" s="301"/>
      <c r="AK154" s="301"/>
    </row>
    <row r="155" ht="45.0" customHeight="1">
      <c r="A155" s="11">
        <v>155.0</v>
      </c>
      <c r="B155" s="240" t="s">
        <v>1779</v>
      </c>
      <c r="C155" s="11" t="str">
        <f t="shared" si="12"/>
        <v/>
      </c>
      <c r="D155" s="216">
        <v>100.0</v>
      </c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  <c r="AD155" s="301"/>
      <c r="AE155" s="301"/>
      <c r="AF155" s="301"/>
      <c r="AG155" s="301"/>
      <c r="AH155" s="301"/>
      <c r="AI155" s="301"/>
      <c r="AJ155" s="301"/>
      <c r="AK155" s="301"/>
    </row>
    <row r="156" ht="45.0" customHeight="1">
      <c r="A156" s="11">
        <v>156.0</v>
      </c>
      <c r="B156" s="240" t="s">
        <v>754</v>
      </c>
      <c r="C156" s="11" t="str">
        <f t="shared" si="12"/>
        <v/>
      </c>
      <c r="D156" s="216">
        <v>100.0</v>
      </c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  <c r="AD156" s="301"/>
      <c r="AE156" s="301"/>
      <c r="AF156" s="301"/>
      <c r="AG156" s="301"/>
      <c r="AH156" s="301"/>
      <c r="AI156" s="301"/>
      <c r="AJ156" s="301"/>
      <c r="AK156" s="301"/>
    </row>
    <row r="157" ht="45.0" customHeight="1">
      <c r="A157" s="11">
        <v>157.0</v>
      </c>
      <c r="B157" s="240" t="s">
        <v>774</v>
      </c>
      <c r="C157" s="11" t="str">
        <f t="shared" si="12"/>
        <v/>
      </c>
      <c r="D157" s="216">
        <v>100.0</v>
      </c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  <c r="AD157" s="301"/>
      <c r="AE157" s="301"/>
      <c r="AF157" s="301"/>
      <c r="AG157" s="301"/>
      <c r="AH157" s="301"/>
      <c r="AI157" s="301"/>
      <c r="AJ157" s="301"/>
      <c r="AK157" s="301"/>
    </row>
    <row r="158" ht="45.0" customHeight="1">
      <c r="A158" s="11">
        <v>158.0</v>
      </c>
      <c r="B158" s="240" t="s">
        <v>658</v>
      </c>
      <c r="C158" s="11" t="str">
        <f t="shared" si="12"/>
        <v/>
      </c>
      <c r="D158" s="216">
        <v>100.0</v>
      </c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  <c r="AC158" s="301"/>
      <c r="AD158" s="301"/>
      <c r="AE158" s="301"/>
      <c r="AF158" s="301"/>
      <c r="AG158" s="301"/>
      <c r="AH158" s="301"/>
      <c r="AI158" s="301"/>
      <c r="AJ158" s="301"/>
      <c r="AK158" s="301"/>
    </row>
    <row r="159" ht="45.0" customHeight="1">
      <c r="A159" s="11">
        <v>159.0</v>
      </c>
      <c r="B159" s="240" t="s">
        <v>1792</v>
      </c>
      <c r="C159" s="11" t="str">
        <f t="shared" si="12"/>
        <v/>
      </c>
      <c r="D159" s="216">
        <v>100.0</v>
      </c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  <c r="AD159" s="301"/>
      <c r="AE159" s="301"/>
      <c r="AF159" s="301"/>
      <c r="AG159" s="301"/>
      <c r="AH159" s="301"/>
      <c r="AI159" s="301"/>
      <c r="AJ159" s="301"/>
      <c r="AK159" s="301"/>
    </row>
    <row r="160" ht="45.0" customHeight="1">
      <c r="A160" s="11">
        <v>160.0</v>
      </c>
      <c r="B160" s="240" t="s">
        <v>690</v>
      </c>
      <c r="C160" s="11" t="str">
        <f t="shared" si="12"/>
        <v/>
      </c>
      <c r="D160" s="216">
        <v>100.0</v>
      </c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  <c r="AD160" s="301"/>
      <c r="AE160" s="301"/>
      <c r="AF160" s="301"/>
      <c r="AG160" s="301"/>
      <c r="AH160" s="301"/>
      <c r="AI160" s="301"/>
      <c r="AJ160" s="301"/>
      <c r="AK160" s="301"/>
    </row>
    <row r="161" ht="45.0" customHeight="1">
      <c r="A161" s="11">
        <v>161.0</v>
      </c>
      <c r="B161" s="240" t="s">
        <v>1799</v>
      </c>
      <c r="C161" s="11" t="str">
        <f t="shared" si="12"/>
        <v/>
      </c>
      <c r="D161" s="216">
        <v>100.0</v>
      </c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  <c r="AD161" s="301"/>
      <c r="AE161" s="301"/>
      <c r="AF161" s="301"/>
      <c r="AG161" s="301"/>
      <c r="AH161" s="301"/>
      <c r="AI161" s="301"/>
      <c r="AJ161" s="301"/>
      <c r="AK161" s="301"/>
    </row>
    <row r="162" ht="45.0" customHeight="1">
      <c r="A162" s="11">
        <v>162.0</v>
      </c>
      <c r="B162" s="240" t="s">
        <v>710</v>
      </c>
      <c r="C162" s="11" t="str">
        <f t="shared" si="12"/>
        <v/>
      </c>
      <c r="D162" s="216">
        <v>100.0</v>
      </c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  <c r="AE162" s="301"/>
      <c r="AF162" s="301"/>
      <c r="AG162" s="301"/>
      <c r="AH162" s="301"/>
      <c r="AI162" s="301"/>
      <c r="AJ162" s="301"/>
      <c r="AK162" s="301"/>
    </row>
    <row r="163" ht="45.0" customHeight="1">
      <c r="A163" s="11">
        <v>163.0</v>
      </c>
      <c r="B163" s="240" t="s">
        <v>726</v>
      </c>
      <c r="C163" s="11" t="str">
        <f t="shared" si="12"/>
        <v/>
      </c>
      <c r="D163" s="216">
        <v>100.0</v>
      </c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  <c r="AE163" s="301"/>
      <c r="AF163" s="301"/>
      <c r="AG163" s="301"/>
      <c r="AH163" s="301"/>
      <c r="AI163" s="301"/>
      <c r="AJ163" s="301"/>
      <c r="AK163" s="301"/>
    </row>
    <row r="164" ht="45.0" customHeight="1">
      <c r="A164" s="11">
        <v>164.0</v>
      </c>
      <c r="B164" s="240" t="s">
        <v>1808</v>
      </c>
      <c r="C164" s="11" t="str">
        <f t="shared" si="12"/>
        <v/>
      </c>
      <c r="D164" s="216">
        <v>100.0</v>
      </c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301"/>
      <c r="AH164" s="301"/>
      <c r="AI164" s="301"/>
      <c r="AJ164" s="301"/>
      <c r="AK164" s="301"/>
    </row>
    <row r="165" ht="45.0" customHeight="1">
      <c r="A165" s="11">
        <v>165.0</v>
      </c>
      <c r="B165" s="240" t="s">
        <v>746</v>
      </c>
      <c r="C165" s="11" t="str">
        <f t="shared" si="12"/>
        <v/>
      </c>
      <c r="D165" s="216">
        <v>100.0</v>
      </c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  <c r="AD165" s="301"/>
      <c r="AE165" s="301"/>
      <c r="AF165" s="301"/>
      <c r="AG165" s="301"/>
      <c r="AH165" s="301"/>
      <c r="AI165" s="301"/>
      <c r="AJ165" s="301"/>
      <c r="AK165" s="301"/>
    </row>
    <row r="166" ht="45.0" customHeight="1">
      <c r="A166" s="11">
        <v>166.0</v>
      </c>
      <c r="B166" s="240" t="s">
        <v>766</v>
      </c>
      <c r="C166" s="11" t="str">
        <f t="shared" si="12"/>
        <v/>
      </c>
      <c r="D166" s="216">
        <v>100.0</v>
      </c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  <c r="AD166" s="301"/>
      <c r="AE166" s="301"/>
      <c r="AF166" s="301"/>
      <c r="AG166" s="301"/>
      <c r="AH166" s="301"/>
      <c r="AI166" s="301"/>
      <c r="AJ166" s="301"/>
      <c r="AK166" s="301"/>
    </row>
    <row r="167" ht="45.0" customHeight="1">
      <c r="A167" s="11">
        <v>167.0</v>
      </c>
      <c r="B167" s="240" t="s">
        <v>678</v>
      </c>
      <c r="C167" s="11" t="str">
        <f t="shared" si="12"/>
        <v/>
      </c>
      <c r="D167" s="216">
        <v>100.0</v>
      </c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  <c r="AD167" s="301"/>
      <c r="AE167" s="301"/>
      <c r="AF167" s="301"/>
      <c r="AG167" s="301"/>
      <c r="AH167" s="301"/>
      <c r="AI167" s="301"/>
      <c r="AJ167" s="301"/>
      <c r="AK167" s="301"/>
    </row>
    <row r="168" ht="45.0" customHeight="1">
      <c r="A168" s="11">
        <v>168.0</v>
      </c>
      <c r="B168" s="240" t="s">
        <v>686</v>
      </c>
      <c r="C168" s="11" t="str">
        <f t="shared" si="12"/>
        <v/>
      </c>
      <c r="D168" s="216">
        <v>100.0</v>
      </c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  <c r="AC168" s="301"/>
      <c r="AD168" s="301"/>
      <c r="AE168" s="301"/>
      <c r="AF168" s="301"/>
      <c r="AG168" s="301"/>
      <c r="AH168" s="301"/>
      <c r="AI168" s="301"/>
      <c r="AJ168" s="301"/>
      <c r="AK168" s="301"/>
    </row>
    <row r="169" ht="45.0" customHeight="1">
      <c r="A169" s="11">
        <v>169.0</v>
      </c>
      <c r="B169" s="240" t="s">
        <v>742</v>
      </c>
      <c r="C169" s="11" t="str">
        <f t="shared" si="12"/>
        <v/>
      </c>
      <c r="D169" s="216">
        <v>100.0</v>
      </c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  <c r="AC169" s="301"/>
      <c r="AD169" s="301"/>
      <c r="AE169" s="301"/>
      <c r="AF169" s="301"/>
      <c r="AG169" s="301"/>
      <c r="AH169" s="301"/>
      <c r="AI169" s="301"/>
      <c r="AJ169" s="301"/>
      <c r="AK169" s="301"/>
    </row>
    <row r="170" ht="45.0" customHeight="1">
      <c r="A170" s="11">
        <v>170.0</v>
      </c>
      <c r="B170" s="240" t="s">
        <v>666</v>
      </c>
      <c r="C170" s="11" t="str">
        <f t="shared" si="12"/>
        <v/>
      </c>
      <c r="D170" s="216">
        <v>100.0</v>
      </c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  <c r="AB170" s="301"/>
      <c r="AC170" s="301"/>
      <c r="AD170" s="301"/>
      <c r="AE170" s="301"/>
      <c r="AF170" s="301"/>
      <c r="AG170" s="301"/>
      <c r="AH170" s="301"/>
      <c r="AI170" s="301"/>
      <c r="AJ170" s="301"/>
      <c r="AK170" s="301"/>
    </row>
    <row r="171" ht="45.0" customHeight="1">
      <c r="A171" s="11">
        <v>171.0</v>
      </c>
      <c r="B171" s="240" t="s">
        <v>794</v>
      </c>
      <c r="C171" s="11" t="str">
        <f t="shared" si="12"/>
        <v/>
      </c>
      <c r="D171" s="216">
        <v>100.0</v>
      </c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  <c r="AB171" s="301"/>
      <c r="AC171" s="301"/>
      <c r="AD171" s="301"/>
      <c r="AE171" s="301"/>
      <c r="AF171" s="301"/>
      <c r="AG171" s="301"/>
      <c r="AH171" s="301"/>
      <c r="AI171" s="301"/>
      <c r="AJ171" s="301"/>
      <c r="AK171" s="301"/>
    </row>
    <row r="172" ht="45.0" customHeight="1">
      <c r="A172" s="11">
        <v>172.0</v>
      </c>
      <c r="B172" s="240" t="s">
        <v>702</v>
      </c>
      <c r="C172" s="11" t="str">
        <f t="shared" si="12"/>
        <v/>
      </c>
      <c r="D172" s="216">
        <v>100.0</v>
      </c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  <c r="AB172" s="301"/>
      <c r="AC172" s="301"/>
      <c r="AD172" s="301"/>
      <c r="AE172" s="301"/>
      <c r="AF172" s="301"/>
      <c r="AG172" s="301"/>
      <c r="AH172" s="301"/>
      <c r="AI172" s="301"/>
      <c r="AJ172" s="301"/>
      <c r="AK172" s="301"/>
    </row>
    <row r="173" ht="45.0" customHeight="1">
      <c r="A173" s="11">
        <v>173.0</v>
      </c>
      <c r="B173" s="240" t="s">
        <v>806</v>
      </c>
      <c r="C173" s="11" t="str">
        <f t="shared" si="12"/>
        <v/>
      </c>
      <c r="D173" s="216">
        <v>100.0</v>
      </c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  <c r="AB173" s="301"/>
      <c r="AC173" s="301"/>
      <c r="AD173" s="301"/>
      <c r="AE173" s="301"/>
      <c r="AF173" s="301"/>
      <c r="AG173" s="301"/>
      <c r="AH173" s="301"/>
      <c r="AI173" s="301"/>
      <c r="AJ173" s="301"/>
      <c r="AK173" s="301"/>
    </row>
    <row r="174" ht="45.0" customHeight="1">
      <c r="A174" s="11">
        <v>174.0</v>
      </c>
      <c r="B174" s="240" t="s">
        <v>722</v>
      </c>
      <c r="C174" s="11" t="str">
        <f t="shared" si="12"/>
        <v/>
      </c>
      <c r="D174" s="216">
        <v>100.0</v>
      </c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  <c r="AB174" s="301"/>
      <c r="AC174" s="301"/>
      <c r="AD174" s="301"/>
      <c r="AE174" s="301"/>
      <c r="AF174" s="301"/>
      <c r="AG174" s="301"/>
      <c r="AH174" s="301"/>
      <c r="AI174" s="301"/>
      <c r="AJ174" s="301"/>
      <c r="AK174" s="301"/>
    </row>
    <row r="175" ht="45.0" customHeight="1">
      <c r="A175" s="11">
        <v>175.0</v>
      </c>
      <c r="B175" s="240" t="s">
        <v>738</v>
      </c>
      <c r="C175" s="11" t="str">
        <f t="shared" si="12"/>
        <v/>
      </c>
      <c r="D175" s="216">
        <v>100.0</v>
      </c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  <c r="AC175" s="301"/>
      <c r="AD175" s="301"/>
      <c r="AE175" s="301"/>
      <c r="AF175" s="301"/>
      <c r="AG175" s="301"/>
      <c r="AH175" s="301"/>
      <c r="AI175" s="301"/>
      <c r="AJ175" s="301"/>
      <c r="AK175" s="301"/>
    </row>
    <row r="176" ht="45.0" customHeight="1">
      <c r="A176" s="11">
        <v>176.0</v>
      </c>
      <c r="B176" s="240" t="s">
        <v>822</v>
      </c>
      <c r="C176" s="11" t="str">
        <f t="shared" si="12"/>
        <v/>
      </c>
      <c r="D176" s="216">
        <v>100.0</v>
      </c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  <c r="AC176" s="301"/>
      <c r="AD176" s="301"/>
      <c r="AE176" s="301"/>
      <c r="AF176" s="301"/>
      <c r="AG176" s="301"/>
      <c r="AH176" s="301"/>
      <c r="AI176" s="301"/>
      <c r="AJ176" s="301"/>
      <c r="AK176" s="301"/>
    </row>
    <row r="177" ht="45.0" customHeight="1">
      <c r="A177" s="11">
        <v>177.0</v>
      </c>
      <c r="B177" s="240" t="s">
        <v>758</v>
      </c>
      <c r="C177" s="11" t="str">
        <f t="shared" si="12"/>
        <v/>
      </c>
      <c r="D177" s="216">
        <v>100.0</v>
      </c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  <c r="AC177" s="301"/>
      <c r="AD177" s="301"/>
      <c r="AE177" s="301"/>
      <c r="AF177" s="301"/>
      <c r="AG177" s="301"/>
      <c r="AH177" s="301"/>
      <c r="AI177" s="301"/>
      <c r="AJ177" s="301"/>
      <c r="AK177" s="301"/>
    </row>
    <row r="178" ht="45.0" customHeight="1">
      <c r="A178" s="11">
        <v>178.0</v>
      </c>
      <c r="B178" s="240" t="s">
        <v>778</v>
      </c>
      <c r="C178" s="11" t="str">
        <f t="shared" si="12"/>
        <v/>
      </c>
      <c r="D178" s="216">
        <v>100.0</v>
      </c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  <c r="AC178" s="301"/>
      <c r="AD178" s="301"/>
      <c r="AE178" s="301"/>
      <c r="AF178" s="301"/>
      <c r="AG178" s="301"/>
      <c r="AH178" s="301"/>
      <c r="AI178" s="301"/>
      <c r="AJ178" s="301"/>
      <c r="AK178" s="301"/>
    </row>
    <row r="179" ht="45.0" customHeight="1">
      <c r="A179" s="11">
        <v>179.0</v>
      </c>
      <c r="B179" s="240" t="s">
        <v>670</v>
      </c>
      <c r="C179" s="11" t="str">
        <f t="shared" si="12"/>
        <v/>
      </c>
      <c r="D179" s="216">
        <v>100.0</v>
      </c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  <c r="AC179" s="301"/>
      <c r="AD179" s="301"/>
      <c r="AE179" s="301"/>
      <c r="AF179" s="301"/>
      <c r="AG179" s="301"/>
      <c r="AH179" s="301"/>
      <c r="AI179" s="301"/>
      <c r="AJ179" s="301"/>
      <c r="AK179" s="301"/>
    </row>
    <row r="180" ht="45.0" customHeight="1">
      <c r="A180" s="11">
        <v>181.0</v>
      </c>
      <c r="B180" s="240" t="s">
        <v>674</v>
      </c>
      <c r="C180" s="11" t="str">
        <f t="shared" si="12"/>
        <v/>
      </c>
      <c r="D180" s="216">
        <v>100.0</v>
      </c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  <c r="AC180" s="301"/>
      <c r="AD180" s="301"/>
      <c r="AE180" s="301"/>
      <c r="AF180" s="301"/>
      <c r="AG180" s="301"/>
      <c r="AH180" s="301"/>
      <c r="AI180" s="301"/>
      <c r="AJ180" s="301"/>
      <c r="AK180" s="301"/>
    </row>
    <row r="181" ht="45.0" customHeight="1">
      <c r="A181" s="11">
        <v>182.0</v>
      </c>
      <c r="B181" s="240" t="s">
        <v>694</v>
      </c>
      <c r="C181" s="11" t="str">
        <f t="shared" si="12"/>
        <v/>
      </c>
      <c r="D181" s="216">
        <v>100.0</v>
      </c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  <c r="AC181" s="301"/>
      <c r="AD181" s="301"/>
      <c r="AE181" s="301"/>
      <c r="AF181" s="301"/>
      <c r="AG181" s="301"/>
      <c r="AH181" s="301"/>
      <c r="AI181" s="301"/>
      <c r="AJ181" s="301"/>
      <c r="AK181" s="301"/>
    </row>
    <row r="182" ht="45.0" customHeight="1">
      <c r="A182" s="11">
        <v>183.0</v>
      </c>
      <c r="B182" s="240" t="s">
        <v>802</v>
      </c>
      <c r="C182" s="11" t="str">
        <f t="shared" si="12"/>
        <v/>
      </c>
      <c r="D182" s="216">
        <v>100.0</v>
      </c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  <c r="AD182" s="301"/>
      <c r="AE182" s="301"/>
      <c r="AF182" s="301"/>
      <c r="AG182" s="301"/>
      <c r="AH182" s="301"/>
      <c r="AI182" s="301"/>
      <c r="AJ182" s="301"/>
      <c r="AK182" s="301"/>
    </row>
    <row r="183" ht="45.0" customHeight="1">
      <c r="A183" s="11">
        <v>184.0</v>
      </c>
      <c r="B183" s="240" t="s">
        <v>714</v>
      </c>
      <c r="C183" s="11" t="str">
        <f t="shared" si="12"/>
        <v/>
      </c>
      <c r="D183" s="216">
        <v>100.0</v>
      </c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  <c r="AC183" s="301"/>
      <c r="AD183" s="301"/>
      <c r="AE183" s="301"/>
      <c r="AF183" s="301"/>
      <c r="AG183" s="301"/>
      <c r="AH183" s="301"/>
      <c r="AI183" s="301"/>
      <c r="AJ183" s="301"/>
      <c r="AK183" s="301"/>
    </row>
    <row r="184" ht="45.0" customHeight="1">
      <c r="A184" s="11">
        <v>185.0</v>
      </c>
      <c r="B184" s="115" t="s">
        <v>730</v>
      </c>
      <c r="C184" s="11" t="str">
        <f t="shared" si="12"/>
        <v/>
      </c>
      <c r="D184" s="216">
        <v>100.0</v>
      </c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  <c r="AC184" s="301"/>
      <c r="AD184" s="301"/>
      <c r="AE184" s="301"/>
      <c r="AF184" s="301"/>
      <c r="AG184" s="301"/>
      <c r="AH184" s="301"/>
      <c r="AI184" s="301"/>
      <c r="AJ184" s="301"/>
      <c r="AK184" s="301"/>
    </row>
    <row r="185" ht="45.0" customHeight="1">
      <c r="A185" s="11">
        <v>186.0</v>
      </c>
      <c r="B185" s="115" t="s">
        <v>814</v>
      </c>
      <c r="C185" s="11" t="str">
        <f t="shared" si="12"/>
        <v/>
      </c>
      <c r="D185" s="216">
        <v>100.0</v>
      </c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  <c r="AC185" s="301"/>
      <c r="AD185" s="301"/>
      <c r="AE185" s="301"/>
      <c r="AF185" s="301"/>
      <c r="AG185" s="301"/>
      <c r="AH185" s="301"/>
      <c r="AI185" s="301"/>
      <c r="AJ185" s="301"/>
      <c r="AK185" s="301"/>
    </row>
    <row r="186" ht="45.0" customHeight="1">
      <c r="A186" s="11">
        <v>187.0</v>
      </c>
      <c r="B186" s="115" t="s">
        <v>750</v>
      </c>
      <c r="C186" s="11" t="str">
        <f t="shared" si="12"/>
        <v/>
      </c>
      <c r="D186" s="216">
        <v>100.0</v>
      </c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  <c r="AC186" s="301"/>
      <c r="AD186" s="301"/>
      <c r="AE186" s="301"/>
      <c r="AF186" s="301"/>
      <c r="AG186" s="301"/>
      <c r="AH186" s="301"/>
      <c r="AI186" s="301"/>
      <c r="AJ186" s="301"/>
      <c r="AK186" s="301"/>
    </row>
    <row r="187" ht="45.0" customHeight="1">
      <c r="A187" s="11">
        <v>188.0</v>
      </c>
      <c r="B187" s="115" t="s">
        <v>762</v>
      </c>
      <c r="C187" s="11" t="str">
        <f t="shared" si="12"/>
        <v/>
      </c>
      <c r="D187" s="216">
        <v>100.0</v>
      </c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  <c r="AC187" s="301"/>
      <c r="AD187" s="301"/>
      <c r="AE187" s="301"/>
      <c r="AF187" s="301"/>
      <c r="AG187" s="301"/>
      <c r="AH187" s="301"/>
      <c r="AI187" s="301"/>
      <c r="AJ187" s="301"/>
      <c r="AK187" s="301"/>
    </row>
    <row r="188" ht="45.0" customHeight="1">
      <c r="A188" s="11">
        <v>189.0</v>
      </c>
      <c r="B188" s="115" t="s">
        <v>770</v>
      </c>
      <c r="C188" s="11" t="str">
        <f t="shared" si="12"/>
        <v/>
      </c>
      <c r="D188" s="216">
        <v>100.0</v>
      </c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  <c r="AC188" s="301"/>
      <c r="AD188" s="301"/>
      <c r="AE188" s="301"/>
      <c r="AF188" s="301"/>
      <c r="AG188" s="301"/>
      <c r="AH188" s="301"/>
      <c r="AI188" s="301"/>
      <c r="AJ188" s="301"/>
      <c r="AK188" s="301"/>
    </row>
    <row r="189" ht="45.0" customHeight="1">
      <c r="A189" s="11">
        <v>190.0</v>
      </c>
      <c r="B189" s="115" t="s">
        <v>682</v>
      </c>
      <c r="C189" s="11" t="str">
        <f t="shared" si="12"/>
        <v/>
      </c>
      <c r="D189" s="216">
        <v>100.0</v>
      </c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  <c r="AC189" s="301"/>
      <c r="AD189" s="301"/>
      <c r="AE189" s="301"/>
      <c r="AF189" s="301"/>
      <c r="AG189" s="301"/>
      <c r="AH189" s="301"/>
      <c r="AI189" s="301"/>
      <c r="AJ189" s="301"/>
      <c r="AK189" s="301"/>
    </row>
    <row r="190" ht="45.0" customHeight="1">
      <c r="A190" s="11">
        <v>191.0</v>
      </c>
      <c r="B190" s="93" t="s">
        <v>488</v>
      </c>
      <c r="C190" s="11" t="str">
        <f>IMAGE("https://m.media-amazon.com/images/I/51BByYhTjOL._SX425_.jpg",1)</f>
        <v/>
      </c>
      <c r="D190" s="216">
        <v>20.0</v>
      </c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  <c r="AC190" s="301"/>
      <c r="AD190" s="301"/>
      <c r="AE190" s="301"/>
      <c r="AF190" s="301"/>
      <c r="AG190" s="301"/>
      <c r="AH190" s="301"/>
      <c r="AI190" s="301"/>
      <c r="AJ190" s="301"/>
      <c r="AK190" s="301"/>
    </row>
    <row r="191" ht="45.0" customHeight="1">
      <c r="A191" s="11">
        <v>192.0</v>
      </c>
      <c r="B191" s="93" t="s">
        <v>1804</v>
      </c>
      <c r="C191" s="11" t="str">
        <f>IMAGE("https://5.imimg.com/data5/FI/FV/DZ/SELLER-22718366/27-mm-3p-piezoelectric-buzzer-plate-500x500.jpg",1)</f>
        <v/>
      </c>
      <c r="D191" s="216">
        <v>20.0</v>
      </c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  <c r="AC191" s="301"/>
      <c r="AD191" s="301"/>
      <c r="AE191" s="301"/>
      <c r="AF191" s="301"/>
      <c r="AG191" s="301"/>
      <c r="AH191" s="301"/>
      <c r="AI191" s="301"/>
      <c r="AJ191" s="301"/>
      <c r="AK191" s="301"/>
    </row>
    <row r="192" ht="45.0" customHeight="1">
      <c r="A192" s="11">
        <v>193.0</v>
      </c>
      <c r="B192" s="93" t="s">
        <v>826</v>
      </c>
      <c r="C192" s="11" t="str">
        <f>IMAGE("https://encrypted-tbn0.gstatic.com/images?q=tbn:ANd9GcR-ur1Cl_3Rq82qZ9KbLtZX3U_7cevDQWdUVA&amp;usqp=CAU",1)</f>
        <v/>
      </c>
      <c r="D192" s="216">
        <v>100.0</v>
      </c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  <c r="AC192" s="301"/>
      <c r="AD192" s="301"/>
      <c r="AE192" s="301"/>
      <c r="AF192" s="301"/>
      <c r="AG192" s="301"/>
      <c r="AH192" s="301"/>
      <c r="AI192" s="301"/>
      <c r="AJ192" s="301"/>
      <c r="AK192" s="301"/>
    </row>
    <row r="193" ht="45.0" customHeight="1">
      <c r="A193" s="11">
        <v>194.0</v>
      </c>
      <c r="B193" s="93" t="s">
        <v>830</v>
      </c>
      <c r="C193" s="11" t="str">
        <f>IMAGE("https://m.media-amazon.com/images/I/51khY6g46VL._AC_SL1500_.jpg",1)</f>
        <v/>
      </c>
      <c r="D193" s="216">
        <v>50.0</v>
      </c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  <c r="AD193" s="301"/>
      <c r="AE193" s="301"/>
      <c r="AF193" s="301"/>
      <c r="AG193" s="301"/>
      <c r="AH193" s="301"/>
      <c r="AI193" s="301"/>
      <c r="AJ193" s="301"/>
      <c r="AK193" s="301"/>
    </row>
    <row r="194" ht="45.0" customHeight="1">
      <c r="A194" s="11">
        <v>195.0</v>
      </c>
      <c r="B194" s="93" t="s">
        <v>834</v>
      </c>
      <c r="C194" s="11" t="str">
        <f>IMAGE("https://etstore.in/wp-content/uploads/2021/12/IMG_20201130_100203.png",1)</f>
        <v/>
      </c>
      <c r="D194" s="216">
        <v>50.0</v>
      </c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  <c r="AD194" s="301"/>
      <c r="AE194" s="301"/>
      <c r="AF194" s="301"/>
      <c r="AG194" s="301"/>
      <c r="AH194" s="301"/>
      <c r="AI194" s="301"/>
      <c r="AJ194" s="301"/>
      <c r="AK194" s="301"/>
    </row>
    <row r="195" ht="45.0" customHeight="1">
      <c r="A195" s="11">
        <v>196.0</v>
      </c>
      <c r="B195" s="93" t="s">
        <v>838</v>
      </c>
      <c r="C195" s="11" t="str">
        <f>IMAGE("https://m.media-amazon.com/images/I/71UDXftBeaL._SX466_.jpg",1)</f>
        <v/>
      </c>
      <c r="D195" s="216">
        <v>50.0</v>
      </c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  <c r="AD195" s="301"/>
      <c r="AE195" s="301"/>
      <c r="AF195" s="301"/>
      <c r="AG195" s="301"/>
      <c r="AH195" s="301"/>
      <c r="AI195" s="301"/>
      <c r="AJ195" s="301"/>
      <c r="AK195" s="301"/>
    </row>
    <row r="196" ht="45.0" customHeight="1">
      <c r="A196" s="11">
        <v>197.0</v>
      </c>
      <c r="B196" s="93" t="s">
        <v>842</v>
      </c>
      <c r="C196" s="11" t="str">
        <f>IMAGE("https://m.media-amazon.com/images/I/4116hBQx0XL._SX425_.jpg",1)</f>
        <v/>
      </c>
      <c r="D196" s="216">
        <v>50.0</v>
      </c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  <c r="AD196" s="301"/>
      <c r="AE196" s="301"/>
      <c r="AF196" s="301"/>
      <c r="AG196" s="301"/>
      <c r="AH196" s="301"/>
      <c r="AI196" s="301"/>
      <c r="AJ196" s="301"/>
      <c r="AK196" s="301"/>
    </row>
    <row r="197" ht="45.0" customHeight="1">
      <c r="A197" s="11">
        <v>198.0</v>
      </c>
      <c r="B197" s="93" t="s">
        <v>850</v>
      </c>
      <c r="C197" s="11" t="str">
        <f>IMAGE("https://5.imimg.com/data5/SELLER/Default/2020/8/IJ/BD/HA/84543611/2n3904-transistor-500x500.jpg",1)</f>
        <v/>
      </c>
      <c r="D197" s="216">
        <v>100.0</v>
      </c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  <c r="AD197" s="301"/>
      <c r="AE197" s="301"/>
      <c r="AF197" s="301"/>
      <c r="AG197" s="301"/>
      <c r="AH197" s="301"/>
      <c r="AI197" s="301"/>
      <c r="AJ197" s="301"/>
      <c r="AK197" s="301"/>
    </row>
    <row r="198" ht="45.0" customHeight="1">
      <c r="A198" s="11">
        <v>199.0</v>
      </c>
      <c r="B198" s="93" t="s">
        <v>854</v>
      </c>
      <c r="C198" s="11" t="str">
        <f>IMAGE("https://rukminim2.flixcart.com/image/832/832/k44hksw0/transistor/d/m/d/100-pics-bc547-npn-transistor-sme-original-imafn3dfw2fqwgxg.jpeg?q=70",1)</f>
        <v/>
      </c>
      <c r="D198" s="216">
        <v>100.0</v>
      </c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  <c r="AC198" s="301"/>
      <c r="AD198" s="301"/>
      <c r="AE198" s="301"/>
      <c r="AF198" s="301"/>
      <c r="AG198" s="301"/>
      <c r="AH198" s="301"/>
      <c r="AI198" s="301"/>
      <c r="AJ198" s="301"/>
      <c r="AK198" s="301"/>
    </row>
    <row r="199" ht="45.0" customHeight="1">
      <c r="A199" s="11">
        <v>200.0</v>
      </c>
      <c r="B199" s="93" t="s">
        <v>858</v>
      </c>
      <c r="C199" s="11" t="str">
        <f>IMAGE("https://m.media-amazon.com/images/W/MEDIAX_792452-T2/images/I/31po6g2eu+L.jpg",1)</f>
        <v/>
      </c>
      <c r="D199" s="216">
        <v>100.0</v>
      </c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  <c r="AC199" s="301"/>
      <c r="AD199" s="301"/>
      <c r="AE199" s="301"/>
      <c r="AF199" s="301"/>
      <c r="AG199" s="301"/>
      <c r="AH199" s="301"/>
      <c r="AI199" s="301"/>
      <c r="AJ199" s="301"/>
      <c r="AK199" s="301"/>
    </row>
    <row r="200" ht="45.0" customHeight="1">
      <c r="A200" s="11">
        <v>201.0</v>
      </c>
      <c r="B200" s="93" t="s">
        <v>862</v>
      </c>
      <c r="C200" s="11" t="str">
        <f>IMAGE("https://5.imimg.com/data5/MA/XW/GW/SELLER-84581978/cdil-transistor-bc557-500x500.jpg",1)</f>
        <v/>
      </c>
      <c r="D200" s="216">
        <v>100.0</v>
      </c>
      <c r="E200" s="305"/>
      <c r="F200" s="305"/>
      <c r="G200" s="305"/>
      <c r="H200" s="305"/>
      <c r="I200" s="305"/>
      <c r="J200" s="305"/>
      <c r="K200" s="305"/>
      <c r="L200" s="305"/>
      <c r="M200" s="305"/>
      <c r="N200" s="305"/>
      <c r="O200" s="305"/>
      <c r="P200" s="305"/>
      <c r="Q200" s="305"/>
      <c r="R200" s="305"/>
      <c r="S200" s="305"/>
      <c r="T200" s="305"/>
      <c r="U200" s="305"/>
      <c r="V200" s="305"/>
      <c r="W200" s="305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5"/>
      <c r="AH200" s="305"/>
      <c r="AI200" s="305"/>
      <c r="AJ200" s="305"/>
      <c r="AK200" s="305"/>
    </row>
    <row r="201" ht="45.0" customHeight="1">
      <c r="A201" s="11">
        <v>202.0</v>
      </c>
      <c r="B201" s="93" t="s">
        <v>866</v>
      </c>
      <c r="C201" s="11" t="str">
        <f>IMAGE("https://www.chipmart.in/wp-content/uploads/2022/08/SL100-NPN-General-Purpose-Medium-Power-Transistor-50V-500mA.png",1)</f>
        <v/>
      </c>
      <c r="D201" s="216">
        <v>100.0</v>
      </c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  <c r="AC201" s="301"/>
      <c r="AD201" s="301"/>
      <c r="AE201" s="301"/>
      <c r="AF201" s="301"/>
      <c r="AG201" s="301"/>
      <c r="AH201" s="301"/>
      <c r="AI201" s="301"/>
      <c r="AJ201" s="301"/>
      <c r="AK201" s="301"/>
    </row>
    <row r="202" ht="45.0" customHeight="1">
      <c r="A202" s="11">
        <v>203.0</v>
      </c>
      <c r="B202" s="93" t="s">
        <v>870</v>
      </c>
      <c r="C202" s="11" t="str">
        <f>IMAGE("https://5.imimg.com/data5/WJ/EW/MY-25117786/2n2222-npn-transistors-500x500.jpg",1)</f>
        <v/>
      </c>
      <c r="D202" s="216">
        <v>100.0</v>
      </c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  <c r="AC202" s="301"/>
      <c r="AD202" s="301"/>
      <c r="AE202" s="301"/>
      <c r="AF202" s="301"/>
      <c r="AG202" s="301"/>
      <c r="AH202" s="301"/>
      <c r="AI202" s="301"/>
      <c r="AJ202" s="301"/>
      <c r="AK202" s="301"/>
    </row>
    <row r="203" ht="45.0" customHeight="1">
      <c r="A203" s="11">
        <v>204.0</v>
      </c>
      <c r="B203" s="270" t="s">
        <v>2157</v>
      </c>
      <c r="C203" s="11"/>
      <c r="D203" s="281">
        <v>100.0</v>
      </c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  <c r="AD203" s="301"/>
      <c r="AE203" s="301"/>
      <c r="AF203" s="301"/>
      <c r="AG203" s="301"/>
      <c r="AH203" s="301"/>
      <c r="AI203" s="301"/>
      <c r="AJ203" s="301"/>
      <c r="AK203" s="301"/>
    </row>
    <row r="204" ht="45.0" customHeight="1">
      <c r="A204" s="11">
        <v>205.0</v>
      </c>
      <c r="B204" s="272" t="s">
        <v>2163</v>
      </c>
      <c r="C204" s="275"/>
      <c r="D204" s="274">
        <v>3.0</v>
      </c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  <c r="AC204" s="301"/>
      <c r="AD204" s="301"/>
      <c r="AE204" s="301"/>
      <c r="AF204" s="301"/>
      <c r="AG204" s="301"/>
      <c r="AH204" s="301"/>
      <c r="AI204" s="301"/>
      <c r="AJ204" s="301"/>
      <c r="AK204" s="301"/>
    </row>
    <row r="205" ht="45.0" customHeight="1">
      <c r="A205" s="11">
        <v>206.0</v>
      </c>
      <c r="B205" s="272" t="s">
        <v>2164</v>
      </c>
      <c r="C205" s="275"/>
      <c r="D205" s="274">
        <v>20.0</v>
      </c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  <c r="AD205" s="301"/>
      <c r="AE205" s="301"/>
      <c r="AF205" s="301"/>
      <c r="AG205" s="301"/>
      <c r="AH205" s="301"/>
      <c r="AI205" s="301"/>
      <c r="AJ205" s="301"/>
      <c r="AK205" s="301"/>
    </row>
    <row r="206" ht="45.0" customHeight="1">
      <c r="A206" s="11">
        <v>207.0</v>
      </c>
      <c r="B206" s="272" t="s">
        <v>2165</v>
      </c>
      <c r="C206" s="275"/>
      <c r="D206" s="274">
        <v>4.0</v>
      </c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  <c r="AD206" s="301"/>
      <c r="AE206" s="301"/>
      <c r="AF206" s="301"/>
      <c r="AG206" s="301"/>
      <c r="AH206" s="301"/>
      <c r="AI206" s="301"/>
      <c r="AJ206" s="301"/>
      <c r="AK206" s="301"/>
    </row>
    <row r="207" ht="45.0" customHeight="1">
      <c r="A207" s="11">
        <v>208.0</v>
      </c>
      <c r="B207" s="277" t="s">
        <v>2166</v>
      </c>
      <c r="C207" s="275"/>
      <c r="D207" s="279">
        <v>2.0</v>
      </c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  <c r="AC207" s="301"/>
      <c r="AD207" s="301"/>
      <c r="AE207" s="301"/>
      <c r="AF207" s="301"/>
      <c r="AG207" s="301"/>
      <c r="AH207" s="301"/>
      <c r="AI207" s="301"/>
      <c r="AJ207" s="301"/>
      <c r="AK207" s="301"/>
    </row>
    <row r="208" ht="45.0" customHeight="1">
      <c r="A208" s="11">
        <v>209.0</v>
      </c>
      <c r="B208" s="93" t="s">
        <v>1754</v>
      </c>
      <c r="C208" s="11" t="str">
        <f>IMAGE("https://encrypted-tbn0.gstatic.com/images?q=tbn:ANd9GcQ9HdcUbkhENGQnNmIni640zFk33IAUdUx_x0uluq_AFf1Hud04FBhhZQFZXM2xrHw_7W4&amp;usqp=CAU",1)</f>
        <v/>
      </c>
      <c r="D208" s="216">
        <v>10.0</v>
      </c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  <c r="AB208" s="301"/>
      <c r="AC208" s="301"/>
      <c r="AD208" s="301"/>
      <c r="AE208" s="301"/>
      <c r="AF208" s="301"/>
      <c r="AG208" s="301"/>
      <c r="AH208" s="301"/>
      <c r="AI208" s="301"/>
      <c r="AJ208" s="301"/>
      <c r="AK208" s="301"/>
    </row>
    <row r="209" ht="45.0" customHeight="1">
      <c r="A209" s="11">
        <v>210.0</v>
      </c>
      <c r="B209" s="93" t="s">
        <v>895</v>
      </c>
      <c r="C209" s="11" t="str">
        <f>IMAGE("https://m.media-amazon.com/images/W/MEDIAX_792452-T2/images/I/612Fb4y5P6S._SL1100_.jpg",1)</f>
        <v/>
      </c>
      <c r="D209" s="216">
        <v>10.0</v>
      </c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  <c r="AB209" s="301"/>
      <c r="AC209" s="301"/>
      <c r="AD209" s="301"/>
      <c r="AE209" s="301"/>
      <c r="AF209" s="301"/>
      <c r="AG209" s="301"/>
      <c r="AH209" s="301"/>
      <c r="AI209" s="301"/>
      <c r="AJ209" s="301"/>
      <c r="AK209" s="301"/>
    </row>
    <row r="210" ht="45.0" customHeight="1">
      <c r="A210" s="11">
        <v>212.0</v>
      </c>
      <c r="B210" s="93" t="s">
        <v>923</v>
      </c>
      <c r="C210" s="11" t="str">
        <f>IMAGE("https://robu.in/wp-content/uploads/2017/06/robu-3-13.jpg",1)</f>
        <v/>
      </c>
      <c r="D210" s="216">
        <v>5.0</v>
      </c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  <c r="AC210" s="301"/>
      <c r="AD210" s="301"/>
      <c r="AE210" s="301"/>
      <c r="AF210" s="301"/>
      <c r="AG210" s="301"/>
      <c r="AH210" s="301"/>
      <c r="AI210" s="301"/>
      <c r="AJ210" s="301"/>
      <c r="AK210" s="301"/>
    </row>
    <row r="211" ht="45.0" customHeight="1">
      <c r="A211" s="11">
        <v>213.0</v>
      </c>
      <c r="B211" s="93" t="s">
        <v>940</v>
      </c>
      <c r="C211" s="11" t="str">
        <f>IMAGE("https://robu.in/wp-content/uploads/2016/03/Ublox-Neo-6M-GPS.jpg",1)</f>
        <v/>
      </c>
      <c r="D211" s="216">
        <v>5.0</v>
      </c>
      <c r="E211" s="305"/>
      <c r="F211" s="305"/>
      <c r="G211" s="305"/>
      <c r="H211" s="305"/>
      <c r="I211" s="305"/>
      <c r="J211" s="305"/>
      <c r="K211" s="305"/>
      <c r="L211" s="305"/>
      <c r="M211" s="305"/>
      <c r="N211" s="305"/>
      <c r="O211" s="305"/>
      <c r="P211" s="305"/>
      <c r="Q211" s="305"/>
      <c r="R211" s="305"/>
      <c r="S211" s="305"/>
      <c r="T211" s="305"/>
      <c r="U211" s="305"/>
      <c r="V211" s="305"/>
      <c r="W211" s="305"/>
      <c r="X211" s="305"/>
      <c r="Y211" s="305"/>
      <c r="Z211" s="305"/>
      <c r="AA211" s="305"/>
      <c r="AB211" s="305"/>
      <c r="AC211" s="305"/>
      <c r="AD211" s="305"/>
      <c r="AE211" s="305"/>
      <c r="AF211" s="305"/>
      <c r="AG211" s="305"/>
      <c r="AH211" s="305"/>
      <c r="AI211" s="305"/>
      <c r="AJ211" s="305"/>
      <c r="AK211" s="305"/>
    </row>
    <row r="212" ht="45.0" customHeight="1">
      <c r="A212" s="11">
        <v>214.0</v>
      </c>
      <c r="B212" s="93" t="s">
        <v>943</v>
      </c>
      <c r="C212" s="11" t="str">
        <f>IMAGE("https://m.media-amazon.com/images/W/MEDIAX_792452-T2/images/I/51cWZAAMiWL._SL1000_.jpg",1)</f>
        <v/>
      </c>
      <c r="D212" s="216">
        <v>5.0</v>
      </c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  <c r="AB212" s="301"/>
      <c r="AC212" s="301"/>
      <c r="AD212" s="301"/>
      <c r="AE212" s="301"/>
      <c r="AF212" s="301"/>
      <c r="AG212" s="301"/>
      <c r="AH212" s="301"/>
      <c r="AI212" s="301"/>
      <c r="AJ212" s="301"/>
      <c r="AK212" s="301"/>
    </row>
    <row r="213" ht="45.0" customHeight="1">
      <c r="A213" s="11">
        <v>215.0</v>
      </c>
      <c r="B213" s="93" t="s">
        <v>947</v>
      </c>
      <c r="C213" s="11" t="str">
        <f>IMAGE("https://m.media-amazon.com/images/W/MEDIAX_792452-T2/images/I/61wbYlIdx0L._SL1500_.jpg",1)</f>
        <v/>
      </c>
      <c r="D213" s="216">
        <v>5.0</v>
      </c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  <c r="AC213" s="301"/>
      <c r="AD213" s="301"/>
      <c r="AE213" s="301"/>
      <c r="AF213" s="301"/>
      <c r="AG213" s="301"/>
      <c r="AH213" s="301"/>
      <c r="AI213" s="301"/>
      <c r="AJ213" s="301"/>
      <c r="AK213" s="301"/>
    </row>
    <row r="214" ht="45.0" customHeight="1">
      <c r="A214" s="11">
        <v>216.0</v>
      </c>
      <c r="B214" s="93" t="s">
        <v>950</v>
      </c>
      <c r="C214" s="11" t="str">
        <f>IMAGE("https://5.imimg.com/data5/SELLER/Default/2022/9/HX/YZ/GJ/43948449/micro-sd-card-adapter-with-level-shifter-500x500.png",1)</f>
        <v/>
      </c>
      <c r="D214" s="216">
        <v>10.0</v>
      </c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  <c r="AB214" s="301"/>
      <c r="AC214" s="301"/>
      <c r="AD214" s="301"/>
      <c r="AE214" s="301"/>
      <c r="AF214" s="301"/>
      <c r="AG214" s="301"/>
      <c r="AH214" s="301"/>
      <c r="AI214" s="301"/>
      <c r="AJ214" s="301"/>
      <c r="AK214" s="301"/>
    </row>
    <row r="215" ht="45.0" customHeight="1">
      <c r="A215" s="11">
        <v>217.0</v>
      </c>
      <c r="B215" s="93" t="s">
        <v>1958</v>
      </c>
      <c r="C215" s="11" t="str">
        <f>IMAGE("https://robu.in/wp-content/uploads/2020/09/L298P-Motor-Driver-Shield-for-Arduino-3.jpg",1)</f>
        <v/>
      </c>
      <c r="D215" s="216">
        <v>10.0</v>
      </c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  <c r="AB215" s="301"/>
      <c r="AC215" s="301"/>
      <c r="AD215" s="301"/>
      <c r="AE215" s="301"/>
      <c r="AF215" s="301"/>
      <c r="AG215" s="301"/>
      <c r="AH215" s="301"/>
      <c r="AI215" s="301"/>
      <c r="AJ215" s="301"/>
      <c r="AK215" s="301"/>
    </row>
    <row r="216" ht="45.0" customHeight="1">
      <c r="A216" s="11">
        <v>218.0</v>
      </c>
      <c r="B216" s="93" t="s">
        <v>1760</v>
      </c>
      <c r="C216" s="11" t="str">
        <f>IMAGE("https://m.media-amazon.com/images/I/41Y-5b4TQcL.jpg",1)</f>
        <v/>
      </c>
      <c r="D216" s="216">
        <v>5.0</v>
      </c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  <c r="AB216" s="301"/>
      <c r="AC216" s="301"/>
      <c r="AD216" s="301"/>
      <c r="AE216" s="301"/>
      <c r="AF216" s="301"/>
      <c r="AG216" s="301"/>
      <c r="AH216" s="301"/>
      <c r="AI216" s="301"/>
      <c r="AJ216" s="301"/>
      <c r="AK216" s="301"/>
    </row>
    <row r="217" ht="45.0" customHeight="1">
      <c r="A217" s="11">
        <v>219.0</v>
      </c>
      <c r="B217" s="93" t="s">
        <v>962</v>
      </c>
      <c r="C217" s="11" t="str">
        <f>IMAGE("https://robu.in/wp-content/uploads/2016/02/617hpF6cJbL._SL1000_.jpg",1)</f>
        <v/>
      </c>
      <c r="D217" s="216">
        <v>10.0</v>
      </c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  <c r="AB217" s="301"/>
      <c r="AC217" s="301"/>
      <c r="AD217" s="301"/>
      <c r="AE217" s="301"/>
      <c r="AF217" s="301"/>
      <c r="AG217" s="301"/>
      <c r="AH217" s="301"/>
      <c r="AI217" s="301"/>
      <c r="AJ217" s="301"/>
      <c r="AK217" s="301"/>
    </row>
    <row r="218" ht="45.0" customHeight="1">
      <c r="A218" s="11">
        <v>220.0</v>
      </c>
      <c r="B218" s="93" t="s">
        <v>1820</v>
      </c>
      <c r="C218" s="11" t="str">
        <f>IMAGE("https://rukminim1.flixcart.com/image/850/1000/k62i5jk0/solar-panel/7/g/q/diy-projects-6v-80ma-wire-attached-mini-power-solar-cells-for-original-imafzm93vcqqnsat.jpeg?q=20")</f>
        <v/>
      </c>
      <c r="D218" s="216">
        <v>10.0</v>
      </c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  <c r="AB218" s="301"/>
      <c r="AC218" s="301"/>
      <c r="AD218" s="301"/>
      <c r="AE218" s="301"/>
      <c r="AF218" s="301"/>
      <c r="AG218" s="301"/>
      <c r="AH218" s="301"/>
      <c r="AI218" s="301"/>
      <c r="AJ218" s="301"/>
      <c r="AK218" s="301"/>
    </row>
    <row r="219" ht="45.0" customHeight="1">
      <c r="A219" s="11">
        <v>221.0</v>
      </c>
      <c r="B219" s="93" t="s">
        <v>934</v>
      </c>
      <c r="C219" s="11" t="str">
        <f>IMAGE("https://robu.in/wp-content/uploads/2020/10/TP4056-1A-Li-ion-lithium-Battery-Charging-Module-With-Current-Protection-Type-C-2.png",1)</f>
        <v/>
      </c>
      <c r="D219" s="11">
        <v>15.0</v>
      </c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  <c r="AC219" s="301"/>
      <c r="AD219" s="301"/>
      <c r="AE219" s="301"/>
      <c r="AF219" s="301"/>
      <c r="AG219" s="301"/>
      <c r="AH219" s="301"/>
      <c r="AI219" s="301"/>
      <c r="AJ219" s="301"/>
      <c r="AK219" s="301"/>
    </row>
    <row r="220" ht="45.0" customHeight="1">
      <c r="A220" s="11">
        <v>222.0</v>
      </c>
      <c r="B220" s="93" t="s">
        <v>1955</v>
      </c>
      <c r="C220" s="11" t="str">
        <f>IMAGE("https://5.imimg.com/data5/II/UT/SO/SELLER-1968074/16x2-lcd-display-500x500.jpg",1)</f>
        <v/>
      </c>
      <c r="D220" s="216">
        <v>10.0</v>
      </c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  <c r="AB220" s="301"/>
      <c r="AC220" s="301"/>
      <c r="AD220" s="301"/>
      <c r="AE220" s="301"/>
      <c r="AF220" s="301"/>
      <c r="AG220" s="301"/>
      <c r="AH220" s="301"/>
      <c r="AI220" s="301"/>
      <c r="AJ220" s="301"/>
      <c r="AK220" s="301"/>
    </row>
    <row r="221" ht="45.0" customHeight="1">
      <c r="A221" s="11">
        <v>223.0</v>
      </c>
      <c r="B221" s="93" t="s">
        <v>1811</v>
      </c>
      <c r="C221" s="11" t="str">
        <f>IMAGE("https://m.media-amazon.com/images/I/51l+Qhaiu3L._SL1000_.jpg",1)</f>
        <v/>
      </c>
      <c r="D221" s="216">
        <v>10.0</v>
      </c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  <c r="AB221" s="301"/>
      <c r="AC221" s="301"/>
      <c r="AD221" s="301"/>
      <c r="AE221" s="301"/>
      <c r="AF221" s="301"/>
      <c r="AG221" s="301"/>
      <c r="AH221" s="301"/>
      <c r="AI221" s="301"/>
      <c r="AJ221" s="301"/>
      <c r="AK221" s="301"/>
    </row>
    <row r="222" ht="45.0" customHeight="1">
      <c r="A222" s="11">
        <v>224.0</v>
      </c>
      <c r="B222" s="93" t="s">
        <v>911</v>
      </c>
      <c r="C222" s="11" t="str">
        <f>IMAGE("https://ashokaonlineshop.in/wp-content/uploads/2022/11/650nm-Mini-Laser-Dot-Diode-Module1.jpeg",1)</f>
        <v/>
      </c>
      <c r="D222" s="216">
        <v>20.0</v>
      </c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  <c r="AC222" s="301"/>
      <c r="AD222" s="301"/>
      <c r="AE222" s="301"/>
      <c r="AF222" s="301"/>
      <c r="AG222" s="301"/>
      <c r="AH222" s="301"/>
      <c r="AI222" s="301"/>
      <c r="AJ222" s="301"/>
      <c r="AK222" s="301"/>
    </row>
    <row r="223" ht="45.0" customHeight="1">
      <c r="A223" s="11">
        <v>225.0</v>
      </c>
      <c r="B223" s="93" t="s">
        <v>903</v>
      </c>
      <c r="C223" s="11" t="str">
        <f>IMAGE("https://makerbazar.in/cdn/shop/files/6015fanwithwire_600x.jpg?v=1695792315",1)</f>
        <v/>
      </c>
      <c r="D223" s="216">
        <v>5.0</v>
      </c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  <c r="AB223" s="301"/>
      <c r="AC223" s="301"/>
      <c r="AD223" s="301"/>
      <c r="AE223" s="301"/>
      <c r="AF223" s="301"/>
      <c r="AG223" s="301"/>
      <c r="AH223" s="301"/>
      <c r="AI223" s="301"/>
      <c r="AJ223" s="301"/>
      <c r="AK223" s="301"/>
    </row>
    <row r="224" ht="45.0" customHeight="1">
      <c r="A224" s="11">
        <v>226.0</v>
      </c>
      <c r="B224" s="93" t="s">
        <v>930</v>
      </c>
      <c r="C224" s="11" t="str">
        <f>IMAGE("https://5.imimg.com/data5/SELLER/Default/2023/2/OP/GV/HH/182244990/water-pump-module-1000x1000.jpg",1)</f>
        <v/>
      </c>
      <c r="D224" s="216">
        <v>10.0</v>
      </c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  <c r="AB224" s="301"/>
      <c r="AC224" s="301"/>
      <c r="AD224" s="301"/>
      <c r="AE224" s="301"/>
      <c r="AF224" s="301"/>
      <c r="AG224" s="301"/>
      <c r="AH224" s="301"/>
      <c r="AI224" s="301"/>
      <c r="AJ224" s="301"/>
      <c r="AK224" s="301"/>
    </row>
    <row r="225" ht="45.0" customHeight="1">
      <c r="A225" s="11">
        <v>227.0</v>
      </c>
      <c r="B225" s="93" t="s">
        <v>927</v>
      </c>
      <c r="C225" s="11" t="str">
        <f>IMAGE("https://robu.in/wp-content/uploads/2021/05/0.5W-8OHM-Trumpet-Diameter-36mm-1.jpeg",1)</f>
        <v/>
      </c>
      <c r="D225" s="216">
        <v>10.0</v>
      </c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  <c r="AC225" s="301"/>
      <c r="AD225" s="301"/>
      <c r="AE225" s="301"/>
      <c r="AF225" s="301"/>
      <c r="AG225" s="301"/>
      <c r="AH225" s="301"/>
      <c r="AI225" s="301"/>
      <c r="AJ225" s="301"/>
      <c r="AK225" s="301"/>
    </row>
    <row r="226" ht="45.0" customHeight="1">
      <c r="A226" s="11">
        <v>228.0</v>
      </c>
      <c r="B226" s="272" t="s">
        <v>2167</v>
      </c>
      <c r="C226" s="275"/>
      <c r="D226" s="274">
        <v>10.0</v>
      </c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  <c r="AC226" s="301"/>
      <c r="AD226" s="301"/>
      <c r="AE226" s="301"/>
      <c r="AF226" s="301"/>
      <c r="AG226" s="301"/>
      <c r="AH226" s="301"/>
      <c r="AI226" s="301"/>
      <c r="AJ226" s="301"/>
      <c r="AK226" s="301"/>
    </row>
    <row r="227" ht="45.0" customHeight="1">
      <c r="A227" s="11">
        <v>229.0</v>
      </c>
      <c r="B227" s="272" t="s">
        <v>2168</v>
      </c>
      <c r="C227" s="275"/>
      <c r="D227" s="274">
        <v>10.0</v>
      </c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  <c r="AB227" s="301"/>
      <c r="AC227" s="301"/>
      <c r="AD227" s="301"/>
      <c r="AE227" s="301"/>
      <c r="AF227" s="301"/>
      <c r="AG227" s="301"/>
      <c r="AH227" s="301"/>
      <c r="AI227" s="301"/>
      <c r="AJ227" s="301"/>
      <c r="AK227" s="301"/>
    </row>
    <row r="228" ht="45.0" customHeight="1">
      <c r="A228" s="11">
        <v>230.0</v>
      </c>
      <c r="B228" s="272" t="s">
        <v>2169</v>
      </c>
      <c r="C228" s="275"/>
      <c r="D228" s="274">
        <v>10.0</v>
      </c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  <c r="AB228" s="301"/>
      <c r="AC228" s="301"/>
      <c r="AD228" s="301"/>
      <c r="AE228" s="301"/>
      <c r="AF228" s="301"/>
      <c r="AG228" s="301"/>
      <c r="AH228" s="301"/>
      <c r="AI228" s="301"/>
      <c r="AJ228" s="301"/>
      <c r="AK228" s="301"/>
    </row>
    <row r="229" ht="45.0" customHeight="1">
      <c r="A229" s="11">
        <v>231.0</v>
      </c>
      <c r="B229" s="272" t="s">
        <v>2170</v>
      </c>
      <c r="C229" s="275"/>
      <c r="D229" s="274">
        <v>4.0</v>
      </c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  <c r="AC229" s="301"/>
      <c r="AD229" s="301"/>
      <c r="AE229" s="301"/>
      <c r="AF229" s="301"/>
      <c r="AG229" s="301"/>
      <c r="AH229" s="301"/>
      <c r="AI229" s="301"/>
      <c r="AJ229" s="301"/>
      <c r="AK229" s="301"/>
    </row>
    <row r="230" ht="45.0" customHeight="1">
      <c r="A230" s="11">
        <v>232.0</v>
      </c>
      <c r="B230" s="93" t="s">
        <v>1767</v>
      </c>
      <c r="C230" s="11" t="str">
        <f>IMAGE("https://m.media-amazon.com/images/I/61PFvg8BbeL._SL1500_.jpg",1)</f>
        <v/>
      </c>
      <c r="D230" s="216">
        <v>10.0</v>
      </c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  <c r="AB230" s="301"/>
      <c r="AC230" s="301"/>
      <c r="AD230" s="301"/>
      <c r="AE230" s="301"/>
      <c r="AF230" s="301"/>
      <c r="AG230" s="301"/>
      <c r="AH230" s="301"/>
      <c r="AI230" s="301"/>
      <c r="AJ230" s="301"/>
      <c r="AK230" s="301"/>
    </row>
    <row r="231" ht="45.0" customHeight="1">
      <c r="A231" s="11">
        <v>233.0</v>
      </c>
      <c r="B231" s="93" t="s">
        <v>1249</v>
      </c>
      <c r="C231" s="11" t="str">
        <f>IMAGE("https://www.atel-electronics.eu/pic_cache/10/06158.jpg",1)</f>
        <v/>
      </c>
      <c r="D231" s="216">
        <v>7.0</v>
      </c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  <c r="AB231" s="301"/>
      <c r="AC231" s="301"/>
      <c r="AD231" s="301"/>
      <c r="AE231" s="301"/>
      <c r="AF231" s="301"/>
      <c r="AG231" s="301"/>
      <c r="AH231" s="301"/>
      <c r="AI231" s="301"/>
      <c r="AJ231" s="301"/>
      <c r="AK231" s="301"/>
    </row>
    <row r="232" ht="45.0" customHeight="1">
      <c r="A232" s="11">
        <v>234.0</v>
      </c>
      <c r="B232" s="93" t="s">
        <v>1254</v>
      </c>
      <c r="C232" s="11" t="str">
        <f>IMAGE("https://in.element14.com/productimages/large/en_GB/IN07444-40.jpg",1)</f>
        <v/>
      </c>
      <c r="D232" s="216">
        <v>1.0</v>
      </c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  <c r="AB232" s="301"/>
      <c r="AC232" s="301"/>
      <c r="AD232" s="301"/>
      <c r="AE232" s="301"/>
      <c r="AF232" s="301"/>
      <c r="AG232" s="301"/>
      <c r="AH232" s="301"/>
      <c r="AI232" s="301"/>
      <c r="AJ232" s="301"/>
      <c r="AK232" s="301"/>
    </row>
    <row r="233" ht="45.0" customHeight="1">
      <c r="A233" s="11">
        <v>235.0</v>
      </c>
      <c r="B233" s="93" t="s">
        <v>1258</v>
      </c>
      <c r="C233" s="11" t="str">
        <f>IMAGE("https://m.media-amazon.com/images/I/51LxodXCiyS._SL1000_.jpg",1)</f>
        <v/>
      </c>
      <c r="D233" s="216">
        <v>1.0</v>
      </c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  <c r="AB233" s="301"/>
      <c r="AC233" s="301"/>
      <c r="AD233" s="301"/>
      <c r="AE233" s="301"/>
      <c r="AF233" s="301"/>
      <c r="AG233" s="301"/>
      <c r="AH233" s="301"/>
      <c r="AI233" s="301"/>
      <c r="AJ233" s="301"/>
      <c r="AK233" s="301"/>
    </row>
    <row r="234" ht="45.0" customHeight="1">
      <c r="A234" s="11">
        <v>236.0</v>
      </c>
      <c r="B234" s="93" t="s">
        <v>1262</v>
      </c>
      <c r="C234" s="11" t="str">
        <f>IMAGE("https://m.media-amazon.com/images/I/61WLNOGJ4JS.jpg")</f>
        <v/>
      </c>
      <c r="D234" s="216">
        <v>1.0</v>
      </c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  <c r="AB234" s="301"/>
      <c r="AC234" s="301"/>
      <c r="AD234" s="301"/>
      <c r="AE234" s="301"/>
      <c r="AF234" s="301"/>
      <c r="AG234" s="301"/>
      <c r="AH234" s="301"/>
      <c r="AI234" s="301"/>
      <c r="AJ234" s="301"/>
      <c r="AK234" s="301"/>
    </row>
    <row r="235" ht="45.0" customHeight="1">
      <c r="A235" s="11">
        <v>237.0</v>
      </c>
      <c r="B235" s="93" t="s">
        <v>1266</v>
      </c>
      <c r="C235" s="11" t="str">
        <f>IMAGE("https://cdn.shopify.com/s/files/1/0559/1970/6265/products/4_61325b1b-840f-41dd-a6d9-0ddb00c5c7bc_1024x1024@2x.png?v=1670588177",1)</f>
        <v/>
      </c>
      <c r="D235" s="216">
        <v>1.0</v>
      </c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  <c r="AB235" s="301"/>
      <c r="AC235" s="301"/>
      <c r="AD235" s="301"/>
      <c r="AE235" s="301"/>
      <c r="AF235" s="301"/>
      <c r="AG235" s="301"/>
      <c r="AH235" s="301"/>
      <c r="AI235" s="301"/>
      <c r="AJ235" s="301"/>
      <c r="AK235" s="301"/>
    </row>
    <row r="236" ht="45.0" customHeight="1">
      <c r="A236" s="11">
        <v>238.0</v>
      </c>
      <c r="B236" s="93" t="s">
        <v>1329</v>
      </c>
      <c r="C236" s="11" t="str">
        <f>IMAGE("https://m.media-amazon.com/images/I/61vUDUTouNL._SL1500_.jpg",1)</f>
        <v/>
      </c>
      <c r="D236" s="11">
        <v>100.0</v>
      </c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  <c r="AB236" s="301"/>
      <c r="AC236" s="301"/>
      <c r="AD236" s="301"/>
      <c r="AE236" s="301"/>
      <c r="AF236" s="301"/>
      <c r="AG236" s="301"/>
      <c r="AH236" s="301"/>
      <c r="AI236" s="301"/>
      <c r="AJ236" s="301"/>
      <c r="AK236" s="301"/>
    </row>
    <row r="237" ht="45.0" customHeight="1">
      <c r="A237" s="11">
        <v>239.0</v>
      </c>
      <c r="B237" s="93" t="s">
        <v>1335</v>
      </c>
      <c r="C237" s="11" t="str">
        <f>IMAGE("https://m.media-amazon.com/images/I/31ye7Xw2PpL.jpg",1)</f>
        <v/>
      </c>
      <c r="D237" s="11">
        <v>100.0</v>
      </c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  <c r="AB237" s="301"/>
      <c r="AC237" s="301"/>
      <c r="AD237" s="301"/>
      <c r="AE237" s="301"/>
      <c r="AF237" s="301"/>
      <c r="AG237" s="301"/>
      <c r="AH237" s="301"/>
      <c r="AI237" s="301"/>
      <c r="AJ237" s="301"/>
      <c r="AK237" s="301"/>
    </row>
    <row r="238" ht="45.0" customHeight="1">
      <c r="A238" s="11">
        <v>240.0</v>
      </c>
      <c r="B238" s="93" t="s">
        <v>1339</v>
      </c>
      <c r="C238" s="11" t="str">
        <f>IMAGE("https://m.media-amazon.com/images/I/414cC-M+nlL._SL1000_.jpg",1)</f>
        <v/>
      </c>
      <c r="D238" s="11">
        <v>10.0</v>
      </c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  <c r="AB238" s="301"/>
      <c r="AC238" s="301"/>
      <c r="AD238" s="301"/>
      <c r="AE238" s="301"/>
      <c r="AF238" s="301"/>
      <c r="AG238" s="301"/>
      <c r="AH238" s="301"/>
      <c r="AI238" s="301"/>
      <c r="AJ238" s="301"/>
      <c r="AK238" s="301"/>
    </row>
    <row r="239" ht="45.0" customHeight="1">
      <c r="A239" s="11">
        <v>242.0</v>
      </c>
      <c r="B239" s="93" t="s">
        <v>1358</v>
      </c>
      <c r="C239" s="11" t="str">
        <f>IMAGE("https://robu.in/wp-content/uploads/2017/11/mg995-high-speed-digital-metal-gear-2bb-torque-rc-for-servo-hpi-savage-xl-2.jpg",1)</f>
        <v/>
      </c>
      <c r="D239" s="216">
        <v>15.0</v>
      </c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  <c r="AB239" s="301"/>
      <c r="AC239" s="301"/>
      <c r="AD239" s="301"/>
      <c r="AE239" s="301"/>
      <c r="AF239" s="301"/>
      <c r="AG239" s="301"/>
      <c r="AH239" s="301"/>
      <c r="AI239" s="301"/>
      <c r="AJ239" s="301"/>
      <c r="AK239" s="301"/>
    </row>
    <row r="240" ht="45.0" customHeight="1">
      <c r="A240" s="11">
        <v>243.0</v>
      </c>
      <c r="B240" s="93" t="s">
        <v>1363</v>
      </c>
      <c r="C240" s="11" t="str">
        <f t="shared" ref="C240:C241" si="13">IMAGE("https://m.media-amazon.com/images/W/MEDIAX_792452-T2/images/I/21bgQSzvxLL.jpg",1)</f>
        <v/>
      </c>
      <c r="D240" s="216">
        <v>30.0</v>
      </c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  <c r="AC240" s="301"/>
      <c r="AD240" s="301"/>
      <c r="AE240" s="301"/>
      <c r="AF240" s="301"/>
      <c r="AG240" s="301"/>
      <c r="AH240" s="301"/>
      <c r="AI240" s="301"/>
      <c r="AJ240" s="301"/>
      <c r="AK240" s="301"/>
    </row>
    <row r="241" ht="45.0" customHeight="1">
      <c r="A241" s="11">
        <v>244.0</v>
      </c>
      <c r="B241" s="93" t="s">
        <v>1367</v>
      </c>
      <c r="C241" s="11" t="str">
        <f t="shared" si="13"/>
        <v/>
      </c>
      <c r="D241" s="216">
        <v>30.0</v>
      </c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  <c r="AD241" s="301"/>
      <c r="AE241" s="301"/>
      <c r="AF241" s="301"/>
      <c r="AG241" s="301"/>
      <c r="AH241" s="301"/>
      <c r="AI241" s="301"/>
      <c r="AJ241" s="301"/>
      <c r="AK241" s="301"/>
    </row>
    <row r="242" ht="45.0" customHeight="1">
      <c r="A242" s="11">
        <v>245.0</v>
      </c>
      <c r="B242" s="93" t="s">
        <v>1372</v>
      </c>
      <c r="C242" s="11" t="str">
        <f>IMAGE("https://5.imimg.com/data5/DJ/PF/TV/SELLER-95692783/bo-wheel-500x500.jpg",1)</f>
        <v/>
      </c>
      <c r="D242" s="216">
        <v>30.0</v>
      </c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  <c r="AC242" s="301"/>
      <c r="AD242" s="301"/>
      <c r="AE242" s="301"/>
      <c r="AF242" s="301"/>
      <c r="AG242" s="301"/>
      <c r="AH242" s="301"/>
      <c r="AI242" s="301"/>
      <c r="AJ242" s="301"/>
      <c r="AK242" s="301"/>
    </row>
    <row r="243" ht="45.0" customHeight="1">
      <c r="A243" s="11">
        <v>246.0</v>
      </c>
      <c r="B243" s="93" t="s">
        <v>1376</v>
      </c>
      <c r="C243" s="11" t="str">
        <f>IMAGE("https://aryabot.in/wp-content/uploads/2023/10/castor-wheel-big-550x550w.webp",1)</f>
        <v/>
      </c>
      <c r="D243" s="216">
        <v>20.0</v>
      </c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  <c r="AD243" s="301"/>
      <c r="AE243" s="301"/>
      <c r="AF243" s="301"/>
      <c r="AG243" s="301"/>
      <c r="AH243" s="301"/>
      <c r="AI243" s="301"/>
      <c r="AJ243" s="301"/>
      <c r="AK243" s="301"/>
    </row>
    <row r="244" ht="45.0" customHeight="1">
      <c r="A244" s="11">
        <v>247.0</v>
      </c>
      <c r="B244" s="93" t="s">
        <v>1380</v>
      </c>
      <c r="C244" s="11" t="str">
        <f>IMAGE("https://robu.in/wp-content/uploads/2020/09/DC3-6V-130-DIY-Toy-Motor-2-Pcs.-1.png",1)</f>
        <v/>
      </c>
      <c r="D244" s="216">
        <v>10.0</v>
      </c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  <c r="AD244" s="301"/>
      <c r="AE244" s="301"/>
      <c r="AF244" s="301"/>
      <c r="AG244" s="301"/>
      <c r="AH244" s="301"/>
      <c r="AI244" s="301"/>
      <c r="AJ244" s="301"/>
      <c r="AK244" s="301"/>
    </row>
    <row r="245" ht="45.0" customHeight="1">
      <c r="A245" s="11">
        <v>248.0</v>
      </c>
      <c r="B245" s="93" t="s">
        <v>1384</v>
      </c>
      <c r="C245" s="11" t="str">
        <f>IMAGE("https://i0.wp.com/www.circuituncle.com/wp-content/uploads/2019/10/mg90s.png?fit=1001%2C1001&amp;ssl=1",1)</f>
        <v/>
      </c>
      <c r="D245" s="216">
        <v>30.0</v>
      </c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  <c r="AC245" s="301"/>
      <c r="AD245" s="301"/>
      <c r="AE245" s="301"/>
      <c r="AF245" s="301"/>
      <c r="AG245" s="301"/>
      <c r="AH245" s="301"/>
      <c r="AI245" s="301"/>
      <c r="AJ245" s="301"/>
      <c r="AK245" s="301"/>
    </row>
    <row r="246" ht="45.0" customHeight="1">
      <c r="A246" s="11">
        <v>249.0</v>
      </c>
      <c r="B246" s="93" t="s">
        <v>1388</v>
      </c>
      <c r="C246" s="11" t="str">
        <f>IMAGE("https://robu.in/wp-content/uploads/2016/04/61nEdk-NxSL._SY355_.jpg",1)</f>
        <v/>
      </c>
      <c r="D246" s="216">
        <v>5.0</v>
      </c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  <c r="AC246" s="301"/>
      <c r="AD246" s="301"/>
      <c r="AE246" s="301"/>
      <c r="AF246" s="301"/>
      <c r="AG246" s="301"/>
      <c r="AH246" s="301"/>
      <c r="AI246" s="301"/>
      <c r="AJ246" s="301"/>
      <c r="AK246" s="301"/>
    </row>
    <row r="247" ht="45.0" customHeight="1">
      <c r="A247" s="11">
        <v>250.0</v>
      </c>
      <c r="B247" s="93" t="s">
        <v>1391</v>
      </c>
      <c r="C247" s="11" t="str">
        <f>IMAGE("https://robu.in/wp-content/uploads/2023/09/34.jpg",1)</f>
        <v/>
      </c>
      <c r="D247" s="237">
        <v>21.0</v>
      </c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  <c r="AC247" s="301"/>
      <c r="AD247" s="301"/>
      <c r="AE247" s="301"/>
      <c r="AF247" s="301"/>
      <c r="AG247" s="301"/>
      <c r="AH247" s="301"/>
      <c r="AI247" s="301"/>
      <c r="AJ247" s="301"/>
      <c r="AK247" s="301"/>
    </row>
    <row r="248" ht="45.0" customHeight="1">
      <c r="A248" s="11">
        <v>251.0</v>
      </c>
      <c r="B248" s="93" t="s">
        <v>1395</v>
      </c>
      <c r="C248" s="11" t="str">
        <f>IMAGE("https://cdn.shopify.com/s/files/1/0088/0056/7392/products/Stepper_motor_with_Driver_board.jpg?v=1552579276",1)</f>
        <v/>
      </c>
      <c r="D248" s="216">
        <v>15.0</v>
      </c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  <c r="AC248" s="301"/>
      <c r="AD248" s="301"/>
      <c r="AE248" s="301"/>
      <c r="AF248" s="301"/>
      <c r="AG248" s="301"/>
      <c r="AH248" s="301"/>
      <c r="AI248" s="301"/>
      <c r="AJ248" s="301"/>
      <c r="AK248" s="301"/>
    </row>
    <row r="249" ht="45.0" customHeight="1">
      <c r="A249" s="11">
        <v>252.0</v>
      </c>
      <c r="B249" s="93" t="s">
        <v>1824</v>
      </c>
      <c r="C249" s="11" t="str">
        <f>IMAGE("https://robu.in/wp-content/uploads/2017/06/31100-2.jpg",1)</f>
        <v/>
      </c>
      <c r="D249" s="216">
        <v>5.0</v>
      </c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  <c r="AC249" s="301"/>
      <c r="AD249" s="301"/>
      <c r="AE249" s="301"/>
      <c r="AF249" s="301"/>
      <c r="AG249" s="301"/>
      <c r="AH249" s="301"/>
      <c r="AI249" s="301"/>
      <c r="AJ249" s="301"/>
      <c r="AK249" s="301"/>
    </row>
    <row r="250" ht="45.0" customHeight="1">
      <c r="A250" s="11">
        <v>253.0</v>
      </c>
      <c r="B250" s="93" t="s">
        <v>1744</v>
      </c>
      <c r="C250" s="11" t="str">
        <f>IMAGE("https://m.media-amazon.com/images/W/MEDIAX_792452-T2/images/I/71PSVpNRPuL._SL1500_.jpg",1)</f>
        <v/>
      </c>
      <c r="D250" s="216">
        <v>5.0</v>
      </c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  <c r="AC250" s="301"/>
      <c r="AD250" s="301"/>
      <c r="AE250" s="301"/>
      <c r="AF250" s="301"/>
      <c r="AG250" s="301"/>
      <c r="AH250" s="301"/>
      <c r="AI250" s="301"/>
      <c r="AJ250" s="301"/>
      <c r="AK250" s="301"/>
    </row>
    <row r="251" ht="45.0" customHeight="1">
      <c r="A251" s="11">
        <v>254.0</v>
      </c>
      <c r="B251" s="93" t="s">
        <v>1526</v>
      </c>
      <c r="C251" s="11" t="str">
        <f>IMAGE("https://robu.in/wp-content/uploads/2016/08/2-1.jpg",1)</f>
        <v/>
      </c>
      <c r="D251" s="216">
        <v>5.0</v>
      </c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  <c r="AC251" s="301"/>
      <c r="AD251" s="301"/>
      <c r="AE251" s="301"/>
      <c r="AF251" s="301"/>
      <c r="AG251" s="301"/>
      <c r="AH251" s="301"/>
      <c r="AI251" s="301"/>
      <c r="AJ251" s="301"/>
      <c r="AK251" s="301"/>
    </row>
    <row r="252" ht="45.0" customHeight="1">
      <c r="A252" s="11">
        <v>255.0</v>
      </c>
      <c r="B252" s="93" t="s">
        <v>1530</v>
      </c>
      <c r="C252" s="11" t="str">
        <f>IMAGE("https://5.imimg.com/data5/SELLER/Default/2023/1/KQ/RE/WN/37611021/unique-india-force-pressure-sensor-square-500x500.jpg",1)</f>
        <v/>
      </c>
      <c r="D252" s="216">
        <v>5.0</v>
      </c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  <c r="AC252" s="301"/>
      <c r="AD252" s="301"/>
      <c r="AE252" s="301"/>
      <c r="AF252" s="301"/>
      <c r="AG252" s="301"/>
      <c r="AH252" s="301"/>
      <c r="AI252" s="301"/>
      <c r="AJ252" s="301"/>
      <c r="AK252" s="301"/>
    </row>
    <row r="253" ht="45.0" customHeight="1">
      <c r="A253" s="11">
        <v>256.0</v>
      </c>
      <c r="B253" s="93" t="s">
        <v>1781</v>
      </c>
      <c r="C253" s="11" t="str">
        <f>IMAGE("https://m.media-amazon.com/images/W/MEDIAX_792452-T2/images/I/61e+2rew8OL._SL1011_.jpg",1)</f>
        <v/>
      </c>
      <c r="D253" s="216">
        <v>10.0</v>
      </c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  <c r="AC253" s="301"/>
      <c r="AD253" s="301"/>
      <c r="AE253" s="301"/>
      <c r="AF253" s="301"/>
      <c r="AG253" s="301"/>
      <c r="AH253" s="301"/>
      <c r="AI253" s="301"/>
      <c r="AJ253" s="301"/>
      <c r="AK253" s="301"/>
    </row>
    <row r="254" ht="45.0" customHeight="1">
      <c r="A254" s="11">
        <v>257.0</v>
      </c>
      <c r="B254" s="93" t="s">
        <v>1791</v>
      </c>
      <c r="C254" s="11" t="str">
        <f>IMAGE("https://makerbazar.in/cdn/shop/products/IR_transmitter-receiver_-_TSOP_1738_600x.jpg?v=1582114496",1)</f>
        <v/>
      </c>
      <c r="D254" s="216">
        <v>5.0</v>
      </c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  <c r="AC254" s="301"/>
      <c r="AD254" s="301"/>
      <c r="AE254" s="301"/>
      <c r="AF254" s="301"/>
      <c r="AG254" s="301"/>
      <c r="AH254" s="301"/>
      <c r="AI254" s="301"/>
      <c r="AJ254" s="301"/>
      <c r="AK254" s="301"/>
    </row>
    <row r="255" ht="45.0" customHeight="1">
      <c r="A255" s="11">
        <v>258.0</v>
      </c>
      <c r="B255" s="93" t="s">
        <v>1786</v>
      </c>
      <c r="C255" s="11" t="str">
        <f>IMAGE("https://makerbazar.in/cdn/shop/products/IR-Array_2048x2048_29f53719-c65f-4f67-a7f9-06b99966bf49_400x.jpg?v=1628014848",1)</f>
        <v/>
      </c>
      <c r="D255" s="216">
        <v>5.0</v>
      </c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  <c r="AC255" s="301"/>
      <c r="AD255" s="301"/>
      <c r="AE255" s="301"/>
      <c r="AF255" s="301"/>
      <c r="AG255" s="301"/>
      <c r="AH255" s="301"/>
      <c r="AI255" s="301"/>
      <c r="AJ255" s="301"/>
      <c r="AK255" s="301"/>
    </row>
    <row r="256" ht="45.0" customHeight="1">
      <c r="A256" s="11">
        <v>259.0</v>
      </c>
      <c r="B256" s="93" t="s">
        <v>1546</v>
      </c>
      <c r="C256" s="11" t="str">
        <f>IMAGE("https://robu.in/wp-content/uploads/2017/05/LDR-module-1.png",1)</f>
        <v/>
      </c>
      <c r="D256" s="216">
        <v>10.0</v>
      </c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  <c r="AC256" s="301"/>
      <c r="AD256" s="301"/>
      <c r="AE256" s="301"/>
      <c r="AF256" s="301"/>
      <c r="AG256" s="301"/>
      <c r="AH256" s="301"/>
      <c r="AI256" s="301"/>
      <c r="AJ256" s="301"/>
      <c r="AK256" s="301"/>
    </row>
    <row r="257" ht="45.0" customHeight="1">
      <c r="A257" s="11">
        <v>260.0</v>
      </c>
      <c r="B257" s="93" t="s">
        <v>1775</v>
      </c>
      <c r="C257" s="253" t="str">
        <f>IMAGE("https://m.media-amazon.com/images/W/MEDIAX_792452-T2/images/I/7158I82c4bL._SL1500_.jpg",1)</f>
        <v/>
      </c>
      <c r="D257" s="216">
        <v>5.0</v>
      </c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  <c r="AC257" s="301"/>
      <c r="AD257" s="301"/>
      <c r="AE257" s="301"/>
      <c r="AF257" s="301"/>
      <c r="AG257" s="301"/>
      <c r="AH257" s="301"/>
      <c r="AI257" s="301"/>
      <c r="AJ257" s="301"/>
      <c r="AK257" s="301"/>
    </row>
    <row r="258" ht="45.0" customHeight="1">
      <c r="A258" s="11">
        <v>261.0</v>
      </c>
      <c r="B258" s="93" t="s">
        <v>1822</v>
      </c>
      <c r="C258" s="12" t="str">
        <f>IMAGE("https://robu.in/wp-content/uploads/2017/09/download-1-2.jpg",1)</f>
        <v/>
      </c>
      <c r="D258" s="216">
        <v>5.0</v>
      </c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  <c r="AC258" s="301"/>
      <c r="AD258" s="301"/>
      <c r="AE258" s="301"/>
      <c r="AF258" s="301"/>
      <c r="AG258" s="301"/>
      <c r="AH258" s="301"/>
      <c r="AI258" s="301"/>
      <c r="AJ258" s="301"/>
      <c r="AK258" s="301"/>
    </row>
    <row r="259" ht="45.0" customHeight="1">
      <c r="A259" s="11">
        <v>262.0</v>
      </c>
      <c r="B259" s="93" t="s">
        <v>1758</v>
      </c>
      <c r="C259" s="11" t="str">
        <f>IMAGE("https://cdn.shopify.com/s/files/1/0088/0056/7392/products/Sound_Detector_Module.jpg?v=1566646449",1)</f>
        <v/>
      </c>
      <c r="D259" s="216">
        <v>10.0</v>
      </c>
      <c r="E259" s="305"/>
      <c r="F259" s="305"/>
      <c r="G259" s="305"/>
      <c r="H259" s="305"/>
      <c r="I259" s="305"/>
      <c r="J259" s="305"/>
      <c r="K259" s="305"/>
      <c r="L259" s="305"/>
      <c r="M259" s="305"/>
      <c r="N259" s="305"/>
      <c r="O259" s="305"/>
      <c r="P259" s="305"/>
      <c r="Q259" s="305"/>
      <c r="R259" s="305"/>
      <c r="S259" s="305"/>
      <c r="T259" s="305"/>
      <c r="U259" s="305"/>
      <c r="V259" s="305"/>
      <c r="W259" s="305"/>
      <c r="X259" s="305"/>
      <c r="Y259" s="305"/>
      <c r="Z259" s="305"/>
      <c r="AA259" s="305"/>
      <c r="AB259" s="305"/>
      <c r="AC259" s="305"/>
      <c r="AD259" s="305"/>
      <c r="AE259" s="305"/>
      <c r="AF259" s="305"/>
      <c r="AG259" s="305"/>
      <c r="AH259" s="305"/>
      <c r="AI259" s="305"/>
      <c r="AJ259" s="305"/>
      <c r="AK259" s="305"/>
    </row>
    <row r="260" ht="45.0" customHeight="1">
      <c r="A260" s="11">
        <v>263.0</v>
      </c>
      <c r="B260" s="93" t="s">
        <v>1789</v>
      </c>
      <c r="C260" s="11" t="str">
        <f>IMAGE("https://encrypted-tbn0.gstatic.com/images?q=tbn:ANd9GcRrIyUWjQ1rnIJDwYms78skSv9zbdkdml4sTR1WfoKl6GFD5OWnZULG8H98AB-i394c3VQ&amp;usqp=CAU",1)</f>
        <v/>
      </c>
      <c r="D260" s="216">
        <v>10.0</v>
      </c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  <c r="AB260" s="301"/>
      <c r="AC260" s="301"/>
      <c r="AD260" s="301"/>
      <c r="AE260" s="301"/>
      <c r="AF260" s="301"/>
      <c r="AG260" s="301"/>
      <c r="AH260" s="301"/>
      <c r="AI260" s="301"/>
      <c r="AJ260" s="301"/>
      <c r="AK260" s="301"/>
    </row>
    <row r="261" ht="45.0" customHeight="1">
      <c r="A261" s="11">
        <v>264.0</v>
      </c>
      <c r="B261" s="93" t="s">
        <v>2149</v>
      </c>
      <c r="C261" s="11" t="str">
        <f>IMAGE("https://robu.in/wp-content/uploads/2019/05/MAX30100-Pulse-Oximeter-Heart-Rate-Sensor-Module-2.jpg",1)</f>
        <v/>
      </c>
      <c r="D261" s="216">
        <v>5.0</v>
      </c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  <c r="AB261" s="301"/>
      <c r="AC261" s="301"/>
      <c r="AD261" s="301"/>
      <c r="AE261" s="301"/>
      <c r="AF261" s="301"/>
      <c r="AG261" s="301"/>
      <c r="AH261" s="301"/>
      <c r="AI261" s="301"/>
      <c r="AJ261" s="301"/>
      <c r="AK261" s="301"/>
    </row>
    <row r="262" ht="45.0" customHeight="1">
      <c r="A262" s="11">
        <v>265.0</v>
      </c>
      <c r="B262" s="93" t="s">
        <v>1769</v>
      </c>
      <c r="C262" s="11" t="str">
        <f>IMAGE("https://makerbazar.in/cdn/shop/products/Untitled-1_39_1_60x.jpg?v=1637233670",1)</f>
        <v/>
      </c>
      <c r="D262" s="216">
        <v>5.0</v>
      </c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  <c r="AB262" s="301"/>
      <c r="AC262" s="301"/>
      <c r="AD262" s="301"/>
      <c r="AE262" s="301"/>
      <c r="AF262" s="301"/>
      <c r="AG262" s="301"/>
      <c r="AH262" s="301"/>
      <c r="AI262" s="301"/>
      <c r="AJ262" s="301"/>
      <c r="AK262" s="301"/>
    </row>
    <row r="263" ht="45.0" customHeight="1">
      <c r="A263" s="11">
        <v>266.0</v>
      </c>
      <c r="B263" s="93" t="s">
        <v>1772</v>
      </c>
      <c r="C263" s="11" t="str">
        <f>IMAGE("https://5.imimg.com/data5/SELLER/Default/2021/6/XN/UI/NS/84973740/mq2-flammable-gas-and-smoke-sensor-module-500x500.jpg",1)</f>
        <v/>
      </c>
      <c r="D263" s="216">
        <v>5.0</v>
      </c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  <c r="AB263" s="301"/>
      <c r="AC263" s="301"/>
      <c r="AD263" s="301"/>
      <c r="AE263" s="301"/>
      <c r="AF263" s="301"/>
      <c r="AG263" s="301"/>
      <c r="AH263" s="301"/>
      <c r="AI263" s="301"/>
      <c r="AJ263" s="301"/>
      <c r="AK263" s="301"/>
    </row>
    <row r="264" ht="45.0" customHeight="1">
      <c r="A264" s="11">
        <v>267.0</v>
      </c>
      <c r="B264" s="93" t="s">
        <v>1576</v>
      </c>
      <c r="C264" s="11" t="str">
        <f>IMAGE("https://robu.in/wp-content/uploads/2016/03/12251.jpg",1)</f>
        <v/>
      </c>
      <c r="D264" s="216">
        <v>10.0</v>
      </c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  <c r="AB264" s="301"/>
      <c r="AC264" s="301"/>
      <c r="AD264" s="301"/>
      <c r="AE264" s="301"/>
      <c r="AF264" s="301"/>
      <c r="AG264" s="301"/>
      <c r="AH264" s="301"/>
      <c r="AI264" s="301"/>
      <c r="AJ264" s="301"/>
      <c r="AK264" s="301"/>
    </row>
    <row r="265" ht="45.0" customHeight="1">
      <c r="A265" s="11">
        <v>268.0</v>
      </c>
      <c r="B265" s="258" t="s">
        <v>1763</v>
      </c>
      <c r="C265" s="11" t="str">
        <f>IMAGE("https://m.media-amazon.com/images/W/MEDIAX_792452-T2/images/I/61QNSpIV-GL._SL1000_.jpg",1)</f>
        <v/>
      </c>
      <c r="D265" s="216">
        <v>5.0</v>
      </c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  <c r="AB265" s="301"/>
      <c r="AC265" s="301"/>
      <c r="AD265" s="301"/>
      <c r="AE265" s="301"/>
      <c r="AF265" s="301"/>
      <c r="AG265" s="301"/>
      <c r="AH265" s="301"/>
      <c r="AI265" s="301"/>
      <c r="AJ265" s="301"/>
      <c r="AK265" s="301"/>
    </row>
    <row r="266" ht="45.0" customHeight="1">
      <c r="A266" s="11">
        <v>269.0</v>
      </c>
      <c r="B266" s="93" t="s">
        <v>1584</v>
      </c>
      <c r="C266" s="11" t="str">
        <f>IMAGE("https://projecthubbharat.com/wp-content/uploads/2022/02/dht-11-sensor-module-india-800x800-1.jpg",1)</f>
        <v/>
      </c>
      <c r="D266" s="216">
        <v>10.0</v>
      </c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  <c r="AD266" s="301"/>
      <c r="AE266" s="301"/>
      <c r="AF266" s="301"/>
      <c r="AG266" s="301"/>
      <c r="AH266" s="301"/>
      <c r="AI266" s="301"/>
      <c r="AJ266" s="301"/>
      <c r="AK266" s="301"/>
    </row>
    <row r="267" ht="45.0" customHeight="1">
      <c r="A267" s="11">
        <v>270.0</v>
      </c>
      <c r="B267" s="93" t="s">
        <v>1795</v>
      </c>
      <c r="C267" s="11" t="str">
        <f>IMAGE("https://potentiallabs.com/cart/image/cache/catalog/nov-dec/DS18B20-500x500-500x500.jpg",1)</f>
        <v/>
      </c>
      <c r="D267" s="216">
        <v>10.0</v>
      </c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  <c r="AC267" s="301"/>
      <c r="AD267" s="301"/>
      <c r="AE267" s="301"/>
      <c r="AF267" s="301"/>
      <c r="AG267" s="301"/>
      <c r="AH267" s="301"/>
      <c r="AI267" s="301"/>
      <c r="AJ267" s="301"/>
      <c r="AK267" s="301"/>
    </row>
    <row r="268" ht="45.0" customHeight="1">
      <c r="A268" s="11">
        <v>271.0</v>
      </c>
      <c r="B268" s="93" t="s">
        <v>1798</v>
      </c>
      <c r="C268" s="216" t="str">
        <f>IMAGE("https://5.imimg.com/data5/SELLER/Default/2021/9/HF/RK/UF/37611021/10k-ohm-ntc-thermistor-500x500.jpg",1)</f>
        <v/>
      </c>
      <c r="D268" s="216">
        <v>20.0</v>
      </c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  <c r="AB268" s="301"/>
      <c r="AC268" s="301"/>
      <c r="AD268" s="301"/>
      <c r="AE268" s="301"/>
      <c r="AF268" s="301"/>
      <c r="AG268" s="301"/>
      <c r="AH268" s="301"/>
      <c r="AI268" s="301"/>
      <c r="AJ268" s="301"/>
      <c r="AK268" s="301"/>
    </row>
    <row r="269" ht="45.0" customHeight="1">
      <c r="A269" s="11">
        <v>272.0</v>
      </c>
      <c r="B269" s="93" t="s">
        <v>1777</v>
      </c>
      <c r="C269" s="11" t="str">
        <f>IMAGE("https://media.distrelec.com/Web/WebShopImages/landscape_large/7-/01/Adafruit_163_30129187-01.jpg",1)</f>
        <v/>
      </c>
      <c r="D269" s="216">
        <v>5.0</v>
      </c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  <c r="AB269" s="301"/>
      <c r="AC269" s="301"/>
      <c r="AD269" s="301"/>
      <c r="AE269" s="301"/>
      <c r="AF269" s="301"/>
      <c r="AG269" s="301"/>
      <c r="AH269" s="301"/>
      <c r="AI269" s="301"/>
      <c r="AJ269" s="301"/>
      <c r="AK269" s="301"/>
    </row>
    <row r="270" ht="45.0" customHeight="1">
      <c r="A270" s="11">
        <v>273.0</v>
      </c>
      <c r="B270" s="93" t="s">
        <v>1619</v>
      </c>
      <c r="C270" s="11" t="str">
        <f>IMAGE("https://i0.wp.com/superbtech.in/wp-content/uploads/2020/07/2-60.jpg?fit=500%2C500&amp;ssl=1",1)</f>
        <v/>
      </c>
      <c r="D270" s="216">
        <v>10.0</v>
      </c>
      <c r="E270" s="305"/>
      <c r="F270" s="305"/>
      <c r="G270" s="305"/>
      <c r="H270" s="305"/>
      <c r="I270" s="305"/>
      <c r="J270" s="305"/>
      <c r="K270" s="305"/>
      <c r="L270" s="305"/>
      <c r="M270" s="305"/>
      <c r="N270" s="305"/>
      <c r="O270" s="305"/>
      <c r="P270" s="305"/>
      <c r="Q270" s="305"/>
      <c r="R270" s="305"/>
      <c r="S270" s="305"/>
      <c r="T270" s="305"/>
      <c r="U270" s="305"/>
      <c r="V270" s="305"/>
      <c r="W270" s="305"/>
      <c r="X270" s="305"/>
      <c r="Y270" s="305"/>
      <c r="Z270" s="305"/>
      <c r="AA270" s="305"/>
      <c r="AB270" s="305"/>
      <c r="AC270" s="305"/>
      <c r="AD270" s="305"/>
      <c r="AE270" s="305"/>
      <c r="AF270" s="305"/>
      <c r="AG270" s="305"/>
      <c r="AH270" s="305"/>
      <c r="AI270" s="305"/>
      <c r="AJ270" s="305"/>
      <c r="AK270" s="305"/>
    </row>
    <row r="271" ht="45.0" customHeight="1">
      <c r="A271" s="11">
        <v>274.0</v>
      </c>
      <c r="B271" s="93" t="s">
        <v>1623</v>
      </c>
      <c r="C271" s="11" t="str">
        <f>IMAGE("https://cdn.shopify.com/s/files/1/0559/1970/6265/products/1_9713a8db-db1e-42d0-a3e7-eebb7f66c4e9.jpg?v=1670581925",1)</f>
        <v/>
      </c>
      <c r="D271" s="216">
        <v>5.0</v>
      </c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  <c r="AB271" s="301"/>
      <c r="AC271" s="301"/>
      <c r="AD271" s="301"/>
      <c r="AE271" s="301"/>
      <c r="AF271" s="301"/>
      <c r="AG271" s="301"/>
      <c r="AH271" s="301"/>
      <c r="AI271" s="301"/>
      <c r="AJ271" s="301"/>
      <c r="AK271" s="301"/>
    </row>
    <row r="272" ht="45.0" customHeight="1">
      <c r="A272" s="11">
        <v>275.0</v>
      </c>
      <c r="B272" s="93" t="s">
        <v>1627</v>
      </c>
      <c r="C272" s="11" t="str">
        <f>IMAGE("https://m.media-amazon.com/images/W/MEDIAX_792452-T2/images/I/419leG1YjXL.jpg",1)</f>
        <v/>
      </c>
      <c r="D272" s="216">
        <v>10.0</v>
      </c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  <c r="AB272" s="301"/>
      <c r="AC272" s="301"/>
      <c r="AD272" s="301"/>
      <c r="AE272" s="301"/>
      <c r="AF272" s="301"/>
      <c r="AG272" s="301"/>
      <c r="AH272" s="301"/>
      <c r="AI272" s="301"/>
      <c r="AJ272" s="301"/>
      <c r="AK272" s="301"/>
    </row>
    <row r="273" ht="45.0" customHeight="1">
      <c r="A273" s="11">
        <v>276.0</v>
      </c>
      <c r="B273" s="93" t="s">
        <v>1633</v>
      </c>
      <c r="C273" s="11" t="str">
        <f>IMAGE("https://i0.wp.com/armsol.in/wp-content/uploads/2021/08/1-5-rotated.jpg?fit=600%2C600&amp;ssl=1",1)</f>
        <v/>
      </c>
      <c r="D273" s="216">
        <v>10.0</v>
      </c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  <c r="AB273" s="301"/>
      <c r="AC273" s="301"/>
      <c r="AD273" s="301"/>
      <c r="AE273" s="301"/>
      <c r="AF273" s="301"/>
      <c r="AG273" s="301"/>
      <c r="AH273" s="301"/>
      <c r="AI273" s="301"/>
      <c r="AJ273" s="301"/>
      <c r="AK273" s="301"/>
    </row>
    <row r="274" ht="45.0" customHeight="1">
      <c r="A274" s="11">
        <v>277.0</v>
      </c>
      <c r="B274" s="93" t="s">
        <v>1988</v>
      </c>
      <c r="C274" s="11" t="str">
        <f>IMAGE("https://www.voltaat.com/cdn/shop/products/voltaat-soldering-board-5cm-x-7cm-10728457568358_1024x1024.jpg?v=1628445244")</f>
        <v/>
      </c>
      <c r="D274" s="216">
        <v>30.0</v>
      </c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  <c r="AB274" s="301"/>
      <c r="AC274" s="301"/>
      <c r="AD274" s="301"/>
      <c r="AE274" s="301"/>
      <c r="AF274" s="301"/>
      <c r="AG274" s="301"/>
      <c r="AH274" s="301"/>
      <c r="AI274" s="301"/>
      <c r="AJ274" s="301"/>
      <c r="AK274" s="301"/>
    </row>
    <row r="275" ht="45.0" customHeight="1">
      <c r="A275" s="11">
        <v>278.0</v>
      </c>
      <c r="B275" s="93" t="s">
        <v>1989</v>
      </c>
      <c r="C275" s="11" t="str">
        <f>IMAGE("https://m.media-amazon.com/images/W/MEDIAX_792452-T2/images/I/91hMIBtDtPS._SL1500_.jpg")</f>
        <v/>
      </c>
      <c r="D275" s="216">
        <v>10.0</v>
      </c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  <c r="AB275" s="301"/>
      <c r="AC275" s="301"/>
      <c r="AD275" s="301"/>
      <c r="AE275" s="301"/>
      <c r="AF275" s="301"/>
      <c r="AG275" s="301"/>
      <c r="AH275" s="301"/>
      <c r="AI275" s="301"/>
      <c r="AJ275" s="301"/>
      <c r="AK275" s="301"/>
    </row>
    <row r="276" ht="45.0" customHeight="1">
      <c r="A276" s="11">
        <v>279.0</v>
      </c>
      <c r="B276" s="93" t="s">
        <v>1646</v>
      </c>
      <c r="C276" s="11" t="str">
        <f>IMAGE("https://5.imimg.com/data5/SELLER/Default/2022/1/IK/KY/AC/131638211/31tvrpe7ijl-500x500.jpg")</f>
        <v/>
      </c>
      <c r="D276" s="216">
        <v>5.0</v>
      </c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  <c r="AB276" s="301"/>
      <c r="AC276" s="301"/>
      <c r="AD276" s="301"/>
      <c r="AE276" s="301"/>
      <c r="AF276" s="301"/>
      <c r="AG276" s="301"/>
      <c r="AH276" s="301"/>
      <c r="AI276" s="301"/>
      <c r="AJ276" s="301"/>
      <c r="AK276" s="301"/>
    </row>
    <row r="277" ht="45.0" customHeight="1">
      <c r="A277" s="11">
        <v>280.0</v>
      </c>
      <c r="B277" s="93" t="s">
        <v>1650</v>
      </c>
      <c r="C277" s="11" t="str">
        <f>IMAGE("https://i0.wp.com/roboticsdna.in/wp-content/uploads/2020/11/IRON-TIP-1.png?fit=1000%2C1000&amp;ssl=1",1)</f>
        <v/>
      </c>
      <c r="D277" s="216">
        <v>10.0</v>
      </c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  <c r="AB277" s="301"/>
      <c r="AC277" s="301"/>
      <c r="AD277" s="301"/>
      <c r="AE277" s="301"/>
      <c r="AF277" s="301"/>
      <c r="AG277" s="301"/>
      <c r="AH277" s="301"/>
      <c r="AI277" s="301"/>
      <c r="AJ277" s="301"/>
      <c r="AK277" s="301"/>
    </row>
    <row r="278" ht="45.0" customHeight="1">
      <c r="A278" s="11">
        <v>281.0</v>
      </c>
      <c r="B278" s="93" t="s">
        <v>1654</v>
      </c>
      <c r="C278" s="11" t="str">
        <f>IMAGE("https://www.toolworld.in/storage/media/product/1656317774.jpg",1)</f>
        <v/>
      </c>
      <c r="D278" s="216">
        <v>10.0</v>
      </c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  <c r="AB278" s="301"/>
      <c r="AC278" s="301"/>
      <c r="AD278" s="301"/>
      <c r="AE278" s="301"/>
      <c r="AF278" s="301"/>
      <c r="AG278" s="301"/>
      <c r="AH278" s="301"/>
      <c r="AI278" s="301"/>
      <c r="AJ278" s="301"/>
      <c r="AK278" s="301"/>
    </row>
    <row r="279" ht="45.0" customHeight="1">
      <c r="A279" s="11">
        <v>282.0</v>
      </c>
      <c r="B279" s="93" t="s">
        <v>1658</v>
      </c>
      <c r="C279" s="11" t="str">
        <f>IMAGE("https://m.media-amazon.com/images/W/MEDIAX_792452-T2/images/I/41OjS3jnL4L.jpg",1)</f>
        <v/>
      </c>
      <c r="D279" s="216">
        <v>10.0</v>
      </c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  <c r="AB279" s="301"/>
      <c r="AC279" s="301"/>
      <c r="AD279" s="301"/>
      <c r="AE279" s="301"/>
      <c r="AF279" s="301"/>
      <c r="AG279" s="301"/>
      <c r="AH279" s="301"/>
      <c r="AI279" s="301"/>
      <c r="AJ279" s="301"/>
      <c r="AK279" s="301"/>
    </row>
    <row r="280" ht="45.0" customHeight="1">
      <c r="A280" s="11">
        <v>283.0</v>
      </c>
      <c r="B280" s="93" t="s">
        <v>1662</v>
      </c>
      <c r="C280" s="11" t="str">
        <f>IMAGE("https://m.media-amazon.com/images/W/MEDIAX_792452-T2/images/I/61gvV3Wc-NL._SL1024_.jpg")</f>
        <v/>
      </c>
      <c r="D280" s="216">
        <v>2.0</v>
      </c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  <c r="AB280" s="301"/>
      <c r="AC280" s="301"/>
      <c r="AD280" s="301"/>
      <c r="AE280" s="301"/>
      <c r="AF280" s="301"/>
      <c r="AG280" s="301"/>
      <c r="AH280" s="301"/>
      <c r="AI280" s="301"/>
      <c r="AJ280" s="301"/>
      <c r="AK280" s="301"/>
    </row>
    <row r="281" ht="45.0" customHeight="1">
      <c r="A281" s="11">
        <v>284.0</v>
      </c>
      <c r="B281" s="93" t="s">
        <v>1666</v>
      </c>
      <c r="C281" s="11" t="str">
        <f>IMAGE("https://robu.in/wp-content/uploads/2015/10/Soldron-25-Watt-Iron-Soldering-Gun-5.jpg")</f>
        <v/>
      </c>
      <c r="D281" s="216">
        <v>10.0</v>
      </c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  <c r="AB281" s="301"/>
      <c r="AC281" s="301"/>
      <c r="AD281" s="301"/>
      <c r="AE281" s="301"/>
      <c r="AF281" s="301"/>
      <c r="AG281" s="301"/>
      <c r="AH281" s="301"/>
      <c r="AI281" s="301"/>
      <c r="AJ281" s="301"/>
      <c r="AK281" s="301"/>
    </row>
    <row r="282" ht="45.0" customHeight="1">
      <c r="A282" s="11">
        <v>285.0</v>
      </c>
      <c r="B282" s="93" t="s">
        <v>1670</v>
      </c>
      <c r="C282" s="11" t="str">
        <f>IMAGE("https://m.media-amazon.com/images/I/71Nb2wKaZgS._SL1500_.jpg", 1)</f>
        <v/>
      </c>
      <c r="D282" s="216">
        <v>1.0</v>
      </c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  <c r="AB282" s="301"/>
      <c r="AC282" s="301"/>
      <c r="AD282" s="301"/>
      <c r="AE282" s="301"/>
      <c r="AF282" s="301"/>
      <c r="AG282" s="301"/>
      <c r="AH282" s="301"/>
      <c r="AI282" s="301"/>
      <c r="AJ282" s="301"/>
      <c r="AK282" s="301"/>
    </row>
    <row r="283" ht="45.0" customHeight="1">
      <c r="A283" s="11">
        <v>286.0</v>
      </c>
      <c r="B283" s="93" t="s">
        <v>1674</v>
      </c>
      <c r="C283" s="11" t="str">
        <f>IMAGE("https://m.media-amazon.com/images/W/MEDIAX_792452-T2/images/I/511g3IePVzL.jpg",1)</f>
        <v/>
      </c>
      <c r="D283" s="216">
        <v>10.0</v>
      </c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  <c r="AI283" s="301"/>
      <c r="AJ283" s="301"/>
      <c r="AK283" s="301"/>
    </row>
    <row r="284" ht="45.0" customHeight="1">
      <c r="A284" s="11">
        <v>287.0</v>
      </c>
      <c r="B284" s="93" t="s">
        <v>1678</v>
      </c>
      <c r="C284" s="11" t="str">
        <f>IMAGE("https://5.imimg.com/data5/FT/MG/MY-9316309/soldering-wire-500x500.jpg",1)</f>
        <v/>
      </c>
      <c r="D284" s="216">
        <v>10.0</v>
      </c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  <c r="AD284" s="301"/>
      <c r="AE284" s="301"/>
      <c r="AF284" s="301"/>
      <c r="AG284" s="301"/>
      <c r="AH284" s="301"/>
      <c r="AI284" s="301"/>
      <c r="AJ284" s="301"/>
      <c r="AK284" s="301"/>
    </row>
    <row r="285" ht="45.0" hidden="1" customHeight="1">
      <c r="A285" s="11">
        <v>288.0</v>
      </c>
      <c r="B285" s="93" t="s">
        <v>324</v>
      </c>
      <c r="C285" s="11" t="str">
        <f>IMAGE("https://5.imimg.com/data5/PL/FV/MY-11916319/synthetic-angle-broom-500x500.jpg",1)</f>
        <v/>
      </c>
      <c r="D285" s="11">
        <v>1.0</v>
      </c>
      <c r="E285" s="12"/>
    </row>
    <row r="286" ht="45.0" hidden="1" customHeight="1">
      <c r="A286" s="11">
        <v>289.0</v>
      </c>
      <c r="B286" s="93" t="s">
        <v>329</v>
      </c>
      <c r="C286" s="11" t="str">
        <f>IMAGE("https://m.media-amazon.com/images/W/MEDIAX_792452-T2/images/I/61z4uqZdmPL._AC_UF1000,1000_QL80_.jpg",1)</f>
        <v/>
      </c>
      <c r="D286" s="11">
        <v>1.0</v>
      </c>
      <c r="E286" s="12"/>
    </row>
    <row r="287" ht="45.0" hidden="1" customHeight="1">
      <c r="A287" s="11">
        <v>290.0</v>
      </c>
      <c r="B287" s="93" t="s">
        <v>333</v>
      </c>
      <c r="C287" s="11" t="str">
        <f>IMAGE("https://m.media-amazon.com/images/W/MEDIAX_792452-T2/images/I/61Njm4X2d2L._AC_UF1000,1000_QL80_.jpg",1)</f>
        <v/>
      </c>
      <c r="D287" s="11">
        <v>5.0</v>
      </c>
      <c r="E287" s="12"/>
    </row>
    <row r="288" ht="45.0" hidden="1" customHeight="1">
      <c r="A288" s="11">
        <v>291.0</v>
      </c>
      <c r="B288" s="93" t="s">
        <v>341</v>
      </c>
      <c r="C288" s="11" t="str">
        <f>IMAGE("https://rukminim2.flixcart.com/image/850/1000/kshtxu80/dustbin/p/l/y/swaccha-bharat-champaign-dry-and-wet-waste-bins-small-11ltr-original-imag6fnfj6pqmsba.jpeg?q=20",1)</f>
        <v/>
      </c>
      <c r="D288" s="11">
        <v>3.0</v>
      </c>
      <c r="E288" s="12"/>
    </row>
    <row r="289" ht="45.0" hidden="1" customHeight="1">
      <c r="A289" s="11">
        <v>292.0</v>
      </c>
      <c r="B289" s="93" t="s">
        <v>1959</v>
      </c>
      <c r="C289" s="11" t="str">
        <f>IMAGE("https://www.220converters.com/resize/Shared/images/Product/Seven-Star-ES5C-220-Volt-Universal-5-Outlet-Power-Strip-With-Surge-Protection-220V-240V/es5c.jpg?bw=500&amp;bh=500",1)</f>
        <v/>
      </c>
      <c r="D289" s="216">
        <v>6.0</v>
      </c>
      <c r="E289" s="12"/>
    </row>
    <row r="290" ht="45.0" hidden="1" customHeight="1">
      <c r="A290" s="11">
        <v>293.0</v>
      </c>
      <c r="B290" s="93" t="s">
        <v>970</v>
      </c>
      <c r="C290" s="11" t="str">
        <f>IMAGE("https://www.jiomart.com/images/product/original/491503417/mi-home-security-camera-digital-o491503417-p590045677-0-202010110622.jpeg")</f>
        <v/>
      </c>
      <c r="D290" s="216">
        <v>1.0</v>
      </c>
      <c r="E290" s="12"/>
    </row>
    <row r="291" ht="45.0" hidden="1" customHeight="1">
      <c r="A291" s="11">
        <v>294.0</v>
      </c>
      <c r="B291" s="272" t="s">
        <v>2171</v>
      </c>
      <c r="C291" s="275"/>
      <c r="D291" s="274">
        <v>2.0</v>
      </c>
      <c r="E291" s="314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  <c r="AA291" s="276"/>
      <c r="AB291" s="276"/>
      <c r="AC291" s="276"/>
      <c r="AD291" s="276"/>
      <c r="AE291" s="276"/>
      <c r="AF291" s="276"/>
      <c r="AG291" s="276"/>
      <c r="AH291" s="276"/>
      <c r="AI291" s="276"/>
      <c r="AJ291" s="276"/>
      <c r="AK291" s="276"/>
    </row>
    <row r="292" ht="45.0" hidden="1" customHeight="1">
      <c r="A292" s="11">
        <v>295.0</v>
      </c>
      <c r="B292" s="93" t="s">
        <v>140</v>
      </c>
      <c r="C292" s="11" t="e">
        <v>#VALUE!</v>
      </c>
      <c r="D292" s="11">
        <v>1.0</v>
      </c>
      <c r="E292" s="12"/>
    </row>
    <row r="293" ht="45.0" hidden="1" customHeight="1">
      <c r="A293" s="11">
        <v>296.0</v>
      </c>
      <c r="B293" s="93" t="s">
        <v>155</v>
      </c>
      <c r="C293" s="11" t="str">
        <f>IMAGE("https://m.media-amazon.com/images/I/61Zlcg+2mNL.jpg")</f>
        <v/>
      </c>
      <c r="D293" s="216">
        <v>1.0</v>
      </c>
      <c r="E293" s="12"/>
    </row>
    <row r="294" ht="45.0" hidden="1" customHeight="1">
      <c r="A294" s="11">
        <v>297.0</v>
      </c>
      <c r="B294" s="93" t="s">
        <v>159</v>
      </c>
      <c r="C294" s="11" t="str">
        <f>IMAGE("https://c1.neweggimages.com/Productimage/24-001-864-04.jpg",1)</f>
        <v/>
      </c>
      <c r="D294" s="216">
        <v>1.0</v>
      </c>
      <c r="E294" s="12"/>
    </row>
    <row r="295" ht="45.0" hidden="1" customHeight="1">
      <c r="A295" s="11">
        <v>298.0</v>
      </c>
      <c r="B295" s="93" t="s">
        <v>163</v>
      </c>
      <c r="C295" s="11" t="str">
        <f>IMAGE("https://m.media-amazon.com/images/I/6100FnINmsL._SL1468_.jpg",1)</f>
        <v/>
      </c>
      <c r="D295" s="216">
        <v>1.0</v>
      </c>
      <c r="E295" s="12"/>
    </row>
    <row r="296" ht="45.0" hidden="1" customHeight="1">
      <c r="A296" s="11">
        <v>299.0</v>
      </c>
      <c r="B296" s="93" t="s">
        <v>167</v>
      </c>
      <c r="C296" s="11" t="str">
        <f>IMAGE("https://encrypted-tbn1.gstatic.com/shopping?q=tbn:ANd9GcSwk1vUmWwFhmXgluT27_kpt_1XbFeMGM9voPktN2V8FycBha0_9qycLyoE5G3LsPm9IAaz9ZK9JsFmIAo5gwJtywrUheHD9Zzv6NIaMNLbw1go2XSC6Z0l&amp;usqp=CAE",1)</f>
        <v/>
      </c>
      <c r="D296" s="216">
        <v>1.0</v>
      </c>
      <c r="E296" s="12"/>
    </row>
    <row r="297" ht="45.0" hidden="1" customHeight="1">
      <c r="A297" s="11">
        <v>300.0</v>
      </c>
      <c r="B297" s="93" t="s">
        <v>171</v>
      </c>
      <c r="C297" s="11" t="str">
        <f>IMAGE("https://www.designinfo.in/wp-content/uploads/nc/p/5/1/4/9/0/51490-485x485.jpg",1)</f>
        <v/>
      </c>
      <c r="D297" s="216">
        <v>1.0</v>
      </c>
      <c r="E297" s="12"/>
    </row>
    <row r="298" ht="45.0" hidden="1" customHeight="1">
      <c r="A298" s="11">
        <v>301.0</v>
      </c>
      <c r="B298" s="93" t="s">
        <v>245</v>
      </c>
      <c r="C298" s="11" t="str">
        <f>IMAGE("https://m.media-amazon.com/images/I/61YPX7I4aSL._SL1500_.jpg",1)</f>
        <v/>
      </c>
      <c r="D298" s="11">
        <v>1.0</v>
      </c>
      <c r="E298" s="12"/>
    </row>
    <row r="299" ht="45.0" hidden="1" customHeight="1">
      <c r="A299" s="11">
        <v>302.0</v>
      </c>
      <c r="B299" s="93" t="s">
        <v>974</v>
      </c>
      <c r="C299" s="11" t="str">
        <f>IMAGE("https://cdn.ttgtmedia.com/rms/onlineimages/hp_elitebook_mobile.jpg",1)</f>
        <v/>
      </c>
      <c r="D299" s="216">
        <v>1.0</v>
      </c>
      <c r="E299" s="12"/>
    </row>
    <row r="300" ht="45.0" hidden="1" customHeight="1">
      <c r="A300" s="11">
        <v>303.0</v>
      </c>
      <c r="B300" s="93" t="s">
        <v>977</v>
      </c>
      <c r="C300" s="11" t="str">
        <f>IMAGE("https://m.media-amazon.com/images/W/MEDIAX_792452-T2/images/I/51UzU+2x3OS._SL1000_.jpg")</f>
        <v/>
      </c>
      <c r="D300" s="216">
        <v>1.0</v>
      </c>
      <c r="E300" s="12"/>
    </row>
    <row r="301" ht="45.0" hidden="1" customHeight="1">
      <c r="A301" s="11">
        <v>304.0</v>
      </c>
      <c r="B301" s="93" t="s">
        <v>1475</v>
      </c>
      <c r="C301" s="11" t="str">
        <f>IMAGE("https://rukminim1.flixcart.com/image/416/416/jj367bk0/fire-extinguisher-mount/w/s/y/2-kg-abc-type-fire-extinguisher-safepro-original-imaf6h7fkdngmbqd.jpeg?q=70",1)</f>
        <v/>
      </c>
      <c r="D301" s="216">
        <v>1.0</v>
      </c>
      <c r="E301" s="12"/>
    </row>
    <row r="302" ht="45.0" hidden="1" customHeight="1">
      <c r="A302" s="11">
        <v>305.0</v>
      </c>
      <c r="B302" s="93" t="s">
        <v>1481</v>
      </c>
      <c r="C302" s="11" t="str">
        <f>IMAGE("https://m.media-amazon.com/images/I/61UHX6mp+wL._AC_UF894,1000_QL80_.jpg",1)</f>
        <v/>
      </c>
      <c r="D302" s="216">
        <v>1.0</v>
      </c>
      <c r="E302" s="12"/>
    </row>
    <row r="303" ht="45.0" hidden="1" customHeight="1">
      <c r="A303" s="11">
        <v>306.0</v>
      </c>
      <c r="B303" s="93" t="s">
        <v>1485</v>
      </c>
      <c r="C303" s="11" t="str">
        <f>IMAGE("https://m.media-amazon.com/images/I/41yRsXk89rS._SX355_.jpg",1)</f>
        <v/>
      </c>
      <c r="D303" s="216">
        <v>1.0</v>
      </c>
      <c r="E303" s="12"/>
    </row>
    <row r="304" ht="45.0" hidden="1" customHeight="1">
      <c r="A304" s="11">
        <v>307.0</v>
      </c>
      <c r="B304" s="93" t="s">
        <v>1489</v>
      </c>
      <c r="C304" s="11" t="str">
        <f>IMAGE("https://5.imimg.com/data5/AR/LM/NG/SELLER-21409398/lab-uniform-500x500.jpg",1)</f>
        <v/>
      </c>
      <c r="D304" s="11">
        <v>5.0</v>
      </c>
      <c r="E304" s="12"/>
    </row>
    <row r="305" ht="45.0" hidden="1" customHeight="1">
      <c r="A305" s="11">
        <v>308.0</v>
      </c>
      <c r="B305" s="93" t="s">
        <v>1493</v>
      </c>
      <c r="C305" s="11" t="str">
        <f>IMAGE("https://cdn.moglix.com/p/oBWcDtePyNEFP.jpg",1)</f>
        <v/>
      </c>
      <c r="D305" s="216">
        <v>2.0</v>
      </c>
      <c r="E305" s="12"/>
    </row>
    <row r="306" ht="45.0" hidden="1" customHeight="1">
      <c r="A306" s="11">
        <v>309.0</v>
      </c>
      <c r="B306" s="93" t="s">
        <v>1497</v>
      </c>
      <c r="C306" s="11" t="str">
        <f>IMAGE("https://5.imimg.com/data5/SELLER/Default/2023/5/311302937/IM/IY/MO/34533827/safety-rubber-apron-1000x1000.jpg", 1)</f>
        <v/>
      </c>
      <c r="D306" s="11">
        <v>5.0</v>
      </c>
      <c r="E306" s="12"/>
    </row>
    <row r="307" ht="45.0" hidden="1" customHeight="1">
      <c r="A307" s="11">
        <v>310.0</v>
      </c>
      <c r="B307" s="93" t="s">
        <v>1501</v>
      </c>
      <c r="C307" s="11" t="str">
        <f>IMAGE("https://5.imimg.com/data5/DM/UP/MY-3422722/latex-coated-gloves-500x500.jpg",1)</f>
        <v/>
      </c>
      <c r="D307" s="216">
        <v>15.0</v>
      </c>
      <c r="E307" s="12"/>
    </row>
    <row r="308" ht="45.0" hidden="1" customHeight="1">
      <c r="A308" s="11">
        <v>311.0</v>
      </c>
      <c r="B308" s="93" t="s">
        <v>1505</v>
      </c>
      <c r="C308" s="11" t="str">
        <f>IMAGE("https://5.imimg.com/data5/RD/NQ/ZF/SELLER-67911650/safety-goggles.jpg")</f>
        <v/>
      </c>
      <c r="D308" s="216">
        <v>30.0</v>
      </c>
      <c r="E308" s="12"/>
    </row>
    <row r="309" ht="45.0" hidden="1" customHeight="1">
      <c r="A309" s="11">
        <v>312.0</v>
      </c>
      <c r="B309" s="93" t="s">
        <v>1509</v>
      </c>
      <c r="C309" s="11" t="str">
        <f>IMAGE("https://img2.exportersindia.com/product_images/bc-full/dir_151/4514764/dust-masks-1499837104-3125900.jpg",1)</f>
        <v/>
      </c>
      <c r="D309" s="216">
        <v>60.0</v>
      </c>
      <c r="E309" s="12"/>
    </row>
    <row r="310" ht="45.0" hidden="1" customHeight="1">
      <c r="A310" s="11">
        <v>313.0</v>
      </c>
      <c r="B310" s="93" t="s">
        <v>151</v>
      </c>
      <c r="C310" s="11" t="str">
        <f>IMAGE("https://m.media-amazon.com/images/I/51KO2QtXE8L._SL1000_.jpg", 1)</f>
        <v/>
      </c>
      <c r="D310" s="216">
        <v>2.0</v>
      </c>
      <c r="E310" s="12"/>
    </row>
    <row r="311" ht="45.0" hidden="1" customHeight="1">
      <c r="A311" s="11">
        <v>314.0</v>
      </c>
      <c r="B311" s="283" t="s">
        <v>2173</v>
      </c>
      <c r="C311" s="275"/>
      <c r="D311" s="285">
        <v>1.0</v>
      </c>
      <c r="E311" s="314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  <c r="AA311" s="276"/>
      <c r="AB311" s="276"/>
      <c r="AC311" s="276"/>
      <c r="AD311" s="276"/>
      <c r="AE311" s="276"/>
      <c r="AF311" s="276"/>
      <c r="AG311" s="276"/>
      <c r="AH311" s="276"/>
      <c r="AI311" s="276"/>
      <c r="AJ311" s="276"/>
      <c r="AK311" s="276"/>
    </row>
    <row r="312" ht="45.0" hidden="1" customHeight="1">
      <c r="A312" s="11">
        <v>315.0</v>
      </c>
      <c r="B312" s="288" t="s">
        <v>2175</v>
      </c>
      <c r="C312" s="275"/>
      <c r="D312" s="290">
        <v>1.0</v>
      </c>
      <c r="E312" s="314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  <c r="AA312" s="276"/>
      <c r="AB312" s="276"/>
      <c r="AC312" s="276"/>
      <c r="AD312" s="276"/>
      <c r="AE312" s="276"/>
      <c r="AF312" s="276"/>
      <c r="AG312" s="276"/>
      <c r="AH312" s="276"/>
      <c r="AI312" s="276"/>
      <c r="AJ312" s="276"/>
      <c r="AK312" s="276"/>
    </row>
    <row r="313" ht="45.0" hidden="1" customHeight="1">
      <c r="A313" s="11">
        <v>316.0</v>
      </c>
      <c r="B313" s="283" t="s">
        <v>2176</v>
      </c>
      <c r="C313" s="275"/>
      <c r="D313" s="285">
        <v>1.0</v>
      </c>
      <c r="E313" s="314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  <c r="AA313" s="276"/>
      <c r="AB313" s="276"/>
      <c r="AC313" s="276"/>
      <c r="AD313" s="276"/>
      <c r="AE313" s="276"/>
      <c r="AF313" s="276"/>
      <c r="AG313" s="276"/>
      <c r="AH313" s="276"/>
      <c r="AI313" s="276"/>
      <c r="AJ313" s="276"/>
      <c r="AK313" s="276"/>
    </row>
    <row r="314" ht="45.0" hidden="1" customHeight="1">
      <c r="A314" s="11">
        <v>317.0</v>
      </c>
      <c r="B314" s="288" t="s">
        <v>2177</v>
      </c>
      <c r="C314" s="275"/>
      <c r="D314" s="290">
        <v>1.0</v>
      </c>
      <c r="E314" s="314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  <c r="AA314" s="276"/>
      <c r="AB314" s="276"/>
      <c r="AC314" s="276"/>
      <c r="AD314" s="276"/>
      <c r="AE314" s="276"/>
      <c r="AF314" s="276"/>
      <c r="AG314" s="276"/>
      <c r="AH314" s="276"/>
      <c r="AI314" s="276"/>
      <c r="AJ314" s="276"/>
      <c r="AK314" s="276"/>
    </row>
    <row r="315" ht="45.0" hidden="1" customHeight="1">
      <c r="A315" s="11">
        <v>318.0</v>
      </c>
      <c r="B315" s="283" t="s">
        <v>2178</v>
      </c>
      <c r="C315" s="275"/>
      <c r="D315" s="285">
        <v>10.0</v>
      </c>
      <c r="E315" s="314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  <c r="AA315" s="276"/>
      <c r="AB315" s="276"/>
      <c r="AC315" s="276"/>
      <c r="AD315" s="276"/>
      <c r="AE315" s="276"/>
      <c r="AF315" s="276"/>
      <c r="AG315" s="276"/>
      <c r="AH315" s="276"/>
      <c r="AI315" s="276"/>
      <c r="AJ315" s="276"/>
      <c r="AK315" s="276"/>
    </row>
    <row r="316" ht="45.0" hidden="1" customHeight="1">
      <c r="A316" s="11">
        <v>319.0</v>
      </c>
      <c r="B316" s="288" t="s">
        <v>2179</v>
      </c>
      <c r="C316" s="275"/>
      <c r="D316" s="290">
        <v>2.0</v>
      </c>
      <c r="E316" s="314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  <c r="AA316" s="276"/>
      <c r="AB316" s="276"/>
      <c r="AC316" s="276"/>
      <c r="AD316" s="276"/>
      <c r="AE316" s="276"/>
      <c r="AF316" s="276"/>
      <c r="AG316" s="276"/>
      <c r="AH316" s="276"/>
      <c r="AI316" s="276"/>
      <c r="AJ316" s="276"/>
      <c r="AK316" s="276"/>
    </row>
    <row r="317" ht="45.0" hidden="1" customHeight="1">
      <c r="A317" s="11">
        <v>320.0</v>
      </c>
      <c r="B317" s="272" t="s">
        <v>2180</v>
      </c>
      <c r="C317" s="275"/>
      <c r="D317" s="274" t="s">
        <v>2181</v>
      </c>
      <c r="E317" s="314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  <c r="AA317" s="276"/>
      <c r="AB317" s="276"/>
      <c r="AC317" s="276"/>
      <c r="AD317" s="276"/>
      <c r="AE317" s="276"/>
      <c r="AF317" s="276"/>
      <c r="AG317" s="276"/>
      <c r="AH317" s="276"/>
      <c r="AI317" s="276"/>
      <c r="AJ317" s="276"/>
      <c r="AK317" s="276"/>
    </row>
    <row r="318" ht="45.0" hidden="1" customHeight="1">
      <c r="A318" s="11">
        <v>321.0</v>
      </c>
      <c r="B318" s="272" t="s">
        <v>2182</v>
      </c>
      <c r="C318" s="275"/>
      <c r="D318" s="274" t="s">
        <v>2183</v>
      </c>
      <c r="E318" s="314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  <c r="AA318" s="276"/>
      <c r="AB318" s="276"/>
      <c r="AC318" s="276"/>
      <c r="AD318" s="276"/>
      <c r="AE318" s="276"/>
      <c r="AF318" s="276"/>
      <c r="AG318" s="276"/>
      <c r="AH318" s="276"/>
      <c r="AI318" s="276"/>
      <c r="AJ318" s="276"/>
      <c r="AK318" s="276"/>
    </row>
    <row r="319" ht="45.0" hidden="1" customHeight="1">
      <c r="A319" s="11">
        <v>322.0</v>
      </c>
      <c r="B319" s="272" t="s">
        <v>2184</v>
      </c>
      <c r="C319" s="275"/>
      <c r="D319" s="285">
        <v>20.0</v>
      </c>
      <c r="E319" s="314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  <c r="AA319" s="276"/>
      <c r="AB319" s="276"/>
      <c r="AC319" s="276"/>
      <c r="AD319" s="276"/>
      <c r="AE319" s="276"/>
      <c r="AF319" s="276"/>
      <c r="AG319" s="276"/>
      <c r="AH319" s="276"/>
      <c r="AI319" s="276"/>
      <c r="AJ319" s="276"/>
      <c r="AK319" s="276"/>
    </row>
    <row r="320" ht="45.0" hidden="1" customHeight="1">
      <c r="A320" s="11">
        <v>323.0</v>
      </c>
      <c r="B320" s="292" t="s">
        <v>2186</v>
      </c>
      <c r="C320" s="275"/>
      <c r="D320" s="285">
        <v>2.0</v>
      </c>
      <c r="E320" s="314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  <c r="AA320" s="276"/>
      <c r="AB320" s="276"/>
      <c r="AC320" s="276"/>
      <c r="AD320" s="276"/>
      <c r="AE320" s="276"/>
      <c r="AF320" s="276"/>
      <c r="AG320" s="276"/>
      <c r="AH320" s="276"/>
      <c r="AI320" s="276"/>
      <c r="AJ320" s="276"/>
      <c r="AK320" s="276"/>
    </row>
    <row r="321" ht="45.0" hidden="1" customHeight="1">
      <c r="A321" s="11">
        <v>324.0</v>
      </c>
      <c r="B321" s="93" t="s">
        <v>1172</v>
      </c>
      <c r="C321" s="11" t="str">
        <f>IMAGE("https://www.sigmaaldrich.com/deepweb/content/dam/sigma-aldrich/product2/017/wha2200110.tif/_jcr_content/renditions/wha2200110-large.jpg", 1)</f>
        <v/>
      </c>
      <c r="D321" s="255">
        <v>1.0</v>
      </c>
      <c r="E321" s="12"/>
    </row>
    <row r="322" ht="45.0" hidden="1" customHeight="1">
      <c r="A322" s="11">
        <v>325.0</v>
      </c>
      <c r="B322" s="93" t="s">
        <v>1184</v>
      </c>
      <c r="C322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D322" s="11">
        <v>1.0</v>
      </c>
      <c r="E322" s="12"/>
    </row>
    <row r="323" ht="45.0" hidden="1" customHeight="1">
      <c r="A323" s="11">
        <v>326.0</v>
      </c>
      <c r="B323" s="93" t="s">
        <v>1188</v>
      </c>
      <c r="C323" s="11" t="str">
        <f>IMAGE("https://m.media-amazon.com/images/I/61ra1C535pL._SL1500_.jpg", 1)</f>
        <v/>
      </c>
      <c r="D323" s="216">
        <v>1.0</v>
      </c>
      <c r="E323" s="12"/>
    </row>
    <row r="324" ht="45.0" hidden="1" customHeight="1">
      <c r="A324" s="11">
        <v>327.0</v>
      </c>
      <c r="B324" s="93" t="s">
        <v>2110</v>
      </c>
      <c r="C324" s="11" t="str">
        <f>IMAGE("https://5.imimg.com/data5/SB/TW/SA/SELLER-91497159/glass-beaker-500x500.jpg",1)</f>
        <v/>
      </c>
      <c r="D324" s="216">
        <v>10.0</v>
      </c>
      <c r="E324" s="12"/>
    </row>
    <row r="325" ht="45.0" hidden="1" customHeight="1">
      <c r="A325" s="11">
        <v>328.0</v>
      </c>
      <c r="B325" s="93" t="s">
        <v>1160</v>
      </c>
      <c r="C325" s="11" t="str">
        <f>IMAGE("https://m.media-amazon.com/images/I/41vGxqzVasL.jpg",1)</f>
        <v/>
      </c>
      <c r="D325" s="11">
        <v>5.0</v>
      </c>
      <c r="E325" s="12"/>
    </row>
    <row r="326" ht="45.0" hidden="1" customHeight="1">
      <c r="A326" s="11">
        <v>329.0</v>
      </c>
      <c r="B326" s="93" t="s">
        <v>1164</v>
      </c>
      <c r="C326" s="11" t="str">
        <f>IMAGE("https://m.media-amazon.com/images/I/31b1KCUwqyL.jpg", 1)</f>
        <v/>
      </c>
      <c r="D326" s="216">
        <v>8.0</v>
      </c>
      <c r="E326" s="12"/>
    </row>
    <row r="327" ht="45.0" hidden="1" customHeight="1">
      <c r="A327" s="11">
        <v>330.0</v>
      </c>
      <c r="B327" s="93" t="s">
        <v>1176</v>
      </c>
      <c r="C327" s="11" t="str">
        <f>IMAGE("https://m.media-amazon.com/images/I/A1PFWcAysAL.jpg", 1)</f>
        <v/>
      </c>
      <c r="D327" s="216">
        <v>1.0</v>
      </c>
      <c r="E327" s="12"/>
    </row>
    <row r="328" ht="45.0" hidden="1" customHeight="1">
      <c r="A328" s="11">
        <v>331.0</v>
      </c>
      <c r="B328" s="93" t="s">
        <v>1205</v>
      </c>
      <c r="C328" s="11" t="str">
        <f>IMAGE("https://www.abdoslifesciences.com/wp-content/uploads/Abdos_Delhi2-107_P10911-to-P10918-2.png",1)</f>
        <v/>
      </c>
      <c r="D328" s="216">
        <v>30.0</v>
      </c>
      <c r="E328" s="12"/>
    </row>
    <row r="329" ht="45.0" hidden="1" customHeight="1">
      <c r="A329" s="11">
        <v>332.0</v>
      </c>
      <c r="B329" s="93" t="s">
        <v>1209</v>
      </c>
      <c r="C329" s="11" t="str">
        <f>IMAGE("https://pim-resources.coleparmer.com/product/l/dwk-life-sciences-kimble-dwk-kimble-babcock-pipettes-14663.jpg",1)</f>
        <v/>
      </c>
      <c r="D329" s="11">
        <v>2.0</v>
      </c>
      <c r="E329" s="12"/>
    </row>
    <row r="330" ht="45.0" hidden="1" customHeight="1">
      <c r="A330" s="11">
        <v>333.0</v>
      </c>
      <c r="B330" s="93" t="s">
        <v>1229</v>
      </c>
      <c r="C330" s="11" t="str">
        <f>IMAGE("https://m.media-amazon.com/images/I/51+vdFGMMML._SL1001_.jpg",1)</f>
        <v/>
      </c>
      <c r="D330" s="11">
        <v>1.0</v>
      </c>
      <c r="E330" s="12"/>
    </row>
    <row r="331" ht="45.0" hidden="1" customHeight="1">
      <c r="A331" s="11">
        <v>334.0</v>
      </c>
      <c r="B331" s="93" t="s">
        <v>1233</v>
      </c>
      <c r="C331" s="11" t="str">
        <f>IMAGE("https://5.imimg.com/data5/SELLER/Default/2022/10/RF/ME/PW/7444604/12x100mm-glass-test-tube-500x500.jpg", 1)</f>
        <v/>
      </c>
      <c r="D331" s="216">
        <v>10.0</v>
      </c>
      <c r="E331" s="12"/>
    </row>
    <row r="332" ht="45.0" hidden="1" customHeight="1">
      <c r="A332" s="11">
        <v>335.0</v>
      </c>
      <c r="B332" s="93" t="s">
        <v>1237</v>
      </c>
      <c r="C332" s="11" t="str">
        <f>IMAGE("https://www.abdoslifesciences.com/wp-content/uploads/p10.jpg", 1)</f>
        <v/>
      </c>
      <c r="D332" s="216">
        <v>2.0</v>
      </c>
      <c r="E332" s="12"/>
    </row>
    <row r="333" ht="45.0" hidden="1" customHeight="1">
      <c r="A333" s="11">
        <v>336.0</v>
      </c>
      <c r="B333" s="93" t="s">
        <v>1245</v>
      </c>
      <c r="C333" s="11" t="str">
        <f>IMAGE("https://m.media-amazon.com/images/I/31U00ndDv2L._SX679_.jpg",1)</f>
        <v/>
      </c>
      <c r="D333" s="11">
        <v>10.0</v>
      </c>
      <c r="E333" s="12"/>
    </row>
    <row r="334" ht="45.0" hidden="1" customHeight="1">
      <c r="A334" s="11">
        <v>337.0</v>
      </c>
      <c r="B334" s="93" t="s">
        <v>1168</v>
      </c>
      <c r="C334" s="11" t="str">
        <f>IMAGE("https://m.media-amazon.com/images/W/MEDIAX_792452-T2/images/I/71veIL4opPL.jpg",1)</f>
        <v/>
      </c>
      <c r="D334" s="11">
        <v>2.0</v>
      </c>
      <c r="E334" s="12"/>
    </row>
    <row r="335" ht="45.0" hidden="1" customHeight="1">
      <c r="A335" s="11">
        <v>338.0</v>
      </c>
      <c r="B335" s="93" t="s">
        <v>1213</v>
      </c>
      <c r="C335" s="11" t="str">
        <f>IMAGE("https://5.imimg.com/data5/QC/NX/MY-932240/clear-plastic-funnel-250x250.jpg", 1)</f>
        <v/>
      </c>
      <c r="D335" s="216">
        <v>10.0</v>
      </c>
      <c r="E335" s="12"/>
    </row>
    <row r="336" ht="45.0" hidden="1" customHeight="1">
      <c r="A336" s="11">
        <v>339.0</v>
      </c>
      <c r="B336" s="93" t="s">
        <v>1217</v>
      </c>
      <c r="C336" s="11" t="str">
        <f>IMAGE("https://www.reagecon.com/product/image/medium/6267270_1.jpg",1)</f>
        <v/>
      </c>
      <c r="D336" s="216">
        <v>10.0</v>
      </c>
      <c r="E336" s="12"/>
    </row>
    <row r="337" ht="45.0" hidden="1" customHeight="1">
      <c r="A337" s="11">
        <v>340.0</v>
      </c>
      <c r="B337" s="93" t="s">
        <v>1225</v>
      </c>
      <c r="C337" s="11" t="str">
        <f>IMAGE("https://5.imimg.com/data5/GX/OE/MY-972879/30ml-specimen-container-500x500.jpg", 1)</f>
        <v/>
      </c>
      <c r="D337" s="216">
        <v>100.0</v>
      </c>
      <c r="E337" s="12"/>
    </row>
    <row r="338" ht="45.0" hidden="1" customHeight="1">
      <c r="A338" s="11">
        <v>341.0</v>
      </c>
      <c r="B338" s="93" t="s">
        <v>1241</v>
      </c>
      <c r="C338" s="11" t="str">
        <f>IMAGE("https://www.abdoslifesciences.com/wp-content/uploads/Wash-Bottle-LDPE-day-20376.jpg", 1)</f>
        <v/>
      </c>
      <c r="D338" s="216">
        <v>2.0</v>
      </c>
      <c r="E338" s="12"/>
    </row>
    <row r="339" ht="45.0" hidden="1" customHeight="1">
      <c r="A339" s="11">
        <v>342.0</v>
      </c>
      <c r="B339" s="93" t="s">
        <v>1192</v>
      </c>
      <c r="C339" s="11" t="str">
        <f>IMAGE("https://5.imimg.com/data5/SI/VL/MY-6819814/multi-volume-adjustable-micropipette.jpg",1)</f>
        <v/>
      </c>
      <c r="D339" s="11">
        <v>1.0</v>
      </c>
      <c r="E339" s="12"/>
    </row>
    <row r="340" ht="45.0" hidden="1" customHeight="1">
      <c r="A340" s="11">
        <v>343.0</v>
      </c>
      <c r="B340" s="93" t="s">
        <v>1196</v>
      </c>
      <c r="C340" s="11" t="str">
        <f>IMAGE("https://5.imimg.com/data5/SELLER/Default/2021/7/IF/DT/PV/116258883/microscope-cover-glass-250x250.JPG",1)</f>
        <v/>
      </c>
      <c r="D340" s="216">
        <v>1.0</v>
      </c>
      <c r="E340" s="12"/>
    </row>
    <row r="341" ht="45.0" hidden="1" customHeight="1">
      <c r="A341" s="11">
        <v>344.0</v>
      </c>
      <c r="B341" s="93" t="s">
        <v>1201</v>
      </c>
      <c r="C341" s="11" t="str">
        <f>IMAGE("https://5.imimg.com/data5/AZ/OD/EC/SELLER-20177713/laboratory-slides-500x500.jpg",1)</f>
        <v/>
      </c>
      <c r="D341" s="216">
        <v>1.0</v>
      </c>
      <c r="E341" s="12"/>
    </row>
    <row r="342" ht="45.0" hidden="1" customHeight="1">
      <c r="A342" s="11">
        <v>345.0</v>
      </c>
      <c r="B342" s="93" t="s">
        <v>1180</v>
      </c>
      <c r="C342" s="11" t="str">
        <f>IMAGE("https://www.domo.in/image/cache/catalog/nHance/LNSS4201/Display-228x228.jpg")</f>
        <v/>
      </c>
      <c r="D342" s="216">
        <v>20.0</v>
      </c>
      <c r="E342" s="12"/>
    </row>
    <row r="343" ht="45.0" hidden="1" customHeight="1">
      <c r="A343" s="11">
        <v>346.0</v>
      </c>
      <c r="B343" s="260" t="s">
        <v>1999</v>
      </c>
      <c r="C343" s="11"/>
      <c r="D343" s="216">
        <v>4.0</v>
      </c>
      <c r="E343" s="12"/>
    </row>
    <row r="344" ht="45.0" hidden="1" customHeight="1">
      <c r="A344" s="11">
        <v>347.0</v>
      </c>
      <c r="B344" s="37" t="s">
        <v>1270</v>
      </c>
      <c r="C344" s="11" t="str">
        <f>IMAGE("https://m.media-amazon.com/images/I/61USTYJ+OPL._SL1500_.jpg",1)</f>
        <v/>
      </c>
      <c r="D344" s="11">
        <v>1.0</v>
      </c>
      <c r="E344" s="12"/>
    </row>
    <row r="345" ht="45.0" hidden="1" customHeight="1">
      <c r="A345" s="11">
        <v>348.0</v>
      </c>
      <c r="B345" s="93" t="s">
        <v>1302</v>
      </c>
      <c r="C345" s="11" t="str">
        <f>IMAGE("https://5.imimg.com/data5/XG/YW/VV/SELLER-219478/hot-plate-round-250x250.jpg",1)</f>
        <v/>
      </c>
      <c r="D345" s="216">
        <v>1.0</v>
      </c>
      <c r="E345" s="12"/>
    </row>
    <row r="346" ht="45.0" hidden="1" customHeight="1">
      <c r="A346" s="11">
        <v>349.0</v>
      </c>
      <c r="B346" s="93" t="s">
        <v>1285</v>
      </c>
      <c r="C346" s="11"/>
      <c r="D346" s="11">
        <v>1.0</v>
      </c>
      <c r="E346" s="12"/>
    </row>
    <row r="347" ht="45.0" hidden="1" customHeight="1">
      <c r="A347" s="11">
        <v>350.0</v>
      </c>
      <c r="B347" s="93" t="s">
        <v>1306</v>
      </c>
      <c r="C347" s="11" t="str">
        <f>IMAGE("https://image.made-in-china.com/202f0j00DeSTmvGBnZpR/Electronic-Weighing-Scale-Digital-Scale-of-High-Precision-HWA-.jpg",1)</f>
        <v/>
      </c>
      <c r="D347" s="216">
        <v>1.0</v>
      </c>
      <c r="E347" s="12"/>
    </row>
    <row r="348" ht="45.0" hidden="1" customHeight="1">
      <c r="A348" s="11">
        <v>351.0</v>
      </c>
      <c r="B348" s="93" t="s">
        <v>1310</v>
      </c>
      <c r="C348" s="11" t="str">
        <f>IMAGE("https://m.media-amazon.com/images/I/71-uBViGV+L._SX522_.jpg",1)</f>
        <v/>
      </c>
      <c r="D348" s="216">
        <v>1.0</v>
      </c>
      <c r="E348" s="12"/>
    </row>
    <row r="349" ht="45.0" hidden="1" customHeight="1">
      <c r="A349" s="11">
        <v>352.0</v>
      </c>
      <c r="B349" s="93" t="s">
        <v>1976</v>
      </c>
      <c r="C349" s="11" t="str">
        <f>IMAGE("https://m.media-amazon.com/images/I/71O3EMayekL.jpg",1)</f>
        <v/>
      </c>
      <c r="D349" s="216">
        <v>20.0</v>
      </c>
      <c r="E349" s="12"/>
    </row>
    <row r="350" ht="45.0" hidden="1" customHeight="1">
      <c r="A350" s="11">
        <v>353.0</v>
      </c>
      <c r="B350" s="93" t="s">
        <v>1314</v>
      </c>
      <c r="C350" s="11" t="str">
        <f>IMAGE("https://m.media-amazon.com/images/I/61MstERkLZL._SL1500_.jpg",1)</f>
        <v/>
      </c>
      <c r="D350" s="11">
        <v>1.0</v>
      </c>
      <c r="E350" s="12"/>
    </row>
    <row r="351" ht="45.0" hidden="1" customHeight="1">
      <c r="A351" s="11">
        <v>354.0</v>
      </c>
      <c r="B351" s="93" t="s">
        <v>1322</v>
      </c>
      <c r="C351" s="11" t="str">
        <f>IMAGE("https://m.media-amazon.com/images/I/61yYBr4qxBL._SL1276_.jpg",1)</f>
        <v/>
      </c>
      <c r="D351" s="216">
        <v>1.0</v>
      </c>
      <c r="E351" s="12"/>
    </row>
    <row r="352" ht="45.0" hidden="1" customHeight="1">
      <c r="A352" s="11">
        <v>355.0</v>
      </c>
      <c r="B352" s="288" t="s">
        <v>2188</v>
      </c>
      <c r="C352" s="275"/>
      <c r="D352" s="290">
        <v>2.0</v>
      </c>
      <c r="E352" s="314"/>
      <c r="F352" s="276"/>
      <c r="G352" s="276"/>
      <c r="H352" s="276"/>
      <c r="I352" s="276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  <c r="Y352" s="276"/>
      <c r="Z352" s="276"/>
      <c r="AA352" s="276"/>
      <c r="AB352" s="276"/>
      <c r="AC352" s="276"/>
      <c r="AD352" s="276"/>
      <c r="AE352" s="276"/>
      <c r="AF352" s="276"/>
      <c r="AG352" s="276"/>
      <c r="AH352" s="276"/>
      <c r="AI352" s="276"/>
      <c r="AJ352" s="276"/>
      <c r="AK352" s="276"/>
    </row>
    <row r="353" ht="45.0" hidden="1" customHeight="1">
      <c r="A353" s="11">
        <v>356.0</v>
      </c>
      <c r="B353" s="283" t="s">
        <v>2190</v>
      </c>
      <c r="C353" s="275"/>
      <c r="D353" s="285">
        <v>2.0</v>
      </c>
      <c r="E353" s="314"/>
      <c r="F353" s="276"/>
      <c r="G353" s="276"/>
      <c r="H353" s="276"/>
      <c r="I353" s="276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  <c r="Y353" s="276"/>
      <c r="Z353" s="276"/>
      <c r="AA353" s="276"/>
      <c r="AB353" s="276"/>
      <c r="AC353" s="276"/>
      <c r="AD353" s="276"/>
      <c r="AE353" s="276"/>
      <c r="AF353" s="276"/>
      <c r="AG353" s="276"/>
      <c r="AH353" s="276"/>
      <c r="AI353" s="276"/>
      <c r="AJ353" s="276"/>
      <c r="AK353" s="276"/>
    </row>
    <row r="354" ht="45.0" hidden="1" customHeight="1">
      <c r="A354" s="11">
        <v>357.0</v>
      </c>
      <c r="B354" s="296" t="s">
        <v>2191</v>
      </c>
      <c r="C354" s="275"/>
      <c r="D354" s="290">
        <v>1.0</v>
      </c>
      <c r="E354" s="314"/>
      <c r="F354" s="276"/>
      <c r="G354" s="276"/>
      <c r="H354" s="276"/>
      <c r="I354" s="276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  <c r="Y354" s="276"/>
      <c r="Z354" s="276"/>
      <c r="AA354" s="276"/>
      <c r="AB354" s="276"/>
      <c r="AC354" s="276"/>
      <c r="AD354" s="276"/>
      <c r="AE354" s="276"/>
      <c r="AF354" s="276"/>
      <c r="AG354" s="276"/>
      <c r="AH354" s="276"/>
      <c r="AI354" s="276"/>
      <c r="AJ354" s="276"/>
      <c r="AK354" s="276"/>
    </row>
    <row r="355" ht="45.0" hidden="1" customHeight="1">
      <c r="A355" s="11">
        <v>358.0</v>
      </c>
      <c r="B355" s="288" t="s">
        <v>2192</v>
      </c>
      <c r="C355" s="275"/>
      <c r="D355" s="290">
        <v>2.0</v>
      </c>
      <c r="E355" s="314"/>
      <c r="F355" s="276"/>
      <c r="G355" s="276"/>
      <c r="H355" s="276"/>
      <c r="I355" s="276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  <c r="Y355" s="276"/>
      <c r="Z355" s="276"/>
      <c r="AA355" s="276"/>
      <c r="AB355" s="276"/>
      <c r="AC355" s="276"/>
      <c r="AD355" s="276"/>
      <c r="AE355" s="276"/>
      <c r="AF355" s="276"/>
      <c r="AG355" s="276"/>
      <c r="AH355" s="276"/>
      <c r="AI355" s="276"/>
      <c r="AJ355" s="276"/>
      <c r="AK355" s="276"/>
    </row>
    <row r="356" ht="45.0" hidden="1" customHeight="1">
      <c r="A356" s="11">
        <v>359.0</v>
      </c>
      <c r="B356" s="283" t="s">
        <v>2194</v>
      </c>
      <c r="C356" s="275"/>
      <c r="D356" s="285">
        <v>2.0</v>
      </c>
      <c r="E356" s="314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  <c r="AA356" s="276"/>
      <c r="AB356" s="276"/>
      <c r="AC356" s="276"/>
      <c r="AD356" s="276"/>
      <c r="AE356" s="276"/>
      <c r="AF356" s="276"/>
      <c r="AG356" s="276"/>
      <c r="AH356" s="276"/>
      <c r="AI356" s="276"/>
      <c r="AJ356" s="276"/>
      <c r="AK356" s="276"/>
    </row>
    <row r="357" ht="45.0" hidden="1" customHeight="1">
      <c r="A357" s="11">
        <v>360.0</v>
      </c>
      <c r="B357" s="93" t="s">
        <v>345</v>
      </c>
      <c r="C357" s="11" t="str">
        <f>IMAGE("https://m.media-amazon.com/images/I/71NdWJD1LKL._SL1500_.jpg",1)</f>
        <v/>
      </c>
      <c r="D357" s="216">
        <v>2.0</v>
      </c>
      <c r="E357" s="12"/>
    </row>
    <row r="358" ht="45.0" hidden="1" customHeight="1">
      <c r="A358" s="11">
        <v>361.0</v>
      </c>
      <c r="B358" s="93" t="s">
        <v>351</v>
      </c>
      <c r="C358" s="11" t="str">
        <f>IMAGE("https://m.media-amazon.com/images/I/41GBeFsg3kL.jpg",1)</f>
        <v/>
      </c>
      <c r="D358" s="216">
        <v>2.0</v>
      </c>
      <c r="E358" s="12"/>
    </row>
    <row r="359" ht="45.0" hidden="1" customHeight="1">
      <c r="A359" s="11">
        <v>362.0</v>
      </c>
      <c r="B359" s="93" t="s">
        <v>356</v>
      </c>
      <c r="C359" s="11" t="str">
        <f>IMAGE("https://services.ibo.com/media/v1/products/images/db78032d-e5ba-4c4c-bc8f-110fa0021b77/stanley-sta7221xjin-16-pc-drilling-and-screwdriving-set-1.jpeg",1)</f>
        <v/>
      </c>
      <c r="D359" s="216">
        <v>1.0</v>
      </c>
      <c r="E359" s="12"/>
    </row>
    <row r="360" ht="45.0" hidden="1" customHeight="1">
      <c r="A360" s="11">
        <v>363.0</v>
      </c>
      <c r="B360" s="93" t="s">
        <v>360</v>
      </c>
      <c r="C360" s="11" t="str">
        <f>IMAGE("https://cdn.moglix.com/p/Rn8lZopeAizs5-xxlarge.jpg",1)</f>
        <v/>
      </c>
      <c r="D360" s="216">
        <v>1.0</v>
      </c>
      <c r="E360" s="12"/>
    </row>
    <row r="361" ht="45.0" hidden="1" customHeight="1">
      <c r="A361" s="11">
        <v>364.0</v>
      </c>
      <c r="B361" s="93" t="s">
        <v>364</v>
      </c>
      <c r="C361" s="11" t="str">
        <f>IMAGE("https://m.media-amazon.com/images/I/51wli9aWH9S._SL1000_.jpg",1)</f>
        <v/>
      </c>
      <c r="D361" s="216">
        <v>1.0</v>
      </c>
      <c r="E361" s="12"/>
    </row>
    <row r="362" ht="45.0" hidden="1" customHeight="1">
      <c r="A362" s="11">
        <v>365.0</v>
      </c>
      <c r="B362" s="93" t="s">
        <v>368</v>
      </c>
      <c r="C362" s="11" t="str">
        <f>IMAGE("https://res.cloudinary.com/rsc/image/upload/b_rgb:FFFFFF,c_pad,dpr_1.0,f_auto,q_auto,w_700/c_pad,w_700/C4847566-05",1)</f>
        <v/>
      </c>
      <c r="D362" s="216">
        <v>20.0</v>
      </c>
      <c r="E362" s="12"/>
    </row>
    <row r="363" ht="45.0" hidden="1" customHeight="1">
      <c r="A363" s="11">
        <v>366.0</v>
      </c>
      <c r="B363" s="93" t="s">
        <v>372</v>
      </c>
      <c r="C363" s="11" t="str">
        <f>IMAGE("https://5.imimg.com/data5/JR/LF/GK/SELLER-30390418/hacksaw-500x500.png",1)</f>
        <v/>
      </c>
      <c r="D363" s="216">
        <v>2.0</v>
      </c>
      <c r="E363" s="12"/>
    </row>
    <row r="364" ht="45.0" hidden="1" customHeight="1">
      <c r="A364" s="11">
        <v>367.0</v>
      </c>
      <c r="B364" s="93" t="s">
        <v>375</v>
      </c>
      <c r="C364" s="11" t="str">
        <f>IMAGE("https://encrypted-tbn0.gstatic.com/images?q=tbn:ANd9GcRnlFGDkPLnXJSjTXFe7fzQ2kj51brspxAcjVtkmgU5NgUWN5-EbmbNTptE-Y3t4g8lr84&amp;usqp=CAU",1)</f>
        <v/>
      </c>
      <c r="D364" s="216">
        <v>5.0</v>
      </c>
      <c r="E364" s="12"/>
    </row>
    <row r="365" ht="45.0" hidden="1" customHeight="1">
      <c r="A365" s="11">
        <v>368.0</v>
      </c>
      <c r="B365" s="93" t="s">
        <v>379</v>
      </c>
      <c r="C365" s="11" t="str">
        <f>IMAGE("https://www.stanleytools.me/EMEA/PRODUCT/IMAGES/HIRES/STHT0-10194/STHT0-10194_1.jpg?resize=530x530",1)</f>
        <v/>
      </c>
      <c r="D365" s="216">
        <v>2.0</v>
      </c>
      <c r="E365" s="12"/>
    </row>
    <row r="366" ht="45.0" hidden="1" customHeight="1">
      <c r="A366" s="11">
        <v>369.0</v>
      </c>
      <c r="B366" s="93" t="s">
        <v>382</v>
      </c>
      <c r="C366" s="11" t="str">
        <f>IMAGE("https://sc04.alicdn.com/kf/HTB1fK8lXPvuK1Rjy0Faq6x2aVXa5.jpg",1)</f>
        <v/>
      </c>
      <c r="D366" s="216">
        <v>10.0</v>
      </c>
      <c r="E366" s="12"/>
    </row>
    <row r="367" ht="45.0" hidden="1" customHeight="1">
      <c r="A367" s="11">
        <v>370.0</v>
      </c>
      <c r="B367" s="93" t="s">
        <v>1926</v>
      </c>
      <c r="C367" s="11" t="str">
        <f>IMAGE("https://asia.blackanddecker.global/ASIA/PRODUCT/IMAGES/HIRES/RT18KA-B1/RT18KA_1.jpg?resize=530x530", 1)</f>
        <v/>
      </c>
      <c r="D367" s="11">
        <v>1.0</v>
      </c>
      <c r="E367" s="12"/>
    </row>
    <row r="368" ht="45.0" hidden="1" customHeight="1">
      <c r="A368" s="11">
        <v>371.0</v>
      </c>
      <c r="B368" s="93" t="s">
        <v>1927</v>
      </c>
      <c r="C368" s="11" t="str">
        <f>IMAGE("https://m.media-amazon.com/images/I/518vUksgebL._SL1100_.jpg",1)</f>
        <v/>
      </c>
      <c r="D368" s="216">
        <v>5.0</v>
      </c>
      <c r="E368" s="12"/>
    </row>
    <row r="369" ht="45.0" hidden="1" customHeight="1">
      <c r="A369" s="11">
        <v>372.0</v>
      </c>
      <c r="B369" s="93" t="s">
        <v>1928</v>
      </c>
      <c r="C369" s="11" t="str">
        <f>IMAGE("https://rukminim1.flixcart.com/image/416/416/jidg9zk0/art-craft-kit/f/g/a/9mm-snap-off-precision-blades-30-degree-blades-100-blade-pack-1-original-imaf66g6ahvgzem3.jpeg?q=70",1)</f>
        <v/>
      </c>
      <c r="D369" s="216">
        <v>5.0</v>
      </c>
      <c r="E369" s="12"/>
    </row>
    <row r="370" ht="45.0" hidden="1" customHeight="1">
      <c r="A370" s="11">
        <v>373.0</v>
      </c>
      <c r="B370" s="93" t="s">
        <v>1929</v>
      </c>
      <c r="C370" s="11" t="str">
        <f>IMAGE("https://m.media-amazon.com/images/I/31u15vg7r0L._SX342_.jpg",1)</f>
        <v/>
      </c>
      <c r="D370" s="216">
        <v>5.0</v>
      </c>
      <c r="E370" s="12"/>
    </row>
    <row r="371" ht="45.0" hidden="1" customHeight="1">
      <c r="A371" s="11">
        <v>374.0</v>
      </c>
      <c r="B371" s="93" t="s">
        <v>1930</v>
      </c>
      <c r="C371" s="11" t="str">
        <f>IMAGE("https://hydetools.com/wp-content/uploads/2019/09/42046b.jpg",1)</f>
        <v/>
      </c>
      <c r="D371" s="216">
        <v>10.0</v>
      </c>
      <c r="E371" s="12"/>
    </row>
    <row r="372" ht="45.0" hidden="1" customHeight="1">
      <c r="A372" s="11">
        <v>375.0</v>
      </c>
      <c r="B372" s="93" t="s">
        <v>405</v>
      </c>
      <c r="C372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D372" s="216">
        <v>10.0</v>
      </c>
      <c r="E372" s="12"/>
    </row>
    <row r="373" ht="45.0" hidden="1" customHeight="1">
      <c r="A373" s="11">
        <v>376.0</v>
      </c>
      <c r="B373" s="93" t="s">
        <v>408</v>
      </c>
      <c r="C373" s="11" t="str">
        <f>IMAGE("https://cdn-reichelt.de/bilder/web/xxl_ws/I210/LEITZ_54166095.png",1)</f>
        <v/>
      </c>
      <c r="D373" s="216">
        <v>10.0</v>
      </c>
      <c r="E373" s="12"/>
    </row>
    <row r="374" ht="45.0" hidden="1" customHeight="1">
      <c r="A374" s="11">
        <v>377.0</v>
      </c>
      <c r="B374" s="93" t="s">
        <v>1023</v>
      </c>
      <c r="C374" s="11" t="str">
        <f>IMAGE("https://www.shaanstationery.com/image/cache/catalog/kangaro/kangaro-stapler-no-10-corner-view-1000x1000.jpg",1)</f>
        <v/>
      </c>
      <c r="D374" s="216">
        <v>10.0</v>
      </c>
      <c r="E374" s="12"/>
    </row>
    <row r="375" ht="45.0" hidden="1" customHeight="1">
      <c r="A375" s="11">
        <v>378.0</v>
      </c>
      <c r="B375" s="93" t="s">
        <v>1027</v>
      </c>
      <c r="C375" s="11" t="str">
        <f>IMAGE("https://sc04.alicdn.com/kf/HTB1f9mqOZbpK1RjSZFyq6x_qFXaz.jpg",1)</f>
        <v/>
      </c>
      <c r="D375" s="216">
        <v>10.0</v>
      </c>
      <c r="E375" s="12"/>
    </row>
    <row r="376" ht="45.0" hidden="1" customHeight="1">
      <c r="A376" s="11">
        <v>379.0</v>
      </c>
      <c r="B376" s="93" t="s">
        <v>1078</v>
      </c>
      <c r="C376" s="11" t="str">
        <f>IMAGE("https://m.media-amazon.com/images/I/51OTKanSUXL._SL1024_.jpg",1)</f>
        <v/>
      </c>
      <c r="D376" s="216">
        <v>50.0</v>
      </c>
      <c r="E376" s="12"/>
    </row>
    <row r="377" ht="45.0" hidden="1" customHeight="1">
      <c r="A377" s="11">
        <v>380.0</v>
      </c>
      <c r="B377" s="93" t="s">
        <v>1128</v>
      </c>
      <c r="C377" s="11" t="str">
        <f>IMAGE("https://cdn.bmstores.co.uk/images/hpcProductImage/imgFull/369783-stanley-sealant-gun-diy.jpg",1)</f>
        <v/>
      </c>
      <c r="D377" s="216">
        <v>1.0</v>
      </c>
      <c r="E377" s="12"/>
    </row>
    <row r="378" ht="45.0" hidden="1" customHeight="1">
      <c r="A378" s="11">
        <v>381.0</v>
      </c>
      <c r="B378" s="93" t="s">
        <v>1132</v>
      </c>
      <c r="C378" s="11" t="str">
        <f>IMAGE("https://5.imimg.com/data5/SELLER/Default/2020/12/RU/ZP/SZ/45671901/alstone-silicone-sealant-500x500.jpeg",1)</f>
        <v/>
      </c>
      <c r="D378" s="216">
        <v>1.0</v>
      </c>
      <c r="E378" s="12"/>
    </row>
    <row r="379" ht="45.0" hidden="1" customHeight="1">
      <c r="A379" s="11">
        <v>382.0</v>
      </c>
      <c r="B379" s="93" t="s">
        <v>1031</v>
      </c>
      <c r="C379" s="11" t="str">
        <f>IMAGE("https://m.media-amazon.com/images/I/61+L7sYwiBL._SL1500_.jpg",1)</f>
        <v/>
      </c>
      <c r="D379" s="11">
        <v>1.0</v>
      </c>
      <c r="E379" s="12"/>
    </row>
    <row r="380" ht="45.0" hidden="1" customHeight="1">
      <c r="A380" s="11">
        <v>383.0</v>
      </c>
      <c r="B380" s="93" t="s">
        <v>1036</v>
      </c>
      <c r="C380" s="11" t="e">
        <v>#VALUE!</v>
      </c>
      <c r="D380" s="216">
        <v>2.0</v>
      </c>
      <c r="E380" s="12"/>
    </row>
    <row r="381" ht="45.0" hidden="1" customHeight="1">
      <c r="A381" s="11">
        <v>384.0</v>
      </c>
      <c r="B381" s="93" t="s">
        <v>1039</v>
      </c>
      <c r="C381" s="11" t="str">
        <f>IMAGE("https://m.media-amazon.com/images/I/71qyUXJ5i6L._AC_UF1000,1000_QL80_.jpg",1)</f>
        <v/>
      </c>
      <c r="D381" s="216">
        <v>1.0</v>
      </c>
      <c r="E381" s="12"/>
    </row>
    <row r="382" ht="45.0" hidden="1" customHeight="1">
      <c r="A382" s="11">
        <v>385.0</v>
      </c>
      <c r="B382" s="93" t="s">
        <v>1043</v>
      </c>
      <c r="C382" s="11" t="str">
        <f>IMAGE("https://5.imimg.com/data5/TS/AU/MY-11200044/steel-shaft-claw-hammer-500x500.jpg",1)</f>
        <v/>
      </c>
      <c r="D382" s="216">
        <v>1.0</v>
      </c>
      <c r="E382" s="12"/>
    </row>
    <row r="383" ht="45.0" hidden="1" customHeight="1">
      <c r="A383" s="11">
        <v>386.0</v>
      </c>
      <c r="B383" s="93" t="s">
        <v>1047</v>
      </c>
      <c r="C383" s="11" t="str">
        <f>IMAGE("https://5.imimg.com/data5/GU/RT/MY-2970994/bench-clamp.jpg",1)</f>
        <v/>
      </c>
      <c r="D383" s="216">
        <v>1.0</v>
      </c>
      <c r="E383" s="12"/>
    </row>
    <row r="384" ht="45.0" hidden="1" customHeight="1">
      <c r="A384" s="11">
        <v>387.0</v>
      </c>
      <c r="B384" s="93" t="s">
        <v>1051</v>
      </c>
      <c r="C384" s="11" t="str">
        <f>IMAGE("https://images.jdmagicbox.com/quickquotes/images_main/plier-381885296-5n4zf.jpg",1)</f>
        <v/>
      </c>
      <c r="D384" s="216">
        <v>1.0</v>
      </c>
      <c r="E384" s="12"/>
    </row>
    <row r="385" ht="45.0" hidden="1" customHeight="1">
      <c r="A385" s="11">
        <v>388.0</v>
      </c>
      <c r="B385" s="93" t="s">
        <v>1055</v>
      </c>
      <c r="C385" s="11" t="str">
        <f>IMAGE("https://m.media-amazon.com/images/I/613WSFIoSjL._SL1500_.jpg",1)</f>
        <v/>
      </c>
      <c r="D385" s="216">
        <v>1.0</v>
      </c>
      <c r="E385" s="12"/>
    </row>
    <row r="386" ht="45.0" hidden="1" customHeight="1">
      <c r="A386" s="11">
        <v>389.0</v>
      </c>
      <c r="B386" s="93" t="s">
        <v>1059</v>
      </c>
      <c r="C386" s="11" t="str">
        <f>IMAGE("https://in.misumi-ec.com/linked/material/fs/FUJ1/PHOTO/223000817171_001.jpg?$product_main$",1)</f>
        <v/>
      </c>
      <c r="D386" s="216">
        <v>1.0</v>
      </c>
      <c r="E386" s="12"/>
    </row>
    <row r="387" ht="45.0" hidden="1" customHeight="1">
      <c r="A387" s="11">
        <v>390.0</v>
      </c>
      <c r="B387" s="93" t="s">
        <v>1063</v>
      </c>
      <c r="C387" s="11" t="str">
        <f>IMAGE("https://i.ebayimg.com/images/g/QLMAAOSwETxj4~0j/s-l1600.jpg",1)</f>
        <v/>
      </c>
      <c r="D387" s="216">
        <v>2.0</v>
      </c>
      <c r="E387" s="12"/>
    </row>
    <row r="388" ht="45.0" hidden="1" customHeight="1">
      <c r="A388" s="11">
        <v>391.0</v>
      </c>
      <c r="B388" s="93" t="s">
        <v>1067</v>
      </c>
      <c r="C388" s="11" t="str">
        <f>IMAGE("https://res.cloudinary.com/rsc/image/upload/b_rgb:FFFFFF,c_pad,dpr_1.0,f_auto,q_auto,w_700/c_pad,w_700/C1985249-01",1)</f>
        <v/>
      </c>
      <c r="D388" s="216">
        <v>1.0</v>
      </c>
      <c r="E388" s="12"/>
    </row>
    <row r="389" ht="45.0" hidden="1" customHeight="1">
      <c r="A389" s="11">
        <v>392.0</v>
      </c>
      <c r="B389" s="93" t="s">
        <v>1071</v>
      </c>
      <c r="C389" s="11" t="str">
        <f>IMAGE("https://cdn.shopify.com/s/files/1/0064/3412/7939/products/71vpWrfPgFL._SL1000_9c7ae600-0e17-44f0-97b0-7a8fa32a55cc_2048x.jpg?v=1540199513",1)</f>
        <v/>
      </c>
      <c r="D389" s="216">
        <v>10.0</v>
      </c>
      <c r="E389" s="25"/>
      <c r="F389" s="298"/>
    </row>
    <row r="390" ht="45.0" hidden="1" customHeight="1">
      <c r="A390" s="11">
        <v>393.0</v>
      </c>
      <c r="B390" s="93" t="s">
        <v>1075</v>
      </c>
      <c r="C390" s="11" t="str">
        <f>IMAGE("https://cdn.shopify.com/s/files/1/0088/0056/7392/products/71GahpQFYhL._SL1500_1024x.jpg?v=1634034762",1)</f>
        <v/>
      </c>
      <c r="D390" s="216">
        <v>4.0</v>
      </c>
      <c r="E390" s="25"/>
      <c r="F390" s="298"/>
    </row>
    <row r="391" ht="45.0" customHeight="1">
      <c r="A391" s="11">
        <v>394.0</v>
      </c>
      <c r="B391" s="93" t="s">
        <v>1082</v>
      </c>
      <c r="C391" s="12" t="str">
        <f>IMAGE("https://m.media-amazon.com/images/I/41XSpNsGoiL._SL1024_.jpg",1)</f>
        <v/>
      </c>
      <c r="D391" s="216">
        <v>1.0</v>
      </c>
      <c r="E391" s="301"/>
      <c r="F391" s="301"/>
      <c r="G391" s="301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  <c r="AB391" s="301"/>
      <c r="AC391" s="301"/>
      <c r="AD391" s="301"/>
      <c r="AE391" s="301"/>
      <c r="AF391" s="301"/>
      <c r="AG391" s="301"/>
      <c r="AH391" s="301"/>
      <c r="AI391" s="301"/>
      <c r="AJ391" s="301"/>
      <c r="AK391" s="301"/>
    </row>
    <row r="392" ht="45.0" customHeight="1">
      <c r="A392" s="11">
        <v>395.0</v>
      </c>
      <c r="B392" s="93" t="s">
        <v>1094</v>
      </c>
      <c r="C392" s="12" t="str">
        <f>IMAGE("https://m.media-amazon.com/images/I/41pgJCdOd0L._AC_SX522_.jpg", 1)</f>
        <v/>
      </c>
      <c r="D392" s="216">
        <v>2.0</v>
      </c>
      <c r="E392" s="301"/>
      <c r="F392" s="301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  <c r="AB392" s="301"/>
      <c r="AC392" s="301"/>
      <c r="AD392" s="301"/>
      <c r="AE392" s="301"/>
      <c r="AF392" s="301"/>
      <c r="AG392" s="301"/>
      <c r="AH392" s="301"/>
      <c r="AI392" s="301"/>
      <c r="AJ392" s="301"/>
      <c r="AK392" s="301"/>
    </row>
    <row r="393" ht="45.0" customHeight="1">
      <c r="A393" s="11">
        <v>396.0</v>
      </c>
      <c r="B393" s="93" t="s">
        <v>1098</v>
      </c>
      <c r="C393" s="12" t="str">
        <f>IMAGE("https://5.imimg.com/data5/UF/DF/MY-45635244/sand-paper-500x500.jpg",1)</f>
        <v/>
      </c>
      <c r="D393" s="216">
        <v>25.0</v>
      </c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  <c r="AB393" s="301"/>
      <c r="AC393" s="301"/>
      <c r="AD393" s="301"/>
      <c r="AE393" s="301"/>
      <c r="AF393" s="301"/>
      <c r="AG393" s="301"/>
      <c r="AH393" s="301"/>
      <c r="AI393" s="301"/>
      <c r="AJ393" s="301"/>
      <c r="AK393" s="301"/>
    </row>
    <row r="394" ht="45.0" customHeight="1">
      <c r="A394" s="11">
        <v>397.0</v>
      </c>
      <c r="B394" s="93" t="s">
        <v>1101</v>
      </c>
      <c r="C394" s="89" t="e">
        <v>#VALUE!</v>
      </c>
      <c r="D394" s="281">
        <v>2.0</v>
      </c>
      <c r="E394" s="301"/>
      <c r="F394" s="301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  <c r="AC394" s="301"/>
      <c r="AD394" s="301"/>
      <c r="AE394" s="301"/>
      <c r="AF394" s="301"/>
      <c r="AG394" s="301"/>
      <c r="AH394" s="301"/>
      <c r="AI394" s="301"/>
      <c r="AJ394" s="301"/>
      <c r="AK394" s="301"/>
    </row>
    <row r="395" ht="45.0" customHeight="1">
      <c r="A395" s="11">
        <v>398.0</v>
      </c>
      <c r="B395" s="93" t="s">
        <v>1104</v>
      </c>
      <c r="C395" s="89" t="e">
        <v>#VALUE!</v>
      </c>
      <c r="D395" s="281">
        <v>2.0</v>
      </c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  <c r="AD395" s="301"/>
      <c r="AE395" s="301"/>
      <c r="AF395" s="301"/>
      <c r="AG395" s="301"/>
      <c r="AH395" s="301"/>
      <c r="AI395" s="301"/>
      <c r="AJ395" s="301"/>
      <c r="AK395" s="301"/>
    </row>
    <row r="396" ht="45.0" customHeight="1">
      <c r="A396" s="11">
        <v>399.0</v>
      </c>
      <c r="B396" s="107" t="s">
        <v>1107</v>
      </c>
      <c r="C396" s="89" t="e">
        <v>#VALUE!</v>
      </c>
      <c r="D396" s="281">
        <v>2.0</v>
      </c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  <c r="AD396" s="301"/>
      <c r="AE396" s="301"/>
      <c r="AF396" s="301"/>
      <c r="AG396" s="301"/>
      <c r="AH396" s="301"/>
      <c r="AI396" s="301"/>
      <c r="AJ396" s="301"/>
      <c r="AK396" s="301"/>
    </row>
    <row r="397" ht="45.0" customHeight="1">
      <c r="A397" s="11">
        <v>400.0</v>
      </c>
      <c r="B397" s="107" t="s">
        <v>1110</v>
      </c>
      <c r="C397" s="262" t="e">
        <v>#VALUE!</v>
      </c>
      <c r="D397" s="281">
        <v>2.0</v>
      </c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  <c r="AD397" s="301"/>
      <c r="AE397" s="301"/>
      <c r="AF397" s="301"/>
      <c r="AG397" s="301"/>
      <c r="AH397" s="301"/>
      <c r="AI397" s="301"/>
      <c r="AJ397" s="301"/>
      <c r="AK397" s="301"/>
    </row>
    <row r="398" ht="45.0" customHeight="1">
      <c r="A398" s="11">
        <v>401.0</v>
      </c>
      <c r="B398" s="93" t="s">
        <v>1114</v>
      </c>
      <c r="C398" s="262" t="e">
        <v>#VALUE!</v>
      </c>
      <c r="D398" s="281">
        <v>1.0</v>
      </c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  <c r="AD398" s="301"/>
      <c r="AE398" s="301"/>
      <c r="AF398" s="301"/>
      <c r="AG398" s="301"/>
      <c r="AH398" s="301"/>
      <c r="AI398" s="301"/>
      <c r="AJ398" s="301"/>
      <c r="AK398" s="301"/>
    </row>
    <row r="399" ht="45.0" customHeight="1">
      <c r="A399" s="11">
        <v>402.0</v>
      </c>
      <c r="B399" s="93" t="s">
        <v>1117</v>
      </c>
      <c r="C399" s="262" t="e">
        <v>#VALUE!</v>
      </c>
      <c r="D399" s="281">
        <v>1.0</v>
      </c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  <c r="AD399" s="301"/>
      <c r="AE399" s="301"/>
      <c r="AF399" s="301"/>
      <c r="AG399" s="301"/>
      <c r="AH399" s="301"/>
      <c r="AI399" s="301"/>
      <c r="AJ399" s="301"/>
      <c r="AK399" s="301"/>
    </row>
    <row r="400" ht="45.0" customHeight="1">
      <c r="A400" s="11">
        <v>403.0</v>
      </c>
      <c r="B400" s="93" t="s">
        <v>1121</v>
      </c>
      <c r="C400" s="12" t="str">
        <f>IMAGE("https://5.imimg.com/data5/DH/NE/PV/SELLER-4135781/6-pc-precision-screwdriver-set-500x500.jpg",1)</f>
        <v/>
      </c>
      <c r="D400" s="216">
        <v>1.0</v>
      </c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  <c r="AD400" s="301"/>
      <c r="AE400" s="301"/>
      <c r="AF400" s="301"/>
      <c r="AG400" s="301"/>
      <c r="AH400" s="301"/>
      <c r="AI400" s="301"/>
      <c r="AJ400" s="301"/>
      <c r="AK400" s="301"/>
    </row>
    <row r="401" ht="45.0" customHeight="1">
      <c r="A401" s="11">
        <v>404.0</v>
      </c>
      <c r="B401" s="93" t="s">
        <v>1136</v>
      </c>
      <c r="C401" s="12" t="str">
        <f>IMAGE("https://ravimachines.com/wp-content/uploads/2016/07/full_13.jpg",1)</f>
        <v/>
      </c>
      <c r="D401" s="216">
        <v>1.0</v>
      </c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  <c r="AD401" s="301"/>
      <c r="AE401" s="301"/>
      <c r="AF401" s="301"/>
      <c r="AG401" s="301"/>
      <c r="AH401" s="301"/>
      <c r="AI401" s="301"/>
      <c r="AJ401" s="301"/>
      <c r="AK401" s="301"/>
    </row>
    <row r="402" ht="45.0" customHeight="1">
      <c r="A402" s="11">
        <v>405.0</v>
      </c>
      <c r="B402" s="217" t="s">
        <v>1140</v>
      </c>
      <c r="C402" s="12" t="str">
        <f>IMAGE("https://m.media-amazon.com/images/I/61O+7azby+L.jpg",1)</f>
        <v/>
      </c>
      <c r="D402" s="11">
        <v>10.0</v>
      </c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  <c r="AD402" s="301"/>
      <c r="AE402" s="301"/>
      <c r="AF402" s="301"/>
      <c r="AG402" s="301"/>
      <c r="AH402" s="301"/>
      <c r="AI402" s="301"/>
      <c r="AJ402" s="301"/>
      <c r="AK402" s="301"/>
    </row>
    <row r="403" ht="45.0" customHeight="1">
      <c r="A403" s="11">
        <v>406.0</v>
      </c>
      <c r="B403" s="93" t="s">
        <v>1144</v>
      </c>
      <c r="C403" s="12" t="str">
        <f>IMAGE("https://5.imimg.com/data5/SELLER/Default/2021/4/UH/ZY/EE/41301440/machine.jpeg",1)</f>
        <v/>
      </c>
      <c r="D403" s="216">
        <v>1.0</v>
      </c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  <c r="AD403" s="301"/>
      <c r="AE403" s="301"/>
      <c r="AF403" s="301"/>
      <c r="AG403" s="301"/>
      <c r="AH403" s="301"/>
      <c r="AI403" s="301"/>
      <c r="AJ403" s="301"/>
      <c r="AK403" s="301"/>
    </row>
    <row r="404" ht="45.0" customHeight="1">
      <c r="A404" s="11">
        <v>407.0</v>
      </c>
      <c r="B404" s="93" t="s">
        <v>1148</v>
      </c>
      <c r="C404" s="12"/>
      <c r="D404" s="216">
        <v>2.0</v>
      </c>
      <c r="E404" s="12"/>
    </row>
    <row r="405" ht="45.0" customHeight="1">
      <c r="A405" s="11">
        <v>408.0</v>
      </c>
      <c r="B405" s="93" t="s">
        <v>1151</v>
      </c>
      <c r="C405" s="12" t="str">
        <f>IMAGE("https://5.imimg.com/data5/SELLER/Default/2020/10/KC/AV/BY/25174136/150b-cutter-stripper-250x250.jpg",1)</f>
        <v/>
      </c>
      <c r="D405" s="216">
        <v>10.0</v>
      </c>
      <c r="E405" s="12"/>
    </row>
    <row r="406" ht="45.0" customHeight="1">
      <c r="A406" s="11">
        <v>409.0</v>
      </c>
      <c r="B406" s="93" t="s">
        <v>1086</v>
      </c>
      <c r="C406" s="12" t="str">
        <f>IMAGE("https://m.media-amazon.com/images/I/513ZkVzGbdL._AC_.jpg", 1)</f>
        <v/>
      </c>
      <c r="D406" s="216">
        <v>2.0</v>
      </c>
      <c r="E406" s="12"/>
    </row>
    <row r="407" ht="45.0" customHeight="1">
      <c r="A407" s="11">
        <v>410.0</v>
      </c>
      <c r="B407" s="93" t="s">
        <v>1090</v>
      </c>
      <c r="C407" s="12" t="str">
        <f>IMAGE("https://m.media-amazon.com/images/I/41V47za3aNL.jpg",1)</f>
        <v/>
      </c>
      <c r="D407" s="216">
        <v>2.0</v>
      </c>
      <c r="E407" s="12"/>
    </row>
    <row r="408" ht="45.0" customHeight="1">
      <c r="A408" s="11">
        <v>411.0</v>
      </c>
      <c r="B408" s="93" t="s">
        <v>1325</v>
      </c>
      <c r="C408" s="12" t="e">
        <v>#VALUE!</v>
      </c>
      <c r="D408" s="216">
        <v>1.0</v>
      </c>
      <c r="E408" s="12"/>
    </row>
    <row r="409" ht="45.0" customHeight="1">
      <c r="A409" s="11">
        <v>412.0</v>
      </c>
      <c r="B409" s="93" t="s">
        <v>1350</v>
      </c>
      <c r="C409" s="12" t="str">
        <f>IMAGE("https://5.imimg.com/data5/SELLER/Default/2023/1/CR/QN/CU/119456209/b22-cap-punching-tool-1000x1000.jpg",1)</f>
        <v/>
      </c>
      <c r="D409" s="11">
        <v>1.0</v>
      </c>
      <c r="E409" s="12"/>
    </row>
    <row r="410" ht="45.0" customHeight="1">
      <c r="A410" s="11">
        <v>413.0</v>
      </c>
      <c r="B410" s="93" t="s">
        <v>1354</v>
      </c>
      <c r="C410" s="12" t="str">
        <f>IMAGE("https://m.media-amazon.com/images/I/31xTdt3sfiL.jpg",1)</f>
        <v/>
      </c>
      <c r="D410" s="11">
        <v>1.0</v>
      </c>
      <c r="E410" s="12"/>
    </row>
    <row r="411" ht="45.0" customHeight="1">
      <c r="A411" s="11">
        <v>414.0</v>
      </c>
      <c r="B411" s="93" t="s">
        <v>1399</v>
      </c>
      <c r="C411" s="12" t="str">
        <f>IMAGE("https://m.media-amazon.com/images/I/41giw5t2ycL.jpg",1)</f>
        <v/>
      </c>
      <c r="D411" s="11">
        <v>1.0</v>
      </c>
      <c r="E411" s="12"/>
    </row>
    <row r="412" ht="45.0" customHeight="1">
      <c r="A412" s="11">
        <v>415.0</v>
      </c>
      <c r="B412" s="93" t="s">
        <v>1404</v>
      </c>
      <c r="C412" s="12" t="str">
        <f>IMAGE("https://m.media-amazon.com/images/I/71vAZkeQh9L._SL1500_.jpg",1)</f>
        <v/>
      </c>
      <c r="D412" s="11">
        <v>1.0</v>
      </c>
      <c r="E412" s="12"/>
    </row>
    <row r="413" ht="45.0" customHeight="1">
      <c r="A413" s="11">
        <v>416.0</v>
      </c>
      <c r="B413" s="93" t="s">
        <v>1412</v>
      </c>
      <c r="C413" s="12" t="str">
        <f>IMAGE("https://m.media-amazon.com/images/I/61saUYFEn9L._SL1500_.jpg",1)</f>
        <v/>
      </c>
      <c r="D413" s="11">
        <v>5.0</v>
      </c>
      <c r="E413" s="12"/>
    </row>
    <row r="414" ht="45.0" customHeight="1">
      <c r="A414" s="11">
        <v>417.0</v>
      </c>
      <c r="B414" s="93" t="s">
        <v>1416</v>
      </c>
      <c r="C414" s="12" t="str">
        <f>IMAGE("https://m.media-amazon.com/images/I/61zRix8Lt0L._SL1500_.jpg",1)</f>
        <v/>
      </c>
      <c r="D414" s="11">
        <v>1.0</v>
      </c>
      <c r="E414" s="12"/>
    </row>
    <row r="415" ht="45.0" customHeight="1">
      <c r="A415" s="11">
        <v>418.0</v>
      </c>
      <c r="B415" s="93" t="s">
        <v>1611</v>
      </c>
      <c r="C415" s="12" t="str">
        <f>IMAGE("https://delhi6online.in/cdn/shop/products/S1_800x.jpg?v=1545883083.jpg",1)</f>
        <v/>
      </c>
      <c r="D415" s="11">
        <v>5.0</v>
      </c>
      <c r="E415" s="12"/>
    </row>
    <row r="416" ht="45.0" customHeight="1">
      <c r="A416" s="11">
        <v>419.0</v>
      </c>
      <c r="B416" s="93" t="s">
        <v>1615</v>
      </c>
      <c r="C416" s="12" t="str">
        <f>IMAGE("https://4.imimg.com/data4/JF/WX/MY-2704359/thread-cutter-1000x1000.jpg",1)</f>
        <v/>
      </c>
      <c r="D416" s="11">
        <v>5.0</v>
      </c>
      <c r="E416" s="12"/>
    </row>
  </sheetData>
  <autoFilter ref="$A$1:$C$390">
    <sortState ref="A1:C390">
      <sortCondition ref="A1:A390"/>
    </sortState>
  </autoFilter>
  <conditionalFormatting sqref="B2">
    <cfRule type="containsBlanks" dxfId="0" priority="1">
      <formula>LEN(TRIM(B2))=0</formula>
    </cfRule>
  </conditionalFormatting>
  <printOptions horizontalCentered="1" verticalCentered="1"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/>
  <cols>
    <col customWidth="1" min="1" max="1" width="9.29"/>
    <col customWidth="1" min="2" max="2" width="48.86"/>
    <col customWidth="1" min="3" max="3" width="26.0"/>
    <col customWidth="1" min="4" max="4" width="12.57"/>
    <col customWidth="1" min="5" max="5" width="13.0"/>
    <col customWidth="1" min="6" max="38" width="7.0"/>
    <col hidden="1" min="39" max="39" width="14.43"/>
  </cols>
  <sheetData>
    <row r="1" ht="45.0" customHeight="1">
      <c r="A1" s="301">
        <v>360.0</v>
      </c>
      <c r="B1" s="302" t="s">
        <v>345</v>
      </c>
      <c r="C1" s="301" t="str">
        <f>IMAGE("https://m.media-amazon.com/images/I/71NdWJD1LKL._SL1500_.jpg",1)</f>
        <v/>
      </c>
      <c r="D1" s="303">
        <v>2.0</v>
      </c>
      <c r="E1" s="304"/>
      <c r="F1" s="305">
        <v>1.0</v>
      </c>
      <c r="G1" s="305">
        <v>2.0</v>
      </c>
      <c r="H1" s="305">
        <v>3.0</v>
      </c>
      <c r="I1" s="305">
        <v>4.0</v>
      </c>
      <c r="J1" s="305">
        <v>5.0</v>
      </c>
      <c r="K1" s="305">
        <v>6.0</v>
      </c>
      <c r="L1" s="305">
        <v>7.0</v>
      </c>
      <c r="M1" s="305">
        <v>8.0</v>
      </c>
      <c r="N1" s="305">
        <v>9.0</v>
      </c>
      <c r="O1" s="305">
        <v>10.0</v>
      </c>
      <c r="P1" s="305">
        <v>11.0</v>
      </c>
      <c r="Q1" s="305">
        <v>12.0</v>
      </c>
      <c r="R1" s="305">
        <v>13.0</v>
      </c>
      <c r="S1" s="305">
        <v>14.0</v>
      </c>
      <c r="T1" s="305">
        <v>15.0</v>
      </c>
      <c r="U1" s="305">
        <v>16.0</v>
      </c>
      <c r="V1" s="305">
        <v>17.0</v>
      </c>
      <c r="W1" s="305">
        <v>18.0</v>
      </c>
      <c r="X1" s="305">
        <v>19.0</v>
      </c>
      <c r="Y1" s="305">
        <v>20.0</v>
      </c>
      <c r="Z1" s="305">
        <v>21.0</v>
      </c>
      <c r="AA1" s="305">
        <v>22.0</v>
      </c>
      <c r="AB1" s="305">
        <v>23.0</v>
      </c>
      <c r="AC1" s="305">
        <v>24.0</v>
      </c>
      <c r="AD1" s="305">
        <v>25.0</v>
      </c>
      <c r="AE1" s="305">
        <v>26.0</v>
      </c>
      <c r="AF1" s="305">
        <v>27.0</v>
      </c>
      <c r="AG1" s="305">
        <v>28.0</v>
      </c>
      <c r="AH1" s="305">
        <v>29.0</v>
      </c>
      <c r="AI1" s="305">
        <v>30.0</v>
      </c>
      <c r="AJ1" s="305">
        <v>31.0</v>
      </c>
      <c r="AK1" s="305">
        <v>32.0</v>
      </c>
      <c r="AL1" s="305">
        <v>33.0</v>
      </c>
      <c r="AM1" s="306"/>
    </row>
    <row r="2" ht="45.0" customHeight="1">
      <c r="A2" s="301">
        <v>361.0</v>
      </c>
      <c r="B2" s="302" t="s">
        <v>351</v>
      </c>
      <c r="C2" s="301" t="str">
        <f>IMAGE("https://m.media-amazon.com/images/I/41GBeFsg3kL.jpg",1)</f>
        <v/>
      </c>
      <c r="D2" s="303">
        <v>2.0</v>
      </c>
      <c r="E2" s="304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  <c r="AM2" s="306"/>
    </row>
    <row r="3" ht="45.0" customHeight="1">
      <c r="A3" s="301">
        <v>362.0</v>
      </c>
      <c r="B3" s="302" t="s">
        <v>356</v>
      </c>
      <c r="C3" s="301" t="str">
        <f>IMAGE("https://services.ibo.com/media/v1/products/images/db78032d-e5ba-4c4c-bc8f-110fa0021b77/stanley-sta7221xjin-16-pc-drilling-and-screwdriving-set-1.jpeg",1)</f>
        <v/>
      </c>
      <c r="D3" s="303">
        <v>1.0</v>
      </c>
      <c r="E3" s="304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  <c r="AD3" s="301"/>
      <c r="AE3" s="301"/>
      <c r="AF3" s="301"/>
      <c r="AG3" s="301"/>
      <c r="AH3" s="301"/>
      <c r="AI3" s="301"/>
      <c r="AJ3" s="301"/>
      <c r="AK3" s="301"/>
      <c r="AL3" s="301"/>
      <c r="AM3" s="306"/>
    </row>
    <row r="4" ht="45.0" customHeight="1">
      <c r="A4" s="301">
        <v>363.0</v>
      </c>
      <c r="B4" s="302" t="s">
        <v>360</v>
      </c>
      <c r="C4" s="301" t="str">
        <f>IMAGE("https://cdn.moglix.com/p/Rn8lZopeAizs5-xxlarge.jpg",1)</f>
        <v/>
      </c>
      <c r="D4" s="303">
        <v>1.0</v>
      </c>
      <c r="E4" s="304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1"/>
      <c r="AM4" s="306"/>
    </row>
    <row r="5" ht="45.0" customHeight="1">
      <c r="A5" s="301">
        <v>364.0</v>
      </c>
      <c r="B5" s="302" t="s">
        <v>364</v>
      </c>
      <c r="C5" s="301" t="str">
        <f>IMAGE("https://m.media-amazon.com/images/I/51wli9aWH9S._SL1000_.jpg",1)</f>
        <v/>
      </c>
      <c r="D5" s="303">
        <v>1.0</v>
      </c>
      <c r="E5" s="304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6"/>
    </row>
    <row r="6" ht="45.0" customHeight="1">
      <c r="A6" s="301">
        <v>365.0</v>
      </c>
      <c r="B6" s="302" t="s">
        <v>368</v>
      </c>
      <c r="C6" s="301" t="str">
        <f>IMAGE("https://res.cloudinary.com/rsc/image/upload/b_rgb:FFFFFF,c_pad,dpr_1.0,f_auto,q_auto,w_700/c_pad,w_700/C4847566-05",1)</f>
        <v/>
      </c>
      <c r="D6" s="303">
        <v>20.0</v>
      </c>
      <c r="E6" s="304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1"/>
      <c r="AL6" s="301"/>
      <c r="AM6" s="306"/>
    </row>
    <row r="7" ht="45.0" customHeight="1">
      <c r="A7" s="301">
        <v>366.0</v>
      </c>
      <c r="B7" s="302" t="s">
        <v>372</v>
      </c>
      <c r="C7" s="301" t="str">
        <f>IMAGE("https://5.imimg.com/data5/JR/LF/GK/SELLER-30390418/hacksaw-500x500.png",1)</f>
        <v/>
      </c>
      <c r="D7" s="303">
        <v>2.0</v>
      </c>
      <c r="E7" s="304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1"/>
      <c r="AL7" s="301"/>
      <c r="AM7" s="306"/>
    </row>
    <row r="8" ht="45.0" customHeight="1">
      <c r="A8" s="301">
        <v>367.0</v>
      </c>
      <c r="B8" s="302" t="s">
        <v>375</v>
      </c>
      <c r="C8" s="301" t="str">
        <f>IMAGE("https://encrypted-tbn0.gstatic.com/images?q=tbn:ANd9GcRnlFGDkPLnXJSjTXFe7fzQ2kj51brspxAcjVtkmgU5NgUWN5-EbmbNTptE-Y3t4g8lr84&amp;usqp=CAU",1)</f>
        <v/>
      </c>
      <c r="D8" s="303">
        <v>5.0</v>
      </c>
      <c r="E8" s="304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1"/>
      <c r="AL8" s="301"/>
      <c r="AM8" s="306"/>
    </row>
    <row r="9" ht="45.0" customHeight="1">
      <c r="A9" s="301">
        <v>368.0</v>
      </c>
      <c r="B9" s="302" t="s">
        <v>379</v>
      </c>
      <c r="C9" s="301" t="str">
        <f>IMAGE("https://www.stanleytools.me/EMEA/PRODUCT/IMAGES/HIRES/STHT0-10194/STHT0-10194_1.jpg?resize=530x530",1)</f>
        <v/>
      </c>
      <c r="D9" s="303">
        <v>2.0</v>
      </c>
      <c r="E9" s="304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6"/>
    </row>
    <row r="10" ht="45.0" customHeight="1">
      <c r="A10" s="301">
        <v>369.0</v>
      </c>
      <c r="B10" s="302" t="s">
        <v>382</v>
      </c>
      <c r="C10" s="301" t="str">
        <f>IMAGE("https://sc04.alicdn.com/kf/HTB1fK8lXPvuK1Rjy0Faq6x2aVXa5.jpg",1)</f>
        <v/>
      </c>
      <c r="D10" s="303">
        <v>10.0</v>
      </c>
      <c r="E10" s="304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1"/>
      <c r="AK10" s="301"/>
      <c r="AL10" s="301"/>
      <c r="AM10" s="306"/>
    </row>
    <row r="11" ht="45.0" customHeight="1">
      <c r="A11" s="301">
        <v>370.0</v>
      </c>
      <c r="B11" s="302" t="s">
        <v>1926</v>
      </c>
      <c r="C11" s="301" t="str">
        <f>IMAGE("https://asia.blackanddecker.global/ASIA/PRODUCT/IMAGES/HIRES/RT18KA-B1/RT18KA_1.jpg?resize=530x530", 1)</f>
        <v/>
      </c>
      <c r="D11" s="301">
        <v>1.0</v>
      </c>
      <c r="E11" s="304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6"/>
    </row>
    <row r="12" ht="45.0" customHeight="1">
      <c r="A12" s="301">
        <v>371.0</v>
      </c>
      <c r="B12" s="302" t="s">
        <v>1927</v>
      </c>
      <c r="C12" s="301" t="str">
        <f>IMAGE("https://m.media-amazon.com/images/I/518vUksgebL._SL1100_.jpg",1)</f>
        <v/>
      </c>
      <c r="D12" s="303">
        <v>5.0</v>
      </c>
      <c r="E12" s="304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6"/>
    </row>
    <row r="13" ht="45.0" customHeight="1">
      <c r="A13" s="301">
        <v>372.0</v>
      </c>
      <c r="B13" s="302" t="s">
        <v>1928</v>
      </c>
      <c r="C13" s="301" t="str">
        <f>IMAGE("https://rukminim1.flixcart.com/image/416/416/jidg9zk0/art-craft-kit/f/g/a/9mm-snap-off-precision-blades-30-degree-blades-100-blade-pack-1-original-imaf66g6ahvgzem3.jpeg?q=70",1)</f>
        <v/>
      </c>
      <c r="D13" s="303">
        <v>5.0</v>
      </c>
      <c r="E13" s="304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6"/>
    </row>
    <row r="14" ht="45.0" customHeight="1">
      <c r="A14" s="301">
        <v>373.0</v>
      </c>
      <c r="B14" s="302" t="s">
        <v>1929</v>
      </c>
      <c r="C14" s="301" t="str">
        <f>IMAGE("https://m.media-amazon.com/images/I/31u15vg7r0L._SX342_.jpg",1)</f>
        <v/>
      </c>
      <c r="D14" s="303">
        <v>5.0</v>
      </c>
      <c r="E14" s="304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6"/>
    </row>
    <row r="15" ht="45.0" customHeight="1">
      <c r="A15" s="301">
        <v>374.0</v>
      </c>
      <c r="B15" s="302" t="s">
        <v>1930</v>
      </c>
      <c r="C15" s="301" t="str">
        <f>IMAGE("https://hydetools.com/wp-content/uploads/2019/09/42046b.jpg",1)</f>
        <v/>
      </c>
      <c r="D15" s="303">
        <v>10.0</v>
      </c>
      <c r="E15" s="304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6"/>
    </row>
    <row r="16" ht="45.0" customHeight="1">
      <c r="A16" s="301">
        <v>375.0</v>
      </c>
      <c r="B16" s="302" t="s">
        <v>405</v>
      </c>
      <c r="C16" s="30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D16" s="303">
        <v>10.0</v>
      </c>
      <c r="E16" s="304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6"/>
    </row>
    <row r="17" ht="45.0" customHeight="1">
      <c r="A17" s="301">
        <v>376.0</v>
      </c>
      <c r="B17" s="302" t="s">
        <v>408</v>
      </c>
      <c r="C17" s="301" t="str">
        <f>IMAGE("https://cdn-reichelt.de/bilder/web/xxl_ws/I210/LEITZ_54166095.png",1)</f>
        <v/>
      </c>
      <c r="D17" s="303">
        <v>10.0</v>
      </c>
      <c r="E17" s="304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6"/>
    </row>
    <row r="18" ht="45.0" customHeight="1">
      <c r="A18" s="301">
        <v>377.0</v>
      </c>
      <c r="B18" s="302" t="s">
        <v>1023</v>
      </c>
      <c r="C18" s="301" t="str">
        <f>IMAGE("https://www.shaanstationery.com/image/cache/catalog/kangaro/kangaro-stapler-no-10-corner-view-1000x1000.jpg",1)</f>
        <v/>
      </c>
      <c r="D18" s="303">
        <v>10.0</v>
      </c>
      <c r="E18" s="304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6"/>
    </row>
    <row r="19" ht="45.0" customHeight="1">
      <c r="A19" s="301">
        <v>378.0</v>
      </c>
      <c r="B19" s="302" t="s">
        <v>1027</v>
      </c>
      <c r="C19" s="301" t="str">
        <f>IMAGE("https://sc04.alicdn.com/kf/HTB1f9mqOZbpK1RjSZFyq6x_qFXaz.jpg",1)</f>
        <v/>
      </c>
      <c r="D19" s="303">
        <v>10.0</v>
      </c>
      <c r="E19" s="304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6"/>
    </row>
    <row r="20" ht="45.0" customHeight="1">
      <c r="A20" s="301">
        <v>379.0</v>
      </c>
      <c r="B20" s="302" t="s">
        <v>1078</v>
      </c>
      <c r="C20" s="301" t="str">
        <f>IMAGE("https://m.media-amazon.com/images/I/51OTKanSUXL._SL1024_.jpg",1)</f>
        <v/>
      </c>
      <c r="D20" s="303">
        <v>50.0</v>
      </c>
      <c r="E20" s="302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1"/>
      <c r="AL20" s="301"/>
      <c r="AM20" s="306"/>
    </row>
    <row r="21" ht="45.0" customHeight="1">
      <c r="A21" s="301">
        <v>380.0</v>
      </c>
      <c r="B21" s="302" t="s">
        <v>1128</v>
      </c>
      <c r="C21" s="301" t="str">
        <f>IMAGE("https://cdn.bmstores.co.uk/images/hpcProductImage/imgFull/369783-stanley-sealant-gun-diy.jpg",1)</f>
        <v/>
      </c>
      <c r="D21" s="303">
        <v>1.0</v>
      </c>
      <c r="E21" s="302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6"/>
    </row>
    <row r="22" ht="45.0" customHeight="1">
      <c r="A22" s="301">
        <v>381.0</v>
      </c>
      <c r="B22" s="302" t="s">
        <v>1132</v>
      </c>
      <c r="C22" s="301" t="str">
        <f>IMAGE("https://5.imimg.com/data5/SELLER/Default/2020/12/RU/ZP/SZ/45671901/alstone-silicone-sealant-500x500.jpeg",1)</f>
        <v/>
      </c>
      <c r="D22" s="303">
        <v>1.0</v>
      </c>
      <c r="E22" s="302"/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P22" s="305"/>
      <c r="Q22" s="305"/>
      <c r="R22" s="305"/>
      <c r="S22" s="305"/>
      <c r="T22" s="305"/>
      <c r="U22" s="305"/>
      <c r="V22" s="305"/>
      <c r="W22" s="305"/>
      <c r="X22" s="305"/>
      <c r="Y22" s="305"/>
      <c r="Z22" s="305"/>
      <c r="AA22" s="305"/>
      <c r="AB22" s="305"/>
      <c r="AC22" s="305"/>
      <c r="AD22" s="305"/>
      <c r="AE22" s="305"/>
      <c r="AF22" s="305"/>
      <c r="AG22" s="305"/>
      <c r="AH22" s="305"/>
      <c r="AI22" s="305"/>
      <c r="AJ22" s="305"/>
      <c r="AK22" s="305"/>
      <c r="AL22" s="305"/>
      <c r="AM22" s="306"/>
    </row>
    <row r="23" ht="45.0" customHeight="1">
      <c r="A23" s="301">
        <v>382.0</v>
      </c>
      <c r="B23" s="302" t="s">
        <v>1031</v>
      </c>
      <c r="C23" s="301" t="str">
        <f>IMAGE("https://m.media-amazon.com/images/I/61+L7sYwiBL._SL1500_.jpg",1)</f>
        <v/>
      </c>
      <c r="D23" s="301">
        <v>1.0</v>
      </c>
      <c r="E23" s="304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1"/>
      <c r="AL23" s="301"/>
      <c r="AM23" s="306"/>
    </row>
    <row r="24" ht="45.0" customHeight="1">
      <c r="A24" s="301">
        <v>383.0</v>
      </c>
      <c r="B24" s="302" t="s">
        <v>1036</v>
      </c>
      <c r="C24" s="301" t="e">
        <v>#VALUE!</v>
      </c>
      <c r="D24" s="303">
        <v>2.0</v>
      </c>
      <c r="E24" s="304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1"/>
      <c r="AL24" s="301"/>
      <c r="AM24" s="306"/>
    </row>
    <row r="25" ht="45.0" customHeight="1">
      <c r="A25" s="301">
        <v>384.0</v>
      </c>
      <c r="B25" s="302" t="s">
        <v>1039</v>
      </c>
      <c r="C25" s="301" t="str">
        <f>IMAGE("https://m.media-amazon.com/images/I/71qyUXJ5i6L._AC_UF1000,1000_QL80_.jpg",1)</f>
        <v/>
      </c>
      <c r="D25" s="303">
        <v>1.0</v>
      </c>
      <c r="E25" s="304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01"/>
      <c r="AH25" s="301"/>
      <c r="AI25" s="301"/>
      <c r="AJ25" s="301"/>
      <c r="AK25" s="301"/>
      <c r="AL25" s="301"/>
      <c r="AM25" s="306"/>
    </row>
    <row r="26" ht="45.0" customHeight="1">
      <c r="A26" s="301">
        <v>385.0</v>
      </c>
      <c r="B26" s="302" t="s">
        <v>1043</v>
      </c>
      <c r="C26" s="301" t="str">
        <f>IMAGE("https://5.imimg.com/data5/TS/AU/MY-11200044/steel-shaft-claw-hammer-500x500.jpg",1)</f>
        <v/>
      </c>
      <c r="D26" s="303">
        <v>1.0</v>
      </c>
      <c r="E26" s="304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301"/>
      <c r="AI26" s="301"/>
      <c r="AJ26" s="301"/>
      <c r="AK26" s="301"/>
      <c r="AL26" s="301"/>
      <c r="AM26" s="306"/>
    </row>
    <row r="27" ht="45.0" customHeight="1">
      <c r="A27" s="301">
        <v>386.0</v>
      </c>
      <c r="B27" s="302" t="s">
        <v>1047</v>
      </c>
      <c r="C27" s="301" t="str">
        <f>IMAGE("https://5.imimg.com/data5/GU/RT/MY-2970994/bench-clamp.jpg",1)</f>
        <v/>
      </c>
      <c r="D27" s="303">
        <v>1.0</v>
      </c>
      <c r="E27" s="304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301"/>
      <c r="AI27" s="301"/>
      <c r="AJ27" s="301"/>
      <c r="AK27" s="301"/>
      <c r="AL27" s="301"/>
      <c r="AM27" s="306"/>
    </row>
    <row r="28" ht="45.0" customHeight="1">
      <c r="A28" s="301">
        <v>387.0</v>
      </c>
      <c r="B28" s="302" t="s">
        <v>1051</v>
      </c>
      <c r="C28" s="301" t="str">
        <f>IMAGE("https://images.jdmagicbox.com/quickquotes/images_main/plier-381885296-5n4zf.jpg",1)</f>
        <v/>
      </c>
      <c r="D28" s="303">
        <v>1.0</v>
      </c>
      <c r="E28" s="304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  <c r="AC28" s="301"/>
      <c r="AD28" s="301"/>
      <c r="AE28" s="301"/>
      <c r="AF28" s="301"/>
      <c r="AG28" s="301"/>
      <c r="AH28" s="301"/>
      <c r="AI28" s="301"/>
      <c r="AJ28" s="301"/>
      <c r="AK28" s="301"/>
      <c r="AL28" s="301"/>
      <c r="AM28" s="306"/>
    </row>
    <row r="29" ht="45.0" customHeight="1">
      <c r="A29" s="301">
        <v>388.0</v>
      </c>
      <c r="B29" s="302" t="s">
        <v>1055</v>
      </c>
      <c r="C29" s="301" t="str">
        <f>IMAGE("https://m.media-amazon.com/images/I/613WSFIoSjL._SL1500_.jpg",1)</f>
        <v/>
      </c>
      <c r="D29" s="303">
        <v>1.0</v>
      </c>
      <c r="E29" s="304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  <c r="AJ29" s="301"/>
      <c r="AK29" s="301"/>
      <c r="AL29" s="301"/>
      <c r="AM29" s="306"/>
    </row>
    <row r="30" ht="45.0" customHeight="1">
      <c r="A30" s="301">
        <v>389.0</v>
      </c>
      <c r="B30" s="302" t="s">
        <v>1059</v>
      </c>
      <c r="C30" s="301" t="str">
        <f>IMAGE("https://in.misumi-ec.com/linked/material/fs/FUJ1/PHOTO/223000817171_001.jpg?$product_main$",1)</f>
        <v/>
      </c>
      <c r="D30" s="303">
        <v>1.0</v>
      </c>
      <c r="E30" s="304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  <c r="AJ30" s="301"/>
      <c r="AK30" s="301"/>
      <c r="AL30" s="301"/>
      <c r="AM30" s="306"/>
    </row>
    <row r="31" ht="45.0" customHeight="1">
      <c r="A31" s="301">
        <v>390.0</v>
      </c>
      <c r="B31" s="302" t="s">
        <v>1063</v>
      </c>
      <c r="C31" s="301" t="str">
        <f>IMAGE("https://i.ebayimg.com/images/g/QLMAAOSwETxj4~0j/s-l1600.jpg",1)</f>
        <v/>
      </c>
      <c r="D31" s="303">
        <v>2.0</v>
      </c>
      <c r="E31" s="304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  <c r="AJ31" s="301"/>
      <c r="AK31" s="301"/>
      <c r="AL31" s="301"/>
      <c r="AM31" s="306"/>
    </row>
    <row r="32" ht="45.0" customHeight="1">
      <c r="A32" s="301">
        <v>391.0</v>
      </c>
      <c r="B32" s="302" t="s">
        <v>1067</v>
      </c>
      <c r="C32" s="301" t="str">
        <f>IMAGE("https://res.cloudinary.com/rsc/image/upload/b_rgb:FFFFFF,c_pad,dpr_1.0,f_auto,q_auto,w_700/c_pad,w_700/C1985249-01",1)</f>
        <v/>
      </c>
      <c r="D32" s="303">
        <v>1.0</v>
      </c>
      <c r="E32" s="304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  <c r="AC32" s="301"/>
      <c r="AD32" s="301"/>
      <c r="AE32" s="301"/>
      <c r="AF32" s="301"/>
      <c r="AG32" s="301"/>
      <c r="AH32" s="301"/>
      <c r="AI32" s="301"/>
      <c r="AJ32" s="301"/>
      <c r="AK32" s="301"/>
      <c r="AL32" s="301"/>
      <c r="AM32" s="306"/>
    </row>
    <row r="33" ht="45.0" customHeight="1">
      <c r="A33" s="301">
        <v>392.0</v>
      </c>
      <c r="B33" s="302" t="s">
        <v>1071</v>
      </c>
      <c r="C33" s="301" t="str">
        <f>IMAGE("https://cdn.shopify.com/s/files/1/0064/3412/7939/products/71vpWrfPgFL._SL1000_9c7ae600-0e17-44f0-97b0-7a8fa32a55cc_2048x.jpg?v=1540199513",1)</f>
        <v/>
      </c>
      <c r="D33" s="303">
        <v>10.0</v>
      </c>
      <c r="E33" s="304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05"/>
      <c r="U33" s="305"/>
      <c r="V33" s="305"/>
      <c r="W33" s="305"/>
      <c r="X33" s="305"/>
      <c r="Y33" s="305"/>
      <c r="Z33" s="305"/>
      <c r="AA33" s="305"/>
      <c r="AB33" s="305"/>
      <c r="AC33" s="305"/>
      <c r="AD33" s="305"/>
      <c r="AE33" s="305"/>
      <c r="AF33" s="305"/>
      <c r="AG33" s="305"/>
      <c r="AH33" s="305"/>
      <c r="AI33" s="305"/>
      <c r="AJ33" s="305"/>
      <c r="AK33" s="305"/>
      <c r="AL33" s="305"/>
      <c r="AM33" s="307"/>
    </row>
    <row r="34" ht="45.0" customHeight="1">
      <c r="A34" s="301">
        <v>393.0</v>
      </c>
      <c r="B34" s="302" t="s">
        <v>1075</v>
      </c>
      <c r="C34" s="301" t="str">
        <f>IMAGE("https://cdn.shopify.com/s/files/1/0088/0056/7392/products/71GahpQFYhL._SL1500_1024x.jpg?v=1634034762",1)</f>
        <v/>
      </c>
      <c r="D34" s="303">
        <v>4.0</v>
      </c>
      <c r="E34" s="304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  <c r="AC34" s="301"/>
      <c r="AD34" s="301"/>
      <c r="AE34" s="301"/>
      <c r="AF34" s="301"/>
      <c r="AG34" s="301"/>
      <c r="AH34" s="301"/>
      <c r="AI34" s="301"/>
      <c r="AJ34" s="301"/>
      <c r="AK34" s="301"/>
      <c r="AL34" s="301"/>
      <c r="AM34" s="307"/>
    </row>
    <row r="35" ht="45.0" customHeight="1">
      <c r="A35" s="301">
        <v>394.0</v>
      </c>
      <c r="B35" s="302" t="s">
        <v>1082</v>
      </c>
      <c r="C35" s="308" t="str">
        <f>IMAGE("https://m.media-amazon.com/images/I/41XSpNsGoiL._SL1024_.jpg",1)</f>
        <v/>
      </c>
      <c r="D35" s="303">
        <v>1.0</v>
      </c>
      <c r="E35" s="304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  <c r="AC35" s="301"/>
      <c r="AD35" s="301"/>
      <c r="AE35" s="301"/>
      <c r="AF35" s="301"/>
      <c r="AG35" s="301"/>
      <c r="AH35" s="301"/>
      <c r="AI35" s="301"/>
      <c r="AJ35" s="301"/>
      <c r="AK35" s="301"/>
      <c r="AL35" s="301"/>
      <c r="AM35" s="306"/>
    </row>
    <row r="36" ht="45.0" customHeight="1">
      <c r="A36" s="301">
        <v>395.0</v>
      </c>
      <c r="B36" s="302" t="s">
        <v>1094</v>
      </c>
      <c r="C36" s="308" t="str">
        <f>IMAGE("https://m.media-amazon.com/images/I/41pgJCdOd0L._AC_SX522_.jpg", 1)</f>
        <v/>
      </c>
      <c r="D36" s="303">
        <v>2.0</v>
      </c>
      <c r="E36" s="304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  <c r="AC36" s="301"/>
      <c r="AD36" s="301"/>
      <c r="AE36" s="301"/>
      <c r="AF36" s="301"/>
      <c r="AG36" s="301"/>
      <c r="AH36" s="301"/>
      <c r="AI36" s="301"/>
      <c r="AJ36" s="301"/>
      <c r="AK36" s="301"/>
      <c r="AL36" s="301"/>
      <c r="AM36" s="306"/>
    </row>
    <row r="37" ht="45.0" customHeight="1">
      <c r="A37" s="301">
        <v>396.0</v>
      </c>
      <c r="B37" s="302" t="s">
        <v>1098</v>
      </c>
      <c r="C37" s="308" t="str">
        <f>IMAGE("https://5.imimg.com/data5/UF/DF/MY-45635244/sand-paper-500x500.jpg",1)</f>
        <v/>
      </c>
      <c r="D37" s="303">
        <v>25.0</v>
      </c>
      <c r="E37" s="304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6"/>
    </row>
    <row r="38" ht="45.0" customHeight="1">
      <c r="A38" s="301">
        <v>397.0</v>
      </c>
      <c r="B38" s="302" t="s">
        <v>1101</v>
      </c>
      <c r="C38" s="308" t="e">
        <v>#VALUE!</v>
      </c>
      <c r="D38" s="309">
        <v>2.0</v>
      </c>
      <c r="E38" s="304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  <c r="AD38" s="301"/>
      <c r="AE38" s="301"/>
      <c r="AF38" s="301"/>
      <c r="AG38" s="301"/>
      <c r="AH38" s="301"/>
      <c r="AI38" s="301"/>
      <c r="AJ38" s="301"/>
      <c r="AK38" s="301"/>
      <c r="AL38" s="301"/>
      <c r="AM38" s="306"/>
    </row>
    <row r="39" ht="45.0" customHeight="1">
      <c r="A39" s="301">
        <v>398.0</v>
      </c>
      <c r="B39" s="302" t="s">
        <v>1104</v>
      </c>
      <c r="C39" s="308" t="e">
        <v>#VALUE!</v>
      </c>
      <c r="D39" s="309">
        <v>2.0</v>
      </c>
      <c r="E39" s="304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  <c r="AD39" s="301"/>
      <c r="AE39" s="301"/>
      <c r="AF39" s="301"/>
      <c r="AG39" s="301"/>
      <c r="AH39" s="301"/>
      <c r="AI39" s="301"/>
      <c r="AJ39" s="301"/>
      <c r="AK39" s="301"/>
      <c r="AL39" s="301"/>
      <c r="AM39" s="306"/>
    </row>
    <row r="40" ht="45.0" customHeight="1">
      <c r="A40" s="301">
        <v>399.0</v>
      </c>
      <c r="B40" s="310" t="s">
        <v>1107</v>
      </c>
      <c r="C40" s="308" t="e">
        <v>#VALUE!</v>
      </c>
      <c r="D40" s="309">
        <v>2.0</v>
      </c>
      <c r="E40" s="304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6"/>
    </row>
    <row r="41" ht="45.0" customHeight="1">
      <c r="A41" s="301">
        <v>400.0</v>
      </c>
      <c r="B41" s="310" t="s">
        <v>1110</v>
      </c>
      <c r="C41" s="311" t="e">
        <v>#VALUE!</v>
      </c>
      <c r="D41" s="309">
        <v>2.0</v>
      </c>
      <c r="E41" s="304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  <c r="AD41" s="301"/>
      <c r="AE41" s="301"/>
      <c r="AF41" s="301"/>
      <c r="AG41" s="301"/>
      <c r="AH41" s="301"/>
      <c r="AI41" s="301"/>
      <c r="AJ41" s="301"/>
      <c r="AK41" s="301"/>
      <c r="AL41" s="301"/>
      <c r="AM41" s="306"/>
    </row>
    <row r="42" ht="45.0" customHeight="1">
      <c r="A42" s="301">
        <v>401.0</v>
      </c>
      <c r="B42" s="302" t="s">
        <v>1114</v>
      </c>
      <c r="C42" s="311" t="e">
        <v>#VALUE!</v>
      </c>
      <c r="D42" s="309">
        <v>1.0</v>
      </c>
      <c r="E42" s="304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  <c r="AD42" s="301"/>
      <c r="AE42" s="301"/>
      <c r="AF42" s="301"/>
      <c r="AG42" s="301"/>
      <c r="AH42" s="301"/>
      <c r="AI42" s="301"/>
      <c r="AJ42" s="301"/>
      <c r="AK42" s="301"/>
      <c r="AL42" s="301"/>
      <c r="AM42" s="306"/>
    </row>
    <row r="43" ht="45.0" customHeight="1">
      <c r="A43" s="301">
        <v>402.0</v>
      </c>
      <c r="B43" s="302" t="s">
        <v>1117</v>
      </c>
      <c r="C43" s="311" t="e">
        <v>#VALUE!</v>
      </c>
      <c r="D43" s="309">
        <v>1.0</v>
      </c>
      <c r="E43" s="304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01"/>
      <c r="AJ43" s="301"/>
      <c r="AK43" s="301"/>
      <c r="AL43" s="301"/>
      <c r="AM43" s="306"/>
    </row>
    <row r="44" ht="45.0" customHeight="1">
      <c r="A44" s="301">
        <v>403.0</v>
      </c>
      <c r="B44" s="302" t="s">
        <v>1121</v>
      </c>
      <c r="C44" s="308" t="str">
        <f>IMAGE("https://5.imimg.com/data5/DH/NE/PV/SELLER-4135781/6-pc-precision-screwdriver-set-500x500.jpg",1)</f>
        <v/>
      </c>
      <c r="D44" s="303">
        <v>1.0</v>
      </c>
      <c r="E44" s="304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6"/>
    </row>
    <row r="45" ht="45.0" customHeight="1">
      <c r="A45" s="301">
        <v>404.0</v>
      </c>
      <c r="B45" s="302" t="s">
        <v>1136</v>
      </c>
      <c r="C45" s="308" t="str">
        <f>IMAGE("https://ravimachines.com/wp-content/uploads/2016/07/full_13.jpg",1)</f>
        <v/>
      </c>
      <c r="D45" s="303">
        <v>1.0</v>
      </c>
      <c r="E45" s="304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  <c r="AD45" s="301"/>
      <c r="AE45" s="301"/>
      <c r="AF45" s="301"/>
      <c r="AG45" s="301"/>
      <c r="AH45" s="301"/>
      <c r="AI45" s="301"/>
      <c r="AJ45" s="301"/>
      <c r="AK45" s="301"/>
      <c r="AL45" s="301"/>
      <c r="AM45" s="306"/>
    </row>
    <row r="46" ht="45.0" customHeight="1">
      <c r="A46" s="301">
        <v>405.0</v>
      </c>
      <c r="B46" s="312" t="s">
        <v>1140</v>
      </c>
      <c r="C46" s="308" t="str">
        <f>IMAGE("https://m.media-amazon.com/images/I/61O+7azby+L.jpg",1)</f>
        <v/>
      </c>
      <c r="D46" s="301">
        <v>10.0</v>
      </c>
      <c r="E46" s="304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  <c r="AD46" s="301"/>
      <c r="AE46" s="301"/>
      <c r="AF46" s="301"/>
      <c r="AG46" s="301"/>
      <c r="AH46" s="301"/>
      <c r="AI46" s="301"/>
      <c r="AJ46" s="301"/>
      <c r="AK46" s="301"/>
      <c r="AL46" s="301"/>
      <c r="AM46" s="306"/>
    </row>
    <row r="47" ht="45.0" customHeight="1">
      <c r="A47" s="301">
        <v>406.0</v>
      </c>
      <c r="B47" s="302" t="s">
        <v>1144</v>
      </c>
      <c r="C47" s="308" t="str">
        <f>IMAGE("https://5.imimg.com/data5/SELLER/Default/2021/4/UH/ZY/EE/41301440/machine.jpeg",1)</f>
        <v/>
      </c>
      <c r="D47" s="303">
        <v>1.0</v>
      </c>
      <c r="E47" s="304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1"/>
      <c r="AF47" s="301"/>
      <c r="AG47" s="301"/>
      <c r="AH47" s="301"/>
      <c r="AI47" s="301"/>
      <c r="AJ47" s="301"/>
      <c r="AK47" s="301"/>
      <c r="AL47" s="301"/>
      <c r="AM47" s="306"/>
    </row>
    <row r="48" ht="45.0" customHeight="1">
      <c r="A48" s="301">
        <v>407.0</v>
      </c>
      <c r="B48" s="302" t="s">
        <v>1148</v>
      </c>
      <c r="C48" s="308"/>
      <c r="D48" s="303">
        <v>2.0</v>
      </c>
      <c r="E48" s="304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  <c r="AD48" s="301"/>
      <c r="AE48" s="301"/>
      <c r="AF48" s="301"/>
      <c r="AG48" s="301"/>
      <c r="AH48" s="301"/>
      <c r="AI48" s="301"/>
      <c r="AJ48" s="301"/>
      <c r="AK48" s="301"/>
      <c r="AL48" s="301"/>
      <c r="AM48" s="306"/>
    </row>
    <row r="49" ht="45.0" customHeight="1">
      <c r="A49" s="301">
        <v>408.0</v>
      </c>
      <c r="B49" s="302" t="s">
        <v>1151</v>
      </c>
      <c r="C49" s="308" t="str">
        <f>IMAGE("https://5.imimg.com/data5/SELLER/Default/2020/10/KC/AV/BY/25174136/150b-cutter-stripper-250x250.jpg",1)</f>
        <v/>
      </c>
      <c r="D49" s="303">
        <v>10.0</v>
      </c>
      <c r="E49" s="304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  <c r="AL49" s="301"/>
      <c r="AM49" s="306"/>
    </row>
    <row r="50" ht="45.0" customHeight="1">
      <c r="A50" s="301">
        <v>409.0</v>
      </c>
      <c r="B50" s="302" t="s">
        <v>1086</v>
      </c>
      <c r="C50" s="308" t="str">
        <f>IMAGE("https://m.media-amazon.com/images/I/513ZkVzGbdL._AC_.jpg", 1)</f>
        <v/>
      </c>
      <c r="D50" s="303">
        <v>2.0</v>
      </c>
      <c r="E50" s="302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  <c r="AD50" s="301"/>
      <c r="AE50" s="301"/>
      <c r="AF50" s="301"/>
      <c r="AG50" s="301"/>
      <c r="AH50" s="301"/>
      <c r="AI50" s="301"/>
      <c r="AJ50" s="301"/>
      <c r="AK50" s="301"/>
      <c r="AL50" s="301"/>
      <c r="AM50" s="306"/>
    </row>
    <row r="51" ht="45.0" customHeight="1">
      <c r="A51" s="301">
        <v>410.0</v>
      </c>
      <c r="B51" s="302" t="s">
        <v>1090</v>
      </c>
      <c r="C51" s="308" t="str">
        <f>IMAGE("https://m.media-amazon.com/images/I/41V47za3aNL.jpg",1)</f>
        <v/>
      </c>
      <c r="D51" s="303">
        <v>2.0</v>
      </c>
      <c r="E51" s="302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  <c r="AD51" s="301"/>
      <c r="AE51" s="301"/>
      <c r="AF51" s="301"/>
      <c r="AG51" s="301"/>
      <c r="AH51" s="301"/>
      <c r="AI51" s="301"/>
      <c r="AJ51" s="301"/>
      <c r="AK51" s="301"/>
      <c r="AL51" s="301"/>
      <c r="AM51" s="306"/>
    </row>
    <row r="52" ht="45.0" customHeight="1">
      <c r="A52" s="301">
        <v>411.0</v>
      </c>
      <c r="B52" s="302" t="s">
        <v>1325</v>
      </c>
      <c r="C52" s="308" t="e">
        <v>#VALUE!</v>
      </c>
      <c r="D52" s="303">
        <v>1.0</v>
      </c>
      <c r="E52" s="302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  <c r="AB52" s="301"/>
      <c r="AC52" s="301"/>
      <c r="AD52" s="301"/>
      <c r="AE52" s="301"/>
      <c r="AF52" s="301"/>
      <c r="AG52" s="301"/>
      <c r="AH52" s="301"/>
      <c r="AI52" s="301"/>
      <c r="AJ52" s="301"/>
      <c r="AK52" s="301"/>
      <c r="AL52" s="301"/>
      <c r="AM52" s="306"/>
    </row>
    <row r="53" ht="45.0" customHeight="1">
      <c r="A53" s="301">
        <v>412.0</v>
      </c>
      <c r="B53" s="302" t="s">
        <v>1350</v>
      </c>
      <c r="C53" s="308" t="str">
        <f>IMAGE("https://5.imimg.com/data5/SELLER/Default/2023/1/CR/QN/CU/119456209/b22-cap-punching-tool-1000x1000.jpg",1)</f>
        <v/>
      </c>
      <c r="D53" s="301">
        <v>1.0</v>
      </c>
      <c r="E53" s="302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  <c r="AD53" s="301"/>
      <c r="AE53" s="301"/>
      <c r="AF53" s="301"/>
      <c r="AG53" s="301"/>
      <c r="AH53" s="301"/>
      <c r="AI53" s="301"/>
      <c r="AJ53" s="301"/>
      <c r="AK53" s="301"/>
      <c r="AL53" s="301"/>
      <c r="AM53" s="306"/>
    </row>
    <row r="54" ht="45.0" customHeight="1">
      <c r="A54" s="301">
        <v>413.0</v>
      </c>
      <c r="B54" s="302" t="s">
        <v>1354</v>
      </c>
      <c r="C54" s="308" t="str">
        <f>IMAGE("https://m.media-amazon.com/images/I/31xTdt3sfiL.jpg",1)</f>
        <v/>
      </c>
      <c r="D54" s="301">
        <v>1.0</v>
      </c>
      <c r="E54" s="302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  <c r="AC54" s="301"/>
      <c r="AD54" s="301"/>
      <c r="AE54" s="301"/>
      <c r="AF54" s="301"/>
      <c r="AG54" s="301"/>
      <c r="AH54" s="301"/>
      <c r="AI54" s="301"/>
      <c r="AJ54" s="301"/>
      <c r="AK54" s="301"/>
      <c r="AL54" s="301"/>
      <c r="AM54" s="306"/>
    </row>
    <row r="55" ht="45.0" customHeight="1">
      <c r="A55" s="301">
        <v>414.0</v>
      </c>
      <c r="B55" s="302" t="s">
        <v>1399</v>
      </c>
      <c r="C55" s="308" t="str">
        <f>IMAGE("https://m.media-amazon.com/images/I/41giw5t2ycL.jpg",1)</f>
        <v/>
      </c>
      <c r="D55" s="301">
        <v>1.0</v>
      </c>
      <c r="E55" s="302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  <c r="AD55" s="301"/>
      <c r="AE55" s="301"/>
      <c r="AF55" s="301"/>
      <c r="AG55" s="301"/>
      <c r="AH55" s="301"/>
      <c r="AI55" s="301"/>
      <c r="AJ55" s="301"/>
      <c r="AK55" s="301"/>
      <c r="AL55" s="301"/>
      <c r="AM55" s="306"/>
    </row>
    <row r="56" ht="45.0" customHeight="1">
      <c r="A56" s="301">
        <v>415.0</v>
      </c>
      <c r="B56" s="302" t="s">
        <v>1404</v>
      </c>
      <c r="C56" s="308" t="str">
        <f>IMAGE("https://m.media-amazon.com/images/I/71vAZkeQh9L._SL1500_.jpg",1)</f>
        <v/>
      </c>
      <c r="D56" s="301">
        <v>1.0</v>
      </c>
      <c r="E56" s="302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01"/>
      <c r="AL56" s="301"/>
      <c r="AM56" s="306"/>
    </row>
    <row r="57" ht="45.0" customHeight="1">
      <c r="A57" s="301">
        <v>416.0</v>
      </c>
      <c r="B57" s="302" t="s">
        <v>1412</v>
      </c>
      <c r="C57" s="308" t="str">
        <f>IMAGE("https://m.media-amazon.com/images/I/61saUYFEn9L._SL1500_.jpg",1)</f>
        <v/>
      </c>
      <c r="D57" s="301">
        <v>5.0</v>
      </c>
      <c r="E57" s="302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  <c r="AD57" s="301"/>
      <c r="AE57" s="301"/>
      <c r="AF57" s="301"/>
      <c r="AG57" s="301"/>
      <c r="AH57" s="301"/>
      <c r="AI57" s="301"/>
      <c r="AJ57" s="301"/>
      <c r="AK57" s="301"/>
      <c r="AL57" s="301"/>
      <c r="AM57" s="306"/>
    </row>
    <row r="58" ht="45.0" customHeight="1">
      <c r="A58" s="301">
        <v>417.0</v>
      </c>
      <c r="B58" s="302" t="s">
        <v>1416</v>
      </c>
      <c r="C58" s="308" t="str">
        <f>IMAGE("https://m.media-amazon.com/images/I/61zRix8Lt0L._SL1500_.jpg",1)</f>
        <v/>
      </c>
      <c r="D58" s="301">
        <v>1.0</v>
      </c>
      <c r="E58" s="302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  <c r="AD58" s="301"/>
      <c r="AE58" s="301"/>
      <c r="AF58" s="301"/>
      <c r="AG58" s="301"/>
      <c r="AH58" s="301"/>
      <c r="AI58" s="301"/>
      <c r="AJ58" s="301"/>
      <c r="AK58" s="301"/>
      <c r="AL58" s="301"/>
      <c r="AM58" s="306"/>
    </row>
    <row r="59" ht="45.0" customHeight="1">
      <c r="A59" s="301">
        <v>418.0</v>
      </c>
      <c r="B59" s="302" t="s">
        <v>1611</v>
      </c>
      <c r="C59" s="308" t="str">
        <f>IMAGE("https://delhi6online.in/cdn/shop/products/S1_800x.jpg?v=1545883083.jpg",1)</f>
        <v/>
      </c>
      <c r="D59" s="301">
        <v>5.0</v>
      </c>
      <c r="E59" s="302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301"/>
      <c r="AI59" s="301"/>
      <c r="AJ59" s="301"/>
      <c r="AK59" s="301"/>
      <c r="AL59" s="301"/>
      <c r="AM59" s="306"/>
    </row>
    <row r="60" ht="45.0" customHeight="1">
      <c r="A60" s="301">
        <v>419.0</v>
      </c>
      <c r="B60" s="302" t="s">
        <v>1615</v>
      </c>
      <c r="C60" s="308" t="str">
        <f>IMAGE("https://4.imimg.com/data4/JF/WX/MY-2704359/thread-cutter-1000x1000.jpg",1)</f>
        <v/>
      </c>
      <c r="D60" s="301">
        <v>5.0</v>
      </c>
      <c r="E60" s="302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  <c r="AD60" s="301"/>
      <c r="AE60" s="301"/>
      <c r="AF60" s="301"/>
      <c r="AG60" s="301"/>
      <c r="AH60" s="301"/>
      <c r="AI60" s="301"/>
      <c r="AJ60" s="301"/>
      <c r="AK60" s="301"/>
      <c r="AL60" s="301"/>
      <c r="AM60" s="306"/>
    </row>
  </sheetData>
  <dataValidations>
    <dataValidation type="list" allowBlank="1" showErrorMessage="1" sqref="E52 E55:E56 E59:E60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9"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hidden="1" min="2" max="2" width="36.57"/>
    <col customWidth="1" min="3" max="3" width="20.57"/>
    <col customWidth="1" min="4" max="4" width="40.71"/>
    <col customWidth="1" hidden="1" min="5" max="6" width="36.57"/>
    <col customWidth="1" min="7" max="7" width="12.0"/>
    <col customWidth="1" min="8" max="14" width="36.57"/>
    <col customWidth="1" min="15" max="15" width="32.0"/>
    <col customWidth="1" hidden="1" min="16" max="21" width="36.57"/>
    <col customWidth="1" min="22" max="22" width="36.57"/>
    <col customWidth="1" hidden="1" min="23" max="23" width="21.29"/>
    <col customWidth="1" min="24" max="26" width="21.29"/>
  </cols>
  <sheetData>
    <row r="1" ht="38.25" customHeight="1">
      <c r="A1" s="324" t="s">
        <v>0</v>
      </c>
      <c r="B1" s="210"/>
      <c r="C1" s="324" t="s">
        <v>1</v>
      </c>
      <c r="D1" s="325" t="s">
        <v>2</v>
      </c>
      <c r="E1" s="210" t="s">
        <v>3</v>
      </c>
      <c r="F1" s="210" t="s">
        <v>4</v>
      </c>
      <c r="G1" s="324" t="s">
        <v>2004</v>
      </c>
      <c r="H1" s="210" t="s">
        <v>6</v>
      </c>
      <c r="I1" s="210" t="s">
        <v>7</v>
      </c>
      <c r="J1" s="326" t="s">
        <v>178</v>
      </c>
      <c r="K1" s="211" t="s">
        <v>9</v>
      </c>
      <c r="L1" s="211" t="s">
        <v>10</v>
      </c>
      <c r="M1" s="212" t="s">
        <v>11</v>
      </c>
      <c r="N1" s="210" t="s">
        <v>12</v>
      </c>
      <c r="O1" s="327" t="s">
        <v>13</v>
      </c>
      <c r="P1" s="213" t="s">
        <v>13</v>
      </c>
      <c r="Q1" s="213" t="s">
        <v>13</v>
      </c>
      <c r="R1" s="213" t="s">
        <v>13</v>
      </c>
      <c r="S1" s="213" t="s">
        <v>13</v>
      </c>
      <c r="T1" s="213" t="s">
        <v>1882</v>
      </c>
      <c r="U1" s="328" t="s">
        <v>2197</v>
      </c>
      <c r="V1" s="327" t="s">
        <v>1751</v>
      </c>
      <c r="W1" s="329" t="s">
        <v>2198</v>
      </c>
      <c r="X1" s="329" t="s">
        <v>2199</v>
      </c>
      <c r="Y1" s="329" t="s">
        <v>2200</v>
      </c>
      <c r="Z1" s="329"/>
    </row>
    <row r="2" ht="76.5" hidden="1" customHeight="1">
      <c r="A2" s="221">
        <v>1.0</v>
      </c>
      <c r="B2" s="11" t="s">
        <v>15</v>
      </c>
      <c r="C2" s="11" t="s">
        <v>26</v>
      </c>
      <c r="D2" s="93" t="s">
        <v>27</v>
      </c>
      <c r="E2" s="215" t="s">
        <v>19</v>
      </c>
      <c r="F2" s="216">
        <v>1.0</v>
      </c>
      <c r="G2" s="216">
        <v>2.0</v>
      </c>
      <c r="H2" s="216">
        <v>150.0</v>
      </c>
      <c r="I2" s="11">
        <f t="shared" ref="I2:I64" si="1">H2*G2</f>
        <v>300</v>
      </c>
      <c r="J2" s="11" t="s">
        <v>20</v>
      </c>
      <c r="K2" s="93" t="s">
        <v>21</v>
      </c>
      <c r="L2" s="93"/>
      <c r="M2" s="93" t="s">
        <v>23</v>
      </c>
      <c r="N2" s="217" t="s">
        <v>28</v>
      </c>
      <c r="O2" s="11" t="str">
        <f>IMAGE("https://5.imimg.com/data5/BN/FC/MY-25588345/omega-cell-tape-dispenser-500x500.jpg",1)</f>
        <v/>
      </c>
      <c r="P2" s="330"/>
      <c r="Q2" s="331"/>
      <c r="R2" s="75"/>
      <c r="S2" s="253"/>
      <c r="T2" s="11"/>
      <c r="U2" s="11">
        <v>3.0</v>
      </c>
      <c r="V2" s="11" t="s">
        <v>2007</v>
      </c>
      <c r="W2" s="332">
        <v>2.0</v>
      </c>
      <c r="X2" s="332">
        <f t="shared" ref="X2:X21" si="2">1/W2</f>
        <v>0.5</v>
      </c>
      <c r="Y2" s="332" t="str">
        <f t="shared" ref="Y2:Y84" si="3">LEFT(V2,1)</f>
        <v>C</v>
      </c>
      <c r="Z2" s="332"/>
    </row>
    <row r="3" ht="76.5" hidden="1" customHeight="1">
      <c r="A3" s="221">
        <v>2.0</v>
      </c>
      <c r="B3" s="11" t="s">
        <v>15</v>
      </c>
      <c r="C3" s="11" t="s">
        <v>17</v>
      </c>
      <c r="D3" s="93" t="s">
        <v>18</v>
      </c>
      <c r="E3" s="215" t="s">
        <v>19</v>
      </c>
      <c r="F3" s="216">
        <v>5.0</v>
      </c>
      <c r="G3" s="216">
        <v>6.0</v>
      </c>
      <c r="H3" s="216">
        <v>75.0</v>
      </c>
      <c r="I3" s="11">
        <f t="shared" si="1"/>
        <v>450</v>
      </c>
      <c r="J3" s="11" t="s">
        <v>20</v>
      </c>
      <c r="K3" s="93" t="s">
        <v>21</v>
      </c>
      <c r="L3" s="93" t="s">
        <v>1902</v>
      </c>
      <c r="M3" s="93" t="s">
        <v>23</v>
      </c>
      <c r="N3" s="217" t="s">
        <v>24</v>
      </c>
      <c r="O3" s="11" t="str">
        <f>IMAGE("https://m.media-amazon.com/images/I/61ZBVWoGgCL._SL1500_.jpg",1)</f>
        <v/>
      </c>
      <c r="P3" s="78"/>
      <c r="Q3" s="74"/>
      <c r="R3" s="75"/>
      <c r="S3" s="12"/>
      <c r="T3" s="11"/>
      <c r="U3" s="11">
        <v>1.0</v>
      </c>
      <c r="V3" s="11" t="s">
        <v>2006</v>
      </c>
      <c r="W3" s="332">
        <v>1.0</v>
      </c>
      <c r="X3" s="332">
        <f t="shared" si="2"/>
        <v>1</v>
      </c>
      <c r="Y3" s="332" t="str">
        <f t="shared" si="3"/>
        <v>C</v>
      </c>
      <c r="Z3" s="332"/>
    </row>
    <row r="4" ht="76.5" hidden="1" customHeight="1">
      <c r="A4" s="221">
        <v>3.0</v>
      </c>
      <c r="B4" s="11" t="s">
        <v>15</v>
      </c>
      <c r="C4" s="11" t="s">
        <v>30</v>
      </c>
      <c r="D4" s="93" t="s">
        <v>31</v>
      </c>
      <c r="E4" s="215" t="s">
        <v>19</v>
      </c>
      <c r="F4" s="216">
        <v>5.0</v>
      </c>
      <c r="G4" s="216">
        <v>6.0</v>
      </c>
      <c r="H4" s="218">
        <v>25.0</v>
      </c>
      <c r="I4" s="11">
        <f t="shared" si="1"/>
        <v>150</v>
      </c>
      <c r="J4" s="11" t="s">
        <v>20</v>
      </c>
      <c r="K4" s="93" t="s">
        <v>21</v>
      </c>
      <c r="L4" s="93" t="s">
        <v>2008</v>
      </c>
      <c r="M4" s="93" t="s">
        <v>23</v>
      </c>
      <c r="N4" s="217" t="s">
        <v>32</v>
      </c>
      <c r="O4" s="11" t="str">
        <f>IMAGE("https://m.media-amazon.com/images/I/21wXjA1iP5L.jpg",1)</f>
        <v/>
      </c>
      <c r="P4" s="78"/>
      <c r="Q4" s="74"/>
      <c r="R4" s="75"/>
      <c r="S4" s="5"/>
      <c r="T4" s="14"/>
      <c r="U4" s="11">
        <v>1.0</v>
      </c>
      <c r="V4" s="11" t="s">
        <v>2009</v>
      </c>
      <c r="W4" s="332">
        <v>1.0</v>
      </c>
      <c r="X4" s="332">
        <f t="shared" si="2"/>
        <v>1</v>
      </c>
      <c r="Y4" s="332" t="str">
        <f t="shared" si="3"/>
        <v>C</v>
      </c>
      <c r="Z4" s="332"/>
    </row>
    <row r="5" ht="76.5" hidden="1" customHeight="1">
      <c r="A5" s="221">
        <v>4.0</v>
      </c>
      <c r="B5" s="11" t="s">
        <v>15</v>
      </c>
      <c r="C5" s="11" t="s">
        <v>34</v>
      </c>
      <c r="D5" s="93" t="s">
        <v>35</v>
      </c>
      <c r="E5" s="215" t="s">
        <v>19</v>
      </c>
      <c r="F5" s="216">
        <v>5.0</v>
      </c>
      <c r="G5" s="216">
        <v>6.0</v>
      </c>
      <c r="H5" s="216">
        <v>80.0</v>
      </c>
      <c r="I5" s="11">
        <f t="shared" si="1"/>
        <v>480</v>
      </c>
      <c r="J5" s="11" t="s">
        <v>20</v>
      </c>
      <c r="K5" s="93" t="s">
        <v>21</v>
      </c>
      <c r="L5" s="93" t="s">
        <v>1902</v>
      </c>
      <c r="M5" s="93" t="s">
        <v>23</v>
      </c>
      <c r="N5" s="217"/>
      <c r="O5" s="11" t="str">
        <f>IMAGE("https://5.imimg.com/data5/YG/CD/MY-4112616/transparent-tape-500x500.jpg",1)</f>
        <v/>
      </c>
      <c r="P5" s="78"/>
      <c r="Q5" s="74"/>
      <c r="R5" s="75"/>
      <c r="S5" s="12"/>
      <c r="T5" s="11"/>
      <c r="U5" s="11">
        <v>1.0</v>
      </c>
      <c r="V5" s="11" t="s">
        <v>2006</v>
      </c>
      <c r="W5" s="332">
        <v>1.0</v>
      </c>
      <c r="X5" s="332">
        <f t="shared" si="2"/>
        <v>1</v>
      </c>
      <c r="Y5" s="332" t="str">
        <f t="shared" si="3"/>
        <v>C</v>
      </c>
      <c r="Z5" s="332"/>
    </row>
    <row r="6" ht="76.5" hidden="1" customHeight="1">
      <c r="A6" s="221">
        <v>5.0</v>
      </c>
      <c r="B6" s="11" t="s">
        <v>15</v>
      </c>
      <c r="C6" s="11" t="s">
        <v>37</v>
      </c>
      <c r="D6" s="93" t="s">
        <v>1886</v>
      </c>
      <c r="E6" s="215" t="s">
        <v>19</v>
      </c>
      <c r="F6" s="216">
        <v>5.0</v>
      </c>
      <c r="G6" s="216">
        <v>6.0</v>
      </c>
      <c r="H6" s="216">
        <v>80.0</v>
      </c>
      <c r="I6" s="11">
        <f t="shared" si="1"/>
        <v>480</v>
      </c>
      <c r="J6" s="11" t="s">
        <v>20</v>
      </c>
      <c r="K6" s="93" t="s">
        <v>21</v>
      </c>
      <c r="L6" s="93" t="s">
        <v>2008</v>
      </c>
      <c r="M6" s="93" t="s">
        <v>23</v>
      </c>
      <c r="N6" s="217" t="s">
        <v>39</v>
      </c>
      <c r="O6" s="11" t="str">
        <f>IMAGE("https://m.media-amazon.com/images/I/61JiUrBk2-L._SL1082_.jpg",1)</f>
        <v/>
      </c>
      <c r="P6" s="78"/>
      <c r="Q6" s="74"/>
      <c r="R6" s="75"/>
      <c r="S6" s="12"/>
      <c r="T6" s="11"/>
      <c r="U6" s="11">
        <v>1.0</v>
      </c>
      <c r="V6" s="11" t="s">
        <v>2009</v>
      </c>
      <c r="W6" s="332">
        <v>1.0</v>
      </c>
      <c r="X6" s="332">
        <f t="shared" si="2"/>
        <v>1</v>
      </c>
      <c r="Y6" s="332" t="str">
        <f t="shared" si="3"/>
        <v>C</v>
      </c>
      <c r="Z6" s="332"/>
    </row>
    <row r="7" ht="76.5" hidden="1" customHeight="1">
      <c r="A7" s="221">
        <v>6.0</v>
      </c>
      <c r="B7" s="11" t="s">
        <v>15</v>
      </c>
      <c r="C7" s="11" t="s">
        <v>45</v>
      </c>
      <c r="D7" s="93" t="s">
        <v>46</v>
      </c>
      <c r="E7" s="215" t="s">
        <v>19</v>
      </c>
      <c r="F7" s="11">
        <v>10.0</v>
      </c>
      <c r="G7" s="11">
        <v>10.0</v>
      </c>
      <c r="H7" s="11">
        <v>35.0</v>
      </c>
      <c r="I7" s="11">
        <f t="shared" si="1"/>
        <v>350</v>
      </c>
      <c r="J7" s="11" t="s">
        <v>20</v>
      </c>
      <c r="K7" s="93" t="s">
        <v>47</v>
      </c>
      <c r="L7" s="93" t="s">
        <v>2008</v>
      </c>
      <c r="M7" s="93" t="s">
        <v>23</v>
      </c>
      <c r="N7" s="217" t="s">
        <v>48</v>
      </c>
      <c r="O7" s="11" t="str">
        <f>IMAGE("https://m.media-amazon.com/images/I/81zdeTxqkLL._SL1500_.jpg",1)</f>
        <v/>
      </c>
      <c r="P7" s="78"/>
      <c r="Q7" s="74"/>
      <c r="R7" s="75"/>
      <c r="S7" s="12"/>
      <c r="T7" s="11"/>
      <c r="U7" s="11">
        <v>1.0</v>
      </c>
      <c r="V7" s="11" t="s">
        <v>2011</v>
      </c>
      <c r="W7" s="332">
        <v>1.0</v>
      </c>
      <c r="X7" s="332">
        <f t="shared" si="2"/>
        <v>1</v>
      </c>
      <c r="Y7" s="332" t="str">
        <f t="shared" si="3"/>
        <v>C</v>
      </c>
      <c r="Z7" s="332"/>
    </row>
    <row r="8" ht="76.5" hidden="1" customHeight="1">
      <c r="A8" s="221">
        <v>7.0</v>
      </c>
      <c r="B8" s="11" t="s">
        <v>15</v>
      </c>
      <c r="C8" s="11" t="s">
        <v>50</v>
      </c>
      <c r="D8" s="93" t="s">
        <v>51</v>
      </c>
      <c r="E8" s="215" t="s">
        <v>19</v>
      </c>
      <c r="F8" s="216">
        <v>5.0</v>
      </c>
      <c r="G8" s="216">
        <v>5.0</v>
      </c>
      <c r="H8" s="216">
        <v>80.0</v>
      </c>
      <c r="I8" s="11">
        <f t="shared" si="1"/>
        <v>400</v>
      </c>
      <c r="J8" s="11" t="s">
        <v>20</v>
      </c>
      <c r="K8" s="93" t="s">
        <v>21</v>
      </c>
      <c r="L8" s="93" t="s">
        <v>2012</v>
      </c>
      <c r="M8" s="93" t="s">
        <v>23</v>
      </c>
      <c r="N8" s="217" t="s">
        <v>52</v>
      </c>
      <c r="O8" s="11" t="str">
        <f>IMAGE("https://megahardwarett.com/wp-content/uploads/2022/03/71TQZaRi6yL._AC_SX425_.jpg",1)</f>
        <v/>
      </c>
      <c r="P8" s="78"/>
      <c r="Q8" s="74"/>
      <c r="R8" s="75"/>
      <c r="S8" s="5"/>
      <c r="T8" s="14"/>
      <c r="U8" s="11">
        <v>1.0</v>
      </c>
      <c r="V8" s="11" t="s">
        <v>2013</v>
      </c>
      <c r="W8" s="332">
        <v>1.0</v>
      </c>
      <c r="X8" s="332">
        <f t="shared" si="2"/>
        <v>1</v>
      </c>
      <c r="Y8" s="332" t="str">
        <f t="shared" si="3"/>
        <v>C</v>
      </c>
      <c r="Z8" s="332"/>
    </row>
    <row r="9" ht="76.5" hidden="1" customHeight="1">
      <c r="A9" s="221">
        <v>8.0</v>
      </c>
      <c r="B9" s="11" t="s">
        <v>15</v>
      </c>
      <c r="C9" s="11" t="s">
        <v>54</v>
      </c>
      <c r="D9" s="93" t="s">
        <v>1887</v>
      </c>
      <c r="E9" s="215" t="s">
        <v>19</v>
      </c>
      <c r="F9" s="216">
        <v>5.0</v>
      </c>
      <c r="G9" s="216">
        <v>10.0</v>
      </c>
      <c r="H9" s="216">
        <v>60.0</v>
      </c>
      <c r="I9" s="11">
        <f t="shared" si="1"/>
        <v>600</v>
      </c>
      <c r="J9" s="11" t="s">
        <v>20</v>
      </c>
      <c r="K9" s="93" t="s">
        <v>47</v>
      </c>
      <c r="L9" s="93" t="s">
        <v>2008</v>
      </c>
      <c r="M9" s="93" t="s">
        <v>23</v>
      </c>
      <c r="N9" s="216" t="s">
        <v>56</v>
      </c>
      <c r="O9" s="11" t="str">
        <f>IMAGE("https://m.media-amazon.com/images/I/51xkFZnkVFL._SX466_.jpg",1)</f>
        <v/>
      </c>
      <c r="P9" s="78"/>
      <c r="Q9" s="74"/>
      <c r="R9" s="75"/>
      <c r="S9" s="12"/>
      <c r="T9" s="11"/>
      <c r="U9" s="11">
        <v>1.0</v>
      </c>
      <c r="V9" s="11" t="s">
        <v>2011</v>
      </c>
      <c r="W9" s="332">
        <v>1.0</v>
      </c>
      <c r="X9" s="332">
        <f t="shared" si="2"/>
        <v>1</v>
      </c>
      <c r="Y9" s="332" t="str">
        <f t="shared" si="3"/>
        <v>C</v>
      </c>
      <c r="Z9" s="332"/>
    </row>
    <row r="10" ht="76.5" hidden="1" customHeight="1">
      <c r="A10" s="221">
        <v>9.0</v>
      </c>
      <c r="B10" s="11" t="s">
        <v>15</v>
      </c>
      <c r="C10" s="11" t="s">
        <v>58</v>
      </c>
      <c r="D10" s="93" t="s">
        <v>1888</v>
      </c>
      <c r="E10" s="215" t="s">
        <v>19</v>
      </c>
      <c r="F10" s="216">
        <v>5.0</v>
      </c>
      <c r="G10" s="216">
        <v>10.0</v>
      </c>
      <c r="H10" s="216">
        <v>70.0</v>
      </c>
      <c r="I10" s="11">
        <f t="shared" si="1"/>
        <v>700</v>
      </c>
      <c r="J10" s="11" t="s">
        <v>20</v>
      </c>
      <c r="K10" s="93" t="s">
        <v>47</v>
      </c>
      <c r="L10" s="93" t="s">
        <v>2008</v>
      </c>
      <c r="M10" s="93" t="s">
        <v>23</v>
      </c>
      <c r="N10" s="217" t="s">
        <v>60</v>
      </c>
      <c r="O10" s="11" t="str">
        <f>IMAGE("https://5.imimg.com/data5/LJ/PW/MY-3849711/loctite-401-super-glue-500x500.jpg",1)</f>
        <v/>
      </c>
      <c r="P10" s="78"/>
      <c r="Q10" s="74"/>
      <c r="R10" s="75"/>
      <c r="S10" s="12"/>
      <c r="T10" s="11"/>
      <c r="U10" s="11">
        <v>1.0</v>
      </c>
      <c r="V10" s="11" t="s">
        <v>2011</v>
      </c>
      <c r="W10" s="332">
        <v>1.0</v>
      </c>
      <c r="X10" s="332">
        <f t="shared" si="2"/>
        <v>1</v>
      </c>
      <c r="Y10" s="332" t="str">
        <f t="shared" si="3"/>
        <v>C</v>
      </c>
      <c r="Z10" s="332"/>
    </row>
    <row r="11" ht="76.5" hidden="1" customHeight="1">
      <c r="A11" s="221">
        <v>10.0</v>
      </c>
      <c r="B11" s="11" t="s">
        <v>15</v>
      </c>
      <c r="C11" s="11" t="s">
        <v>62</v>
      </c>
      <c r="D11" s="93" t="s">
        <v>1889</v>
      </c>
      <c r="E11" s="215" t="s">
        <v>64</v>
      </c>
      <c r="F11" s="216">
        <v>20.0</v>
      </c>
      <c r="G11" s="216">
        <v>60.0</v>
      </c>
      <c r="H11" s="216">
        <v>300.0</v>
      </c>
      <c r="I11" s="11">
        <f t="shared" si="1"/>
        <v>18000</v>
      </c>
      <c r="J11" s="11" t="s">
        <v>20</v>
      </c>
      <c r="K11" s="93" t="s">
        <v>65</v>
      </c>
      <c r="L11" s="93" t="s">
        <v>2012</v>
      </c>
      <c r="M11" s="93" t="s">
        <v>1890</v>
      </c>
      <c r="N11" s="217" t="s">
        <v>68</v>
      </c>
      <c r="O11" s="11" t="str">
        <f>IMAGE("https://5.imimg.com/data5/SELLER/Default/2020/9/EF/FR/SW/13763930/fevicryte-acrylic-colors-500x500.jpg",1)</f>
        <v/>
      </c>
      <c r="P11" s="78" t="s">
        <v>56</v>
      </c>
      <c r="Q11" s="74"/>
      <c r="R11" s="75"/>
      <c r="S11" s="12"/>
      <c r="T11" s="11"/>
      <c r="U11" s="11">
        <v>1.0</v>
      </c>
      <c r="V11" s="11" t="s">
        <v>2014</v>
      </c>
      <c r="W11" s="332">
        <v>1.0</v>
      </c>
      <c r="X11" s="332">
        <f t="shared" si="2"/>
        <v>1</v>
      </c>
      <c r="Y11" s="332" t="str">
        <f t="shared" si="3"/>
        <v>C</v>
      </c>
      <c r="Z11" s="332"/>
    </row>
    <row r="12" ht="76.5" hidden="1" customHeight="1">
      <c r="A12" s="221">
        <v>11.0</v>
      </c>
      <c r="B12" s="11" t="s">
        <v>15</v>
      </c>
      <c r="C12" s="11" t="s">
        <v>70</v>
      </c>
      <c r="D12" s="93" t="s">
        <v>71</v>
      </c>
      <c r="E12" s="215" t="s">
        <v>64</v>
      </c>
      <c r="F12" s="216">
        <v>1.0</v>
      </c>
      <c r="G12" s="216">
        <v>25.0</v>
      </c>
      <c r="H12" s="218">
        <v>1000.0</v>
      </c>
      <c r="I12" s="11">
        <f t="shared" si="1"/>
        <v>25000</v>
      </c>
      <c r="J12" s="11" t="s">
        <v>20</v>
      </c>
      <c r="K12" s="93" t="s">
        <v>72</v>
      </c>
      <c r="L12" s="93" t="s">
        <v>65</v>
      </c>
      <c r="M12" s="93" t="s">
        <v>111</v>
      </c>
      <c r="N12" s="219" t="s">
        <v>73</v>
      </c>
      <c r="O12" s="11" t="str">
        <f>IMAGE("https://helloaugust.in/wp-content/uploads/2020/04/dark-colour-chart-paper-full-size-300x300.jpg",1)</f>
        <v/>
      </c>
      <c r="P12" s="78"/>
      <c r="Q12" s="74"/>
      <c r="R12" s="75"/>
      <c r="S12" s="12"/>
      <c r="T12" s="11"/>
      <c r="U12" s="11">
        <v>3.0</v>
      </c>
      <c r="V12" s="11" t="s">
        <v>1984</v>
      </c>
      <c r="W12" s="332">
        <v>1.0</v>
      </c>
      <c r="X12" s="332">
        <f t="shared" si="2"/>
        <v>1</v>
      </c>
      <c r="Y12" s="332" t="str">
        <f t="shared" si="3"/>
        <v>C</v>
      </c>
      <c r="Z12" s="332"/>
    </row>
    <row r="13" ht="76.5" hidden="1" customHeight="1">
      <c r="A13" s="221">
        <v>12.0</v>
      </c>
      <c r="B13" s="11" t="s">
        <v>15</v>
      </c>
      <c r="C13" s="11" t="s">
        <v>80</v>
      </c>
      <c r="D13" s="93" t="s">
        <v>352</v>
      </c>
      <c r="E13" s="215" t="s">
        <v>64</v>
      </c>
      <c r="F13" s="216">
        <v>5.0</v>
      </c>
      <c r="G13" s="216">
        <v>5.0</v>
      </c>
      <c r="H13" s="218">
        <v>100.0</v>
      </c>
      <c r="I13" s="11">
        <f t="shared" si="1"/>
        <v>500</v>
      </c>
      <c r="J13" s="11" t="s">
        <v>20</v>
      </c>
      <c r="K13" s="93" t="s">
        <v>65</v>
      </c>
      <c r="L13" s="93"/>
      <c r="M13" s="93" t="s">
        <v>111</v>
      </c>
      <c r="N13" s="217" t="s">
        <v>84</v>
      </c>
      <c r="O13" s="11" t="str">
        <f>IMAGE("https://4.imimg.com/data4/TN/NP/MY-32886991/a4-colour-paper-500x500.jpg",1)</f>
        <v/>
      </c>
      <c r="P13" s="78"/>
      <c r="Q13" s="74"/>
      <c r="R13" s="75"/>
      <c r="S13" s="12"/>
      <c r="T13" s="11"/>
      <c r="U13" s="11">
        <v>3.0</v>
      </c>
      <c r="V13" s="11" t="s">
        <v>1984</v>
      </c>
      <c r="W13" s="332">
        <v>1.0</v>
      </c>
      <c r="X13" s="332">
        <f t="shared" si="2"/>
        <v>1</v>
      </c>
      <c r="Y13" s="332" t="str">
        <f t="shared" si="3"/>
        <v>C</v>
      </c>
      <c r="Z13" s="332"/>
    </row>
    <row r="14" ht="76.5" hidden="1" customHeight="1">
      <c r="A14" s="221">
        <v>13.0</v>
      </c>
      <c r="B14" s="11" t="s">
        <v>15</v>
      </c>
      <c r="C14" s="11" t="s">
        <v>86</v>
      </c>
      <c r="D14" s="93" t="s">
        <v>1893</v>
      </c>
      <c r="E14" s="215" t="s">
        <v>64</v>
      </c>
      <c r="F14" s="216">
        <v>5.0</v>
      </c>
      <c r="G14" s="216">
        <v>5.0</v>
      </c>
      <c r="H14" s="216">
        <v>70.0</v>
      </c>
      <c r="I14" s="11">
        <f t="shared" si="1"/>
        <v>350</v>
      </c>
      <c r="J14" s="11" t="s">
        <v>20</v>
      </c>
      <c r="K14" s="93" t="s">
        <v>77</v>
      </c>
      <c r="L14" s="123" t="s">
        <v>1594</v>
      </c>
      <c r="M14" s="93" t="s">
        <v>111</v>
      </c>
      <c r="N14" s="217" t="s">
        <v>88</v>
      </c>
      <c r="O14" s="11" t="str">
        <f>IMAGE("https://www.htconline.in/images/thumbs/0019821_camlin-drawing-pencils-set-of-6.jpeg",1)</f>
        <v/>
      </c>
      <c r="P14" s="78"/>
      <c r="Q14" s="74"/>
      <c r="R14" s="75"/>
      <c r="S14" s="12"/>
      <c r="T14" s="11"/>
      <c r="U14" s="11">
        <v>1.0</v>
      </c>
      <c r="V14" s="11" t="s">
        <v>2016</v>
      </c>
      <c r="W14" s="332">
        <v>1.0</v>
      </c>
      <c r="X14" s="332">
        <f t="shared" si="2"/>
        <v>1</v>
      </c>
      <c r="Y14" s="332" t="str">
        <f t="shared" si="3"/>
        <v>C</v>
      </c>
      <c r="Z14" s="332"/>
    </row>
    <row r="15" ht="76.5" hidden="1" customHeight="1">
      <c r="A15" s="221">
        <v>14.0</v>
      </c>
      <c r="B15" s="11" t="s">
        <v>15</v>
      </c>
      <c r="C15" s="11" t="s">
        <v>90</v>
      </c>
      <c r="D15" s="93" t="s">
        <v>91</v>
      </c>
      <c r="E15" s="215" t="s">
        <v>64</v>
      </c>
      <c r="F15" s="216">
        <v>10.0</v>
      </c>
      <c r="G15" s="216">
        <v>20.0</v>
      </c>
      <c r="H15" s="216">
        <v>10.0</v>
      </c>
      <c r="I15" s="11">
        <f t="shared" si="1"/>
        <v>200</v>
      </c>
      <c r="J15" s="11" t="s">
        <v>20</v>
      </c>
      <c r="K15" s="93" t="s">
        <v>77</v>
      </c>
      <c r="L15" s="123" t="s">
        <v>1594</v>
      </c>
      <c r="M15" s="93" t="s">
        <v>111</v>
      </c>
      <c r="N15" s="217" t="s">
        <v>92</v>
      </c>
      <c r="O15" s="11" t="str">
        <f>IMAGE("https://upload.wikimedia.org/wikipedia/commons/e/e8/Office-pink-erasers.jpg",1)</f>
        <v/>
      </c>
      <c r="P15" s="78" t="s">
        <v>56</v>
      </c>
      <c r="Q15" s="74"/>
      <c r="R15" s="75"/>
      <c r="S15" s="12"/>
      <c r="T15" s="11"/>
      <c r="U15" s="11">
        <v>1.0</v>
      </c>
      <c r="V15" s="11" t="s">
        <v>2016</v>
      </c>
      <c r="W15" s="332">
        <v>1.0</v>
      </c>
      <c r="X15" s="332">
        <f t="shared" si="2"/>
        <v>1</v>
      </c>
      <c r="Y15" s="332" t="str">
        <f t="shared" si="3"/>
        <v>C</v>
      </c>
      <c r="Z15" s="332"/>
    </row>
    <row r="16" ht="76.5" hidden="1" customHeight="1">
      <c r="A16" s="221">
        <v>15.0</v>
      </c>
      <c r="B16" s="11" t="s">
        <v>15</v>
      </c>
      <c r="C16" s="11" t="s">
        <v>94</v>
      </c>
      <c r="D16" s="93" t="s">
        <v>95</v>
      </c>
      <c r="E16" s="215" t="s">
        <v>64</v>
      </c>
      <c r="F16" s="216">
        <v>10.0</v>
      </c>
      <c r="G16" s="216">
        <v>10.0</v>
      </c>
      <c r="H16" s="216">
        <v>35.0</v>
      </c>
      <c r="I16" s="11">
        <f t="shared" si="1"/>
        <v>350</v>
      </c>
      <c r="J16" s="11" t="s">
        <v>20</v>
      </c>
      <c r="K16" s="93" t="s">
        <v>77</v>
      </c>
      <c r="L16" s="123" t="s">
        <v>1594</v>
      </c>
      <c r="M16" s="93" t="s">
        <v>111</v>
      </c>
      <c r="N16" s="220" t="s">
        <v>96</v>
      </c>
      <c r="O16" s="11" t="str">
        <f>IMAGE("https://cdn.shopify.com/s/files/1/0064/3412/7939/products/Main-2_2baab3ae-c700-4dd7-acd2-e9442aee0358_2048x.jpg?v=1669799264",1)</f>
        <v/>
      </c>
      <c r="P16" s="78"/>
      <c r="Q16" s="74"/>
      <c r="R16" s="75"/>
      <c r="S16" s="12"/>
      <c r="T16" s="11"/>
      <c r="U16" s="11">
        <v>1.0</v>
      </c>
      <c r="V16" s="11" t="s">
        <v>2016</v>
      </c>
      <c r="W16" s="332">
        <v>1.0</v>
      </c>
      <c r="X16" s="332">
        <f t="shared" si="2"/>
        <v>1</v>
      </c>
      <c r="Y16" s="332" t="str">
        <f t="shared" si="3"/>
        <v>C</v>
      </c>
      <c r="Z16" s="332"/>
    </row>
    <row r="17" ht="76.5" hidden="1" customHeight="1">
      <c r="A17" s="221">
        <v>16.0</v>
      </c>
      <c r="B17" s="221" t="s">
        <v>15</v>
      </c>
      <c r="C17" s="11" t="s">
        <v>97</v>
      </c>
      <c r="D17" s="93" t="s">
        <v>1894</v>
      </c>
      <c r="E17" s="215" t="s">
        <v>64</v>
      </c>
      <c r="F17" s="216" t="s">
        <v>56</v>
      </c>
      <c r="G17" s="216">
        <v>10.0</v>
      </c>
      <c r="H17" s="216">
        <v>10.0</v>
      </c>
      <c r="I17" s="11">
        <f t="shared" si="1"/>
        <v>100</v>
      </c>
      <c r="J17" s="11" t="s">
        <v>20</v>
      </c>
      <c r="K17" s="93" t="s">
        <v>77</v>
      </c>
      <c r="L17" s="123" t="s">
        <v>1594</v>
      </c>
      <c r="M17" s="93" t="s">
        <v>111</v>
      </c>
      <c r="N17" s="220"/>
      <c r="O17" s="11" t="e">
        <v>#VALUE!</v>
      </c>
      <c r="P17" s="78"/>
      <c r="Q17" s="74"/>
      <c r="R17" s="75"/>
      <c r="S17" s="12"/>
      <c r="T17" s="11"/>
      <c r="U17" s="11">
        <v>1.0</v>
      </c>
      <c r="V17" s="11" t="s">
        <v>2016</v>
      </c>
      <c r="W17" s="332">
        <v>1.0</v>
      </c>
      <c r="X17" s="332">
        <f t="shared" si="2"/>
        <v>1</v>
      </c>
      <c r="Y17" s="332" t="str">
        <f t="shared" si="3"/>
        <v>C</v>
      </c>
      <c r="Z17" s="332"/>
    </row>
    <row r="18" ht="76.5" hidden="1" customHeight="1">
      <c r="A18" s="221">
        <v>17.0</v>
      </c>
      <c r="B18" s="11" t="s">
        <v>15</v>
      </c>
      <c r="C18" s="11" t="s">
        <v>100</v>
      </c>
      <c r="D18" s="93" t="s">
        <v>101</v>
      </c>
      <c r="E18" s="215" t="s">
        <v>64</v>
      </c>
      <c r="F18" s="216">
        <v>5.0</v>
      </c>
      <c r="G18" s="216">
        <v>10.0</v>
      </c>
      <c r="H18" s="216">
        <v>200.0</v>
      </c>
      <c r="I18" s="11">
        <f t="shared" si="1"/>
        <v>2000</v>
      </c>
      <c r="J18" s="11" t="s">
        <v>20</v>
      </c>
      <c r="K18" s="93" t="s">
        <v>77</v>
      </c>
      <c r="L18" s="123" t="s">
        <v>2012</v>
      </c>
      <c r="M18" s="93" t="s">
        <v>1890</v>
      </c>
      <c r="N18" s="217" t="s">
        <v>102</v>
      </c>
      <c r="O18" s="11" t="str">
        <f>IMAGE("https://i5.walmartimages.com/asr/2f51619b-ee1e-4e7f-9717-927459ae38b6.1308a61cc28d473c3122e46595affb79.jpeg",1)</f>
        <v/>
      </c>
      <c r="P18" s="78"/>
      <c r="Q18" s="74"/>
      <c r="R18" s="75"/>
      <c r="S18" s="12"/>
      <c r="T18" s="11"/>
      <c r="U18" s="11">
        <v>1.0</v>
      </c>
      <c r="V18" s="11" t="s">
        <v>2017</v>
      </c>
      <c r="W18" s="332">
        <v>1.0</v>
      </c>
      <c r="X18" s="332">
        <f t="shared" si="2"/>
        <v>1</v>
      </c>
      <c r="Y18" s="332" t="str">
        <f t="shared" si="3"/>
        <v>C</v>
      </c>
      <c r="Z18" s="332"/>
    </row>
    <row r="19" ht="76.5" hidden="1" customHeight="1">
      <c r="A19" s="221">
        <v>18.0</v>
      </c>
      <c r="B19" s="11" t="s">
        <v>15</v>
      </c>
      <c r="C19" s="11" t="s">
        <v>104</v>
      </c>
      <c r="D19" s="93" t="s">
        <v>105</v>
      </c>
      <c r="E19" s="215" t="s">
        <v>64</v>
      </c>
      <c r="F19" s="216">
        <v>5.0</v>
      </c>
      <c r="G19" s="216">
        <v>5.0</v>
      </c>
      <c r="H19" s="216">
        <v>50.0</v>
      </c>
      <c r="I19" s="11">
        <f t="shared" si="1"/>
        <v>250</v>
      </c>
      <c r="J19" s="11" t="s">
        <v>20</v>
      </c>
      <c r="K19" s="93" t="s">
        <v>21</v>
      </c>
      <c r="L19" s="123" t="s">
        <v>1895</v>
      </c>
      <c r="M19" s="93" t="s">
        <v>1890</v>
      </c>
      <c r="N19" s="217" t="s">
        <v>106</v>
      </c>
      <c r="O19" s="11" t="str">
        <f>IMAGE("https://c8.alamy.com/comp/R7TP32/paint-palette-with-various-acrylic-paints-and-a-brush-R7TP32.jpg",1)</f>
        <v/>
      </c>
      <c r="P19" s="333"/>
      <c r="Q19" s="74"/>
      <c r="R19" s="75"/>
      <c r="S19" s="12"/>
      <c r="T19" s="11"/>
      <c r="U19" s="11">
        <v>1.0</v>
      </c>
      <c r="V19" s="11" t="s">
        <v>2018</v>
      </c>
      <c r="W19" s="332">
        <v>1.0</v>
      </c>
      <c r="X19" s="332">
        <f t="shared" si="2"/>
        <v>1</v>
      </c>
      <c r="Y19" s="332" t="str">
        <f t="shared" si="3"/>
        <v>C</v>
      </c>
      <c r="Z19" s="332"/>
    </row>
    <row r="20" ht="76.5" hidden="1" customHeight="1">
      <c r="A20" s="221">
        <v>19.0</v>
      </c>
      <c r="B20" s="11" t="s">
        <v>15</v>
      </c>
      <c r="C20" s="11" t="s">
        <v>108</v>
      </c>
      <c r="D20" s="93" t="s">
        <v>1896</v>
      </c>
      <c r="E20" s="215" t="s">
        <v>64</v>
      </c>
      <c r="F20" s="216">
        <v>10.0</v>
      </c>
      <c r="G20" s="216">
        <v>1.0</v>
      </c>
      <c r="H20" s="218">
        <v>20.0</v>
      </c>
      <c r="I20" s="11">
        <f t="shared" si="1"/>
        <v>20</v>
      </c>
      <c r="J20" s="11" t="s">
        <v>20</v>
      </c>
      <c r="K20" s="93" t="s">
        <v>77</v>
      </c>
      <c r="L20" s="93" t="s">
        <v>1902</v>
      </c>
      <c r="M20" s="93" t="s">
        <v>111</v>
      </c>
      <c r="N20" s="217" t="s">
        <v>112</v>
      </c>
      <c r="O20" s="11" t="str">
        <f>IMAGE("https://i5.walmartimages.com/asr/093150f9-deec-44c1-a07d-a6985f3f45c7.dad44d94862d81eed55b6d8aef2937c1.jpeg?odnHeight=612&amp;odnWidth=612&amp;odnBg=FFFFFF",1)</f>
        <v/>
      </c>
      <c r="P20" s="78"/>
      <c r="Q20" s="74"/>
      <c r="R20" s="75"/>
      <c r="S20" s="5"/>
      <c r="T20" s="11"/>
      <c r="U20" s="11">
        <v>1.0</v>
      </c>
      <c r="V20" s="11" t="s">
        <v>2019</v>
      </c>
      <c r="W20" s="332">
        <v>1.0</v>
      </c>
      <c r="X20" s="332">
        <f t="shared" si="2"/>
        <v>1</v>
      </c>
      <c r="Y20" s="332" t="str">
        <f t="shared" si="3"/>
        <v>C</v>
      </c>
      <c r="Z20" s="332"/>
    </row>
    <row r="21" ht="76.5" hidden="1" customHeight="1">
      <c r="A21" s="221">
        <v>20.0</v>
      </c>
      <c r="B21" s="11" t="s">
        <v>15</v>
      </c>
      <c r="C21" s="11" t="s">
        <v>114</v>
      </c>
      <c r="D21" s="93" t="s">
        <v>115</v>
      </c>
      <c r="E21" s="215" t="s">
        <v>64</v>
      </c>
      <c r="F21" s="216">
        <v>5.0</v>
      </c>
      <c r="G21" s="216">
        <v>10.0</v>
      </c>
      <c r="H21" s="216">
        <v>40.0</v>
      </c>
      <c r="I21" s="11">
        <f t="shared" si="1"/>
        <v>400</v>
      </c>
      <c r="J21" s="11" t="s">
        <v>20</v>
      </c>
      <c r="K21" s="93" t="s">
        <v>77</v>
      </c>
      <c r="L21" s="93" t="s">
        <v>1895</v>
      </c>
      <c r="M21" s="93" t="s">
        <v>111</v>
      </c>
      <c r="N21" s="11" t="s">
        <v>56</v>
      </c>
      <c r="O21" s="11" t="str">
        <f>IMAGE("https://m.media-amazon.com/images/I/81XeaSXczEL._SL1500_.jpg",1)</f>
        <v/>
      </c>
      <c r="P21" s="78"/>
      <c r="Q21" s="74"/>
      <c r="R21" s="75"/>
      <c r="S21" s="12"/>
      <c r="T21" s="11"/>
      <c r="U21" s="11">
        <v>1.0</v>
      </c>
      <c r="V21" s="11" t="s">
        <v>2020</v>
      </c>
      <c r="W21" s="332">
        <v>1.0</v>
      </c>
      <c r="X21" s="332">
        <f t="shared" si="2"/>
        <v>1</v>
      </c>
      <c r="Y21" s="332" t="str">
        <f t="shared" si="3"/>
        <v>C</v>
      </c>
      <c r="Z21" s="332"/>
    </row>
    <row r="22" ht="76.5" hidden="1" customHeight="1">
      <c r="A22" s="221">
        <v>21.0</v>
      </c>
      <c r="B22" s="11" t="s">
        <v>15</v>
      </c>
      <c r="C22" s="11" t="s">
        <v>118</v>
      </c>
      <c r="D22" s="93" t="s">
        <v>1897</v>
      </c>
      <c r="E22" s="215" t="s">
        <v>64</v>
      </c>
      <c r="F22" s="216">
        <v>10.0</v>
      </c>
      <c r="G22" s="216">
        <v>10.0</v>
      </c>
      <c r="H22" s="216">
        <v>100.0</v>
      </c>
      <c r="I22" s="11">
        <f t="shared" si="1"/>
        <v>1000</v>
      </c>
      <c r="J22" s="11" t="s">
        <v>20</v>
      </c>
      <c r="K22" s="93" t="s">
        <v>21</v>
      </c>
      <c r="L22" s="123" t="s">
        <v>1594</v>
      </c>
      <c r="M22" s="93" t="s">
        <v>1898</v>
      </c>
      <c r="N22" s="217" t="s">
        <v>120</v>
      </c>
      <c r="O22" s="11" t="str">
        <f>IMAGE("https://www.faithfulltools.com/images/xxlarge/FAIRULE150SS.jpg",1)</f>
        <v/>
      </c>
      <c r="P22" s="333"/>
      <c r="Q22" s="74"/>
      <c r="R22" s="75"/>
      <c r="S22" s="12"/>
      <c r="T22" s="11"/>
      <c r="U22" s="11">
        <v>1.0</v>
      </c>
      <c r="V22" s="11" t="s">
        <v>2021</v>
      </c>
      <c r="W22" s="332">
        <v>1.0</v>
      </c>
      <c r="X22" s="332">
        <v>0.5</v>
      </c>
      <c r="Y22" s="332" t="str">
        <f t="shared" si="3"/>
        <v>C</v>
      </c>
      <c r="Z22" s="332"/>
    </row>
    <row r="23" ht="76.5" hidden="1" customHeight="1">
      <c r="A23" s="221">
        <v>22.0</v>
      </c>
      <c r="B23" s="11" t="s">
        <v>15</v>
      </c>
      <c r="C23" s="11" t="s">
        <v>122</v>
      </c>
      <c r="D23" s="93" t="s">
        <v>123</v>
      </c>
      <c r="E23" s="215" t="s">
        <v>64</v>
      </c>
      <c r="F23" s="216">
        <v>10.0</v>
      </c>
      <c r="G23" s="216">
        <v>10.0</v>
      </c>
      <c r="H23" s="216">
        <v>25.0</v>
      </c>
      <c r="I23" s="11">
        <f t="shared" si="1"/>
        <v>250</v>
      </c>
      <c r="J23" s="11" t="s">
        <v>20</v>
      </c>
      <c r="K23" s="93" t="s">
        <v>77</v>
      </c>
      <c r="L23" s="123" t="s">
        <v>2022</v>
      </c>
      <c r="M23" s="93" t="s">
        <v>1899</v>
      </c>
      <c r="N23" s="217" t="s">
        <v>124</v>
      </c>
      <c r="O23" s="11" t="str">
        <f>IMAGE("https://images.meesho.com/images/products/60299132/dranx_512.jpg",1)</f>
        <v/>
      </c>
      <c r="P23" s="78"/>
      <c r="Q23" s="79"/>
      <c r="R23" s="80"/>
      <c r="S23" s="12"/>
      <c r="T23" s="11"/>
      <c r="U23" s="11">
        <v>1.0</v>
      </c>
      <c r="V23" s="11" t="s">
        <v>2023</v>
      </c>
      <c r="W23" s="332">
        <v>1.0</v>
      </c>
      <c r="X23" s="332">
        <f t="shared" ref="X23:X310" si="4">1/W23</f>
        <v>1</v>
      </c>
      <c r="Y23" s="332" t="str">
        <f t="shared" si="3"/>
        <v>C</v>
      </c>
      <c r="Z23" s="332"/>
    </row>
    <row r="24" ht="76.5" hidden="1" customHeight="1">
      <c r="A24" s="221">
        <v>23.0</v>
      </c>
      <c r="B24" s="11" t="s">
        <v>15</v>
      </c>
      <c r="C24" s="11" t="s">
        <v>126</v>
      </c>
      <c r="D24" s="93" t="s">
        <v>127</v>
      </c>
      <c r="E24" s="215" t="s">
        <v>64</v>
      </c>
      <c r="F24" s="216">
        <v>5.0</v>
      </c>
      <c r="G24" s="216">
        <v>5.0</v>
      </c>
      <c r="H24" s="216">
        <v>25.0</v>
      </c>
      <c r="I24" s="11">
        <f t="shared" si="1"/>
        <v>125</v>
      </c>
      <c r="J24" s="11" t="s">
        <v>20</v>
      </c>
      <c r="K24" s="93" t="s">
        <v>65</v>
      </c>
      <c r="L24" s="123"/>
      <c r="M24" s="93" t="s">
        <v>111</v>
      </c>
      <c r="N24" s="217" t="s">
        <v>128</v>
      </c>
      <c r="O24" s="11" t="e">
        <v>#VALUE!</v>
      </c>
      <c r="P24" s="78"/>
      <c r="Q24" s="74"/>
      <c r="R24" s="75"/>
      <c r="S24" s="12"/>
      <c r="T24" s="11"/>
      <c r="U24" s="11">
        <v>3.0</v>
      </c>
      <c r="V24" s="11" t="s">
        <v>1900</v>
      </c>
      <c r="W24" s="332">
        <v>1.0</v>
      </c>
      <c r="X24" s="332">
        <f t="shared" si="4"/>
        <v>1</v>
      </c>
      <c r="Y24" s="332" t="str">
        <f t="shared" si="3"/>
        <v>C</v>
      </c>
      <c r="Z24" s="332"/>
    </row>
    <row r="25" ht="76.5" hidden="1" customHeight="1">
      <c r="A25" s="221">
        <v>24.0</v>
      </c>
      <c r="B25" s="11" t="s">
        <v>15</v>
      </c>
      <c r="C25" s="11" t="s">
        <v>130</v>
      </c>
      <c r="D25" s="93" t="s">
        <v>131</v>
      </c>
      <c r="E25" s="215" t="s">
        <v>64</v>
      </c>
      <c r="F25" s="216">
        <v>10.0</v>
      </c>
      <c r="G25" s="216">
        <v>10.0</v>
      </c>
      <c r="H25" s="216">
        <v>50.0</v>
      </c>
      <c r="I25" s="11">
        <f t="shared" si="1"/>
        <v>500</v>
      </c>
      <c r="J25" s="11" t="s">
        <v>20</v>
      </c>
      <c r="K25" s="93"/>
      <c r="L25" s="93" t="s">
        <v>1594</v>
      </c>
      <c r="M25" s="93" t="s">
        <v>1898</v>
      </c>
      <c r="N25" s="217" t="s">
        <v>132</v>
      </c>
      <c r="O25" s="11" t="str">
        <f>IMAGE("https://5.imimg.com/data5/AO/GN/AU/SELLER-10873750/floppy-disk-1000x1000.jpg",1)</f>
        <v/>
      </c>
      <c r="P25" s="78"/>
      <c r="Q25" s="74"/>
      <c r="R25" s="75"/>
      <c r="S25" s="12"/>
      <c r="T25" s="11"/>
      <c r="U25" s="11">
        <v>1.0</v>
      </c>
      <c r="V25" s="11" t="s">
        <v>2016</v>
      </c>
      <c r="W25" s="332">
        <v>1.0</v>
      </c>
      <c r="X25" s="332">
        <f t="shared" si="4"/>
        <v>1</v>
      </c>
      <c r="Y25" s="332" t="str">
        <f t="shared" si="3"/>
        <v>C</v>
      </c>
      <c r="Z25" s="332"/>
    </row>
    <row r="26" ht="76.5" hidden="1" customHeight="1">
      <c r="A26" s="221">
        <v>25.0</v>
      </c>
      <c r="B26" s="221" t="s">
        <v>15</v>
      </c>
      <c r="C26" s="11" t="s">
        <v>388</v>
      </c>
      <c r="D26" s="93" t="s">
        <v>1927</v>
      </c>
      <c r="E26" s="215" t="s">
        <v>346</v>
      </c>
      <c r="F26" s="216">
        <v>5.0</v>
      </c>
      <c r="G26" s="216">
        <v>5.0</v>
      </c>
      <c r="H26" s="216">
        <v>50.0</v>
      </c>
      <c r="I26" s="11">
        <f t="shared" si="1"/>
        <v>250</v>
      </c>
      <c r="J26" s="11" t="s">
        <v>347</v>
      </c>
      <c r="K26" s="93" t="s">
        <v>77</v>
      </c>
      <c r="L26" s="123" t="s">
        <v>2012</v>
      </c>
      <c r="M26" s="215" t="s">
        <v>346</v>
      </c>
      <c r="N26" s="217" t="s">
        <v>390</v>
      </c>
      <c r="O26" s="11" t="str">
        <f>IMAGE("https://m.media-amazon.com/images/I/518vUksgebL._SL1100_.jpg",1)</f>
        <v/>
      </c>
      <c r="P26" s="78"/>
      <c r="Q26" s="74"/>
      <c r="R26" s="75"/>
      <c r="S26" s="12"/>
      <c r="T26" s="11"/>
      <c r="U26" s="11">
        <v>1.0</v>
      </c>
      <c r="V26" s="11" t="s">
        <v>2055</v>
      </c>
      <c r="W26" s="332">
        <v>1.0</v>
      </c>
      <c r="X26" s="332">
        <f t="shared" si="4"/>
        <v>1</v>
      </c>
      <c r="Y26" s="332" t="str">
        <f t="shared" si="3"/>
        <v>C</v>
      </c>
      <c r="Z26" s="332"/>
    </row>
    <row r="27" ht="76.5" hidden="1" customHeight="1">
      <c r="A27" s="221">
        <v>26.0</v>
      </c>
      <c r="B27" s="221" t="s">
        <v>15</v>
      </c>
      <c r="C27" s="11" t="s">
        <v>392</v>
      </c>
      <c r="D27" s="93" t="s">
        <v>1928</v>
      </c>
      <c r="E27" s="215" t="s">
        <v>346</v>
      </c>
      <c r="F27" s="216">
        <v>5.0</v>
      </c>
      <c r="G27" s="216">
        <v>5.0</v>
      </c>
      <c r="H27" s="216">
        <v>50.0</v>
      </c>
      <c r="I27" s="11">
        <f t="shared" si="1"/>
        <v>250</v>
      </c>
      <c r="J27" s="11" t="s">
        <v>347</v>
      </c>
      <c r="K27" s="93" t="s">
        <v>77</v>
      </c>
      <c r="L27" s="123" t="s">
        <v>2012</v>
      </c>
      <c r="M27" s="215" t="s">
        <v>346</v>
      </c>
      <c r="N27" s="217" t="s">
        <v>394</v>
      </c>
      <c r="O27" s="11" t="str">
        <f>IMAGE("https://rukminim1.flixcart.com/image/416/416/jidg9zk0/art-craft-kit/f/g/a/9mm-snap-off-precision-blades-30-degree-blades-100-blade-pack-1-original-imaf66g6ahvgzem3.jpeg?q=70",1)</f>
        <v/>
      </c>
      <c r="P27" s="78"/>
      <c r="Q27" s="74"/>
      <c r="R27" s="75"/>
      <c r="S27" s="12"/>
      <c r="T27" s="11"/>
      <c r="U27" s="11">
        <v>1.0</v>
      </c>
      <c r="V27" s="11" t="s">
        <v>2055</v>
      </c>
      <c r="W27" s="332">
        <v>1.0</v>
      </c>
      <c r="X27" s="332">
        <f t="shared" si="4"/>
        <v>1</v>
      </c>
      <c r="Y27" s="332" t="str">
        <f t="shared" si="3"/>
        <v>C</v>
      </c>
      <c r="Z27" s="332"/>
    </row>
    <row r="28" ht="76.5" hidden="1" customHeight="1">
      <c r="A28" s="221">
        <v>27.0</v>
      </c>
      <c r="B28" s="221" t="s">
        <v>15</v>
      </c>
      <c r="C28" s="11" t="s">
        <v>396</v>
      </c>
      <c r="D28" s="93" t="s">
        <v>1929</v>
      </c>
      <c r="E28" s="215" t="s">
        <v>346</v>
      </c>
      <c r="F28" s="216">
        <v>5.0</v>
      </c>
      <c r="G28" s="216">
        <v>5.0</v>
      </c>
      <c r="H28" s="216">
        <v>100.0</v>
      </c>
      <c r="I28" s="11">
        <f t="shared" si="1"/>
        <v>500</v>
      </c>
      <c r="J28" s="11" t="s">
        <v>347</v>
      </c>
      <c r="K28" s="93" t="s">
        <v>77</v>
      </c>
      <c r="L28" s="123" t="s">
        <v>2012</v>
      </c>
      <c r="M28" s="215" t="s">
        <v>346</v>
      </c>
      <c r="N28" s="217" t="s">
        <v>398</v>
      </c>
      <c r="O28" s="11" t="str">
        <f>IMAGE("https://m.media-amazon.com/images/I/31u15vg7r0L._SX342_.jpg",1)</f>
        <v/>
      </c>
      <c r="P28" s="73" t="s">
        <v>1689</v>
      </c>
      <c r="Q28" s="74"/>
      <c r="R28" s="75"/>
      <c r="S28" s="12"/>
      <c r="T28" s="11"/>
      <c r="U28" s="11">
        <v>1.0</v>
      </c>
      <c r="V28" s="11" t="s">
        <v>2056</v>
      </c>
      <c r="W28" s="332">
        <v>1.0</v>
      </c>
      <c r="X28" s="332">
        <f t="shared" si="4"/>
        <v>1</v>
      </c>
      <c r="Y28" s="332" t="str">
        <f t="shared" si="3"/>
        <v>C</v>
      </c>
      <c r="Z28" s="332"/>
    </row>
    <row r="29" ht="76.5" hidden="1" customHeight="1">
      <c r="A29" s="221">
        <v>28.0</v>
      </c>
      <c r="B29" s="221" t="s">
        <v>15</v>
      </c>
      <c r="C29" s="11" t="s">
        <v>400</v>
      </c>
      <c r="D29" s="93" t="s">
        <v>1930</v>
      </c>
      <c r="E29" s="215" t="s">
        <v>346</v>
      </c>
      <c r="F29" s="216">
        <v>10.0</v>
      </c>
      <c r="G29" s="216">
        <v>10.0</v>
      </c>
      <c r="H29" s="216">
        <v>100.0</v>
      </c>
      <c r="I29" s="11">
        <f t="shared" si="1"/>
        <v>1000</v>
      </c>
      <c r="J29" s="11" t="s">
        <v>347</v>
      </c>
      <c r="K29" s="93" t="s">
        <v>77</v>
      </c>
      <c r="L29" s="11" t="s">
        <v>2012</v>
      </c>
      <c r="M29" s="215" t="s">
        <v>346</v>
      </c>
      <c r="N29" s="217" t="s">
        <v>402</v>
      </c>
      <c r="O29" s="11" t="str">
        <f>IMAGE("https://hydetools.com/wp-content/uploads/2019/09/42046b.jpg",1)</f>
        <v/>
      </c>
      <c r="P29" s="78"/>
      <c r="Q29" s="74"/>
      <c r="R29" s="75"/>
      <c r="S29" s="12"/>
      <c r="T29" s="11"/>
      <c r="U29" s="11">
        <v>1.0</v>
      </c>
      <c r="V29" s="11" t="s">
        <v>2056</v>
      </c>
      <c r="W29" s="332">
        <v>1.0</v>
      </c>
      <c r="X29" s="332">
        <f t="shared" si="4"/>
        <v>1</v>
      </c>
      <c r="Y29" s="332" t="str">
        <f t="shared" si="3"/>
        <v>C</v>
      </c>
      <c r="Z29" s="332"/>
    </row>
    <row r="30" ht="76.5" hidden="1" customHeight="1">
      <c r="A30" s="221">
        <v>29.0</v>
      </c>
      <c r="B30" s="221" t="s">
        <v>15</v>
      </c>
      <c r="C30" s="11" t="s">
        <v>404</v>
      </c>
      <c r="D30" s="93" t="s">
        <v>405</v>
      </c>
      <c r="E30" s="215" t="s">
        <v>346</v>
      </c>
      <c r="F30" s="216">
        <v>10.0</v>
      </c>
      <c r="G30" s="216">
        <v>10.0</v>
      </c>
      <c r="H30" s="216">
        <v>100.0</v>
      </c>
      <c r="I30" s="11">
        <f t="shared" si="1"/>
        <v>1000</v>
      </c>
      <c r="J30" s="11" t="s">
        <v>347</v>
      </c>
      <c r="K30" s="93" t="s">
        <v>21</v>
      </c>
      <c r="L30" s="11" t="s">
        <v>1594</v>
      </c>
      <c r="M30" s="215" t="s">
        <v>346</v>
      </c>
      <c r="N30" s="217" t="s">
        <v>406</v>
      </c>
      <c r="O30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P30" s="78"/>
      <c r="Q30" s="74"/>
      <c r="R30" s="75"/>
      <c r="S30" s="12"/>
      <c r="T30" s="11"/>
      <c r="U30" s="11">
        <v>1.0</v>
      </c>
      <c r="V30" s="11" t="s">
        <v>2057</v>
      </c>
      <c r="W30" s="332">
        <v>1.0</v>
      </c>
      <c r="X30" s="332">
        <f t="shared" si="4"/>
        <v>1</v>
      </c>
      <c r="Y30" s="332" t="str">
        <f t="shared" si="3"/>
        <v>C</v>
      </c>
      <c r="Z30" s="332"/>
    </row>
    <row r="31" ht="76.5" hidden="1" customHeight="1">
      <c r="A31" s="221">
        <v>30.0</v>
      </c>
      <c r="B31" s="221" t="s">
        <v>15</v>
      </c>
      <c r="C31" s="11" t="s">
        <v>407</v>
      </c>
      <c r="D31" s="93" t="s">
        <v>408</v>
      </c>
      <c r="E31" s="215" t="s">
        <v>346</v>
      </c>
      <c r="F31" s="216">
        <v>10.0</v>
      </c>
      <c r="G31" s="216">
        <v>10.0</v>
      </c>
      <c r="H31" s="216">
        <v>80.0</v>
      </c>
      <c r="I31" s="11">
        <f t="shared" si="1"/>
        <v>800</v>
      </c>
      <c r="J31" s="11" t="s">
        <v>347</v>
      </c>
      <c r="K31" s="93" t="s">
        <v>77</v>
      </c>
      <c r="L31" s="11" t="s">
        <v>1594</v>
      </c>
      <c r="M31" s="215" t="s">
        <v>346</v>
      </c>
      <c r="N31" s="217"/>
      <c r="O31" s="11" t="str">
        <f>IMAGE("https://cdn-reichelt.de/bilder/web/xxl_ws/I210/LEITZ_54166095.png",1)</f>
        <v/>
      </c>
      <c r="P31" s="78"/>
      <c r="Q31" s="74"/>
      <c r="R31" s="75"/>
      <c r="S31" s="12"/>
      <c r="T31" s="11"/>
      <c r="U31" s="11">
        <v>1.0</v>
      </c>
      <c r="V31" s="11" t="s">
        <v>2057</v>
      </c>
      <c r="W31" s="332">
        <v>1.0</v>
      </c>
      <c r="X31" s="332">
        <f t="shared" si="4"/>
        <v>1</v>
      </c>
      <c r="Y31" s="332" t="str">
        <f t="shared" si="3"/>
        <v>C</v>
      </c>
      <c r="Z31" s="332"/>
    </row>
    <row r="32" ht="76.5" hidden="1" customHeight="1">
      <c r="A32" s="221">
        <v>31.0</v>
      </c>
      <c r="B32" s="231" t="s">
        <v>15</v>
      </c>
      <c r="C32" s="222" t="s">
        <v>410</v>
      </c>
      <c r="D32" s="232" t="s">
        <v>411</v>
      </c>
      <c r="E32" s="233" t="s">
        <v>346</v>
      </c>
      <c r="F32" s="234">
        <v>10.0</v>
      </c>
      <c r="G32" s="234">
        <v>10.0</v>
      </c>
      <c r="H32" s="234">
        <v>150.0</v>
      </c>
      <c r="I32" s="222">
        <f t="shared" si="1"/>
        <v>1500</v>
      </c>
      <c r="J32" s="222" t="s">
        <v>347</v>
      </c>
      <c r="K32" s="232" t="s">
        <v>21</v>
      </c>
      <c r="L32" s="232" t="s">
        <v>1594</v>
      </c>
      <c r="M32" s="233" t="s">
        <v>346</v>
      </c>
      <c r="N32" s="235"/>
      <c r="O32" s="222"/>
      <c r="P32" s="334"/>
      <c r="Q32" s="335"/>
      <c r="R32" s="336"/>
      <c r="S32" s="299"/>
      <c r="T32" s="222"/>
      <c r="U32" s="222">
        <v>1.0</v>
      </c>
      <c r="V32" s="11" t="s">
        <v>2058</v>
      </c>
      <c r="W32" s="332">
        <v>1.0</v>
      </c>
      <c r="X32" s="332">
        <f t="shared" si="4"/>
        <v>1</v>
      </c>
      <c r="Y32" s="332" t="str">
        <f t="shared" si="3"/>
        <v>C</v>
      </c>
      <c r="Z32" s="332"/>
    </row>
    <row r="33" ht="76.5" hidden="1" customHeight="1">
      <c r="A33" s="221">
        <v>32.0</v>
      </c>
      <c r="B33" s="11" t="s">
        <v>15</v>
      </c>
      <c r="C33" s="11" t="s">
        <v>979</v>
      </c>
      <c r="D33" s="93" t="s">
        <v>980</v>
      </c>
      <c r="E33" s="215" t="s">
        <v>981</v>
      </c>
      <c r="F33" s="216">
        <v>5.0</v>
      </c>
      <c r="G33" s="216">
        <v>5.0</v>
      </c>
      <c r="H33" s="218">
        <v>20.0</v>
      </c>
      <c r="I33" s="11">
        <f t="shared" si="1"/>
        <v>100</v>
      </c>
      <c r="J33" s="11" t="s">
        <v>20</v>
      </c>
      <c r="K33" s="93" t="s">
        <v>77</v>
      </c>
      <c r="L33" s="93" t="s">
        <v>2012</v>
      </c>
      <c r="M33" s="215" t="s">
        <v>981</v>
      </c>
      <c r="N33" s="217" t="s">
        <v>982</v>
      </c>
      <c r="O33" s="11" t="str">
        <f t="shared" ref="O33:O35" si="5">IMAGE("https://encrypted-tbn0.gstatic.com/=IMAGEs?q=tbn:ANd9GcSdcvov5296EXdnf0Fj0qF-G6iK-nu0n6Z4THAWosUzBx_wQ7GuJyrL0Rnbt1uBxLroiao&amp;usqp=CAU",1)</f>
        <v/>
      </c>
      <c r="P33" s="78"/>
      <c r="Q33" s="74"/>
      <c r="R33" s="75"/>
      <c r="S33" s="12"/>
      <c r="T33" s="11"/>
      <c r="U33" s="11">
        <v>1.0</v>
      </c>
      <c r="V33" s="11" t="s">
        <v>2097</v>
      </c>
      <c r="W33" s="332">
        <v>1.0</v>
      </c>
      <c r="X33" s="332">
        <f t="shared" si="4"/>
        <v>1</v>
      </c>
      <c r="Y33" s="332" t="str">
        <f t="shared" si="3"/>
        <v>C</v>
      </c>
      <c r="Z33" s="332"/>
    </row>
    <row r="34" ht="76.5" hidden="1" customHeight="1">
      <c r="A34" s="221">
        <v>33.0</v>
      </c>
      <c r="B34" s="11" t="s">
        <v>15</v>
      </c>
      <c r="C34" s="11" t="s">
        <v>984</v>
      </c>
      <c r="D34" s="93" t="s">
        <v>985</v>
      </c>
      <c r="E34" s="215" t="s">
        <v>981</v>
      </c>
      <c r="F34" s="216">
        <v>5.0</v>
      </c>
      <c r="G34" s="216">
        <v>5.0</v>
      </c>
      <c r="H34" s="218">
        <v>40.0</v>
      </c>
      <c r="I34" s="11">
        <f t="shared" si="1"/>
        <v>200</v>
      </c>
      <c r="J34" s="11" t="s">
        <v>20</v>
      </c>
      <c r="K34" s="93" t="s">
        <v>77</v>
      </c>
      <c r="L34" s="93" t="s">
        <v>2012</v>
      </c>
      <c r="M34" s="215" t="s">
        <v>981</v>
      </c>
      <c r="N34" s="217" t="s">
        <v>986</v>
      </c>
      <c r="O34" s="11" t="str">
        <f t="shared" si="5"/>
        <v/>
      </c>
      <c r="P34" s="78"/>
      <c r="Q34" s="74"/>
      <c r="R34" s="75"/>
      <c r="S34" s="12"/>
      <c r="T34" s="11"/>
      <c r="U34" s="11">
        <v>1.0</v>
      </c>
      <c r="V34" s="11" t="s">
        <v>2097</v>
      </c>
      <c r="W34" s="332">
        <v>1.0</v>
      </c>
      <c r="X34" s="332">
        <f t="shared" si="4"/>
        <v>1</v>
      </c>
      <c r="Y34" s="332" t="str">
        <f t="shared" si="3"/>
        <v>C</v>
      </c>
      <c r="Z34" s="332"/>
    </row>
    <row r="35" ht="76.5" hidden="1" customHeight="1">
      <c r="A35" s="221">
        <v>34.0</v>
      </c>
      <c r="B35" s="11" t="s">
        <v>15</v>
      </c>
      <c r="C35" s="11" t="s">
        <v>988</v>
      </c>
      <c r="D35" s="93" t="s">
        <v>989</v>
      </c>
      <c r="E35" s="215" t="s">
        <v>981</v>
      </c>
      <c r="F35" s="216">
        <v>2.0</v>
      </c>
      <c r="G35" s="216">
        <v>2.0</v>
      </c>
      <c r="H35" s="218">
        <v>50.0</v>
      </c>
      <c r="I35" s="11">
        <f t="shared" si="1"/>
        <v>100</v>
      </c>
      <c r="J35" s="11" t="s">
        <v>20</v>
      </c>
      <c r="K35" s="93" t="s">
        <v>77</v>
      </c>
      <c r="L35" s="93" t="s">
        <v>2012</v>
      </c>
      <c r="M35" s="93" t="s">
        <v>981</v>
      </c>
      <c r="N35" s="217" t="s">
        <v>990</v>
      </c>
      <c r="O35" s="11" t="str">
        <f t="shared" si="5"/>
        <v/>
      </c>
      <c r="P35" s="78"/>
      <c r="Q35" s="74"/>
      <c r="R35" s="75"/>
      <c r="S35" s="12"/>
      <c r="T35" s="11"/>
      <c r="U35" s="11">
        <v>1.0</v>
      </c>
      <c r="V35" s="11" t="s">
        <v>2097</v>
      </c>
      <c r="W35" s="332">
        <v>1.0</v>
      </c>
      <c r="X35" s="332">
        <f t="shared" si="4"/>
        <v>1</v>
      </c>
      <c r="Y35" s="332" t="str">
        <f t="shared" si="3"/>
        <v>C</v>
      </c>
      <c r="Z35" s="332"/>
    </row>
    <row r="36" ht="76.5" hidden="1" customHeight="1">
      <c r="A36" s="221">
        <v>35.0</v>
      </c>
      <c r="B36" s="222" t="s">
        <v>15</v>
      </c>
      <c r="C36" s="222" t="s">
        <v>992</v>
      </c>
      <c r="D36" s="232" t="s">
        <v>993</v>
      </c>
      <c r="E36" s="233" t="s">
        <v>981</v>
      </c>
      <c r="F36" s="234">
        <v>5.0</v>
      </c>
      <c r="G36" s="234">
        <v>5.0</v>
      </c>
      <c r="H36" s="337">
        <v>50.0</v>
      </c>
      <c r="I36" s="222">
        <f t="shared" si="1"/>
        <v>250</v>
      </c>
      <c r="J36" s="222" t="s">
        <v>20</v>
      </c>
      <c r="K36" s="232" t="s">
        <v>77</v>
      </c>
      <c r="L36" s="232" t="s">
        <v>1902</v>
      </c>
      <c r="M36" s="233" t="s">
        <v>981</v>
      </c>
      <c r="N36" s="235" t="s">
        <v>994</v>
      </c>
      <c r="O36" s="222" t="str">
        <f t="shared" ref="O36:O38" si="6">IMAGE("https://encrypted-tbn0.gstatic.com/=IMAGEs?q=tbn:ANd9GcTv3YU2gmM00qoI79XpKhq-dV1wM5aPXrLsmrVwQWwEda0tuTarN0ncQ0DMg_JUYk4IBe4&amp;usqp=CAU",1)</f>
        <v/>
      </c>
      <c r="P36" s="334"/>
      <c r="Q36" s="335"/>
      <c r="R36" s="336"/>
      <c r="S36" s="299"/>
      <c r="T36" s="222"/>
      <c r="U36" s="222">
        <v>1.0</v>
      </c>
      <c r="V36" s="222" t="s">
        <v>2098</v>
      </c>
      <c r="W36" s="332">
        <v>1.0</v>
      </c>
      <c r="X36" s="332">
        <f t="shared" si="4"/>
        <v>1</v>
      </c>
      <c r="Y36" s="332" t="str">
        <f t="shared" si="3"/>
        <v>C</v>
      </c>
      <c r="Z36" s="332"/>
    </row>
    <row r="37" ht="76.5" hidden="1" customHeight="1">
      <c r="A37" s="221">
        <v>36.0</v>
      </c>
      <c r="B37" s="222" t="s">
        <v>15</v>
      </c>
      <c r="C37" s="222" t="s">
        <v>996</v>
      </c>
      <c r="D37" s="232" t="s">
        <v>997</v>
      </c>
      <c r="E37" s="233" t="s">
        <v>981</v>
      </c>
      <c r="F37" s="234">
        <v>5.0</v>
      </c>
      <c r="G37" s="234">
        <v>5.0</v>
      </c>
      <c r="H37" s="337">
        <v>130.0</v>
      </c>
      <c r="I37" s="222">
        <f t="shared" si="1"/>
        <v>650</v>
      </c>
      <c r="J37" s="222" t="s">
        <v>20</v>
      </c>
      <c r="K37" s="232" t="s">
        <v>77</v>
      </c>
      <c r="L37" s="232" t="s">
        <v>1902</v>
      </c>
      <c r="M37" s="233" t="s">
        <v>981</v>
      </c>
      <c r="N37" s="235" t="s">
        <v>994</v>
      </c>
      <c r="O37" s="222" t="str">
        <f t="shared" si="6"/>
        <v/>
      </c>
      <c r="P37" s="334"/>
      <c r="Q37" s="338"/>
      <c r="R37" s="339"/>
      <c r="S37" s="299"/>
      <c r="T37" s="222"/>
      <c r="U37" s="222">
        <v>1.0</v>
      </c>
      <c r="V37" s="222" t="s">
        <v>2098</v>
      </c>
      <c r="W37" s="332">
        <v>1.0</v>
      </c>
      <c r="X37" s="332">
        <f t="shared" si="4"/>
        <v>1</v>
      </c>
      <c r="Y37" s="332" t="str">
        <f t="shared" si="3"/>
        <v>C</v>
      </c>
      <c r="Z37" s="332"/>
    </row>
    <row r="38" ht="76.5" hidden="1" customHeight="1">
      <c r="A38" s="221">
        <v>37.0</v>
      </c>
      <c r="B38" s="222" t="s">
        <v>15</v>
      </c>
      <c r="C38" s="222" t="s">
        <v>999</v>
      </c>
      <c r="D38" s="232" t="s">
        <v>1000</v>
      </c>
      <c r="E38" s="233" t="s">
        <v>981</v>
      </c>
      <c r="F38" s="234">
        <v>5.0</v>
      </c>
      <c r="G38" s="234">
        <v>5.0</v>
      </c>
      <c r="H38" s="337">
        <v>180.0</v>
      </c>
      <c r="I38" s="222">
        <f t="shared" si="1"/>
        <v>900</v>
      </c>
      <c r="J38" s="222" t="s">
        <v>20</v>
      </c>
      <c r="K38" s="232" t="s">
        <v>77</v>
      </c>
      <c r="L38" s="232" t="s">
        <v>1902</v>
      </c>
      <c r="M38" s="233" t="s">
        <v>981</v>
      </c>
      <c r="N38" s="235" t="s">
        <v>1001</v>
      </c>
      <c r="O38" s="222" t="str">
        <f t="shared" si="6"/>
        <v/>
      </c>
      <c r="P38" s="334"/>
      <c r="Q38" s="335"/>
      <c r="R38" s="336"/>
      <c r="S38" s="299"/>
      <c r="T38" s="222"/>
      <c r="U38" s="222">
        <v>1.0</v>
      </c>
      <c r="V38" s="222" t="s">
        <v>2098</v>
      </c>
      <c r="W38" s="332">
        <v>1.0</v>
      </c>
      <c r="X38" s="332">
        <f t="shared" si="4"/>
        <v>1</v>
      </c>
      <c r="Y38" s="332" t="str">
        <f t="shared" si="3"/>
        <v>C</v>
      </c>
      <c r="Z38" s="332"/>
    </row>
    <row r="39" ht="76.5" hidden="1" customHeight="1">
      <c r="A39" s="221">
        <v>38.0</v>
      </c>
      <c r="B39" s="222" t="s">
        <v>15</v>
      </c>
      <c r="C39" s="222" t="s">
        <v>1003</v>
      </c>
      <c r="D39" s="232" t="s">
        <v>1004</v>
      </c>
      <c r="E39" s="233" t="s">
        <v>981</v>
      </c>
      <c r="F39" s="234">
        <v>1.0</v>
      </c>
      <c r="G39" s="234">
        <v>1.0</v>
      </c>
      <c r="H39" s="234">
        <v>250.0</v>
      </c>
      <c r="I39" s="222">
        <f t="shared" si="1"/>
        <v>250</v>
      </c>
      <c r="J39" s="222" t="s">
        <v>20</v>
      </c>
      <c r="K39" s="232" t="s">
        <v>77</v>
      </c>
      <c r="L39" s="232" t="s">
        <v>2012</v>
      </c>
      <c r="M39" s="233" t="s">
        <v>981</v>
      </c>
      <c r="N39" s="235" t="s">
        <v>1005</v>
      </c>
      <c r="O39" s="222" t="str">
        <f>IMAGE("https://3.imimg.com/data3/QQ/JR/MY-2/plastic-twine-500x500.jpg",1)</f>
        <v/>
      </c>
      <c r="P39" s="334"/>
      <c r="Q39" s="335"/>
      <c r="R39" s="336"/>
      <c r="S39" s="299"/>
      <c r="T39" s="222"/>
      <c r="U39" s="222">
        <v>1.0</v>
      </c>
      <c r="V39" s="222" t="s">
        <v>2013</v>
      </c>
      <c r="W39" s="332">
        <v>1.0</v>
      </c>
      <c r="X39" s="332">
        <f t="shared" si="4"/>
        <v>1</v>
      </c>
      <c r="Y39" s="332" t="str">
        <f t="shared" si="3"/>
        <v>C</v>
      </c>
      <c r="Z39" s="332"/>
    </row>
    <row r="40" ht="76.5" hidden="1" customHeight="1">
      <c r="A40" s="221">
        <v>39.0</v>
      </c>
      <c r="B40" s="11" t="s">
        <v>15</v>
      </c>
      <c r="C40" s="11" t="s">
        <v>1007</v>
      </c>
      <c r="D40" s="93" t="s">
        <v>1008</v>
      </c>
      <c r="E40" s="215" t="s">
        <v>981</v>
      </c>
      <c r="F40" s="216">
        <v>1.0</v>
      </c>
      <c r="G40" s="216">
        <v>1.0</v>
      </c>
      <c r="H40" s="216">
        <v>200.0</v>
      </c>
      <c r="I40" s="11">
        <f t="shared" si="1"/>
        <v>200</v>
      </c>
      <c r="J40" s="11" t="s">
        <v>20</v>
      </c>
      <c r="K40" s="93" t="s">
        <v>77</v>
      </c>
      <c r="L40" s="93" t="s">
        <v>2008</v>
      </c>
      <c r="M40" s="93" t="s">
        <v>111</v>
      </c>
      <c r="N40" s="217" t="s">
        <v>1009</v>
      </c>
      <c r="O40" s="11" t="str">
        <f>IMAGE("https://5.imimg.com/data5/KE/BV/MY-37063415/elastic-rubber-band-500x500.jpg",1)</f>
        <v/>
      </c>
      <c r="P40" s="78"/>
      <c r="Q40" s="74"/>
      <c r="R40" s="75"/>
      <c r="S40" s="12"/>
      <c r="T40" s="11"/>
      <c r="U40" s="11">
        <v>1.0</v>
      </c>
      <c r="V40" s="11" t="s">
        <v>2099</v>
      </c>
      <c r="W40" s="332">
        <v>1.0</v>
      </c>
      <c r="X40" s="332">
        <f t="shared" si="4"/>
        <v>1</v>
      </c>
      <c r="Y40" s="332" t="str">
        <f t="shared" si="3"/>
        <v>C</v>
      </c>
      <c r="Z40" s="332"/>
    </row>
    <row r="41" ht="76.5" hidden="1" customHeight="1">
      <c r="A41" s="221">
        <v>40.0</v>
      </c>
      <c r="B41" s="11" t="s">
        <v>15</v>
      </c>
      <c r="C41" s="11" t="s">
        <v>1011</v>
      </c>
      <c r="D41" s="93" t="s">
        <v>1012</v>
      </c>
      <c r="E41" s="215" t="s">
        <v>981</v>
      </c>
      <c r="F41" s="216">
        <v>1.0</v>
      </c>
      <c r="G41" s="216">
        <v>1.0</v>
      </c>
      <c r="H41" s="216">
        <v>200.0</v>
      </c>
      <c r="I41" s="11">
        <f t="shared" si="1"/>
        <v>200</v>
      </c>
      <c r="J41" s="11" t="s">
        <v>20</v>
      </c>
      <c r="K41" s="93" t="s">
        <v>77</v>
      </c>
      <c r="L41" s="93" t="s">
        <v>2008</v>
      </c>
      <c r="M41" s="93" t="s">
        <v>111</v>
      </c>
      <c r="N41" s="217" t="s">
        <v>1013</v>
      </c>
      <c r="O41" s="11" t="str">
        <f>IMAGE("https://5.imimg.com/data5/BN/VV/MY-31202642/rubber-band-500x500.jpg",1)</f>
        <v/>
      </c>
      <c r="P41" s="78"/>
      <c r="Q41" s="74"/>
      <c r="R41" s="75"/>
      <c r="S41" s="12"/>
      <c r="T41" s="11"/>
      <c r="U41" s="11">
        <v>1.0</v>
      </c>
      <c r="V41" s="11" t="s">
        <v>2099</v>
      </c>
      <c r="W41" s="332">
        <v>1.0</v>
      </c>
      <c r="X41" s="332">
        <f t="shared" si="4"/>
        <v>1</v>
      </c>
      <c r="Y41" s="332" t="str">
        <f t="shared" si="3"/>
        <v>C</v>
      </c>
      <c r="Z41" s="332"/>
    </row>
    <row r="42" ht="76.5" hidden="1" customHeight="1">
      <c r="A42" s="221">
        <v>41.0</v>
      </c>
      <c r="B42" s="11" t="s">
        <v>15</v>
      </c>
      <c r="C42" s="11" t="s">
        <v>1015</v>
      </c>
      <c r="D42" s="93" t="s">
        <v>1016</v>
      </c>
      <c r="E42" s="215" t="s">
        <v>981</v>
      </c>
      <c r="F42" s="216">
        <v>1.0</v>
      </c>
      <c r="G42" s="216">
        <v>1.0</v>
      </c>
      <c r="H42" s="216">
        <v>200.0</v>
      </c>
      <c r="I42" s="11">
        <f t="shared" si="1"/>
        <v>200</v>
      </c>
      <c r="J42" s="11" t="s">
        <v>20</v>
      </c>
      <c r="K42" s="93" t="s">
        <v>77</v>
      </c>
      <c r="L42" s="93" t="s">
        <v>2008</v>
      </c>
      <c r="M42" s="93" t="s">
        <v>111</v>
      </c>
      <c r="N42" s="217"/>
      <c r="O42" s="11" t="str">
        <f>IMAGE("https://5.imimg.com/data5/YV/DJ/MY-7514996/rubber-band-500x500.jpg",1)</f>
        <v/>
      </c>
      <c r="P42" s="78"/>
      <c r="Q42" s="74"/>
      <c r="R42" s="75"/>
      <c r="S42" s="12"/>
      <c r="T42" s="11"/>
      <c r="U42" s="11">
        <v>1.0</v>
      </c>
      <c r="V42" s="11" t="s">
        <v>2099</v>
      </c>
      <c r="W42" s="332">
        <v>1.0</v>
      </c>
      <c r="X42" s="332">
        <f t="shared" si="4"/>
        <v>1</v>
      </c>
      <c r="Y42" s="332" t="str">
        <f t="shared" si="3"/>
        <v>C</v>
      </c>
      <c r="Z42" s="332"/>
    </row>
    <row r="43" ht="76.5" hidden="1" customHeight="1">
      <c r="A43" s="221">
        <v>42.0</v>
      </c>
      <c r="B43" s="222" t="s">
        <v>15</v>
      </c>
      <c r="C43" s="222" t="s">
        <v>1018</v>
      </c>
      <c r="D43" s="232" t="s">
        <v>1019</v>
      </c>
      <c r="E43" s="233" t="s">
        <v>981</v>
      </c>
      <c r="F43" s="234">
        <v>1.0</v>
      </c>
      <c r="G43" s="234">
        <v>1.0</v>
      </c>
      <c r="H43" s="234">
        <v>200.0</v>
      </c>
      <c r="I43" s="222">
        <f t="shared" si="1"/>
        <v>200</v>
      </c>
      <c r="J43" s="222" t="s">
        <v>20</v>
      </c>
      <c r="K43" s="232" t="s">
        <v>77</v>
      </c>
      <c r="L43" s="232" t="s">
        <v>2008</v>
      </c>
      <c r="M43" s="233" t="s">
        <v>981</v>
      </c>
      <c r="N43" s="235" t="s">
        <v>1020</v>
      </c>
      <c r="O43" s="222" t="str">
        <f>IMAGE("https://m.media-amazon.com/images/I/51XnX9DfiFL._SL1166_.jpg",1)</f>
        <v/>
      </c>
      <c r="P43" s="334"/>
      <c r="Q43" s="335"/>
      <c r="R43" s="336"/>
      <c r="S43" s="299"/>
      <c r="T43" s="222"/>
      <c r="U43" s="222">
        <v>1.0</v>
      </c>
      <c r="V43" s="222" t="s">
        <v>2099</v>
      </c>
      <c r="W43" s="332">
        <v>1.0</v>
      </c>
      <c r="X43" s="332">
        <f t="shared" si="4"/>
        <v>1</v>
      </c>
      <c r="Y43" s="332" t="str">
        <f t="shared" si="3"/>
        <v>C</v>
      </c>
      <c r="Z43" s="332"/>
    </row>
    <row r="44" ht="76.5" hidden="1" customHeight="1">
      <c r="A44" s="221">
        <v>43.0</v>
      </c>
      <c r="B44" s="221" t="s">
        <v>15</v>
      </c>
      <c r="C44" s="11" t="s">
        <v>1022</v>
      </c>
      <c r="D44" s="93" t="s">
        <v>1023</v>
      </c>
      <c r="E44" s="215" t="s">
        <v>981</v>
      </c>
      <c r="F44" s="216">
        <v>10.0</v>
      </c>
      <c r="G44" s="216">
        <v>10.0</v>
      </c>
      <c r="H44" s="216">
        <v>100.0</v>
      </c>
      <c r="I44" s="11">
        <f t="shared" si="1"/>
        <v>1000</v>
      </c>
      <c r="J44" s="11" t="s">
        <v>347</v>
      </c>
      <c r="K44" s="93" t="s">
        <v>77</v>
      </c>
      <c r="L44" s="93" t="s">
        <v>2012</v>
      </c>
      <c r="M44" s="215" t="s">
        <v>981</v>
      </c>
      <c r="N44" s="217" t="s">
        <v>1024</v>
      </c>
      <c r="O44" s="11" t="str">
        <f>IMAGE("https://www.shaanstationery.com/image/cache/catalog/kangaro/kangaro-stapler-no-10-corner-view-1000x1000.jpg",1)</f>
        <v/>
      </c>
      <c r="P44" s="78"/>
      <c r="Q44" s="74"/>
      <c r="R44" s="75"/>
      <c r="S44" s="12"/>
      <c r="T44" s="11"/>
      <c r="U44" s="11">
        <v>1.0</v>
      </c>
      <c r="V44" s="11" t="s">
        <v>2100</v>
      </c>
      <c r="W44" s="332">
        <v>1.0</v>
      </c>
      <c r="X44" s="332">
        <f t="shared" si="4"/>
        <v>1</v>
      </c>
      <c r="Y44" s="332" t="str">
        <f t="shared" si="3"/>
        <v>C</v>
      </c>
      <c r="Z44" s="332"/>
    </row>
    <row r="45" ht="76.5" hidden="1" customHeight="1">
      <c r="A45" s="221">
        <v>44.0</v>
      </c>
      <c r="B45" s="221" t="s">
        <v>15</v>
      </c>
      <c r="C45" s="11" t="s">
        <v>1026</v>
      </c>
      <c r="D45" s="93" t="s">
        <v>1027</v>
      </c>
      <c r="E45" s="215" t="s">
        <v>981</v>
      </c>
      <c r="F45" s="216">
        <v>5.0</v>
      </c>
      <c r="G45" s="216">
        <v>10.0</v>
      </c>
      <c r="H45" s="216">
        <v>50.0</v>
      </c>
      <c r="I45" s="11">
        <f t="shared" si="1"/>
        <v>500</v>
      </c>
      <c r="J45" s="11" t="s">
        <v>347</v>
      </c>
      <c r="K45" s="93" t="s">
        <v>77</v>
      </c>
      <c r="L45" s="93" t="s">
        <v>2012</v>
      </c>
      <c r="M45" s="215" t="s">
        <v>981</v>
      </c>
      <c r="N45" s="217" t="s">
        <v>1028</v>
      </c>
      <c r="O45" s="11" t="str">
        <f>IMAGE("https://sc04.alicdn.com/kf/HTB1f9mqOZbpK1RjSZFyq6x_qFXaz.jpg",1)</f>
        <v/>
      </c>
      <c r="P45" s="78"/>
      <c r="Q45" s="74"/>
      <c r="R45" s="75"/>
      <c r="S45" s="12"/>
      <c r="T45" s="11"/>
      <c r="U45" s="11">
        <v>1.0</v>
      </c>
      <c r="V45" s="11" t="s">
        <v>2100</v>
      </c>
      <c r="W45" s="332">
        <v>1.0</v>
      </c>
      <c r="X45" s="332">
        <f t="shared" si="4"/>
        <v>1</v>
      </c>
      <c r="Y45" s="332" t="str">
        <f t="shared" si="3"/>
        <v>C</v>
      </c>
      <c r="Z45" s="332"/>
    </row>
    <row r="46" ht="76.5" hidden="1" customHeight="1">
      <c r="A46" s="221">
        <v>45.0</v>
      </c>
      <c r="B46" s="221" t="s">
        <v>15</v>
      </c>
      <c r="C46" s="11" t="s">
        <v>1077</v>
      </c>
      <c r="D46" s="93" t="s">
        <v>1078</v>
      </c>
      <c r="E46" s="215" t="s">
        <v>1032</v>
      </c>
      <c r="F46" s="216">
        <v>50.0</v>
      </c>
      <c r="G46" s="216">
        <v>50.0</v>
      </c>
      <c r="H46" s="216">
        <v>8.0</v>
      </c>
      <c r="I46" s="11">
        <f t="shared" si="1"/>
        <v>400</v>
      </c>
      <c r="J46" s="11" t="s">
        <v>347</v>
      </c>
      <c r="K46" s="93" t="s">
        <v>47</v>
      </c>
      <c r="L46" s="93" t="s">
        <v>1594</v>
      </c>
      <c r="M46" s="93" t="s">
        <v>23</v>
      </c>
      <c r="N46" s="217" t="s">
        <v>1079</v>
      </c>
      <c r="O46" s="11" t="str">
        <f>IMAGE("https://m.media-amazon.com/images/I/51OTKanSUXL._SL1024_.jpg",1)</f>
        <v/>
      </c>
      <c r="P46" s="78"/>
      <c r="Q46" s="74"/>
      <c r="R46" s="75"/>
      <c r="S46" s="12"/>
      <c r="T46" s="11"/>
      <c r="U46" s="11">
        <v>1.0</v>
      </c>
      <c r="V46" s="11" t="s">
        <v>2103</v>
      </c>
      <c r="W46" s="332">
        <v>1.0</v>
      </c>
      <c r="X46" s="332">
        <f t="shared" si="4"/>
        <v>1</v>
      </c>
      <c r="Y46" s="332" t="str">
        <f t="shared" si="3"/>
        <v>C</v>
      </c>
      <c r="Z46" s="332"/>
    </row>
    <row r="47" ht="76.5" hidden="1" customHeight="1">
      <c r="A47" s="221">
        <v>46.0</v>
      </c>
      <c r="B47" s="231" t="s">
        <v>15</v>
      </c>
      <c r="C47" s="222" t="s">
        <v>1131</v>
      </c>
      <c r="D47" s="232" t="s">
        <v>1132</v>
      </c>
      <c r="E47" s="233" t="s">
        <v>1032</v>
      </c>
      <c r="F47" s="234">
        <v>1.0</v>
      </c>
      <c r="G47" s="234">
        <v>1.0</v>
      </c>
      <c r="H47" s="234">
        <v>300.0</v>
      </c>
      <c r="I47" s="222">
        <f t="shared" si="1"/>
        <v>300</v>
      </c>
      <c r="J47" s="222" t="s">
        <v>347</v>
      </c>
      <c r="K47" s="232"/>
      <c r="L47" s="232"/>
      <c r="M47" s="232" t="s">
        <v>23</v>
      </c>
      <c r="N47" s="235" t="s">
        <v>1133</v>
      </c>
      <c r="O47" s="222" t="str">
        <f>IMAGE("https://5.imimg.com/data5/SELLER/Default/2020/12/RU/ZP/SZ/45671901/alstone-silicone-sealant-500x500.jpeg",1)</f>
        <v/>
      </c>
      <c r="P47" s="340" t="s">
        <v>1689</v>
      </c>
      <c r="Q47" s="335"/>
      <c r="R47" s="336"/>
      <c r="S47" s="299"/>
      <c r="T47" s="222"/>
      <c r="U47" s="222">
        <v>3.0</v>
      </c>
      <c r="V47" s="222" t="s">
        <v>2201</v>
      </c>
      <c r="W47" s="332">
        <v>1.0</v>
      </c>
      <c r="X47" s="332">
        <f t="shared" si="4"/>
        <v>1</v>
      </c>
      <c r="Y47" s="332" t="str">
        <f t="shared" si="3"/>
        <v>C</v>
      </c>
      <c r="Z47" s="332"/>
    </row>
    <row r="48" ht="76.5" hidden="1" customHeight="1">
      <c r="A48" s="221">
        <v>47.0</v>
      </c>
      <c r="B48" s="221" t="s">
        <v>15</v>
      </c>
      <c r="C48" s="11" t="s">
        <v>1139</v>
      </c>
      <c r="D48" s="217" t="s">
        <v>1140</v>
      </c>
      <c r="E48" s="215" t="s">
        <v>1032</v>
      </c>
      <c r="F48" s="11">
        <v>10.0</v>
      </c>
      <c r="G48" s="11">
        <v>10.0</v>
      </c>
      <c r="H48" s="11">
        <v>100.0</v>
      </c>
      <c r="I48" s="11">
        <f t="shared" si="1"/>
        <v>1000</v>
      </c>
      <c r="J48" s="11" t="s">
        <v>347</v>
      </c>
      <c r="K48" s="93"/>
      <c r="L48" s="93" t="s">
        <v>1594</v>
      </c>
      <c r="M48" s="215" t="s">
        <v>1032</v>
      </c>
      <c r="N48" s="217" t="s">
        <v>1141</v>
      </c>
      <c r="O48" s="11" t="str">
        <f>IMAGE("https://m.media-amazon.com/images/I/61O+7azby+L.jpg",1)</f>
        <v/>
      </c>
      <c r="P48" s="78"/>
      <c r="Q48" s="74"/>
      <c r="R48" s="75"/>
      <c r="S48" s="12"/>
      <c r="T48" s="11"/>
      <c r="U48" s="12">
        <v>1.0</v>
      </c>
      <c r="V48" s="11" t="s">
        <v>2058</v>
      </c>
      <c r="W48" s="332">
        <v>1.0</v>
      </c>
      <c r="X48" s="332">
        <f t="shared" si="4"/>
        <v>1</v>
      </c>
      <c r="Y48" s="332" t="str">
        <f t="shared" si="3"/>
        <v>C</v>
      </c>
      <c r="Z48" s="332"/>
    </row>
    <row r="49" ht="76.5" hidden="1" customHeight="1">
      <c r="A49" s="221">
        <v>48.0</v>
      </c>
      <c r="B49" s="11" t="s">
        <v>15</v>
      </c>
      <c r="C49" s="11" t="s">
        <v>1424</v>
      </c>
      <c r="D49" s="93" t="s">
        <v>1425</v>
      </c>
      <c r="E49" s="215" t="s">
        <v>1421</v>
      </c>
      <c r="F49" s="11">
        <v>5.0</v>
      </c>
      <c r="G49" s="11">
        <v>5.0</v>
      </c>
      <c r="H49" s="11">
        <v>300.0</v>
      </c>
      <c r="I49" s="11">
        <f t="shared" si="1"/>
        <v>1500</v>
      </c>
      <c r="J49" s="11" t="s">
        <v>20</v>
      </c>
      <c r="K49" s="93" t="s">
        <v>65</v>
      </c>
      <c r="L49" s="93" t="s">
        <v>2008</v>
      </c>
      <c r="M49" s="93" t="s">
        <v>1892</v>
      </c>
      <c r="N49" s="217" t="s">
        <v>1427</v>
      </c>
      <c r="O49" s="11" t="str">
        <f>IMAGE("https://imgs.michaels.com/MAM/assets/1/5E3C12034D34434F8A9BAAFDDF0F8E1B/img/5CDBB82051B44720A8F8901B4AABD77C/10446567_2.jpg",1)</f>
        <v/>
      </c>
      <c r="P49" s="333"/>
      <c r="Q49" s="74"/>
      <c r="R49" s="75"/>
      <c r="S49" s="12"/>
      <c r="T49" s="11"/>
      <c r="U49" s="12">
        <v>1.0</v>
      </c>
      <c r="V49" s="11" t="s">
        <v>2011</v>
      </c>
      <c r="W49" s="332">
        <v>1.0</v>
      </c>
      <c r="X49" s="332">
        <f t="shared" si="4"/>
        <v>1</v>
      </c>
      <c r="Y49" s="332" t="str">
        <f t="shared" si="3"/>
        <v>C</v>
      </c>
      <c r="Z49" s="332"/>
    </row>
    <row r="50" ht="76.5" hidden="1" customHeight="1">
      <c r="A50" s="221">
        <v>49.0</v>
      </c>
      <c r="B50" s="11" t="s">
        <v>15</v>
      </c>
      <c r="C50" s="11" t="s">
        <v>1429</v>
      </c>
      <c r="D50" s="93" t="s">
        <v>1981</v>
      </c>
      <c r="E50" s="215" t="s">
        <v>1421</v>
      </c>
      <c r="F50" s="11">
        <v>5.0</v>
      </c>
      <c r="G50" s="11">
        <v>5.0</v>
      </c>
      <c r="H50" s="11">
        <v>200.0</v>
      </c>
      <c r="I50" s="11">
        <f t="shared" si="1"/>
        <v>1000</v>
      </c>
      <c r="J50" s="11" t="s">
        <v>20</v>
      </c>
      <c r="K50" s="93" t="s">
        <v>65</v>
      </c>
      <c r="L50" s="93" t="s">
        <v>1594</v>
      </c>
      <c r="M50" s="93" t="s">
        <v>1892</v>
      </c>
      <c r="N50" s="217"/>
      <c r="O50" s="11" t="str">
        <f>IMAGE("https://upload.wikimedia.org/wikipedia/commons/7/79/Polymer_clay_examples.jpg",1)</f>
        <v/>
      </c>
      <c r="P50" s="78"/>
      <c r="Q50" s="74"/>
      <c r="R50" s="75"/>
      <c r="S50" s="12"/>
      <c r="T50" s="11"/>
      <c r="U50" s="12">
        <v>1.0</v>
      </c>
      <c r="V50" s="11" t="s">
        <v>2139</v>
      </c>
      <c r="W50" s="332">
        <v>1.0</v>
      </c>
      <c r="X50" s="332">
        <f t="shared" si="4"/>
        <v>1</v>
      </c>
      <c r="Y50" s="332" t="str">
        <f t="shared" si="3"/>
        <v>C</v>
      </c>
      <c r="Z50" s="332"/>
    </row>
    <row r="51" ht="76.5" hidden="1" customHeight="1">
      <c r="A51" s="221">
        <v>50.0</v>
      </c>
      <c r="B51" s="222" t="s">
        <v>15</v>
      </c>
      <c r="C51" s="222" t="s">
        <v>1433</v>
      </c>
      <c r="D51" s="232" t="s">
        <v>1982</v>
      </c>
      <c r="E51" s="233" t="s">
        <v>1421</v>
      </c>
      <c r="F51" s="234">
        <v>1.0</v>
      </c>
      <c r="G51" s="234">
        <v>1.0</v>
      </c>
      <c r="H51" s="234">
        <v>200.0</v>
      </c>
      <c r="I51" s="222">
        <f t="shared" si="1"/>
        <v>200</v>
      </c>
      <c r="J51" s="222" t="s">
        <v>20</v>
      </c>
      <c r="K51" s="232" t="s">
        <v>21</v>
      </c>
      <c r="L51" s="232"/>
      <c r="M51" s="232" t="s">
        <v>1983</v>
      </c>
      <c r="N51" s="235" t="s">
        <v>1436</v>
      </c>
      <c r="O51" s="222" t="str">
        <f>IMAGE("https://m.media-amazon.com/images/I/81PowerIGsL._SL1500_.jpg")</f>
        <v/>
      </c>
      <c r="P51" s="334"/>
      <c r="Q51" s="335"/>
      <c r="R51" s="336"/>
      <c r="S51" s="299"/>
      <c r="T51" s="222"/>
      <c r="U51" s="299">
        <v>3.0</v>
      </c>
      <c r="V51" s="222" t="s">
        <v>2007</v>
      </c>
      <c r="W51" s="332">
        <v>1.0</v>
      </c>
      <c r="X51" s="332">
        <f t="shared" si="4"/>
        <v>1</v>
      </c>
      <c r="Y51" s="332" t="str">
        <f t="shared" si="3"/>
        <v>C</v>
      </c>
      <c r="Z51" s="332"/>
    </row>
    <row r="52" ht="76.5" hidden="1" customHeight="1">
      <c r="A52" s="221">
        <v>51.0</v>
      </c>
      <c r="B52" s="11" t="s">
        <v>15</v>
      </c>
      <c r="C52" s="11" t="s">
        <v>1438</v>
      </c>
      <c r="D52" s="93" t="s">
        <v>1439</v>
      </c>
      <c r="E52" s="215" t="s">
        <v>1421</v>
      </c>
      <c r="F52" s="216">
        <v>5.0</v>
      </c>
      <c r="G52" s="216">
        <v>5.0</v>
      </c>
      <c r="H52" s="216">
        <v>50.0</v>
      </c>
      <c r="I52" s="11">
        <f t="shared" si="1"/>
        <v>250</v>
      </c>
      <c r="J52" s="11" t="s">
        <v>20</v>
      </c>
      <c r="K52" s="93" t="s">
        <v>21</v>
      </c>
      <c r="L52" s="93"/>
      <c r="M52" s="93" t="s">
        <v>1983</v>
      </c>
      <c r="N52" s="217" t="s">
        <v>1440</v>
      </c>
      <c r="O52" s="11" t="str">
        <f>IMAGE("https://cdn.shopify.com/s/files/1/0032/5448/5037/products/suvidha-aluminium-foil-72-meters-pack-of-12_800x.jpg?v=1562920856",1)</f>
        <v/>
      </c>
      <c r="P52" s="78"/>
      <c r="Q52" s="74"/>
      <c r="R52" s="75"/>
      <c r="S52" s="12"/>
      <c r="T52" s="11"/>
      <c r="U52" s="12">
        <v>3.0</v>
      </c>
      <c r="V52" s="11" t="s">
        <v>2140</v>
      </c>
      <c r="W52" s="332">
        <v>1.0</v>
      </c>
      <c r="X52" s="332">
        <f t="shared" si="4"/>
        <v>1</v>
      </c>
      <c r="Y52" s="332" t="str">
        <f t="shared" si="3"/>
        <v>C</v>
      </c>
      <c r="Z52" s="332"/>
    </row>
    <row r="53" ht="76.5" hidden="1" customHeight="1">
      <c r="A53" s="221">
        <v>52.0</v>
      </c>
      <c r="B53" s="222" t="s">
        <v>15</v>
      </c>
      <c r="C53" s="222" t="s">
        <v>1442</v>
      </c>
      <c r="D53" s="232" t="s">
        <v>936</v>
      </c>
      <c r="E53" s="233" t="s">
        <v>1421</v>
      </c>
      <c r="F53" s="234">
        <v>4.0</v>
      </c>
      <c r="G53" s="234">
        <v>4.0</v>
      </c>
      <c r="H53" s="234">
        <v>20.0</v>
      </c>
      <c r="I53" s="222">
        <f t="shared" si="1"/>
        <v>80</v>
      </c>
      <c r="J53" s="222" t="s">
        <v>20</v>
      </c>
      <c r="K53" s="222"/>
      <c r="L53" s="232" t="s">
        <v>1902</v>
      </c>
      <c r="M53" s="232" t="s">
        <v>111</v>
      </c>
      <c r="N53" s="235" t="s">
        <v>1443</v>
      </c>
      <c r="O53" s="222" t="str">
        <f>IMAGE("https://m.media-amazon.com/images/I/61ywjiydpbS._SL1500_.jpg",1)</f>
        <v/>
      </c>
      <c r="P53" s="334"/>
      <c r="Q53" s="335"/>
      <c r="R53" s="336"/>
      <c r="S53" s="299"/>
      <c r="T53" s="222"/>
      <c r="U53" s="299">
        <v>1.0</v>
      </c>
      <c r="V53" s="222" t="s">
        <v>2019</v>
      </c>
      <c r="W53" s="332">
        <v>1.0</v>
      </c>
      <c r="X53" s="332">
        <f t="shared" si="4"/>
        <v>1</v>
      </c>
      <c r="Y53" s="332" t="str">
        <f t="shared" si="3"/>
        <v>C</v>
      </c>
      <c r="Z53" s="332"/>
    </row>
    <row r="54" ht="76.5" hidden="1" customHeight="1">
      <c r="A54" s="221">
        <v>53.0</v>
      </c>
      <c r="B54" s="11" t="s">
        <v>15</v>
      </c>
      <c r="C54" s="11" t="s">
        <v>1453</v>
      </c>
      <c r="D54" s="93" t="s">
        <v>1454</v>
      </c>
      <c r="E54" s="215" t="s">
        <v>1421</v>
      </c>
      <c r="F54" s="216">
        <v>50.0</v>
      </c>
      <c r="G54" s="216">
        <v>50.0</v>
      </c>
      <c r="H54" s="216">
        <v>50.0</v>
      </c>
      <c r="I54" s="11">
        <f t="shared" si="1"/>
        <v>2500</v>
      </c>
      <c r="J54" s="11" t="s">
        <v>20</v>
      </c>
      <c r="K54" s="93" t="s">
        <v>65</v>
      </c>
      <c r="L54" s="93"/>
      <c r="M54" s="93" t="s">
        <v>111</v>
      </c>
      <c r="N54" s="217" t="s">
        <v>1455</v>
      </c>
      <c r="O54" s="11" t="str">
        <f>IMAGE("https://cdn11.bigcommerce.com/s-33iv1gdknl/images/stencil/1280x1280/products/115465/70691/prd_32014_5797121027228__12010.1559545680.jpg?c=2",1)</f>
        <v/>
      </c>
      <c r="P54" s="78"/>
      <c r="Q54" s="74"/>
      <c r="R54" s="75"/>
      <c r="S54" s="5"/>
      <c r="T54" s="14"/>
      <c r="U54" s="12">
        <v>3.0</v>
      </c>
      <c r="V54" s="11" t="s">
        <v>2141</v>
      </c>
      <c r="W54" s="332">
        <v>1.0</v>
      </c>
      <c r="X54" s="332">
        <f t="shared" si="4"/>
        <v>1</v>
      </c>
      <c r="Y54" s="332" t="str">
        <f t="shared" si="3"/>
        <v>C</v>
      </c>
      <c r="Z54" s="332"/>
    </row>
    <row r="55" ht="76.5" hidden="1" customHeight="1">
      <c r="A55" s="221">
        <v>54.0</v>
      </c>
      <c r="B55" s="11" t="s">
        <v>15</v>
      </c>
      <c r="C55" s="11" t="s">
        <v>1457</v>
      </c>
      <c r="D55" s="93" t="s">
        <v>1458</v>
      </c>
      <c r="E55" s="215" t="s">
        <v>1421</v>
      </c>
      <c r="F55" s="216">
        <v>10.0</v>
      </c>
      <c r="G55" s="216">
        <v>10.0</v>
      </c>
      <c r="H55" s="216">
        <v>280.0</v>
      </c>
      <c r="I55" s="11">
        <f t="shared" si="1"/>
        <v>2800</v>
      </c>
      <c r="J55" s="11" t="s">
        <v>20</v>
      </c>
      <c r="K55" s="93" t="s">
        <v>65</v>
      </c>
      <c r="L55" s="93"/>
      <c r="M55" s="93" t="s">
        <v>1985</v>
      </c>
      <c r="N55" s="217"/>
      <c r="O55" s="11" t="str">
        <f>IMAGE("https://assetscdn1.paytm.com/images/catalog/product/S/ST/STAEVA-FOAM-SHEKAPI63599336D8CB51/1563562065545_0..jpg?imwidth=320&amp;impolicy=hq",1)</f>
        <v/>
      </c>
      <c r="P55" s="78"/>
      <c r="Q55" s="74"/>
      <c r="R55" s="75"/>
      <c r="S55" s="12"/>
      <c r="T55" s="11"/>
      <c r="U55" s="12">
        <v>3.0</v>
      </c>
      <c r="V55" s="11" t="s">
        <v>2142</v>
      </c>
      <c r="W55" s="332">
        <v>1.0</v>
      </c>
      <c r="X55" s="332">
        <f t="shared" si="4"/>
        <v>1</v>
      </c>
      <c r="Y55" s="332" t="str">
        <f t="shared" si="3"/>
        <v>C</v>
      </c>
      <c r="Z55" s="332"/>
    </row>
    <row r="56" ht="76.5" hidden="1" customHeight="1">
      <c r="A56" s="221">
        <v>55.0</v>
      </c>
      <c r="B56" s="11" t="s">
        <v>15</v>
      </c>
      <c r="C56" s="11" t="s">
        <v>1445</v>
      </c>
      <c r="D56" s="93" t="s">
        <v>1446</v>
      </c>
      <c r="E56" s="215" t="s">
        <v>1421</v>
      </c>
      <c r="F56" s="216">
        <v>5.0</v>
      </c>
      <c r="G56" s="216">
        <v>5.0</v>
      </c>
      <c r="H56" s="216">
        <v>100.0</v>
      </c>
      <c r="I56" s="11">
        <f t="shared" si="1"/>
        <v>500</v>
      </c>
      <c r="J56" s="11" t="s">
        <v>20</v>
      </c>
      <c r="K56" s="93" t="s">
        <v>65</v>
      </c>
      <c r="L56" s="123"/>
      <c r="M56" s="93" t="s">
        <v>1985</v>
      </c>
      <c r="N56" s="217" t="s">
        <v>1447</v>
      </c>
      <c r="O56" s="11" t="str">
        <f t="shared" ref="O56:O57" si="7">IMAGE("https://m.media-amazon.com/images/I/51FB8cHTJyL._SL1500_.jpg",1)</f>
        <v/>
      </c>
      <c r="P56" s="78"/>
      <c r="Q56" s="74"/>
      <c r="R56" s="75"/>
      <c r="S56" s="12"/>
      <c r="T56" s="11"/>
      <c r="U56" s="12">
        <v>3.0</v>
      </c>
      <c r="V56" s="11" t="s">
        <v>2143</v>
      </c>
      <c r="W56" s="332">
        <v>1.0</v>
      </c>
      <c r="X56" s="332">
        <f t="shared" si="4"/>
        <v>1</v>
      </c>
      <c r="Y56" s="332" t="str">
        <f t="shared" si="3"/>
        <v>C</v>
      </c>
      <c r="Z56" s="332"/>
    </row>
    <row r="57" ht="76.5" hidden="1" customHeight="1">
      <c r="A57" s="221">
        <v>56.0</v>
      </c>
      <c r="B57" s="11" t="s">
        <v>15</v>
      </c>
      <c r="C57" s="11" t="s">
        <v>1449</v>
      </c>
      <c r="D57" s="93" t="s">
        <v>1450</v>
      </c>
      <c r="E57" s="215" t="s">
        <v>1421</v>
      </c>
      <c r="F57" s="216">
        <v>5.0</v>
      </c>
      <c r="G57" s="216">
        <v>5.0</v>
      </c>
      <c r="H57" s="216">
        <v>200.0</v>
      </c>
      <c r="I57" s="11">
        <f t="shared" si="1"/>
        <v>1000</v>
      </c>
      <c r="J57" s="11" t="s">
        <v>20</v>
      </c>
      <c r="K57" s="93" t="s">
        <v>65</v>
      </c>
      <c r="L57" s="123"/>
      <c r="M57" s="93" t="s">
        <v>1985</v>
      </c>
      <c r="N57" s="217" t="s">
        <v>1451</v>
      </c>
      <c r="O57" s="11" t="str">
        <f t="shared" si="7"/>
        <v/>
      </c>
      <c r="P57" s="78"/>
      <c r="Q57" s="74"/>
      <c r="R57" s="75"/>
      <c r="S57" s="12"/>
      <c r="T57" s="11"/>
      <c r="U57" s="12">
        <v>3.0</v>
      </c>
      <c r="V57" s="11" t="s">
        <v>2143</v>
      </c>
      <c r="W57" s="332">
        <v>1.0</v>
      </c>
      <c r="X57" s="332">
        <f t="shared" si="4"/>
        <v>1</v>
      </c>
      <c r="Y57" s="332" t="str">
        <f t="shared" si="3"/>
        <v>C</v>
      </c>
      <c r="Z57" s="332"/>
    </row>
    <row r="58" ht="76.5" hidden="1" customHeight="1">
      <c r="A58" s="221">
        <v>57.0</v>
      </c>
      <c r="B58" s="11" t="s">
        <v>15</v>
      </c>
      <c r="C58" s="11" t="s">
        <v>1460</v>
      </c>
      <c r="D58" s="93" t="s">
        <v>1461</v>
      </c>
      <c r="E58" s="215" t="s">
        <v>1421</v>
      </c>
      <c r="F58" s="216">
        <v>1.0</v>
      </c>
      <c r="G58" s="216">
        <v>1.0</v>
      </c>
      <c r="H58" s="216">
        <v>400.0</v>
      </c>
      <c r="I58" s="11">
        <f t="shared" si="1"/>
        <v>400</v>
      </c>
      <c r="J58" s="11" t="s">
        <v>20</v>
      </c>
      <c r="K58" s="93" t="s">
        <v>65</v>
      </c>
      <c r="L58" s="93"/>
      <c r="M58" s="93" t="s">
        <v>1899</v>
      </c>
      <c r="N58" s="217" t="s">
        <v>1463</v>
      </c>
      <c r="O58" s="11" t="str">
        <f>IMAGE("https://5.imimg.com/data5/NA/SV/MA/SELLER-5806248/transparent-ohp-sheet-1000x1000.jpg",1)</f>
        <v/>
      </c>
      <c r="P58" s="78"/>
      <c r="Q58" s="74"/>
      <c r="R58" s="75"/>
      <c r="S58" s="12"/>
      <c r="T58" s="11"/>
      <c r="U58" s="12">
        <v>3.0</v>
      </c>
      <c r="V58" s="11" t="s">
        <v>1984</v>
      </c>
      <c r="W58" s="332">
        <v>1.0</v>
      </c>
      <c r="X58" s="332">
        <f t="shared" si="4"/>
        <v>1</v>
      </c>
      <c r="Y58" s="332" t="str">
        <f t="shared" si="3"/>
        <v>C</v>
      </c>
      <c r="Z58" s="332"/>
    </row>
    <row r="59" ht="76.5" hidden="1" customHeight="1">
      <c r="A59" s="221">
        <v>58.0</v>
      </c>
      <c r="B59" s="11" t="s">
        <v>15</v>
      </c>
      <c r="C59" s="11" t="s">
        <v>1465</v>
      </c>
      <c r="D59" s="93" t="s">
        <v>1466</v>
      </c>
      <c r="E59" s="215" t="s">
        <v>1421</v>
      </c>
      <c r="F59" s="216">
        <v>10.0</v>
      </c>
      <c r="G59" s="216">
        <v>10.0</v>
      </c>
      <c r="H59" s="216">
        <v>72.0</v>
      </c>
      <c r="I59" s="11">
        <f t="shared" si="1"/>
        <v>720</v>
      </c>
      <c r="J59" s="11" t="s">
        <v>20</v>
      </c>
      <c r="K59" s="93" t="s">
        <v>65</v>
      </c>
      <c r="L59" s="93"/>
      <c r="M59" s="93" t="s">
        <v>1985</v>
      </c>
      <c r="N59" s="223" t="s">
        <v>1467</v>
      </c>
      <c r="O59" s="11" t="str">
        <f>IMAGE("https://www.ramsayrubber.com/wp-content/uploads/2020/01/Rolls-Sheeting-Polyurethane-Foam-Rolls2-1.jpg",1)</f>
        <v/>
      </c>
      <c r="P59" s="78"/>
      <c r="Q59" s="74"/>
      <c r="R59" s="75"/>
      <c r="S59" s="12"/>
      <c r="T59" s="11"/>
      <c r="U59" s="12">
        <v>3.0</v>
      </c>
      <c r="V59" s="222" t="s">
        <v>2142</v>
      </c>
      <c r="W59" s="332">
        <v>1.0</v>
      </c>
      <c r="X59" s="332">
        <f t="shared" si="4"/>
        <v>1</v>
      </c>
      <c r="Y59" s="332" t="str">
        <f t="shared" si="3"/>
        <v>C</v>
      </c>
      <c r="Z59" s="332"/>
    </row>
    <row r="60" ht="76.5" hidden="1" customHeight="1">
      <c r="A60" s="221">
        <v>59.0</v>
      </c>
      <c r="B60" s="11" t="s">
        <v>15</v>
      </c>
      <c r="C60" s="11" t="s">
        <v>1469</v>
      </c>
      <c r="D60" s="93" t="s">
        <v>1470</v>
      </c>
      <c r="E60" s="215" t="s">
        <v>1421</v>
      </c>
      <c r="F60" s="216">
        <v>1.0</v>
      </c>
      <c r="G60" s="216">
        <v>1.0</v>
      </c>
      <c r="H60" s="216">
        <v>400.0</v>
      </c>
      <c r="I60" s="11">
        <f t="shared" si="1"/>
        <v>400</v>
      </c>
      <c r="J60" s="11" t="s">
        <v>20</v>
      </c>
      <c r="K60" s="93" t="s">
        <v>21</v>
      </c>
      <c r="L60" s="93"/>
      <c r="M60" s="93" t="s">
        <v>111</v>
      </c>
      <c r="N60" s="217" t="s">
        <v>1471</v>
      </c>
      <c r="O60" s="11" t="str">
        <f>IMAGE("https://www.wpiinc.com/media/catalog/product/cache/57a65487c9a4c9d3ba2482ad45cfc757/5/0/503023.jpg",1)</f>
        <v/>
      </c>
      <c r="P60" s="78"/>
      <c r="Q60" s="74"/>
      <c r="R60" s="75"/>
      <c r="S60" s="12"/>
      <c r="T60" s="11"/>
      <c r="U60" s="12">
        <v>3.0</v>
      </c>
      <c r="V60" s="11" t="s">
        <v>2007</v>
      </c>
      <c r="W60" s="332">
        <v>1.0</v>
      </c>
      <c r="X60" s="332">
        <f t="shared" si="4"/>
        <v>1</v>
      </c>
      <c r="Y60" s="332" t="str">
        <f t="shared" si="3"/>
        <v>C</v>
      </c>
      <c r="Z60" s="332"/>
    </row>
    <row r="61" ht="76.5" hidden="1" customHeight="1">
      <c r="A61" s="221">
        <v>60.0</v>
      </c>
      <c r="B61" s="11" t="s">
        <v>15</v>
      </c>
      <c r="C61" s="11" t="s">
        <v>1603</v>
      </c>
      <c r="D61" s="93" t="s">
        <v>1604</v>
      </c>
      <c r="E61" s="215" t="s">
        <v>1601</v>
      </c>
      <c r="F61" s="11">
        <v>1.0</v>
      </c>
      <c r="G61" s="11">
        <v>1.0</v>
      </c>
      <c r="H61" s="11">
        <v>90.0</v>
      </c>
      <c r="I61" s="11">
        <f t="shared" si="1"/>
        <v>90</v>
      </c>
      <c r="J61" s="11" t="s">
        <v>20</v>
      </c>
      <c r="K61" s="93" t="s">
        <v>65</v>
      </c>
      <c r="L61" s="93" t="s">
        <v>2052</v>
      </c>
      <c r="M61" s="93" t="s">
        <v>1987</v>
      </c>
      <c r="N61" s="217"/>
      <c r="O61" s="11" t="str">
        <f>IMAGE("https://3.imimg.com/data3/HA/PB/MY-3231014/sewing-needle.jpg",1)</f>
        <v/>
      </c>
      <c r="P61" s="78"/>
      <c r="Q61" s="79"/>
      <c r="R61" s="80"/>
      <c r="S61" s="12"/>
      <c r="T61" s="11"/>
      <c r="U61" s="12">
        <v>3.0</v>
      </c>
      <c r="V61" s="11" t="s">
        <v>2151</v>
      </c>
      <c r="W61" s="332">
        <v>1.0</v>
      </c>
      <c r="X61" s="332">
        <f t="shared" si="4"/>
        <v>1</v>
      </c>
      <c r="Y61" s="332" t="str">
        <f t="shared" si="3"/>
        <v>C</v>
      </c>
      <c r="Z61" s="332"/>
    </row>
    <row r="62" ht="76.5" hidden="1" customHeight="1">
      <c r="A62" s="221">
        <v>61.0</v>
      </c>
      <c r="B62" s="11" t="s">
        <v>15</v>
      </c>
      <c r="C62" s="11" t="s">
        <v>1607</v>
      </c>
      <c r="D62" s="93" t="s">
        <v>1608</v>
      </c>
      <c r="E62" s="215" t="s">
        <v>1601</v>
      </c>
      <c r="F62" s="11">
        <v>2.0</v>
      </c>
      <c r="G62" s="11">
        <v>2.0</v>
      </c>
      <c r="H62" s="11">
        <v>300.0</v>
      </c>
      <c r="I62" s="11">
        <f t="shared" si="1"/>
        <v>600</v>
      </c>
      <c r="J62" s="11" t="s">
        <v>20</v>
      </c>
      <c r="K62" s="93" t="s">
        <v>65</v>
      </c>
      <c r="L62" s="93" t="s">
        <v>2052</v>
      </c>
      <c r="M62" s="93" t="s">
        <v>1987</v>
      </c>
      <c r="N62" s="217"/>
      <c r="O62" s="11" t="str">
        <f>IMAGE("https://m.media-amazon.com/images/W/MEDIAX_792452-T2/images/I/71vxqqo9r7L.jpg",1)</f>
        <v/>
      </c>
      <c r="P62" s="78"/>
      <c r="Q62" s="74"/>
      <c r="R62" s="75"/>
      <c r="S62" s="12"/>
      <c r="T62" s="11"/>
      <c r="U62" s="12">
        <v>3.0</v>
      </c>
      <c r="V62" s="11" t="s">
        <v>2151</v>
      </c>
      <c r="W62" s="332">
        <v>1.0</v>
      </c>
      <c r="X62" s="332">
        <f t="shared" si="4"/>
        <v>1</v>
      </c>
      <c r="Y62" s="332" t="str">
        <f t="shared" si="3"/>
        <v>C</v>
      </c>
      <c r="Z62" s="332"/>
    </row>
    <row r="63" ht="76.5" hidden="1" customHeight="1">
      <c r="A63" s="221">
        <v>62.0</v>
      </c>
      <c r="B63" s="221" t="s">
        <v>15</v>
      </c>
      <c r="C63" s="11" t="s">
        <v>1610</v>
      </c>
      <c r="D63" s="93" t="s">
        <v>1611</v>
      </c>
      <c r="E63" s="215" t="s">
        <v>1601</v>
      </c>
      <c r="F63" s="11">
        <v>5.0</v>
      </c>
      <c r="G63" s="11">
        <v>5.0</v>
      </c>
      <c r="H63" s="11">
        <v>10.0</v>
      </c>
      <c r="I63" s="11">
        <f t="shared" si="1"/>
        <v>50</v>
      </c>
      <c r="J63" s="11" t="s">
        <v>347</v>
      </c>
      <c r="K63" s="93" t="s">
        <v>65</v>
      </c>
      <c r="L63" s="93" t="s">
        <v>2052</v>
      </c>
      <c r="M63" s="93" t="s">
        <v>1987</v>
      </c>
      <c r="N63" s="217" t="s">
        <v>1612</v>
      </c>
      <c r="O63" s="11" t="str">
        <f>IMAGE("https://delhi6online.in/cdn/shop/products/S1_800x.jpg?v=1545883083.jpg",1)</f>
        <v/>
      </c>
      <c r="P63" s="78"/>
      <c r="Q63" s="74" t="s">
        <v>1719</v>
      </c>
      <c r="R63" s="75"/>
      <c r="S63" s="12"/>
      <c r="T63" s="11"/>
      <c r="U63" s="12">
        <v>3.0</v>
      </c>
      <c r="V63" s="11" t="s">
        <v>2151</v>
      </c>
      <c r="W63" s="332">
        <v>1.0</v>
      </c>
      <c r="X63" s="332">
        <f t="shared" si="4"/>
        <v>1</v>
      </c>
      <c r="Y63" s="332" t="str">
        <f t="shared" si="3"/>
        <v>C</v>
      </c>
      <c r="Z63" s="332"/>
    </row>
    <row r="64" ht="76.5" hidden="1" customHeight="1">
      <c r="A64" s="221">
        <v>63.0</v>
      </c>
      <c r="B64" s="221" t="s">
        <v>15</v>
      </c>
      <c r="C64" s="11" t="s">
        <v>1614</v>
      </c>
      <c r="D64" s="93" t="s">
        <v>1615</v>
      </c>
      <c r="E64" s="215" t="s">
        <v>1601</v>
      </c>
      <c r="F64" s="11">
        <v>5.0</v>
      </c>
      <c r="G64" s="11">
        <v>5.0</v>
      </c>
      <c r="H64" s="11">
        <v>30.0</v>
      </c>
      <c r="I64" s="11">
        <f t="shared" si="1"/>
        <v>150</v>
      </c>
      <c r="J64" s="11" t="s">
        <v>347</v>
      </c>
      <c r="K64" s="93" t="s">
        <v>65</v>
      </c>
      <c r="L64" s="93" t="s">
        <v>2052</v>
      </c>
      <c r="M64" s="93" t="s">
        <v>1987</v>
      </c>
      <c r="N64" s="217" t="s">
        <v>1616</v>
      </c>
      <c r="O64" s="11" t="str">
        <f>IMAGE("https://4.imimg.com/data4/JF/WX/MY-2704359/thread-cutter-1000x1000.jpg",1)</f>
        <v/>
      </c>
      <c r="P64" s="78"/>
      <c r="Q64" s="74"/>
      <c r="R64" s="75"/>
      <c r="S64" s="12"/>
      <c r="T64" s="11"/>
      <c r="U64" s="12">
        <v>3.0</v>
      </c>
      <c r="V64" s="11" t="s">
        <v>2152</v>
      </c>
      <c r="W64" s="332">
        <v>1.0</v>
      </c>
      <c r="X64" s="332">
        <f t="shared" si="4"/>
        <v>1</v>
      </c>
      <c r="Y64" s="332" t="str">
        <f t="shared" si="3"/>
        <v>C</v>
      </c>
      <c r="Z64" s="332"/>
    </row>
    <row r="65" ht="76.5" hidden="1" customHeight="1">
      <c r="A65" s="221">
        <v>64.0</v>
      </c>
      <c r="B65" s="221" t="s">
        <v>15</v>
      </c>
      <c r="C65" s="259" t="s">
        <v>2000</v>
      </c>
      <c r="D65" s="260" t="s">
        <v>2001</v>
      </c>
      <c r="E65" s="215"/>
      <c r="F65" s="216"/>
      <c r="G65" s="216">
        <v>5.0</v>
      </c>
      <c r="H65" s="216"/>
      <c r="I65" s="11"/>
      <c r="J65" s="11"/>
      <c r="K65" s="93"/>
      <c r="L65" s="123" t="s">
        <v>2002</v>
      </c>
      <c r="M65" s="93"/>
      <c r="N65" s="217"/>
      <c r="O65" s="11"/>
      <c r="P65" s="73"/>
      <c r="Q65" s="74"/>
      <c r="R65" s="75"/>
      <c r="S65" s="12"/>
      <c r="T65" s="11"/>
      <c r="U65" s="12">
        <v>1.0</v>
      </c>
      <c r="V65" s="11" t="s">
        <v>2156</v>
      </c>
      <c r="W65" s="332">
        <v>1.0</v>
      </c>
      <c r="X65" s="332">
        <f t="shared" si="4"/>
        <v>1</v>
      </c>
      <c r="Y65" s="332" t="str">
        <f t="shared" si="3"/>
        <v>C</v>
      </c>
      <c r="Z65" s="332"/>
    </row>
    <row r="66" ht="76.5" hidden="1" customHeight="1">
      <c r="A66" s="221">
        <v>65.0</v>
      </c>
      <c r="B66" s="222" t="s">
        <v>15</v>
      </c>
      <c r="C66" s="222" t="s">
        <v>75</v>
      </c>
      <c r="D66" s="232" t="s">
        <v>1891</v>
      </c>
      <c r="E66" s="233" t="s">
        <v>64</v>
      </c>
      <c r="F66" s="222">
        <v>10.0</v>
      </c>
      <c r="G66" s="222">
        <v>10.0</v>
      </c>
      <c r="H66" s="222">
        <v>50.0</v>
      </c>
      <c r="I66" s="222">
        <f t="shared" ref="I66:I70" si="8">H66*G66</f>
        <v>500</v>
      </c>
      <c r="J66" s="222" t="s">
        <v>20</v>
      </c>
      <c r="K66" s="232" t="s">
        <v>77</v>
      </c>
      <c r="L66" s="341" t="s">
        <v>1594</v>
      </c>
      <c r="M66" s="232" t="s">
        <v>1892</v>
      </c>
      <c r="N66" s="235" t="s">
        <v>78</v>
      </c>
      <c r="O66" s="222" t="str">
        <f>IMAGE("https://m.media-amazon.com/images/W/MEDIAX_792452-T2/images/I/611Q9E31rML._SL1500_.jpg",1)</f>
        <v/>
      </c>
      <c r="P66" s="334"/>
      <c r="Q66" s="335"/>
      <c r="R66" s="336"/>
      <c r="S66" s="299"/>
      <c r="T66" s="222"/>
      <c r="U66" s="299">
        <v>1.0</v>
      </c>
      <c r="V66" s="222" t="s">
        <v>2015</v>
      </c>
      <c r="W66" s="342">
        <v>1.0</v>
      </c>
      <c r="X66" s="332">
        <f t="shared" si="4"/>
        <v>1</v>
      </c>
      <c r="Y66" s="332" t="str">
        <f t="shared" si="3"/>
        <v>C</v>
      </c>
      <c r="Z66" s="343">
        <f>SUM(X2:X66)</f>
        <v>64</v>
      </c>
    </row>
    <row r="67" ht="76.5" hidden="1" customHeight="1">
      <c r="A67" s="221">
        <v>66.0</v>
      </c>
      <c r="B67" s="222" t="s">
        <v>461</v>
      </c>
      <c r="C67" s="222" t="s">
        <v>463</v>
      </c>
      <c r="D67" s="232" t="s">
        <v>464</v>
      </c>
      <c r="E67" s="233" t="s">
        <v>465</v>
      </c>
      <c r="F67" s="234">
        <v>5.0</v>
      </c>
      <c r="G67" s="234">
        <v>5.0</v>
      </c>
      <c r="H67" s="234">
        <v>1200.0</v>
      </c>
      <c r="I67" s="222">
        <f t="shared" si="8"/>
        <v>6000</v>
      </c>
      <c r="J67" s="222" t="s">
        <v>466</v>
      </c>
      <c r="K67" s="232" t="s">
        <v>47</v>
      </c>
      <c r="L67" s="232" t="s">
        <v>1895</v>
      </c>
      <c r="M67" s="232" t="s">
        <v>1938</v>
      </c>
      <c r="N67" s="235" t="s">
        <v>468</v>
      </c>
      <c r="O67" s="222" t="str">
        <f>IMAGE("https://5.imimg.com/data5/SELLER/Default/2020/10/MN/BG/IF/24066098/sunlu-sl-300-3d-pen-green-500x500.jpg",1)</f>
        <v/>
      </c>
      <c r="P67" s="340" t="s">
        <v>1684</v>
      </c>
      <c r="Q67" s="335">
        <f>3*60</f>
        <v>180</v>
      </c>
      <c r="R67" s="336"/>
      <c r="S67" s="299"/>
      <c r="T67" s="222"/>
      <c r="U67" s="299">
        <v>1.0</v>
      </c>
      <c r="V67" s="11" t="s">
        <v>2065</v>
      </c>
      <c r="W67" s="332">
        <v>2.0</v>
      </c>
      <c r="X67" s="332">
        <f t="shared" si="4"/>
        <v>0.5</v>
      </c>
      <c r="Y67" s="332" t="str">
        <f t="shared" si="3"/>
        <v>D</v>
      </c>
      <c r="Z67" s="332"/>
    </row>
    <row r="68" ht="76.5" hidden="1" customHeight="1">
      <c r="A68" s="221">
        <v>67.0</v>
      </c>
      <c r="B68" s="11" t="s">
        <v>461</v>
      </c>
      <c r="C68" s="11" t="s">
        <v>470</v>
      </c>
      <c r="D68" s="93" t="s">
        <v>471</v>
      </c>
      <c r="E68" s="215" t="s">
        <v>465</v>
      </c>
      <c r="F68" s="216">
        <v>1.0</v>
      </c>
      <c r="G68" s="216">
        <v>1.0</v>
      </c>
      <c r="H68" s="216">
        <v>50000.0</v>
      </c>
      <c r="I68" s="11">
        <f t="shared" si="8"/>
        <v>50000</v>
      </c>
      <c r="J68" s="11" t="s">
        <v>466</v>
      </c>
      <c r="K68" s="93" t="s">
        <v>47</v>
      </c>
      <c r="L68" s="123" t="s">
        <v>65</v>
      </c>
      <c r="M68" s="93" t="s">
        <v>1938</v>
      </c>
      <c r="N68" s="217" t="s">
        <v>472</v>
      </c>
      <c r="O68" s="11" t="str">
        <f>IMAGE("https://m.media-amazon.com/images/I/61UtNlSmPaL._SX342_.jpg",1)</f>
        <v/>
      </c>
      <c r="P68" s="73" t="s">
        <v>1684</v>
      </c>
      <c r="Q68" s="74">
        <f>55</f>
        <v>55</v>
      </c>
      <c r="R68" s="75"/>
      <c r="S68" s="12"/>
      <c r="T68" s="11"/>
      <c r="U68" s="12">
        <v>3.0</v>
      </c>
      <c r="V68" s="11" t="s">
        <v>2066</v>
      </c>
      <c r="W68" s="332">
        <v>2.0</v>
      </c>
      <c r="X68" s="332">
        <f t="shared" si="4"/>
        <v>0.5</v>
      </c>
      <c r="Y68" s="332" t="str">
        <f t="shared" si="3"/>
        <v>D</v>
      </c>
      <c r="Z68" s="332"/>
    </row>
    <row r="69" ht="76.5" hidden="1" customHeight="1">
      <c r="A69" s="221">
        <v>68.0</v>
      </c>
      <c r="B69" s="11" t="s">
        <v>461</v>
      </c>
      <c r="C69" s="11" t="s">
        <v>474</v>
      </c>
      <c r="D69" s="93" t="s">
        <v>475</v>
      </c>
      <c r="E69" s="215" t="s">
        <v>465</v>
      </c>
      <c r="F69" s="216" t="s">
        <v>56</v>
      </c>
      <c r="G69" s="216">
        <v>1.0</v>
      </c>
      <c r="H69" s="216">
        <v>500.0</v>
      </c>
      <c r="I69" s="11">
        <f t="shared" si="8"/>
        <v>500</v>
      </c>
      <c r="J69" s="11" t="s">
        <v>466</v>
      </c>
      <c r="K69" s="11"/>
      <c r="L69" s="93" t="s">
        <v>1594</v>
      </c>
      <c r="M69" s="93" t="s">
        <v>1938</v>
      </c>
      <c r="N69" s="217"/>
      <c r="O69" s="11"/>
      <c r="P69" s="73"/>
      <c r="Q69" s="74"/>
      <c r="R69" s="75"/>
      <c r="S69" s="12"/>
      <c r="T69" s="11"/>
      <c r="U69" s="12">
        <v>1.0</v>
      </c>
      <c r="V69" s="11" t="s">
        <v>2067</v>
      </c>
      <c r="W69" s="332">
        <v>2.0</v>
      </c>
      <c r="X69" s="332">
        <f t="shared" si="4"/>
        <v>0.5</v>
      </c>
      <c r="Y69" s="332" t="str">
        <f t="shared" si="3"/>
        <v>D</v>
      </c>
      <c r="Z69" s="332"/>
    </row>
    <row r="70" ht="76.5" hidden="1" customHeight="1">
      <c r="A70" s="221">
        <v>69.0</v>
      </c>
      <c r="B70" s="11" t="s">
        <v>461</v>
      </c>
      <c r="C70" s="11" t="s">
        <v>482</v>
      </c>
      <c r="D70" s="93" t="s">
        <v>483</v>
      </c>
      <c r="E70" s="215" t="s">
        <v>465</v>
      </c>
      <c r="F70" s="216">
        <v>1.0</v>
      </c>
      <c r="G70" s="216">
        <v>1.0</v>
      </c>
      <c r="H70" s="216">
        <v>28000.0</v>
      </c>
      <c r="I70" s="11">
        <f t="shared" si="8"/>
        <v>28000</v>
      </c>
      <c r="J70" s="11" t="s">
        <v>466</v>
      </c>
      <c r="K70" s="93" t="s">
        <v>47</v>
      </c>
      <c r="L70" s="123" t="s">
        <v>65</v>
      </c>
      <c r="M70" s="93" t="s">
        <v>1991</v>
      </c>
      <c r="N70" s="217" t="s">
        <v>484</v>
      </c>
      <c r="O70" s="11" t="str">
        <f>IMAGE("https://robu.in/wp-content/uploads/2022/12/Creality-X-Ender-CR-Laser-Falcon-Laser-Engraver-10W-1.jpg",1)</f>
        <v/>
      </c>
      <c r="P70" s="73" t="s">
        <v>1684</v>
      </c>
      <c r="Q70" s="74">
        <v>55.0</v>
      </c>
      <c r="R70" s="75"/>
      <c r="S70" s="12"/>
      <c r="T70" s="11"/>
      <c r="U70" s="12">
        <v>3.0</v>
      </c>
      <c r="V70" s="11" t="s">
        <v>2066</v>
      </c>
      <c r="W70" s="332">
        <v>2.0</v>
      </c>
      <c r="X70" s="332">
        <f t="shared" si="4"/>
        <v>0.5</v>
      </c>
      <c r="Y70" s="332" t="str">
        <f t="shared" si="3"/>
        <v>D</v>
      </c>
      <c r="Z70" s="344"/>
    </row>
    <row r="71" ht="76.5" hidden="1" customHeight="1">
      <c r="A71" s="221">
        <v>70.0</v>
      </c>
      <c r="B71" s="221" t="s">
        <v>461</v>
      </c>
      <c r="C71" s="259" t="s">
        <v>1992</v>
      </c>
      <c r="D71" s="93" t="s">
        <v>1993</v>
      </c>
      <c r="E71" s="215" t="s">
        <v>465</v>
      </c>
      <c r="F71" s="216"/>
      <c r="G71" s="216">
        <v>1.0</v>
      </c>
      <c r="H71" s="216"/>
      <c r="I71" s="11"/>
      <c r="J71" s="11" t="s">
        <v>466</v>
      </c>
      <c r="K71" s="93"/>
      <c r="L71" s="123" t="s">
        <v>1594</v>
      </c>
      <c r="M71" s="93" t="s">
        <v>1991</v>
      </c>
      <c r="N71" s="217"/>
      <c r="O71" s="11"/>
      <c r="P71" s="73"/>
      <c r="Q71" s="74"/>
      <c r="R71" s="75"/>
      <c r="S71" s="12"/>
      <c r="T71" s="11"/>
      <c r="U71" s="12">
        <v>1.0</v>
      </c>
      <c r="V71" s="11" t="s">
        <v>2067</v>
      </c>
      <c r="W71" s="332">
        <v>2.0</v>
      </c>
      <c r="X71" s="332">
        <f t="shared" si="4"/>
        <v>0.5</v>
      </c>
      <c r="Y71" s="332" t="str">
        <f t="shared" si="3"/>
        <v>D</v>
      </c>
      <c r="Z71" s="332"/>
    </row>
    <row r="72" ht="76.5" hidden="1" customHeight="1">
      <c r="A72" s="221">
        <v>71.0</v>
      </c>
      <c r="B72" s="221" t="s">
        <v>461</v>
      </c>
      <c r="C72" s="259" t="s">
        <v>1994</v>
      </c>
      <c r="D72" s="260" t="s">
        <v>1995</v>
      </c>
      <c r="E72" s="215" t="s">
        <v>465</v>
      </c>
      <c r="F72" s="216"/>
      <c r="G72" s="216">
        <v>1.0</v>
      </c>
      <c r="H72" s="216"/>
      <c r="I72" s="11"/>
      <c r="J72" s="11" t="s">
        <v>466</v>
      </c>
      <c r="K72" s="93" t="s">
        <v>47</v>
      </c>
      <c r="L72" s="123"/>
      <c r="M72" s="93" t="s">
        <v>1991</v>
      </c>
      <c r="N72" s="217"/>
      <c r="O72" s="11"/>
      <c r="P72" s="73"/>
      <c r="Q72" s="74"/>
      <c r="R72" s="75"/>
      <c r="S72" s="12"/>
      <c r="T72" s="11"/>
      <c r="U72" s="12">
        <v>3.0</v>
      </c>
      <c r="V72" s="11" t="s">
        <v>2066</v>
      </c>
      <c r="W72" s="332">
        <v>2.0</v>
      </c>
      <c r="X72" s="332">
        <f t="shared" si="4"/>
        <v>0.5</v>
      </c>
      <c r="Y72" s="332" t="str">
        <f t="shared" si="3"/>
        <v>D</v>
      </c>
      <c r="Z72" s="344"/>
    </row>
    <row r="73" ht="76.5" hidden="1" customHeight="1">
      <c r="A73" s="221">
        <v>72.0</v>
      </c>
      <c r="B73" s="222" t="s">
        <v>461</v>
      </c>
      <c r="C73" s="222" t="s">
        <v>478</v>
      </c>
      <c r="D73" s="232" t="s">
        <v>479</v>
      </c>
      <c r="E73" s="233" t="s">
        <v>465</v>
      </c>
      <c r="F73" s="234">
        <v>3.0</v>
      </c>
      <c r="G73" s="234">
        <v>3.0</v>
      </c>
      <c r="H73" s="234">
        <v>500.0</v>
      </c>
      <c r="I73" s="222">
        <f t="shared" ref="I73:I75" si="9">H73*G73</f>
        <v>1500</v>
      </c>
      <c r="J73" s="222" t="s">
        <v>466</v>
      </c>
      <c r="K73" s="232"/>
      <c r="L73" s="232" t="s">
        <v>2068</v>
      </c>
      <c r="M73" s="232" t="s">
        <v>1938</v>
      </c>
      <c r="N73" s="235" t="s">
        <v>481</v>
      </c>
      <c r="O73" s="222" t="str">
        <f>IMAGE("https://5.imimg.com/data5/LA/TM/JO/SELLER-79394111/3d-printer-nylon-filament-500x500.jpg",1)</f>
        <v/>
      </c>
      <c r="P73" s="340" t="s">
        <v>1684</v>
      </c>
      <c r="Q73" s="335"/>
      <c r="R73" s="336"/>
      <c r="S73" s="299"/>
      <c r="T73" s="222"/>
      <c r="U73" s="299">
        <v>1.0</v>
      </c>
      <c r="V73" s="222" t="s">
        <v>2069</v>
      </c>
      <c r="W73" s="332">
        <v>1.0</v>
      </c>
      <c r="X73" s="332">
        <f t="shared" si="4"/>
        <v>1</v>
      </c>
      <c r="Y73" s="332" t="str">
        <f t="shared" si="3"/>
        <v>D</v>
      </c>
      <c r="Z73" s="332"/>
    </row>
    <row r="74" ht="76.5" hidden="1" customHeight="1">
      <c r="A74" s="221">
        <v>73.0</v>
      </c>
      <c r="B74" s="222" t="s">
        <v>342</v>
      </c>
      <c r="C74" s="222" t="s">
        <v>1124</v>
      </c>
      <c r="D74" s="232" t="s">
        <v>1125</v>
      </c>
      <c r="E74" s="233" t="s">
        <v>1032</v>
      </c>
      <c r="F74" s="234">
        <v>1.0</v>
      </c>
      <c r="G74" s="234">
        <v>1.0</v>
      </c>
      <c r="H74" s="234">
        <v>100.0</v>
      </c>
      <c r="I74" s="222">
        <f t="shared" si="9"/>
        <v>100</v>
      </c>
      <c r="J74" s="222" t="s">
        <v>466</v>
      </c>
      <c r="K74" s="232"/>
      <c r="L74" s="232"/>
      <c r="M74" s="233" t="s">
        <v>1032</v>
      </c>
      <c r="N74" s="235"/>
      <c r="O74" s="222" t="str">
        <f>IMAGE("https://cdn.shopify.com/s/files/1/0276/7382/1286/products/57_1a2e82a1-0306-49dc-8a29-0c0b2110ddb8_600x.jpg?v=1632245164",1)</f>
        <v/>
      </c>
      <c r="P74" s="334"/>
      <c r="Q74" s="338"/>
      <c r="R74" s="339"/>
      <c r="S74" s="299"/>
      <c r="T74" s="222"/>
      <c r="U74" s="299">
        <v>3.0</v>
      </c>
      <c r="V74" s="222" t="s">
        <v>2106</v>
      </c>
      <c r="W74" s="332">
        <v>1.0</v>
      </c>
      <c r="X74" s="332">
        <f t="shared" si="4"/>
        <v>1</v>
      </c>
      <c r="Y74" s="332" t="str">
        <f t="shared" si="3"/>
        <v>D</v>
      </c>
      <c r="Z74" s="332"/>
    </row>
    <row r="75" ht="76.5" hidden="1" customHeight="1">
      <c r="A75" s="221">
        <v>74.0</v>
      </c>
      <c r="B75" s="231" t="s">
        <v>461</v>
      </c>
      <c r="C75" s="222" t="s">
        <v>1419</v>
      </c>
      <c r="D75" s="232" t="s">
        <v>1420</v>
      </c>
      <c r="E75" s="233" t="s">
        <v>1421</v>
      </c>
      <c r="F75" s="222">
        <v>10.0</v>
      </c>
      <c r="G75" s="222">
        <v>10.0</v>
      </c>
      <c r="H75" s="222">
        <v>150.0</v>
      </c>
      <c r="I75" s="222">
        <f t="shared" si="9"/>
        <v>1500</v>
      </c>
      <c r="J75" s="222" t="s">
        <v>20</v>
      </c>
      <c r="K75" s="232" t="s">
        <v>65</v>
      </c>
      <c r="L75" s="232"/>
      <c r="M75" s="232" t="s">
        <v>1899</v>
      </c>
      <c r="N75" s="235" t="s">
        <v>1422</v>
      </c>
      <c r="O75" s="222" t="str">
        <f>IMAGE("https://5.imimg.com/data5/AC/TD/VT/SELLER-14930302/milky-white-acrylic-sheet.jpg",1)</f>
        <v/>
      </c>
      <c r="P75" s="345"/>
      <c r="Q75" s="335"/>
      <c r="R75" s="336"/>
      <c r="S75" s="299"/>
      <c r="T75" s="222"/>
      <c r="U75" s="299">
        <v>3.0</v>
      </c>
      <c r="V75" s="222" t="s">
        <v>2202</v>
      </c>
      <c r="W75" s="332">
        <v>1.0</v>
      </c>
      <c r="X75" s="332">
        <f t="shared" si="4"/>
        <v>1</v>
      </c>
      <c r="Y75" s="332" t="str">
        <f t="shared" si="3"/>
        <v>D</v>
      </c>
      <c r="Z75" s="332"/>
    </row>
    <row r="76" ht="76.5" hidden="1" customHeight="1">
      <c r="A76" s="221">
        <v>75.0</v>
      </c>
      <c r="B76" s="231" t="s">
        <v>461</v>
      </c>
      <c r="C76" s="346" t="s">
        <v>1996</v>
      </c>
      <c r="D76" s="347" t="s">
        <v>1997</v>
      </c>
      <c r="E76" s="233" t="s">
        <v>465</v>
      </c>
      <c r="F76" s="234"/>
      <c r="G76" s="234">
        <v>1.0</v>
      </c>
      <c r="H76" s="234"/>
      <c r="I76" s="222"/>
      <c r="J76" s="222" t="s">
        <v>466</v>
      </c>
      <c r="K76" s="232"/>
      <c r="L76" s="341"/>
      <c r="M76" s="232" t="s">
        <v>1991</v>
      </c>
      <c r="N76" s="235"/>
      <c r="O76" s="222"/>
      <c r="P76" s="340"/>
      <c r="Q76" s="335"/>
      <c r="R76" s="336"/>
      <c r="S76" s="299"/>
      <c r="T76" s="222"/>
      <c r="U76" s="299">
        <v>2.0</v>
      </c>
      <c r="V76" s="222" t="s">
        <v>2154</v>
      </c>
      <c r="W76" s="332">
        <v>1.0</v>
      </c>
      <c r="X76" s="332">
        <f t="shared" si="4"/>
        <v>1</v>
      </c>
      <c r="Y76" s="332" t="str">
        <f t="shared" si="3"/>
        <v>D</v>
      </c>
      <c r="Z76" s="343">
        <f>SUM(X67:X76)</f>
        <v>7</v>
      </c>
    </row>
    <row r="77" ht="76.5" customHeight="1">
      <c r="A77" s="221">
        <v>76.0</v>
      </c>
      <c r="B77" s="222" t="s">
        <v>173</v>
      </c>
      <c r="C77" s="222" t="s">
        <v>1669</v>
      </c>
      <c r="D77" s="232" t="s">
        <v>1670</v>
      </c>
      <c r="E77" s="233" t="s">
        <v>1628</v>
      </c>
      <c r="F77" s="234">
        <v>1.0</v>
      </c>
      <c r="G77" s="234">
        <v>1.0</v>
      </c>
      <c r="H77" s="234">
        <v>200.0</v>
      </c>
      <c r="I77" s="222">
        <f t="shared" ref="I77:I292" si="10">H77*G77</f>
        <v>200</v>
      </c>
      <c r="J77" s="222" t="s">
        <v>178</v>
      </c>
      <c r="K77" s="232"/>
      <c r="L77" s="232" t="s">
        <v>1960</v>
      </c>
      <c r="M77" s="232" t="s">
        <v>1628</v>
      </c>
      <c r="N77" s="235" t="s">
        <v>1671</v>
      </c>
      <c r="O77" s="222" t="str">
        <f>IMAGE("https://m.media-amazon.com/images/I/71Nb2wKaZgS._SL1500_.jpg", 1)</f>
        <v/>
      </c>
      <c r="P77" s="340" t="s">
        <v>1684</v>
      </c>
      <c r="Q77" s="335">
        <v>60.0</v>
      </c>
      <c r="R77" s="336"/>
      <c r="S77" s="299"/>
      <c r="T77" s="222"/>
      <c r="U77" s="299">
        <v>1.0</v>
      </c>
      <c r="V77" s="11" t="s">
        <v>2127</v>
      </c>
      <c r="W77" s="332">
        <v>2.0</v>
      </c>
      <c r="X77" s="332">
        <f t="shared" si="4"/>
        <v>0.5</v>
      </c>
      <c r="Y77" s="332" t="str">
        <f t="shared" si="3"/>
        <v>E</v>
      </c>
      <c r="Z77" s="332"/>
    </row>
    <row r="78" ht="76.5" customHeight="1">
      <c r="A78" s="221">
        <v>77.0</v>
      </c>
      <c r="B78" s="11" t="s">
        <v>173</v>
      </c>
      <c r="C78" s="11" t="s">
        <v>1253</v>
      </c>
      <c r="D78" s="93" t="s">
        <v>1254</v>
      </c>
      <c r="E78" s="215" t="s">
        <v>1250</v>
      </c>
      <c r="F78" s="216">
        <v>1.0</v>
      </c>
      <c r="G78" s="216">
        <v>1.0</v>
      </c>
      <c r="H78" s="216">
        <v>1000.0</v>
      </c>
      <c r="I78" s="11">
        <f t="shared" si="10"/>
        <v>1000</v>
      </c>
      <c r="J78" s="11" t="s">
        <v>178</v>
      </c>
      <c r="K78" s="93" t="s">
        <v>47</v>
      </c>
      <c r="L78" s="93" t="s">
        <v>2008</v>
      </c>
      <c r="M78" s="93" t="s">
        <v>1964</v>
      </c>
      <c r="N78" s="217" t="s">
        <v>1255</v>
      </c>
      <c r="O78" s="11" t="str">
        <f>IMAGE("https://in.element14.com/productimages/large/en_GB/IN07444-40.jpg",1)</f>
        <v/>
      </c>
      <c r="P78" s="73" t="s">
        <v>1724</v>
      </c>
      <c r="Q78" s="74"/>
      <c r="R78" s="75"/>
      <c r="S78" s="12"/>
      <c r="T78" s="11"/>
      <c r="U78" s="12">
        <v>1.0</v>
      </c>
      <c r="V78" s="11" t="s">
        <v>2123</v>
      </c>
      <c r="W78" s="332">
        <v>2.0</v>
      </c>
      <c r="X78" s="332">
        <f t="shared" si="4"/>
        <v>0.5</v>
      </c>
      <c r="Y78" s="332" t="str">
        <f t="shared" si="3"/>
        <v>E</v>
      </c>
      <c r="Z78" s="332"/>
    </row>
    <row r="79" ht="76.5" customHeight="1">
      <c r="A79" s="221">
        <v>78.0</v>
      </c>
      <c r="B79" s="11" t="s">
        <v>173</v>
      </c>
      <c r="C79" s="11" t="s">
        <v>1257</v>
      </c>
      <c r="D79" s="93" t="s">
        <v>1258</v>
      </c>
      <c r="E79" s="215" t="s">
        <v>1250</v>
      </c>
      <c r="F79" s="216">
        <v>1.0</v>
      </c>
      <c r="G79" s="216">
        <v>1.0</v>
      </c>
      <c r="H79" s="216">
        <v>25000.0</v>
      </c>
      <c r="I79" s="11">
        <f t="shared" si="10"/>
        <v>25000</v>
      </c>
      <c r="J79" s="11" t="s">
        <v>178</v>
      </c>
      <c r="K79" s="93" t="s">
        <v>47</v>
      </c>
      <c r="L79" s="93"/>
      <c r="M79" s="93" t="s">
        <v>1964</v>
      </c>
      <c r="N79" s="217" t="s">
        <v>1259</v>
      </c>
      <c r="O79" s="11" t="str">
        <f>IMAGE("https://m.media-amazon.com/images/I/51LxodXCiyS._SL1000_.jpg",1)</f>
        <v/>
      </c>
      <c r="P79" s="73" t="s">
        <v>1724</v>
      </c>
      <c r="Q79" s="74"/>
      <c r="R79" s="75"/>
      <c r="S79" s="12"/>
      <c r="T79" s="11"/>
      <c r="U79" s="12">
        <v>3.0</v>
      </c>
      <c r="V79" s="11" t="s">
        <v>2104</v>
      </c>
      <c r="W79" s="332">
        <v>2.0</v>
      </c>
      <c r="X79" s="332">
        <f t="shared" si="4"/>
        <v>0.5</v>
      </c>
      <c r="Y79" s="332" t="str">
        <f t="shared" si="3"/>
        <v>E</v>
      </c>
      <c r="Z79" s="332"/>
    </row>
    <row r="80" ht="76.5" customHeight="1">
      <c r="A80" s="221">
        <v>79.0</v>
      </c>
      <c r="B80" s="222" t="s">
        <v>173</v>
      </c>
      <c r="C80" s="222" t="s">
        <v>1261</v>
      </c>
      <c r="D80" s="232" t="s">
        <v>1262</v>
      </c>
      <c r="E80" s="233" t="s">
        <v>1250</v>
      </c>
      <c r="F80" s="234">
        <v>1.0</v>
      </c>
      <c r="G80" s="234">
        <v>1.0</v>
      </c>
      <c r="H80" s="234">
        <v>2500.0</v>
      </c>
      <c r="I80" s="222">
        <f t="shared" si="10"/>
        <v>2500</v>
      </c>
      <c r="J80" s="222" t="s">
        <v>178</v>
      </c>
      <c r="K80" s="232" t="s">
        <v>47</v>
      </c>
      <c r="L80" s="232"/>
      <c r="M80" s="232" t="s">
        <v>1907</v>
      </c>
      <c r="N80" s="235" t="s">
        <v>1263</v>
      </c>
      <c r="O80" s="222" t="str">
        <f>IMAGE("https://m.media-amazon.com/images/I/61WLNOGJ4JS.jpg")</f>
        <v/>
      </c>
      <c r="P80" s="340" t="s">
        <v>1724</v>
      </c>
      <c r="Q80" s="335"/>
      <c r="R80" s="336"/>
      <c r="S80" s="299"/>
      <c r="T80" s="222"/>
      <c r="U80" s="299">
        <v>3.0</v>
      </c>
      <c r="V80" s="222" t="s">
        <v>2104</v>
      </c>
      <c r="W80" s="332">
        <v>2.0</v>
      </c>
      <c r="X80" s="332">
        <f t="shared" si="4"/>
        <v>0.5</v>
      </c>
      <c r="Y80" s="332" t="str">
        <f t="shared" si="3"/>
        <v>E</v>
      </c>
      <c r="Z80" s="332"/>
    </row>
    <row r="81" ht="76.5" customHeight="1">
      <c r="A81" s="221">
        <v>80.0</v>
      </c>
      <c r="B81" s="11" t="s">
        <v>173</v>
      </c>
      <c r="C81" s="11" t="s">
        <v>1265</v>
      </c>
      <c r="D81" s="93" t="s">
        <v>1266</v>
      </c>
      <c r="E81" s="215" t="s">
        <v>1250</v>
      </c>
      <c r="F81" s="216">
        <v>1.0</v>
      </c>
      <c r="G81" s="216">
        <v>1.0</v>
      </c>
      <c r="H81" s="216">
        <v>2500.0</v>
      </c>
      <c r="I81" s="11">
        <f t="shared" si="10"/>
        <v>2500</v>
      </c>
      <c r="J81" s="11" t="s">
        <v>178</v>
      </c>
      <c r="K81" s="93"/>
      <c r="L81" s="93"/>
      <c r="M81" s="93" t="s">
        <v>1628</v>
      </c>
      <c r="N81" s="217" t="s">
        <v>1267</v>
      </c>
      <c r="O81" s="11" t="str">
        <f>IMAGE("https://cdn.shopify.com/s/files/1/0559/1970/6265/products/4_61325b1b-840f-41dd-a6d9-0ddb00c5c7bc_1024x1024@2x.png?v=1670588177",1)</f>
        <v/>
      </c>
      <c r="P81" s="78" t="s">
        <v>1725</v>
      </c>
      <c r="Q81" s="74"/>
      <c r="R81" s="75"/>
      <c r="S81" s="12"/>
      <c r="T81" s="11"/>
      <c r="U81" s="12">
        <v>3.0</v>
      </c>
      <c r="V81" s="11" t="s">
        <v>2104</v>
      </c>
      <c r="W81" s="332">
        <v>2.0</v>
      </c>
      <c r="X81" s="332">
        <f t="shared" si="4"/>
        <v>0.5</v>
      </c>
      <c r="Y81" s="332" t="str">
        <f t="shared" si="3"/>
        <v>E</v>
      </c>
      <c r="Z81" s="332"/>
    </row>
    <row r="82" ht="76.5" hidden="1" customHeight="1">
      <c r="A82" s="221">
        <v>81.0</v>
      </c>
      <c r="B82" s="221" t="s">
        <v>173</v>
      </c>
      <c r="C82" s="11" t="s">
        <v>1349</v>
      </c>
      <c r="D82" s="93" t="s">
        <v>1350</v>
      </c>
      <c r="E82" s="215" t="s">
        <v>1330</v>
      </c>
      <c r="F82" s="11">
        <v>1.0</v>
      </c>
      <c r="G82" s="11">
        <v>1.0</v>
      </c>
      <c r="H82" s="11">
        <v>1000.0</v>
      </c>
      <c r="I82" s="11">
        <f t="shared" si="10"/>
        <v>1000</v>
      </c>
      <c r="J82" s="11" t="s">
        <v>347</v>
      </c>
      <c r="K82" s="93" t="s">
        <v>47</v>
      </c>
      <c r="L82" s="123"/>
      <c r="M82" s="93" t="s">
        <v>1331</v>
      </c>
      <c r="N82" s="217" t="s">
        <v>1351</v>
      </c>
      <c r="O82" s="11" t="str">
        <f>IMAGE("https://5.imimg.com/data5/SELLER/Default/2023/1/CR/QN/CU/119456209/b22-cap-punching-tool-1000x1000.jpg",1)</f>
        <v/>
      </c>
      <c r="P82" s="78"/>
      <c r="Q82" s="74"/>
      <c r="R82" s="75"/>
      <c r="S82" s="12"/>
      <c r="T82" s="11"/>
      <c r="U82" s="12">
        <v>3.0</v>
      </c>
      <c r="V82" s="11" t="s">
        <v>2128</v>
      </c>
      <c r="W82" s="332">
        <v>2.0</v>
      </c>
      <c r="X82" s="332">
        <f t="shared" si="4"/>
        <v>0.5</v>
      </c>
      <c r="Y82" s="332" t="str">
        <f t="shared" si="3"/>
        <v>E</v>
      </c>
      <c r="Z82" s="332"/>
    </row>
    <row r="83" ht="76.5" hidden="1" customHeight="1">
      <c r="A83" s="221">
        <v>82.0</v>
      </c>
      <c r="B83" s="221" t="s">
        <v>173</v>
      </c>
      <c r="C83" s="11" t="s">
        <v>1353</v>
      </c>
      <c r="D83" s="93" t="s">
        <v>1354</v>
      </c>
      <c r="E83" s="215" t="s">
        <v>1330</v>
      </c>
      <c r="F83" s="11">
        <v>1.0</v>
      </c>
      <c r="G83" s="11">
        <v>1.0</v>
      </c>
      <c r="H83" s="11">
        <v>1800.0</v>
      </c>
      <c r="I83" s="11">
        <f t="shared" si="10"/>
        <v>1800</v>
      </c>
      <c r="J83" s="11" t="s">
        <v>347</v>
      </c>
      <c r="K83" s="93" t="s">
        <v>47</v>
      </c>
      <c r="L83" s="93"/>
      <c r="M83" s="93" t="s">
        <v>1331</v>
      </c>
      <c r="N83" s="217" t="s">
        <v>1355</v>
      </c>
      <c r="O83" s="11" t="str">
        <f>IMAGE("https://m.media-amazon.com/images/I/31xTdt3sfiL.jpg",1)</f>
        <v/>
      </c>
      <c r="P83" s="78"/>
      <c r="Q83" s="74"/>
      <c r="R83" s="75"/>
      <c r="S83" s="12"/>
      <c r="T83" s="11"/>
      <c r="U83" s="12">
        <v>3.0</v>
      </c>
      <c r="V83" s="11" t="s">
        <v>2128</v>
      </c>
      <c r="W83" s="332">
        <v>2.0</v>
      </c>
      <c r="X83" s="332">
        <f t="shared" si="4"/>
        <v>0.5</v>
      </c>
      <c r="Y83" s="332" t="str">
        <f t="shared" si="3"/>
        <v>E</v>
      </c>
      <c r="Z83" s="332"/>
    </row>
    <row r="84" ht="76.5" customHeight="1">
      <c r="A84" s="221">
        <v>83.0</v>
      </c>
      <c r="B84" s="11" t="s">
        <v>173</v>
      </c>
      <c r="C84" s="11" t="s">
        <v>1661</v>
      </c>
      <c r="D84" s="93" t="s">
        <v>1662</v>
      </c>
      <c r="E84" s="215" t="s">
        <v>1628</v>
      </c>
      <c r="F84" s="216">
        <v>2.0</v>
      </c>
      <c r="G84" s="216">
        <v>2.0</v>
      </c>
      <c r="H84" s="216">
        <v>500.0</v>
      </c>
      <c r="I84" s="11">
        <f t="shared" si="10"/>
        <v>1000</v>
      </c>
      <c r="J84" s="11" t="s">
        <v>178</v>
      </c>
      <c r="K84" s="93" t="s">
        <v>47</v>
      </c>
      <c r="L84" s="93"/>
      <c r="M84" s="93" t="s">
        <v>1628</v>
      </c>
      <c r="N84" s="217" t="s">
        <v>1663</v>
      </c>
      <c r="O84" s="11" t="str">
        <f>IMAGE("https://m.media-amazon.com/images/W/MEDIAX_792452-T2/images/I/61gvV3Wc-NL._SL1024_.jpg")</f>
        <v/>
      </c>
      <c r="P84" s="73" t="s">
        <v>1684</v>
      </c>
      <c r="Q84" s="74">
        <v>120.0</v>
      </c>
      <c r="R84" s="75"/>
      <c r="S84" s="12"/>
      <c r="T84" s="11"/>
      <c r="U84" s="12">
        <v>3.0</v>
      </c>
      <c r="V84" s="11" t="s">
        <v>2104</v>
      </c>
      <c r="W84" s="332">
        <v>2.0</v>
      </c>
      <c r="X84" s="332">
        <f t="shared" si="4"/>
        <v>0.5</v>
      </c>
      <c r="Y84" s="332" t="str">
        <f t="shared" si="3"/>
        <v>E</v>
      </c>
      <c r="Z84" s="332"/>
    </row>
    <row r="85" ht="76.5" customHeight="1">
      <c r="A85" s="221">
        <v>84.0</v>
      </c>
      <c r="B85" s="11" t="s">
        <v>173</v>
      </c>
      <c r="C85" s="11" t="s">
        <v>437</v>
      </c>
      <c r="D85" s="93" t="s">
        <v>438</v>
      </c>
      <c r="E85" s="215" t="s">
        <v>415</v>
      </c>
      <c r="F85" s="216">
        <v>10.0</v>
      </c>
      <c r="G85" s="216">
        <v>10.0</v>
      </c>
      <c r="H85" s="216">
        <v>150.0</v>
      </c>
      <c r="I85" s="11">
        <f t="shared" si="10"/>
        <v>1500</v>
      </c>
      <c r="J85" s="11" t="s">
        <v>178</v>
      </c>
      <c r="K85" s="93"/>
      <c r="L85" s="93" t="s">
        <v>2062</v>
      </c>
      <c r="M85" s="93" t="s">
        <v>1937</v>
      </c>
      <c r="N85" s="217" t="s">
        <v>439</v>
      </c>
      <c r="O85" s="11" t="str">
        <f>IMAGE("https://www.electronicscomp.com/image/cache/catalog/esp8266-esp01-wifi-module-india-800x800.jpg",1)</f>
        <v/>
      </c>
      <c r="P85" s="78" t="s">
        <v>1688</v>
      </c>
      <c r="Q85" s="74"/>
      <c r="R85" s="75"/>
      <c r="S85" s="12"/>
      <c r="T85" s="11"/>
      <c r="U85" s="12">
        <v>1.0</v>
      </c>
      <c r="V85" s="106" t="s">
        <v>1806</v>
      </c>
      <c r="W85" s="332">
        <v>1.0</v>
      </c>
      <c r="X85" s="332">
        <f t="shared" si="4"/>
        <v>1</v>
      </c>
      <c r="Y85" s="332" t="s">
        <v>173</v>
      </c>
      <c r="Z85" s="332"/>
    </row>
    <row r="86" ht="76.5" customHeight="1">
      <c r="A86" s="221">
        <v>85.0</v>
      </c>
      <c r="B86" s="11" t="s">
        <v>173</v>
      </c>
      <c r="C86" s="11" t="s">
        <v>440</v>
      </c>
      <c r="D86" s="93" t="s">
        <v>441</v>
      </c>
      <c r="E86" s="215" t="s">
        <v>415</v>
      </c>
      <c r="F86" s="216">
        <v>10.0</v>
      </c>
      <c r="G86" s="216">
        <v>10.0</v>
      </c>
      <c r="H86" s="216">
        <v>300.0</v>
      </c>
      <c r="I86" s="11">
        <f t="shared" si="10"/>
        <v>3000</v>
      </c>
      <c r="J86" s="11" t="s">
        <v>178</v>
      </c>
      <c r="K86" s="93"/>
      <c r="L86" s="93" t="s">
        <v>2062</v>
      </c>
      <c r="M86" s="93" t="s">
        <v>1937</v>
      </c>
      <c r="N86" s="217" t="s">
        <v>443</v>
      </c>
      <c r="O86" s="11" t="str">
        <f>IMAGE("https://makerselectronics.com/wp-content/uploads/2020/07/ESP32-CAM-2.jpg",1)</f>
        <v/>
      </c>
      <c r="P86" s="78" t="s">
        <v>1688</v>
      </c>
      <c r="Q86" s="74"/>
      <c r="R86" s="75"/>
      <c r="S86" s="12"/>
      <c r="T86" s="11"/>
      <c r="U86" s="12">
        <v>1.0</v>
      </c>
      <c r="V86" s="106" t="s">
        <v>1803</v>
      </c>
      <c r="W86" s="332">
        <v>1.0</v>
      </c>
      <c r="X86" s="332">
        <f t="shared" si="4"/>
        <v>1</v>
      </c>
      <c r="Y86" s="332" t="s">
        <v>173</v>
      </c>
      <c r="Z86" s="332"/>
    </row>
    <row r="87" ht="76.5" customHeight="1">
      <c r="A87" s="221">
        <v>86.0</v>
      </c>
      <c r="B87" s="11" t="s">
        <v>173</v>
      </c>
      <c r="C87" s="11" t="s">
        <v>487</v>
      </c>
      <c r="D87" s="93" t="s">
        <v>488</v>
      </c>
      <c r="E87" s="215" t="s">
        <v>489</v>
      </c>
      <c r="F87" s="216">
        <v>20.0</v>
      </c>
      <c r="G87" s="216">
        <v>20.0</v>
      </c>
      <c r="H87" s="216">
        <v>40.0</v>
      </c>
      <c r="I87" s="11">
        <f t="shared" si="10"/>
        <v>800</v>
      </c>
      <c r="J87" s="11" t="s">
        <v>178</v>
      </c>
      <c r="K87" s="93"/>
      <c r="L87" s="93" t="s">
        <v>2070</v>
      </c>
      <c r="M87" s="93" t="s">
        <v>1941</v>
      </c>
      <c r="N87" s="217" t="s">
        <v>490</v>
      </c>
      <c r="O87" s="11" t="str">
        <f>IMAGE("https://m.media-amazon.com/images/I/51BByYhTjOL._SX425_.jpg",1)</f>
        <v/>
      </c>
      <c r="P87" s="78" t="s">
        <v>1688</v>
      </c>
      <c r="Q87" s="79"/>
      <c r="R87" s="80"/>
      <c r="S87" s="12"/>
      <c r="T87" s="11"/>
      <c r="U87" s="12">
        <v>1.0</v>
      </c>
      <c r="V87" s="11" t="s">
        <v>1802</v>
      </c>
      <c r="W87" s="332">
        <v>1.0</v>
      </c>
      <c r="X87" s="332">
        <f t="shared" si="4"/>
        <v>1</v>
      </c>
      <c r="Y87" s="332" t="s">
        <v>173</v>
      </c>
      <c r="Z87" s="332"/>
    </row>
    <row r="88" ht="76.5" customHeight="1">
      <c r="A88" s="221">
        <v>87.0</v>
      </c>
      <c r="B88" s="11" t="s">
        <v>173</v>
      </c>
      <c r="C88" s="116" t="s">
        <v>521</v>
      </c>
      <c r="D88" s="115" t="s">
        <v>522</v>
      </c>
      <c r="E88" s="215" t="s">
        <v>489</v>
      </c>
      <c r="F88" s="216">
        <v>100.0</v>
      </c>
      <c r="G88" s="216">
        <v>100.0</v>
      </c>
      <c r="H88" s="216">
        <v>5.0</v>
      </c>
      <c r="I88" s="11">
        <f t="shared" si="10"/>
        <v>500</v>
      </c>
      <c r="J88" s="11" t="s">
        <v>178</v>
      </c>
      <c r="K88" s="93" t="s">
        <v>65</v>
      </c>
      <c r="L88" s="93" t="s">
        <v>2078</v>
      </c>
      <c r="M88" s="93" t="s">
        <v>1943</v>
      </c>
      <c r="N88" s="217" t="s">
        <v>519</v>
      </c>
      <c r="O88" s="11" t="str">
        <f>IMAGE("https://projectpoint.in/image/cache/catalog/102-672x504.jpg",1)</f>
        <v/>
      </c>
      <c r="P88" s="78" t="s">
        <v>1688</v>
      </c>
      <c r="Q88" s="74"/>
      <c r="R88" s="75"/>
      <c r="S88" s="12"/>
      <c r="T88" s="11"/>
      <c r="U88" s="12">
        <v>1.0</v>
      </c>
      <c r="V88" s="11" t="s">
        <v>1844</v>
      </c>
      <c r="W88" s="332">
        <v>1.0</v>
      </c>
      <c r="X88" s="332">
        <f t="shared" si="4"/>
        <v>1</v>
      </c>
      <c r="Y88" s="332" t="s">
        <v>173</v>
      </c>
      <c r="Z88" s="332"/>
    </row>
    <row r="89" ht="76.5" customHeight="1">
      <c r="A89" s="221">
        <v>88.0</v>
      </c>
      <c r="B89" s="11" t="s">
        <v>173</v>
      </c>
      <c r="C89" s="116" t="s">
        <v>516</v>
      </c>
      <c r="D89" s="115" t="s">
        <v>517</v>
      </c>
      <c r="E89" s="215" t="s">
        <v>489</v>
      </c>
      <c r="F89" s="216">
        <v>100.0</v>
      </c>
      <c r="G89" s="216">
        <v>100.0</v>
      </c>
      <c r="H89" s="216">
        <v>5.0</v>
      </c>
      <c r="I89" s="11">
        <f t="shared" si="10"/>
        <v>500</v>
      </c>
      <c r="J89" s="11" t="s">
        <v>178</v>
      </c>
      <c r="K89" s="93" t="s">
        <v>65</v>
      </c>
      <c r="L89" s="93" t="s">
        <v>2078</v>
      </c>
      <c r="M89" s="93" t="s">
        <v>1943</v>
      </c>
      <c r="N89" s="217" t="s">
        <v>523</v>
      </c>
      <c r="O89" s="11" t="str">
        <f t="shared" ref="O89:O90" si="11">IMAGE("https://projectpoint.in/image/cache/catalog/103-672x504.jpg",1)</f>
        <v/>
      </c>
      <c r="P89" s="78" t="s">
        <v>1688</v>
      </c>
      <c r="Q89" s="74"/>
      <c r="R89" s="75"/>
      <c r="S89" s="12"/>
      <c r="T89" s="11"/>
      <c r="U89" s="12">
        <v>1.0</v>
      </c>
      <c r="V89" s="11" t="s">
        <v>1844</v>
      </c>
      <c r="W89" s="332">
        <v>1.0</v>
      </c>
      <c r="X89" s="332">
        <f t="shared" si="4"/>
        <v>1</v>
      </c>
      <c r="Y89" s="332" t="s">
        <v>173</v>
      </c>
      <c r="Z89" s="332"/>
    </row>
    <row r="90" ht="76.5" customHeight="1">
      <c r="A90" s="221">
        <v>89.0</v>
      </c>
      <c r="B90" s="11" t="s">
        <v>173</v>
      </c>
      <c r="C90" s="116" t="s">
        <v>529</v>
      </c>
      <c r="D90" s="115" t="s">
        <v>530</v>
      </c>
      <c r="E90" s="215" t="s">
        <v>489</v>
      </c>
      <c r="F90" s="216">
        <v>100.0</v>
      </c>
      <c r="G90" s="216">
        <v>100.0</v>
      </c>
      <c r="H90" s="216">
        <v>5.0</v>
      </c>
      <c r="I90" s="11">
        <f t="shared" si="10"/>
        <v>500</v>
      </c>
      <c r="J90" s="11" t="s">
        <v>178</v>
      </c>
      <c r="K90" s="93" t="s">
        <v>65</v>
      </c>
      <c r="L90" s="93" t="s">
        <v>2078</v>
      </c>
      <c r="M90" s="93" t="s">
        <v>1943</v>
      </c>
      <c r="N90" s="217" t="s">
        <v>527</v>
      </c>
      <c r="O90" s="11" t="str">
        <f t="shared" si="11"/>
        <v/>
      </c>
      <c r="P90" s="78" t="s">
        <v>1688</v>
      </c>
      <c r="Q90" s="74"/>
      <c r="R90" s="75"/>
      <c r="S90" s="12"/>
      <c r="T90" s="11"/>
      <c r="U90" s="12">
        <v>1.0</v>
      </c>
      <c r="V90" s="11" t="s">
        <v>1845</v>
      </c>
      <c r="W90" s="332">
        <v>1.0</v>
      </c>
      <c r="X90" s="332">
        <f t="shared" si="4"/>
        <v>1</v>
      </c>
      <c r="Y90" s="332" t="s">
        <v>173</v>
      </c>
      <c r="Z90" s="332"/>
    </row>
    <row r="91" ht="76.5" customHeight="1">
      <c r="A91" s="221">
        <v>90.0</v>
      </c>
      <c r="B91" s="11" t="s">
        <v>173</v>
      </c>
      <c r="C91" s="116" t="s">
        <v>525</v>
      </c>
      <c r="D91" s="115" t="s">
        <v>526</v>
      </c>
      <c r="E91" s="215" t="s">
        <v>489</v>
      </c>
      <c r="F91" s="216">
        <v>100.0</v>
      </c>
      <c r="G91" s="216">
        <v>100.0</v>
      </c>
      <c r="H91" s="216">
        <v>5.0</v>
      </c>
      <c r="I91" s="11">
        <f t="shared" si="10"/>
        <v>500</v>
      </c>
      <c r="J91" s="11" t="s">
        <v>178</v>
      </c>
      <c r="K91" s="93" t="s">
        <v>65</v>
      </c>
      <c r="L91" s="93" t="s">
        <v>2078</v>
      </c>
      <c r="M91" s="93" t="s">
        <v>1943</v>
      </c>
      <c r="N91" s="217" t="s">
        <v>531</v>
      </c>
      <c r="O91" s="11" t="str">
        <f t="shared" ref="O91:O93" si="12">IMAGE("https://www.ato.com/content/images/thumbs/0011952_01f-50v-disc-ceramic-capacitor_550.jpeg",1)</f>
        <v/>
      </c>
      <c r="P91" s="78" t="s">
        <v>1688</v>
      </c>
      <c r="Q91" s="74"/>
      <c r="R91" s="75"/>
      <c r="S91" s="12"/>
      <c r="T91" s="11"/>
      <c r="U91" s="12">
        <v>1.0</v>
      </c>
      <c r="V91" s="11" t="s">
        <v>1845</v>
      </c>
      <c r="W91" s="332">
        <v>1.0</v>
      </c>
      <c r="X91" s="332">
        <f t="shared" si="4"/>
        <v>1</v>
      </c>
      <c r="Y91" s="332" t="s">
        <v>173</v>
      </c>
      <c r="Z91" s="332"/>
    </row>
    <row r="92" ht="76.5" customHeight="1">
      <c r="A92" s="221">
        <v>91.0</v>
      </c>
      <c r="B92" s="11" t="s">
        <v>173</v>
      </c>
      <c r="C92" s="116" t="s">
        <v>565</v>
      </c>
      <c r="D92" s="115" t="s">
        <v>566</v>
      </c>
      <c r="E92" s="215" t="s">
        <v>489</v>
      </c>
      <c r="F92" s="216">
        <v>50.0</v>
      </c>
      <c r="G92" s="216">
        <v>50.0</v>
      </c>
      <c r="H92" s="216">
        <v>10.0</v>
      </c>
      <c r="I92" s="11">
        <f t="shared" si="10"/>
        <v>500</v>
      </c>
      <c r="J92" s="11" t="s">
        <v>178</v>
      </c>
      <c r="K92" s="93" t="s">
        <v>65</v>
      </c>
      <c r="L92" s="93" t="s">
        <v>2078</v>
      </c>
      <c r="M92" s="93" t="s">
        <v>1943</v>
      </c>
      <c r="N92" s="217" t="s">
        <v>535</v>
      </c>
      <c r="O92" s="11" t="str">
        <f t="shared" si="12"/>
        <v/>
      </c>
      <c r="P92" s="78" t="s">
        <v>1688</v>
      </c>
      <c r="Q92" s="74"/>
      <c r="R92" s="75"/>
      <c r="S92" s="12"/>
      <c r="T92" s="11"/>
      <c r="U92" s="12">
        <v>1.0</v>
      </c>
      <c r="V92" s="11" t="s">
        <v>1846</v>
      </c>
      <c r="W92" s="332">
        <v>1.0</v>
      </c>
      <c r="X92" s="332">
        <f t="shared" si="4"/>
        <v>1</v>
      </c>
      <c r="Y92" s="332" t="s">
        <v>173</v>
      </c>
      <c r="Z92" s="332"/>
    </row>
    <row r="93" ht="76.5" customHeight="1">
      <c r="A93" s="221">
        <v>92.0</v>
      </c>
      <c r="B93" s="11" t="s">
        <v>173</v>
      </c>
      <c r="C93" s="116" t="s">
        <v>573</v>
      </c>
      <c r="D93" s="115" t="s">
        <v>574</v>
      </c>
      <c r="E93" s="215" t="s">
        <v>489</v>
      </c>
      <c r="F93" s="216">
        <v>50.0</v>
      </c>
      <c r="G93" s="216">
        <v>50.0</v>
      </c>
      <c r="H93" s="216">
        <v>15.0</v>
      </c>
      <c r="I93" s="11">
        <f t="shared" si="10"/>
        <v>750</v>
      </c>
      <c r="J93" s="11" t="s">
        <v>178</v>
      </c>
      <c r="K93" s="93" t="s">
        <v>65</v>
      </c>
      <c r="L93" s="93" t="s">
        <v>2078</v>
      </c>
      <c r="M93" s="93" t="s">
        <v>1943</v>
      </c>
      <c r="N93" s="217" t="s">
        <v>539</v>
      </c>
      <c r="O93" s="11" t="str">
        <f t="shared" si="12"/>
        <v/>
      </c>
      <c r="P93" s="78" t="s">
        <v>1688</v>
      </c>
      <c r="Q93" s="74"/>
      <c r="R93" s="75"/>
      <c r="S93" s="12"/>
      <c r="T93" s="11"/>
      <c r="U93" s="12">
        <v>1.0</v>
      </c>
      <c r="V93" s="11" t="s">
        <v>1846</v>
      </c>
      <c r="W93" s="332">
        <v>1.0</v>
      </c>
      <c r="X93" s="332">
        <f t="shared" si="4"/>
        <v>1</v>
      </c>
      <c r="Y93" s="332" t="s">
        <v>173</v>
      </c>
      <c r="Z93" s="332"/>
    </row>
    <row r="94" ht="76.5" customHeight="1">
      <c r="A94" s="221">
        <v>93.0</v>
      </c>
      <c r="B94" s="11" t="s">
        <v>173</v>
      </c>
      <c r="C94" s="116" t="s">
        <v>533</v>
      </c>
      <c r="D94" s="115" t="s">
        <v>534</v>
      </c>
      <c r="E94" s="215" t="s">
        <v>489</v>
      </c>
      <c r="F94" s="216">
        <v>20.0</v>
      </c>
      <c r="G94" s="216">
        <v>20.0</v>
      </c>
      <c r="H94" s="216">
        <v>20.0</v>
      </c>
      <c r="I94" s="11">
        <f t="shared" si="10"/>
        <v>400</v>
      </c>
      <c r="J94" s="11" t="s">
        <v>178</v>
      </c>
      <c r="K94" s="93" t="s">
        <v>65</v>
      </c>
      <c r="L94" s="93" t="s">
        <v>2078</v>
      </c>
      <c r="M94" s="93" t="s">
        <v>1943</v>
      </c>
      <c r="N94" s="217" t="s">
        <v>543</v>
      </c>
      <c r="O94" s="11" t="str">
        <f>IMAGE("https://projectpoint.in/image/cache/catalog/22uf-450v-672x504.jpg",1)</f>
        <v/>
      </c>
      <c r="P94" s="78" t="s">
        <v>1688</v>
      </c>
      <c r="Q94" s="74"/>
      <c r="R94" s="75"/>
      <c r="S94" s="12"/>
      <c r="T94" s="11"/>
      <c r="U94" s="12">
        <v>1.0</v>
      </c>
      <c r="V94" s="11" t="s">
        <v>1850</v>
      </c>
      <c r="W94" s="332">
        <v>1.0</v>
      </c>
      <c r="X94" s="332">
        <f t="shared" si="4"/>
        <v>1</v>
      </c>
      <c r="Y94" s="332" t="s">
        <v>173</v>
      </c>
      <c r="Z94" s="332"/>
    </row>
    <row r="95" ht="76.5" customHeight="1">
      <c r="A95" s="221">
        <v>94.0</v>
      </c>
      <c r="B95" s="11" t="s">
        <v>173</v>
      </c>
      <c r="C95" s="116" t="s">
        <v>549</v>
      </c>
      <c r="D95" s="115" t="s">
        <v>550</v>
      </c>
      <c r="E95" s="215" t="s">
        <v>489</v>
      </c>
      <c r="F95" s="216">
        <v>20.0</v>
      </c>
      <c r="G95" s="216">
        <v>20.0</v>
      </c>
      <c r="H95" s="216">
        <v>30.0</v>
      </c>
      <c r="I95" s="11">
        <f t="shared" si="10"/>
        <v>600</v>
      </c>
      <c r="J95" s="11" t="s">
        <v>178</v>
      </c>
      <c r="K95" s="93" t="s">
        <v>65</v>
      </c>
      <c r="L95" s="93" t="s">
        <v>2078</v>
      </c>
      <c r="M95" s="93" t="s">
        <v>1943</v>
      </c>
      <c r="N95" s="217" t="s">
        <v>547</v>
      </c>
      <c r="O95" s="11" t="str">
        <f>IMAGE("https://res.cloudinary.com/rsc/image/upload/b_rgb:FFFFFF,c_pad,dpr_1.0,f_auto,q_auto,w_700/c_pad,w_700/F5201539-01",1)</f>
        <v/>
      </c>
      <c r="P95" s="78" t="s">
        <v>1688</v>
      </c>
      <c r="Q95" s="74"/>
      <c r="R95" s="75"/>
      <c r="S95" s="12"/>
      <c r="T95" s="11"/>
      <c r="U95" s="12">
        <v>1.0</v>
      </c>
      <c r="V95" s="11" t="s">
        <v>1850</v>
      </c>
      <c r="W95" s="332">
        <v>1.0</v>
      </c>
      <c r="X95" s="332">
        <f t="shared" si="4"/>
        <v>1</v>
      </c>
      <c r="Y95" s="332" t="s">
        <v>173</v>
      </c>
      <c r="Z95" s="332"/>
    </row>
    <row r="96" ht="76.5" customHeight="1">
      <c r="A96" s="221">
        <v>95.0</v>
      </c>
      <c r="B96" s="11" t="s">
        <v>173</v>
      </c>
      <c r="C96" s="116" t="s">
        <v>569</v>
      </c>
      <c r="D96" s="115" t="s">
        <v>570</v>
      </c>
      <c r="E96" s="215" t="s">
        <v>489</v>
      </c>
      <c r="F96" s="216">
        <v>50.0</v>
      </c>
      <c r="G96" s="216">
        <v>50.0</v>
      </c>
      <c r="H96" s="216">
        <v>10.0</v>
      </c>
      <c r="I96" s="11">
        <f t="shared" si="10"/>
        <v>500</v>
      </c>
      <c r="J96" s="11" t="s">
        <v>178</v>
      </c>
      <c r="K96" s="93" t="s">
        <v>65</v>
      </c>
      <c r="L96" s="93" t="s">
        <v>2078</v>
      </c>
      <c r="M96" s="93" t="s">
        <v>1943</v>
      </c>
      <c r="N96" s="217" t="s">
        <v>551</v>
      </c>
      <c r="O96" s="11" t="str">
        <f>IMAGE("https://sharvielectronics.com/wp-content/uploads/2020/02/2.2uF-50V-Electrolytic-Capacitor.jpg",1)</f>
        <v/>
      </c>
      <c r="P96" s="78" t="s">
        <v>1688</v>
      </c>
      <c r="Q96" s="74"/>
      <c r="R96" s="75"/>
      <c r="S96" s="12"/>
      <c r="T96" s="11"/>
      <c r="U96" s="12">
        <v>1.0</v>
      </c>
      <c r="V96" s="11" t="s">
        <v>1851</v>
      </c>
      <c r="W96" s="332">
        <v>1.0</v>
      </c>
      <c r="X96" s="332">
        <f t="shared" si="4"/>
        <v>1</v>
      </c>
      <c r="Y96" s="332" t="s">
        <v>173</v>
      </c>
      <c r="Z96" s="332"/>
    </row>
    <row r="97" ht="76.5" customHeight="1">
      <c r="A97" s="221">
        <v>96.0</v>
      </c>
      <c r="B97" s="11" t="s">
        <v>173</v>
      </c>
      <c r="C97" s="116" t="s">
        <v>537</v>
      </c>
      <c r="D97" s="115" t="s">
        <v>538</v>
      </c>
      <c r="E97" s="215" t="s">
        <v>489</v>
      </c>
      <c r="F97" s="216">
        <v>50.0</v>
      </c>
      <c r="G97" s="216">
        <v>50.0</v>
      </c>
      <c r="H97" s="216">
        <v>15.0</v>
      </c>
      <c r="I97" s="11">
        <f t="shared" si="10"/>
        <v>750</v>
      </c>
      <c r="J97" s="11" t="s">
        <v>178</v>
      </c>
      <c r="K97" s="93" t="s">
        <v>65</v>
      </c>
      <c r="L97" s="93" t="s">
        <v>2078</v>
      </c>
      <c r="M97" s="93" t="s">
        <v>1943</v>
      </c>
      <c r="N97" s="217" t="s">
        <v>555</v>
      </c>
      <c r="O97" s="11" t="str">
        <f>IMAGE("https://projectpoint.in/image/cache/catalog/22uf-450v-672x504.jpg",1)</f>
        <v/>
      </c>
      <c r="P97" s="78" t="s">
        <v>1688</v>
      </c>
      <c r="Q97" s="79"/>
      <c r="R97" s="80"/>
      <c r="S97" s="12"/>
      <c r="T97" s="11"/>
      <c r="U97" s="12">
        <v>1.0</v>
      </c>
      <c r="V97" s="11" t="s">
        <v>1851</v>
      </c>
      <c r="W97" s="332">
        <v>1.0</v>
      </c>
      <c r="X97" s="332">
        <f t="shared" si="4"/>
        <v>1</v>
      </c>
      <c r="Y97" s="332" t="s">
        <v>173</v>
      </c>
      <c r="Z97" s="332"/>
    </row>
    <row r="98" ht="76.5" customHeight="1">
      <c r="A98" s="221">
        <v>97.0</v>
      </c>
      <c r="B98" s="11" t="s">
        <v>173</v>
      </c>
      <c r="C98" s="116" t="s">
        <v>553</v>
      </c>
      <c r="D98" s="115" t="s">
        <v>554</v>
      </c>
      <c r="E98" s="215" t="s">
        <v>489</v>
      </c>
      <c r="F98" s="216">
        <v>20.0</v>
      </c>
      <c r="G98" s="216">
        <v>20.0</v>
      </c>
      <c r="H98" s="216">
        <v>20.0</v>
      </c>
      <c r="I98" s="11">
        <f t="shared" si="10"/>
        <v>400</v>
      </c>
      <c r="J98" s="11" t="s">
        <v>178</v>
      </c>
      <c r="K98" s="93" t="s">
        <v>65</v>
      </c>
      <c r="L98" s="93" t="s">
        <v>2078</v>
      </c>
      <c r="M98" s="93" t="s">
        <v>1943</v>
      </c>
      <c r="N98" s="217" t="s">
        <v>559</v>
      </c>
      <c r="O98" s="11" t="str">
        <f>IMAGE("https://5.imimg.com/data5/SP/GM/AD/SELLER-84581978/keltron-2200uf-35-v-electrolytic-capacitors-500x500.jpg",1)</f>
        <v/>
      </c>
      <c r="P98" s="78" t="s">
        <v>1688</v>
      </c>
      <c r="Q98" s="79"/>
      <c r="R98" s="80"/>
      <c r="S98" s="12"/>
      <c r="T98" s="11"/>
      <c r="U98" s="12">
        <v>1.0</v>
      </c>
      <c r="V98" s="11" t="s">
        <v>1852</v>
      </c>
      <c r="W98" s="332">
        <v>1.0</v>
      </c>
      <c r="X98" s="332">
        <f t="shared" si="4"/>
        <v>1</v>
      </c>
      <c r="Y98" s="332" t="s">
        <v>173</v>
      </c>
      <c r="Z98" s="332"/>
    </row>
    <row r="99" ht="76.5" customHeight="1">
      <c r="A99" s="221">
        <v>98.0</v>
      </c>
      <c r="B99" s="11" t="s">
        <v>173</v>
      </c>
      <c r="C99" s="116" t="s">
        <v>577</v>
      </c>
      <c r="D99" s="115" t="s">
        <v>578</v>
      </c>
      <c r="E99" s="215" t="s">
        <v>489</v>
      </c>
      <c r="F99" s="216">
        <v>20.0</v>
      </c>
      <c r="G99" s="216">
        <v>20.0</v>
      </c>
      <c r="H99" s="216">
        <v>30.0</v>
      </c>
      <c r="I99" s="11">
        <f t="shared" si="10"/>
        <v>600</v>
      </c>
      <c r="J99" s="11" t="s">
        <v>178</v>
      </c>
      <c r="K99" s="93" t="s">
        <v>65</v>
      </c>
      <c r="L99" s="93" t="s">
        <v>2078</v>
      </c>
      <c r="M99" s="93" t="s">
        <v>1943</v>
      </c>
      <c r="N99" s="217" t="s">
        <v>563</v>
      </c>
      <c r="O99" s="11" t="str">
        <f>IMAGE("https://5.imimg.com/data5/QO/AU/MY-77080729/uge-electrolytic-capacitors-500x375-500x500.jpg",1)</f>
        <v/>
      </c>
      <c r="P99" s="78" t="s">
        <v>1688</v>
      </c>
      <c r="Q99" s="74"/>
      <c r="R99" s="75"/>
      <c r="S99" s="12"/>
      <c r="T99" s="11"/>
      <c r="U99" s="12">
        <v>1.0</v>
      </c>
      <c r="V99" s="11" t="s">
        <v>1852</v>
      </c>
      <c r="W99" s="332">
        <v>1.0</v>
      </c>
      <c r="X99" s="332">
        <f t="shared" si="4"/>
        <v>1</v>
      </c>
      <c r="Y99" s="332" t="s">
        <v>173</v>
      </c>
      <c r="Z99" s="332"/>
    </row>
    <row r="100" ht="76.5" customHeight="1">
      <c r="A100" s="221">
        <v>99.0</v>
      </c>
      <c r="B100" s="11" t="s">
        <v>173</v>
      </c>
      <c r="C100" s="116" t="s">
        <v>541</v>
      </c>
      <c r="D100" s="115" t="s">
        <v>542</v>
      </c>
      <c r="E100" s="215" t="s">
        <v>489</v>
      </c>
      <c r="F100" s="216">
        <v>100.0</v>
      </c>
      <c r="G100" s="216">
        <v>100.0</v>
      </c>
      <c r="H100" s="216">
        <v>5.0</v>
      </c>
      <c r="I100" s="11">
        <f t="shared" si="10"/>
        <v>500</v>
      </c>
      <c r="J100" s="11" t="s">
        <v>178</v>
      </c>
      <c r="K100" s="93" t="s">
        <v>65</v>
      </c>
      <c r="L100" s="93" t="s">
        <v>2078</v>
      </c>
      <c r="M100" s="93" t="s">
        <v>1943</v>
      </c>
      <c r="N100" s="217" t="s">
        <v>567</v>
      </c>
      <c r="O100" s="11"/>
      <c r="P100" s="78" t="s">
        <v>1688</v>
      </c>
      <c r="Q100" s="79"/>
      <c r="R100" s="80"/>
      <c r="S100" s="12"/>
      <c r="T100" s="11"/>
      <c r="U100" s="12">
        <v>1.0</v>
      </c>
      <c r="V100" s="11" t="s">
        <v>1853</v>
      </c>
      <c r="W100" s="332">
        <v>1.0</v>
      </c>
      <c r="X100" s="332">
        <f t="shared" si="4"/>
        <v>1</v>
      </c>
      <c r="Y100" s="332" t="s">
        <v>173</v>
      </c>
      <c r="Z100" s="332"/>
    </row>
    <row r="101" ht="76.5" customHeight="1">
      <c r="A101" s="221">
        <v>100.0</v>
      </c>
      <c r="B101" s="11" t="s">
        <v>173</v>
      </c>
      <c r="C101" s="116" t="s">
        <v>557</v>
      </c>
      <c r="D101" s="115" t="s">
        <v>558</v>
      </c>
      <c r="E101" s="215" t="s">
        <v>489</v>
      </c>
      <c r="F101" s="216">
        <v>100.0</v>
      </c>
      <c r="G101" s="216">
        <v>100.0</v>
      </c>
      <c r="H101" s="216">
        <v>5.0</v>
      </c>
      <c r="I101" s="11">
        <f t="shared" si="10"/>
        <v>500</v>
      </c>
      <c r="J101" s="11" t="s">
        <v>178</v>
      </c>
      <c r="K101" s="37" t="s">
        <v>65</v>
      </c>
      <c r="L101" s="93" t="s">
        <v>2078</v>
      </c>
      <c r="M101" s="93" t="s">
        <v>1943</v>
      </c>
      <c r="N101" s="217" t="s">
        <v>571</v>
      </c>
      <c r="O101" s="11" t="str">
        <f>IMAGE("https://5.imimg.com/data5/SP/GM/AD/SELLER-84581978/keltron-2200uf-35-v-electrolytic-capacitors-500x500.jpg",1)</f>
        <v/>
      </c>
      <c r="P101" s="78" t="s">
        <v>1688</v>
      </c>
      <c r="Q101" s="79"/>
      <c r="R101" s="80"/>
      <c r="S101" s="12"/>
      <c r="T101" s="11"/>
      <c r="U101" s="12">
        <v>1.0</v>
      </c>
      <c r="V101" s="11" t="s">
        <v>1853</v>
      </c>
      <c r="W101" s="332">
        <v>1.0</v>
      </c>
      <c r="X101" s="332">
        <f t="shared" si="4"/>
        <v>1</v>
      </c>
      <c r="Y101" s="332" t="s">
        <v>173</v>
      </c>
      <c r="Z101" s="332"/>
    </row>
    <row r="102" ht="76.5" customHeight="1">
      <c r="A102" s="221">
        <v>101.0</v>
      </c>
      <c r="B102" s="11" t="s">
        <v>173</v>
      </c>
      <c r="C102" s="116" t="s">
        <v>581</v>
      </c>
      <c r="D102" s="115" t="s">
        <v>582</v>
      </c>
      <c r="E102" s="215" t="s">
        <v>489</v>
      </c>
      <c r="F102" s="216">
        <v>50.0</v>
      </c>
      <c r="G102" s="216">
        <v>50.0</v>
      </c>
      <c r="H102" s="216">
        <v>10.0</v>
      </c>
      <c r="I102" s="11">
        <f t="shared" si="10"/>
        <v>500</v>
      </c>
      <c r="J102" s="11" t="s">
        <v>178</v>
      </c>
      <c r="K102" s="93" t="s">
        <v>65</v>
      </c>
      <c r="L102" s="93" t="s">
        <v>2078</v>
      </c>
      <c r="M102" s="93" t="s">
        <v>1943</v>
      </c>
      <c r="N102" s="217" t="s">
        <v>575</v>
      </c>
      <c r="O102" s="11" t="str">
        <f>IMAGE("https://5.imimg.com/data5/JL/JS/ZA/SELLER-21614932/4-7uf-400v-keltron-capacitor-500x500.jpg",1)</f>
        <v/>
      </c>
      <c r="P102" s="78" t="s">
        <v>1688</v>
      </c>
      <c r="Q102" s="79"/>
      <c r="R102" s="80"/>
      <c r="S102" s="12"/>
      <c r="T102" s="11"/>
      <c r="U102" s="12">
        <v>1.0</v>
      </c>
      <c r="V102" s="11" t="s">
        <v>1854</v>
      </c>
      <c r="W102" s="332">
        <v>1.0</v>
      </c>
      <c r="X102" s="332">
        <f t="shared" si="4"/>
        <v>1</v>
      </c>
      <c r="Y102" s="332" t="s">
        <v>173</v>
      </c>
      <c r="Z102" s="332"/>
    </row>
    <row r="103" ht="76.5" customHeight="1">
      <c r="A103" s="221">
        <v>102.0</v>
      </c>
      <c r="B103" s="11" t="s">
        <v>173</v>
      </c>
      <c r="C103" s="116" t="s">
        <v>545</v>
      </c>
      <c r="D103" s="115" t="s">
        <v>546</v>
      </c>
      <c r="E103" s="215" t="s">
        <v>489</v>
      </c>
      <c r="F103" s="216">
        <v>50.0</v>
      </c>
      <c r="G103" s="216">
        <v>50.0</v>
      </c>
      <c r="H103" s="216">
        <v>15.0</v>
      </c>
      <c r="I103" s="11">
        <f t="shared" si="10"/>
        <v>750</v>
      </c>
      <c r="J103" s="11" t="s">
        <v>178</v>
      </c>
      <c r="K103" s="93" t="s">
        <v>65</v>
      </c>
      <c r="L103" s="93" t="s">
        <v>2078</v>
      </c>
      <c r="M103" s="93" t="s">
        <v>1943</v>
      </c>
      <c r="N103" s="217" t="s">
        <v>579</v>
      </c>
      <c r="O103" s="11" t="str">
        <f>IMAGE("https://projectpoint.in/image/cache/catalog/47uf-250v-672x504.jpg",1)</f>
        <v/>
      </c>
      <c r="P103" s="78" t="s">
        <v>1688</v>
      </c>
      <c r="Q103" s="74"/>
      <c r="R103" s="75"/>
      <c r="S103" s="12"/>
      <c r="T103" s="11"/>
      <c r="U103" s="12">
        <v>1.0</v>
      </c>
      <c r="V103" s="11" t="s">
        <v>1854</v>
      </c>
      <c r="W103" s="332">
        <v>1.0</v>
      </c>
      <c r="X103" s="332">
        <f t="shared" si="4"/>
        <v>1</v>
      </c>
      <c r="Y103" s="332" t="s">
        <v>173</v>
      </c>
      <c r="Z103" s="332"/>
    </row>
    <row r="104" ht="76.5" customHeight="1">
      <c r="A104" s="221">
        <v>103.0</v>
      </c>
      <c r="B104" s="11" t="s">
        <v>173</v>
      </c>
      <c r="C104" s="116" t="s">
        <v>561</v>
      </c>
      <c r="D104" s="115" t="s">
        <v>562</v>
      </c>
      <c r="E104" s="215" t="s">
        <v>489</v>
      </c>
      <c r="F104" s="216">
        <v>20.0</v>
      </c>
      <c r="G104" s="216">
        <v>20.0</v>
      </c>
      <c r="H104" s="216">
        <v>20.0</v>
      </c>
      <c r="I104" s="11">
        <f t="shared" si="10"/>
        <v>400</v>
      </c>
      <c r="J104" s="11" t="s">
        <v>178</v>
      </c>
      <c r="K104" s="93" t="s">
        <v>65</v>
      </c>
      <c r="L104" s="93" t="s">
        <v>2078</v>
      </c>
      <c r="M104" s="93" t="s">
        <v>1943</v>
      </c>
      <c r="N104" s="217" t="s">
        <v>583</v>
      </c>
      <c r="O104" s="11" t="str">
        <f>IMAGE("https://5.imimg.com/data5/QO/AU/MY-77080729/uge-electrolytic-capacitors-500x375-500x500.jpg",1)</f>
        <v/>
      </c>
      <c r="P104" s="78" t="s">
        <v>1688</v>
      </c>
      <c r="Q104" s="74"/>
      <c r="R104" s="75"/>
      <c r="S104" s="12"/>
      <c r="T104" s="11"/>
      <c r="U104" s="12">
        <v>1.0</v>
      </c>
      <c r="V104" s="11" t="s">
        <v>1855</v>
      </c>
      <c r="W104" s="332">
        <v>1.0</v>
      </c>
      <c r="X104" s="332">
        <f t="shared" si="4"/>
        <v>1</v>
      </c>
      <c r="Y104" s="332" t="s">
        <v>173</v>
      </c>
      <c r="Z104" s="332"/>
    </row>
    <row r="105" ht="76.5" customHeight="1">
      <c r="A105" s="221">
        <v>104.0</v>
      </c>
      <c r="B105" s="11" t="s">
        <v>173</v>
      </c>
      <c r="C105" s="11" t="s">
        <v>585</v>
      </c>
      <c r="D105" s="93" t="s">
        <v>1860</v>
      </c>
      <c r="E105" s="215" t="s">
        <v>489</v>
      </c>
      <c r="F105" s="216">
        <v>20.0</v>
      </c>
      <c r="G105" s="216">
        <v>20.0</v>
      </c>
      <c r="H105" s="216">
        <v>25.0</v>
      </c>
      <c r="I105" s="11">
        <f t="shared" si="10"/>
        <v>500</v>
      </c>
      <c r="J105" s="11" t="s">
        <v>178</v>
      </c>
      <c r="K105" s="93"/>
      <c r="L105" s="93" t="s">
        <v>2078</v>
      </c>
      <c r="M105" s="93" t="s">
        <v>1944</v>
      </c>
      <c r="N105" s="217" t="s">
        <v>587</v>
      </c>
      <c r="O105" s="11" t="str">
        <f>IMAGE("https://www.electronicscomp.com/image/cache/catalog/cd4033-5-stage-johnson-decade-counter-ic-dip-16-800x800.jpg",1)</f>
        <v/>
      </c>
      <c r="P105" s="78" t="s">
        <v>1688</v>
      </c>
      <c r="Q105" s="74"/>
      <c r="R105" s="75"/>
      <c r="S105" s="12"/>
      <c r="T105" s="11"/>
      <c r="U105" s="12">
        <v>1.0</v>
      </c>
      <c r="V105" s="11" t="s">
        <v>1861</v>
      </c>
      <c r="W105" s="332">
        <v>1.0</v>
      </c>
      <c r="X105" s="332">
        <f t="shared" si="4"/>
        <v>1</v>
      </c>
      <c r="Y105" s="332" t="s">
        <v>173</v>
      </c>
      <c r="Z105" s="332"/>
    </row>
    <row r="106" ht="76.5" customHeight="1">
      <c r="A106" s="221">
        <v>105.0</v>
      </c>
      <c r="B106" s="11" t="s">
        <v>173</v>
      </c>
      <c r="C106" s="11" t="s">
        <v>589</v>
      </c>
      <c r="D106" s="93" t="s">
        <v>590</v>
      </c>
      <c r="E106" s="215" t="s">
        <v>489</v>
      </c>
      <c r="F106" s="216">
        <v>20.0</v>
      </c>
      <c r="G106" s="216">
        <v>20.0</v>
      </c>
      <c r="H106" s="216">
        <v>5.0</v>
      </c>
      <c r="I106" s="11">
        <f t="shared" si="10"/>
        <v>100</v>
      </c>
      <c r="J106" s="11" t="s">
        <v>178</v>
      </c>
      <c r="K106" s="93"/>
      <c r="L106" s="93" t="s">
        <v>2078</v>
      </c>
      <c r="M106" s="93" t="s">
        <v>1945</v>
      </c>
      <c r="N106" s="243" t="s">
        <v>591</v>
      </c>
      <c r="O106" s="11" t="str">
        <f t="shared" ref="O106:O107" si="13">IMAGE("https://m.media-amazon.com/images/W/MEDIAX_792452-T2/images/I/41A+MQfyyEL.jpg",1)</f>
        <v/>
      </c>
      <c r="P106" s="78" t="s">
        <v>1688</v>
      </c>
      <c r="Q106" s="74"/>
      <c r="R106" s="75"/>
      <c r="S106" s="12"/>
      <c r="T106" s="11"/>
      <c r="U106" s="12">
        <v>1.0</v>
      </c>
      <c r="V106" s="11" t="s">
        <v>1842</v>
      </c>
      <c r="W106" s="332">
        <v>1.0</v>
      </c>
      <c r="X106" s="332">
        <f t="shared" si="4"/>
        <v>1</v>
      </c>
      <c r="Y106" s="332" t="s">
        <v>173</v>
      </c>
      <c r="Z106" s="332"/>
    </row>
    <row r="107" ht="76.5" customHeight="1">
      <c r="A107" s="221">
        <v>106.0</v>
      </c>
      <c r="B107" s="11" t="s">
        <v>173</v>
      </c>
      <c r="C107" s="11" t="s">
        <v>593</v>
      </c>
      <c r="D107" s="93" t="s">
        <v>594</v>
      </c>
      <c r="E107" s="215" t="s">
        <v>489</v>
      </c>
      <c r="F107" s="216">
        <v>20.0</v>
      </c>
      <c r="G107" s="216">
        <v>20.0</v>
      </c>
      <c r="H107" s="216">
        <v>5.0</v>
      </c>
      <c r="I107" s="11">
        <f t="shared" si="10"/>
        <v>100</v>
      </c>
      <c r="J107" s="11" t="s">
        <v>178</v>
      </c>
      <c r="K107" s="93"/>
      <c r="L107" s="93" t="s">
        <v>2078</v>
      </c>
      <c r="M107" s="93" t="s">
        <v>1945</v>
      </c>
      <c r="N107" s="217" t="s">
        <v>595</v>
      </c>
      <c r="O107" s="11" t="str">
        <f t="shared" si="13"/>
        <v/>
      </c>
      <c r="P107" s="78" t="s">
        <v>1688</v>
      </c>
      <c r="Q107" s="74"/>
      <c r="R107" s="75"/>
      <c r="S107" s="12"/>
      <c r="T107" s="11"/>
      <c r="U107" s="12">
        <v>1.0</v>
      </c>
      <c r="V107" s="11" t="s">
        <v>1842</v>
      </c>
      <c r="W107" s="332">
        <v>1.0</v>
      </c>
      <c r="X107" s="332">
        <f t="shared" si="4"/>
        <v>1</v>
      </c>
      <c r="Y107" s="332" t="s">
        <v>173</v>
      </c>
      <c r="Z107" s="332"/>
    </row>
    <row r="108" ht="76.5" customHeight="1">
      <c r="A108" s="221">
        <v>107.0</v>
      </c>
      <c r="B108" s="11" t="s">
        <v>173</v>
      </c>
      <c r="C108" s="11" t="s">
        <v>597</v>
      </c>
      <c r="D108" s="93" t="s">
        <v>1862</v>
      </c>
      <c r="E108" s="215" t="s">
        <v>489</v>
      </c>
      <c r="F108" s="216">
        <v>20.0</v>
      </c>
      <c r="G108" s="216">
        <v>20.0</v>
      </c>
      <c r="H108" s="216">
        <v>30.0</v>
      </c>
      <c r="I108" s="11">
        <f t="shared" si="10"/>
        <v>600</v>
      </c>
      <c r="J108" s="11" t="s">
        <v>178</v>
      </c>
      <c r="K108" s="93"/>
      <c r="L108" s="93" t="s">
        <v>2078</v>
      </c>
      <c r="M108" s="93" t="s">
        <v>1944</v>
      </c>
      <c r="N108" s="217" t="s">
        <v>600</v>
      </c>
      <c r="O108" s="11" t="str">
        <f>IMAGE("https://robu.in/wp-content/uploads/2018/11/LM358P-PDIP-8-High-Gain-Operational-Amplifier-Pack-of-5-ICs-9.jpg",1)</f>
        <v/>
      </c>
      <c r="P108" s="78" t="s">
        <v>1688</v>
      </c>
      <c r="Q108" s="74"/>
      <c r="R108" s="75"/>
      <c r="S108" s="12"/>
      <c r="T108" s="11"/>
      <c r="U108" s="12">
        <v>1.0</v>
      </c>
      <c r="V108" s="11" t="s">
        <v>1863</v>
      </c>
      <c r="W108" s="332">
        <v>1.0</v>
      </c>
      <c r="X108" s="332">
        <f t="shared" si="4"/>
        <v>1</v>
      </c>
      <c r="Y108" s="332" t="s">
        <v>173</v>
      </c>
      <c r="Z108" s="332"/>
    </row>
    <row r="109" ht="76.5" customHeight="1">
      <c r="A109" s="221">
        <v>108.0</v>
      </c>
      <c r="B109" s="11" t="s">
        <v>173</v>
      </c>
      <c r="C109" s="11" t="s">
        <v>602</v>
      </c>
      <c r="D109" s="93" t="s">
        <v>603</v>
      </c>
      <c r="E109" s="215" t="s">
        <v>489</v>
      </c>
      <c r="F109" s="216">
        <v>500.0</v>
      </c>
      <c r="G109" s="216">
        <v>500.0</v>
      </c>
      <c r="H109" s="216">
        <v>1.5</v>
      </c>
      <c r="I109" s="11">
        <f t="shared" si="10"/>
        <v>750</v>
      </c>
      <c r="J109" s="11" t="s">
        <v>178</v>
      </c>
      <c r="K109" s="93"/>
      <c r="L109" s="93" t="s">
        <v>2078</v>
      </c>
      <c r="M109" s="93" t="s">
        <v>1946</v>
      </c>
      <c r="N109" s="217" t="s">
        <v>604</v>
      </c>
      <c r="O109" s="11" t="str">
        <f>IMAGE("https://rukminim2.flixcart.com/image/832/832/xif0q/electronic-hobby-kit/d/o/s/50-pcs-blue-led-5mm-kitsguru-original-imaghfqbjbn4hshz.jpeg?q=70",1)</f>
        <v/>
      </c>
      <c r="P109" s="78" t="s">
        <v>1688</v>
      </c>
      <c r="Q109" s="79"/>
      <c r="R109" s="80"/>
      <c r="S109" s="12"/>
      <c r="T109" s="11"/>
      <c r="U109" s="12">
        <v>1.0</v>
      </c>
      <c r="V109" s="244" t="s">
        <v>2079</v>
      </c>
      <c r="W109" s="332">
        <v>1.0</v>
      </c>
      <c r="X109" s="332">
        <f t="shared" si="4"/>
        <v>1</v>
      </c>
      <c r="Y109" s="332" t="s">
        <v>173</v>
      </c>
      <c r="Z109" s="332"/>
    </row>
    <row r="110" ht="76.5" customHeight="1">
      <c r="A110" s="221">
        <v>109.0</v>
      </c>
      <c r="B110" s="11" t="s">
        <v>173</v>
      </c>
      <c r="C110" s="11" t="s">
        <v>606</v>
      </c>
      <c r="D110" s="93" t="s">
        <v>607</v>
      </c>
      <c r="E110" s="215" t="s">
        <v>489</v>
      </c>
      <c r="F110" s="216">
        <v>500.0</v>
      </c>
      <c r="G110" s="216">
        <v>500.0</v>
      </c>
      <c r="H110" s="216">
        <v>1.5</v>
      </c>
      <c r="I110" s="11">
        <f t="shared" si="10"/>
        <v>750</v>
      </c>
      <c r="J110" s="11" t="s">
        <v>178</v>
      </c>
      <c r="K110" s="93"/>
      <c r="L110" s="93" t="s">
        <v>2078</v>
      </c>
      <c r="M110" s="93" t="s">
        <v>1946</v>
      </c>
      <c r="N110" s="217"/>
      <c r="O110" s="11" t="str">
        <f>IMAGE("https://rukminim2.flixcart.com/image/832/832/krz97rk0/electronic-hobby-kit/r/p/r/5mm-green-led-light-emitting-diode-highlight-for-arduino-pack-of-original-imag5n63ad6pnxqe.jpeg?q=70", 1)</f>
        <v/>
      </c>
      <c r="P110" s="78" t="s">
        <v>1688</v>
      </c>
      <c r="Q110" s="79"/>
      <c r="R110" s="80"/>
      <c r="S110" s="12"/>
      <c r="T110" s="11"/>
      <c r="U110" s="12">
        <v>1.0</v>
      </c>
      <c r="V110" s="244" t="s">
        <v>2080</v>
      </c>
      <c r="W110" s="332">
        <v>1.0</v>
      </c>
      <c r="X110" s="332">
        <f t="shared" si="4"/>
        <v>1</v>
      </c>
      <c r="Y110" s="332" t="s">
        <v>173</v>
      </c>
      <c r="Z110" s="332"/>
    </row>
    <row r="111" ht="76.5" customHeight="1">
      <c r="A111" s="221">
        <v>110.0</v>
      </c>
      <c r="B111" s="11" t="s">
        <v>173</v>
      </c>
      <c r="C111" s="11" t="s">
        <v>609</v>
      </c>
      <c r="D111" s="93" t="s">
        <v>610</v>
      </c>
      <c r="E111" s="215" t="s">
        <v>489</v>
      </c>
      <c r="F111" s="216">
        <v>500.0</v>
      </c>
      <c r="G111" s="216">
        <v>500.0</v>
      </c>
      <c r="H111" s="216">
        <v>1.5</v>
      </c>
      <c r="I111" s="11">
        <f t="shared" si="10"/>
        <v>750</v>
      </c>
      <c r="J111" s="11" t="s">
        <v>178</v>
      </c>
      <c r="K111" s="93"/>
      <c r="L111" s="93" t="s">
        <v>2078</v>
      </c>
      <c r="M111" s="93" t="s">
        <v>1946</v>
      </c>
      <c r="N111" s="217" t="s">
        <v>611</v>
      </c>
      <c r="O111" s="11" t="str">
        <f>IMAGE("https://rukminim2.flixcart.com/image/832/832/ktrk13k0/electronic-hobby-kit/u/f/w/10-pcs-5mm-round-diffused-red-color-led-light-bulb-lamp-light-original-imag7ff6rchccrbz.jpeg?q=70", 1)</f>
        <v/>
      </c>
      <c r="P111" s="78" t="s">
        <v>1688</v>
      </c>
      <c r="Q111" s="74"/>
      <c r="R111" s="75"/>
      <c r="S111" s="12"/>
      <c r="T111" s="11"/>
      <c r="U111" s="12">
        <v>1.0</v>
      </c>
      <c r="V111" s="244" t="s">
        <v>2081</v>
      </c>
      <c r="W111" s="332">
        <v>1.0</v>
      </c>
      <c r="X111" s="332">
        <f t="shared" si="4"/>
        <v>1</v>
      </c>
      <c r="Y111" s="332" t="s">
        <v>173</v>
      </c>
      <c r="Z111" s="332"/>
    </row>
    <row r="112" ht="76.5" customHeight="1">
      <c r="A112" s="221">
        <v>111.0</v>
      </c>
      <c r="B112" s="11" t="s">
        <v>173</v>
      </c>
      <c r="C112" s="241" t="s">
        <v>613</v>
      </c>
      <c r="D112" s="242" t="s">
        <v>614</v>
      </c>
      <c r="E112" s="215" t="s">
        <v>489</v>
      </c>
      <c r="F112" s="216">
        <v>500.0</v>
      </c>
      <c r="G112" s="216">
        <v>500.0</v>
      </c>
      <c r="H112" s="216">
        <v>1.5</v>
      </c>
      <c r="I112" s="11">
        <f t="shared" si="10"/>
        <v>750</v>
      </c>
      <c r="J112" s="11" t="s">
        <v>178</v>
      </c>
      <c r="K112" s="93"/>
      <c r="L112" s="93" t="s">
        <v>2078</v>
      </c>
      <c r="M112" s="93" t="s">
        <v>1946</v>
      </c>
      <c r="N112" s="217" t="s">
        <v>615</v>
      </c>
      <c r="O112" s="11" t="str">
        <f>IMAGE("https://robu.in/wp-content/uploads/2020/10/5mm-DIP-Led-White.png", 1)</f>
        <v/>
      </c>
      <c r="P112" s="78" t="s">
        <v>1688</v>
      </c>
      <c r="Q112" s="74"/>
      <c r="R112" s="75"/>
      <c r="S112" s="12"/>
      <c r="T112" s="11"/>
      <c r="U112" s="12">
        <v>1.0</v>
      </c>
      <c r="V112" s="244" t="s">
        <v>2082</v>
      </c>
      <c r="W112" s="332">
        <v>1.0</v>
      </c>
      <c r="X112" s="332">
        <f t="shared" si="4"/>
        <v>1</v>
      </c>
      <c r="Y112" s="332" t="s">
        <v>173</v>
      </c>
      <c r="Z112" s="332"/>
    </row>
    <row r="113" ht="76.5" customHeight="1">
      <c r="A113" s="221">
        <v>112.0</v>
      </c>
      <c r="B113" s="11" t="s">
        <v>173</v>
      </c>
      <c r="C113" s="241" t="s">
        <v>617</v>
      </c>
      <c r="D113" s="242" t="s">
        <v>618</v>
      </c>
      <c r="E113" s="215" t="s">
        <v>489</v>
      </c>
      <c r="F113" s="216">
        <v>500.0</v>
      </c>
      <c r="G113" s="216">
        <v>500.0</v>
      </c>
      <c r="H113" s="216">
        <v>1.5</v>
      </c>
      <c r="I113" s="11">
        <f t="shared" si="10"/>
        <v>750</v>
      </c>
      <c r="J113" s="11" t="s">
        <v>178</v>
      </c>
      <c r="K113" s="93"/>
      <c r="L113" s="93" t="s">
        <v>2078</v>
      </c>
      <c r="M113" s="93" t="s">
        <v>1946</v>
      </c>
      <c r="N113" s="223" t="s">
        <v>619</v>
      </c>
      <c r="O113" s="11" t="str">
        <f>IMAGE("https://robu.in/wp-content/uploads/2020/10/5-mm-DIP-Led-Yellow.png", 1)</f>
        <v/>
      </c>
      <c r="P113" s="78" t="s">
        <v>1688</v>
      </c>
      <c r="Q113" s="74"/>
      <c r="R113" s="75"/>
      <c r="S113" s="12"/>
      <c r="T113" s="11"/>
      <c r="U113" s="12">
        <v>1.0</v>
      </c>
      <c r="V113" s="244" t="s">
        <v>2083</v>
      </c>
      <c r="W113" s="332">
        <v>1.0</v>
      </c>
      <c r="X113" s="332">
        <f t="shared" si="4"/>
        <v>1</v>
      </c>
      <c r="Y113" s="332" t="s">
        <v>173</v>
      </c>
      <c r="Z113" s="332"/>
    </row>
    <row r="114" ht="76.5" customHeight="1">
      <c r="A114" s="221">
        <v>113.0</v>
      </c>
      <c r="B114" s="11" t="s">
        <v>173</v>
      </c>
      <c r="C114" s="241" t="s">
        <v>621</v>
      </c>
      <c r="D114" s="242" t="s">
        <v>622</v>
      </c>
      <c r="E114" s="215" t="s">
        <v>489</v>
      </c>
      <c r="F114" s="216">
        <v>100.0</v>
      </c>
      <c r="G114" s="216">
        <v>100.0</v>
      </c>
      <c r="H114" s="216">
        <v>20.0</v>
      </c>
      <c r="I114" s="11">
        <f t="shared" si="10"/>
        <v>2000</v>
      </c>
      <c r="J114" s="11" t="s">
        <v>178</v>
      </c>
      <c r="K114" s="93"/>
      <c r="L114" s="93" t="s">
        <v>2078</v>
      </c>
      <c r="M114" s="93" t="s">
        <v>1946</v>
      </c>
      <c r="N114" s="217" t="s">
        <v>623</v>
      </c>
      <c r="O114" s="11" t="str">
        <f>IMAGE("https://image.robotistan.com/5mm-transparent-rgb-led-2633-11-O.jpg", 1)</f>
        <v/>
      </c>
      <c r="P114" s="78" t="s">
        <v>1688</v>
      </c>
      <c r="Q114" s="79"/>
      <c r="R114" s="80"/>
      <c r="S114" s="12"/>
      <c r="T114" s="11"/>
      <c r="U114" s="12">
        <v>1.0</v>
      </c>
      <c r="V114" s="244" t="s">
        <v>2084</v>
      </c>
      <c r="W114" s="332">
        <v>1.0</v>
      </c>
      <c r="X114" s="332">
        <f t="shared" si="4"/>
        <v>1</v>
      </c>
      <c r="Y114" s="332" t="s">
        <v>173</v>
      </c>
      <c r="Z114" s="332"/>
    </row>
    <row r="115" ht="76.5" customHeight="1">
      <c r="A115" s="221">
        <v>114.0</v>
      </c>
      <c r="B115" s="11" t="s">
        <v>173</v>
      </c>
      <c r="C115" s="241" t="s">
        <v>625</v>
      </c>
      <c r="D115" s="242" t="s">
        <v>626</v>
      </c>
      <c r="E115" s="215" t="s">
        <v>489</v>
      </c>
      <c r="F115" s="216">
        <v>20.0</v>
      </c>
      <c r="G115" s="216">
        <v>20.0</v>
      </c>
      <c r="H115" s="216">
        <v>15.0</v>
      </c>
      <c r="I115" s="11">
        <f t="shared" si="10"/>
        <v>300</v>
      </c>
      <c r="J115" s="11" t="s">
        <v>178</v>
      </c>
      <c r="K115" s="93"/>
      <c r="L115" s="93" t="s">
        <v>2070</v>
      </c>
      <c r="M115" s="93" t="s">
        <v>1947</v>
      </c>
      <c r="N115" s="217" t="s">
        <v>627</v>
      </c>
      <c r="O115" s="11" t="str">
        <f>IMAGE("https://5.imimg.com/data5/AH/OG/AM/SELLER-5278310/mkc-27701-changeover-reed-switch-500x500.jpg",1)</f>
        <v/>
      </c>
      <c r="P115" s="78" t="s">
        <v>1688</v>
      </c>
      <c r="Q115" s="74"/>
      <c r="R115" s="75"/>
      <c r="S115" s="12"/>
      <c r="T115" s="11"/>
      <c r="U115" s="12">
        <v>1.0</v>
      </c>
      <c r="V115" s="11" t="s">
        <v>1788</v>
      </c>
      <c r="W115" s="332">
        <v>1.0</v>
      </c>
      <c r="X115" s="332">
        <f t="shared" si="4"/>
        <v>1</v>
      </c>
      <c r="Y115" s="332" t="s">
        <v>173</v>
      </c>
      <c r="Z115" s="332"/>
    </row>
    <row r="116" ht="76.5" customHeight="1">
      <c r="A116" s="221">
        <v>115.0</v>
      </c>
      <c r="B116" s="11" t="s">
        <v>173</v>
      </c>
      <c r="C116" s="241" t="s">
        <v>629</v>
      </c>
      <c r="D116" s="242" t="s">
        <v>630</v>
      </c>
      <c r="E116" s="215" t="s">
        <v>489</v>
      </c>
      <c r="F116" s="216">
        <v>20.0</v>
      </c>
      <c r="G116" s="216">
        <v>20.0</v>
      </c>
      <c r="H116" s="216">
        <v>20.0</v>
      </c>
      <c r="I116" s="11">
        <f t="shared" si="10"/>
        <v>400</v>
      </c>
      <c r="J116" s="11" t="s">
        <v>178</v>
      </c>
      <c r="K116" s="93"/>
      <c r="L116" s="93" t="s">
        <v>2078</v>
      </c>
      <c r="M116" s="93" t="s">
        <v>1948</v>
      </c>
      <c r="N116" s="217" t="s">
        <v>631</v>
      </c>
      <c r="O116" s="11" t="str">
        <f t="shared" ref="O116:O117" si="14">IMAGE("https://www.electronicscomp.com/image/cache/catalog/irfz44-n-channel-power-mosfet-1-800x800.JPG",1)</f>
        <v/>
      </c>
      <c r="P116" s="78" t="s">
        <v>1688</v>
      </c>
      <c r="Q116" s="74"/>
      <c r="R116" s="75"/>
      <c r="S116" s="12"/>
      <c r="T116" s="11"/>
      <c r="U116" s="12">
        <v>1.0</v>
      </c>
      <c r="V116" s="11" t="s">
        <v>1843</v>
      </c>
      <c r="W116" s="332">
        <v>1.0</v>
      </c>
      <c r="X116" s="332">
        <f t="shared" si="4"/>
        <v>1</v>
      </c>
      <c r="Y116" s="332" t="s">
        <v>173</v>
      </c>
      <c r="Z116" s="332"/>
    </row>
    <row r="117" ht="76.5" customHeight="1">
      <c r="A117" s="221">
        <v>116.0</v>
      </c>
      <c r="B117" s="11" t="s">
        <v>173</v>
      </c>
      <c r="C117" s="241" t="s">
        <v>633</v>
      </c>
      <c r="D117" s="242" t="s">
        <v>634</v>
      </c>
      <c r="E117" s="215" t="s">
        <v>489</v>
      </c>
      <c r="F117" s="216">
        <v>20.0</v>
      </c>
      <c r="G117" s="216">
        <v>20.0</v>
      </c>
      <c r="H117" s="216">
        <v>30.0</v>
      </c>
      <c r="I117" s="11">
        <f t="shared" si="10"/>
        <v>600</v>
      </c>
      <c r="J117" s="11" t="s">
        <v>178</v>
      </c>
      <c r="K117" s="93"/>
      <c r="L117" s="93" t="s">
        <v>2078</v>
      </c>
      <c r="M117" s="93" t="s">
        <v>1948</v>
      </c>
      <c r="N117" s="217" t="s">
        <v>635</v>
      </c>
      <c r="O117" s="11" t="str">
        <f t="shared" si="14"/>
        <v/>
      </c>
      <c r="P117" s="78" t="s">
        <v>1688</v>
      </c>
      <c r="Q117" s="74"/>
      <c r="R117" s="75"/>
      <c r="S117" s="12"/>
      <c r="T117" s="11"/>
      <c r="U117" s="12">
        <v>1.0</v>
      </c>
      <c r="V117" s="11" t="s">
        <v>1843</v>
      </c>
      <c r="W117" s="332">
        <v>1.0</v>
      </c>
      <c r="X117" s="332">
        <f t="shared" si="4"/>
        <v>1</v>
      </c>
      <c r="Y117" s="332" t="s">
        <v>173</v>
      </c>
      <c r="Z117" s="332"/>
    </row>
    <row r="118" ht="76.5" customHeight="1">
      <c r="A118" s="221">
        <v>117.0</v>
      </c>
      <c r="B118" s="11" t="s">
        <v>173</v>
      </c>
      <c r="C118" s="241" t="s">
        <v>637</v>
      </c>
      <c r="D118" s="242" t="s">
        <v>1804</v>
      </c>
      <c r="E118" s="215" t="s">
        <v>489</v>
      </c>
      <c r="F118" s="216">
        <v>20.0</v>
      </c>
      <c r="G118" s="216">
        <v>20.0</v>
      </c>
      <c r="H118" s="216">
        <v>50.0</v>
      </c>
      <c r="I118" s="11">
        <f t="shared" si="10"/>
        <v>1000</v>
      </c>
      <c r="J118" s="11" t="s">
        <v>178</v>
      </c>
      <c r="K118" s="93"/>
      <c r="L118" s="93" t="s">
        <v>2070</v>
      </c>
      <c r="M118" s="93" t="s">
        <v>1941</v>
      </c>
      <c r="N118" s="217" t="s">
        <v>639</v>
      </c>
      <c r="O118" s="11" t="str">
        <f>IMAGE("https://5.imimg.com/data5/FI/FV/DZ/SELLER-22718366/27-mm-3p-piezoelectric-buzzer-plate-500x500.jpg",1)</f>
        <v/>
      </c>
      <c r="P118" s="78" t="s">
        <v>1688</v>
      </c>
      <c r="Q118" s="74"/>
      <c r="R118" s="75"/>
      <c r="S118" s="12"/>
      <c r="T118" s="11"/>
      <c r="U118" s="12">
        <v>1.0</v>
      </c>
      <c r="V118" s="11" t="s">
        <v>1802</v>
      </c>
      <c r="W118" s="332">
        <v>1.0</v>
      </c>
      <c r="X118" s="332">
        <f t="shared" si="4"/>
        <v>1</v>
      </c>
      <c r="Y118" s="332" t="s">
        <v>173</v>
      </c>
      <c r="Z118" s="332"/>
    </row>
    <row r="119" ht="76.5" customHeight="1">
      <c r="A119" s="221">
        <v>118.0</v>
      </c>
      <c r="B119" s="11" t="s">
        <v>173</v>
      </c>
      <c r="C119" s="241" t="s">
        <v>641</v>
      </c>
      <c r="D119" s="242" t="s">
        <v>642</v>
      </c>
      <c r="E119" s="215" t="s">
        <v>489</v>
      </c>
      <c r="F119" s="216">
        <v>20.0</v>
      </c>
      <c r="G119" s="216">
        <v>20.0</v>
      </c>
      <c r="H119" s="216">
        <v>20.0</v>
      </c>
      <c r="I119" s="11">
        <f t="shared" si="10"/>
        <v>400</v>
      </c>
      <c r="J119" s="11" t="s">
        <v>178</v>
      </c>
      <c r="K119" s="93"/>
      <c r="L119" s="93" t="s">
        <v>2070</v>
      </c>
      <c r="M119" s="93" t="s">
        <v>1949</v>
      </c>
      <c r="N119" s="217" t="s">
        <v>643</v>
      </c>
      <c r="O119" s="11" t="str">
        <f t="shared" ref="O119:O122" si="15">IMAGE("https://m.media-amazon.com/images/I/31ALofIyvBL._SX466_.jpg",1)</f>
        <v/>
      </c>
      <c r="P119" s="78" t="s">
        <v>1688</v>
      </c>
      <c r="Q119" s="74"/>
      <c r="R119" s="75"/>
      <c r="S119" s="12"/>
      <c r="T119" s="11"/>
      <c r="U119" s="12">
        <v>1.0</v>
      </c>
      <c r="V119" s="11" t="s">
        <v>1828</v>
      </c>
      <c r="W119" s="332">
        <v>1.0</v>
      </c>
      <c r="X119" s="332">
        <f t="shared" si="4"/>
        <v>1</v>
      </c>
      <c r="Y119" s="332" t="s">
        <v>173</v>
      </c>
      <c r="Z119" s="332"/>
    </row>
    <row r="120" ht="76.5" customHeight="1">
      <c r="A120" s="221">
        <v>119.0</v>
      </c>
      <c r="B120" s="11" t="s">
        <v>173</v>
      </c>
      <c r="C120" s="241" t="s">
        <v>645</v>
      </c>
      <c r="D120" s="242" t="s">
        <v>646</v>
      </c>
      <c r="E120" s="215" t="s">
        <v>489</v>
      </c>
      <c r="F120" s="216">
        <v>20.0</v>
      </c>
      <c r="G120" s="216">
        <v>20.0</v>
      </c>
      <c r="H120" s="216">
        <v>15.0</v>
      </c>
      <c r="I120" s="11">
        <f t="shared" si="10"/>
        <v>300</v>
      </c>
      <c r="J120" s="11" t="s">
        <v>178</v>
      </c>
      <c r="K120" s="93"/>
      <c r="L120" s="93" t="s">
        <v>2070</v>
      </c>
      <c r="M120" s="93" t="s">
        <v>1949</v>
      </c>
      <c r="N120" s="217" t="s">
        <v>647</v>
      </c>
      <c r="O120" s="11" t="str">
        <f t="shared" si="15"/>
        <v/>
      </c>
      <c r="P120" s="78" t="s">
        <v>1688</v>
      </c>
      <c r="Q120" s="74"/>
      <c r="R120" s="75"/>
      <c r="S120" s="12"/>
      <c r="T120" s="11"/>
      <c r="U120" s="12">
        <v>1.0</v>
      </c>
      <c r="V120" s="245" t="s">
        <v>1826</v>
      </c>
      <c r="W120" s="332">
        <v>1.0</v>
      </c>
      <c r="X120" s="332">
        <f t="shared" si="4"/>
        <v>1</v>
      </c>
      <c r="Y120" s="332" t="s">
        <v>173</v>
      </c>
      <c r="Z120" s="332"/>
    </row>
    <row r="121" ht="76.5" customHeight="1">
      <c r="A121" s="221">
        <v>120.0</v>
      </c>
      <c r="B121" s="11" t="s">
        <v>173</v>
      </c>
      <c r="C121" s="241" t="s">
        <v>649</v>
      </c>
      <c r="D121" s="242" t="s">
        <v>650</v>
      </c>
      <c r="E121" s="215" t="s">
        <v>489</v>
      </c>
      <c r="F121" s="216">
        <v>20.0</v>
      </c>
      <c r="G121" s="216">
        <v>20.0</v>
      </c>
      <c r="H121" s="216">
        <v>10.0</v>
      </c>
      <c r="I121" s="11">
        <f t="shared" si="10"/>
        <v>200</v>
      </c>
      <c r="J121" s="11" t="s">
        <v>178</v>
      </c>
      <c r="K121" s="93"/>
      <c r="L121" s="93" t="s">
        <v>2070</v>
      </c>
      <c r="M121" s="93" t="s">
        <v>1949</v>
      </c>
      <c r="N121" s="217" t="s">
        <v>651</v>
      </c>
      <c r="O121" s="11" t="str">
        <f t="shared" si="15"/>
        <v/>
      </c>
      <c r="P121" s="78" t="s">
        <v>1688</v>
      </c>
      <c r="Q121" s="74"/>
      <c r="R121" s="75"/>
      <c r="S121" s="12"/>
      <c r="T121" s="11"/>
      <c r="U121" s="12">
        <v>1.0</v>
      </c>
      <c r="V121" s="245" t="s">
        <v>1826</v>
      </c>
      <c r="W121" s="332">
        <v>1.0</v>
      </c>
      <c r="X121" s="332">
        <f t="shared" si="4"/>
        <v>1</v>
      </c>
      <c r="Y121" s="332" t="s">
        <v>173</v>
      </c>
      <c r="Z121" s="332"/>
    </row>
    <row r="122" ht="76.5" customHeight="1">
      <c r="A122" s="221">
        <v>121.0</v>
      </c>
      <c r="B122" s="11" t="s">
        <v>173</v>
      </c>
      <c r="C122" s="241" t="s">
        <v>653</v>
      </c>
      <c r="D122" s="242" t="s">
        <v>654</v>
      </c>
      <c r="E122" s="215" t="s">
        <v>489</v>
      </c>
      <c r="F122" s="216">
        <v>20.0</v>
      </c>
      <c r="G122" s="216">
        <v>20.0</v>
      </c>
      <c r="H122" s="216">
        <v>25.0</v>
      </c>
      <c r="I122" s="11">
        <f t="shared" si="10"/>
        <v>500</v>
      </c>
      <c r="J122" s="11" t="s">
        <v>178</v>
      </c>
      <c r="K122" s="93"/>
      <c r="L122" s="93" t="s">
        <v>2070</v>
      </c>
      <c r="M122" s="93" t="s">
        <v>1949</v>
      </c>
      <c r="N122" s="217" t="s">
        <v>655</v>
      </c>
      <c r="O122" s="11" t="str">
        <f t="shared" si="15"/>
        <v/>
      </c>
      <c r="P122" s="78" t="s">
        <v>1688</v>
      </c>
      <c r="Q122" s="79"/>
      <c r="R122" s="80"/>
      <c r="S122" s="12"/>
      <c r="T122" s="11"/>
      <c r="U122" s="12">
        <v>1.0</v>
      </c>
      <c r="V122" s="11" t="s">
        <v>1828</v>
      </c>
      <c r="W122" s="332">
        <v>1.0</v>
      </c>
      <c r="X122" s="332">
        <f t="shared" si="4"/>
        <v>1</v>
      </c>
      <c r="Y122" s="332" t="s">
        <v>173</v>
      </c>
      <c r="Z122" s="332"/>
    </row>
    <row r="123" ht="76.5" customHeight="1">
      <c r="A123" s="221">
        <v>122.0</v>
      </c>
      <c r="B123" s="11" t="s">
        <v>173</v>
      </c>
      <c r="C123" s="239" t="s">
        <v>661</v>
      </c>
      <c r="D123" s="240" t="s">
        <v>662</v>
      </c>
      <c r="E123" s="215" t="s">
        <v>489</v>
      </c>
      <c r="F123" s="216">
        <v>100.0</v>
      </c>
      <c r="G123" s="216">
        <v>100.0</v>
      </c>
      <c r="H123" s="216">
        <v>1.0</v>
      </c>
      <c r="I123" s="11">
        <f t="shared" si="10"/>
        <v>100</v>
      </c>
      <c r="J123" s="11" t="s">
        <v>178</v>
      </c>
      <c r="K123" s="93"/>
      <c r="L123" s="93" t="s">
        <v>2078</v>
      </c>
      <c r="M123" s="93" t="s">
        <v>1950</v>
      </c>
      <c r="N123" s="217" t="s">
        <v>659</v>
      </c>
      <c r="O123" s="11" t="str">
        <f t="shared" ref="O123:O164" si="16">IMAGE("https://projectpoint.in/image/cache/catalog/CFR_Resistor_Kit-672x504.jpg",1)</f>
        <v/>
      </c>
      <c r="P123" s="78" t="s">
        <v>1688</v>
      </c>
      <c r="Q123" s="74"/>
      <c r="R123" s="75"/>
      <c r="S123" s="12"/>
      <c r="T123" s="11"/>
      <c r="U123" s="12">
        <v>1.0</v>
      </c>
      <c r="V123" s="11" t="s">
        <v>1753</v>
      </c>
      <c r="W123" s="332">
        <v>1.0</v>
      </c>
      <c r="X123" s="332">
        <f t="shared" si="4"/>
        <v>1</v>
      </c>
      <c r="Y123" s="332" t="s">
        <v>173</v>
      </c>
      <c r="Z123" s="332"/>
    </row>
    <row r="124" ht="76.5" customHeight="1">
      <c r="A124" s="221">
        <v>123.0</v>
      </c>
      <c r="B124" s="11" t="s">
        <v>173</v>
      </c>
      <c r="C124" s="239" t="s">
        <v>789</v>
      </c>
      <c r="D124" s="240" t="s">
        <v>1757</v>
      </c>
      <c r="E124" s="215" t="s">
        <v>489</v>
      </c>
      <c r="F124" s="216">
        <v>100.0</v>
      </c>
      <c r="G124" s="216">
        <v>100.0</v>
      </c>
      <c r="H124" s="216">
        <v>1.0</v>
      </c>
      <c r="I124" s="11">
        <f t="shared" si="10"/>
        <v>100</v>
      </c>
      <c r="J124" s="11" t="s">
        <v>178</v>
      </c>
      <c r="K124" s="93"/>
      <c r="L124" s="93" t="s">
        <v>2078</v>
      </c>
      <c r="M124" s="93" t="s">
        <v>1950</v>
      </c>
      <c r="N124" s="217" t="s">
        <v>663</v>
      </c>
      <c r="O124" s="11" t="str">
        <f t="shared" si="16"/>
        <v/>
      </c>
      <c r="P124" s="78" t="s">
        <v>1688</v>
      </c>
      <c r="Q124" s="74"/>
      <c r="R124" s="75"/>
      <c r="S124" s="12"/>
      <c r="T124" s="11"/>
      <c r="U124" s="12">
        <v>1.0</v>
      </c>
      <c r="V124" s="11" t="s">
        <v>1753</v>
      </c>
      <c r="W124" s="332">
        <v>1.0</v>
      </c>
      <c r="X124" s="332">
        <f t="shared" si="4"/>
        <v>1</v>
      </c>
      <c r="Y124" s="332" t="s">
        <v>173</v>
      </c>
      <c r="Z124" s="332"/>
    </row>
    <row r="125" ht="76.5" customHeight="1">
      <c r="A125" s="221">
        <v>124.0</v>
      </c>
      <c r="B125" s="11" t="s">
        <v>173</v>
      </c>
      <c r="C125" s="239" t="s">
        <v>697</v>
      </c>
      <c r="D125" s="240" t="s">
        <v>698</v>
      </c>
      <c r="E125" s="215" t="s">
        <v>489</v>
      </c>
      <c r="F125" s="216">
        <v>100.0</v>
      </c>
      <c r="G125" s="216">
        <v>100.0</v>
      </c>
      <c r="H125" s="216">
        <v>1.0</v>
      </c>
      <c r="I125" s="11">
        <f t="shared" si="10"/>
        <v>100</v>
      </c>
      <c r="J125" s="11" t="s">
        <v>178</v>
      </c>
      <c r="K125" s="93"/>
      <c r="L125" s="93" t="s">
        <v>2078</v>
      </c>
      <c r="M125" s="93" t="s">
        <v>1950</v>
      </c>
      <c r="N125" s="217" t="s">
        <v>667</v>
      </c>
      <c r="O125" s="11" t="str">
        <f t="shared" si="16"/>
        <v/>
      </c>
      <c r="P125" s="78" t="s">
        <v>1688</v>
      </c>
      <c r="Q125" s="74"/>
      <c r="R125" s="75"/>
      <c r="S125" s="12"/>
      <c r="T125" s="11"/>
      <c r="U125" s="12">
        <v>1.0</v>
      </c>
      <c r="V125" s="11" t="s">
        <v>1762</v>
      </c>
      <c r="W125" s="332">
        <v>1.0</v>
      </c>
      <c r="X125" s="332">
        <f t="shared" si="4"/>
        <v>1</v>
      </c>
      <c r="Y125" s="332" t="s">
        <v>173</v>
      </c>
      <c r="Z125" s="332"/>
    </row>
    <row r="126" ht="76.5" customHeight="1">
      <c r="A126" s="221">
        <v>125.0</v>
      </c>
      <c r="B126" s="11" t="s">
        <v>173</v>
      </c>
      <c r="C126" s="239" t="s">
        <v>705</v>
      </c>
      <c r="D126" s="240" t="s">
        <v>706</v>
      </c>
      <c r="E126" s="215" t="s">
        <v>489</v>
      </c>
      <c r="F126" s="216">
        <v>100.0</v>
      </c>
      <c r="G126" s="216">
        <v>100.0</v>
      </c>
      <c r="H126" s="216">
        <v>1.0</v>
      </c>
      <c r="I126" s="11">
        <f t="shared" si="10"/>
        <v>100</v>
      </c>
      <c r="J126" s="11" t="s">
        <v>178</v>
      </c>
      <c r="K126" s="93"/>
      <c r="L126" s="93" t="s">
        <v>2078</v>
      </c>
      <c r="M126" s="93" t="s">
        <v>1950</v>
      </c>
      <c r="N126" s="217" t="s">
        <v>671</v>
      </c>
      <c r="O126" s="11" t="str">
        <f t="shared" si="16"/>
        <v/>
      </c>
      <c r="P126" s="78" t="s">
        <v>1688</v>
      </c>
      <c r="Q126" s="74"/>
      <c r="R126" s="75"/>
      <c r="S126" s="12"/>
      <c r="T126" s="11"/>
      <c r="U126" s="12">
        <v>1.0</v>
      </c>
      <c r="V126" s="11" t="s">
        <v>1762</v>
      </c>
      <c r="W126" s="332">
        <v>1.0</v>
      </c>
      <c r="X126" s="332">
        <f t="shared" si="4"/>
        <v>1</v>
      </c>
      <c r="Y126" s="332" t="s">
        <v>173</v>
      </c>
      <c r="Z126" s="332"/>
    </row>
    <row r="127" ht="76.5" customHeight="1">
      <c r="A127" s="221">
        <v>126.0</v>
      </c>
      <c r="B127" s="11" t="s">
        <v>173</v>
      </c>
      <c r="C127" s="239" t="s">
        <v>717</v>
      </c>
      <c r="D127" s="240" t="s">
        <v>718</v>
      </c>
      <c r="E127" s="215" t="s">
        <v>489</v>
      </c>
      <c r="F127" s="216">
        <v>100.0</v>
      </c>
      <c r="G127" s="216">
        <v>100.0</v>
      </c>
      <c r="H127" s="216">
        <v>1.0</v>
      </c>
      <c r="I127" s="11">
        <f t="shared" si="10"/>
        <v>100</v>
      </c>
      <c r="J127" s="11" t="s">
        <v>178</v>
      </c>
      <c r="K127" s="93"/>
      <c r="L127" s="93" t="s">
        <v>2078</v>
      </c>
      <c r="M127" s="93" t="s">
        <v>1950</v>
      </c>
      <c r="N127" s="217" t="s">
        <v>675</v>
      </c>
      <c r="O127" s="11" t="str">
        <f t="shared" si="16"/>
        <v/>
      </c>
      <c r="P127" s="78" t="s">
        <v>1688</v>
      </c>
      <c r="Q127" s="74"/>
      <c r="R127" s="75"/>
      <c r="S127" s="12"/>
      <c r="T127" s="11"/>
      <c r="U127" s="12">
        <v>1.0</v>
      </c>
      <c r="V127" s="11" t="s">
        <v>1771</v>
      </c>
      <c r="W127" s="332">
        <v>1.0</v>
      </c>
      <c r="X127" s="332">
        <f t="shared" si="4"/>
        <v>1</v>
      </c>
      <c r="Y127" s="332" t="s">
        <v>173</v>
      </c>
      <c r="Z127" s="332"/>
    </row>
    <row r="128" ht="76.5" customHeight="1">
      <c r="A128" s="221">
        <v>127.0</v>
      </c>
      <c r="B128" s="11" t="s">
        <v>173</v>
      </c>
      <c r="C128" s="239" t="s">
        <v>733</v>
      </c>
      <c r="D128" s="240" t="s">
        <v>734</v>
      </c>
      <c r="E128" s="215" t="s">
        <v>489</v>
      </c>
      <c r="F128" s="216">
        <v>100.0</v>
      </c>
      <c r="G128" s="216">
        <v>100.0</v>
      </c>
      <c r="H128" s="216">
        <v>1.0</v>
      </c>
      <c r="I128" s="11">
        <f t="shared" si="10"/>
        <v>100</v>
      </c>
      <c r="J128" s="11" t="s">
        <v>178</v>
      </c>
      <c r="K128" s="93"/>
      <c r="L128" s="93" t="s">
        <v>2078</v>
      </c>
      <c r="M128" s="93" t="s">
        <v>1950</v>
      </c>
      <c r="N128" s="217" t="s">
        <v>679</v>
      </c>
      <c r="O128" s="11" t="str">
        <f t="shared" si="16"/>
        <v/>
      </c>
      <c r="P128" s="78" t="s">
        <v>1688</v>
      </c>
      <c r="Q128" s="74"/>
      <c r="R128" s="75"/>
      <c r="S128" s="12"/>
      <c r="T128" s="11"/>
      <c r="U128" s="12">
        <v>1.0</v>
      </c>
      <c r="V128" s="11" t="s">
        <v>1771</v>
      </c>
      <c r="W128" s="332">
        <v>1.0</v>
      </c>
      <c r="X128" s="332">
        <f t="shared" si="4"/>
        <v>1</v>
      </c>
      <c r="Y128" s="332" t="s">
        <v>173</v>
      </c>
      <c r="Z128" s="332"/>
    </row>
    <row r="129" ht="76.5" customHeight="1">
      <c r="A129" s="221">
        <v>128.0</v>
      </c>
      <c r="B129" s="11" t="s">
        <v>173</v>
      </c>
      <c r="C129" s="116" t="s">
        <v>817</v>
      </c>
      <c r="D129" s="115" t="s">
        <v>1779</v>
      </c>
      <c r="E129" s="215" t="s">
        <v>489</v>
      </c>
      <c r="F129" s="216">
        <v>100.0</v>
      </c>
      <c r="G129" s="216">
        <v>100.0</v>
      </c>
      <c r="H129" s="216">
        <v>1.0</v>
      </c>
      <c r="I129" s="11">
        <f t="shared" si="10"/>
        <v>100</v>
      </c>
      <c r="J129" s="11" t="s">
        <v>178</v>
      </c>
      <c r="K129" s="93"/>
      <c r="L129" s="93" t="s">
        <v>2078</v>
      </c>
      <c r="M129" s="93" t="s">
        <v>1950</v>
      </c>
      <c r="N129" s="217" t="s">
        <v>683</v>
      </c>
      <c r="O129" s="11" t="str">
        <f t="shared" si="16"/>
        <v/>
      </c>
      <c r="P129" s="78" t="s">
        <v>1688</v>
      </c>
      <c r="Q129" s="74"/>
      <c r="R129" s="75"/>
      <c r="S129" s="12"/>
      <c r="T129" s="11"/>
      <c r="U129" s="12">
        <v>1.0</v>
      </c>
      <c r="V129" s="246" t="s">
        <v>1780</v>
      </c>
      <c r="W129" s="332">
        <v>1.0</v>
      </c>
      <c r="X129" s="332">
        <f t="shared" si="4"/>
        <v>1</v>
      </c>
      <c r="Y129" s="332" t="s">
        <v>173</v>
      </c>
      <c r="Z129" s="332"/>
    </row>
    <row r="130" ht="76.5" customHeight="1">
      <c r="A130" s="221">
        <v>129.0</v>
      </c>
      <c r="B130" s="11" t="s">
        <v>173</v>
      </c>
      <c r="C130" s="116" t="s">
        <v>753</v>
      </c>
      <c r="D130" s="115" t="s">
        <v>754</v>
      </c>
      <c r="E130" s="215" t="s">
        <v>489</v>
      </c>
      <c r="F130" s="216">
        <v>100.0</v>
      </c>
      <c r="G130" s="216">
        <v>100.0</v>
      </c>
      <c r="H130" s="216">
        <v>1.0</v>
      </c>
      <c r="I130" s="11">
        <f t="shared" si="10"/>
        <v>100</v>
      </c>
      <c r="J130" s="11" t="s">
        <v>178</v>
      </c>
      <c r="K130" s="93"/>
      <c r="L130" s="93" t="s">
        <v>2078</v>
      </c>
      <c r="M130" s="93" t="s">
        <v>1950</v>
      </c>
      <c r="N130" s="217" t="s">
        <v>687</v>
      </c>
      <c r="O130" s="11" t="str">
        <f t="shared" si="16"/>
        <v/>
      </c>
      <c r="P130" s="78" t="s">
        <v>1688</v>
      </c>
      <c r="Q130" s="74"/>
      <c r="R130" s="75"/>
      <c r="S130" s="12"/>
      <c r="T130" s="11"/>
      <c r="U130" s="12">
        <v>1.0</v>
      </c>
      <c r="V130" s="246" t="s">
        <v>1780</v>
      </c>
      <c r="W130" s="332">
        <v>1.0</v>
      </c>
      <c r="X130" s="332">
        <f t="shared" si="4"/>
        <v>1</v>
      </c>
      <c r="Y130" s="332" t="s">
        <v>173</v>
      </c>
      <c r="Z130" s="332"/>
    </row>
    <row r="131" ht="76.5" customHeight="1">
      <c r="A131" s="221">
        <v>130.0</v>
      </c>
      <c r="B131" s="11" t="s">
        <v>173</v>
      </c>
      <c r="C131" s="116" t="s">
        <v>773</v>
      </c>
      <c r="D131" s="115" t="s">
        <v>774</v>
      </c>
      <c r="E131" s="215" t="s">
        <v>489</v>
      </c>
      <c r="F131" s="216">
        <v>100.0</v>
      </c>
      <c r="G131" s="216">
        <v>100.0</v>
      </c>
      <c r="H131" s="216">
        <v>1.0</v>
      </c>
      <c r="I131" s="11">
        <f t="shared" si="10"/>
        <v>100</v>
      </c>
      <c r="J131" s="11" t="s">
        <v>178</v>
      </c>
      <c r="K131" s="93"/>
      <c r="L131" s="93" t="s">
        <v>2078</v>
      </c>
      <c r="M131" s="93" t="s">
        <v>1950</v>
      </c>
      <c r="N131" s="217" t="s">
        <v>691</v>
      </c>
      <c r="O131" s="11" t="str">
        <f t="shared" si="16"/>
        <v/>
      </c>
      <c r="P131" s="78" t="s">
        <v>1688</v>
      </c>
      <c r="Q131" s="74"/>
      <c r="R131" s="75"/>
      <c r="S131" s="12"/>
      <c r="T131" s="11"/>
      <c r="U131" s="12">
        <v>1.0</v>
      </c>
      <c r="V131" s="246" t="s">
        <v>1785</v>
      </c>
      <c r="W131" s="332">
        <v>1.0</v>
      </c>
      <c r="X131" s="332">
        <f t="shared" si="4"/>
        <v>1</v>
      </c>
      <c r="Y131" s="332" t="s">
        <v>173</v>
      </c>
      <c r="Z131" s="332"/>
    </row>
    <row r="132" ht="76.5" customHeight="1">
      <c r="A132" s="221">
        <v>131.0</v>
      </c>
      <c r="B132" s="11" t="s">
        <v>173</v>
      </c>
      <c r="C132" s="116" t="s">
        <v>657</v>
      </c>
      <c r="D132" s="115" t="s">
        <v>658</v>
      </c>
      <c r="E132" s="215" t="s">
        <v>489</v>
      </c>
      <c r="F132" s="216">
        <v>100.0</v>
      </c>
      <c r="G132" s="216">
        <v>100.0</v>
      </c>
      <c r="H132" s="216">
        <v>1.0</v>
      </c>
      <c r="I132" s="11">
        <f t="shared" si="10"/>
        <v>100</v>
      </c>
      <c r="J132" s="11" t="s">
        <v>178</v>
      </c>
      <c r="K132" s="93"/>
      <c r="L132" s="93" t="s">
        <v>2078</v>
      </c>
      <c r="M132" s="93" t="s">
        <v>1950</v>
      </c>
      <c r="N132" s="217" t="s">
        <v>695</v>
      </c>
      <c r="O132" s="11" t="str">
        <f t="shared" si="16"/>
        <v/>
      </c>
      <c r="P132" s="78" t="s">
        <v>1688</v>
      </c>
      <c r="Q132" s="74"/>
      <c r="R132" s="75"/>
      <c r="S132" s="12"/>
      <c r="T132" s="11"/>
      <c r="U132" s="12">
        <v>1.0</v>
      </c>
      <c r="V132" s="246" t="s">
        <v>1785</v>
      </c>
      <c r="W132" s="332">
        <v>1.0</v>
      </c>
      <c r="X132" s="332">
        <f t="shared" si="4"/>
        <v>1</v>
      </c>
      <c r="Y132" s="332" t="s">
        <v>173</v>
      </c>
      <c r="Z132" s="332"/>
    </row>
    <row r="133" ht="76.5" customHeight="1">
      <c r="A133" s="221">
        <v>132.0</v>
      </c>
      <c r="B133" s="11" t="s">
        <v>173</v>
      </c>
      <c r="C133" s="116" t="s">
        <v>781</v>
      </c>
      <c r="D133" s="115" t="s">
        <v>1792</v>
      </c>
      <c r="E133" s="215" t="s">
        <v>489</v>
      </c>
      <c r="F133" s="216">
        <v>100.0</v>
      </c>
      <c r="G133" s="216">
        <v>100.0</v>
      </c>
      <c r="H133" s="216">
        <v>1.0</v>
      </c>
      <c r="I133" s="11">
        <f t="shared" si="10"/>
        <v>100</v>
      </c>
      <c r="J133" s="11" t="s">
        <v>178</v>
      </c>
      <c r="K133" s="93"/>
      <c r="L133" s="93" t="s">
        <v>2078</v>
      </c>
      <c r="M133" s="93" t="s">
        <v>1950</v>
      </c>
      <c r="N133" s="217" t="s">
        <v>699</v>
      </c>
      <c r="O133" s="11" t="str">
        <f t="shared" si="16"/>
        <v/>
      </c>
      <c r="P133" s="78" t="s">
        <v>1688</v>
      </c>
      <c r="Q133" s="74"/>
      <c r="R133" s="75"/>
      <c r="S133" s="5"/>
      <c r="T133" s="14"/>
      <c r="U133" s="12">
        <v>1.0</v>
      </c>
      <c r="V133" s="246" t="s">
        <v>1793</v>
      </c>
      <c r="W133" s="332">
        <v>1.0</v>
      </c>
      <c r="X133" s="332">
        <f t="shared" si="4"/>
        <v>1</v>
      </c>
      <c r="Y133" s="332" t="s">
        <v>173</v>
      </c>
      <c r="Z133" s="332"/>
    </row>
    <row r="134" ht="76.5" customHeight="1">
      <c r="A134" s="221">
        <v>133.0</v>
      </c>
      <c r="B134" s="11" t="s">
        <v>173</v>
      </c>
      <c r="C134" s="116" t="s">
        <v>689</v>
      </c>
      <c r="D134" s="115" t="s">
        <v>690</v>
      </c>
      <c r="E134" s="215" t="s">
        <v>489</v>
      </c>
      <c r="F134" s="216">
        <v>100.0</v>
      </c>
      <c r="G134" s="216">
        <v>100.0</v>
      </c>
      <c r="H134" s="216">
        <v>1.0</v>
      </c>
      <c r="I134" s="11">
        <f t="shared" si="10"/>
        <v>100</v>
      </c>
      <c r="J134" s="11" t="s">
        <v>178</v>
      </c>
      <c r="K134" s="93"/>
      <c r="L134" s="93" t="s">
        <v>2078</v>
      </c>
      <c r="M134" s="93" t="s">
        <v>1950</v>
      </c>
      <c r="N134" s="217" t="s">
        <v>703</v>
      </c>
      <c r="O134" s="11" t="str">
        <f t="shared" si="16"/>
        <v/>
      </c>
      <c r="P134" s="78" t="s">
        <v>1688</v>
      </c>
      <c r="Q134" s="74"/>
      <c r="R134" s="75"/>
      <c r="S134" s="12"/>
      <c r="T134" s="11"/>
      <c r="U134" s="12">
        <v>1.0</v>
      </c>
      <c r="V134" s="246" t="s">
        <v>1793</v>
      </c>
      <c r="W134" s="332">
        <v>1.0</v>
      </c>
      <c r="X134" s="332">
        <f t="shared" si="4"/>
        <v>1</v>
      </c>
      <c r="Y134" s="332" t="s">
        <v>173</v>
      </c>
      <c r="Z134" s="332"/>
    </row>
    <row r="135" ht="76.5" customHeight="1">
      <c r="A135" s="221">
        <v>134.0</v>
      </c>
      <c r="B135" s="11" t="s">
        <v>173</v>
      </c>
      <c r="C135" s="116" t="s">
        <v>797</v>
      </c>
      <c r="D135" s="115" t="s">
        <v>1799</v>
      </c>
      <c r="E135" s="215" t="s">
        <v>489</v>
      </c>
      <c r="F135" s="216">
        <v>100.0</v>
      </c>
      <c r="G135" s="216">
        <v>100.0</v>
      </c>
      <c r="H135" s="216">
        <v>1.0</v>
      </c>
      <c r="I135" s="11">
        <f t="shared" si="10"/>
        <v>100</v>
      </c>
      <c r="J135" s="11" t="s">
        <v>178</v>
      </c>
      <c r="K135" s="93"/>
      <c r="L135" s="93" t="s">
        <v>2078</v>
      </c>
      <c r="M135" s="93" t="s">
        <v>1950</v>
      </c>
      <c r="N135" s="217" t="s">
        <v>707</v>
      </c>
      <c r="O135" s="11" t="str">
        <f t="shared" si="16"/>
        <v/>
      </c>
      <c r="P135" s="78" t="s">
        <v>1688</v>
      </c>
      <c r="Q135" s="74"/>
      <c r="R135" s="75"/>
      <c r="S135" s="12"/>
      <c r="T135" s="11"/>
      <c r="U135" s="12">
        <v>1.0</v>
      </c>
      <c r="V135" s="246" t="s">
        <v>1800</v>
      </c>
      <c r="W135" s="332">
        <v>1.0</v>
      </c>
      <c r="X135" s="332">
        <f t="shared" si="4"/>
        <v>1</v>
      </c>
      <c r="Y135" s="332" t="s">
        <v>173</v>
      </c>
      <c r="Z135" s="332"/>
    </row>
    <row r="136" ht="76.5" customHeight="1">
      <c r="A136" s="221">
        <v>135.0</v>
      </c>
      <c r="B136" s="11" t="s">
        <v>173</v>
      </c>
      <c r="C136" s="116" t="s">
        <v>709</v>
      </c>
      <c r="D136" s="115" t="s">
        <v>710</v>
      </c>
      <c r="E136" s="215" t="s">
        <v>489</v>
      </c>
      <c r="F136" s="216">
        <v>100.0</v>
      </c>
      <c r="G136" s="216">
        <v>100.0</v>
      </c>
      <c r="H136" s="216">
        <v>1.0</v>
      </c>
      <c r="I136" s="11">
        <f t="shared" si="10"/>
        <v>100</v>
      </c>
      <c r="J136" s="11" t="s">
        <v>178</v>
      </c>
      <c r="K136" s="93"/>
      <c r="L136" s="93" t="s">
        <v>2078</v>
      </c>
      <c r="M136" s="93" t="s">
        <v>1950</v>
      </c>
      <c r="N136" s="217" t="s">
        <v>711</v>
      </c>
      <c r="O136" s="11" t="str">
        <f t="shared" si="16"/>
        <v/>
      </c>
      <c r="P136" s="330" t="s">
        <v>1688</v>
      </c>
      <c r="Q136" s="331"/>
      <c r="R136" s="75"/>
      <c r="S136" s="253"/>
      <c r="T136" s="11"/>
      <c r="U136" s="12">
        <v>1.0</v>
      </c>
      <c r="V136" s="246" t="s">
        <v>1800</v>
      </c>
      <c r="W136" s="332">
        <v>1.0</v>
      </c>
      <c r="X136" s="332">
        <f t="shared" si="4"/>
        <v>1</v>
      </c>
      <c r="Y136" s="332" t="s">
        <v>173</v>
      </c>
      <c r="Z136" s="332"/>
    </row>
    <row r="137" ht="76.5" customHeight="1">
      <c r="A137" s="221">
        <v>136.0</v>
      </c>
      <c r="B137" s="11" t="s">
        <v>173</v>
      </c>
      <c r="C137" s="116" t="s">
        <v>725</v>
      </c>
      <c r="D137" s="115" t="s">
        <v>726</v>
      </c>
      <c r="E137" s="215" t="s">
        <v>489</v>
      </c>
      <c r="F137" s="216">
        <v>100.0</v>
      </c>
      <c r="G137" s="216">
        <v>100.0</v>
      </c>
      <c r="H137" s="216">
        <v>1.0</v>
      </c>
      <c r="I137" s="11">
        <f t="shared" si="10"/>
        <v>100</v>
      </c>
      <c r="J137" s="11" t="s">
        <v>178</v>
      </c>
      <c r="K137" s="93"/>
      <c r="L137" s="93" t="s">
        <v>2078</v>
      </c>
      <c r="M137" s="93" t="s">
        <v>1950</v>
      </c>
      <c r="N137" s="217" t="s">
        <v>715</v>
      </c>
      <c r="O137" s="11" t="str">
        <f t="shared" si="16"/>
        <v/>
      </c>
      <c r="P137" s="330" t="s">
        <v>1688</v>
      </c>
      <c r="Q137" s="331"/>
      <c r="R137" s="75"/>
      <c r="S137" s="253"/>
      <c r="T137" s="11"/>
      <c r="U137" s="12">
        <v>1.0</v>
      </c>
      <c r="V137" s="246" t="s">
        <v>1805</v>
      </c>
      <c r="W137" s="332">
        <v>1.0</v>
      </c>
      <c r="X137" s="332">
        <f t="shared" si="4"/>
        <v>1</v>
      </c>
      <c r="Y137" s="332" t="s">
        <v>173</v>
      </c>
      <c r="Z137" s="332"/>
    </row>
    <row r="138" ht="76.5" customHeight="1">
      <c r="A138" s="221">
        <v>137.0</v>
      </c>
      <c r="B138" s="11" t="s">
        <v>173</v>
      </c>
      <c r="C138" s="116" t="s">
        <v>809</v>
      </c>
      <c r="D138" s="115" t="s">
        <v>1808</v>
      </c>
      <c r="E138" s="215" t="s">
        <v>489</v>
      </c>
      <c r="F138" s="216">
        <v>100.0</v>
      </c>
      <c r="G138" s="216">
        <v>100.0</v>
      </c>
      <c r="H138" s="216">
        <v>1.0</v>
      </c>
      <c r="I138" s="11">
        <f t="shared" si="10"/>
        <v>100</v>
      </c>
      <c r="J138" s="11" t="s">
        <v>178</v>
      </c>
      <c r="K138" s="93"/>
      <c r="L138" s="93" t="s">
        <v>2078</v>
      </c>
      <c r="M138" s="93" t="s">
        <v>1950</v>
      </c>
      <c r="N138" s="217" t="s">
        <v>719</v>
      </c>
      <c r="O138" s="11" t="str">
        <f t="shared" si="16"/>
        <v/>
      </c>
      <c r="P138" s="78" t="s">
        <v>1688</v>
      </c>
      <c r="Q138" s="74"/>
      <c r="R138" s="75"/>
      <c r="S138" s="12"/>
      <c r="T138" s="11"/>
      <c r="U138" s="12">
        <v>1.0</v>
      </c>
      <c r="V138" s="246" t="s">
        <v>1805</v>
      </c>
      <c r="W138" s="332">
        <v>1.0</v>
      </c>
      <c r="X138" s="332">
        <f t="shared" si="4"/>
        <v>1</v>
      </c>
      <c r="Y138" s="332" t="s">
        <v>173</v>
      </c>
      <c r="Z138" s="332"/>
    </row>
    <row r="139" ht="76.5" customHeight="1">
      <c r="A139" s="221">
        <v>138.0</v>
      </c>
      <c r="B139" s="11" t="s">
        <v>173</v>
      </c>
      <c r="C139" s="116" t="s">
        <v>745</v>
      </c>
      <c r="D139" s="115" t="s">
        <v>746</v>
      </c>
      <c r="E139" s="215" t="s">
        <v>489</v>
      </c>
      <c r="F139" s="216">
        <v>100.0</v>
      </c>
      <c r="G139" s="216">
        <v>100.0</v>
      </c>
      <c r="H139" s="216">
        <v>1.0</v>
      </c>
      <c r="I139" s="11">
        <f t="shared" si="10"/>
        <v>100</v>
      </c>
      <c r="J139" s="11" t="s">
        <v>178</v>
      </c>
      <c r="K139" s="93"/>
      <c r="L139" s="93" t="s">
        <v>2078</v>
      </c>
      <c r="M139" s="93" t="s">
        <v>1950</v>
      </c>
      <c r="N139" s="217" t="s">
        <v>723</v>
      </c>
      <c r="O139" s="11" t="str">
        <f t="shared" si="16"/>
        <v/>
      </c>
      <c r="P139" s="330" t="s">
        <v>1688</v>
      </c>
      <c r="Q139" s="331"/>
      <c r="R139" s="75"/>
      <c r="S139" s="253"/>
      <c r="T139" s="11"/>
      <c r="U139" s="12">
        <v>1.0</v>
      </c>
      <c r="V139" s="246" t="s">
        <v>1810</v>
      </c>
      <c r="W139" s="332">
        <v>1.0</v>
      </c>
      <c r="X139" s="332">
        <f t="shared" si="4"/>
        <v>1</v>
      </c>
      <c r="Y139" s="332" t="s">
        <v>173</v>
      </c>
      <c r="Z139" s="332"/>
    </row>
    <row r="140" ht="76.5" customHeight="1">
      <c r="A140" s="221">
        <v>139.0</v>
      </c>
      <c r="B140" s="11" t="s">
        <v>173</v>
      </c>
      <c r="C140" s="116" t="s">
        <v>765</v>
      </c>
      <c r="D140" s="115" t="s">
        <v>766</v>
      </c>
      <c r="E140" s="215" t="s">
        <v>489</v>
      </c>
      <c r="F140" s="216">
        <v>100.0</v>
      </c>
      <c r="G140" s="216">
        <v>100.0</v>
      </c>
      <c r="H140" s="216">
        <v>1.0</v>
      </c>
      <c r="I140" s="11">
        <f t="shared" si="10"/>
        <v>100</v>
      </c>
      <c r="J140" s="11" t="s">
        <v>178</v>
      </c>
      <c r="K140" s="93"/>
      <c r="L140" s="93" t="s">
        <v>2078</v>
      </c>
      <c r="M140" s="93" t="s">
        <v>1950</v>
      </c>
      <c r="N140" s="217" t="s">
        <v>727</v>
      </c>
      <c r="O140" s="11" t="str">
        <f t="shared" si="16"/>
        <v/>
      </c>
      <c r="P140" s="330" t="s">
        <v>1688</v>
      </c>
      <c r="Q140" s="331"/>
      <c r="R140" s="75"/>
      <c r="S140" s="253"/>
      <c r="T140" s="11"/>
      <c r="U140" s="12">
        <v>1.0</v>
      </c>
      <c r="V140" s="246" t="s">
        <v>1810</v>
      </c>
      <c r="W140" s="332">
        <v>1.0</v>
      </c>
      <c r="X140" s="332">
        <f t="shared" si="4"/>
        <v>1</v>
      </c>
      <c r="Y140" s="332" t="s">
        <v>173</v>
      </c>
      <c r="Z140" s="332"/>
    </row>
    <row r="141" ht="76.5" customHeight="1">
      <c r="A141" s="221">
        <v>140.0</v>
      </c>
      <c r="B141" s="11" t="s">
        <v>173</v>
      </c>
      <c r="C141" s="116" t="s">
        <v>677</v>
      </c>
      <c r="D141" s="115" t="s">
        <v>678</v>
      </c>
      <c r="E141" s="215" t="s">
        <v>489</v>
      </c>
      <c r="F141" s="216">
        <v>100.0</v>
      </c>
      <c r="G141" s="216">
        <v>100.0</v>
      </c>
      <c r="H141" s="216">
        <v>1.0</v>
      </c>
      <c r="I141" s="11">
        <f t="shared" si="10"/>
        <v>100</v>
      </c>
      <c r="J141" s="11" t="s">
        <v>178</v>
      </c>
      <c r="K141" s="93"/>
      <c r="L141" s="93" t="s">
        <v>2078</v>
      </c>
      <c r="M141" s="93" t="s">
        <v>1950</v>
      </c>
      <c r="N141" s="217" t="s">
        <v>731</v>
      </c>
      <c r="O141" s="11" t="str">
        <f t="shared" si="16"/>
        <v/>
      </c>
      <c r="P141" s="330" t="s">
        <v>1688</v>
      </c>
      <c r="Q141" s="331"/>
      <c r="R141" s="75"/>
      <c r="S141" s="253"/>
      <c r="T141" s="11"/>
      <c r="U141" s="12">
        <v>1.0</v>
      </c>
      <c r="V141" s="246" t="s">
        <v>1816</v>
      </c>
      <c r="W141" s="332">
        <v>1.0</v>
      </c>
      <c r="X141" s="332">
        <f t="shared" si="4"/>
        <v>1</v>
      </c>
      <c r="Y141" s="332" t="s">
        <v>173</v>
      </c>
      <c r="Z141" s="332"/>
    </row>
    <row r="142" ht="76.5" customHeight="1">
      <c r="A142" s="221">
        <v>141.0</v>
      </c>
      <c r="B142" s="11" t="s">
        <v>173</v>
      </c>
      <c r="C142" s="116" t="s">
        <v>685</v>
      </c>
      <c r="D142" s="115" t="s">
        <v>686</v>
      </c>
      <c r="E142" s="215" t="s">
        <v>489</v>
      </c>
      <c r="F142" s="216">
        <v>100.0</v>
      </c>
      <c r="G142" s="216">
        <v>100.0</v>
      </c>
      <c r="H142" s="216">
        <v>1.0</v>
      </c>
      <c r="I142" s="11">
        <f t="shared" si="10"/>
        <v>100</v>
      </c>
      <c r="J142" s="11" t="s">
        <v>178</v>
      </c>
      <c r="K142" s="93"/>
      <c r="L142" s="93" t="s">
        <v>2078</v>
      </c>
      <c r="M142" s="93" t="s">
        <v>1950</v>
      </c>
      <c r="N142" s="217" t="s">
        <v>735</v>
      </c>
      <c r="O142" s="11" t="str">
        <f t="shared" si="16"/>
        <v/>
      </c>
      <c r="P142" s="78" t="s">
        <v>1688</v>
      </c>
      <c r="Q142" s="74"/>
      <c r="R142" s="75"/>
      <c r="S142" s="5"/>
      <c r="T142" s="14"/>
      <c r="U142" s="12">
        <v>1.0</v>
      </c>
      <c r="V142" s="246" t="s">
        <v>1816</v>
      </c>
      <c r="W142" s="332">
        <v>1.0</v>
      </c>
      <c r="X142" s="332">
        <f t="shared" si="4"/>
        <v>1</v>
      </c>
      <c r="Y142" s="332" t="s">
        <v>173</v>
      </c>
      <c r="Z142" s="332"/>
    </row>
    <row r="143" ht="76.5" customHeight="1">
      <c r="A143" s="221">
        <v>142.0</v>
      </c>
      <c r="B143" s="11" t="s">
        <v>173</v>
      </c>
      <c r="C143" s="116" t="s">
        <v>741</v>
      </c>
      <c r="D143" s="115" t="s">
        <v>742</v>
      </c>
      <c r="E143" s="215" t="s">
        <v>489</v>
      </c>
      <c r="F143" s="216">
        <v>100.0</v>
      </c>
      <c r="G143" s="216">
        <v>100.0</v>
      </c>
      <c r="H143" s="216">
        <v>1.0</v>
      </c>
      <c r="I143" s="11">
        <f t="shared" si="10"/>
        <v>100</v>
      </c>
      <c r="J143" s="11" t="s">
        <v>178</v>
      </c>
      <c r="K143" s="93"/>
      <c r="L143" s="93" t="s">
        <v>2078</v>
      </c>
      <c r="M143" s="93" t="s">
        <v>1950</v>
      </c>
      <c r="N143" s="217" t="s">
        <v>739</v>
      </c>
      <c r="O143" s="11" t="str">
        <f t="shared" si="16"/>
        <v/>
      </c>
      <c r="P143" s="78" t="s">
        <v>1688</v>
      </c>
      <c r="Q143" s="74"/>
      <c r="R143" s="75"/>
      <c r="S143" s="12"/>
      <c r="T143" s="11"/>
      <c r="U143" s="12">
        <v>1.0</v>
      </c>
      <c r="V143" s="246" t="s">
        <v>1821</v>
      </c>
      <c r="W143" s="332">
        <v>1.0</v>
      </c>
      <c r="X143" s="332">
        <f t="shared" si="4"/>
        <v>1</v>
      </c>
      <c r="Y143" s="332" t="s">
        <v>173</v>
      </c>
      <c r="Z143" s="332"/>
    </row>
    <row r="144" ht="76.5" customHeight="1">
      <c r="A144" s="221">
        <v>143.0</v>
      </c>
      <c r="B144" s="11" t="s">
        <v>173</v>
      </c>
      <c r="C144" s="116" t="s">
        <v>665</v>
      </c>
      <c r="D144" s="115" t="s">
        <v>666</v>
      </c>
      <c r="E144" s="215" t="s">
        <v>489</v>
      </c>
      <c r="F144" s="216">
        <v>100.0</v>
      </c>
      <c r="G144" s="216">
        <v>100.0</v>
      </c>
      <c r="H144" s="216">
        <v>1.0</v>
      </c>
      <c r="I144" s="11">
        <f t="shared" si="10"/>
        <v>100</v>
      </c>
      <c r="J144" s="11" t="s">
        <v>178</v>
      </c>
      <c r="K144" s="93"/>
      <c r="L144" s="93" t="s">
        <v>2078</v>
      </c>
      <c r="M144" s="93" t="s">
        <v>1950</v>
      </c>
      <c r="N144" s="217" t="s">
        <v>743</v>
      </c>
      <c r="O144" s="11" t="str">
        <f t="shared" si="16"/>
        <v/>
      </c>
      <c r="P144" s="78" t="s">
        <v>1688</v>
      </c>
      <c r="Q144" s="74"/>
      <c r="R144" s="75"/>
      <c r="S144" s="12"/>
      <c r="T144" s="11"/>
      <c r="U144" s="12">
        <v>1.0</v>
      </c>
      <c r="V144" s="246" t="s">
        <v>1821</v>
      </c>
      <c r="W144" s="332">
        <v>1.0</v>
      </c>
      <c r="X144" s="332">
        <f t="shared" si="4"/>
        <v>1</v>
      </c>
      <c r="Y144" s="332" t="s">
        <v>173</v>
      </c>
      <c r="Z144" s="332"/>
    </row>
    <row r="145" ht="76.5" customHeight="1">
      <c r="A145" s="221">
        <v>144.0</v>
      </c>
      <c r="B145" s="11" t="s">
        <v>173</v>
      </c>
      <c r="C145" s="116" t="s">
        <v>793</v>
      </c>
      <c r="D145" s="115" t="s">
        <v>794</v>
      </c>
      <c r="E145" s="215" t="s">
        <v>489</v>
      </c>
      <c r="F145" s="216">
        <v>100.0</v>
      </c>
      <c r="G145" s="216">
        <v>100.0</v>
      </c>
      <c r="H145" s="216">
        <v>1.0</v>
      </c>
      <c r="I145" s="11">
        <f t="shared" si="10"/>
        <v>100</v>
      </c>
      <c r="J145" s="11" t="s">
        <v>178</v>
      </c>
      <c r="K145" s="93"/>
      <c r="L145" s="93" t="s">
        <v>2078</v>
      </c>
      <c r="M145" s="93" t="s">
        <v>1950</v>
      </c>
      <c r="N145" s="217" t="s">
        <v>747</v>
      </c>
      <c r="O145" s="11" t="str">
        <f t="shared" si="16"/>
        <v/>
      </c>
      <c r="P145" s="78" t="s">
        <v>1688</v>
      </c>
      <c r="Q145" s="74"/>
      <c r="R145" s="75"/>
      <c r="S145" s="12"/>
      <c r="T145" s="11"/>
      <c r="U145" s="12">
        <v>1.0</v>
      </c>
      <c r="V145" s="246" t="s">
        <v>1825</v>
      </c>
      <c r="W145" s="332">
        <v>1.0</v>
      </c>
      <c r="X145" s="332">
        <f t="shared" si="4"/>
        <v>1</v>
      </c>
      <c r="Y145" s="332" t="s">
        <v>173</v>
      </c>
      <c r="Z145" s="332"/>
    </row>
    <row r="146" ht="76.5" customHeight="1">
      <c r="A146" s="221">
        <v>145.0</v>
      </c>
      <c r="B146" s="11" t="s">
        <v>173</v>
      </c>
      <c r="C146" s="116" t="s">
        <v>701</v>
      </c>
      <c r="D146" s="115" t="s">
        <v>702</v>
      </c>
      <c r="E146" s="215" t="s">
        <v>489</v>
      </c>
      <c r="F146" s="216">
        <v>100.0</v>
      </c>
      <c r="G146" s="216">
        <v>100.0</v>
      </c>
      <c r="H146" s="216">
        <v>1.0</v>
      </c>
      <c r="I146" s="11">
        <f t="shared" si="10"/>
        <v>100</v>
      </c>
      <c r="J146" s="11" t="s">
        <v>178</v>
      </c>
      <c r="K146" s="93"/>
      <c r="L146" s="93" t="s">
        <v>2078</v>
      </c>
      <c r="M146" s="93" t="s">
        <v>1950</v>
      </c>
      <c r="N146" s="217" t="s">
        <v>751</v>
      </c>
      <c r="O146" s="11" t="str">
        <f t="shared" si="16"/>
        <v/>
      </c>
      <c r="P146" s="78" t="s">
        <v>1688</v>
      </c>
      <c r="Q146" s="74"/>
      <c r="R146" s="75"/>
      <c r="S146" s="12"/>
      <c r="T146" s="11"/>
      <c r="U146" s="12">
        <v>1.0</v>
      </c>
      <c r="V146" s="246" t="s">
        <v>1825</v>
      </c>
      <c r="W146" s="332">
        <v>1.0</v>
      </c>
      <c r="X146" s="332">
        <f t="shared" si="4"/>
        <v>1</v>
      </c>
      <c r="Y146" s="332" t="s">
        <v>173</v>
      </c>
      <c r="Z146" s="332"/>
    </row>
    <row r="147" ht="76.5" customHeight="1">
      <c r="A147" s="221">
        <v>146.0</v>
      </c>
      <c r="B147" s="11" t="s">
        <v>173</v>
      </c>
      <c r="C147" s="116" t="s">
        <v>805</v>
      </c>
      <c r="D147" s="115" t="s">
        <v>806</v>
      </c>
      <c r="E147" s="215" t="s">
        <v>489</v>
      </c>
      <c r="F147" s="216">
        <v>100.0</v>
      </c>
      <c r="G147" s="216">
        <v>100.0</v>
      </c>
      <c r="H147" s="216">
        <v>1.0</v>
      </c>
      <c r="I147" s="11">
        <f t="shared" si="10"/>
        <v>100</v>
      </c>
      <c r="J147" s="11" t="s">
        <v>178</v>
      </c>
      <c r="K147" s="93"/>
      <c r="L147" s="93" t="s">
        <v>2078</v>
      </c>
      <c r="M147" s="93" t="s">
        <v>1950</v>
      </c>
      <c r="N147" s="217" t="s">
        <v>755</v>
      </c>
      <c r="O147" s="11" t="str">
        <f t="shared" si="16"/>
        <v/>
      </c>
      <c r="P147" s="78" t="s">
        <v>1688</v>
      </c>
      <c r="Q147" s="74"/>
      <c r="R147" s="75"/>
      <c r="S147" s="12"/>
      <c r="T147" s="11"/>
      <c r="U147" s="12">
        <v>1.0</v>
      </c>
      <c r="V147" s="246" t="s">
        <v>1827</v>
      </c>
      <c r="W147" s="332">
        <v>1.0</v>
      </c>
      <c r="X147" s="332">
        <f t="shared" si="4"/>
        <v>1</v>
      </c>
      <c r="Y147" s="332" t="s">
        <v>173</v>
      </c>
      <c r="Z147" s="332"/>
    </row>
    <row r="148" ht="76.5" customHeight="1">
      <c r="A148" s="221">
        <v>147.0</v>
      </c>
      <c r="B148" s="11" t="s">
        <v>173</v>
      </c>
      <c r="C148" s="239" t="s">
        <v>721</v>
      </c>
      <c r="D148" s="240" t="s">
        <v>722</v>
      </c>
      <c r="E148" s="215" t="s">
        <v>489</v>
      </c>
      <c r="F148" s="216">
        <v>100.0</v>
      </c>
      <c r="G148" s="216">
        <v>100.0</v>
      </c>
      <c r="H148" s="216">
        <v>1.0</v>
      </c>
      <c r="I148" s="11">
        <f t="shared" si="10"/>
        <v>100</v>
      </c>
      <c r="J148" s="11" t="s">
        <v>178</v>
      </c>
      <c r="K148" s="93"/>
      <c r="L148" s="93" t="s">
        <v>2078</v>
      </c>
      <c r="M148" s="93" t="s">
        <v>1950</v>
      </c>
      <c r="N148" s="217" t="s">
        <v>759</v>
      </c>
      <c r="O148" s="11" t="str">
        <f t="shared" si="16"/>
        <v/>
      </c>
      <c r="P148" s="78" t="s">
        <v>1688</v>
      </c>
      <c r="Q148" s="74"/>
      <c r="R148" s="75"/>
      <c r="S148" s="12"/>
      <c r="T148" s="11"/>
      <c r="U148" s="12">
        <v>1.0</v>
      </c>
      <c r="V148" s="246" t="s">
        <v>1827</v>
      </c>
      <c r="W148" s="332">
        <v>1.0</v>
      </c>
      <c r="X148" s="332">
        <f t="shared" si="4"/>
        <v>1</v>
      </c>
      <c r="Y148" s="332" t="s">
        <v>173</v>
      </c>
      <c r="Z148" s="332"/>
    </row>
    <row r="149" ht="76.5" customHeight="1">
      <c r="A149" s="221">
        <v>148.0</v>
      </c>
      <c r="B149" s="11" t="s">
        <v>173</v>
      </c>
      <c r="C149" s="239" t="s">
        <v>737</v>
      </c>
      <c r="D149" s="240" t="s">
        <v>738</v>
      </c>
      <c r="E149" s="215" t="s">
        <v>489</v>
      </c>
      <c r="F149" s="216">
        <v>100.0</v>
      </c>
      <c r="G149" s="216">
        <v>100.0</v>
      </c>
      <c r="H149" s="216">
        <v>1.0</v>
      </c>
      <c r="I149" s="11">
        <f t="shared" si="10"/>
        <v>100</v>
      </c>
      <c r="J149" s="11" t="s">
        <v>178</v>
      </c>
      <c r="K149" s="93"/>
      <c r="L149" s="93" t="s">
        <v>2078</v>
      </c>
      <c r="M149" s="93" t="s">
        <v>1950</v>
      </c>
      <c r="N149" s="217" t="s">
        <v>763</v>
      </c>
      <c r="O149" s="11" t="str">
        <f t="shared" si="16"/>
        <v/>
      </c>
      <c r="P149" s="78" t="s">
        <v>1688</v>
      </c>
      <c r="Q149" s="74"/>
      <c r="R149" s="75"/>
      <c r="S149" s="12"/>
      <c r="T149" s="11"/>
      <c r="U149" s="12">
        <v>1.0</v>
      </c>
      <c r="V149" s="246" t="s">
        <v>1829</v>
      </c>
      <c r="W149" s="332">
        <v>1.0</v>
      </c>
      <c r="X149" s="332">
        <f t="shared" si="4"/>
        <v>1</v>
      </c>
      <c r="Y149" s="332" t="s">
        <v>173</v>
      </c>
      <c r="Z149" s="332"/>
    </row>
    <row r="150" ht="76.5" customHeight="1">
      <c r="A150" s="221">
        <v>149.0</v>
      </c>
      <c r="B150" s="11" t="s">
        <v>173</v>
      </c>
      <c r="C150" s="239" t="s">
        <v>821</v>
      </c>
      <c r="D150" s="240" t="s">
        <v>822</v>
      </c>
      <c r="E150" s="215" t="s">
        <v>489</v>
      </c>
      <c r="F150" s="216">
        <v>100.0</v>
      </c>
      <c r="G150" s="216">
        <v>100.0</v>
      </c>
      <c r="H150" s="216">
        <v>1.0</v>
      </c>
      <c r="I150" s="11">
        <f t="shared" si="10"/>
        <v>100</v>
      </c>
      <c r="J150" s="11" t="s">
        <v>178</v>
      </c>
      <c r="K150" s="93"/>
      <c r="L150" s="93" t="s">
        <v>2078</v>
      </c>
      <c r="M150" s="93" t="s">
        <v>1950</v>
      </c>
      <c r="N150" s="217" t="s">
        <v>767</v>
      </c>
      <c r="O150" s="11" t="str">
        <f t="shared" si="16"/>
        <v/>
      </c>
      <c r="P150" s="78" t="s">
        <v>1688</v>
      </c>
      <c r="Q150" s="74"/>
      <c r="R150" s="75"/>
      <c r="S150" s="12"/>
      <c r="T150" s="11"/>
      <c r="U150" s="12">
        <v>1.0</v>
      </c>
      <c r="V150" s="246" t="s">
        <v>1829</v>
      </c>
      <c r="W150" s="332">
        <v>1.0</v>
      </c>
      <c r="X150" s="332">
        <f t="shared" si="4"/>
        <v>1</v>
      </c>
      <c r="Y150" s="332" t="s">
        <v>173</v>
      </c>
      <c r="Z150" s="332"/>
    </row>
    <row r="151" ht="76.5" customHeight="1">
      <c r="A151" s="221">
        <v>150.0</v>
      </c>
      <c r="B151" s="11" t="s">
        <v>173</v>
      </c>
      <c r="C151" s="239" t="s">
        <v>757</v>
      </c>
      <c r="D151" s="240" t="s">
        <v>758</v>
      </c>
      <c r="E151" s="215" t="s">
        <v>489</v>
      </c>
      <c r="F151" s="216">
        <v>100.0</v>
      </c>
      <c r="G151" s="216">
        <v>100.0</v>
      </c>
      <c r="H151" s="216">
        <v>1.0</v>
      </c>
      <c r="I151" s="11">
        <f t="shared" si="10"/>
        <v>100</v>
      </c>
      <c r="J151" s="11" t="s">
        <v>178</v>
      </c>
      <c r="K151" s="93"/>
      <c r="L151" s="93" t="s">
        <v>2078</v>
      </c>
      <c r="M151" s="93" t="s">
        <v>1950</v>
      </c>
      <c r="N151" s="217" t="s">
        <v>771</v>
      </c>
      <c r="O151" s="11" t="str">
        <f t="shared" si="16"/>
        <v/>
      </c>
      <c r="P151" s="330" t="s">
        <v>1688</v>
      </c>
      <c r="Q151" s="331"/>
      <c r="R151" s="75"/>
      <c r="S151" s="253"/>
      <c r="T151" s="11"/>
      <c r="U151" s="12">
        <v>1.0</v>
      </c>
      <c r="V151" s="246" t="s">
        <v>1832</v>
      </c>
      <c r="W151" s="332">
        <v>1.0</v>
      </c>
      <c r="X151" s="332">
        <f t="shared" si="4"/>
        <v>1</v>
      </c>
      <c r="Y151" s="332" t="s">
        <v>173</v>
      </c>
      <c r="Z151" s="332"/>
    </row>
    <row r="152" ht="76.5" customHeight="1">
      <c r="A152" s="221">
        <v>151.0</v>
      </c>
      <c r="B152" s="11" t="s">
        <v>173</v>
      </c>
      <c r="C152" s="239" t="s">
        <v>777</v>
      </c>
      <c r="D152" s="240" t="s">
        <v>778</v>
      </c>
      <c r="E152" s="215" t="s">
        <v>489</v>
      </c>
      <c r="F152" s="216">
        <v>100.0</v>
      </c>
      <c r="G152" s="216">
        <v>100.0</v>
      </c>
      <c r="H152" s="216">
        <v>1.0</v>
      </c>
      <c r="I152" s="11">
        <f t="shared" si="10"/>
        <v>100</v>
      </c>
      <c r="J152" s="11" t="s">
        <v>178</v>
      </c>
      <c r="K152" s="93"/>
      <c r="L152" s="93" t="s">
        <v>2078</v>
      </c>
      <c r="M152" s="93" t="s">
        <v>1950</v>
      </c>
      <c r="N152" s="217" t="s">
        <v>775</v>
      </c>
      <c r="O152" s="11" t="str">
        <f t="shared" si="16"/>
        <v/>
      </c>
      <c r="P152" s="330" t="s">
        <v>1688</v>
      </c>
      <c r="Q152" s="331"/>
      <c r="R152" s="75"/>
      <c r="S152" s="253"/>
      <c r="T152" s="11"/>
      <c r="U152" s="12">
        <v>1.0</v>
      </c>
      <c r="V152" s="246" t="s">
        <v>1832</v>
      </c>
      <c r="W152" s="332">
        <v>1.0</v>
      </c>
      <c r="X152" s="332">
        <f t="shared" si="4"/>
        <v>1</v>
      </c>
      <c r="Y152" s="332" t="s">
        <v>173</v>
      </c>
      <c r="Z152" s="332"/>
    </row>
    <row r="153" ht="76.5" customHeight="1">
      <c r="A153" s="221">
        <v>152.0</v>
      </c>
      <c r="B153" s="11" t="s">
        <v>173</v>
      </c>
      <c r="C153" s="239" t="s">
        <v>669</v>
      </c>
      <c r="D153" s="240" t="s">
        <v>670</v>
      </c>
      <c r="E153" s="215" t="s">
        <v>489</v>
      </c>
      <c r="F153" s="216">
        <v>100.0</v>
      </c>
      <c r="G153" s="216">
        <v>100.0</v>
      </c>
      <c r="H153" s="216">
        <v>1.0</v>
      </c>
      <c r="I153" s="11">
        <f t="shared" si="10"/>
        <v>100</v>
      </c>
      <c r="J153" s="11" t="s">
        <v>178</v>
      </c>
      <c r="K153" s="93"/>
      <c r="L153" s="93" t="s">
        <v>2078</v>
      </c>
      <c r="M153" s="93" t="s">
        <v>1950</v>
      </c>
      <c r="N153" s="217" t="s">
        <v>779</v>
      </c>
      <c r="O153" s="11" t="str">
        <f t="shared" si="16"/>
        <v/>
      </c>
      <c r="P153" s="330" t="s">
        <v>1688</v>
      </c>
      <c r="Q153" s="331"/>
      <c r="R153" s="75"/>
      <c r="S153" s="253"/>
      <c r="T153" s="11"/>
      <c r="U153" s="12">
        <v>1.0</v>
      </c>
      <c r="V153" s="246" t="s">
        <v>1835</v>
      </c>
      <c r="W153" s="332">
        <v>1.0</v>
      </c>
      <c r="X153" s="332">
        <f t="shared" si="4"/>
        <v>1</v>
      </c>
      <c r="Y153" s="332" t="s">
        <v>173</v>
      </c>
      <c r="Z153" s="332"/>
    </row>
    <row r="154" ht="76.5" customHeight="1">
      <c r="A154" s="221">
        <v>153.0</v>
      </c>
      <c r="B154" s="11" t="s">
        <v>173</v>
      </c>
      <c r="C154" s="239" t="s">
        <v>785</v>
      </c>
      <c r="D154" s="240" t="s">
        <v>786</v>
      </c>
      <c r="E154" s="215" t="s">
        <v>489</v>
      </c>
      <c r="F154" s="216">
        <v>100.0</v>
      </c>
      <c r="G154" s="216">
        <v>100.0</v>
      </c>
      <c r="H154" s="216">
        <v>1.0</v>
      </c>
      <c r="I154" s="11">
        <f t="shared" si="10"/>
        <v>100</v>
      </c>
      <c r="J154" s="11" t="s">
        <v>178</v>
      </c>
      <c r="K154" s="93"/>
      <c r="L154" s="93" t="s">
        <v>2078</v>
      </c>
      <c r="M154" s="93" t="s">
        <v>1950</v>
      </c>
      <c r="N154" s="217" t="s">
        <v>783</v>
      </c>
      <c r="O154" s="11" t="str">
        <f t="shared" si="16"/>
        <v/>
      </c>
      <c r="P154" s="78" t="s">
        <v>1688</v>
      </c>
      <c r="Q154" s="74"/>
      <c r="R154" s="75"/>
      <c r="S154" s="12"/>
      <c r="T154" s="11"/>
      <c r="U154" s="12">
        <v>1.0</v>
      </c>
      <c r="V154" s="246" t="s">
        <v>1835</v>
      </c>
      <c r="W154" s="332">
        <v>1.0</v>
      </c>
      <c r="X154" s="332">
        <f t="shared" si="4"/>
        <v>1</v>
      </c>
      <c r="Y154" s="332" t="s">
        <v>173</v>
      </c>
      <c r="Z154" s="332"/>
    </row>
    <row r="155" ht="76.5" customHeight="1">
      <c r="A155" s="221">
        <v>154.0</v>
      </c>
      <c r="B155" s="11" t="s">
        <v>173</v>
      </c>
      <c r="C155" s="239" t="s">
        <v>673</v>
      </c>
      <c r="D155" s="240" t="s">
        <v>674</v>
      </c>
      <c r="E155" s="215" t="s">
        <v>489</v>
      </c>
      <c r="F155" s="216">
        <v>100.0</v>
      </c>
      <c r="G155" s="216">
        <v>100.0</v>
      </c>
      <c r="H155" s="216">
        <v>1.0</v>
      </c>
      <c r="I155" s="11">
        <f t="shared" si="10"/>
        <v>100</v>
      </c>
      <c r="J155" s="11" t="s">
        <v>178</v>
      </c>
      <c r="K155" s="93"/>
      <c r="L155" s="93" t="s">
        <v>2078</v>
      </c>
      <c r="M155" s="93" t="s">
        <v>1950</v>
      </c>
      <c r="N155" s="217" t="s">
        <v>787</v>
      </c>
      <c r="O155" s="11" t="str">
        <f t="shared" si="16"/>
        <v/>
      </c>
      <c r="P155" s="78" t="s">
        <v>1688</v>
      </c>
      <c r="Q155" s="74"/>
      <c r="R155" s="75"/>
      <c r="S155" s="12"/>
      <c r="T155" s="11"/>
      <c r="U155" s="12">
        <v>1.0</v>
      </c>
      <c r="V155" s="246" t="s">
        <v>1836</v>
      </c>
      <c r="W155" s="332">
        <v>1.0</v>
      </c>
      <c r="X155" s="332">
        <f t="shared" si="4"/>
        <v>1</v>
      </c>
      <c r="Y155" s="332" t="s">
        <v>173</v>
      </c>
      <c r="Z155" s="332"/>
    </row>
    <row r="156" ht="76.5" customHeight="1">
      <c r="A156" s="221">
        <v>155.0</v>
      </c>
      <c r="B156" s="11" t="s">
        <v>173</v>
      </c>
      <c r="C156" s="239" t="s">
        <v>693</v>
      </c>
      <c r="D156" s="240" t="s">
        <v>694</v>
      </c>
      <c r="E156" s="215" t="s">
        <v>489</v>
      </c>
      <c r="F156" s="216">
        <v>100.0</v>
      </c>
      <c r="G156" s="216">
        <v>100.0</v>
      </c>
      <c r="H156" s="216">
        <v>1.0</v>
      </c>
      <c r="I156" s="11">
        <f t="shared" si="10"/>
        <v>100</v>
      </c>
      <c r="J156" s="11" t="s">
        <v>178</v>
      </c>
      <c r="K156" s="93"/>
      <c r="L156" s="93" t="s">
        <v>2078</v>
      </c>
      <c r="M156" s="93" t="s">
        <v>1950</v>
      </c>
      <c r="N156" s="217" t="s">
        <v>791</v>
      </c>
      <c r="O156" s="11" t="str">
        <f t="shared" si="16"/>
        <v/>
      </c>
      <c r="P156" s="78" t="s">
        <v>1688</v>
      </c>
      <c r="Q156" s="74"/>
      <c r="R156" s="75"/>
      <c r="S156" s="12"/>
      <c r="T156" s="11"/>
      <c r="U156" s="12">
        <v>1.0</v>
      </c>
      <c r="V156" s="246" t="s">
        <v>1836</v>
      </c>
      <c r="W156" s="332">
        <v>1.0</v>
      </c>
      <c r="X156" s="332">
        <f t="shared" si="4"/>
        <v>1</v>
      </c>
      <c r="Y156" s="332" t="s">
        <v>173</v>
      </c>
      <c r="Z156" s="332"/>
    </row>
    <row r="157" ht="76.5" customHeight="1">
      <c r="A157" s="221">
        <v>156.0</v>
      </c>
      <c r="B157" s="11" t="s">
        <v>173</v>
      </c>
      <c r="C157" s="239" t="s">
        <v>801</v>
      </c>
      <c r="D157" s="240" t="s">
        <v>802</v>
      </c>
      <c r="E157" s="215" t="s">
        <v>489</v>
      </c>
      <c r="F157" s="216">
        <v>100.0</v>
      </c>
      <c r="G157" s="216">
        <v>100.0</v>
      </c>
      <c r="H157" s="216">
        <v>1.0</v>
      </c>
      <c r="I157" s="11">
        <f t="shared" si="10"/>
        <v>100</v>
      </c>
      <c r="J157" s="11" t="s">
        <v>178</v>
      </c>
      <c r="K157" s="93"/>
      <c r="L157" s="93" t="s">
        <v>2078</v>
      </c>
      <c r="M157" s="93" t="s">
        <v>1950</v>
      </c>
      <c r="N157" s="217" t="s">
        <v>795</v>
      </c>
      <c r="O157" s="11" t="str">
        <f t="shared" si="16"/>
        <v/>
      </c>
      <c r="P157" s="78" t="s">
        <v>1688</v>
      </c>
      <c r="Q157" s="74"/>
      <c r="R157" s="75"/>
      <c r="S157" s="12"/>
      <c r="T157" s="11"/>
      <c r="U157" s="12">
        <v>1.0</v>
      </c>
      <c r="V157" s="246" t="s">
        <v>1837</v>
      </c>
      <c r="W157" s="332">
        <v>1.0</v>
      </c>
      <c r="X157" s="332">
        <f t="shared" si="4"/>
        <v>1</v>
      </c>
      <c r="Y157" s="332" t="s">
        <v>173</v>
      </c>
      <c r="Z157" s="332"/>
    </row>
    <row r="158" ht="76.5" customHeight="1">
      <c r="A158" s="221">
        <v>157.0</v>
      </c>
      <c r="B158" s="11" t="s">
        <v>173</v>
      </c>
      <c r="C158" s="239" t="s">
        <v>713</v>
      </c>
      <c r="D158" s="240" t="s">
        <v>714</v>
      </c>
      <c r="E158" s="215" t="s">
        <v>489</v>
      </c>
      <c r="F158" s="216">
        <v>100.0</v>
      </c>
      <c r="G158" s="216">
        <v>100.0</v>
      </c>
      <c r="H158" s="216">
        <v>1.0</v>
      </c>
      <c r="I158" s="11">
        <f t="shared" si="10"/>
        <v>100</v>
      </c>
      <c r="J158" s="11" t="s">
        <v>178</v>
      </c>
      <c r="K158" s="93"/>
      <c r="L158" s="93" t="s">
        <v>2078</v>
      </c>
      <c r="M158" s="93" t="s">
        <v>1950</v>
      </c>
      <c r="N158" s="217" t="s">
        <v>799</v>
      </c>
      <c r="O158" s="11" t="str">
        <f t="shared" si="16"/>
        <v/>
      </c>
      <c r="P158" s="78" t="s">
        <v>1688</v>
      </c>
      <c r="Q158" s="74"/>
      <c r="R158" s="75"/>
      <c r="S158" s="12"/>
      <c r="T158" s="11"/>
      <c r="U158" s="12">
        <v>1.0</v>
      </c>
      <c r="V158" s="246" t="s">
        <v>1837</v>
      </c>
      <c r="W158" s="332">
        <v>1.0</v>
      </c>
      <c r="X158" s="332">
        <f t="shared" si="4"/>
        <v>1</v>
      </c>
      <c r="Y158" s="332" t="s">
        <v>173</v>
      </c>
      <c r="Z158" s="332"/>
    </row>
    <row r="159" ht="76.5" customHeight="1">
      <c r="A159" s="221">
        <v>158.0</v>
      </c>
      <c r="B159" s="11" t="s">
        <v>173</v>
      </c>
      <c r="C159" s="239" t="s">
        <v>729</v>
      </c>
      <c r="D159" s="240" t="s">
        <v>730</v>
      </c>
      <c r="E159" s="215" t="s">
        <v>489</v>
      </c>
      <c r="F159" s="216">
        <v>100.0</v>
      </c>
      <c r="G159" s="216">
        <v>100.0</v>
      </c>
      <c r="H159" s="216">
        <v>1.0</v>
      </c>
      <c r="I159" s="11">
        <f t="shared" si="10"/>
        <v>100</v>
      </c>
      <c r="J159" s="11" t="s">
        <v>178</v>
      </c>
      <c r="K159" s="93"/>
      <c r="L159" s="93" t="s">
        <v>2078</v>
      </c>
      <c r="M159" s="93" t="s">
        <v>1950</v>
      </c>
      <c r="N159" s="217" t="s">
        <v>803</v>
      </c>
      <c r="O159" s="11" t="str">
        <f t="shared" si="16"/>
        <v/>
      </c>
      <c r="P159" s="78" t="s">
        <v>1688</v>
      </c>
      <c r="Q159" s="74"/>
      <c r="R159" s="75"/>
      <c r="S159" s="12"/>
      <c r="T159" s="11"/>
      <c r="U159" s="12">
        <v>1.0</v>
      </c>
      <c r="V159" s="246" t="s">
        <v>1838</v>
      </c>
      <c r="W159" s="332">
        <v>1.0</v>
      </c>
      <c r="X159" s="332">
        <f t="shared" si="4"/>
        <v>1</v>
      </c>
      <c r="Y159" s="332" t="s">
        <v>173</v>
      </c>
      <c r="Z159" s="332"/>
    </row>
    <row r="160" ht="76.5" customHeight="1">
      <c r="A160" s="221">
        <v>159.0</v>
      </c>
      <c r="B160" s="11" t="s">
        <v>173</v>
      </c>
      <c r="C160" s="239" t="s">
        <v>813</v>
      </c>
      <c r="D160" s="240" t="s">
        <v>814</v>
      </c>
      <c r="E160" s="215" t="s">
        <v>489</v>
      </c>
      <c r="F160" s="216">
        <v>100.0</v>
      </c>
      <c r="G160" s="216">
        <v>100.0</v>
      </c>
      <c r="H160" s="216">
        <v>1.0</v>
      </c>
      <c r="I160" s="11">
        <f t="shared" si="10"/>
        <v>100</v>
      </c>
      <c r="J160" s="11" t="s">
        <v>178</v>
      </c>
      <c r="K160" s="93"/>
      <c r="L160" s="93" t="s">
        <v>2078</v>
      </c>
      <c r="M160" s="93" t="s">
        <v>1950</v>
      </c>
      <c r="N160" s="217" t="s">
        <v>807</v>
      </c>
      <c r="O160" s="11" t="str">
        <f t="shared" si="16"/>
        <v/>
      </c>
      <c r="P160" s="78" t="s">
        <v>1688</v>
      </c>
      <c r="Q160" s="74"/>
      <c r="R160" s="75"/>
      <c r="S160" s="12"/>
      <c r="T160" s="11"/>
      <c r="U160" s="12">
        <v>1.0</v>
      </c>
      <c r="V160" s="246" t="s">
        <v>1838</v>
      </c>
      <c r="W160" s="332">
        <v>1.0</v>
      </c>
      <c r="X160" s="332">
        <f t="shared" si="4"/>
        <v>1</v>
      </c>
      <c r="Y160" s="332" t="s">
        <v>173</v>
      </c>
      <c r="Z160" s="332"/>
    </row>
    <row r="161" ht="76.5" customHeight="1">
      <c r="A161" s="221">
        <v>160.0</v>
      </c>
      <c r="B161" s="11" t="s">
        <v>173</v>
      </c>
      <c r="C161" s="239" t="s">
        <v>749</v>
      </c>
      <c r="D161" s="240" t="s">
        <v>750</v>
      </c>
      <c r="E161" s="215" t="s">
        <v>489</v>
      </c>
      <c r="F161" s="216">
        <v>100.0</v>
      </c>
      <c r="G161" s="216">
        <v>100.0</v>
      </c>
      <c r="H161" s="216">
        <v>1.0</v>
      </c>
      <c r="I161" s="11">
        <f t="shared" si="10"/>
        <v>100</v>
      </c>
      <c r="J161" s="11" t="s">
        <v>178</v>
      </c>
      <c r="K161" s="93"/>
      <c r="L161" s="93" t="s">
        <v>2078</v>
      </c>
      <c r="M161" s="93" t="s">
        <v>1950</v>
      </c>
      <c r="N161" s="217" t="s">
        <v>811</v>
      </c>
      <c r="O161" s="11" t="str">
        <f t="shared" si="16"/>
        <v/>
      </c>
      <c r="P161" s="78" t="s">
        <v>1688</v>
      </c>
      <c r="Q161" s="74"/>
      <c r="R161" s="75"/>
      <c r="S161" s="12"/>
      <c r="T161" s="11"/>
      <c r="U161" s="12">
        <v>1.0</v>
      </c>
      <c r="V161" s="246" t="s">
        <v>1839</v>
      </c>
      <c r="W161" s="332">
        <v>1.0</v>
      </c>
      <c r="X161" s="332">
        <f t="shared" si="4"/>
        <v>1</v>
      </c>
      <c r="Y161" s="332" t="s">
        <v>173</v>
      </c>
      <c r="Z161" s="332"/>
    </row>
    <row r="162" ht="76.5" customHeight="1">
      <c r="A162" s="221">
        <v>161.0</v>
      </c>
      <c r="B162" s="11" t="s">
        <v>173</v>
      </c>
      <c r="C162" s="239" t="s">
        <v>761</v>
      </c>
      <c r="D162" s="240" t="s">
        <v>762</v>
      </c>
      <c r="E162" s="215" t="s">
        <v>489</v>
      </c>
      <c r="F162" s="216">
        <v>100.0</v>
      </c>
      <c r="G162" s="216">
        <v>100.0</v>
      </c>
      <c r="H162" s="216">
        <v>1.0</v>
      </c>
      <c r="I162" s="11">
        <f t="shared" si="10"/>
        <v>100</v>
      </c>
      <c r="J162" s="11" t="s">
        <v>178</v>
      </c>
      <c r="K162" s="93"/>
      <c r="L162" s="93" t="s">
        <v>2078</v>
      </c>
      <c r="M162" s="93" t="s">
        <v>1950</v>
      </c>
      <c r="N162" s="217" t="s">
        <v>815</v>
      </c>
      <c r="O162" s="11" t="str">
        <f t="shared" si="16"/>
        <v/>
      </c>
      <c r="P162" s="330" t="s">
        <v>1688</v>
      </c>
      <c r="Q162" s="331"/>
      <c r="R162" s="75"/>
      <c r="S162" s="253"/>
      <c r="T162" s="11"/>
      <c r="U162" s="12">
        <v>1.0</v>
      </c>
      <c r="V162" s="246" t="s">
        <v>1839</v>
      </c>
      <c r="W162" s="332">
        <v>1.0</v>
      </c>
      <c r="X162" s="332">
        <f t="shared" si="4"/>
        <v>1</v>
      </c>
      <c r="Y162" s="332" t="s">
        <v>173</v>
      </c>
      <c r="Z162" s="332"/>
    </row>
    <row r="163" ht="76.5" customHeight="1">
      <c r="A163" s="221">
        <v>162.0</v>
      </c>
      <c r="B163" s="11" t="s">
        <v>173</v>
      </c>
      <c r="C163" s="239" t="s">
        <v>769</v>
      </c>
      <c r="D163" s="240" t="s">
        <v>770</v>
      </c>
      <c r="E163" s="215" t="s">
        <v>489</v>
      </c>
      <c r="F163" s="216">
        <v>100.0</v>
      </c>
      <c r="G163" s="216">
        <v>100.0</v>
      </c>
      <c r="H163" s="216">
        <v>1.0</v>
      </c>
      <c r="I163" s="11">
        <f t="shared" si="10"/>
        <v>100</v>
      </c>
      <c r="J163" s="11" t="s">
        <v>178</v>
      </c>
      <c r="K163" s="93"/>
      <c r="L163" s="93" t="s">
        <v>2078</v>
      </c>
      <c r="M163" s="93" t="s">
        <v>1950</v>
      </c>
      <c r="N163" s="217" t="s">
        <v>819</v>
      </c>
      <c r="O163" s="11" t="str">
        <f t="shared" si="16"/>
        <v/>
      </c>
      <c r="P163" s="330" t="s">
        <v>1688</v>
      </c>
      <c r="Q163" s="331"/>
      <c r="R163" s="75"/>
      <c r="S163" s="253"/>
      <c r="T163" s="11"/>
      <c r="U163" s="12">
        <v>1.0</v>
      </c>
      <c r="V163" s="246" t="s">
        <v>1840</v>
      </c>
      <c r="W163" s="332">
        <v>1.0</v>
      </c>
      <c r="X163" s="332">
        <f t="shared" si="4"/>
        <v>1</v>
      </c>
      <c r="Y163" s="332" t="s">
        <v>173</v>
      </c>
      <c r="Z163" s="332"/>
    </row>
    <row r="164" ht="76.5" customHeight="1">
      <c r="A164" s="221">
        <v>163.0</v>
      </c>
      <c r="B164" s="11" t="s">
        <v>173</v>
      </c>
      <c r="C164" s="239" t="s">
        <v>681</v>
      </c>
      <c r="D164" s="240" t="s">
        <v>682</v>
      </c>
      <c r="E164" s="215" t="s">
        <v>489</v>
      </c>
      <c r="F164" s="216">
        <v>100.0</v>
      </c>
      <c r="G164" s="216">
        <v>100.0</v>
      </c>
      <c r="H164" s="216">
        <v>1.0</v>
      </c>
      <c r="I164" s="11">
        <f t="shared" si="10"/>
        <v>100</v>
      </c>
      <c r="J164" s="11" t="s">
        <v>178</v>
      </c>
      <c r="K164" s="93"/>
      <c r="L164" s="93" t="s">
        <v>2078</v>
      </c>
      <c r="M164" s="93" t="s">
        <v>1950</v>
      </c>
      <c r="N164" s="217" t="s">
        <v>823</v>
      </c>
      <c r="O164" s="11" t="str">
        <f t="shared" si="16"/>
        <v/>
      </c>
      <c r="P164" s="330" t="s">
        <v>1688</v>
      </c>
      <c r="Q164" s="331"/>
      <c r="R164" s="75"/>
      <c r="S164" s="253"/>
      <c r="T164" s="11"/>
      <c r="U164" s="12">
        <v>1.0</v>
      </c>
      <c r="V164" s="246" t="s">
        <v>1840</v>
      </c>
      <c r="W164" s="332">
        <v>1.0</v>
      </c>
      <c r="X164" s="332">
        <f t="shared" si="4"/>
        <v>1</v>
      </c>
      <c r="Y164" s="332" t="s">
        <v>173</v>
      </c>
      <c r="Z164" s="332"/>
    </row>
    <row r="165" ht="76.5" customHeight="1">
      <c r="A165" s="221">
        <v>164.0</v>
      </c>
      <c r="B165" s="11" t="s">
        <v>173</v>
      </c>
      <c r="C165" s="241" t="s">
        <v>825</v>
      </c>
      <c r="D165" s="242" t="s">
        <v>826</v>
      </c>
      <c r="E165" s="215" t="s">
        <v>489</v>
      </c>
      <c r="F165" s="216">
        <v>100.0</v>
      </c>
      <c r="G165" s="216">
        <v>100.0</v>
      </c>
      <c r="H165" s="216">
        <v>3.0</v>
      </c>
      <c r="I165" s="11">
        <f t="shared" si="10"/>
        <v>300</v>
      </c>
      <c r="J165" s="11" t="s">
        <v>178</v>
      </c>
      <c r="K165" s="93"/>
      <c r="L165" s="93" t="s">
        <v>2078</v>
      </c>
      <c r="M165" s="93" t="s">
        <v>1951</v>
      </c>
      <c r="N165" s="217" t="s">
        <v>827</v>
      </c>
      <c r="O165" s="11" t="str">
        <f>IMAGE("https://encrypted-tbn0.gstatic.com/images?q=tbn:ANd9GcR-ur1Cl_3Rq82qZ9KbLtZX3U_7cevDQWdUVA&amp;usqp=CAU",1)</f>
        <v/>
      </c>
      <c r="P165" s="78" t="s">
        <v>1688</v>
      </c>
      <c r="Q165" s="74"/>
      <c r="R165" s="75"/>
      <c r="S165" s="12"/>
      <c r="T165" s="11"/>
      <c r="U165" s="12">
        <v>1.0</v>
      </c>
      <c r="V165" s="11" t="s">
        <v>1857</v>
      </c>
      <c r="W165" s="332">
        <v>1.0</v>
      </c>
      <c r="X165" s="332">
        <f t="shared" si="4"/>
        <v>1</v>
      </c>
      <c r="Y165" s="332" t="s">
        <v>173</v>
      </c>
      <c r="Z165" s="332"/>
    </row>
    <row r="166" ht="76.5" customHeight="1">
      <c r="A166" s="221">
        <v>165.0</v>
      </c>
      <c r="B166" s="11" t="s">
        <v>173</v>
      </c>
      <c r="C166" s="241" t="s">
        <v>829</v>
      </c>
      <c r="D166" s="242" t="s">
        <v>830</v>
      </c>
      <c r="E166" s="215" t="s">
        <v>489</v>
      </c>
      <c r="F166" s="216">
        <v>50.0</v>
      </c>
      <c r="G166" s="216">
        <v>50.0</v>
      </c>
      <c r="H166" s="216">
        <v>10.0</v>
      </c>
      <c r="I166" s="11">
        <f t="shared" si="10"/>
        <v>500</v>
      </c>
      <c r="J166" s="11" t="s">
        <v>178</v>
      </c>
      <c r="K166" s="93"/>
      <c r="L166" s="93" t="s">
        <v>2078</v>
      </c>
      <c r="M166" s="93" t="s">
        <v>1951</v>
      </c>
      <c r="N166" s="217" t="s">
        <v>831</v>
      </c>
      <c r="O166" s="11" t="str">
        <f>IMAGE("https://m.media-amazon.com/images/I/51khY6g46VL._AC_SL1500_.jpg",1)</f>
        <v/>
      </c>
      <c r="P166" s="78" t="s">
        <v>1688</v>
      </c>
      <c r="Q166" s="74"/>
      <c r="R166" s="75"/>
      <c r="S166" s="12"/>
      <c r="T166" s="11"/>
      <c r="U166" s="12">
        <v>1.0</v>
      </c>
      <c r="V166" s="11" t="s">
        <v>1857</v>
      </c>
      <c r="W166" s="332">
        <v>1.0</v>
      </c>
      <c r="X166" s="332">
        <f t="shared" si="4"/>
        <v>1</v>
      </c>
      <c r="Y166" s="332" t="s">
        <v>173</v>
      </c>
      <c r="Z166" s="332"/>
    </row>
    <row r="167" ht="76.5" customHeight="1">
      <c r="A167" s="221">
        <v>166.0</v>
      </c>
      <c r="B167" s="11" t="s">
        <v>173</v>
      </c>
      <c r="C167" s="241" t="s">
        <v>833</v>
      </c>
      <c r="D167" s="242" t="s">
        <v>834</v>
      </c>
      <c r="E167" s="215" t="s">
        <v>489</v>
      </c>
      <c r="F167" s="216">
        <v>50.0</v>
      </c>
      <c r="G167" s="216">
        <v>50.0</v>
      </c>
      <c r="H167" s="216">
        <v>10.0</v>
      </c>
      <c r="I167" s="11">
        <f t="shared" si="10"/>
        <v>500</v>
      </c>
      <c r="J167" s="11" t="s">
        <v>178</v>
      </c>
      <c r="K167" s="93"/>
      <c r="L167" s="93" t="s">
        <v>2078</v>
      </c>
      <c r="M167" s="93" t="s">
        <v>1951</v>
      </c>
      <c r="N167" s="217" t="s">
        <v>835</v>
      </c>
      <c r="O167" s="11" t="str">
        <f>IMAGE("https://etstore.in/wp-content/uploads/2021/12/IMG_20201130_100203.png",1)</f>
        <v/>
      </c>
      <c r="P167" s="78" t="s">
        <v>1688</v>
      </c>
      <c r="Q167" s="79"/>
      <c r="R167" s="80"/>
      <c r="S167" s="12"/>
      <c r="T167" s="11"/>
      <c r="U167" s="12">
        <v>1.0</v>
      </c>
      <c r="V167" s="249" t="s">
        <v>1859</v>
      </c>
      <c r="W167" s="332">
        <v>1.0</v>
      </c>
      <c r="X167" s="332">
        <f t="shared" si="4"/>
        <v>1</v>
      </c>
      <c r="Y167" s="332" t="s">
        <v>173</v>
      </c>
      <c r="Z167" s="332"/>
    </row>
    <row r="168" ht="76.5" customHeight="1">
      <c r="A168" s="221">
        <v>167.0</v>
      </c>
      <c r="B168" s="11" t="s">
        <v>173</v>
      </c>
      <c r="C168" s="241" t="s">
        <v>837</v>
      </c>
      <c r="D168" s="242" t="s">
        <v>838</v>
      </c>
      <c r="E168" s="215" t="s">
        <v>489</v>
      </c>
      <c r="F168" s="216">
        <v>50.0</v>
      </c>
      <c r="G168" s="216">
        <v>50.0</v>
      </c>
      <c r="H168" s="216">
        <v>10.0</v>
      </c>
      <c r="I168" s="11">
        <f t="shared" si="10"/>
        <v>500</v>
      </c>
      <c r="J168" s="11" t="s">
        <v>178</v>
      </c>
      <c r="K168" s="93"/>
      <c r="L168" s="93" t="s">
        <v>2078</v>
      </c>
      <c r="M168" s="93" t="s">
        <v>1951</v>
      </c>
      <c r="N168" s="217" t="s">
        <v>839</v>
      </c>
      <c r="O168" s="11" t="str">
        <f>IMAGE("https://m.media-amazon.com/images/I/71UDXftBeaL._SX466_.jpg",1)</f>
        <v/>
      </c>
      <c r="P168" s="330" t="s">
        <v>1688</v>
      </c>
      <c r="Q168" s="331"/>
      <c r="R168" s="75"/>
      <c r="S168" s="253"/>
      <c r="T168" s="11"/>
      <c r="U168" s="12">
        <v>1.0</v>
      </c>
      <c r="V168" s="246" t="s">
        <v>1859</v>
      </c>
      <c r="W168" s="332">
        <v>1.0</v>
      </c>
      <c r="X168" s="332">
        <f t="shared" si="4"/>
        <v>1</v>
      </c>
      <c r="Y168" s="332" t="s">
        <v>173</v>
      </c>
      <c r="Z168" s="332"/>
    </row>
    <row r="169" ht="76.5" customHeight="1">
      <c r="A169" s="221">
        <v>168.0</v>
      </c>
      <c r="B169" s="11" t="s">
        <v>173</v>
      </c>
      <c r="C169" s="241" t="s">
        <v>841</v>
      </c>
      <c r="D169" s="242" t="s">
        <v>842</v>
      </c>
      <c r="E169" s="215" t="s">
        <v>489</v>
      </c>
      <c r="F169" s="216">
        <v>50.0</v>
      </c>
      <c r="G169" s="216">
        <v>50.0</v>
      </c>
      <c r="H169" s="216">
        <v>10.0</v>
      </c>
      <c r="I169" s="11">
        <f t="shared" si="10"/>
        <v>500</v>
      </c>
      <c r="J169" s="11" t="s">
        <v>178</v>
      </c>
      <c r="K169" s="93"/>
      <c r="L169" s="93" t="s">
        <v>2070</v>
      </c>
      <c r="M169" s="93" t="s">
        <v>1951</v>
      </c>
      <c r="N169" s="217" t="s">
        <v>843</v>
      </c>
      <c r="O169" s="11" t="str">
        <f>IMAGE("https://m.media-amazon.com/images/I/4116hBQx0XL._SX425_.jpg",1)</f>
        <v/>
      </c>
      <c r="P169" s="330" t="s">
        <v>1688</v>
      </c>
      <c r="Q169" s="348"/>
      <c r="R169" s="80"/>
      <c r="S169" s="253"/>
      <c r="T169" s="11"/>
      <c r="U169" s="12">
        <v>1.0</v>
      </c>
      <c r="V169" s="245" t="s">
        <v>1833</v>
      </c>
      <c r="W169" s="332">
        <v>1.0</v>
      </c>
      <c r="X169" s="332">
        <f t="shared" si="4"/>
        <v>1</v>
      </c>
      <c r="Y169" s="332" t="s">
        <v>173</v>
      </c>
      <c r="Z169" s="332"/>
    </row>
    <row r="170" ht="76.5" customHeight="1">
      <c r="A170" s="221">
        <v>169.0</v>
      </c>
      <c r="B170" s="11" t="s">
        <v>173</v>
      </c>
      <c r="C170" s="241" t="s">
        <v>845</v>
      </c>
      <c r="D170" s="242" t="s">
        <v>2085</v>
      </c>
      <c r="E170" s="215" t="s">
        <v>489</v>
      </c>
      <c r="F170" s="216">
        <v>20.0</v>
      </c>
      <c r="G170" s="216">
        <v>20.0</v>
      </c>
      <c r="H170" s="216">
        <v>5.0</v>
      </c>
      <c r="I170" s="11">
        <f t="shared" si="10"/>
        <v>100</v>
      </c>
      <c r="J170" s="11" t="s">
        <v>178</v>
      </c>
      <c r="K170" s="93"/>
      <c r="L170" s="93" t="s">
        <v>2078</v>
      </c>
      <c r="M170" s="93" t="s">
        <v>1944</v>
      </c>
      <c r="N170" s="217" t="s">
        <v>847</v>
      </c>
      <c r="O170" s="11" t="str">
        <f>IMAGE("https://potentiallabs.com/cart/image/cache/catalog/2021/555-timer-ic-400x400.jpeg",1)</f>
        <v/>
      </c>
      <c r="P170" s="330" t="s">
        <v>1688</v>
      </c>
      <c r="Q170" s="331"/>
      <c r="R170" s="75"/>
      <c r="S170" s="253"/>
      <c r="T170" s="11"/>
      <c r="U170" s="12">
        <v>1.0</v>
      </c>
      <c r="V170" s="245" t="s">
        <v>1864</v>
      </c>
      <c r="W170" s="332">
        <v>1.0</v>
      </c>
      <c r="X170" s="332">
        <f t="shared" si="4"/>
        <v>1</v>
      </c>
      <c r="Y170" s="332" t="s">
        <v>173</v>
      </c>
      <c r="Z170" s="332"/>
    </row>
    <row r="171" ht="76.5" customHeight="1">
      <c r="A171" s="221">
        <v>170.0</v>
      </c>
      <c r="B171" s="11" t="s">
        <v>173</v>
      </c>
      <c r="C171" s="241" t="s">
        <v>849</v>
      </c>
      <c r="D171" s="242" t="s">
        <v>850</v>
      </c>
      <c r="E171" s="215" t="s">
        <v>489</v>
      </c>
      <c r="F171" s="216">
        <v>100.0</v>
      </c>
      <c r="G171" s="216">
        <v>100.0</v>
      </c>
      <c r="H171" s="216">
        <v>5.0</v>
      </c>
      <c r="I171" s="11">
        <f t="shared" si="10"/>
        <v>500</v>
      </c>
      <c r="J171" s="11" t="s">
        <v>178</v>
      </c>
      <c r="K171" s="93"/>
      <c r="L171" s="93" t="s">
        <v>2078</v>
      </c>
      <c r="M171" s="93" t="s">
        <v>1953</v>
      </c>
      <c r="N171" s="217" t="s">
        <v>851</v>
      </c>
      <c r="O171" s="11" t="str">
        <f>IMAGE("https://5.imimg.com/data5/SELLER/Default/2020/8/IJ/BD/HA/84543611/2n3904-transistor-500x500.jpg",1)</f>
        <v/>
      </c>
      <c r="P171" s="78" t="s">
        <v>1688</v>
      </c>
      <c r="Q171" s="74"/>
      <c r="R171" s="75"/>
      <c r="S171" s="12"/>
      <c r="T171" s="11"/>
      <c r="U171" s="12">
        <v>1.0</v>
      </c>
      <c r="V171" s="246" t="s">
        <v>1847</v>
      </c>
      <c r="W171" s="332">
        <v>1.0</v>
      </c>
      <c r="X171" s="332">
        <f t="shared" si="4"/>
        <v>1</v>
      </c>
      <c r="Y171" s="332" t="s">
        <v>173</v>
      </c>
      <c r="Z171" s="332"/>
    </row>
    <row r="172" ht="76.5" customHeight="1">
      <c r="A172" s="221">
        <v>171.0</v>
      </c>
      <c r="B172" s="11" t="s">
        <v>173</v>
      </c>
      <c r="C172" s="241" t="s">
        <v>853</v>
      </c>
      <c r="D172" s="242" t="s">
        <v>854</v>
      </c>
      <c r="E172" s="215" t="s">
        <v>489</v>
      </c>
      <c r="F172" s="216">
        <v>100.0</v>
      </c>
      <c r="G172" s="216">
        <v>100.0</v>
      </c>
      <c r="H172" s="216">
        <v>5.0</v>
      </c>
      <c r="I172" s="11">
        <f t="shared" si="10"/>
        <v>500</v>
      </c>
      <c r="J172" s="11" t="s">
        <v>178</v>
      </c>
      <c r="K172" s="93"/>
      <c r="L172" s="93" t="s">
        <v>2078</v>
      </c>
      <c r="M172" s="93" t="s">
        <v>1953</v>
      </c>
      <c r="N172" s="217" t="s">
        <v>855</v>
      </c>
      <c r="O172" s="11" t="str">
        <f>IMAGE("https://rukminim2.flixcart.com/image/832/832/k44hksw0/transistor/d/m/d/100-pics-bc547-npn-transistor-sme-original-imafn3dfw2fqwgxg.jpeg?q=70",1)</f>
        <v/>
      </c>
      <c r="P172" s="78" t="s">
        <v>1688</v>
      </c>
      <c r="Q172" s="74"/>
      <c r="R172" s="75"/>
      <c r="S172" s="12"/>
      <c r="T172" s="11"/>
      <c r="U172" s="12">
        <v>1.0</v>
      </c>
      <c r="V172" s="249" t="s">
        <v>1848</v>
      </c>
      <c r="W172" s="332">
        <v>1.0</v>
      </c>
      <c r="X172" s="332">
        <f t="shared" si="4"/>
        <v>1</v>
      </c>
      <c r="Y172" s="332" t="s">
        <v>173</v>
      </c>
      <c r="Z172" s="332"/>
    </row>
    <row r="173" ht="76.5" customHeight="1">
      <c r="A173" s="221">
        <v>172.0</v>
      </c>
      <c r="B173" s="11" t="s">
        <v>173</v>
      </c>
      <c r="C173" s="241" t="s">
        <v>857</v>
      </c>
      <c r="D173" s="242" t="s">
        <v>858</v>
      </c>
      <c r="E173" s="215" t="s">
        <v>489</v>
      </c>
      <c r="F173" s="216">
        <v>100.0</v>
      </c>
      <c r="G173" s="216">
        <v>100.0</v>
      </c>
      <c r="H173" s="216">
        <v>5.0</v>
      </c>
      <c r="I173" s="11">
        <f t="shared" si="10"/>
        <v>500</v>
      </c>
      <c r="J173" s="11" t="s">
        <v>178</v>
      </c>
      <c r="K173" s="93"/>
      <c r="L173" s="93" t="s">
        <v>2078</v>
      </c>
      <c r="M173" s="93" t="s">
        <v>1953</v>
      </c>
      <c r="N173" s="217" t="s">
        <v>859</v>
      </c>
      <c r="O173" s="11" t="str">
        <f>IMAGE("https://m.media-amazon.com/images/W/MEDIAX_792452-T2/images/I/31po6g2eu+L.jpg",1)</f>
        <v/>
      </c>
      <c r="P173" s="330" t="s">
        <v>1688</v>
      </c>
      <c r="Q173" s="331"/>
      <c r="R173" s="75"/>
      <c r="S173" s="253"/>
      <c r="T173" s="11"/>
      <c r="U173" s="12">
        <v>1.0</v>
      </c>
      <c r="V173" s="11" t="s">
        <v>1848</v>
      </c>
      <c r="W173" s="332">
        <v>1.0</v>
      </c>
      <c r="X173" s="332">
        <f t="shared" si="4"/>
        <v>1</v>
      </c>
      <c r="Y173" s="332" t="s">
        <v>173</v>
      </c>
      <c r="Z173" s="332"/>
    </row>
    <row r="174" ht="76.5" customHeight="1">
      <c r="A174" s="221">
        <v>173.0</v>
      </c>
      <c r="B174" s="11" t="s">
        <v>173</v>
      </c>
      <c r="C174" s="241" t="s">
        <v>861</v>
      </c>
      <c r="D174" s="242" t="s">
        <v>862</v>
      </c>
      <c r="E174" s="215" t="s">
        <v>489</v>
      </c>
      <c r="F174" s="216">
        <v>100.0</v>
      </c>
      <c r="G174" s="216">
        <v>100.0</v>
      </c>
      <c r="H174" s="216">
        <v>5.0</v>
      </c>
      <c r="I174" s="11">
        <f t="shared" si="10"/>
        <v>500</v>
      </c>
      <c r="J174" s="11" t="s">
        <v>178</v>
      </c>
      <c r="K174" s="93"/>
      <c r="L174" s="93" t="s">
        <v>2078</v>
      </c>
      <c r="M174" s="93" t="s">
        <v>1953</v>
      </c>
      <c r="N174" s="217" t="s">
        <v>863</v>
      </c>
      <c r="O174" s="11" t="str">
        <f>IMAGE("https://5.imimg.com/data5/MA/XW/GW/SELLER-84581978/cdil-transistor-bc557-500x500.jpg",1)</f>
        <v/>
      </c>
      <c r="P174" s="330" t="s">
        <v>1688</v>
      </c>
      <c r="Q174" s="331"/>
      <c r="R174" s="75"/>
      <c r="S174" s="253"/>
      <c r="T174" s="11"/>
      <c r="U174" s="12">
        <v>1.0</v>
      </c>
      <c r="V174" s="11" t="s">
        <v>1848</v>
      </c>
      <c r="W174" s="332">
        <v>1.0</v>
      </c>
      <c r="X174" s="332">
        <f t="shared" si="4"/>
        <v>1</v>
      </c>
      <c r="Y174" s="332" t="s">
        <v>173</v>
      </c>
      <c r="Z174" s="332"/>
    </row>
    <row r="175" ht="76.5" customHeight="1">
      <c r="A175" s="221">
        <v>174.0</v>
      </c>
      <c r="B175" s="11" t="s">
        <v>173</v>
      </c>
      <c r="C175" s="241" t="s">
        <v>865</v>
      </c>
      <c r="D175" s="242" t="s">
        <v>866</v>
      </c>
      <c r="E175" s="215" t="s">
        <v>489</v>
      </c>
      <c r="F175" s="216">
        <v>100.0</v>
      </c>
      <c r="G175" s="216">
        <v>100.0</v>
      </c>
      <c r="H175" s="216">
        <v>5.0</v>
      </c>
      <c r="I175" s="11">
        <f t="shared" si="10"/>
        <v>500</v>
      </c>
      <c r="J175" s="11" t="s">
        <v>178</v>
      </c>
      <c r="K175" s="93"/>
      <c r="L175" s="93" t="s">
        <v>2078</v>
      </c>
      <c r="M175" s="93" t="s">
        <v>1953</v>
      </c>
      <c r="N175" s="217" t="s">
        <v>867</v>
      </c>
      <c r="O175" s="11" t="str">
        <f>IMAGE("https://www.chipmart.in/wp-content/uploads/2022/08/SL100-NPN-General-Purpose-Medium-Power-Transistor-50V-500mA.png",1)</f>
        <v/>
      </c>
      <c r="P175" s="330" t="s">
        <v>1688</v>
      </c>
      <c r="Q175" s="331"/>
      <c r="R175" s="75"/>
      <c r="S175" s="253"/>
      <c r="T175" s="11"/>
      <c r="U175" s="12">
        <v>1.0</v>
      </c>
      <c r="V175" s="245" t="s">
        <v>1849</v>
      </c>
      <c r="W175" s="332">
        <v>1.0</v>
      </c>
      <c r="X175" s="332">
        <f t="shared" si="4"/>
        <v>1</v>
      </c>
      <c r="Y175" s="332" t="s">
        <v>173</v>
      </c>
      <c r="Z175" s="332"/>
    </row>
    <row r="176" ht="76.5" customHeight="1">
      <c r="A176" s="221">
        <v>175.0</v>
      </c>
      <c r="B176" s="11" t="s">
        <v>173</v>
      </c>
      <c r="C176" s="241" t="s">
        <v>869</v>
      </c>
      <c r="D176" s="242" t="s">
        <v>870</v>
      </c>
      <c r="E176" s="215" t="s">
        <v>489</v>
      </c>
      <c r="F176" s="216">
        <v>100.0</v>
      </c>
      <c r="G176" s="216">
        <v>100.0</v>
      </c>
      <c r="H176" s="216">
        <v>5.0</v>
      </c>
      <c r="I176" s="11">
        <f t="shared" si="10"/>
        <v>500</v>
      </c>
      <c r="J176" s="11" t="s">
        <v>178</v>
      </c>
      <c r="K176" s="93"/>
      <c r="L176" s="93" t="s">
        <v>2078</v>
      </c>
      <c r="M176" s="93" t="s">
        <v>1953</v>
      </c>
      <c r="N176" s="217" t="s">
        <v>871</v>
      </c>
      <c r="O176" s="11" t="str">
        <f>IMAGE("https://5.imimg.com/data5/WJ/EW/MY-25117786/2n2222-npn-transistors-500x500.jpg",1)</f>
        <v/>
      </c>
      <c r="P176" s="78" t="s">
        <v>1688</v>
      </c>
      <c r="Q176" s="74"/>
      <c r="R176" s="75"/>
      <c r="S176" s="12"/>
      <c r="T176" s="11"/>
      <c r="U176" s="12">
        <v>1.0</v>
      </c>
      <c r="V176" s="11" t="s">
        <v>1847</v>
      </c>
      <c r="W176" s="332">
        <v>1.0</v>
      </c>
      <c r="X176" s="332">
        <f t="shared" si="4"/>
        <v>1</v>
      </c>
      <c r="Y176" s="332" t="s">
        <v>173</v>
      </c>
      <c r="Z176" s="332"/>
    </row>
    <row r="177" ht="76.5" customHeight="1">
      <c r="A177" s="221">
        <v>176.0</v>
      </c>
      <c r="B177" s="11" t="s">
        <v>173</v>
      </c>
      <c r="C177" s="241" t="s">
        <v>873</v>
      </c>
      <c r="D177" s="242" t="s">
        <v>874</v>
      </c>
      <c r="E177" s="215" t="s">
        <v>489</v>
      </c>
      <c r="F177" s="216">
        <v>20.0</v>
      </c>
      <c r="G177" s="216">
        <v>20.0</v>
      </c>
      <c r="H177" s="216">
        <v>10.0</v>
      </c>
      <c r="I177" s="11">
        <f t="shared" si="10"/>
        <v>200</v>
      </c>
      <c r="J177" s="11" t="s">
        <v>178</v>
      </c>
      <c r="K177" s="93"/>
      <c r="L177" s="93" t="s">
        <v>2078</v>
      </c>
      <c r="M177" s="93" t="s">
        <v>1949</v>
      </c>
      <c r="N177" s="217" t="s">
        <v>875</v>
      </c>
      <c r="O177" s="11" t="str">
        <f t="shared" ref="O177:O179" si="17">IMAGE("https://probots.co.in/pub/media/catalog/product/cache/d8ddd0f9b0cd008b57085cd218b48832/1/k/1k_ohm_variable_resistor_potentiometer1-1000x1000_12.jpg",1)</f>
        <v/>
      </c>
      <c r="P177" s="78" t="s">
        <v>1688</v>
      </c>
      <c r="Q177" s="74"/>
      <c r="R177" s="75"/>
      <c r="S177" s="12"/>
      <c r="T177" s="11"/>
      <c r="U177" s="12">
        <v>1.0</v>
      </c>
      <c r="V177" s="11" t="s">
        <v>1841</v>
      </c>
      <c r="W177" s="332">
        <v>1.0</v>
      </c>
      <c r="X177" s="332">
        <f t="shared" si="4"/>
        <v>1</v>
      </c>
      <c r="Y177" s="332" t="s">
        <v>173</v>
      </c>
      <c r="Z177" s="332"/>
    </row>
    <row r="178" ht="76.5" customHeight="1">
      <c r="A178" s="221">
        <v>177.0</v>
      </c>
      <c r="B178" s="11" t="s">
        <v>173</v>
      </c>
      <c r="C178" s="241" t="s">
        <v>877</v>
      </c>
      <c r="D178" s="242" t="s">
        <v>878</v>
      </c>
      <c r="E178" s="215" t="s">
        <v>489</v>
      </c>
      <c r="F178" s="216">
        <v>20.0</v>
      </c>
      <c r="G178" s="216">
        <v>20.0</v>
      </c>
      <c r="H178" s="216">
        <v>10.0</v>
      </c>
      <c r="I178" s="11">
        <f t="shared" si="10"/>
        <v>200</v>
      </c>
      <c r="J178" s="11" t="s">
        <v>178</v>
      </c>
      <c r="K178" s="93"/>
      <c r="L178" s="93" t="s">
        <v>2078</v>
      </c>
      <c r="M178" s="93" t="s">
        <v>1949</v>
      </c>
      <c r="N178" s="217" t="s">
        <v>879</v>
      </c>
      <c r="O178" s="11" t="str">
        <f t="shared" si="17"/>
        <v/>
      </c>
      <c r="P178" s="330" t="s">
        <v>1688</v>
      </c>
      <c r="Q178" s="331"/>
      <c r="R178" s="75"/>
      <c r="S178" s="253"/>
      <c r="T178" s="11"/>
      <c r="U178" s="12">
        <v>1.0</v>
      </c>
      <c r="V178" s="11" t="s">
        <v>1841</v>
      </c>
      <c r="W178" s="332">
        <v>1.0</v>
      </c>
      <c r="X178" s="332">
        <f t="shared" si="4"/>
        <v>1</v>
      </c>
      <c r="Y178" s="332" t="s">
        <v>173</v>
      </c>
      <c r="Z178" s="332"/>
    </row>
    <row r="179" ht="76.5" customHeight="1">
      <c r="A179" s="221">
        <v>178.0</v>
      </c>
      <c r="B179" s="11" t="s">
        <v>173</v>
      </c>
      <c r="C179" s="241" t="s">
        <v>881</v>
      </c>
      <c r="D179" s="242" t="s">
        <v>882</v>
      </c>
      <c r="E179" s="215" t="s">
        <v>489</v>
      </c>
      <c r="F179" s="216">
        <v>20.0</v>
      </c>
      <c r="G179" s="216">
        <v>20.0</v>
      </c>
      <c r="H179" s="216">
        <v>10.0</v>
      </c>
      <c r="I179" s="11">
        <f t="shared" si="10"/>
        <v>200</v>
      </c>
      <c r="J179" s="11" t="s">
        <v>178</v>
      </c>
      <c r="K179" s="93"/>
      <c r="L179" s="93" t="s">
        <v>2078</v>
      </c>
      <c r="M179" s="93" t="s">
        <v>1949</v>
      </c>
      <c r="N179" s="217" t="s">
        <v>883</v>
      </c>
      <c r="O179" s="11" t="str">
        <f t="shared" si="17"/>
        <v/>
      </c>
      <c r="P179" s="78" t="s">
        <v>1688</v>
      </c>
      <c r="Q179" s="74"/>
      <c r="R179" s="75"/>
      <c r="S179" s="12"/>
      <c r="T179" s="11"/>
      <c r="U179" s="12">
        <v>1.0</v>
      </c>
      <c r="V179" s="11" t="s">
        <v>1841</v>
      </c>
      <c r="W179" s="332">
        <v>1.0</v>
      </c>
      <c r="X179" s="332">
        <f t="shared" si="4"/>
        <v>1</v>
      </c>
      <c r="Y179" s="332" t="s">
        <v>173</v>
      </c>
      <c r="Z179" s="332"/>
    </row>
    <row r="180" ht="76.5" customHeight="1">
      <c r="A180" s="221">
        <v>179.0</v>
      </c>
      <c r="B180" s="11" t="s">
        <v>173</v>
      </c>
      <c r="C180" s="241" t="s">
        <v>885</v>
      </c>
      <c r="D180" s="242" t="s">
        <v>886</v>
      </c>
      <c r="E180" s="215" t="s">
        <v>489</v>
      </c>
      <c r="F180" s="216">
        <v>20.0</v>
      </c>
      <c r="G180" s="216">
        <v>20.0</v>
      </c>
      <c r="H180" s="216">
        <v>20.0</v>
      </c>
      <c r="I180" s="11">
        <f t="shared" si="10"/>
        <v>400</v>
      </c>
      <c r="J180" s="11" t="s">
        <v>178</v>
      </c>
      <c r="K180" s="93"/>
      <c r="L180" s="93" t="s">
        <v>2070</v>
      </c>
      <c r="M180" s="93" t="s">
        <v>1954</v>
      </c>
      <c r="N180" s="217" t="s">
        <v>887</v>
      </c>
      <c r="O180" s="11" t="str">
        <f>IMAGE("https://www.olelectronics.in/wp-content/uploads/Miniature-Vibration-Motor.png",1)</f>
        <v/>
      </c>
      <c r="P180" s="78" t="s">
        <v>1688</v>
      </c>
      <c r="Q180" s="74"/>
      <c r="R180" s="75"/>
      <c r="S180" s="12"/>
      <c r="T180" s="11"/>
      <c r="U180" s="12">
        <v>1.0</v>
      </c>
      <c r="V180" s="11" t="s">
        <v>1834</v>
      </c>
      <c r="W180" s="332">
        <v>1.0</v>
      </c>
      <c r="X180" s="332">
        <f t="shared" si="4"/>
        <v>1</v>
      </c>
      <c r="Y180" s="332" t="s">
        <v>173</v>
      </c>
      <c r="Z180" s="332"/>
    </row>
    <row r="181" ht="76.5" customHeight="1">
      <c r="A181" s="221">
        <v>180.0</v>
      </c>
      <c r="B181" s="11" t="s">
        <v>173</v>
      </c>
      <c r="C181" s="241" t="s">
        <v>889</v>
      </c>
      <c r="D181" s="242" t="s">
        <v>1754</v>
      </c>
      <c r="E181" s="215" t="s">
        <v>891</v>
      </c>
      <c r="F181" s="216">
        <v>10.0</v>
      </c>
      <c r="G181" s="216">
        <v>10.0</v>
      </c>
      <c r="H181" s="216">
        <v>300.0</v>
      </c>
      <c r="I181" s="11">
        <f t="shared" si="10"/>
        <v>3000</v>
      </c>
      <c r="J181" s="11" t="s">
        <v>178</v>
      </c>
      <c r="K181" s="93"/>
      <c r="L181" s="93" t="s">
        <v>2062</v>
      </c>
      <c r="M181" s="93" t="s">
        <v>1947</v>
      </c>
      <c r="N181" s="217" t="s">
        <v>892</v>
      </c>
      <c r="O181" s="11" t="str">
        <f>IMAGE("https://encrypted-tbn0.gstatic.com/images?q=tbn:ANd9GcQ9HdcUbkhENGQnNmIni640zFk33IAUdUx_x0uluq_AFf1Hud04FBhhZQFZXM2xrHw_7W4&amp;usqp=CAU",1)</f>
        <v/>
      </c>
      <c r="P181" s="78" t="s">
        <v>1688</v>
      </c>
      <c r="Q181" s="74"/>
      <c r="R181" s="75"/>
      <c r="S181" s="12"/>
      <c r="T181" s="11"/>
      <c r="U181" s="12">
        <v>1.0</v>
      </c>
      <c r="V181" s="11" t="s">
        <v>1755</v>
      </c>
      <c r="W181" s="332">
        <v>1.0</v>
      </c>
      <c r="X181" s="332">
        <f t="shared" si="4"/>
        <v>1</v>
      </c>
      <c r="Y181" s="332" t="s">
        <v>173</v>
      </c>
      <c r="Z181" s="332"/>
    </row>
    <row r="182" ht="76.5" customHeight="1">
      <c r="A182" s="221">
        <v>181.0</v>
      </c>
      <c r="B182" s="11" t="s">
        <v>173</v>
      </c>
      <c r="C182" s="241" t="s">
        <v>894</v>
      </c>
      <c r="D182" s="242" t="s">
        <v>895</v>
      </c>
      <c r="E182" s="215" t="s">
        <v>891</v>
      </c>
      <c r="F182" s="216">
        <v>10.0</v>
      </c>
      <c r="G182" s="216">
        <v>10.0</v>
      </c>
      <c r="H182" s="216">
        <v>200.0</v>
      </c>
      <c r="I182" s="11">
        <f t="shared" si="10"/>
        <v>2000</v>
      </c>
      <c r="J182" s="11" t="s">
        <v>178</v>
      </c>
      <c r="K182" s="93"/>
      <c r="L182" s="93" t="s">
        <v>2070</v>
      </c>
      <c r="M182" s="93" t="s">
        <v>1947</v>
      </c>
      <c r="N182" s="217" t="s">
        <v>896</v>
      </c>
      <c r="O182" s="11" t="str">
        <f>IMAGE("https://m.media-amazon.com/images/W/MEDIAX_792452-T2/images/I/612Fb4y5P6S._SL1100_.jpg",1)</f>
        <v/>
      </c>
      <c r="P182" s="78" t="s">
        <v>1688</v>
      </c>
      <c r="Q182" s="74"/>
      <c r="R182" s="75"/>
      <c r="S182" s="12"/>
      <c r="T182" s="11"/>
      <c r="U182" s="12">
        <v>1.0</v>
      </c>
      <c r="V182" s="11" t="s">
        <v>1756</v>
      </c>
      <c r="W182" s="332">
        <v>1.0</v>
      </c>
      <c r="X182" s="332">
        <f t="shared" si="4"/>
        <v>1</v>
      </c>
      <c r="Y182" s="332" t="s">
        <v>173</v>
      </c>
      <c r="Z182" s="332"/>
    </row>
    <row r="183" ht="76.5" customHeight="1">
      <c r="A183" s="221">
        <v>182.0</v>
      </c>
      <c r="B183" s="11" t="s">
        <v>173</v>
      </c>
      <c r="C183" s="241" t="s">
        <v>910</v>
      </c>
      <c r="D183" s="242" t="s">
        <v>911</v>
      </c>
      <c r="E183" s="215" t="s">
        <v>891</v>
      </c>
      <c r="F183" s="216">
        <v>20.0</v>
      </c>
      <c r="G183" s="216">
        <v>20.0</v>
      </c>
      <c r="H183" s="216">
        <v>15.0</v>
      </c>
      <c r="I183" s="11">
        <f t="shared" si="10"/>
        <v>300</v>
      </c>
      <c r="J183" s="11" t="s">
        <v>178</v>
      </c>
      <c r="K183" s="93"/>
      <c r="L183" s="93" t="s">
        <v>2070</v>
      </c>
      <c r="M183" s="93" t="s">
        <v>1903</v>
      </c>
      <c r="N183" s="217" t="s">
        <v>912</v>
      </c>
      <c r="O183" s="11" t="str">
        <f>IMAGE("https://ashokaonlineshop.in/wp-content/uploads/2022/11/650nm-Mini-Laser-Dot-Diode-Module1.jpeg",1)</f>
        <v/>
      </c>
      <c r="P183" s="78" t="s">
        <v>1688</v>
      </c>
      <c r="Q183" s="79"/>
      <c r="R183" s="80"/>
      <c r="S183" s="12"/>
      <c r="T183" s="11"/>
      <c r="U183" s="12">
        <v>1.0</v>
      </c>
      <c r="V183" s="11" t="s">
        <v>1752</v>
      </c>
      <c r="W183" s="332">
        <v>1.0</v>
      </c>
      <c r="X183" s="332">
        <f t="shared" si="4"/>
        <v>1</v>
      </c>
      <c r="Y183" s="332" t="s">
        <v>173</v>
      </c>
      <c r="Z183" s="344"/>
    </row>
    <row r="184" ht="76.5" customHeight="1">
      <c r="A184" s="221">
        <v>183.0</v>
      </c>
      <c r="B184" s="11" t="s">
        <v>173</v>
      </c>
      <c r="C184" s="241" t="s">
        <v>914</v>
      </c>
      <c r="D184" s="242" t="s">
        <v>1811</v>
      </c>
      <c r="E184" s="215" t="s">
        <v>891</v>
      </c>
      <c r="F184" s="216">
        <v>10.0</v>
      </c>
      <c r="G184" s="216">
        <v>10.0</v>
      </c>
      <c r="H184" s="216">
        <v>300.0</v>
      </c>
      <c r="I184" s="11">
        <f t="shared" si="10"/>
        <v>3000</v>
      </c>
      <c r="J184" s="11" t="s">
        <v>178</v>
      </c>
      <c r="K184" s="93"/>
      <c r="L184" s="93" t="s">
        <v>2062</v>
      </c>
      <c r="M184" s="93" t="s">
        <v>1956</v>
      </c>
      <c r="N184" s="217" t="s">
        <v>916</v>
      </c>
      <c r="O184" s="11" t="str">
        <f>IMAGE("https://m.media-amazon.com/images/I/51l+Qhaiu3L._SL1000_.jpg",1)</f>
        <v/>
      </c>
      <c r="P184" s="78" t="s">
        <v>1688</v>
      </c>
      <c r="Q184" s="74"/>
      <c r="R184" s="75"/>
      <c r="S184" s="12"/>
      <c r="T184" s="11"/>
      <c r="U184" s="12">
        <v>1.0</v>
      </c>
      <c r="V184" s="11" t="s">
        <v>1812</v>
      </c>
      <c r="W184" s="332">
        <v>1.0</v>
      </c>
      <c r="X184" s="332">
        <f t="shared" si="4"/>
        <v>1</v>
      </c>
      <c r="Y184" s="332" t="s">
        <v>173</v>
      </c>
      <c r="Z184" s="332"/>
    </row>
    <row r="185" ht="76.5" customHeight="1">
      <c r="A185" s="221">
        <v>184.0</v>
      </c>
      <c r="B185" s="11" t="s">
        <v>173</v>
      </c>
      <c r="C185" s="241" t="s">
        <v>918</v>
      </c>
      <c r="D185" s="242" t="s">
        <v>1820</v>
      </c>
      <c r="E185" s="215" t="s">
        <v>891</v>
      </c>
      <c r="F185" s="216">
        <v>10.0</v>
      </c>
      <c r="G185" s="216">
        <v>10.0</v>
      </c>
      <c r="H185" s="216">
        <v>100.0</v>
      </c>
      <c r="I185" s="11">
        <f t="shared" si="10"/>
        <v>1000</v>
      </c>
      <c r="J185" s="11" t="s">
        <v>178</v>
      </c>
      <c r="K185" s="93"/>
      <c r="L185" s="93" t="s">
        <v>2089</v>
      </c>
      <c r="M185" s="93" t="s">
        <v>1905</v>
      </c>
      <c r="N185" s="217" t="s">
        <v>920</v>
      </c>
      <c r="O185" s="11" t="str">
        <f>IMAGE("https://rukminim1.flixcart.com/image/850/1000/k62i5jk0/solar-panel/7/g/q/diy-projects-6v-80ma-wire-attached-mini-power-solar-cells-for-original-imafzm93vcqqnsat.jpeg?q=20")</f>
        <v/>
      </c>
      <c r="P185" s="78" t="s">
        <v>1688</v>
      </c>
      <c r="Q185" s="74"/>
      <c r="R185" s="75"/>
      <c r="S185" s="12"/>
      <c r="T185" s="11"/>
      <c r="U185" s="12">
        <v>1.0</v>
      </c>
      <c r="V185" s="11" t="s">
        <v>1819</v>
      </c>
      <c r="W185" s="332">
        <v>1.0</v>
      </c>
      <c r="X185" s="332">
        <f t="shared" si="4"/>
        <v>1</v>
      </c>
      <c r="Y185" s="332" t="s">
        <v>173</v>
      </c>
      <c r="Z185" s="332"/>
    </row>
    <row r="186" ht="76.5" customHeight="1">
      <c r="A186" s="221">
        <v>185.0</v>
      </c>
      <c r="B186" s="11" t="s">
        <v>173</v>
      </c>
      <c r="C186" s="241" t="s">
        <v>939</v>
      </c>
      <c r="D186" s="242" t="s">
        <v>940</v>
      </c>
      <c r="E186" s="215" t="s">
        <v>891</v>
      </c>
      <c r="F186" s="216">
        <v>5.0</v>
      </c>
      <c r="G186" s="216">
        <v>5.0</v>
      </c>
      <c r="H186" s="216">
        <v>250.0</v>
      </c>
      <c r="I186" s="11">
        <f t="shared" si="10"/>
        <v>1250</v>
      </c>
      <c r="J186" s="11" t="s">
        <v>178</v>
      </c>
      <c r="K186" s="93"/>
      <c r="L186" s="93" t="s">
        <v>2062</v>
      </c>
      <c r="M186" s="93" t="s">
        <v>1947</v>
      </c>
      <c r="N186" s="217"/>
      <c r="O186" s="11" t="str">
        <f>IMAGE("https://robu.in/wp-content/uploads/2016/03/Ublox-Neo-6M-GPS.jpg",1)</f>
        <v/>
      </c>
      <c r="P186" s="78" t="s">
        <v>1688</v>
      </c>
      <c r="Q186" s="74"/>
      <c r="R186" s="75"/>
      <c r="S186" s="12"/>
      <c r="T186" s="11"/>
      <c r="U186" s="12">
        <v>1.0</v>
      </c>
      <c r="V186" s="11" t="s">
        <v>1814</v>
      </c>
      <c r="W186" s="332">
        <v>1.0</v>
      </c>
      <c r="X186" s="332">
        <f t="shared" si="4"/>
        <v>1</v>
      </c>
      <c r="Y186" s="332" t="s">
        <v>173</v>
      </c>
      <c r="Z186" s="332"/>
    </row>
    <row r="187" ht="76.5" customHeight="1">
      <c r="A187" s="221">
        <v>186.0</v>
      </c>
      <c r="B187" s="11" t="s">
        <v>173</v>
      </c>
      <c r="C187" s="241" t="s">
        <v>942</v>
      </c>
      <c r="D187" s="242" t="s">
        <v>943</v>
      </c>
      <c r="E187" s="215" t="s">
        <v>891</v>
      </c>
      <c r="F187" s="216">
        <v>5.0</v>
      </c>
      <c r="G187" s="216">
        <v>5.0</v>
      </c>
      <c r="H187" s="216">
        <v>40.0</v>
      </c>
      <c r="I187" s="11">
        <f t="shared" si="10"/>
        <v>200</v>
      </c>
      <c r="J187" s="11" t="s">
        <v>178</v>
      </c>
      <c r="K187" s="93"/>
      <c r="L187" s="93" t="s">
        <v>2070</v>
      </c>
      <c r="M187" s="93" t="s">
        <v>1947</v>
      </c>
      <c r="N187" s="217" t="s">
        <v>944</v>
      </c>
      <c r="O187" s="11" t="str">
        <f>IMAGE("https://m.media-amazon.com/images/W/MEDIAX_792452-T2/images/I/51cWZAAMiWL._SL1000_.jpg",1)</f>
        <v/>
      </c>
      <c r="P187" s="78" t="s">
        <v>1688</v>
      </c>
      <c r="Q187" s="74"/>
      <c r="R187" s="75"/>
      <c r="S187" s="12"/>
      <c r="T187" s="11"/>
      <c r="U187" s="12">
        <v>1.0</v>
      </c>
      <c r="V187" s="11" t="s">
        <v>1815</v>
      </c>
      <c r="W187" s="332">
        <v>1.0</v>
      </c>
      <c r="X187" s="332">
        <f t="shared" si="4"/>
        <v>1</v>
      </c>
      <c r="Y187" s="332" t="s">
        <v>173</v>
      </c>
      <c r="Z187" s="332"/>
    </row>
    <row r="188" ht="76.5" customHeight="1">
      <c r="A188" s="221">
        <v>187.0</v>
      </c>
      <c r="B188" s="11" t="s">
        <v>173</v>
      </c>
      <c r="C188" s="241" t="s">
        <v>946</v>
      </c>
      <c r="D188" s="242" t="s">
        <v>947</v>
      </c>
      <c r="E188" s="215" t="s">
        <v>891</v>
      </c>
      <c r="F188" s="216">
        <v>5.0</v>
      </c>
      <c r="G188" s="216">
        <v>5.0</v>
      </c>
      <c r="H188" s="216">
        <v>40.0</v>
      </c>
      <c r="I188" s="11">
        <f t="shared" si="10"/>
        <v>200</v>
      </c>
      <c r="J188" s="11" t="s">
        <v>178</v>
      </c>
      <c r="K188" s="93"/>
      <c r="L188" s="93" t="s">
        <v>2070</v>
      </c>
      <c r="M188" s="93" t="s">
        <v>1947</v>
      </c>
      <c r="N188" s="217"/>
      <c r="O188" s="11" t="str">
        <f>IMAGE("https://m.media-amazon.com/images/W/MEDIAX_792452-T2/images/I/61wbYlIdx0L._SL1500_.jpg",1)</f>
        <v/>
      </c>
      <c r="P188" s="78" t="s">
        <v>1688</v>
      </c>
      <c r="Q188" s="74"/>
      <c r="R188" s="75"/>
      <c r="S188" s="12"/>
      <c r="T188" s="11"/>
      <c r="U188" s="12">
        <v>1.0</v>
      </c>
      <c r="V188" s="11" t="s">
        <v>1819</v>
      </c>
      <c r="W188" s="332">
        <v>1.0</v>
      </c>
      <c r="X188" s="332">
        <f t="shared" si="4"/>
        <v>1</v>
      </c>
      <c r="Y188" s="332" t="s">
        <v>173</v>
      </c>
      <c r="Z188" s="344"/>
    </row>
    <row r="189" ht="76.5" customHeight="1">
      <c r="A189" s="221">
        <v>188.0</v>
      </c>
      <c r="B189" s="11" t="s">
        <v>173</v>
      </c>
      <c r="C189" s="11" t="s">
        <v>949</v>
      </c>
      <c r="D189" s="93" t="s">
        <v>950</v>
      </c>
      <c r="E189" s="215" t="s">
        <v>891</v>
      </c>
      <c r="F189" s="216">
        <v>10.0</v>
      </c>
      <c r="G189" s="216">
        <v>10.0</v>
      </c>
      <c r="H189" s="216">
        <v>40.0</v>
      </c>
      <c r="I189" s="11">
        <f t="shared" si="10"/>
        <v>400</v>
      </c>
      <c r="J189" s="11" t="s">
        <v>178</v>
      </c>
      <c r="K189" s="93"/>
      <c r="L189" s="93" t="s">
        <v>2062</v>
      </c>
      <c r="M189" s="93" t="s">
        <v>1947</v>
      </c>
      <c r="N189" s="217" t="s">
        <v>951</v>
      </c>
      <c r="O189" s="11" t="str">
        <f>IMAGE("https://5.imimg.com/data5/SELLER/Default/2022/9/HX/YZ/GJ/43948449/micro-sd-card-adapter-with-level-shifter-500x500.png",1)</f>
        <v/>
      </c>
      <c r="P189" s="78" t="s">
        <v>1688</v>
      </c>
      <c r="Q189" s="74"/>
      <c r="R189" s="75"/>
      <c r="S189" s="12"/>
      <c r="T189" s="11"/>
      <c r="U189" s="12">
        <v>1.0</v>
      </c>
      <c r="V189" s="11" t="s">
        <v>1809</v>
      </c>
      <c r="W189" s="332">
        <v>1.0</v>
      </c>
      <c r="X189" s="332">
        <f t="shared" si="4"/>
        <v>1</v>
      </c>
      <c r="Y189" s="332" t="s">
        <v>173</v>
      </c>
      <c r="Z189" s="332"/>
    </row>
    <row r="190" ht="76.5" customHeight="1">
      <c r="A190" s="221">
        <v>189.0</v>
      </c>
      <c r="B190" s="11" t="s">
        <v>173</v>
      </c>
      <c r="C190" s="11" t="s">
        <v>957</v>
      </c>
      <c r="D190" s="93" t="s">
        <v>1760</v>
      </c>
      <c r="E190" s="215" t="s">
        <v>891</v>
      </c>
      <c r="F190" s="216">
        <v>5.0</v>
      </c>
      <c r="G190" s="216">
        <v>5.0</v>
      </c>
      <c r="H190" s="216">
        <v>95.0</v>
      </c>
      <c r="I190" s="11">
        <f t="shared" si="10"/>
        <v>475</v>
      </c>
      <c r="J190" s="11" t="s">
        <v>178</v>
      </c>
      <c r="K190" s="93"/>
      <c r="L190" s="93" t="s">
        <v>2070</v>
      </c>
      <c r="M190" s="93" t="s">
        <v>1947</v>
      </c>
      <c r="N190" s="217" t="s">
        <v>959</v>
      </c>
      <c r="O190" s="11" t="str">
        <f>IMAGE("https://m.media-amazon.com/images/I/41Y-5b4TQcL.jpg",1)</f>
        <v/>
      </c>
      <c r="P190" s="78" t="s">
        <v>1688</v>
      </c>
      <c r="Q190" s="74"/>
      <c r="R190" s="75"/>
      <c r="S190" s="12"/>
      <c r="T190" s="11"/>
      <c r="U190" s="12">
        <v>1.0</v>
      </c>
      <c r="V190" s="11" t="s">
        <v>1761</v>
      </c>
      <c r="W190" s="332">
        <v>1.0</v>
      </c>
      <c r="X190" s="332">
        <f t="shared" si="4"/>
        <v>1</v>
      </c>
      <c r="Y190" s="332" t="s">
        <v>173</v>
      </c>
      <c r="Z190" s="332"/>
    </row>
    <row r="191" ht="76.5" customHeight="1">
      <c r="A191" s="221">
        <v>190.0</v>
      </c>
      <c r="B191" s="11" t="s">
        <v>173</v>
      </c>
      <c r="C191" s="11" t="s">
        <v>1379</v>
      </c>
      <c r="D191" s="93" t="s">
        <v>1380</v>
      </c>
      <c r="E191" s="215" t="s">
        <v>1359</v>
      </c>
      <c r="F191" s="216">
        <v>10.0</v>
      </c>
      <c r="G191" s="216">
        <v>10.0</v>
      </c>
      <c r="H191" s="216">
        <v>20.0</v>
      </c>
      <c r="I191" s="11">
        <f t="shared" si="10"/>
        <v>200</v>
      </c>
      <c r="J191" s="11" t="s">
        <v>178</v>
      </c>
      <c r="K191" s="93"/>
      <c r="L191" s="93" t="s">
        <v>2070</v>
      </c>
      <c r="M191" s="93" t="s">
        <v>1954</v>
      </c>
      <c r="N191" s="217" t="s">
        <v>1381</v>
      </c>
      <c r="O191" s="11" t="str">
        <f>IMAGE("https://robu.in/wp-content/uploads/2020/09/DC3-6V-130-DIY-Toy-Motor-2-Pcs.-1.png",1)</f>
        <v/>
      </c>
      <c r="P191" s="78" t="s">
        <v>1688</v>
      </c>
      <c r="Q191" s="79"/>
      <c r="R191" s="80"/>
      <c r="S191" s="12"/>
      <c r="T191" s="11"/>
      <c r="U191" s="12">
        <v>1.0</v>
      </c>
      <c r="V191" s="11" t="s">
        <v>1834</v>
      </c>
      <c r="W191" s="332">
        <v>1.0</v>
      </c>
      <c r="X191" s="332">
        <f t="shared" si="4"/>
        <v>1</v>
      </c>
      <c r="Y191" s="332" t="s">
        <v>173</v>
      </c>
      <c r="Z191" s="332"/>
    </row>
    <row r="192" ht="76.5" customHeight="1">
      <c r="A192" s="221">
        <v>191.0</v>
      </c>
      <c r="B192" s="11" t="s">
        <v>173</v>
      </c>
      <c r="C192" s="11" t="s">
        <v>1387</v>
      </c>
      <c r="D192" s="93" t="s">
        <v>1388</v>
      </c>
      <c r="E192" s="215" t="s">
        <v>1359</v>
      </c>
      <c r="F192" s="216">
        <v>5.0</v>
      </c>
      <c r="G192" s="216">
        <v>5.0</v>
      </c>
      <c r="H192" s="216">
        <v>90.0</v>
      </c>
      <c r="I192" s="11">
        <f t="shared" si="10"/>
        <v>450</v>
      </c>
      <c r="J192" s="11" t="s">
        <v>178</v>
      </c>
      <c r="K192" s="93"/>
      <c r="L192" s="93" t="s">
        <v>2070</v>
      </c>
      <c r="M192" s="93" t="s">
        <v>1954</v>
      </c>
      <c r="N192" s="217"/>
      <c r="O192" s="11" t="str">
        <f>IMAGE("https://robu.in/wp-content/uploads/2016/04/61nEdk-NxSL._SY355_.jpg",1)</f>
        <v/>
      </c>
      <c r="P192" s="78" t="s">
        <v>1688</v>
      </c>
      <c r="Q192" s="74"/>
      <c r="R192" s="75"/>
      <c r="S192" s="12"/>
      <c r="T192" s="11"/>
      <c r="U192" s="12">
        <v>1.0</v>
      </c>
      <c r="V192" s="11" t="s">
        <v>1830</v>
      </c>
      <c r="W192" s="332">
        <v>1.0</v>
      </c>
      <c r="X192" s="332">
        <f t="shared" si="4"/>
        <v>1</v>
      </c>
      <c r="Y192" s="332" t="s">
        <v>173</v>
      </c>
      <c r="Z192" s="332"/>
    </row>
    <row r="193" ht="76.5" customHeight="1">
      <c r="A193" s="221">
        <v>192.0</v>
      </c>
      <c r="B193" s="11" t="s">
        <v>173</v>
      </c>
      <c r="C193" s="11" t="s">
        <v>1512</v>
      </c>
      <c r="D193" s="93" t="s">
        <v>1767</v>
      </c>
      <c r="E193" s="215" t="s">
        <v>1514</v>
      </c>
      <c r="F193" s="216">
        <v>10.0</v>
      </c>
      <c r="G193" s="216">
        <v>10.0</v>
      </c>
      <c r="H193" s="216">
        <v>300.0</v>
      </c>
      <c r="I193" s="11">
        <f t="shared" si="10"/>
        <v>3000</v>
      </c>
      <c r="J193" s="11" t="s">
        <v>178</v>
      </c>
      <c r="K193" s="93"/>
      <c r="L193" s="93" t="s">
        <v>2062</v>
      </c>
      <c r="M193" s="215" t="s">
        <v>1514</v>
      </c>
      <c r="N193" s="217" t="s">
        <v>1515</v>
      </c>
      <c r="O193" s="11" t="str">
        <f>IMAGE("https://m.media-amazon.com/images/I/61PFvg8BbeL._SL1500_.jpg",1)</f>
        <v/>
      </c>
      <c r="P193" s="78" t="s">
        <v>1688</v>
      </c>
      <c r="Q193" s="74"/>
      <c r="R193" s="75"/>
      <c r="S193" s="12"/>
      <c r="T193" s="11"/>
      <c r="U193" s="12">
        <v>1.0</v>
      </c>
      <c r="V193" s="11" t="s">
        <v>1768</v>
      </c>
      <c r="W193" s="332">
        <v>1.0</v>
      </c>
      <c r="X193" s="332">
        <f t="shared" si="4"/>
        <v>1</v>
      </c>
      <c r="Y193" s="332" t="s">
        <v>173</v>
      </c>
      <c r="Z193" s="332"/>
    </row>
    <row r="194" ht="76.5" customHeight="1">
      <c r="A194" s="221">
        <v>193.0</v>
      </c>
      <c r="B194" s="11" t="s">
        <v>173</v>
      </c>
      <c r="C194" s="11" t="s">
        <v>1517</v>
      </c>
      <c r="D194" s="93" t="s">
        <v>1824</v>
      </c>
      <c r="E194" s="215" t="s">
        <v>1514</v>
      </c>
      <c r="F194" s="216">
        <v>5.0</v>
      </c>
      <c r="G194" s="216">
        <v>5.0</v>
      </c>
      <c r="H194" s="216">
        <v>30.0</v>
      </c>
      <c r="I194" s="11">
        <f t="shared" si="10"/>
        <v>150</v>
      </c>
      <c r="J194" s="11" t="s">
        <v>178</v>
      </c>
      <c r="K194" s="93"/>
      <c r="L194" s="93" t="s">
        <v>2070</v>
      </c>
      <c r="M194" s="215" t="s">
        <v>1514</v>
      </c>
      <c r="N194" s="217" t="s">
        <v>1519</v>
      </c>
      <c r="O194" s="11" t="str">
        <f>IMAGE("https://robu.in/wp-content/uploads/2017/06/31100-2.jpg",1)</f>
        <v/>
      </c>
      <c r="P194" s="78" t="s">
        <v>1688</v>
      </c>
      <c r="Q194" s="74"/>
      <c r="R194" s="75"/>
      <c r="S194" s="12"/>
      <c r="T194" s="11"/>
      <c r="U194" s="12">
        <v>1.0</v>
      </c>
      <c r="V194" s="11" t="s">
        <v>1823</v>
      </c>
      <c r="W194" s="332">
        <v>1.0</v>
      </c>
      <c r="X194" s="332">
        <f t="shared" si="4"/>
        <v>1</v>
      </c>
      <c r="Y194" s="332" t="s">
        <v>173</v>
      </c>
      <c r="Z194" s="332"/>
    </row>
    <row r="195" ht="76.5" customHeight="1">
      <c r="A195" s="221">
        <v>194.0</v>
      </c>
      <c r="B195" s="11" t="s">
        <v>173</v>
      </c>
      <c r="C195" s="11" t="s">
        <v>1521</v>
      </c>
      <c r="D195" s="93" t="s">
        <v>1744</v>
      </c>
      <c r="E195" s="215" t="s">
        <v>1514</v>
      </c>
      <c r="F195" s="216">
        <v>5.0</v>
      </c>
      <c r="G195" s="216">
        <v>5.0</v>
      </c>
      <c r="H195" s="216">
        <v>200.0</v>
      </c>
      <c r="I195" s="11">
        <f t="shared" si="10"/>
        <v>1000</v>
      </c>
      <c r="J195" s="11" t="s">
        <v>178</v>
      </c>
      <c r="K195" s="93"/>
      <c r="L195" s="93" t="s">
        <v>2070</v>
      </c>
      <c r="M195" s="215" t="s">
        <v>1514</v>
      </c>
      <c r="N195" s="217" t="s">
        <v>1523</v>
      </c>
      <c r="O195" s="11" t="str">
        <f>IMAGE("https://m.media-amazon.com/images/W/MEDIAX_792452-T2/images/I/71PSVpNRPuL._SL1500_.jpg",1)</f>
        <v/>
      </c>
      <c r="P195" s="78" t="s">
        <v>1688</v>
      </c>
      <c r="Q195" s="74"/>
      <c r="R195" s="75"/>
      <c r="S195" s="12"/>
      <c r="T195" s="11"/>
      <c r="U195" s="12">
        <v>1.0</v>
      </c>
      <c r="V195" s="11" t="s">
        <v>1774</v>
      </c>
      <c r="W195" s="332">
        <v>1.0</v>
      </c>
      <c r="X195" s="332">
        <f t="shared" si="4"/>
        <v>1</v>
      </c>
      <c r="Y195" s="332" t="s">
        <v>173</v>
      </c>
      <c r="Z195" s="332"/>
    </row>
    <row r="196" ht="76.5" customHeight="1">
      <c r="A196" s="221">
        <v>195.0</v>
      </c>
      <c r="B196" s="11" t="s">
        <v>173</v>
      </c>
      <c r="C196" s="11" t="s">
        <v>1525</v>
      </c>
      <c r="D196" s="93" t="s">
        <v>1526</v>
      </c>
      <c r="E196" s="215" t="s">
        <v>1514</v>
      </c>
      <c r="F196" s="216">
        <v>5.0</v>
      </c>
      <c r="G196" s="216">
        <v>5.0</v>
      </c>
      <c r="H196" s="216">
        <v>250.0</v>
      </c>
      <c r="I196" s="11">
        <f t="shared" si="10"/>
        <v>1250</v>
      </c>
      <c r="J196" s="11" t="s">
        <v>178</v>
      </c>
      <c r="K196" s="93"/>
      <c r="L196" s="93" t="s">
        <v>2070</v>
      </c>
      <c r="M196" s="215" t="s">
        <v>1514</v>
      </c>
      <c r="N196" s="217" t="s">
        <v>1527</v>
      </c>
      <c r="O196" s="11" t="str">
        <f>IMAGE("https://robu.in/wp-content/uploads/2016/08/2-1.jpg",1)</f>
        <v/>
      </c>
      <c r="P196" s="78" t="s">
        <v>1688</v>
      </c>
      <c r="Q196" s="74"/>
      <c r="R196" s="75"/>
      <c r="S196" s="12"/>
      <c r="T196" s="11"/>
      <c r="U196" s="12">
        <v>1.0</v>
      </c>
      <c r="V196" s="11" t="s">
        <v>1784</v>
      </c>
      <c r="W196" s="332">
        <v>1.0</v>
      </c>
      <c r="X196" s="332">
        <f t="shared" si="4"/>
        <v>1</v>
      </c>
      <c r="Y196" s="332" t="s">
        <v>173</v>
      </c>
      <c r="Z196" s="332"/>
    </row>
    <row r="197" ht="76.5" customHeight="1">
      <c r="A197" s="221">
        <v>196.0</v>
      </c>
      <c r="B197" s="11" t="s">
        <v>173</v>
      </c>
      <c r="C197" s="11" t="s">
        <v>1529</v>
      </c>
      <c r="D197" s="93" t="s">
        <v>1530</v>
      </c>
      <c r="E197" s="215" t="s">
        <v>1514</v>
      </c>
      <c r="F197" s="216">
        <v>5.0</v>
      </c>
      <c r="G197" s="216">
        <v>5.0</v>
      </c>
      <c r="H197" s="216">
        <v>250.0</v>
      </c>
      <c r="I197" s="11">
        <f t="shared" si="10"/>
        <v>1250</v>
      </c>
      <c r="J197" s="11" t="s">
        <v>178</v>
      </c>
      <c r="K197" s="93"/>
      <c r="L197" s="93" t="s">
        <v>2070</v>
      </c>
      <c r="M197" s="215" t="s">
        <v>1514</v>
      </c>
      <c r="N197" s="217" t="s">
        <v>1531</v>
      </c>
      <c r="O197" s="11" t="str">
        <f>IMAGE("https://5.imimg.com/data5/SELLER/Default/2023/1/KQ/RE/WN/37611021/unique-india-force-pressure-sensor-square-500x500.jpg",1)</f>
        <v/>
      </c>
      <c r="P197" s="78" t="s">
        <v>1688</v>
      </c>
      <c r="Q197" s="74"/>
      <c r="R197" s="75"/>
      <c r="S197" s="12"/>
      <c r="T197" s="11"/>
      <c r="U197" s="12">
        <v>1.0</v>
      </c>
      <c r="V197" s="11" t="s">
        <v>1783</v>
      </c>
      <c r="W197" s="332">
        <v>1.0</v>
      </c>
      <c r="X197" s="332">
        <f t="shared" si="4"/>
        <v>1</v>
      </c>
      <c r="Y197" s="332" t="s">
        <v>173</v>
      </c>
      <c r="Z197" s="332"/>
    </row>
    <row r="198" ht="76.5" customHeight="1">
      <c r="A198" s="221">
        <v>197.0</v>
      </c>
      <c r="B198" s="11" t="s">
        <v>173</v>
      </c>
      <c r="C198" s="11" t="s">
        <v>1533</v>
      </c>
      <c r="D198" s="93" t="s">
        <v>1781</v>
      </c>
      <c r="E198" s="215" t="s">
        <v>1514</v>
      </c>
      <c r="F198" s="216">
        <v>10.0</v>
      </c>
      <c r="G198" s="216">
        <v>10.0</v>
      </c>
      <c r="H198" s="216">
        <v>300.0</v>
      </c>
      <c r="I198" s="11">
        <f t="shared" si="10"/>
        <v>3000</v>
      </c>
      <c r="J198" s="11" t="s">
        <v>178</v>
      </c>
      <c r="K198" s="93"/>
      <c r="L198" s="93" t="s">
        <v>2062</v>
      </c>
      <c r="M198" s="215" t="s">
        <v>1514</v>
      </c>
      <c r="N198" s="217" t="s">
        <v>1535</v>
      </c>
      <c r="O198" s="11" t="str">
        <f>IMAGE("https://m.media-amazon.com/images/W/MEDIAX_792452-T2/images/I/61e+2rew8OL._SL1011_.jpg",1)</f>
        <v/>
      </c>
      <c r="P198" s="78" t="s">
        <v>1688</v>
      </c>
      <c r="Q198" s="74"/>
      <c r="R198" s="75"/>
      <c r="S198" s="12"/>
      <c r="T198" s="11"/>
      <c r="U198" s="12">
        <v>1.0</v>
      </c>
      <c r="V198" s="11" t="s">
        <v>1782</v>
      </c>
      <c r="W198" s="332">
        <v>1.0</v>
      </c>
      <c r="X198" s="332">
        <f t="shared" si="4"/>
        <v>1</v>
      </c>
      <c r="Y198" s="332" t="s">
        <v>173</v>
      </c>
      <c r="Z198" s="332"/>
    </row>
    <row r="199" ht="76.5" customHeight="1">
      <c r="A199" s="221">
        <v>198.0</v>
      </c>
      <c r="B199" s="11" t="s">
        <v>173</v>
      </c>
      <c r="C199" s="11" t="s">
        <v>1537</v>
      </c>
      <c r="D199" s="93" t="s">
        <v>1791</v>
      </c>
      <c r="E199" s="215" t="s">
        <v>1514</v>
      </c>
      <c r="F199" s="216">
        <v>5.0</v>
      </c>
      <c r="G199" s="216">
        <v>5.0</v>
      </c>
      <c r="H199" s="216">
        <v>30.0</v>
      </c>
      <c r="I199" s="11">
        <f t="shared" si="10"/>
        <v>150</v>
      </c>
      <c r="J199" s="11" t="s">
        <v>178</v>
      </c>
      <c r="K199" s="93"/>
      <c r="L199" s="93" t="s">
        <v>2070</v>
      </c>
      <c r="M199" s="215" t="s">
        <v>1514</v>
      </c>
      <c r="N199" s="217" t="s">
        <v>1539</v>
      </c>
      <c r="O199" s="11" t="str">
        <f>IMAGE("https://makerbazar.in/cdn/shop/products/IR_transmitter-receiver_-_TSOP_1738_600x.jpg?v=1582114496",1)</f>
        <v/>
      </c>
      <c r="P199" s="330" t="s">
        <v>1688</v>
      </c>
      <c r="Q199" s="331"/>
      <c r="R199" s="75"/>
      <c r="S199" s="253"/>
      <c r="T199" s="11"/>
      <c r="U199" s="12">
        <v>1.0</v>
      </c>
      <c r="V199" s="11" t="s">
        <v>1788</v>
      </c>
      <c r="W199" s="332">
        <v>1.0</v>
      </c>
      <c r="X199" s="332">
        <f t="shared" si="4"/>
        <v>1</v>
      </c>
      <c r="Y199" s="332" t="s">
        <v>173</v>
      </c>
      <c r="Z199" s="332"/>
    </row>
    <row r="200" ht="76.5" customHeight="1">
      <c r="A200" s="221">
        <v>199.0</v>
      </c>
      <c r="B200" s="11" t="s">
        <v>173</v>
      </c>
      <c r="C200" s="11" t="s">
        <v>1541</v>
      </c>
      <c r="D200" s="93" t="s">
        <v>1786</v>
      </c>
      <c r="E200" s="215" t="s">
        <v>1514</v>
      </c>
      <c r="F200" s="216">
        <v>5.0</v>
      </c>
      <c r="G200" s="216">
        <v>5.0</v>
      </c>
      <c r="H200" s="216">
        <v>250.0</v>
      </c>
      <c r="I200" s="11">
        <f t="shared" si="10"/>
        <v>1250</v>
      </c>
      <c r="J200" s="11" t="s">
        <v>178</v>
      </c>
      <c r="K200" s="93"/>
      <c r="L200" s="93" t="s">
        <v>2062</v>
      </c>
      <c r="M200" s="215" t="s">
        <v>1514</v>
      </c>
      <c r="N200" s="217" t="s">
        <v>1543</v>
      </c>
      <c r="O200" s="11" t="str">
        <f>IMAGE("https://makerbazar.in/cdn/shop/products/IR-Array_2048x2048_29f53719-c65f-4f67-a7f9-06b99966bf49_400x.jpg?v=1628014848",1)</f>
        <v/>
      </c>
      <c r="P200" s="78" t="s">
        <v>1688</v>
      </c>
      <c r="Q200" s="74"/>
      <c r="R200" s="75"/>
      <c r="S200" s="12"/>
      <c r="T200" s="11"/>
      <c r="U200" s="12">
        <v>1.0</v>
      </c>
      <c r="V200" s="11" t="s">
        <v>1787</v>
      </c>
      <c r="W200" s="332">
        <v>1.0</v>
      </c>
      <c r="X200" s="332">
        <f t="shared" si="4"/>
        <v>1</v>
      </c>
      <c r="Y200" s="332" t="s">
        <v>173</v>
      </c>
      <c r="Z200" s="332"/>
    </row>
    <row r="201" ht="76.5" customHeight="1">
      <c r="A201" s="221">
        <v>200.0</v>
      </c>
      <c r="B201" s="11" t="s">
        <v>173</v>
      </c>
      <c r="C201" s="11" t="s">
        <v>1545</v>
      </c>
      <c r="D201" s="93" t="s">
        <v>1546</v>
      </c>
      <c r="E201" s="215" t="s">
        <v>1514</v>
      </c>
      <c r="F201" s="216">
        <v>10.0</v>
      </c>
      <c r="G201" s="216">
        <v>10.0</v>
      </c>
      <c r="H201" s="216">
        <v>30.0</v>
      </c>
      <c r="I201" s="11">
        <f t="shared" si="10"/>
        <v>300</v>
      </c>
      <c r="J201" s="11" t="s">
        <v>178</v>
      </c>
      <c r="K201" s="93"/>
      <c r="L201" s="93" t="s">
        <v>2062</v>
      </c>
      <c r="M201" s="215" t="s">
        <v>1514</v>
      </c>
      <c r="N201" s="217" t="s">
        <v>1547</v>
      </c>
      <c r="O201" s="11" t="str">
        <f>IMAGE("https://robu.in/wp-content/uploads/2017/05/LDR-module-1.png",1)</f>
        <v/>
      </c>
      <c r="P201" s="78" t="s">
        <v>1688</v>
      </c>
      <c r="Q201" s="74"/>
      <c r="R201" s="75"/>
      <c r="S201" s="12"/>
      <c r="T201" s="11"/>
      <c r="U201" s="12">
        <v>1.0</v>
      </c>
      <c r="V201" s="11" t="s">
        <v>1782</v>
      </c>
      <c r="W201" s="332">
        <v>1.0</v>
      </c>
      <c r="X201" s="332">
        <f t="shared" si="4"/>
        <v>1</v>
      </c>
      <c r="Y201" s="332" t="s">
        <v>173</v>
      </c>
      <c r="Z201" s="332"/>
    </row>
    <row r="202" ht="76.5" customHeight="1">
      <c r="A202" s="221">
        <v>201.0</v>
      </c>
      <c r="B202" s="11" t="s">
        <v>173</v>
      </c>
      <c r="C202" s="11" t="s">
        <v>1549</v>
      </c>
      <c r="D202" s="93" t="s">
        <v>1775</v>
      </c>
      <c r="E202" s="215" t="s">
        <v>1514</v>
      </c>
      <c r="F202" s="216">
        <v>5.0</v>
      </c>
      <c r="G202" s="216">
        <v>5.0</v>
      </c>
      <c r="H202" s="216">
        <v>90.0</v>
      </c>
      <c r="I202" s="11">
        <f t="shared" si="10"/>
        <v>450</v>
      </c>
      <c r="J202" s="11" t="s">
        <v>178</v>
      </c>
      <c r="K202" s="93"/>
      <c r="L202" s="93" t="s">
        <v>2062</v>
      </c>
      <c r="M202" s="215" t="s">
        <v>1514</v>
      </c>
      <c r="N202" s="217" t="s">
        <v>1551</v>
      </c>
      <c r="O202" s="11" t="str">
        <f>IMAGE("https://m.media-amazon.com/images/W/MEDIAX_792452-T2/images/I/7158I82c4bL._SL1500_.jpg",1)</f>
        <v/>
      </c>
      <c r="P202" s="78" t="s">
        <v>1688</v>
      </c>
      <c r="Q202" s="74"/>
      <c r="R202" s="75"/>
      <c r="S202" s="12"/>
      <c r="T202" s="11"/>
      <c r="U202" s="12">
        <v>1.0</v>
      </c>
      <c r="V202" s="11" t="s">
        <v>1776</v>
      </c>
      <c r="W202" s="332">
        <v>1.0</v>
      </c>
      <c r="X202" s="332">
        <f t="shared" si="4"/>
        <v>1</v>
      </c>
      <c r="Y202" s="332" t="s">
        <v>173</v>
      </c>
      <c r="Z202" s="332"/>
    </row>
    <row r="203" ht="76.5" customHeight="1">
      <c r="A203" s="221">
        <v>202.0</v>
      </c>
      <c r="B203" s="11" t="s">
        <v>173</v>
      </c>
      <c r="C203" s="11" t="s">
        <v>1553</v>
      </c>
      <c r="D203" s="93" t="s">
        <v>1822</v>
      </c>
      <c r="E203" s="215" t="s">
        <v>1514</v>
      </c>
      <c r="F203" s="216">
        <v>5.0</v>
      </c>
      <c r="G203" s="216">
        <v>5.0</v>
      </c>
      <c r="H203" s="216">
        <v>150.0</v>
      </c>
      <c r="I203" s="11">
        <f t="shared" si="10"/>
        <v>750</v>
      </c>
      <c r="J203" s="11" t="s">
        <v>178</v>
      </c>
      <c r="K203" s="93"/>
      <c r="L203" s="93" t="s">
        <v>2070</v>
      </c>
      <c r="M203" s="215" t="s">
        <v>1514</v>
      </c>
      <c r="N203" s="217" t="s">
        <v>1555</v>
      </c>
      <c r="O203" s="11" t="str">
        <f>IMAGE("https://robu.in/wp-content/uploads/2017/09/download-1-2.jpg",1)</f>
        <v/>
      </c>
      <c r="P203" s="78" t="s">
        <v>1688</v>
      </c>
      <c r="Q203" s="74"/>
      <c r="R203" s="75"/>
      <c r="S203" s="12"/>
      <c r="T203" s="11"/>
      <c r="U203" s="12">
        <v>1.0</v>
      </c>
      <c r="V203" s="11" t="s">
        <v>1823</v>
      </c>
      <c r="W203" s="332">
        <v>1.0</v>
      </c>
      <c r="X203" s="332">
        <f t="shared" si="4"/>
        <v>1</v>
      </c>
      <c r="Y203" s="332" t="s">
        <v>173</v>
      </c>
      <c r="Z203" s="332"/>
    </row>
    <row r="204" ht="76.5" customHeight="1">
      <c r="A204" s="221">
        <v>203.0</v>
      </c>
      <c r="B204" s="11" t="s">
        <v>173</v>
      </c>
      <c r="C204" s="11" t="s">
        <v>1557</v>
      </c>
      <c r="D204" s="93" t="s">
        <v>1758</v>
      </c>
      <c r="E204" s="215" t="s">
        <v>1514</v>
      </c>
      <c r="F204" s="216">
        <v>10.0</v>
      </c>
      <c r="G204" s="216">
        <v>10.0</v>
      </c>
      <c r="H204" s="216">
        <v>40.0</v>
      </c>
      <c r="I204" s="11">
        <f t="shared" si="10"/>
        <v>400</v>
      </c>
      <c r="J204" s="11" t="s">
        <v>178</v>
      </c>
      <c r="K204" s="93"/>
      <c r="L204" s="93" t="s">
        <v>2062</v>
      </c>
      <c r="M204" s="215" t="s">
        <v>1514</v>
      </c>
      <c r="N204" s="217"/>
      <c r="O204" s="11" t="str">
        <f>IMAGE("https://cdn.shopify.com/s/files/1/0088/0056/7392/products/Sound_Detector_Module.jpg?v=1566646449",1)</f>
        <v/>
      </c>
      <c r="P204" s="78" t="s">
        <v>1688</v>
      </c>
      <c r="Q204" s="74"/>
      <c r="R204" s="75"/>
      <c r="S204" s="12"/>
      <c r="T204" s="11"/>
      <c r="U204" s="12">
        <v>1.0</v>
      </c>
      <c r="V204" s="11" t="s">
        <v>1759</v>
      </c>
      <c r="W204" s="332">
        <v>1.0</v>
      </c>
      <c r="X204" s="332">
        <f t="shared" si="4"/>
        <v>1</v>
      </c>
      <c r="Y204" s="332" t="s">
        <v>173</v>
      </c>
      <c r="Z204" s="332"/>
    </row>
    <row r="205" ht="76.5" customHeight="1">
      <c r="A205" s="221">
        <v>204.0</v>
      </c>
      <c r="B205" s="11" t="s">
        <v>173</v>
      </c>
      <c r="C205" s="11" t="s">
        <v>1560</v>
      </c>
      <c r="D205" s="93" t="s">
        <v>1789</v>
      </c>
      <c r="E205" s="215" t="s">
        <v>1514</v>
      </c>
      <c r="F205" s="216">
        <v>10.0</v>
      </c>
      <c r="G205" s="216">
        <v>10.0</v>
      </c>
      <c r="H205" s="216">
        <v>200.0</v>
      </c>
      <c r="I205" s="11">
        <f t="shared" si="10"/>
        <v>2000</v>
      </c>
      <c r="J205" s="11" t="s">
        <v>178</v>
      </c>
      <c r="K205" s="93"/>
      <c r="L205" s="93" t="s">
        <v>2062</v>
      </c>
      <c r="M205" s="215" t="s">
        <v>1514</v>
      </c>
      <c r="N205" s="217" t="s">
        <v>1562</v>
      </c>
      <c r="O205" s="11" t="str">
        <f>IMAGE("https://encrypted-tbn0.gstatic.com/images?q=tbn:ANd9GcRrIyUWjQ1rnIJDwYms78skSv9zbdkdml4sTR1WfoKl6GFD5OWnZULG8H98AB-i394c3VQ&amp;usqp=CAU",1)</f>
        <v/>
      </c>
      <c r="P205" s="78" t="s">
        <v>1688</v>
      </c>
      <c r="Q205" s="74"/>
      <c r="R205" s="75"/>
      <c r="S205" s="12"/>
      <c r="T205" s="11"/>
      <c r="U205" s="12">
        <v>1.0</v>
      </c>
      <c r="V205" s="11" t="s">
        <v>1790</v>
      </c>
      <c r="W205" s="332">
        <v>1.0</v>
      </c>
      <c r="X205" s="332">
        <f t="shared" si="4"/>
        <v>1</v>
      </c>
      <c r="Y205" s="332" t="s">
        <v>173</v>
      </c>
      <c r="Z205" s="332"/>
    </row>
    <row r="206" ht="76.5" customHeight="1">
      <c r="A206" s="221">
        <v>205.0</v>
      </c>
      <c r="B206" s="11" t="s">
        <v>173</v>
      </c>
      <c r="C206" s="11" t="s">
        <v>1564</v>
      </c>
      <c r="D206" s="93" t="s">
        <v>2149</v>
      </c>
      <c r="E206" s="215" t="s">
        <v>1514</v>
      </c>
      <c r="F206" s="216">
        <v>5.0</v>
      </c>
      <c r="G206" s="216">
        <v>5.0</v>
      </c>
      <c r="H206" s="216">
        <v>95.0</v>
      </c>
      <c r="I206" s="11">
        <f t="shared" si="10"/>
        <v>475</v>
      </c>
      <c r="J206" s="11" t="s">
        <v>178</v>
      </c>
      <c r="K206" s="93"/>
      <c r="L206" s="93" t="s">
        <v>2070</v>
      </c>
      <c r="M206" s="215" t="s">
        <v>1514</v>
      </c>
      <c r="N206" s="217" t="s">
        <v>1566</v>
      </c>
      <c r="O206" s="11" t="str">
        <f>IMAGE("https://robu.in/wp-content/uploads/2019/05/MAX30100-Pulse-Oximeter-Heart-Rate-Sensor-Module-2.jpg",1)</f>
        <v/>
      </c>
      <c r="P206" s="78" t="s">
        <v>1688</v>
      </c>
      <c r="Q206" s="74"/>
      <c r="R206" s="75"/>
      <c r="S206" s="12"/>
      <c r="T206" s="11"/>
      <c r="U206" s="12">
        <v>1.0</v>
      </c>
      <c r="V206" s="11" t="s">
        <v>1766</v>
      </c>
      <c r="W206" s="332">
        <v>1.0</v>
      </c>
      <c r="X206" s="332">
        <f t="shared" si="4"/>
        <v>1</v>
      </c>
      <c r="Y206" s="332" t="s">
        <v>173</v>
      </c>
      <c r="Z206" s="332"/>
    </row>
    <row r="207" ht="76.5" customHeight="1">
      <c r="A207" s="221">
        <v>206.0</v>
      </c>
      <c r="B207" s="11" t="s">
        <v>173</v>
      </c>
      <c r="C207" s="11" t="s">
        <v>1568</v>
      </c>
      <c r="D207" s="93" t="s">
        <v>1769</v>
      </c>
      <c r="E207" s="215" t="s">
        <v>1514</v>
      </c>
      <c r="F207" s="216">
        <v>5.0</v>
      </c>
      <c r="G207" s="216">
        <v>5.0</v>
      </c>
      <c r="H207" s="216">
        <v>125.0</v>
      </c>
      <c r="I207" s="11">
        <f t="shared" si="10"/>
        <v>625</v>
      </c>
      <c r="J207" s="11" t="s">
        <v>178</v>
      </c>
      <c r="K207" s="93"/>
      <c r="L207" s="93" t="s">
        <v>2070</v>
      </c>
      <c r="M207" s="215" t="s">
        <v>1514</v>
      </c>
      <c r="N207" s="217"/>
      <c r="O207" s="11" t="str">
        <f>IMAGE("https://makerbazar.in/cdn/shop/products/Untitled-1_39_1_60x.jpg?v=1637233670",1)</f>
        <v/>
      </c>
      <c r="P207" s="78" t="s">
        <v>1688</v>
      </c>
      <c r="Q207" s="74"/>
      <c r="R207" s="75"/>
      <c r="S207" s="12"/>
      <c r="T207" s="11"/>
      <c r="U207" s="12">
        <v>1.0</v>
      </c>
      <c r="V207" s="11" t="s">
        <v>1770</v>
      </c>
      <c r="W207" s="332">
        <v>1.0</v>
      </c>
      <c r="X207" s="332">
        <f t="shared" si="4"/>
        <v>1</v>
      </c>
      <c r="Y207" s="332" t="s">
        <v>173</v>
      </c>
      <c r="Z207" s="332"/>
    </row>
    <row r="208" ht="76.5" customHeight="1">
      <c r="A208" s="221">
        <v>207.0</v>
      </c>
      <c r="B208" s="11" t="s">
        <v>173</v>
      </c>
      <c r="C208" s="11" t="s">
        <v>1571</v>
      </c>
      <c r="D208" s="93" t="s">
        <v>1772</v>
      </c>
      <c r="E208" s="215" t="s">
        <v>1514</v>
      </c>
      <c r="F208" s="216">
        <v>5.0</v>
      </c>
      <c r="G208" s="216">
        <v>5.0</v>
      </c>
      <c r="H208" s="216">
        <v>75.0</v>
      </c>
      <c r="I208" s="11">
        <f t="shared" si="10"/>
        <v>375</v>
      </c>
      <c r="J208" s="11" t="s">
        <v>178</v>
      </c>
      <c r="K208" s="93"/>
      <c r="L208" s="93" t="s">
        <v>2062</v>
      </c>
      <c r="M208" s="215" t="s">
        <v>1514</v>
      </c>
      <c r="N208" s="217" t="s">
        <v>1573</v>
      </c>
      <c r="O208" s="11" t="str">
        <f>IMAGE("https://5.imimg.com/data5/SELLER/Default/2021/6/XN/UI/NS/84973740/mq2-flammable-gas-and-smoke-sensor-module-500x500.jpg",1)</f>
        <v/>
      </c>
      <c r="P208" s="78" t="s">
        <v>1688</v>
      </c>
      <c r="Q208" s="74"/>
      <c r="R208" s="75"/>
      <c r="S208" s="12"/>
      <c r="T208" s="11"/>
      <c r="U208" s="12">
        <v>1.0</v>
      </c>
      <c r="V208" s="11" t="s">
        <v>1773</v>
      </c>
      <c r="W208" s="332">
        <v>1.0</v>
      </c>
      <c r="X208" s="332">
        <f t="shared" si="4"/>
        <v>1</v>
      </c>
      <c r="Y208" s="332" t="s">
        <v>173</v>
      </c>
      <c r="Z208" s="332"/>
    </row>
    <row r="209" ht="76.5" customHeight="1">
      <c r="A209" s="221">
        <v>208.0</v>
      </c>
      <c r="B209" s="11" t="s">
        <v>173</v>
      </c>
      <c r="C209" s="11" t="s">
        <v>1575</v>
      </c>
      <c r="D209" s="93" t="s">
        <v>1576</v>
      </c>
      <c r="E209" s="215" t="s">
        <v>1514</v>
      </c>
      <c r="F209" s="216">
        <v>10.0</v>
      </c>
      <c r="G209" s="216">
        <v>10.0</v>
      </c>
      <c r="H209" s="216">
        <v>40.0</v>
      </c>
      <c r="I209" s="11">
        <f t="shared" si="10"/>
        <v>400</v>
      </c>
      <c r="J209" s="11" t="s">
        <v>178</v>
      </c>
      <c r="K209" s="93"/>
      <c r="L209" s="93" t="s">
        <v>2062</v>
      </c>
      <c r="M209" s="215" t="s">
        <v>1514</v>
      </c>
      <c r="N209" s="217" t="s">
        <v>1577</v>
      </c>
      <c r="O209" s="11" t="str">
        <f>IMAGE("https://robu.in/wp-content/uploads/2016/03/12251.jpg",1)</f>
        <v/>
      </c>
      <c r="P209" s="78" t="s">
        <v>1688</v>
      </c>
      <c r="Q209" s="74"/>
      <c r="R209" s="75"/>
      <c r="S209" s="12"/>
      <c r="T209" s="11"/>
      <c r="U209" s="12">
        <v>1.0</v>
      </c>
      <c r="V209" s="11" t="s">
        <v>1794</v>
      </c>
      <c r="W209" s="332">
        <v>1.0</v>
      </c>
      <c r="X209" s="332">
        <f t="shared" si="4"/>
        <v>1</v>
      </c>
      <c r="Y209" s="332" t="s">
        <v>173</v>
      </c>
      <c r="Z209" s="332"/>
    </row>
    <row r="210" ht="76.5" customHeight="1">
      <c r="A210" s="221">
        <v>209.0</v>
      </c>
      <c r="B210" s="11" t="s">
        <v>173</v>
      </c>
      <c r="C210" s="11" t="s">
        <v>1579</v>
      </c>
      <c r="D210" s="258" t="s">
        <v>1763</v>
      </c>
      <c r="E210" s="215" t="s">
        <v>1514</v>
      </c>
      <c r="F210" s="216">
        <v>5.0</v>
      </c>
      <c r="G210" s="216">
        <v>5.0</v>
      </c>
      <c r="H210" s="216">
        <v>130.0</v>
      </c>
      <c r="I210" s="11">
        <f t="shared" si="10"/>
        <v>650</v>
      </c>
      <c r="J210" s="11" t="s">
        <v>178</v>
      </c>
      <c r="K210" s="93"/>
      <c r="L210" s="93" t="s">
        <v>2062</v>
      </c>
      <c r="M210" s="215" t="s">
        <v>1514</v>
      </c>
      <c r="N210" s="217" t="s">
        <v>1581</v>
      </c>
      <c r="O210" s="11" t="str">
        <f>IMAGE("https://m.media-amazon.com/images/W/MEDIAX_792452-T2/images/I/61QNSpIV-GL._SL1000_.jpg",1)</f>
        <v/>
      </c>
      <c r="P210" s="78" t="s">
        <v>1688</v>
      </c>
      <c r="Q210" s="74"/>
      <c r="R210" s="75"/>
      <c r="S210" s="12"/>
      <c r="T210" s="11"/>
      <c r="U210" s="12">
        <v>1.0</v>
      </c>
      <c r="V210" s="11" t="s">
        <v>1764</v>
      </c>
      <c r="W210" s="332">
        <v>1.0</v>
      </c>
      <c r="X210" s="332">
        <f t="shared" si="4"/>
        <v>1</v>
      </c>
      <c r="Y210" s="332" t="s">
        <v>173</v>
      </c>
      <c r="Z210" s="332"/>
    </row>
    <row r="211" ht="76.5" customHeight="1">
      <c r="A211" s="221">
        <v>210.0</v>
      </c>
      <c r="B211" s="11" t="s">
        <v>173</v>
      </c>
      <c r="C211" s="11" t="s">
        <v>1583</v>
      </c>
      <c r="D211" s="93" t="s">
        <v>1584</v>
      </c>
      <c r="E211" s="215" t="s">
        <v>1514</v>
      </c>
      <c r="F211" s="216">
        <v>10.0</v>
      </c>
      <c r="G211" s="216">
        <v>10.0</v>
      </c>
      <c r="H211" s="216">
        <v>60.0</v>
      </c>
      <c r="I211" s="11">
        <f t="shared" si="10"/>
        <v>600</v>
      </c>
      <c r="J211" s="11" t="s">
        <v>178</v>
      </c>
      <c r="K211" s="93"/>
      <c r="L211" s="93" t="s">
        <v>2062</v>
      </c>
      <c r="M211" s="215" t="s">
        <v>1514</v>
      </c>
      <c r="N211" s="217" t="s">
        <v>1585</v>
      </c>
      <c r="O211" s="11" t="str">
        <f>IMAGE("https://projecthubbharat.com/wp-content/uploads/2022/02/dht-11-sensor-module-india-800x800-1.jpg",1)</f>
        <v/>
      </c>
      <c r="P211" s="78" t="s">
        <v>1688</v>
      </c>
      <c r="Q211" s="74"/>
      <c r="R211" s="75"/>
      <c r="S211" s="12"/>
      <c r="T211" s="11"/>
      <c r="U211" s="12">
        <v>1.0</v>
      </c>
      <c r="V211" s="11" t="s">
        <v>1797</v>
      </c>
      <c r="W211" s="332">
        <v>1.0</v>
      </c>
      <c r="X211" s="332">
        <f t="shared" si="4"/>
        <v>1</v>
      </c>
      <c r="Y211" s="332" t="s">
        <v>173</v>
      </c>
      <c r="Z211" s="332"/>
    </row>
    <row r="212" ht="76.5" customHeight="1">
      <c r="A212" s="221">
        <v>211.0</v>
      </c>
      <c r="B212" s="11" t="s">
        <v>173</v>
      </c>
      <c r="C212" s="11" t="s">
        <v>1587</v>
      </c>
      <c r="D212" s="93" t="s">
        <v>1795</v>
      </c>
      <c r="E212" s="215" t="s">
        <v>1514</v>
      </c>
      <c r="F212" s="216">
        <v>10.0</v>
      </c>
      <c r="G212" s="216">
        <v>10.0</v>
      </c>
      <c r="H212" s="216">
        <v>50.0</v>
      </c>
      <c r="I212" s="11">
        <f t="shared" si="10"/>
        <v>500</v>
      </c>
      <c r="J212" s="11" t="s">
        <v>178</v>
      </c>
      <c r="K212" s="93"/>
      <c r="L212" s="93" t="s">
        <v>2070</v>
      </c>
      <c r="M212" s="215" t="s">
        <v>1514</v>
      </c>
      <c r="N212" s="217" t="s">
        <v>1589</v>
      </c>
      <c r="O212" s="11" t="str">
        <f>IMAGE("https://potentiallabs.com/cart/image/cache/catalog/nov-dec/DS18B20-500x500-500x500.jpg",1)</f>
        <v/>
      </c>
      <c r="P212" s="78" t="s">
        <v>1688</v>
      </c>
      <c r="Q212" s="74"/>
      <c r="R212" s="75"/>
      <c r="S212" s="12"/>
      <c r="T212" s="11"/>
      <c r="U212" s="12">
        <v>1.0</v>
      </c>
      <c r="V212" s="11" t="s">
        <v>1796</v>
      </c>
      <c r="W212" s="332">
        <v>1.0</v>
      </c>
      <c r="X212" s="332">
        <f t="shared" si="4"/>
        <v>1</v>
      </c>
      <c r="Y212" s="332" t="s">
        <v>173</v>
      </c>
      <c r="Z212" s="332"/>
    </row>
    <row r="213" ht="76.5" customHeight="1">
      <c r="A213" s="221">
        <v>212.0</v>
      </c>
      <c r="B213" s="11" t="s">
        <v>173</v>
      </c>
      <c r="C213" s="11" t="s">
        <v>1591</v>
      </c>
      <c r="D213" s="93" t="s">
        <v>1798</v>
      </c>
      <c r="E213" s="215" t="s">
        <v>1514</v>
      </c>
      <c r="F213" s="216">
        <v>20.0</v>
      </c>
      <c r="G213" s="216">
        <v>20.0</v>
      </c>
      <c r="H213" s="216">
        <v>5.0</v>
      </c>
      <c r="I213" s="11">
        <f t="shared" si="10"/>
        <v>100</v>
      </c>
      <c r="J213" s="11" t="s">
        <v>178</v>
      </c>
      <c r="K213" s="93"/>
      <c r="L213" s="93" t="s">
        <v>2070</v>
      </c>
      <c r="M213" s="215" t="s">
        <v>1514</v>
      </c>
      <c r="N213" s="217" t="s">
        <v>1593</v>
      </c>
      <c r="O213" s="216" t="str">
        <f>IMAGE("https://5.imimg.com/data5/SELLER/Default/2021/9/HF/RK/UF/37611021/10k-ohm-ntc-thermistor-500x500.jpg",1)</f>
        <v/>
      </c>
      <c r="P213" s="78" t="s">
        <v>1688</v>
      </c>
      <c r="Q213" s="74"/>
      <c r="R213" s="75"/>
      <c r="S213" s="12"/>
      <c r="T213" s="11"/>
      <c r="U213" s="12">
        <v>1.0</v>
      </c>
      <c r="V213" s="11" t="s">
        <v>1796</v>
      </c>
      <c r="W213" s="332">
        <v>1.0</v>
      </c>
      <c r="X213" s="332">
        <f t="shared" si="4"/>
        <v>1</v>
      </c>
      <c r="Y213" s="332" t="s">
        <v>173</v>
      </c>
      <c r="Z213" s="332"/>
    </row>
    <row r="214" ht="76.5" customHeight="1">
      <c r="A214" s="221">
        <v>213.0</v>
      </c>
      <c r="B214" s="11" t="s">
        <v>173</v>
      </c>
      <c r="C214" s="11" t="s">
        <v>1595</v>
      </c>
      <c r="D214" s="93" t="s">
        <v>1777</v>
      </c>
      <c r="E214" s="215" t="s">
        <v>1514</v>
      </c>
      <c r="F214" s="216">
        <v>5.0</v>
      </c>
      <c r="G214" s="216">
        <v>5.0</v>
      </c>
      <c r="H214" s="216">
        <v>150.0</v>
      </c>
      <c r="I214" s="11">
        <f t="shared" si="10"/>
        <v>750</v>
      </c>
      <c r="J214" s="11" t="s">
        <v>178</v>
      </c>
      <c r="K214" s="93"/>
      <c r="L214" s="93" t="s">
        <v>2070</v>
      </c>
      <c r="M214" s="215" t="s">
        <v>1514</v>
      </c>
      <c r="N214" s="217" t="s">
        <v>1597</v>
      </c>
      <c r="O214" s="11" t="str">
        <f>IMAGE("https://media.distrelec.com/Web/WebShopImages/landscape_large/7-/01/Adafruit_163_30129187-01.jpg",1)</f>
        <v/>
      </c>
      <c r="P214" s="78" t="s">
        <v>1688</v>
      </c>
      <c r="Q214" s="74"/>
      <c r="R214" s="75"/>
      <c r="S214" s="12"/>
      <c r="T214" s="11"/>
      <c r="U214" s="12">
        <v>1.0</v>
      </c>
      <c r="V214" s="11" t="s">
        <v>1778</v>
      </c>
      <c r="W214" s="332">
        <v>1.0</v>
      </c>
      <c r="X214" s="332">
        <f t="shared" si="4"/>
        <v>1</v>
      </c>
      <c r="Y214" s="332" t="s">
        <v>173</v>
      </c>
      <c r="Z214" s="332"/>
    </row>
    <row r="215" ht="76.5" customHeight="1">
      <c r="A215" s="221">
        <v>214.0</v>
      </c>
      <c r="B215" s="11" t="s">
        <v>173</v>
      </c>
      <c r="C215" s="11" t="s">
        <v>1618</v>
      </c>
      <c r="D215" s="93" t="s">
        <v>1619</v>
      </c>
      <c r="E215" s="215" t="s">
        <v>1514</v>
      </c>
      <c r="F215" s="216">
        <v>10.0</v>
      </c>
      <c r="G215" s="216">
        <v>10.0</v>
      </c>
      <c r="H215" s="216">
        <v>50.0</v>
      </c>
      <c r="I215" s="11">
        <f t="shared" si="10"/>
        <v>500</v>
      </c>
      <c r="J215" s="11" t="s">
        <v>178</v>
      </c>
      <c r="K215" s="93"/>
      <c r="L215" s="93" t="s">
        <v>2062</v>
      </c>
      <c r="M215" s="215" t="s">
        <v>1514</v>
      </c>
      <c r="N215" s="217" t="s">
        <v>1620</v>
      </c>
      <c r="O215" s="11" t="str">
        <f>IMAGE("https://i0.wp.com/superbtech.in/wp-content/uploads/2020/07/2-60.jpg?fit=500%2C500&amp;ssl=1",1)</f>
        <v/>
      </c>
      <c r="P215" s="78" t="s">
        <v>1688</v>
      </c>
      <c r="Q215" s="74"/>
      <c r="R215" s="75"/>
      <c r="S215" s="12"/>
      <c r="T215" s="11"/>
      <c r="U215" s="12">
        <v>1.0</v>
      </c>
      <c r="V215" s="11" t="s">
        <v>1801</v>
      </c>
      <c r="W215" s="332">
        <v>1.0</v>
      </c>
      <c r="X215" s="332">
        <f t="shared" si="4"/>
        <v>1</v>
      </c>
      <c r="Y215" s="332" t="s">
        <v>173</v>
      </c>
      <c r="Z215" s="332"/>
    </row>
    <row r="216" ht="76.5" customHeight="1">
      <c r="A216" s="221">
        <v>215.0</v>
      </c>
      <c r="B216" s="11" t="s">
        <v>173</v>
      </c>
      <c r="C216" s="11" t="s">
        <v>175</v>
      </c>
      <c r="D216" s="93" t="s">
        <v>176</v>
      </c>
      <c r="E216" s="215" t="s">
        <v>177</v>
      </c>
      <c r="F216" s="216">
        <v>5.0</v>
      </c>
      <c r="G216" s="216">
        <v>5.0</v>
      </c>
      <c r="H216" s="216">
        <v>250.0</v>
      </c>
      <c r="I216" s="11">
        <f t="shared" si="10"/>
        <v>1250</v>
      </c>
      <c r="J216" s="11" t="s">
        <v>178</v>
      </c>
      <c r="K216" s="93"/>
      <c r="L216" s="93" t="s">
        <v>1895</v>
      </c>
      <c r="M216" s="93" t="s">
        <v>1905</v>
      </c>
      <c r="N216" s="217" t="s">
        <v>180</v>
      </c>
      <c r="O216" s="11" t="str">
        <f>IMAGE("https://robu.in/wp-content/uploads/2021/05/EU-Plug-Universal-Battery-Charger-For-18650-16340-14500-Li-ion-Rechargeable-Battery-Charger-3.jpg",1)</f>
        <v/>
      </c>
      <c r="P216" s="78" t="s">
        <v>1688</v>
      </c>
      <c r="Q216" s="74"/>
      <c r="R216" s="75"/>
      <c r="S216" s="12"/>
      <c r="T216" s="11"/>
      <c r="U216" s="12">
        <v>1.0</v>
      </c>
      <c r="V216" s="11" t="s">
        <v>2033</v>
      </c>
      <c r="W216" s="332">
        <v>1.0</v>
      </c>
      <c r="X216" s="332">
        <f t="shared" si="4"/>
        <v>1</v>
      </c>
      <c r="Y216" s="332" t="str">
        <f t="shared" ref="Y216:Y310" si="18">LEFT(V216,1)</f>
        <v>E</v>
      </c>
      <c r="Z216" s="332"/>
    </row>
    <row r="217" ht="76.5" customHeight="1">
      <c r="A217" s="221">
        <v>216.0</v>
      </c>
      <c r="B217" s="11" t="s">
        <v>173</v>
      </c>
      <c r="C217" s="11" t="s">
        <v>182</v>
      </c>
      <c r="D217" s="93" t="s">
        <v>1906</v>
      </c>
      <c r="E217" s="215" t="s">
        <v>177</v>
      </c>
      <c r="F217" s="216">
        <v>5.0</v>
      </c>
      <c r="G217" s="216">
        <v>5.0</v>
      </c>
      <c r="H217" s="216">
        <v>100.0</v>
      </c>
      <c r="I217" s="11">
        <f t="shared" si="10"/>
        <v>500</v>
      </c>
      <c r="J217" s="11" t="s">
        <v>178</v>
      </c>
      <c r="K217" s="93"/>
      <c r="L217" s="93" t="s">
        <v>1594</v>
      </c>
      <c r="M217" s="93" t="s">
        <v>1907</v>
      </c>
      <c r="N217" s="223" t="s">
        <v>185</v>
      </c>
      <c r="O217" s="11" t="str">
        <f>IMAGE("https://rukminim2.flixcart.com/image/832/832/krs40i80/worldwide-adaptor/f/7/g/pack-of-1-power-adapter-12v-2-amp-dual-pin-for-charger-with-original-imag5hmbvgzazbzz.jpeg?q=70",1)</f>
        <v/>
      </c>
      <c r="P217" s="78" t="s">
        <v>1688</v>
      </c>
      <c r="Q217" s="74"/>
      <c r="R217" s="75"/>
      <c r="S217" s="12"/>
      <c r="T217" s="11"/>
      <c r="U217" s="12">
        <v>1.0</v>
      </c>
      <c r="V217" s="11" t="s">
        <v>2034</v>
      </c>
      <c r="W217" s="332">
        <v>1.0</v>
      </c>
      <c r="X217" s="332">
        <f t="shared" si="4"/>
        <v>1</v>
      </c>
      <c r="Y217" s="332" t="str">
        <f t="shared" si="18"/>
        <v>E</v>
      </c>
      <c r="Z217" s="332"/>
    </row>
    <row r="218" ht="76.5" customHeight="1">
      <c r="A218" s="221">
        <v>217.0</v>
      </c>
      <c r="B218" s="11" t="s">
        <v>173</v>
      </c>
      <c r="C218" s="11" t="s">
        <v>187</v>
      </c>
      <c r="D218" s="93" t="s">
        <v>1908</v>
      </c>
      <c r="E218" s="215" t="s">
        <v>177</v>
      </c>
      <c r="F218" s="216">
        <v>5.0</v>
      </c>
      <c r="G218" s="216">
        <v>5.0</v>
      </c>
      <c r="H218" s="216">
        <v>300.0</v>
      </c>
      <c r="I218" s="11">
        <f t="shared" si="10"/>
        <v>1500</v>
      </c>
      <c r="J218" s="11" t="s">
        <v>178</v>
      </c>
      <c r="K218" s="93"/>
      <c r="L218" s="93" t="s">
        <v>1594</v>
      </c>
      <c r="M218" s="93" t="s">
        <v>1909</v>
      </c>
      <c r="N218" s="217" t="s">
        <v>189</v>
      </c>
      <c r="O218" s="11" t="str">
        <f>IMAGE("https://m.media-amazon.com/images/I/6161NXWtz-L._SL1500_.jpg",1)</f>
        <v/>
      </c>
      <c r="P218" s="78" t="s">
        <v>1688</v>
      </c>
      <c r="Q218" s="74"/>
      <c r="R218" s="75"/>
      <c r="S218" s="12"/>
      <c r="T218" s="11"/>
      <c r="U218" s="12">
        <v>1.0</v>
      </c>
      <c r="V218" s="11" t="s">
        <v>2035</v>
      </c>
      <c r="W218" s="332">
        <v>1.0</v>
      </c>
      <c r="X218" s="332">
        <f t="shared" si="4"/>
        <v>1</v>
      </c>
      <c r="Y218" s="332" t="str">
        <f t="shared" si="18"/>
        <v>E</v>
      </c>
      <c r="Z218" s="332"/>
    </row>
    <row r="219" ht="76.5" customHeight="1">
      <c r="A219" s="221">
        <v>218.0</v>
      </c>
      <c r="B219" s="11" t="s">
        <v>173</v>
      </c>
      <c r="C219" s="11" t="s">
        <v>191</v>
      </c>
      <c r="D219" s="93" t="s">
        <v>1910</v>
      </c>
      <c r="E219" s="215" t="s">
        <v>177</v>
      </c>
      <c r="F219" s="216">
        <v>20.0</v>
      </c>
      <c r="G219" s="216">
        <v>20.0</v>
      </c>
      <c r="H219" s="216">
        <v>6.0</v>
      </c>
      <c r="I219" s="11">
        <f t="shared" si="10"/>
        <v>120</v>
      </c>
      <c r="J219" s="11" t="s">
        <v>178</v>
      </c>
      <c r="K219" s="93"/>
      <c r="L219" s="93" t="s">
        <v>1895</v>
      </c>
      <c r="M219" s="93" t="s">
        <v>1909</v>
      </c>
      <c r="N219" s="217" t="s">
        <v>195</v>
      </c>
      <c r="O219" s="11" t="str">
        <f>IMAGE("https://i0.wp.com/www.rytronics.in/wp-content/uploads/2021/09/9v-batter-connector-snap-connector02.jpg?fit=1000%2C1000&amp;ssl=1",1)</f>
        <v/>
      </c>
      <c r="P219" s="78" t="s">
        <v>1688</v>
      </c>
      <c r="Q219" s="74"/>
      <c r="R219" s="75"/>
      <c r="S219" s="12"/>
      <c r="T219" s="11"/>
      <c r="U219" s="12">
        <v>1.0</v>
      </c>
      <c r="V219" s="221" t="s">
        <v>2036</v>
      </c>
      <c r="W219" s="332">
        <v>1.0</v>
      </c>
      <c r="X219" s="332">
        <f t="shared" si="4"/>
        <v>1</v>
      </c>
      <c r="Y219" s="332" t="str">
        <f t="shared" si="18"/>
        <v>E</v>
      </c>
      <c r="Z219" s="332"/>
    </row>
    <row r="220" ht="76.5" customHeight="1">
      <c r="A220" s="221">
        <v>219.0</v>
      </c>
      <c r="B220" s="11" t="s">
        <v>173</v>
      </c>
      <c r="C220" s="11" t="s">
        <v>197</v>
      </c>
      <c r="D220" s="93" t="s">
        <v>1911</v>
      </c>
      <c r="E220" s="215" t="s">
        <v>177</v>
      </c>
      <c r="F220" s="216">
        <v>15.0</v>
      </c>
      <c r="G220" s="216">
        <v>15.0</v>
      </c>
      <c r="H220" s="216">
        <v>20.0</v>
      </c>
      <c r="I220" s="11">
        <f t="shared" si="10"/>
        <v>300</v>
      </c>
      <c r="J220" s="11" t="s">
        <v>178</v>
      </c>
      <c r="K220" s="93"/>
      <c r="L220" s="93" t="s">
        <v>1895</v>
      </c>
      <c r="M220" s="93" t="s">
        <v>1909</v>
      </c>
      <c r="N220" s="217" t="s">
        <v>199</v>
      </c>
      <c r="O220" s="11" t="str">
        <f>IMAGE("https://m.media-amazon.com/images/W/MEDIAX_792452-T2/images/I/61UPqH4BXuL.SS700.jpg",1)</f>
        <v/>
      </c>
      <c r="P220" s="78" t="s">
        <v>1688</v>
      </c>
      <c r="Q220" s="74"/>
      <c r="R220" s="75"/>
      <c r="S220" s="12"/>
      <c r="T220" s="11"/>
      <c r="U220" s="12">
        <v>1.0</v>
      </c>
      <c r="V220" s="221" t="s">
        <v>2036</v>
      </c>
      <c r="W220" s="332">
        <v>1.0</v>
      </c>
      <c r="X220" s="332">
        <f t="shared" si="4"/>
        <v>1</v>
      </c>
      <c r="Y220" s="332" t="str">
        <f t="shared" si="18"/>
        <v>E</v>
      </c>
      <c r="Z220" s="332"/>
    </row>
    <row r="221" ht="76.5" customHeight="1">
      <c r="A221" s="221">
        <v>220.0</v>
      </c>
      <c r="B221" s="11" t="s">
        <v>173</v>
      </c>
      <c r="C221" s="11" t="s">
        <v>201</v>
      </c>
      <c r="D221" s="93" t="s">
        <v>1912</v>
      </c>
      <c r="E221" s="215" t="s">
        <v>177</v>
      </c>
      <c r="F221" s="216">
        <v>10.0</v>
      </c>
      <c r="G221" s="216">
        <v>10.0</v>
      </c>
      <c r="H221" s="216">
        <v>50.0</v>
      </c>
      <c r="I221" s="11">
        <f t="shared" si="10"/>
        <v>500</v>
      </c>
      <c r="J221" s="11" t="s">
        <v>178</v>
      </c>
      <c r="K221" s="93"/>
      <c r="L221" s="93" t="s">
        <v>2008</v>
      </c>
      <c r="M221" s="93" t="s">
        <v>1909</v>
      </c>
      <c r="N221" s="217" t="s">
        <v>204</v>
      </c>
      <c r="O221" s="11" t="str">
        <f>IMAGE("https://robotools.in/wp-content/uploads/2022/09/18650-x-2-battery-holder-with-cover-and-OnOff-Switch-5.jpg",1)</f>
        <v/>
      </c>
      <c r="P221" s="78" t="s">
        <v>1688</v>
      </c>
      <c r="Q221" s="74"/>
      <c r="R221" s="75"/>
      <c r="S221" s="12"/>
      <c r="T221" s="11"/>
      <c r="U221" s="12">
        <v>1.0</v>
      </c>
      <c r="V221" s="11" t="s">
        <v>2037</v>
      </c>
      <c r="W221" s="332">
        <v>1.0</v>
      </c>
      <c r="X221" s="332">
        <f t="shared" si="4"/>
        <v>1</v>
      </c>
      <c r="Y221" s="332" t="str">
        <f t="shared" si="18"/>
        <v>E</v>
      </c>
      <c r="Z221" s="332"/>
    </row>
    <row r="222" ht="76.5" customHeight="1">
      <c r="A222" s="221">
        <v>221.0</v>
      </c>
      <c r="B222" s="11" t="s">
        <v>173</v>
      </c>
      <c r="C222" s="11" t="s">
        <v>206</v>
      </c>
      <c r="D222" s="93" t="s">
        <v>1913</v>
      </c>
      <c r="E222" s="215" t="s">
        <v>177</v>
      </c>
      <c r="F222" s="216">
        <v>30.0</v>
      </c>
      <c r="G222" s="216">
        <v>30.0</v>
      </c>
      <c r="H222" s="216">
        <v>20.0</v>
      </c>
      <c r="I222" s="11">
        <f t="shared" si="10"/>
        <v>600</v>
      </c>
      <c r="J222" s="11" t="s">
        <v>178</v>
      </c>
      <c r="K222" s="93"/>
      <c r="L222" s="93" t="s">
        <v>2008</v>
      </c>
      <c r="M222" s="93" t="s">
        <v>1909</v>
      </c>
      <c r="N222" s="217" t="s">
        <v>208</v>
      </c>
      <c r="O222" s="11" t="str">
        <f>IMAGE("https://robu.in/wp-content/uploads/2019/03/2-x-1.5V-AA-battery-holder-with-cover-and-OnOff-Switch-6.jpg",1)</f>
        <v/>
      </c>
      <c r="P222" s="78" t="s">
        <v>1688</v>
      </c>
      <c r="Q222" s="74"/>
      <c r="R222" s="75"/>
      <c r="S222" s="12"/>
      <c r="T222" s="11"/>
      <c r="U222" s="12">
        <v>1.0</v>
      </c>
      <c r="V222" s="11" t="s">
        <v>2037</v>
      </c>
      <c r="W222" s="332">
        <v>1.0</v>
      </c>
      <c r="X222" s="332">
        <f t="shared" si="4"/>
        <v>1</v>
      </c>
      <c r="Y222" s="332" t="str">
        <f t="shared" si="18"/>
        <v>E</v>
      </c>
      <c r="Z222" s="332"/>
    </row>
    <row r="223" ht="76.5" customHeight="1">
      <c r="A223" s="221">
        <v>222.0</v>
      </c>
      <c r="B223" s="11" t="s">
        <v>173</v>
      </c>
      <c r="C223" s="11" t="s">
        <v>210</v>
      </c>
      <c r="D223" s="93" t="s">
        <v>1914</v>
      </c>
      <c r="E223" s="215" t="s">
        <v>177</v>
      </c>
      <c r="F223" s="216">
        <v>20.0</v>
      </c>
      <c r="G223" s="216">
        <v>20.0</v>
      </c>
      <c r="H223" s="216">
        <v>40.0</v>
      </c>
      <c r="I223" s="11">
        <f t="shared" si="10"/>
        <v>800</v>
      </c>
      <c r="J223" s="11" t="s">
        <v>178</v>
      </c>
      <c r="K223" s="93"/>
      <c r="L223" s="93" t="s">
        <v>2008</v>
      </c>
      <c r="M223" s="93" t="s">
        <v>1909</v>
      </c>
      <c r="N223" s="217" t="s">
        <v>212</v>
      </c>
      <c r="O223" s="11" t="str">
        <f>IMAGE("https://probots.co.in/pub/media/catalog/product/cache/d8ddd0f9b0cd008b57085cd218b48832/4/-/4-x-1.5v-aa-battery-holder01.jpg",1)</f>
        <v/>
      </c>
      <c r="P223" s="78" t="s">
        <v>1688</v>
      </c>
      <c r="Q223" s="74"/>
      <c r="R223" s="75"/>
      <c r="S223" s="5"/>
      <c r="T223" s="14"/>
      <c r="U223" s="12">
        <v>1.0</v>
      </c>
      <c r="V223" s="11" t="s">
        <v>2037</v>
      </c>
      <c r="W223" s="332">
        <v>1.0</v>
      </c>
      <c r="X223" s="332">
        <f t="shared" si="4"/>
        <v>1</v>
      </c>
      <c r="Y223" s="332" t="str">
        <f t="shared" si="18"/>
        <v>E</v>
      </c>
      <c r="Z223" s="332"/>
    </row>
    <row r="224" ht="76.5" customHeight="1">
      <c r="A224" s="221">
        <v>223.0</v>
      </c>
      <c r="B224" s="11" t="s">
        <v>173</v>
      </c>
      <c r="C224" s="11" t="s">
        <v>214</v>
      </c>
      <c r="D224" s="93" t="s">
        <v>1915</v>
      </c>
      <c r="E224" s="215" t="s">
        <v>177</v>
      </c>
      <c r="F224" s="216">
        <v>20.0</v>
      </c>
      <c r="G224" s="216">
        <v>20.0</v>
      </c>
      <c r="H224" s="216">
        <v>30.0</v>
      </c>
      <c r="I224" s="11">
        <f t="shared" si="10"/>
        <v>600</v>
      </c>
      <c r="J224" s="11" t="s">
        <v>178</v>
      </c>
      <c r="K224" s="37"/>
      <c r="L224" s="93" t="s">
        <v>1895</v>
      </c>
      <c r="M224" s="93" t="s">
        <v>1909</v>
      </c>
      <c r="N224" s="217" t="s">
        <v>217</v>
      </c>
      <c r="O224" s="11" t="str">
        <f>IMAGE("https://robu.in/wp-content/uploads/2022/06/510c1Z93PDL._SX679_.jpg",1)</f>
        <v/>
      </c>
      <c r="P224" s="78" t="s">
        <v>1688</v>
      </c>
      <c r="Q224" s="74"/>
      <c r="R224" s="75"/>
      <c r="S224" s="12"/>
      <c r="T224" s="11"/>
      <c r="U224" s="12">
        <v>1.0</v>
      </c>
      <c r="V224" s="11" t="s">
        <v>2038</v>
      </c>
      <c r="W224" s="332">
        <v>1.0</v>
      </c>
      <c r="X224" s="332">
        <f t="shared" si="4"/>
        <v>1</v>
      </c>
      <c r="Y224" s="332" t="str">
        <f t="shared" si="18"/>
        <v>E</v>
      </c>
      <c r="Z224" s="332"/>
    </row>
    <row r="225" ht="76.5" customHeight="1">
      <c r="A225" s="221">
        <v>224.0</v>
      </c>
      <c r="B225" s="11" t="s">
        <v>173</v>
      </c>
      <c r="C225" s="11" t="s">
        <v>219</v>
      </c>
      <c r="D225" s="93" t="s">
        <v>220</v>
      </c>
      <c r="E225" s="215" t="s">
        <v>177</v>
      </c>
      <c r="F225" s="216">
        <v>5.0</v>
      </c>
      <c r="G225" s="216">
        <v>5.0</v>
      </c>
      <c r="H225" s="216">
        <v>500.0</v>
      </c>
      <c r="I225" s="11">
        <f t="shared" si="10"/>
        <v>2500</v>
      </c>
      <c r="J225" s="11" t="s">
        <v>178</v>
      </c>
      <c r="K225" s="93"/>
      <c r="L225" s="93" t="s">
        <v>1594</v>
      </c>
      <c r="M225" s="93" t="s">
        <v>1905</v>
      </c>
      <c r="N225" s="217" t="s">
        <v>221</v>
      </c>
      <c r="O225" s="11" t="str">
        <f>IMAGE("https://i02.psgsm.net/gsm.com/p/887576/480/power-bank-hoco-j26-10000-mah-micro-usb-type-b-input-5v-2a-2-usb-outputs-5-v-2-1-a-139-70-16-mm-with-micro-usb-cable-type-b-black.jpg",1)</f>
        <v/>
      </c>
      <c r="P225" s="78" t="s">
        <v>1688</v>
      </c>
      <c r="Q225" s="74"/>
      <c r="R225" s="75"/>
      <c r="S225" s="12"/>
      <c r="T225" s="11"/>
      <c r="U225" s="12">
        <v>1.0</v>
      </c>
      <c r="V225" s="221" t="s">
        <v>2039</v>
      </c>
      <c r="W225" s="332">
        <v>1.0</v>
      </c>
      <c r="X225" s="332">
        <f t="shared" si="4"/>
        <v>1</v>
      </c>
      <c r="Y225" s="332" t="str">
        <f t="shared" si="18"/>
        <v>E</v>
      </c>
      <c r="Z225" s="332"/>
    </row>
    <row r="226" ht="76.5" customHeight="1">
      <c r="A226" s="221">
        <v>225.0</v>
      </c>
      <c r="B226" s="11" t="s">
        <v>173</v>
      </c>
      <c r="C226" s="11" t="s">
        <v>223</v>
      </c>
      <c r="D226" s="93" t="s">
        <v>1741</v>
      </c>
      <c r="E226" s="215" t="s">
        <v>177</v>
      </c>
      <c r="F226" s="216">
        <v>10.0</v>
      </c>
      <c r="G226" s="216">
        <v>10.0</v>
      </c>
      <c r="H226" s="216">
        <v>150.0</v>
      </c>
      <c r="I226" s="11">
        <f t="shared" si="10"/>
        <v>1500</v>
      </c>
      <c r="J226" s="11" t="s">
        <v>178</v>
      </c>
      <c r="K226" s="93"/>
      <c r="L226" s="93" t="s">
        <v>1895</v>
      </c>
      <c r="M226" s="93" t="s">
        <v>1905</v>
      </c>
      <c r="N226" s="217" t="s">
        <v>225</v>
      </c>
      <c r="O226" s="11" t="str">
        <f>IMAGE("https://images-na.ssl-images-amazon.com/images/I/51p4KPR9o1L.SS700.jpg",1)</f>
        <v/>
      </c>
      <c r="P226" s="78" t="s">
        <v>1688</v>
      </c>
      <c r="Q226" s="74"/>
      <c r="R226" s="75"/>
      <c r="S226" s="12"/>
      <c r="T226" s="11"/>
      <c r="U226" s="12">
        <v>1.0</v>
      </c>
      <c r="V226" s="11" t="s">
        <v>2040</v>
      </c>
      <c r="W226" s="332">
        <v>1.0</v>
      </c>
      <c r="X226" s="332">
        <f t="shared" si="4"/>
        <v>1</v>
      </c>
      <c r="Y226" s="332" t="str">
        <f t="shared" si="18"/>
        <v>E</v>
      </c>
      <c r="Z226" s="332"/>
    </row>
    <row r="227" ht="76.5" customHeight="1">
      <c r="A227" s="221">
        <v>226.0</v>
      </c>
      <c r="B227" s="11" t="s">
        <v>173</v>
      </c>
      <c r="C227" s="11" t="s">
        <v>227</v>
      </c>
      <c r="D227" s="93" t="s">
        <v>228</v>
      </c>
      <c r="E227" s="215" t="s">
        <v>177</v>
      </c>
      <c r="F227" s="216">
        <v>10.0</v>
      </c>
      <c r="G227" s="216">
        <v>10.0</v>
      </c>
      <c r="H227" s="216">
        <v>200.0</v>
      </c>
      <c r="I227" s="11">
        <f t="shared" si="10"/>
        <v>2000</v>
      </c>
      <c r="J227" s="11" t="s">
        <v>178</v>
      </c>
      <c r="K227" s="93"/>
      <c r="L227" s="93" t="s">
        <v>1895</v>
      </c>
      <c r="M227" s="93" t="s">
        <v>1905</v>
      </c>
      <c r="N227" s="217" t="s">
        <v>229</v>
      </c>
      <c r="O227" s="11" t="str">
        <f>IMAGE("https://5.imimg.com/data5/SELLER/Default/2021/7/XA/OZ/BW/6610292/9v-power-plus-nimh-rechargeable-battery-500x500.jpg",1)</f>
        <v/>
      </c>
      <c r="P227" s="78" t="s">
        <v>1688</v>
      </c>
      <c r="Q227" s="74"/>
      <c r="R227" s="75"/>
      <c r="S227" s="12"/>
      <c r="T227" s="11"/>
      <c r="U227" s="12">
        <v>1.0</v>
      </c>
      <c r="V227" s="11" t="s">
        <v>2038</v>
      </c>
      <c r="W227" s="332">
        <v>1.0</v>
      </c>
      <c r="X227" s="332">
        <f t="shared" si="4"/>
        <v>1</v>
      </c>
      <c r="Y227" s="332" t="str">
        <f t="shared" si="18"/>
        <v>E</v>
      </c>
      <c r="Z227" s="332"/>
    </row>
    <row r="228" ht="76.5" customHeight="1">
      <c r="A228" s="221">
        <v>227.0</v>
      </c>
      <c r="B228" s="11" t="s">
        <v>173</v>
      </c>
      <c r="C228" s="11" t="s">
        <v>231</v>
      </c>
      <c r="D228" s="93" t="s">
        <v>232</v>
      </c>
      <c r="E228" s="215" t="s">
        <v>177</v>
      </c>
      <c r="F228" s="216">
        <v>20.0</v>
      </c>
      <c r="G228" s="216">
        <v>20.0</v>
      </c>
      <c r="H228" s="216">
        <v>100.0</v>
      </c>
      <c r="I228" s="11">
        <f t="shared" si="10"/>
        <v>2000</v>
      </c>
      <c r="J228" s="11" t="s">
        <v>178</v>
      </c>
      <c r="K228" s="93"/>
      <c r="L228" s="93" t="s">
        <v>1895</v>
      </c>
      <c r="M228" s="93" t="s">
        <v>1905</v>
      </c>
      <c r="N228" s="217" t="s">
        <v>233</v>
      </c>
      <c r="O228" s="11" t="str">
        <f>IMAGE("https://images-cdn.ubuy.co.in/6578382306deda07ed788ca4-rechargeable-aa-batteries-aa.jpg",1)</f>
        <v/>
      </c>
      <c r="P228" s="78" t="s">
        <v>1688</v>
      </c>
      <c r="Q228" s="74"/>
      <c r="R228" s="75"/>
      <c r="S228" s="12"/>
      <c r="T228" s="11"/>
      <c r="U228" s="12">
        <v>1.0</v>
      </c>
      <c r="V228" s="11" t="s">
        <v>2041</v>
      </c>
      <c r="W228" s="332">
        <v>1.0</v>
      </c>
      <c r="X228" s="332">
        <f t="shared" si="4"/>
        <v>1</v>
      </c>
      <c r="Y228" s="332" t="str">
        <f t="shared" si="18"/>
        <v>E</v>
      </c>
      <c r="Z228" s="332"/>
    </row>
    <row r="229" ht="76.5" customHeight="1">
      <c r="A229" s="221">
        <v>228.0</v>
      </c>
      <c r="B229" s="11" t="s">
        <v>173</v>
      </c>
      <c r="C229" s="11" t="s">
        <v>235</v>
      </c>
      <c r="D229" s="93" t="s">
        <v>1916</v>
      </c>
      <c r="E229" s="215" t="s">
        <v>237</v>
      </c>
      <c r="F229" s="216">
        <v>20.0</v>
      </c>
      <c r="G229" s="216">
        <v>20.0</v>
      </c>
      <c r="H229" s="216">
        <v>7.5</v>
      </c>
      <c r="I229" s="11">
        <f t="shared" si="10"/>
        <v>150</v>
      </c>
      <c r="J229" s="11" t="s">
        <v>178</v>
      </c>
      <c r="K229" s="93"/>
      <c r="L229" s="93" t="s">
        <v>1594</v>
      </c>
      <c r="M229" s="93" t="s">
        <v>237</v>
      </c>
      <c r="N229" s="217" t="s">
        <v>238</v>
      </c>
      <c r="O229" s="11" t="str">
        <f>IMAGE("https://robu.in/wp-content/uploads/2017/04/Alligator-Clips-Electrical-DIY-Test-Leads-10pcs-For-Test-Leads-Double-ended-Crocodile-Clips-Roach-Clip-2.jpg",1)</f>
        <v/>
      </c>
      <c r="P229" s="78" t="s">
        <v>1688</v>
      </c>
      <c r="Q229" s="74"/>
      <c r="R229" s="75"/>
      <c r="S229" s="12"/>
      <c r="T229" s="11"/>
      <c r="U229" s="12">
        <v>1.0</v>
      </c>
      <c r="V229" s="11" t="s">
        <v>2042</v>
      </c>
      <c r="W229" s="332">
        <v>1.0</v>
      </c>
      <c r="X229" s="332">
        <f t="shared" si="4"/>
        <v>1</v>
      </c>
      <c r="Y229" s="332" t="str">
        <f t="shared" si="18"/>
        <v>E</v>
      </c>
      <c r="Z229" s="332"/>
    </row>
    <row r="230" ht="76.5" customHeight="1">
      <c r="A230" s="221">
        <v>229.0</v>
      </c>
      <c r="B230" s="11" t="s">
        <v>173</v>
      </c>
      <c r="C230" s="11" t="s">
        <v>240</v>
      </c>
      <c r="D230" s="93" t="s">
        <v>241</v>
      </c>
      <c r="E230" s="215" t="s">
        <v>237</v>
      </c>
      <c r="F230" s="216">
        <v>20.0</v>
      </c>
      <c r="G230" s="216">
        <v>20.0</v>
      </c>
      <c r="H230" s="216">
        <v>20.0</v>
      </c>
      <c r="I230" s="11">
        <f t="shared" si="10"/>
        <v>400</v>
      </c>
      <c r="J230" s="11" t="s">
        <v>178</v>
      </c>
      <c r="K230" s="93"/>
      <c r="L230" s="93" t="s">
        <v>1895</v>
      </c>
      <c r="M230" s="93" t="s">
        <v>237</v>
      </c>
      <c r="N230" s="217" t="s">
        <v>242</v>
      </c>
      <c r="O230" s="11" t="str">
        <f>IMAGE("https://makerbazar.in/cdn/shop/products/dcmalejackwithwire2_600x.jpg?v=1642675074",1)</f>
        <v/>
      </c>
      <c r="P230" s="78" t="s">
        <v>1688</v>
      </c>
      <c r="Q230" s="74"/>
      <c r="R230" s="75"/>
      <c r="S230" s="12"/>
      <c r="T230" s="11"/>
      <c r="U230" s="12">
        <v>1.0</v>
      </c>
      <c r="V230" s="221" t="s">
        <v>2036</v>
      </c>
      <c r="W230" s="332">
        <v>1.0</v>
      </c>
      <c r="X230" s="332">
        <f t="shared" si="4"/>
        <v>1</v>
      </c>
      <c r="Y230" s="332" t="str">
        <f t="shared" si="18"/>
        <v>E</v>
      </c>
      <c r="Z230" s="332"/>
    </row>
    <row r="231" ht="76.5" customHeight="1">
      <c r="A231" s="221">
        <v>230.0</v>
      </c>
      <c r="B231" s="11" t="s">
        <v>173</v>
      </c>
      <c r="C231" s="11" t="s">
        <v>247</v>
      </c>
      <c r="D231" s="93" t="s">
        <v>1918</v>
      </c>
      <c r="E231" s="215" t="s">
        <v>237</v>
      </c>
      <c r="F231" s="216">
        <v>1.0</v>
      </c>
      <c r="G231" s="216">
        <v>1.0</v>
      </c>
      <c r="H231" s="216">
        <v>150.0</v>
      </c>
      <c r="I231" s="11">
        <f t="shared" si="10"/>
        <v>150</v>
      </c>
      <c r="J231" s="11" t="s">
        <v>178</v>
      </c>
      <c r="K231" s="93"/>
      <c r="L231" s="93" t="s">
        <v>2012</v>
      </c>
      <c r="M231" s="93" t="s">
        <v>250</v>
      </c>
      <c r="N231" s="217" t="s">
        <v>251</v>
      </c>
      <c r="O231" s="11" t="str">
        <f>IMAGE("https://rukminim2.flixcart.com/image/832/832/k8t3jbk0/cable-sleeve/j/c/q/black-2mm-polyolefin-heat-shrink-tube-sleeve-for-wrap-60-meter-original-imafqq3y2g2v9vzz.jpeg?q=70",1)</f>
        <v/>
      </c>
      <c r="P231" s="78" t="s">
        <v>1688</v>
      </c>
      <c r="Q231" s="74"/>
      <c r="R231" s="75"/>
      <c r="S231" s="12"/>
      <c r="T231" s="11"/>
      <c r="U231" s="12">
        <v>1.0</v>
      </c>
      <c r="V231" s="11" t="s">
        <v>2043</v>
      </c>
      <c r="W231" s="332">
        <v>1.0</v>
      </c>
      <c r="X231" s="332">
        <f t="shared" si="4"/>
        <v>1</v>
      </c>
      <c r="Y231" s="332" t="str">
        <f t="shared" si="18"/>
        <v>E</v>
      </c>
      <c r="Z231" s="332"/>
    </row>
    <row r="232" ht="76.5" customHeight="1">
      <c r="A232" s="221">
        <v>231.0</v>
      </c>
      <c r="B232" s="11" t="s">
        <v>173</v>
      </c>
      <c r="C232" s="11" t="s">
        <v>253</v>
      </c>
      <c r="D232" s="93" t="s">
        <v>1919</v>
      </c>
      <c r="E232" s="215" t="s">
        <v>237</v>
      </c>
      <c r="F232" s="216">
        <v>1.0</v>
      </c>
      <c r="G232" s="216">
        <v>1.0</v>
      </c>
      <c r="H232" s="216">
        <v>150.0</v>
      </c>
      <c r="I232" s="11">
        <f t="shared" si="10"/>
        <v>150</v>
      </c>
      <c r="J232" s="11" t="s">
        <v>178</v>
      </c>
      <c r="K232" s="93"/>
      <c r="L232" s="93" t="s">
        <v>2012</v>
      </c>
      <c r="M232" s="93" t="s">
        <v>250</v>
      </c>
      <c r="N232" s="217" t="s">
        <v>255</v>
      </c>
      <c r="O232" s="11" t="str">
        <f>IMAGE("https://m.media-amazon.com/images/I/61zJ0n1EqGS._AC_SL1500_.jpg",1)</f>
        <v/>
      </c>
      <c r="P232" s="78" t="s">
        <v>1688</v>
      </c>
      <c r="Q232" s="79"/>
      <c r="R232" s="80"/>
      <c r="S232" s="5"/>
      <c r="T232" s="14"/>
      <c r="U232" s="12">
        <v>1.0</v>
      </c>
      <c r="V232" s="11" t="s">
        <v>2043</v>
      </c>
      <c r="W232" s="332">
        <v>1.0</v>
      </c>
      <c r="X232" s="332">
        <f t="shared" si="4"/>
        <v>1</v>
      </c>
      <c r="Y232" s="332" t="str">
        <f t="shared" si="18"/>
        <v>E</v>
      </c>
      <c r="Z232" s="332"/>
    </row>
    <row r="233" ht="76.5" customHeight="1">
      <c r="A233" s="221">
        <v>232.0</v>
      </c>
      <c r="B233" s="11" t="s">
        <v>173</v>
      </c>
      <c r="C233" s="11" t="s">
        <v>257</v>
      </c>
      <c r="D233" s="93" t="s">
        <v>1920</v>
      </c>
      <c r="E233" s="215" t="s">
        <v>237</v>
      </c>
      <c r="F233" s="216">
        <v>1.0</v>
      </c>
      <c r="G233" s="216">
        <v>1.0</v>
      </c>
      <c r="H233" s="216">
        <v>150.0</v>
      </c>
      <c r="I233" s="11">
        <f t="shared" si="10"/>
        <v>150</v>
      </c>
      <c r="J233" s="11" t="s">
        <v>178</v>
      </c>
      <c r="K233" s="93"/>
      <c r="L233" s="93" t="s">
        <v>2012</v>
      </c>
      <c r="M233" s="93" t="s">
        <v>250</v>
      </c>
      <c r="N233" s="217" t="s">
        <v>259</v>
      </c>
      <c r="O233" s="11" t="str">
        <f>IMAGE("https://m.media-amazon.com/images/W/MEDIAX_792452-T2/images/I/417I5BCQPSL.jpg",1)</f>
        <v/>
      </c>
      <c r="P233" s="78" t="s">
        <v>1688</v>
      </c>
      <c r="Q233" s="74"/>
      <c r="R233" s="75"/>
      <c r="S233" s="5"/>
      <c r="T233" s="14"/>
      <c r="U233" s="12">
        <v>1.0</v>
      </c>
      <c r="V233" s="11" t="s">
        <v>2043</v>
      </c>
      <c r="W233" s="332">
        <v>1.0</v>
      </c>
      <c r="X233" s="332">
        <f t="shared" si="4"/>
        <v>1</v>
      </c>
      <c r="Y233" s="332" t="str">
        <f t="shared" si="18"/>
        <v>E</v>
      </c>
      <c r="Z233" s="332"/>
    </row>
    <row r="234" ht="76.5" customHeight="1">
      <c r="A234" s="221">
        <v>233.0</v>
      </c>
      <c r="B234" s="11" t="s">
        <v>173</v>
      </c>
      <c r="C234" s="11" t="s">
        <v>261</v>
      </c>
      <c r="D234" s="93" t="s">
        <v>1921</v>
      </c>
      <c r="E234" s="215" t="s">
        <v>237</v>
      </c>
      <c r="F234" s="216">
        <v>1.0</v>
      </c>
      <c r="G234" s="216">
        <v>1.0</v>
      </c>
      <c r="H234" s="216">
        <v>150.0</v>
      </c>
      <c r="I234" s="11">
        <f t="shared" si="10"/>
        <v>150</v>
      </c>
      <c r="J234" s="11" t="s">
        <v>178</v>
      </c>
      <c r="K234" s="93"/>
      <c r="L234" s="93" t="s">
        <v>2012</v>
      </c>
      <c r="M234" s="93" t="s">
        <v>250</v>
      </c>
      <c r="N234" s="217" t="s">
        <v>263</v>
      </c>
      <c r="O234" s="11" t="str">
        <f>IMAGE("https://m.media-amazon.com/images/I/61zJ0n1EqGS._AC_SL1500_.jpg",1)</f>
        <v/>
      </c>
      <c r="P234" s="78" t="s">
        <v>1688</v>
      </c>
      <c r="Q234" s="74"/>
      <c r="R234" s="75"/>
      <c r="S234" s="12"/>
      <c r="T234" s="11"/>
      <c r="U234" s="12">
        <v>1.0</v>
      </c>
      <c r="V234" s="11" t="s">
        <v>2043</v>
      </c>
      <c r="W234" s="332">
        <v>1.0</v>
      </c>
      <c r="X234" s="332">
        <f t="shared" si="4"/>
        <v>1</v>
      </c>
      <c r="Y234" s="332" t="str">
        <f t="shared" si="18"/>
        <v>E</v>
      </c>
      <c r="Z234" s="332"/>
    </row>
    <row r="235" ht="76.5" customHeight="1">
      <c r="A235" s="221">
        <v>234.0</v>
      </c>
      <c r="B235" s="11" t="s">
        <v>173</v>
      </c>
      <c r="C235" s="11" t="s">
        <v>265</v>
      </c>
      <c r="D235" s="93" t="s">
        <v>266</v>
      </c>
      <c r="E235" s="215" t="s">
        <v>237</v>
      </c>
      <c r="F235" s="216">
        <v>20.0</v>
      </c>
      <c r="G235" s="216">
        <v>20.0</v>
      </c>
      <c r="H235" s="216">
        <v>20.0</v>
      </c>
      <c r="I235" s="11">
        <f t="shared" si="10"/>
        <v>400</v>
      </c>
      <c r="J235" s="11" t="s">
        <v>178</v>
      </c>
      <c r="K235" s="93"/>
      <c r="L235" s="93" t="s">
        <v>2012</v>
      </c>
      <c r="M235" s="93" t="s">
        <v>267</v>
      </c>
      <c r="N235" s="217" t="s">
        <v>268</v>
      </c>
      <c r="O235" s="11" t="str">
        <f t="shared" ref="O235:O239" si="19">IMAGE("https://i.ebayimg.com/images/g/xCYAAOSwjvJlEQU8/s-l1600.jpg",1)</f>
        <v/>
      </c>
      <c r="P235" s="78" t="s">
        <v>1688</v>
      </c>
      <c r="Q235" s="74"/>
      <c r="R235" s="75"/>
      <c r="S235" s="12"/>
      <c r="T235" s="11"/>
      <c r="U235" s="12">
        <v>1.0</v>
      </c>
      <c r="V235" s="11" t="s">
        <v>2044</v>
      </c>
      <c r="W235" s="332">
        <v>1.0</v>
      </c>
      <c r="X235" s="332">
        <f t="shared" si="4"/>
        <v>1</v>
      </c>
      <c r="Y235" s="332" t="str">
        <f t="shared" si="18"/>
        <v>E</v>
      </c>
      <c r="Z235" s="332"/>
    </row>
    <row r="236" ht="76.5" customHeight="1">
      <c r="A236" s="221">
        <v>235.0</v>
      </c>
      <c r="B236" s="11" t="s">
        <v>173</v>
      </c>
      <c r="C236" s="11" t="s">
        <v>270</v>
      </c>
      <c r="D236" s="93" t="s">
        <v>271</v>
      </c>
      <c r="E236" s="215" t="s">
        <v>237</v>
      </c>
      <c r="F236" s="216">
        <v>20.0</v>
      </c>
      <c r="G236" s="216">
        <v>20.0</v>
      </c>
      <c r="H236" s="216">
        <v>20.0</v>
      </c>
      <c r="I236" s="11">
        <f t="shared" si="10"/>
        <v>400</v>
      </c>
      <c r="J236" s="11" t="s">
        <v>178</v>
      </c>
      <c r="K236" s="93"/>
      <c r="L236" s="93" t="s">
        <v>2012</v>
      </c>
      <c r="M236" s="93" t="s">
        <v>267</v>
      </c>
      <c r="N236" s="217" t="s">
        <v>272</v>
      </c>
      <c r="O236" s="11" t="str">
        <f t="shared" si="19"/>
        <v/>
      </c>
      <c r="P236" s="330" t="s">
        <v>1688</v>
      </c>
      <c r="Q236" s="331"/>
      <c r="R236" s="75"/>
      <c r="S236" s="253"/>
      <c r="T236" s="11"/>
      <c r="U236" s="12">
        <v>1.0</v>
      </c>
      <c r="V236" s="11" t="s">
        <v>2044</v>
      </c>
      <c r="W236" s="332">
        <v>1.0</v>
      </c>
      <c r="X236" s="332">
        <f t="shared" si="4"/>
        <v>1</v>
      </c>
      <c r="Y236" s="332" t="str">
        <f t="shared" si="18"/>
        <v>E</v>
      </c>
      <c r="Z236" s="332"/>
    </row>
    <row r="237" ht="76.5" customHeight="1">
      <c r="A237" s="221">
        <v>236.0</v>
      </c>
      <c r="B237" s="11" t="s">
        <v>173</v>
      </c>
      <c r="C237" s="11" t="s">
        <v>274</v>
      </c>
      <c r="D237" s="93" t="s">
        <v>275</v>
      </c>
      <c r="E237" s="215" t="s">
        <v>237</v>
      </c>
      <c r="F237" s="216">
        <v>20.0</v>
      </c>
      <c r="G237" s="216">
        <v>20.0</v>
      </c>
      <c r="H237" s="216">
        <v>20.0</v>
      </c>
      <c r="I237" s="11">
        <f t="shared" si="10"/>
        <v>400</v>
      </c>
      <c r="J237" s="11" t="s">
        <v>178</v>
      </c>
      <c r="K237" s="93"/>
      <c r="L237" s="93" t="s">
        <v>2012</v>
      </c>
      <c r="M237" s="93" t="s">
        <v>267</v>
      </c>
      <c r="N237" s="217" t="s">
        <v>276</v>
      </c>
      <c r="O237" s="11" t="str">
        <f t="shared" si="19"/>
        <v/>
      </c>
      <c r="P237" s="78" t="s">
        <v>1688</v>
      </c>
      <c r="Q237" s="74"/>
      <c r="R237" s="75"/>
      <c r="S237" s="12"/>
      <c r="T237" s="11"/>
      <c r="U237" s="12">
        <v>1.0</v>
      </c>
      <c r="V237" s="11" t="s">
        <v>2044</v>
      </c>
      <c r="W237" s="332">
        <v>1.0</v>
      </c>
      <c r="X237" s="332">
        <f t="shared" si="4"/>
        <v>1</v>
      </c>
      <c r="Y237" s="332" t="str">
        <f t="shared" si="18"/>
        <v>E</v>
      </c>
      <c r="Z237" s="332"/>
    </row>
    <row r="238" ht="76.5" customHeight="1">
      <c r="A238" s="221">
        <v>237.0</v>
      </c>
      <c r="B238" s="11" t="s">
        <v>173</v>
      </c>
      <c r="C238" s="11" t="s">
        <v>278</v>
      </c>
      <c r="D238" s="93" t="s">
        <v>279</v>
      </c>
      <c r="E238" s="215" t="s">
        <v>237</v>
      </c>
      <c r="F238" s="216">
        <v>20.0</v>
      </c>
      <c r="G238" s="216">
        <v>20.0</v>
      </c>
      <c r="H238" s="216">
        <v>20.0</v>
      </c>
      <c r="I238" s="11">
        <f t="shared" si="10"/>
        <v>400</v>
      </c>
      <c r="J238" s="11" t="s">
        <v>178</v>
      </c>
      <c r="K238" s="93"/>
      <c r="L238" s="93" t="s">
        <v>2012</v>
      </c>
      <c r="M238" s="93" t="s">
        <v>267</v>
      </c>
      <c r="N238" s="217" t="s">
        <v>280</v>
      </c>
      <c r="O238" s="11" t="str">
        <f t="shared" si="19"/>
        <v/>
      </c>
      <c r="P238" s="78" t="s">
        <v>1688</v>
      </c>
      <c r="Q238" s="74"/>
      <c r="R238" s="75"/>
      <c r="S238" s="12"/>
      <c r="T238" s="11"/>
      <c r="U238" s="12">
        <v>1.0</v>
      </c>
      <c r="V238" s="11" t="s">
        <v>2044</v>
      </c>
      <c r="W238" s="332">
        <v>1.0</v>
      </c>
      <c r="X238" s="332">
        <f t="shared" si="4"/>
        <v>1</v>
      </c>
      <c r="Y238" s="332" t="str">
        <f t="shared" si="18"/>
        <v>E</v>
      </c>
      <c r="Z238" s="332"/>
    </row>
    <row r="239" ht="76.5" customHeight="1">
      <c r="A239" s="221">
        <v>238.0</v>
      </c>
      <c r="B239" s="11" t="s">
        <v>173</v>
      </c>
      <c r="C239" s="11" t="s">
        <v>282</v>
      </c>
      <c r="D239" s="93" t="s">
        <v>283</v>
      </c>
      <c r="E239" s="215" t="s">
        <v>237</v>
      </c>
      <c r="F239" s="216">
        <v>20.0</v>
      </c>
      <c r="G239" s="216">
        <v>20.0</v>
      </c>
      <c r="H239" s="216">
        <v>20.0</v>
      </c>
      <c r="I239" s="11">
        <f t="shared" si="10"/>
        <v>400</v>
      </c>
      <c r="J239" s="11" t="s">
        <v>178</v>
      </c>
      <c r="K239" s="93"/>
      <c r="L239" s="93" t="s">
        <v>2012</v>
      </c>
      <c r="M239" s="93" t="s">
        <v>267</v>
      </c>
      <c r="N239" s="217" t="s">
        <v>284</v>
      </c>
      <c r="O239" s="11" t="str">
        <f t="shared" si="19"/>
        <v/>
      </c>
      <c r="P239" s="330" t="s">
        <v>1688</v>
      </c>
      <c r="Q239" s="331"/>
      <c r="R239" s="75"/>
      <c r="S239" s="253"/>
      <c r="T239" s="11"/>
      <c r="U239" s="12">
        <v>1.0</v>
      </c>
      <c r="V239" s="11" t="s">
        <v>2044</v>
      </c>
      <c r="W239" s="332">
        <v>1.0</v>
      </c>
      <c r="X239" s="332">
        <f t="shared" si="4"/>
        <v>1</v>
      </c>
      <c r="Y239" s="332" t="str">
        <f t="shared" si="18"/>
        <v>E</v>
      </c>
      <c r="Z239" s="332"/>
    </row>
    <row r="240" ht="76.5" customHeight="1">
      <c r="A240" s="221">
        <v>239.0</v>
      </c>
      <c r="B240" s="11" t="s">
        <v>173</v>
      </c>
      <c r="C240" s="11" t="s">
        <v>286</v>
      </c>
      <c r="D240" s="93" t="s">
        <v>287</v>
      </c>
      <c r="E240" s="215" t="s">
        <v>237</v>
      </c>
      <c r="F240" s="216">
        <v>20.0</v>
      </c>
      <c r="G240" s="216">
        <v>20.0</v>
      </c>
      <c r="H240" s="216">
        <v>40.0</v>
      </c>
      <c r="I240" s="11">
        <f t="shared" si="10"/>
        <v>800</v>
      </c>
      <c r="J240" s="11" t="s">
        <v>178</v>
      </c>
      <c r="K240" s="93"/>
      <c r="L240" s="93" t="s">
        <v>2008</v>
      </c>
      <c r="M240" s="93" t="s">
        <v>1922</v>
      </c>
      <c r="N240" s="217" t="s">
        <v>289</v>
      </c>
      <c r="O240" s="11" t="str">
        <f t="shared" ref="O240:O242" si="20">IMAGE("https://cdn.shopify.com/s/files/1/0527/2692/3444/products/M-M10CM_800x.jpg?v=1620840829",1)</f>
        <v/>
      </c>
      <c r="P240" s="78" t="s">
        <v>1688</v>
      </c>
      <c r="Q240" s="74"/>
      <c r="R240" s="75"/>
      <c r="S240" s="12"/>
      <c r="T240" s="11"/>
      <c r="U240" s="12">
        <v>1.0</v>
      </c>
      <c r="V240" s="221" t="s">
        <v>2045</v>
      </c>
      <c r="W240" s="332">
        <v>1.0</v>
      </c>
      <c r="X240" s="332">
        <f t="shared" si="4"/>
        <v>1</v>
      </c>
      <c r="Y240" s="332" t="str">
        <f t="shared" si="18"/>
        <v>E</v>
      </c>
      <c r="Z240" s="332"/>
    </row>
    <row r="241" ht="76.5" customHeight="1">
      <c r="A241" s="221">
        <v>240.0</v>
      </c>
      <c r="B241" s="11" t="s">
        <v>173</v>
      </c>
      <c r="C241" s="11" t="s">
        <v>291</v>
      </c>
      <c r="D241" s="93" t="s">
        <v>292</v>
      </c>
      <c r="E241" s="215" t="s">
        <v>237</v>
      </c>
      <c r="F241" s="216">
        <v>20.0</v>
      </c>
      <c r="G241" s="216">
        <v>20.0</v>
      </c>
      <c r="H241" s="216">
        <v>40.0</v>
      </c>
      <c r="I241" s="11">
        <f t="shared" si="10"/>
        <v>800</v>
      </c>
      <c r="J241" s="11" t="s">
        <v>178</v>
      </c>
      <c r="K241" s="93"/>
      <c r="L241" s="93" t="s">
        <v>2008</v>
      </c>
      <c r="M241" s="93" t="s">
        <v>1922</v>
      </c>
      <c r="N241" s="217" t="s">
        <v>293</v>
      </c>
      <c r="O241" s="11" t="str">
        <f t="shared" si="20"/>
        <v/>
      </c>
      <c r="P241" s="78" t="s">
        <v>1688</v>
      </c>
      <c r="Q241" s="74"/>
      <c r="R241" s="75"/>
      <c r="S241" s="12"/>
      <c r="T241" s="11"/>
      <c r="U241" s="12">
        <v>1.0</v>
      </c>
      <c r="V241" s="221" t="s">
        <v>2045</v>
      </c>
      <c r="W241" s="332">
        <v>1.0</v>
      </c>
      <c r="X241" s="332">
        <f t="shared" si="4"/>
        <v>1</v>
      </c>
      <c r="Y241" s="332" t="str">
        <f t="shared" si="18"/>
        <v>E</v>
      </c>
      <c r="Z241" s="332"/>
    </row>
    <row r="242" ht="76.5" customHeight="1">
      <c r="A242" s="221">
        <v>241.0</v>
      </c>
      <c r="B242" s="11" t="s">
        <v>173</v>
      </c>
      <c r="C242" s="11" t="s">
        <v>295</v>
      </c>
      <c r="D242" s="93" t="s">
        <v>296</v>
      </c>
      <c r="E242" s="215" t="s">
        <v>237</v>
      </c>
      <c r="F242" s="216">
        <v>20.0</v>
      </c>
      <c r="G242" s="216">
        <v>20.0</v>
      </c>
      <c r="H242" s="216">
        <v>40.0</v>
      </c>
      <c r="I242" s="11">
        <f t="shared" si="10"/>
        <v>800</v>
      </c>
      <c r="J242" s="11" t="s">
        <v>178</v>
      </c>
      <c r="K242" s="93"/>
      <c r="L242" s="93" t="s">
        <v>2008</v>
      </c>
      <c r="M242" s="93" t="s">
        <v>1922</v>
      </c>
      <c r="N242" s="217" t="s">
        <v>297</v>
      </c>
      <c r="O242" s="11" t="str">
        <f t="shared" si="20"/>
        <v/>
      </c>
      <c r="P242" s="78" t="s">
        <v>1688</v>
      </c>
      <c r="Q242" s="74"/>
      <c r="R242" s="75"/>
      <c r="S242" s="12"/>
      <c r="T242" s="11"/>
      <c r="U242" s="12">
        <v>1.0</v>
      </c>
      <c r="V242" s="221" t="s">
        <v>2045</v>
      </c>
      <c r="W242" s="332">
        <v>1.0</v>
      </c>
      <c r="X242" s="332">
        <f t="shared" si="4"/>
        <v>1</v>
      </c>
      <c r="Y242" s="332" t="str">
        <f t="shared" si="18"/>
        <v>E</v>
      </c>
      <c r="Z242" s="332"/>
    </row>
    <row r="243" ht="76.5" customHeight="1">
      <c r="A243" s="221">
        <v>242.0</v>
      </c>
      <c r="B243" s="11" t="s">
        <v>173</v>
      </c>
      <c r="C243" s="11" t="s">
        <v>299</v>
      </c>
      <c r="D243" s="93" t="s">
        <v>300</v>
      </c>
      <c r="E243" s="215" t="s">
        <v>237</v>
      </c>
      <c r="F243" s="216">
        <v>10.0</v>
      </c>
      <c r="G243" s="216">
        <v>10.0</v>
      </c>
      <c r="H243" s="216">
        <v>50.0</v>
      </c>
      <c r="I243" s="11">
        <f t="shared" si="10"/>
        <v>500</v>
      </c>
      <c r="J243" s="11" t="s">
        <v>178</v>
      </c>
      <c r="K243" s="93"/>
      <c r="L243" s="93" t="s">
        <v>1594</v>
      </c>
      <c r="M243" s="93" t="s">
        <v>300</v>
      </c>
      <c r="N243" s="217" t="s">
        <v>301</v>
      </c>
      <c r="O243" s="11" t="str">
        <f>IMAGE("https://encrypted-tbn0.gstatic.com/images?q=tbn:ANd9GcR4A79FMiemvwjtYU3z1SGV0ayCZPtc8oNMobr5AuvlhGOJoeuq78aTh7JjRPQlfFrsXfE&amp;usqp=CAU",1)</f>
        <v/>
      </c>
      <c r="P243" s="330" t="s">
        <v>1688</v>
      </c>
      <c r="Q243" s="331"/>
      <c r="R243" s="75"/>
      <c r="S243" s="253"/>
      <c r="T243" s="11"/>
      <c r="U243" s="12">
        <v>1.0</v>
      </c>
      <c r="V243" s="11" t="s">
        <v>2046</v>
      </c>
      <c r="W243" s="332">
        <v>1.0</v>
      </c>
      <c r="X243" s="332">
        <f t="shared" si="4"/>
        <v>1</v>
      </c>
      <c r="Y243" s="332" t="str">
        <f t="shared" si="18"/>
        <v>E</v>
      </c>
      <c r="Z243" s="332"/>
    </row>
    <row r="244" ht="76.5" customHeight="1">
      <c r="A244" s="221">
        <v>243.0</v>
      </c>
      <c r="B244" s="11" t="s">
        <v>173</v>
      </c>
      <c r="C244" s="11" t="s">
        <v>303</v>
      </c>
      <c r="D244" s="93" t="s">
        <v>304</v>
      </c>
      <c r="E244" s="215" t="s">
        <v>237</v>
      </c>
      <c r="F244" s="216">
        <v>10.0</v>
      </c>
      <c r="G244" s="216">
        <v>10.0</v>
      </c>
      <c r="H244" s="216">
        <v>50.0</v>
      </c>
      <c r="I244" s="11">
        <f t="shared" si="10"/>
        <v>500</v>
      </c>
      <c r="J244" s="11" t="s">
        <v>178</v>
      </c>
      <c r="K244" s="93"/>
      <c r="L244" s="93" t="s">
        <v>2012</v>
      </c>
      <c r="M244" s="93" t="s">
        <v>304</v>
      </c>
      <c r="N244" s="217" t="s">
        <v>306</v>
      </c>
      <c r="O244" s="11" t="str">
        <f>IMAGE("https://robu.in/wp-content/uploads/2018/07/50-CM-Micro-USB-Cable-1.jpg",1)</f>
        <v/>
      </c>
      <c r="P244" s="78" t="s">
        <v>1688</v>
      </c>
      <c r="Q244" s="74"/>
      <c r="R244" s="75"/>
      <c r="S244" s="5"/>
      <c r="T244" s="14"/>
      <c r="U244" s="12">
        <v>1.0</v>
      </c>
      <c r="V244" s="221" t="s">
        <v>2047</v>
      </c>
      <c r="W244" s="332">
        <v>1.0</v>
      </c>
      <c r="X244" s="332">
        <f t="shared" si="4"/>
        <v>1</v>
      </c>
      <c r="Y244" s="332" t="str">
        <f t="shared" si="18"/>
        <v>E</v>
      </c>
      <c r="Z244" s="332"/>
    </row>
    <row r="245" ht="76.5" customHeight="1">
      <c r="A245" s="221">
        <v>244.0</v>
      </c>
      <c r="B245" s="11" t="s">
        <v>173</v>
      </c>
      <c r="C245" s="11" t="s">
        <v>317</v>
      </c>
      <c r="D245" s="93" t="s">
        <v>1924</v>
      </c>
      <c r="E245" s="215" t="s">
        <v>237</v>
      </c>
      <c r="F245" s="216">
        <v>10.0</v>
      </c>
      <c r="G245" s="216">
        <v>10.0</v>
      </c>
      <c r="H245" s="216">
        <v>50.0</v>
      </c>
      <c r="I245" s="11">
        <f t="shared" si="10"/>
        <v>500</v>
      </c>
      <c r="J245" s="11" t="s">
        <v>178</v>
      </c>
      <c r="K245" s="93"/>
      <c r="L245" s="93" t="s">
        <v>1895</v>
      </c>
      <c r="M245" s="93" t="s">
        <v>237</v>
      </c>
      <c r="N245" s="217" t="s">
        <v>320</v>
      </c>
      <c r="O245" s="11" t="str">
        <f>IMAGE("https://robu.in/wp-content/uploads/2019/06/3.5mm-Audio-Plug-3-Pole-Gold-plated-Earphone-Adapter-For-DIY-Stereo-Headset-5.jpg",1)</f>
        <v/>
      </c>
      <c r="P245" s="78" t="s">
        <v>1688</v>
      </c>
      <c r="Q245" s="74"/>
      <c r="R245" s="75"/>
      <c r="S245" s="12"/>
      <c r="T245" s="11"/>
      <c r="U245" s="12">
        <v>1.0</v>
      </c>
      <c r="V245" s="221" t="s">
        <v>2036</v>
      </c>
      <c r="W245" s="332">
        <v>1.0</v>
      </c>
      <c r="X245" s="332">
        <f t="shared" si="4"/>
        <v>1</v>
      </c>
      <c r="Y245" s="332" t="str">
        <f t="shared" si="18"/>
        <v>E</v>
      </c>
      <c r="Z245" s="344"/>
    </row>
    <row r="246" ht="76.5" customHeight="1">
      <c r="A246" s="221">
        <v>245.0</v>
      </c>
      <c r="B246" s="222" t="s">
        <v>173</v>
      </c>
      <c r="C246" s="222" t="s">
        <v>413</v>
      </c>
      <c r="D246" s="232" t="s">
        <v>1931</v>
      </c>
      <c r="E246" s="233" t="s">
        <v>415</v>
      </c>
      <c r="F246" s="349">
        <v>12.0</v>
      </c>
      <c r="G246" s="350">
        <v>7.0</v>
      </c>
      <c r="H246" s="222">
        <v>150.0</v>
      </c>
      <c r="I246" s="222">
        <f t="shared" si="10"/>
        <v>1050</v>
      </c>
      <c r="J246" s="222" t="s">
        <v>178</v>
      </c>
      <c r="K246" s="232"/>
      <c r="L246" s="232"/>
      <c r="M246" s="232" t="s">
        <v>1932</v>
      </c>
      <c r="N246" s="235" t="s">
        <v>417</v>
      </c>
      <c r="O246" s="222" t="str">
        <f>IMAGE("https://www.electronicscomp.com/image/cache/catalog/cnc-shield-v3-400x400.jpg",1)</f>
        <v/>
      </c>
      <c r="P246" s="334"/>
      <c r="Q246" s="335"/>
      <c r="R246" s="336"/>
      <c r="S246" s="351"/>
      <c r="T246" s="224"/>
      <c r="U246" s="351">
        <v>2.0</v>
      </c>
      <c r="V246" s="222" t="s">
        <v>2059</v>
      </c>
      <c r="W246" s="332">
        <v>1.0</v>
      </c>
      <c r="X246" s="332">
        <f t="shared" si="4"/>
        <v>1</v>
      </c>
      <c r="Y246" s="332" t="str">
        <f t="shared" si="18"/>
        <v>E</v>
      </c>
      <c r="Z246" s="332"/>
    </row>
    <row r="247" ht="76.5" customHeight="1">
      <c r="A247" s="221">
        <v>246.0</v>
      </c>
      <c r="B247" s="11" t="s">
        <v>173</v>
      </c>
      <c r="C247" s="11" t="s">
        <v>419</v>
      </c>
      <c r="D247" s="93" t="s">
        <v>420</v>
      </c>
      <c r="E247" s="215" t="s">
        <v>415</v>
      </c>
      <c r="F247" s="216">
        <v>15.0</v>
      </c>
      <c r="G247" s="216">
        <v>15.0</v>
      </c>
      <c r="H247" s="216">
        <v>400.0</v>
      </c>
      <c r="I247" s="11">
        <f t="shared" si="10"/>
        <v>6000</v>
      </c>
      <c r="J247" s="11" t="s">
        <v>178</v>
      </c>
      <c r="K247" s="93"/>
      <c r="L247" s="93" t="s">
        <v>1594</v>
      </c>
      <c r="M247" s="93" t="s">
        <v>1932</v>
      </c>
      <c r="N247" s="217" t="s">
        <v>422</v>
      </c>
      <c r="O247" s="11" t="str">
        <f>IMAGE("https://5.imimg.com/data5/VS/XC/MY-4167793/arduino-nano-500x500.jpg",1)</f>
        <v/>
      </c>
      <c r="P247" s="78" t="s">
        <v>1688</v>
      </c>
      <c r="Q247" s="74"/>
      <c r="R247" s="75"/>
      <c r="S247" s="12"/>
      <c r="T247" s="11"/>
      <c r="U247" s="12">
        <v>1.0</v>
      </c>
      <c r="V247" s="11" t="s">
        <v>2060</v>
      </c>
      <c r="W247" s="332">
        <v>1.0</v>
      </c>
      <c r="X247" s="332">
        <f t="shared" si="4"/>
        <v>1</v>
      </c>
      <c r="Y247" s="332" t="str">
        <f t="shared" si="18"/>
        <v>E</v>
      </c>
      <c r="Z247" s="332"/>
    </row>
    <row r="248" ht="76.5" customHeight="1">
      <c r="A248" s="221">
        <v>247.0</v>
      </c>
      <c r="B248" s="11" t="s">
        <v>173</v>
      </c>
      <c r="C248" s="11" t="s">
        <v>424</v>
      </c>
      <c r="D248" s="93" t="s">
        <v>1933</v>
      </c>
      <c r="E248" s="215" t="s">
        <v>415</v>
      </c>
      <c r="F248" s="216">
        <v>10.0</v>
      </c>
      <c r="G248" s="216">
        <v>10.0</v>
      </c>
      <c r="H248" s="216">
        <v>500.0</v>
      </c>
      <c r="I248" s="11">
        <f t="shared" si="10"/>
        <v>5000</v>
      </c>
      <c r="J248" s="11" t="s">
        <v>178</v>
      </c>
      <c r="K248" s="93"/>
      <c r="L248" s="93" t="s">
        <v>1594</v>
      </c>
      <c r="M248" s="93" t="s">
        <v>1932</v>
      </c>
      <c r="N248" s="217" t="s">
        <v>426</v>
      </c>
      <c r="O248" s="11" t="str">
        <f>IMAGE("https://robu.in/wp-content/uploads/2017/04/Arduino_NANO_expansion1.jpg",1)</f>
        <v/>
      </c>
      <c r="P248" s="78" t="s">
        <v>1688</v>
      </c>
      <c r="Q248" s="79"/>
      <c r="R248" s="80"/>
      <c r="S248" s="12"/>
      <c r="T248" s="11"/>
      <c r="U248" s="12">
        <v>1.0</v>
      </c>
      <c r="V248" s="221" t="s">
        <v>2061</v>
      </c>
      <c r="W248" s="332">
        <v>1.0</v>
      </c>
      <c r="X248" s="332">
        <f t="shared" si="4"/>
        <v>1</v>
      </c>
      <c r="Y248" s="332" t="str">
        <f t="shared" si="18"/>
        <v>E</v>
      </c>
      <c r="Z248" s="332"/>
    </row>
    <row r="249" ht="76.5" customHeight="1">
      <c r="A249" s="221">
        <v>248.0</v>
      </c>
      <c r="B249" s="11" t="s">
        <v>173</v>
      </c>
      <c r="C249" s="11" t="s">
        <v>428</v>
      </c>
      <c r="D249" s="93" t="s">
        <v>1934</v>
      </c>
      <c r="E249" s="215" t="s">
        <v>415</v>
      </c>
      <c r="F249" s="216">
        <v>15.0</v>
      </c>
      <c r="G249" s="216">
        <v>15.0</v>
      </c>
      <c r="H249" s="216">
        <v>450.0</v>
      </c>
      <c r="I249" s="11">
        <f t="shared" si="10"/>
        <v>6750</v>
      </c>
      <c r="J249" s="11" t="s">
        <v>178</v>
      </c>
      <c r="K249" s="93"/>
      <c r="L249" s="93" t="s">
        <v>1594</v>
      </c>
      <c r="M249" s="93" t="s">
        <v>1932</v>
      </c>
      <c r="N249" s="217" t="s">
        <v>431</v>
      </c>
      <c r="O249" s="11" t="str">
        <f>IMAGE("https://robu.in/wp-content/uploads/2017/10/Uno-R3-CH340G-ATmega328p-Development-Board-Compatible-with-Arduino2.png",1)</f>
        <v/>
      </c>
      <c r="P249" s="78" t="s">
        <v>1688</v>
      </c>
      <c r="Q249" s="74"/>
      <c r="R249" s="75"/>
      <c r="S249" s="12"/>
      <c r="T249" s="11"/>
      <c r="U249" s="12">
        <v>1.0</v>
      </c>
      <c r="V249" s="11" t="s">
        <v>2060</v>
      </c>
      <c r="W249" s="332">
        <v>1.0</v>
      </c>
      <c r="X249" s="332">
        <f t="shared" si="4"/>
        <v>1</v>
      </c>
      <c r="Y249" s="332" t="str">
        <f t="shared" si="18"/>
        <v>E</v>
      </c>
      <c r="Z249" s="332"/>
    </row>
    <row r="250" ht="76.5" customHeight="1">
      <c r="A250" s="221">
        <v>249.0</v>
      </c>
      <c r="B250" s="11" t="s">
        <v>173</v>
      </c>
      <c r="C250" s="11" t="s">
        <v>445</v>
      </c>
      <c r="D250" s="93" t="s">
        <v>446</v>
      </c>
      <c r="E250" s="215" t="s">
        <v>415</v>
      </c>
      <c r="F250" s="216">
        <v>10.0</v>
      </c>
      <c r="G250" s="216">
        <v>10.0</v>
      </c>
      <c r="H250" s="216">
        <v>200.0</v>
      </c>
      <c r="I250" s="11">
        <f t="shared" si="10"/>
        <v>2000</v>
      </c>
      <c r="J250" s="11" t="s">
        <v>178</v>
      </c>
      <c r="K250" s="93"/>
      <c r="L250" s="93" t="s">
        <v>1594</v>
      </c>
      <c r="M250" s="93" t="s">
        <v>1937</v>
      </c>
      <c r="N250" s="217" t="s">
        <v>447</v>
      </c>
      <c r="O250" s="11" t="str">
        <f>IMAGE("https://www.berrybase.de/media/image/c5/26/b6/ID_186599_orig_600x600.jpg",1)</f>
        <v/>
      </c>
      <c r="P250" s="78" t="s">
        <v>1688</v>
      </c>
      <c r="Q250" s="74"/>
      <c r="R250" s="75"/>
      <c r="S250" s="12"/>
      <c r="T250" s="11"/>
      <c r="U250" s="12">
        <v>1.0</v>
      </c>
      <c r="V250" s="11" t="s">
        <v>2063</v>
      </c>
      <c r="W250" s="332">
        <v>1.0</v>
      </c>
      <c r="X250" s="332">
        <f t="shared" si="4"/>
        <v>1</v>
      </c>
      <c r="Y250" s="332" t="str">
        <f t="shared" si="18"/>
        <v>E</v>
      </c>
      <c r="Z250" s="332"/>
    </row>
    <row r="251" ht="76.5" customHeight="1">
      <c r="A251" s="221">
        <v>250.0</v>
      </c>
      <c r="B251" s="11" t="s">
        <v>173</v>
      </c>
      <c r="C251" s="11" t="s">
        <v>449</v>
      </c>
      <c r="D251" s="93" t="s">
        <v>450</v>
      </c>
      <c r="E251" s="215" t="s">
        <v>415</v>
      </c>
      <c r="F251" s="216">
        <v>15.0</v>
      </c>
      <c r="G251" s="216">
        <v>15.0</v>
      </c>
      <c r="H251" s="216">
        <v>250.0</v>
      </c>
      <c r="I251" s="11">
        <f t="shared" si="10"/>
        <v>3750</v>
      </c>
      <c r="J251" s="11" t="s">
        <v>178</v>
      </c>
      <c r="K251" s="93"/>
      <c r="L251" s="93" t="s">
        <v>1594</v>
      </c>
      <c r="M251" s="93" t="s">
        <v>1937</v>
      </c>
      <c r="N251" s="217" t="s">
        <v>451</v>
      </c>
      <c r="O251" s="11" t="str">
        <f>IMAGE("https://m.media-amazon.com/images/I/61rcnccrByL._SL1238_.jpg",1)</f>
        <v/>
      </c>
      <c r="P251" s="78" t="s">
        <v>1688</v>
      </c>
      <c r="Q251" s="74"/>
      <c r="R251" s="75"/>
      <c r="S251" s="5"/>
      <c r="T251" s="14"/>
      <c r="U251" s="12">
        <v>1.0</v>
      </c>
      <c r="V251" s="11" t="s">
        <v>2063</v>
      </c>
      <c r="W251" s="332">
        <v>1.0</v>
      </c>
      <c r="X251" s="332">
        <f t="shared" si="4"/>
        <v>1</v>
      </c>
      <c r="Y251" s="332" t="str">
        <f t="shared" si="18"/>
        <v>E</v>
      </c>
      <c r="Z251" s="332"/>
    </row>
    <row r="252" ht="76.5" customHeight="1">
      <c r="A252" s="221">
        <v>251.0</v>
      </c>
      <c r="B252" s="11" t="s">
        <v>173</v>
      </c>
      <c r="C252" s="11" t="s">
        <v>453</v>
      </c>
      <c r="D252" s="93" t="s">
        <v>454</v>
      </c>
      <c r="E252" s="215" t="s">
        <v>415</v>
      </c>
      <c r="F252" s="216">
        <v>15.0</v>
      </c>
      <c r="G252" s="216">
        <v>15.0</v>
      </c>
      <c r="H252" s="216">
        <v>400.0</v>
      </c>
      <c r="I252" s="11">
        <f t="shared" si="10"/>
        <v>6000</v>
      </c>
      <c r="J252" s="11" t="s">
        <v>178</v>
      </c>
      <c r="K252" s="93"/>
      <c r="L252" s="93" t="s">
        <v>1594</v>
      </c>
      <c r="M252" s="93" t="s">
        <v>455</v>
      </c>
      <c r="N252" s="217" t="s">
        <v>456</v>
      </c>
      <c r="O252" s="11" t="str">
        <f>IMAGE("https://m.media-amazon.com/images/W/MEDIAX_792452-T2/images/I/61t+lNeiChL._SL1443_.jpg",1)</f>
        <v/>
      </c>
      <c r="P252" s="78" t="s">
        <v>1688</v>
      </c>
      <c r="Q252" s="74"/>
      <c r="R252" s="75"/>
      <c r="S252" s="5"/>
      <c r="T252" s="14"/>
      <c r="U252" s="12">
        <v>1.0</v>
      </c>
      <c r="V252" s="11" t="s">
        <v>2064</v>
      </c>
      <c r="W252" s="332">
        <v>1.0</v>
      </c>
      <c r="X252" s="332">
        <f t="shared" si="4"/>
        <v>1</v>
      </c>
      <c r="Y252" s="332" t="str">
        <f t="shared" si="18"/>
        <v>E</v>
      </c>
      <c r="Z252" s="332"/>
    </row>
    <row r="253" ht="76.5" customHeight="1">
      <c r="A253" s="221">
        <v>252.0</v>
      </c>
      <c r="B253" s="11" t="s">
        <v>173</v>
      </c>
      <c r="C253" s="11" t="s">
        <v>458</v>
      </c>
      <c r="D253" s="107" t="s">
        <v>459</v>
      </c>
      <c r="E253" s="215" t="s">
        <v>415</v>
      </c>
      <c r="F253" s="216">
        <v>10.0</v>
      </c>
      <c r="G253" s="216">
        <v>10.0</v>
      </c>
      <c r="H253" s="216">
        <v>500.0</v>
      </c>
      <c r="I253" s="11">
        <f t="shared" si="10"/>
        <v>5000</v>
      </c>
      <c r="J253" s="11" t="s">
        <v>178</v>
      </c>
      <c r="K253" s="93"/>
      <c r="L253" s="93" t="s">
        <v>1594</v>
      </c>
      <c r="M253" s="93" t="s">
        <v>455</v>
      </c>
      <c r="N253" s="217" t="s">
        <v>460</v>
      </c>
      <c r="O253" s="11" t="str">
        <f>IMAGE("https://m.media-amazon.com/images/W/MEDIAX_792452-T2/images/I/61xb9SMx4AL._SL1440_.jpg",1)</f>
        <v/>
      </c>
      <c r="P253" s="78" t="s">
        <v>1688</v>
      </c>
      <c r="Q253" s="74"/>
      <c r="R253" s="75"/>
      <c r="S253" s="12"/>
      <c r="T253" s="11"/>
      <c r="U253" s="12">
        <v>1.0</v>
      </c>
      <c r="V253" s="11" t="s">
        <v>2064</v>
      </c>
      <c r="W253" s="332">
        <v>1.0</v>
      </c>
      <c r="X253" s="332">
        <f t="shared" si="4"/>
        <v>1</v>
      </c>
      <c r="Y253" s="332" t="str">
        <f t="shared" si="18"/>
        <v>E</v>
      </c>
      <c r="Z253" s="332"/>
    </row>
    <row r="254" ht="76.5" customHeight="1">
      <c r="A254" s="221">
        <v>253.0</v>
      </c>
      <c r="B254" s="11" t="s">
        <v>173</v>
      </c>
      <c r="C254" s="11" t="s">
        <v>492</v>
      </c>
      <c r="D254" s="93" t="s">
        <v>1942</v>
      </c>
      <c r="E254" s="215" t="s">
        <v>489</v>
      </c>
      <c r="F254" s="216">
        <v>10.0</v>
      </c>
      <c r="G254" s="216">
        <v>10.0</v>
      </c>
      <c r="H254" s="216">
        <v>60.0</v>
      </c>
      <c r="I254" s="11">
        <f t="shared" si="10"/>
        <v>600</v>
      </c>
      <c r="J254" s="11" t="s">
        <v>178</v>
      </c>
      <c r="K254" s="93"/>
      <c r="L254" s="93" t="s">
        <v>2012</v>
      </c>
      <c r="M254" s="93" t="s">
        <v>493</v>
      </c>
      <c r="N254" s="217" t="s">
        <v>494</v>
      </c>
      <c r="O254" s="11" t="str">
        <f>IMAGE("https://5.imimg.com/data5/SR/JZ/RD/SELLER-80355495/large-breadboard-800-points--500x500.jpg",1)</f>
        <v/>
      </c>
      <c r="P254" s="78" t="s">
        <v>1688</v>
      </c>
      <c r="Q254" s="74"/>
      <c r="R254" s="75"/>
      <c r="S254" s="12"/>
      <c r="T254" s="11"/>
      <c r="U254" s="12">
        <v>1.0</v>
      </c>
      <c r="V254" s="11" t="s">
        <v>2071</v>
      </c>
      <c r="W254" s="332">
        <v>1.0</v>
      </c>
      <c r="X254" s="332">
        <f t="shared" si="4"/>
        <v>1</v>
      </c>
      <c r="Y254" s="332" t="str">
        <f t="shared" si="18"/>
        <v>E</v>
      </c>
      <c r="Z254" s="332"/>
    </row>
    <row r="255" ht="76.5" customHeight="1">
      <c r="A255" s="221">
        <v>254.0</v>
      </c>
      <c r="B255" s="11" t="s">
        <v>173</v>
      </c>
      <c r="C255" s="11" t="s">
        <v>496</v>
      </c>
      <c r="D255" s="93" t="s">
        <v>497</v>
      </c>
      <c r="E255" s="215" t="s">
        <v>489</v>
      </c>
      <c r="F255" s="216">
        <v>10.0</v>
      </c>
      <c r="G255" s="216">
        <v>10.0</v>
      </c>
      <c r="H255" s="216">
        <v>40.0</v>
      </c>
      <c r="I255" s="11">
        <f t="shared" si="10"/>
        <v>400</v>
      </c>
      <c r="J255" s="11" t="s">
        <v>178</v>
      </c>
      <c r="K255" s="93"/>
      <c r="L255" s="93" t="s">
        <v>2012</v>
      </c>
      <c r="M255" s="93" t="s">
        <v>493</v>
      </c>
      <c r="N255" s="217" t="s">
        <v>498</v>
      </c>
      <c r="O255" s="11" t="str">
        <f>IMAGE("https://5.imimg.com/data5/SELLER/Default/2020/12/GY/DK/LM/59387089/400-point-solderless-breadboard-500x500.jpg",1)</f>
        <v/>
      </c>
      <c r="P255" s="78" t="s">
        <v>1688</v>
      </c>
      <c r="Q255" s="74"/>
      <c r="R255" s="75"/>
      <c r="S255" s="12"/>
      <c r="T255" s="11"/>
      <c r="U255" s="12">
        <v>1.0</v>
      </c>
      <c r="V255" s="11" t="s">
        <v>2072</v>
      </c>
      <c r="W255" s="332">
        <v>1.0</v>
      </c>
      <c r="X255" s="332">
        <f t="shared" si="4"/>
        <v>1</v>
      </c>
      <c r="Y255" s="332" t="str">
        <f t="shared" si="18"/>
        <v>E</v>
      </c>
      <c r="Z255" s="332"/>
    </row>
    <row r="256" ht="76.5" customHeight="1">
      <c r="A256" s="221">
        <v>255.0</v>
      </c>
      <c r="B256" s="11" t="s">
        <v>173</v>
      </c>
      <c r="C256" s="11" t="s">
        <v>500</v>
      </c>
      <c r="D256" s="93" t="s">
        <v>501</v>
      </c>
      <c r="E256" s="215" t="s">
        <v>489</v>
      </c>
      <c r="F256" s="216">
        <v>10.0</v>
      </c>
      <c r="G256" s="216">
        <v>10.0</v>
      </c>
      <c r="H256" s="216">
        <v>200.0</v>
      </c>
      <c r="I256" s="11">
        <f t="shared" si="10"/>
        <v>2000</v>
      </c>
      <c r="J256" s="11" t="s">
        <v>178</v>
      </c>
      <c r="K256" s="93"/>
      <c r="L256" s="93" t="s">
        <v>1895</v>
      </c>
      <c r="M256" s="93" t="s">
        <v>493</v>
      </c>
      <c r="N256" s="238" t="s">
        <v>502</v>
      </c>
      <c r="O256" s="11" t="str">
        <f>IMAGE("https://1ohm.in/wp-content/uploads/2021/07/MB102-3.3V5V-Breadboard-Power-Supply-Module.png",1)</f>
        <v/>
      </c>
      <c r="P256" s="78" t="s">
        <v>1688</v>
      </c>
      <c r="Q256" s="74"/>
      <c r="R256" s="75"/>
      <c r="S256" s="12"/>
      <c r="T256" s="11"/>
      <c r="U256" s="12">
        <v>1.0</v>
      </c>
      <c r="V256" s="11" t="s">
        <v>2073</v>
      </c>
      <c r="W256" s="332">
        <v>1.0</v>
      </c>
      <c r="X256" s="332">
        <f t="shared" si="4"/>
        <v>1</v>
      </c>
      <c r="Y256" s="332" t="str">
        <f t="shared" si="18"/>
        <v>E</v>
      </c>
      <c r="Z256" s="332"/>
    </row>
    <row r="257" ht="76.5" customHeight="1">
      <c r="A257" s="221">
        <v>256.0</v>
      </c>
      <c r="B257" s="11" t="s">
        <v>173</v>
      </c>
      <c r="C257" s="11" t="s">
        <v>504</v>
      </c>
      <c r="D257" s="93" t="s">
        <v>505</v>
      </c>
      <c r="E257" s="215" t="s">
        <v>489</v>
      </c>
      <c r="F257" s="216">
        <v>100.0</v>
      </c>
      <c r="G257" s="216">
        <v>100.0</v>
      </c>
      <c r="H257" s="216">
        <v>10.0</v>
      </c>
      <c r="I257" s="11">
        <f t="shared" si="10"/>
        <v>1000</v>
      </c>
      <c r="J257" s="11" t="s">
        <v>178</v>
      </c>
      <c r="K257" s="93"/>
      <c r="L257" s="93" t="s">
        <v>2074</v>
      </c>
      <c r="M257" s="93" t="s">
        <v>23</v>
      </c>
      <c r="N257" s="217" t="s">
        <v>506</v>
      </c>
      <c r="O257" s="11" t="str">
        <f>IMAGE("https://rukminim2.flixcart.com/image/832/832/ks243gw0/electronic-hobby-kit/x/f/2/2mm-pitch-female-burg-strip-40-pin-5-pcs-prime-intact-original-imag5pxpqjxcdsgh.jpeg?q=70",1)</f>
        <v/>
      </c>
      <c r="P257" s="78" t="s">
        <v>1688</v>
      </c>
      <c r="Q257" s="74"/>
      <c r="R257" s="75"/>
      <c r="S257" s="12"/>
      <c r="T257" s="11"/>
      <c r="U257" s="12">
        <v>1.0</v>
      </c>
      <c r="V257" s="221" t="s">
        <v>2075</v>
      </c>
      <c r="W257" s="332">
        <v>1.0</v>
      </c>
      <c r="X257" s="332">
        <f t="shared" si="4"/>
        <v>1</v>
      </c>
      <c r="Y257" s="332" t="str">
        <f t="shared" si="18"/>
        <v>E</v>
      </c>
      <c r="Z257" s="332"/>
    </row>
    <row r="258" ht="76.5" customHeight="1">
      <c r="A258" s="221">
        <v>257.0</v>
      </c>
      <c r="B258" s="11" t="s">
        <v>173</v>
      </c>
      <c r="C258" s="11" t="s">
        <v>508</v>
      </c>
      <c r="D258" s="93" t="s">
        <v>509</v>
      </c>
      <c r="E258" s="215" t="s">
        <v>489</v>
      </c>
      <c r="F258" s="216">
        <v>50.0</v>
      </c>
      <c r="G258" s="216">
        <v>50.0</v>
      </c>
      <c r="H258" s="216">
        <v>15.0</v>
      </c>
      <c r="I258" s="11">
        <f t="shared" si="10"/>
        <v>750</v>
      </c>
      <c r="J258" s="11" t="s">
        <v>178</v>
      </c>
      <c r="K258" s="93"/>
      <c r="L258" s="93" t="s">
        <v>2074</v>
      </c>
      <c r="M258" s="93" t="s">
        <v>237</v>
      </c>
      <c r="N258" s="217" t="s">
        <v>510</v>
      </c>
      <c r="O258" s="11" t="str">
        <f>IMAGE("https://5.imimg.com/data5/OF/VW/IL/SELLER-9316309/burg-strips-500x500.jpg",1)</f>
        <v/>
      </c>
      <c r="P258" s="78" t="s">
        <v>1688</v>
      </c>
      <c r="Q258" s="74"/>
      <c r="R258" s="75"/>
      <c r="S258" s="12"/>
      <c r="T258" s="11"/>
      <c r="U258" s="12">
        <v>1.0</v>
      </c>
      <c r="V258" s="221" t="s">
        <v>2076</v>
      </c>
      <c r="W258" s="332">
        <v>1.0</v>
      </c>
      <c r="X258" s="332">
        <f t="shared" si="4"/>
        <v>1</v>
      </c>
      <c r="Y258" s="332" t="str">
        <f t="shared" si="18"/>
        <v>E</v>
      </c>
      <c r="Z258" s="332"/>
    </row>
    <row r="259" ht="76.5" customHeight="1">
      <c r="A259" s="221">
        <v>258.0</v>
      </c>
      <c r="B259" s="11" t="s">
        <v>173</v>
      </c>
      <c r="C259" s="11" t="s">
        <v>512</v>
      </c>
      <c r="D259" s="93" t="s">
        <v>513</v>
      </c>
      <c r="E259" s="215" t="s">
        <v>489</v>
      </c>
      <c r="F259" s="216">
        <v>50.0</v>
      </c>
      <c r="G259" s="216">
        <v>50.0</v>
      </c>
      <c r="H259" s="216">
        <v>20.0</v>
      </c>
      <c r="I259" s="11">
        <f t="shared" si="10"/>
        <v>1000</v>
      </c>
      <c r="J259" s="11" t="s">
        <v>178</v>
      </c>
      <c r="K259" s="93"/>
      <c r="L259" s="93" t="s">
        <v>2074</v>
      </c>
      <c r="M259" s="93" t="s">
        <v>237</v>
      </c>
      <c r="N259" s="217" t="s">
        <v>514</v>
      </c>
      <c r="O259" s="11" t="str">
        <f>IMAGE("https://www.tomsonelectronics.com/cdn/shop/products/40X1MALERAI_2048x2048.jpg?v=1602835171",1)</f>
        <v/>
      </c>
      <c r="P259" s="330" t="s">
        <v>1688</v>
      </c>
      <c r="Q259" s="331"/>
      <c r="R259" s="75"/>
      <c r="S259" s="253"/>
      <c r="T259" s="11"/>
      <c r="U259" s="12">
        <v>1.0</v>
      </c>
      <c r="V259" s="221" t="s">
        <v>2077</v>
      </c>
      <c r="W259" s="332">
        <v>1.0</v>
      </c>
      <c r="X259" s="332">
        <f t="shared" si="4"/>
        <v>1</v>
      </c>
      <c r="Y259" s="332" t="str">
        <f t="shared" si="18"/>
        <v>E</v>
      </c>
      <c r="Z259" s="332"/>
    </row>
    <row r="260" ht="76.5" customHeight="1">
      <c r="A260" s="221">
        <v>259.0</v>
      </c>
      <c r="B260" s="11" t="s">
        <v>173</v>
      </c>
      <c r="C260" s="11" t="s">
        <v>902</v>
      </c>
      <c r="D260" s="93" t="s">
        <v>903</v>
      </c>
      <c r="E260" s="215" t="s">
        <v>891</v>
      </c>
      <c r="F260" s="216">
        <v>5.0</v>
      </c>
      <c r="G260" s="216">
        <v>5.0</v>
      </c>
      <c r="H260" s="216">
        <v>150.0</v>
      </c>
      <c r="I260" s="11">
        <f t="shared" si="10"/>
        <v>750</v>
      </c>
      <c r="J260" s="11" t="s">
        <v>178</v>
      </c>
      <c r="K260" s="93"/>
      <c r="L260" s="93" t="s">
        <v>2012</v>
      </c>
      <c r="M260" s="93" t="s">
        <v>1954</v>
      </c>
      <c r="N260" s="217" t="s">
        <v>904</v>
      </c>
      <c r="O260" s="11" t="str">
        <f>IMAGE("https://makerbazar.in/cdn/shop/files/6015fanwithwire_600x.jpg?v=1695792315",1)</f>
        <v/>
      </c>
      <c r="P260" s="78" t="s">
        <v>1688</v>
      </c>
      <c r="Q260" s="74"/>
      <c r="R260" s="75"/>
      <c r="S260" s="12"/>
      <c r="T260" s="11"/>
      <c r="U260" s="12">
        <v>1.0</v>
      </c>
      <c r="V260" s="11" t="s">
        <v>2087</v>
      </c>
      <c r="W260" s="332">
        <v>1.0</v>
      </c>
      <c r="X260" s="332">
        <f t="shared" si="4"/>
        <v>1</v>
      </c>
      <c r="Y260" s="332" t="str">
        <f t="shared" si="18"/>
        <v>E</v>
      </c>
      <c r="Z260" s="332"/>
    </row>
    <row r="261" ht="76.5" customHeight="1">
      <c r="A261" s="221">
        <v>260.0</v>
      </c>
      <c r="B261" s="11" t="s">
        <v>173</v>
      </c>
      <c r="C261" s="11" t="s">
        <v>906</v>
      </c>
      <c r="D261" s="93" t="s">
        <v>1955</v>
      </c>
      <c r="E261" s="215" t="s">
        <v>891</v>
      </c>
      <c r="F261" s="216">
        <v>10.0</v>
      </c>
      <c r="G261" s="216">
        <v>10.0</v>
      </c>
      <c r="H261" s="216">
        <v>200.0</v>
      </c>
      <c r="I261" s="11">
        <f t="shared" si="10"/>
        <v>2000</v>
      </c>
      <c r="J261" s="11" t="s">
        <v>178</v>
      </c>
      <c r="K261" s="93"/>
      <c r="L261" s="93" t="s">
        <v>1895</v>
      </c>
      <c r="M261" s="93" t="s">
        <v>1956</v>
      </c>
      <c r="N261" s="217" t="s">
        <v>908</v>
      </c>
      <c r="O261" s="11" t="str">
        <f>IMAGE("https://5.imimg.com/data5/II/UT/SO/SELLER-1968074/16x2-lcd-display-500x500.jpg",1)</f>
        <v/>
      </c>
      <c r="P261" s="78" t="s">
        <v>1688</v>
      </c>
      <c r="Q261" s="74"/>
      <c r="R261" s="75"/>
      <c r="S261" s="12"/>
      <c r="T261" s="11"/>
      <c r="U261" s="12">
        <v>1.0</v>
      </c>
      <c r="V261" s="221" t="s">
        <v>2088</v>
      </c>
      <c r="W261" s="332">
        <v>1.0</v>
      </c>
      <c r="X261" s="332">
        <f t="shared" si="4"/>
        <v>1</v>
      </c>
      <c r="Y261" s="332" t="str">
        <f t="shared" si="18"/>
        <v>E</v>
      </c>
      <c r="Z261" s="332"/>
    </row>
    <row r="262" ht="76.5" customHeight="1">
      <c r="A262" s="221">
        <v>261.0</v>
      </c>
      <c r="B262" s="11" t="s">
        <v>173</v>
      </c>
      <c r="C262" s="11" t="s">
        <v>922</v>
      </c>
      <c r="D262" s="93" t="s">
        <v>923</v>
      </c>
      <c r="E262" s="215" t="s">
        <v>891</v>
      </c>
      <c r="F262" s="216">
        <v>5.0</v>
      </c>
      <c r="G262" s="216">
        <v>5.0</v>
      </c>
      <c r="H262" s="216">
        <v>250.0</v>
      </c>
      <c r="I262" s="11">
        <f t="shared" si="10"/>
        <v>1250</v>
      </c>
      <c r="J262" s="11" t="s">
        <v>178</v>
      </c>
      <c r="K262" s="93"/>
      <c r="L262" s="93" t="s">
        <v>1895</v>
      </c>
      <c r="M262" s="93" t="s">
        <v>1947</v>
      </c>
      <c r="N262" s="217" t="s">
        <v>924</v>
      </c>
      <c r="O262" s="11" t="str">
        <f>IMAGE("https://robu.in/wp-content/uploads/2017/06/robu-3-13.jpg",1)</f>
        <v/>
      </c>
      <c r="P262" s="78" t="s">
        <v>1688</v>
      </c>
      <c r="Q262" s="74"/>
      <c r="R262" s="75"/>
      <c r="S262" s="12"/>
      <c r="T262" s="11"/>
      <c r="U262" s="12">
        <v>1.0</v>
      </c>
      <c r="V262" s="250" t="s">
        <v>2090</v>
      </c>
      <c r="W262" s="332">
        <v>1.0</v>
      </c>
      <c r="X262" s="332">
        <f t="shared" si="4"/>
        <v>1</v>
      </c>
      <c r="Y262" s="332" t="str">
        <f t="shared" si="18"/>
        <v>E</v>
      </c>
      <c r="Z262" s="332"/>
    </row>
    <row r="263" ht="76.5" customHeight="1">
      <c r="A263" s="221">
        <v>262.0</v>
      </c>
      <c r="B263" s="11" t="s">
        <v>173</v>
      </c>
      <c r="C263" s="11" t="s">
        <v>926</v>
      </c>
      <c r="D263" s="93" t="s">
        <v>927</v>
      </c>
      <c r="E263" s="215" t="s">
        <v>891</v>
      </c>
      <c r="F263" s="216">
        <v>10.0</v>
      </c>
      <c r="G263" s="216">
        <v>10.0</v>
      </c>
      <c r="H263" s="216">
        <v>50.0</v>
      </c>
      <c r="I263" s="11">
        <f t="shared" si="10"/>
        <v>500</v>
      </c>
      <c r="J263" s="11" t="s">
        <v>178</v>
      </c>
      <c r="K263" s="93"/>
      <c r="L263" s="93" t="s">
        <v>1895</v>
      </c>
      <c r="M263" s="93" t="s">
        <v>1941</v>
      </c>
      <c r="N263" s="217"/>
      <c r="O263" s="253" t="str">
        <f>IMAGE("https://robu.in/wp-content/uploads/2021/05/0.5W-8OHM-Trumpet-Diameter-36mm-1.jpeg",1)</f>
        <v/>
      </c>
      <c r="P263" s="330" t="s">
        <v>1688</v>
      </c>
      <c r="Q263" s="331"/>
      <c r="R263" s="75"/>
      <c r="S263" s="253"/>
      <c r="T263" s="11"/>
      <c r="U263" s="12">
        <v>1.0</v>
      </c>
      <c r="V263" s="11" t="s">
        <v>2091</v>
      </c>
      <c r="W263" s="332">
        <v>1.0</v>
      </c>
      <c r="X263" s="332">
        <f t="shared" si="4"/>
        <v>1</v>
      </c>
      <c r="Y263" s="332" t="str">
        <f t="shared" si="18"/>
        <v>E</v>
      </c>
      <c r="Z263" s="332"/>
    </row>
    <row r="264" ht="76.5" customHeight="1">
      <c r="A264" s="221">
        <v>263.0</v>
      </c>
      <c r="B264" s="11" t="s">
        <v>173</v>
      </c>
      <c r="C264" s="11" t="s">
        <v>929</v>
      </c>
      <c r="D264" s="93" t="s">
        <v>930</v>
      </c>
      <c r="E264" s="215" t="s">
        <v>891</v>
      </c>
      <c r="F264" s="216">
        <v>10.0</v>
      </c>
      <c r="G264" s="216">
        <v>10.0</v>
      </c>
      <c r="H264" s="216">
        <v>40.0</v>
      </c>
      <c r="I264" s="11">
        <f t="shared" si="10"/>
        <v>400</v>
      </c>
      <c r="J264" s="11" t="s">
        <v>178</v>
      </c>
      <c r="K264" s="93"/>
      <c r="L264" s="93" t="s">
        <v>1895</v>
      </c>
      <c r="M264" s="93" t="s">
        <v>1954</v>
      </c>
      <c r="N264" s="217" t="s">
        <v>931</v>
      </c>
      <c r="O264" s="12" t="str">
        <f>IMAGE("https://5.imimg.com/data5/SELLER/Default/2023/2/OP/GV/HH/182244990/water-pump-module-1000x1000.jpg",1)</f>
        <v/>
      </c>
      <c r="P264" s="78" t="s">
        <v>1688</v>
      </c>
      <c r="Q264" s="74"/>
      <c r="R264" s="75"/>
      <c r="S264" s="12"/>
      <c r="T264" s="11"/>
      <c r="U264" s="12">
        <v>1.0</v>
      </c>
      <c r="V264" s="11" t="s">
        <v>2092</v>
      </c>
      <c r="W264" s="332">
        <v>1.0</v>
      </c>
      <c r="X264" s="332">
        <f t="shared" si="4"/>
        <v>1</v>
      </c>
      <c r="Y264" s="332" t="str">
        <f t="shared" si="18"/>
        <v>E</v>
      </c>
      <c r="Z264" s="332"/>
    </row>
    <row r="265" ht="76.5" customHeight="1">
      <c r="A265" s="221">
        <v>264.0</v>
      </c>
      <c r="B265" s="11" t="s">
        <v>173</v>
      </c>
      <c r="C265" s="11" t="s">
        <v>953</v>
      </c>
      <c r="D265" s="93" t="s">
        <v>1958</v>
      </c>
      <c r="E265" s="215" t="s">
        <v>891</v>
      </c>
      <c r="F265" s="216">
        <v>10.0</v>
      </c>
      <c r="G265" s="216">
        <v>10.0</v>
      </c>
      <c r="H265" s="216">
        <v>200.0</v>
      </c>
      <c r="I265" s="11">
        <f t="shared" si="10"/>
        <v>2000</v>
      </c>
      <c r="J265" s="11" t="s">
        <v>178</v>
      </c>
      <c r="K265" s="93"/>
      <c r="L265" s="93" t="s">
        <v>1594</v>
      </c>
      <c r="M265" s="93" t="s">
        <v>1947</v>
      </c>
      <c r="N265" s="223" t="s">
        <v>955</v>
      </c>
      <c r="O265" s="11" t="str">
        <f>IMAGE("https://robu.in/wp-content/uploads/2020/09/L298P-Motor-Driver-Shield-for-Arduino-3.jpg",1)</f>
        <v/>
      </c>
      <c r="P265" s="78" t="s">
        <v>1688</v>
      </c>
      <c r="Q265" s="74"/>
      <c r="R265" s="75"/>
      <c r="S265" s="12"/>
      <c r="T265" s="11"/>
      <c r="U265" s="12">
        <v>1.0</v>
      </c>
      <c r="V265" s="221" t="s">
        <v>2061</v>
      </c>
      <c r="W265" s="332">
        <v>1.0</v>
      </c>
      <c r="X265" s="332">
        <f t="shared" si="4"/>
        <v>1</v>
      </c>
      <c r="Y265" s="332" t="str">
        <f t="shared" si="18"/>
        <v>E</v>
      </c>
      <c r="Z265" s="332"/>
    </row>
    <row r="266" ht="76.5" customHeight="1">
      <c r="A266" s="221">
        <v>265.0</v>
      </c>
      <c r="B266" s="11" t="s">
        <v>173</v>
      </c>
      <c r="C266" s="11" t="s">
        <v>961</v>
      </c>
      <c r="D266" s="93" t="s">
        <v>962</v>
      </c>
      <c r="E266" s="215" t="s">
        <v>891</v>
      </c>
      <c r="F266" s="216">
        <v>10.0</v>
      </c>
      <c r="G266" s="216">
        <v>10.0</v>
      </c>
      <c r="H266" s="216">
        <v>500.0</v>
      </c>
      <c r="I266" s="11">
        <f t="shared" si="10"/>
        <v>5000</v>
      </c>
      <c r="J266" s="11" t="s">
        <v>178</v>
      </c>
      <c r="K266" s="93"/>
      <c r="L266" s="93" t="s">
        <v>1895</v>
      </c>
      <c r="M266" s="93" t="s">
        <v>1947</v>
      </c>
      <c r="N266" s="217" t="s">
        <v>963</v>
      </c>
      <c r="O266" s="11" t="str">
        <f>IMAGE("https://robu.in/wp-content/uploads/2016/02/617hpF6cJbL._SL1000_.jpg",1)</f>
        <v/>
      </c>
      <c r="P266" s="78" t="s">
        <v>1688</v>
      </c>
      <c r="Q266" s="74"/>
      <c r="R266" s="75"/>
      <c r="S266" s="5"/>
      <c r="T266" s="14"/>
      <c r="U266" s="12">
        <v>1.0</v>
      </c>
      <c r="V266" s="221" t="s">
        <v>2093</v>
      </c>
      <c r="W266" s="332">
        <v>1.0</v>
      </c>
      <c r="X266" s="332">
        <f t="shared" si="4"/>
        <v>1</v>
      </c>
      <c r="Y266" s="332" t="str">
        <f t="shared" si="18"/>
        <v>E</v>
      </c>
      <c r="Z266" s="332"/>
    </row>
    <row r="267" ht="76.5" hidden="1" customHeight="1">
      <c r="A267" s="221">
        <v>266.0</v>
      </c>
      <c r="B267" s="221" t="s">
        <v>173</v>
      </c>
      <c r="C267" s="11" t="s">
        <v>1081</v>
      </c>
      <c r="D267" s="93" t="s">
        <v>1082</v>
      </c>
      <c r="E267" s="215" t="s">
        <v>1032</v>
      </c>
      <c r="F267" s="216">
        <v>1.0</v>
      </c>
      <c r="G267" s="216">
        <v>1.0</v>
      </c>
      <c r="H267" s="216">
        <v>200.0</v>
      </c>
      <c r="I267" s="11">
        <f t="shared" si="10"/>
        <v>200</v>
      </c>
      <c r="J267" s="11" t="s">
        <v>347</v>
      </c>
      <c r="K267" s="93"/>
      <c r="L267" s="93" t="s">
        <v>2002</v>
      </c>
      <c r="M267" s="215" t="s">
        <v>1032</v>
      </c>
      <c r="N267" s="217" t="s">
        <v>1083</v>
      </c>
      <c r="O267" s="11" t="str">
        <f>IMAGE("https://m.media-amazon.com/images/I/41XSpNsGoiL._SL1024_.jpg",1)</f>
        <v/>
      </c>
      <c r="P267" s="73" t="s">
        <v>1689</v>
      </c>
      <c r="Q267" s="74" t="s">
        <v>1710</v>
      </c>
      <c r="R267" s="75"/>
      <c r="S267" s="12"/>
      <c r="T267" s="11"/>
      <c r="U267" s="12">
        <v>3.0</v>
      </c>
      <c r="V267" s="11" t="s">
        <v>2104</v>
      </c>
      <c r="W267" s="332">
        <v>1.0</v>
      </c>
      <c r="X267" s="332">
        <f t="shared" si="4"/>
        <v>1</v>
      </c>
      <c r="Y267" s="332" t="str">
        <f t="shared" si="18"/>
        <v>E</v>
      </c>
      <c r="Z267" s="344"/>
    </row>
    <row r="268" ht="76.5" customHeight="1">
      <c r="A268" s="221">
        <v>267.0</v>
      </c>
      <c r="B268" s="11" t="s">
        <v>173</v>
      </c>
      <c r="C268" s="11" t="s">
        <v>1248</v>
      </c>
      <c r="D268" s="93" t="s">
        <v>1249</v>
      </c>
      <c r="E268" s="215" t="s">
        <v>1250</v>
      </c>
      <c r="F268" s="216">
        <v>7.0</v>
      </c>
      <c r="G268" s="216">
        <v>7.0</v>
      </c>
      <c r="H268" s="216">
        <v>500.0</v>
      </c>
      <c r="I268" s="11">
        <f t="shared" si="10"/>
        <v>3500</v>
      </c>
      <c r="J268" s="11" t="s">
        <v>178</v>
      </c>
      <c r="K268" s="93" t="s">
        <v>47</v>
      </c>
      <c r="L268" s="93" t="s">
        <v>2008</v>
      </c>
      <c r="M268" s="93" t="s">
        <v>1964</v>
      </c>
      <c r="N268" s="217" t="s">
        <v>1251</v>
      </c>
      <c r="O268" s="11" t="str">
        <f>IMAGE("https://www.atel-electronics.eu/pic_cache/10/06158.jpg",1)</f>
        <v/>
      </c>
      <c r="P268" s="73" t="s">
        <v>1724</v>
      </c>
      <c r="Q268" s="74"/>
      <c r="R268" s="75"/>
      <c r="S268" s="12"/>
      <c r="T268" s="11"/>
      <c r="U268" s="12">
        <v>1.0</v>
      </c>
      <c r="V268" s="11" t="s">
        <v>2123</v>
      </c>
      <c r="W268" s="332">
        <v>1.0</v>
      </c>
      <c r="X268" s="332">
        <f t="shared" si="4"/>
        <v>1</v>
      </c>
      <c r="Y268" s="332" t="str">
        <f t="shared" si="18"/>
        <v>E</v>
      </c>
      <c r="Z268" s="332"/>
    </row>
    <row r="269" ht="76.5" customHeight="1">
      <c r="A269" s="221">
        <v>268.0</v>
      </c>
      <c r="B269" s="11" t="s">
        <v>173</v>
      </c>
      <c r="C269" s="11" t="s">
        <v>1328</v>
      </c>
      <c r="D269" s="93" t="s">
        <v>1329</v>
      </c>
      <c r="E269" s="215" t="s">
        <v>1330</v>
      </c>
      <c r="F269" s="11">
        <v>100.0</v>
      </c>
      <c r="G269" s="11">
        <v>100.0</v>
      </c>
      <c r="H269" s="11">
        <v>10.0</v>
      </c>
      <c r="I269" s="11">
        <f t="shared" si="10"/>
        <v>1000</v>
      </c>
      <c r="J269" s="11" t="s">
        <v>178</v>
      </c>
      <c r="K269" s="93" t="s">
        <v>65</v>
      </c>
      <c r="L269" s="93" t="s">
        <v>2105</v>
      </c>
      <c r="M269" s="93" t="s">
        <v>1331</v>
      </c>
      <c r="N269" s="217" t="s">
        <v>1332</v>
      </c>
      <c r="O269" s="11" t="str">
        <f>IMAGE("https://m.media-amazon.com/images/I/61vUDUTouNL._SL1500_.jpg",1)</f>
        <v/>
      </c>
      <c r="P269" s="78" t="s">
        <v>56</v>
      </c>
      <c r="Q269" s="74"/>
      <c r="R269" s="75"/>
      <c r="S269" s="12"/>
      <c r="T269" s="11"/>
      <c r="U269" s="12">
        <v>4.0</v>
      </c>
      <c r="V269" s="221" t="s">
        <v>2126</v>
      </c>
      <c r="W269" s="332">
        <v>1.0</v>
      </c>
      <c r="X269" s="332">
        <f t="shared" si="4"/>
        <v>1</v>
      </c>
      <c r="Y269" s="332" t="str">
        <f t="shared" si="18"/>
        <v>E</v>
      </c>
      <c r="Z269" s="332"/>
    </row>
    <row r="270" ht="76.5" customHeight="1">
      <c r="A270" s="221">
        <v>269.0</v>
      </c>
      <c r="B270" s="11" t="s">
        <v>173</v>
      </c>
      <c r="C270" s="11" t="s">
        <v>1334</v>
      </c>
      <c r="D270" s="93" t="s">
        <v>1335</v>
      </c>
      <c r="E270" s="215" t="s">
        <v>1330</v>
      </c>
      <c r="F270" s="11">
        <v>100.0</v>
      </c>
      <c r="G270" s="11">
        <v>100.0</v>
      </c>
      <c r="H270" s="11">
        <v>35.0</v>
      </c>
      <c r="I270" s="11">
        <f t="shared" si="10"/>
        <v>3500</v>
      </c>
      <c r="J270" s="11" t="s">
        <v>178</v>
      </c>
      <c r="K270" s="93"/>
      <c r="L270" s="93" t="s">
        <v>2105</v>
      </c>
      <c r="M270" s="93" t="s">
        <v>1331</v>
      </c>
      <c r="N270" s="217" t="s">
        <v>1336</v>
      </c>
      <c r="O270" s="11" t="str">
        <f>IMAGE("https://m.media-amazon.com/images/I/31ye7Xw2PpL.jpg",1)</f>
        <v/>
      </c>
      <c r="P270" s="78"/>
      <c r="Q270" s="74"/>
      <c r="R270" s="75"/>
      <c r="S270" s="12"/>
      <c r="T270" s="11"/>
      <c r="U270" s="12">
        <v>4.0</v>
      </c>
      <c r="V270" s="221" t="s">
        <v>2126</v>
      </c>
      <c r="W270" s="332">
        <v>1.0</v>
      </c>
      <c r="X270" s="332">
        <f t="shared" si="4"/>
        <v>1</v>
      </c>
      <c r="Y270" s="332" t="str">
        <f t="shared" si="18"/>
        <v>E</v>
      </c>
      <c r="Z270" s="332"/>
    </row>
    <row r="271" ht="76.5" customHeight="1">
      <c r="A271" s="221">
        <v>270.0</v>
      </c>
      <c r="B271" s="11" t="s">
        <v>173</v>
      </c>
      <c r="C271" s="11" t="s">
        <v>1338</v>
      </c>
      <c r="D271" s="93" t="s">
        <v>1339</v>
      </c>
      <c r="E271" s="215" t="s">
        <v>1330</v>
      </c>
      <c r="F271" s="11">
        <v>10.0</v>
      </c>
      <c r="G271" s="11">
        <v>10.0</v>
      </c>
      <c r="H271" s="11">
        <v>100.0</v>
      </c>
      <c r="I271" s="11">
        <f t="shared" si="10"/>
        <v>1000</v>
      </c>
      <c r="J271" s="11" t="s">
        <v>178</v>
      </c>
      <c r="K271" s="93" t="s">
        <v>65</v>
      </c>
      <c r="L271" s="93" t="s">
        <v>1978</v>
      </c>
      <c r="M271" s="93" t="s">
        <v>1331</v>
      </c>
      <c r="N271" s="217" t="s">
        <v>1341</v>
      </c>
      <c r="O271" s="11" t="str">
        <f>IMAGE("https://m.media-amazon.com/images/I/414cC-M+nlL._SL1000_.jpg",1)</f>
        <v/>
      </c>
      <c r="P271" s="78"/>
      <c r="Q271" s="74"/>
      <c r="R271" s="75"/>
      <c r="S271" s="12"/>
      <c r="T271" s="11"/>
      <c r="U271" s="12">
        <v>1.0</v>
      </c>
      <c r="V271" s="11" t="s">
        <v>2127</v>
      </c>
      <c r="W271" s="332">
        <v>1.0</v>
      </c>
      <c r="X271" s="332">
        <f t="shared" si="4"/>
        <v>1</v>
      </c>
      <c r="Y271" s="332" t="str">
        <f t="shared" si="18"/>
        <v>E</v>
      </c>
      <c r="Z271" s="332"/>
    </row>
    <row r="272" ht="76.5" customHeight="1">
      <c r="A272" s="221">
        <v>271.0</v>
      </c>
      <c r="B272" s="11" t="s">
        <v>173</v>
      </c>
      <c r="C272" s="11" t="s">
        <v>1343</v>
      </c>
      <c r="D272" s="93" t="s">
        <v>1344</v>
      </c>
      <c r="E272" s="215" t="s">
        <v>1330</v>
      </c>
      <c r="F272" s="11">
        <v>100.0</v>
      </c>
      <c r="G272" s="11">
        <v>100.0</v>
      </c>
      <c r="H272" s="11">
        <v>20.0</v>
      </c>
      <c r="I272" s="11">
        <f t="shared" si="10"/>
        <v>2000</v>
      </c>
      <c r="J272" s="11" t="s">
        <v>178</v>
      </c>
      <c r="K272" s="93" t="s">
        <v>65</v>
      </c>
      <c r="L272" s="93" t="s">
        <v>2105</v>
      </c>
      <c r="M272" s="93" t="s">
        <v>1331</v>
      </c>
      <c r="N272" s="217" t="s">
        <v>1347</v>
      </c>
      <c r="O272" s="11" t="str">
        <f>IMAGE("https://m.media-amazon.com/images/I/31nb9BadkoL.jpg",1)</f>
        <v/>
      </c>
      <c r="P272" s="78"/>
      <c r="Q272" s="74"/>
      <c r="R272" s="75"/>
      <c r="S272" s="12"/>
      <c r="T272" s="11"/>
      <c r="U272" s="12">
        <v>4.0</v>
      </c>
      <c r="V272" s="221" t="s">
        <v>2126</v>
      </c>
      <c r="W272" s="332">
        <v>1.0</v>
      </c>
      <c r="X272" s="332">
        <f t="shared" si="4"/>
        <v>1</v>
      </c>
      <c r="Y272" s="332" t="str">
        <f t="shared" si="18"/>
        <v>E</v>
      </c>
      <c r="Z272" s="332"/>
    </row>
    <row r="273" ht="76.5" customHeight="1">
      <c r="A273" s="221">
        <v>272.0</v>
      </c>
      <c r="B273" s="11" t="s">
        <v>173</v>
      </c>
      <c r="C273" s="11" t="s">
        <v>1357</v>
      </c>
      <c r="D273" s="93" t="s">
        <v>1358</v>
      </c>
      <c r="E273" s="215" t="s">
        <v>1359</v>
      </c>
      <c r="F273" s="216">
        <v>15.0</v>
      </c>
      <c r="G273" s="216">
        <v>15.0</v>
      </c>
      <c r="H273" s="216">
        <v>250.0</v>
      </c>
      <c r="I273" s="11">
        <f t="shared" si="10"/>
        <v>3750</v>
      </c>
      <c r="J273" s="11" t="s">
        <v>178</v>
      </c>
      <c r="K273" s="93"/>
      <c r="L273" s="93" t="s">
        <v>1594</v>
      </c>
      <c r="M273" s="93" t="s">
        <v>1954</v>
      </c>
      <c r="N273" s="217" t="s">
        <v>1360</v>
      </c>
      <c r="O273" s="11" t="str">
        <f>IMAGE("https://robu.in/wp-content/uploads/2017/11/mg995-high-speed-digital-metal-gear-2bb-torque-rc-for-servo-hpi-savage-xl-2.jpg",1)</f>
        <v/>
      </c>
      <c r="P273" s="78" t="s">
        <v>1688</v>
      </c>
      <c r="Q273" s="74"/>
      <c r="R273" s="75"/>
      <c r="S273" s="12"/>
      <c r="T273" s="11"/>
      <c r="U273" s="12">
        <v>1.0</v>
      </c>
      <c r="V273" s="11" t="s">
        <v>2129</v>
      </c>
      <c r="W273" s="332">
        <v>1.0</v>
      </c>
      <c r="X273" s="332">
        <f t="shared" si="4"/>
        <v>1</v>
      </c>
      <c r="Y273" s="332" t="str">
        <f t="shared" si="18"/>
        <v>E</v>
      </c>
      <c r="Z273" s="332"/>
    </row>
    <row r="274" ht="76.5" customHeight="1">
      <c r="A274" s="221">
        <v>273.0</v>
      </c>
      <c r="B274" s="11" t="s">
        <v>173</v>
      </c>
      <c r="C274" s="11" t="s">
        <v>1362</v>
      </c>
      <c r="D274" s="93" t="s">
        <v>1363</v>
      </c>
      <c r="E274" s="215" t="s">
        <v>1359</v>
      </c>
      <c r="F274" s="216">
        <v>30.0</v>
      </c>
      <c r="G274" s="216">
        <v>30.0</v>
      </c>
      <c r="H274" s="216">
        <v>55.0</v>
      </c>
      <c r="I274" s="11">
        <f t="shared" si="10"/>
        <v>1650</v>
      </c>
      <c r="J274" s="11" t="s">
        <v>178</v>
      </c>
      <c r="K274" s="93"/>
      <c r="L274" s="93" t="s">
        <v>2012</v>
      </c>
      <c r="M274" s="93" t="s">
        <v>1954</v>
      </c>
      <c r="N274" s="217" t="s">
        <v>1364</v>
      </c>
      <c r="O274" s="11" t="str">
        <f t="shared" ref="O274:O275" si="21">IMAGE("https://m.media-amazon.com/images/W/MEDIAX_792452-T2/images/I/21bgQSzvxLL.jpg",1)</f>
        <v/>
      </c>
      <c r="P274" s="78" t="s">
        <v>1688</v>
      </c>
      <c r="Q274" s="74"/>
      <c r="R274" s="75"/>
      <c r="S274" s="12"/>
      <c r="T274" s="11"/>
      <c r="U274" s="12">
        <v>1.0</v>
      </c>
      <c r="V274" s="11" t="s">
        <v>2130</v>
      </c>
      <c r="W274" s="332">
        <v>1.0</v>
      </c>
      <c r="X274" s="332">
        <f t="shared" si="4"/>
        <v>1</v>
      </c>
      <c r="Y274" s="332" t="str">
        <f t="shared" si="18"/>
        <v>E</v>
      </c>
      <c r="Z274" s="332"/>
    </row>
    <row r="275" ht="76.5" customHeight="1">
      <c r="A275" s="221">
        <v>274.0</v>
      </c>
      <c r="B275" s="11" t="s">
        <v>173</v>
      </c>
      <c r="C275" s="11" t="s">
        <v>1366</v>
      </c>
      <c r="D275" s="93" t="s">
        <v>1367</v>
      </c>
      <c r="E275" s="215" t="s">
        <v>1359</v>
      </c>
      <c r="F275" s="216">
        <v>30.0</v>
      </c>
      <c r="G275" s="216">
        <v>30.0</v>
      </c>
      <c r="H275" s="216">
        <v>55.0</v>
      </c>
      <c r="I275" s="11">
        <f t="shared" si="10"/>
        <v>1650</v>
      </c>
      <c r="J275" s="11" t="s">
        <v>178</v>
      </c>
      <c r="K275" s="93"/>
      <c r="L275" s="93" t="s">
        <v>2012</v>
      </c>
      <c r="M275" s="93" t="s">
        <v>1954</v>
      </c>
      <c r="N275" s="217" t="s">
        <v>1369</v>
      </c>
      <c r="O275" s="11" t="str">
        <f t="shared" si="21"/>
        <v/>
      </c>
      <c r="P275" s="78" t="s">
        <v>1688</v>
      </c>
      <c r="Q275" s="74"/>
      <c r="R275" s="75"/>
      <c r="S275" s="12"/>
      <c r="T275" s="11"/>
      <c r="U275" s="12">
        <v>1.0</v>
      </c>
      <c r="V275" s="11" t="s">
        <v>2131</v>
      </c>
      <c r="W275" s="332">
        <v>1.0</v>
      </c>
      <c r="X275" s="332">
        <f t="shared" si="4"/>
        <v>1</v>
      </c>
      <c r="Y275" s="332" t="str">
        <f t="shared" si="18"/>
        <v>E</v>
      </c>
      <c r="Z275" s="332"/>
    </row>
    <row r="276" ht="76.5" customHeight="1">
      <c r="A276" s="221">
        <v>275.0</v>
      </c>
      <c r="B276" s="11" t="s">
        <v>173</v>
      </c>
      <c r="C276" s="11" t="s">
        <v>1371</v>
      </c>
      <c r="D276" s="93" t="s">
        <v>1372</v>
      </c>
      <c r="E276" s="215" t="s">
        <v>1359</v>
      </c>
      <c r="F276" s="216">
        <v>30.0</v>
      </c>
      <c r="G276" s="216">
        <v>30.0</v>
      </c>
      <c r="H276" s="216">
        <v>30.0</v>
      </c>
      <c r="I276" s="11">
        <f t="shared" si="10"/>
        <v>900</v>
      </c>
      <c r="J276" s="11" t="s">
        <v>178</v>
      </c>
      <c r="K276" s="93"/>
      <c r="L276" s="93" t="s">
        <v>1594</v>
      </c>
      <c r="M276" s="93" t="s">
        <v>1954</v>
      </c>
      <c r="N276" s="217" t="s">
        <v>1373</v>
      </c>
      <c r="O276" s="11" t="str">
        <f>IMAGE("https://5.imimg.com/data5/DJ/PF/TV/SELLER-95692783/bo-wheel-500x500.jpg",1)</f>
        <v/>
      </c>
      <c r="P276" s="330" t="s">
        <v>1688</v>
      </c>
      <c r="Q276" s="331"/>
      <c r="R276" s="75"/>
      <c r="S276" s="253"/>
      <c r="T276" s="11"/>
      <c r="U276" s="12">
        <v>1.0</v>
      </c>
      <c r="V276" s="11" t="s">
        <v>2132</v>
      </c>
      <c r="W276" s="332">
        <v>1.0</v>
      </c>
      <c r="X276" s="332">
        <f t="shared" si="4"/>
        <v>1</v>
      </c>
      <c r="Y276" s="332" t="str">
        <f t="shared" si="18"/>
        <v>E</v>
      </c>
      <c r="Z276" s="332"/>
    </row>
    <row r="277" ht="76.5" customHeight="1">
      <c r="A277" s="221">
        <v>276.0</v>
      </c>
      <c r="B277" s="11" t="s">
        <v>173</v>
      </c>
      <c r="C277" s="11" t="s">
        <v>1375</v>
      </c>
      <c r="D277" s="93" t="s">
        <v>1376</v>
      </c>
      <c r="E277" s="215" t="s">
        <v>1359</v>
      </c>
      <c r="F277" s="216">
        <v>20.0</v>
      </c>
      <c r="G277" s="216">
        <v>20.0</v>
      </c>
      <c r="H277" s="216">
        <v>50.0</v>
      </c>
      <c r="I277" s="11">
        <f t="shared" si="10"/>
        <v>1000</v>
      </c>
      <c r="J277" s="11" t="s">
        <v>178</v>
      </c>
      <c r="K277" s="93"/>
      <c r="L277" s="93" t="s">
        <v>1895</v>
      </c>
      <c r="M277" s="93" t="s">
        <v>1954</v>
      </c>
      <c r="N277" s="217" t="s">
        <v>1377</v>
      </c>
      <c r="O277" s="11" t="str">
        <f>IMAGE("https://aryabot.in/wp-content/uploads/2023/10/castor-wheel-big-550x550w.webp",1)</f>
        <v/>
      </c>
      <c r="P277" s="330" t="s">
        <v>1688</v>
      </c>
      <c r="Q277" s="331"/>
      <c r="R277" s="75"/>
      <c r="S277" s="253"/>
      <c r="T277" s="11"/>
      <c r="U277" s="12">
        <v>1.0</v>
      </c>
      <c r="V277" s="11" t="s">
        <v>2133</v>
      </c>
      <c r="W277" s="332">
        <v>1.0</v>
      </c>
      <c r="X277" s="332">
        <f t="shared" si="4"/>
        <v>1</v>
      </c>
      <c r="Y277" s="332" t="str">
        <f t="shared" si="18"/>
        <v>E</v>
      </c>
      <c r="Z277" s="332"/>
    </row>
    <row r="278" ht="76.5" customHeight="1">
      <c r="A278" s="221">
        <v>277.0</v>
      </c>
      <c r="B278" s="11" t="s">
        <v>173</v>
      </c>
      <c r="C278" s="11" t="s">
        <v>1383</v>
      </c>
      <c r="D278" s="93" t="s">
        <v>1384</v>
      </c>
      <c r="E278" s="215" t="s">
        <v>1359</v>
      </c>
      <c r="F278" s="216">
        <v>30.0</v>
      </c>
      <c r="G278" s="216">
        <v>30.0</v>
      </c>
      <c r="H278" s="216">
        <v>250.0</v>
      </c>
      <c r="I278" s="11">
        <f t="shared" si="10"/>
        <v>7500</v>
      </c>
      <c r="J278" s="11" t="s">
        <v>178</v>
      </c>
      <c r="K278" s="93"/>
      <c r="L278" s="93" t="s">
        <v>1594</v>
      </c>
      <c r="M278" s="93" t="s">
        <v>1954</v>
      </c>
      <c r="N278" s="217" t="s">
        <v>1385</v>
      </c>
      <c r="O278" s="11" t="str">
        <f>IMAGE("https://i0.wp.com/www.circuituncle.com/wp-content/uploads/2019/10/mg90s.png?fit=1001%2C1001&amp;ssl=1",1)</f>
        <v/>
      </c>
      <c r="P278" s="78" t="s">
        <v>1688</v>
      </c>
      <c r="Q278" s="74"/>
      <c r="R278" s="75"/>
      <c r="S278" s="12"/>
      <c r="T278" s="11"/>
      <c r="U278" s="12">
        <v>1.0</v>
      </c>
      <c r="V278" s="11" t="s">
        <v>2129</v>
      </c>
      <c r="W278" s="332">
        <v>1.0</v>
      </c>
      <c r="X278" s="332">
        <f t="shared" si="4"/>
        <v>1</v>
      </c>
      <c r="Y278" s="332" t="str">
        <f t="shared" si="18"/>
        <v>E</v>
      </c>
      <c r="Z278" s="332"/>
    </row>
    <row r="279" ht="76.5" customHeight="1">
      <c r="A279" s="221">
        <v>278.0</v>
      </c>
      <c r="B279" s="222" t="s">
        <v>173</v>
      </c>
      <c r="C279" s="222" t="s">
        <v>1390</v>
      </c>
      <c r="D279" s="232" t="s">
        <v>1391</v>
      </c>
      <c r="E279" s="233" t="s">
        <v>1359</v>
      </c>
      <c r="F279" s="349">
        <v>26.0</v>
      </c>
      <c r="G279" s="350">
        <v>21.0</v>
      </c>
      <c r="H279" s="222">
        <v>750.0</v>
      </c>
      <c r="I279" s="222">
        <f t="shared" si="10"/>
        <v>15750</v>
      </c>
      <c r="J279" s="222" t="s">
        <v>178</v>
      </c>
      <c r="K279" s="232"/>
      <c r="L279" s="232" t="s">
        <v>249</v>
      </c>
      <c r="M279" s="232" t="s">
        <v>1954</v>
      </c>
      <c r="N279" s="235" t="s">
        <v>1392</v>
      </c>
      <c r="O279" s="222" t="str">
        <f>IMAGE("https://robu.in/wp-content/uploads/2023/09/34.jpg",1)</f>
        <v/>
      </c>
      <c r="P279" s="334"/>
      <c r="Q279" s="335"/>
      <c r="R279" s="336"/>
      <c r="S279" s="299"/>
      <c r="T279" s="222"/>
      <c r="U279" s="299">
        <v>2.0</v>
      </c>
      <c r="V279" s="256" t="s">
        <v>2134</v>
      </c>
      <c r="W279" s="332">
        <v>1.0</v>
      </c>
      <c r="X279" s="332">
        <f t="shared" si="4"/>
        <v>1</v>
      </c>
      <c r="Y279" s="332" t="str">
        <f t="shared" si="18"/>
        <v>E</v>
      </c>
      <c r="Z279" s="332"/>
    </row>
    <row r="280" ht="76.5" customHeight="1">
      <c r="A280" s="221">
        <v>279.0</v>
      </c>
      <c r="B280" s="11" t="s">
        <v>173</v>
      </c>
      <c r="C280" s="11" t="s">
        <v>1394</v>
      </c>
      <c r="D280" s="93" t="s">
        <v>1395</v>
      </c>
      <c r="E280" s="215" t="s">
        <v>1359</v>
      </c>
      <c r="F280" s="216">
        <v>15.0</v>
      </c>
      <c r="G280" s="216">
        <v>15.0</v>
      </c>
      <c r="H280" s="216">
        <v>400.0</v>
      </c>
      <c r="I280" s="11">
        <f t="shared" si="10"/>
        <v>6000</v>
      </c>
      <c r="J280" s="11" t="s">
        <v>178</v>
      </c>
      <c r="K280" s="93"/>
      <c r="L280" s="93" t="s">
        <v>2012</v>
      </c>
      <c r="M280" s="93" t="s">
        <v>1954</v>
      </c>
      <c r="N280" s="217" t="s">
        <v>1396</v>
      </c>
      <c r="O280" s="11" t="str">
        <f>IMAGE("https://cdn.shopify.com/s/files/1/0088/0056/7392/products/Stepper_motor_with_Driver_board.jpg?v=1552579276",1)</f>
        <v/>
      </c>
      <c r="P280" s="78" t="s">
        <v>1688</v>
      </c>
      <c r="Q280" s="74"/>
      <c r="R280" s="75"/>
      <c r="S280" s="12"/>
      <c r="T280" s="11"/>
      <c r="U280" s="12">
        <v>1.0</v>
      </c>
      <c r="V280" s="11" t="s">
        <v>2135</v>
      </c>
      <c r="W280" s="332">
        <v>1.0</v>
      </c>
      <c r="X280" s="332">
        <f t="shared" si="4"/>
        <v>1</v>
      </c>
      <c r="Y280" s="332" t="str">
        <f t="shared" si="18"/>
        <v>E</v>
      </c>
      <c r="Z280" s="332"/>
    </row>
    <row r="281" ht="76.5" customHeight="1">
      <c r="A281" s="221">
        <v>280.0</v>
      </c>
      <c r="B281" s="11" t="s">
        <v>173</v>
      </c>
      <c r="C281" s="11" t="s">
        <v>1622</v>
      </c>
      <c r="D281" s="93" t="s">
        <v>1623</v>
      </c>
      <c r="E281" s="215" t="s">
        <v>1514</v>
      </c>
      <c r="F281" s="216">
        <v>5.0</v>
      </c>
      <c r="G281" s="216">
        <v>5.0</v>
      </c>
      <c r="H281" s="216">
        <v>150.0</v>
      </c>
      <c r="I281" s="11">
        <f t="shared" si="10"/>
        <v>750</v>
      </c>
      <c r="J281" s="11" t="s">
        <v>178</v>
      </c>
      <c r="K281" s="93"/>
      <c r="L281" s="93" t="s">
        <v>1895</v>
      </c>
      <c r="M281" s="215" t="s">
        <v>1514</v>
      </c>
      <c r="N281" s="217" t="s">
        <v>1624</v>
      </c>
      <c r="O281" s="11" t="str">
        <f>IMAGE("https://cdn.shopify.com/s/files/1/0559/1970/6265/products/1_9713a8db-db1e-42d0-a3e7-eebb7f66c4e9.jpg?v=1670581925",1)</f>
        <v/>
      </c>
      <c r="P281" s="78" t="s">
        <v>1688</v>
      </c>
      <c r="Q281" s="74"/>
      <c r="R281" s="75"/>
      <c r="S281" s="12"/>
      <c r="T281" s="11"/>
      <c r="U281" s="12">
        <v>1.0</v>
      </c>
      <c r="V281" s="11" t="s">
        <v>2150</v>
      </c>
      <c r="W281" s="332">
        <v>1.0</v>
      </c>
      <c r="X281" s="332">
        <f t="shared" si="4"/>
        <v>1</v>
      </c>
      <c r="Y281" s="332" t="str">
        <f t="shared" si="18"/>
        <v>E</v>
      </c>
      <c r="Z281" s="332"/>
    </row>
    <row r="282" ht="76.5" customHeight="1">
      <c r="A282" s="221">
        <v>281.0</v>
      </c>
      <c r="B282" s="11" t="s">
        <v>173</v>
      </c>
      <c r="C282" s="11" t="s">
        <v>1626</v>
      </c>
      <c r="D282" s="93" t="s">
        <v>1627</v>
      </c>
      <c r="E282" s="215" t="s">
        <v>1628</v>
      </c>
      <c r="F282" s="216">
        <v>10.0</v>
      </c>
      <c r="G282" s="216">
        <v>10.0</v>
      </c>
      <c r="H282" s="216">
        <v>20.0</v>
      </c>
      <c r="I282" s="11">
        <f t="shared" si="10"/>
        <v>200</v>
      </c>
      <c r="J282" s="11" t="s">
        <v>178</v>
      </c>
      <c r="K282" s="93"/>
      <c r="L282" s="93" t="s">
        <v>1960</v>
      </c>
      <c r="M282" s="93" t="s">
        <v>1628</v>
      </c>
      <c r="N282" s="217" t="s">
        <v>1630</v>
      </c>
      <c r="O282" s="11" t="str">
        <f>IMAGE("https://m.media-amazon.com/images/W/MEDIAX_792452-T2/images/I/419leG1YjXL.jpg",1)</f>
        <v/>
      </c>
      <c r="P282" s="78" t="s">
        <v>1688</v>
      </c>
      <c r="Q282" s="74"/>
      <c r="R282" s="75"/>
      <c r="S282" s="12"/>
      <c r="T282" s="11"/>
      <c r="U282" s="12">
        <v>1.0</v>
      </c>
      <c r="V282" s="11" t="s">
        <v>2127</v>
      </c>
      <c r="W282" s="332">
        <v>1.0</v>
      </c>
      <c r="X282" s="332">
        <f t="shared" si="4"/>
        <v>1</v>
      </c>
      <c r="Y282" s="332" t="str">
        <f t="shared" si="18"/>
        <v>E</v>
      </c>
      <c r="Z282" s="332"/>
    </row>
    <row r="283" ht="76.5" customHeight="1">
      <c r="A283" s="221">
        <v>282.0</v>
      </c>
      <c r="B283" s="11" t="s">
        <v>173</v>
      </c>
      <c r="C283" s="11" t="s">
        <v>1632</v>
      </c>
      <c r="D283" s="93" t="s">
        <v>1633</v>
      </c>
      <c r="E283" s="215" t="s">
        <v>1628</v>
      </c>
      <c r="F283" s="216">
        <v>10.0</v>
      </c>
      <c r="G283" s="216">
        <v>10.0</v>
      </c>
      <c r="H283" s="216">
        <v>100.0</v>
      </c>
      <c r="I283" s="11">
        <f t="shared" si="10"/>
        <v>1000</v>
      </c>
      <c r="J283" s="11" t="s">
        <v>178</v>
      </c>
      <c r="K283" s="93"/>
      <c r="L283" s="93" t="s">
        <v>1960</v>
      </c>
      <c r="M283" s="93" t="s">
        <v>1628</v>
      </c>
      <c r="N283" s="217" t="s">
        <v>1634</v>
      </c>
      <c r="O283" s="11" t="str">
        <f>IMAGE("https://i0.wp.com/armsol.in/wp-content/uploads/2021/08/1-5-rotated.jpg?fit=600%2C600&amp;ssl=1",1)</f>
        <v/>
      </c>
      <c r="P283" s="78" t="s">
        <v>1688</v>
      </c>
      <c r="Q283" s="74"/>
      <c r="R283" s="75"/>
      <c r="S283" s="12"/>
      <c r="T283" s="11"/>
      <c r="U283" s="12">
        <v>1.0</v>
      </c>
      <c r="V283" s="11" t="s">
        <v>2127</v>
      </c>
      <c r="W283" s="332">
        <v>1.0</v>
      </c>
      <c r="X283" s="332">
        <f t="shared" si="4"/>
        <v>1</v>
      </c>
      <c r="Y283" s="332" t="str">
        <f t="shared" si="18"/>
        <v>E</v>
      </c>
      <c r="Z283" s="344"/>
    </row>
    <row r="284" ht="76.5" customHeight="1">
      <c r="A284" s="221">
        <v>283.0</v>
      </c>
      <c r="B284" s="11" t="s">
        <v>173</v>
      </c>
      <c r="C284" s="11" t="s">
        <v>1636</v>
      </c>
      <c r="D284" s="93" t="s">
        <v>1988</v>
      </c>
      <c r="E284" s="215" t="s">
        <v>1628</v>
      </c>
      <c r="F284" s="216">
        <v>30.0</v>
      </c>
      <c r="G284" s="216">
        <v>30.0</v>
      </c>
      <c r="H284" s="216">
        <v>20.0</v>
      </c>
      <c r="I284" s="11">
        <f t="shared" si="10"/>
        <v>600</v>
      </c>
      <c r="J284" s="11" t="s">
        <v>178</v>
      </c>
      <c r="K284" s="93"/>
      <c r="L284" s="93" t="s">
        <v>1895</v>
      </c>
      <c r="M284" s="93" t="s">
        <v>1628</v>
      </c>
      <c r="N284" s="217" t="s">
        <v>1639</v>
      </c>
      <c r="O284" s="11" t="str">
        <f>IMAGE("https://www.voltaat.com/cdn/shop/products/voltaat-soldering-board-5cm-x-7cm-10728457568358_1024x1024.jpg?v=1628445244")</f>
        <v/>
      </c>
      <c r="P284" s="78" t="s">
        <v>1688</v>
      </c>
      <c r="Q284" s="74"/>
      <c r="R284" s="75"/>
      <c r="S284" s="12"/>
      <c r="T284" s="11"/>
      <c r="U284" s="12">
        <v>1.0</v>
      </c>
      <c r="V284" s="11" t="s">
        <v>2153</v>
      </c>
      <c r="W284" s="332">
        <v>1.0</v>
      </c>
      <c r="X284" s="332">
        <f t="shared" si="4"/>
        <v>1</v>
      </c>
      <c r="Y284" s="332" t="str">
        <f t="shared" si="18"/>
        <v>E</v>
      </c>
      <c r="Z284" s="332"/>
    </row>
    <row r="285" ht="76.5" customHeight="1">
      <c r="A285" s="221">
        <v>284.0</v>
      </c>
      <c r="B285" s="11" t="s">
        <v>173</v>
      </c>
      <c r="C285" s="11" t="s">
        <v>1641</v>
      </c>
      <c r="D285" s="93" t="s">
        <v>1989</v>
      </c>
      <c r="E285" s="215" t="s">
        <v>1628</v>
      </c>
      <c r="F285" s="216">
        <v>10.0</v>
      </c>
      <c r="G285" s="216">
        <v>10.0</v>
      </c>
      <c r="H285" s="216">
        <v>30.0</v>
      </c>
      <c r="I285" s="11">
        <f t="shared" si="10"/>
        <v>300</v>
      </c>
      <c r="J285" s="11" t="s">
        <v>178</v>
      </c>
      <c r="K285" s="93"/>
      <c r="L285" s="93" t="s">
        <v>1895</v>
      </c>
      <c r="M285" s="93" t="s">
        <v>1628</v>
      </c>
      <c r="N285" s="217" t="s">
        <v>1643</v>
      </c>
      <c r="O285" s="11" t="str">
        <f>IMAGE("https://m.media-amazon.com/images/W/MEDIAX_792452-T2/images/I/91hMIBtDtPS._SL1500_.jpg")</f>
        <v/>
      </c>
      <c r="P285" s="78" t="s">
        <v>1688</v>
      </c>
      <c r="Q285" s="74"/>
      <c r="R285" s="75"/>
      <c r="S285" s="12"/>
      <c r="T285" s="11"/>
      <c r="U285" s="12">
        <v>1.0</v>
      </c>
      <c r="V285" s="11" t="s">
        <v>2153</v>
      </c>
      <c r="W285" s="332">
        <v>1.0</v>
      </c>
      <c r="X285" s="332">
        <f t="shared" si="4"/>
        <v>1</v>
      </c>
      <c r="Y285" s="332" t="str">
        <f t="shared" si="18"/>
        <v>E</v>
      </c>
      <c r="Z285" s="332"/>
    </row>
    <row r="286" ht="76.5" customHeight="1">
      <c r="A286" s="221">
        <v>285.0</v>
      </c>
      <c r="B286" s="11" t="s">
        <v>173</v>
      </c>
      <c r="C286" s="11" t="s">
        <v>1645</v>
      </c>
      <c r="D286" s="93" t="s">
        <v>1646</v>
      </c>
      <c r="E286" s="215" t="s">
        <v>1628</v>
      </c>
      <c r="F286" s="216">
        <v>5.0</v>
      </c>
      <c r="G286" s="216">
        <v>5.0</v>
      </c>
      <c r="H286" s="216">
        <v>20.0</v>
      </c>
      <c r="I286" s="11">
        <f t="shared" si="10"/>
        <v>100</v>
      </c>
      <c r="J286" s="11" t="s">
        <v>178</v>
      </c>
      <c r="K286" s="93"/>
      <c r="L286" s="93" t="s">
        <v>1960</v>
      </c>
      <c r="M286" s="93" t="s">
        <v>1628</v>
      </c>
      <c r="N286" s="217" t="s">
        <v>1647</v>
      </c>
      <c r="O286" s="11" t="str">
        <f>IMAGE("https://5.imimg.com/data5/SELLER/Default/2022/1/IK/KY/AC/131638211/31tvrpe7ijl-500x500.jpg")</f>
        <v/>
      </c>
      <c r="P286" s="78" t="s">
        <v>1725</v>
      </c>
      <c r="Q286" s="74"/>
      <c r="R286" s="75"/>
      <c r="S286" s="12"/>
      <c r="T286" s="11"/>
      <c r="U286" s="12">
        <v>2.0</v>
      </c>
      <c r="V286" s="11" t="s">
        <v>2127</v>
      </c>
      <c r="W286" s="332">
        <v>1.0</v>
      </c>
      <c r="X286" s="332">
        <f t="shared" si="4"/>
        <v>1</v>
      </c>
      <c r="Y286" s="332" t="str">
        <f t="shared" si="18"/>
        <v>E</v>
      </c>
      <c r="Z286" s="332"/>
    </row>
    <row r="287" ht="76.5" customHeight="1">
      <c r="A287" s="221">
        <v>286.0</v>
      </c>
      <c r="B287" s="11" t="s">
        <v>173</v>
      </c>
      <c r="C287" s="11" t="s">
        <v>1649</v>
      </c>
      <c r="D287" s="93" t="s">
        <v>1650</v>
      </c>
      <c r="E287" s="215" t="s">
        <v>1628</v>
      </c>
      <c r="F287" s="216">
        <v>10.0</v>
      </c>
      <c r="G287" s="216">
        <v>10.0</v>
      </c>
      <c r="H287" s="216">
        <v>20.0</v>
      </c>
      <c r="I287" s="11">
        <f t="shared" si="10"/>
        <v>200</v>
      </c>
      <c r="J287" s="11" t="s">
        <v>178</v>
      </c>
      <c r="K287" s="93"/>
      <c r="L287" s="93" t="s">
        <v>1960</v>
      </c>
      <c r="M287" s="93" t="s">
        <v>1628</v>
      </c>
      <c r="N287" s="217" t="s">
        <v>1651</v>
      </c>
      <c r="O287" s="11" t="str">
        <f>IMAGE("https://i0.wp.com/roboticsdna.in/wp-content/uploads/2020/11/IRON-TIP-1.png?fit=1000%2C1000&amp;ssl=1",1)</f>
        <v/>
      </c>
      <c r="P287" s="78" t="s">
        <v>1725</v>
      </c>
      <c r="Q287" s="74"/>
      <c r="R287" s="75"/>
      <c r="S287" s="12"/>
      <c r="T287" s="11"/>
      <c r="U287" s="12">
        <v>2.0</v>
      </c>
      <c r="V287" s="11" t="s">
        <v>2127</v>
      </c>
      <c r="W287" s="332">
        <v>1.0</v>
      </c>
      <c r="X287" s="332">
        <f t="shared" si="4"/>
        <v>1</v>
      </c>
      <c r="Y287" s="332" t="str">
        <f t="shared" si="18"/>
        <v>E</v>
      </c>
      <c r="Z287" s="332"/>
    </row>
    <row r="288" ht="76.5" customHeight="1">
      <c r="A288" s="221">
        <v>287.0</v>
      </c>
      <c r="B288" s="11" t="s">
        <v>173</v>
      </c>
      <c r="C288" s="11" t="s">
        <v>1653</v>
      </c>
      <c r="D288" s="93" t="s">
        <v>1654</v>
      </c>
      <c r="E288" s="215" t="s">
        <v>1628</v>
      </c>
      <c r="F288" s="216">
        <v>10.0</v>
      </c>
      <c r="G288" s="216">
        <v>10.0</v>
      </c>
      <c r="H288" s="216">
        <v>20.0</v>
      </c>
      <c r="I288" s="11">
        <f t="shared" si="10"/>
        <v>200</v>
      </c>
      <c r="J288" s="11" t="s">
        <v>178</v>
      </c>
      <c r="K288" s="93"/>
      <c r="L288" s="93" t="s">
        <v>1960</v>
      </c>
      <c r="M288" s="93" t="s">
        <v>1628</v>
      </c>
      <c r="N288" s="217" t="s">
        <v>1655</v>
      </c>
      <c r="O288" s="11" t="str">
        <f>IMAGE("https://www.toolworld.in/storage/media/product/1656317774.jpg",1)</f>
        <v/>
      </c>
      <c r="P288" s="78" t="s">
        <v>1725</v>
      </c>
      <c r="Q288" s="74"/>
      <c r="R288" s="75"/>
      <c r="S288" s="12"/>
      <c r="T288" s="11"/>
      <c r="U288" s="12">
        <v>2.0</v>
      </c>
      <c r="V288" s="11" t="s">
        <v>2127</v>
      </c>
      <c r="W288" s="332">
        <v>1.0</v>
      </c>
      <c r="X288" s="332">
        <f t="shared" si="4"/>
        <v>1</v>
      </c>
      <c r="Y288" s="332" t="str">
        <f t="shared" si="18"/>
        <v>E</v>
      </c>
      <c r="Z288" s="332"/>
    </row>
    <row r="289" ht="76.5" customHeight="1">
      <c r="A289" s="221">
        <v>288.0</v>
      </c>
      <c r="B289" s="11" t="s">
        <v>173</v>
      </c>
      <c r="C289" s="11" t="s">
        <v>1657</v>
      </c>
      <c r="D289" s="93" t="s">
        <v>1658</v>
      </c>
      <c r="E289" s="215" t="s">
        <v>1628</v>
      </c>
      <c r="F289" s="216">
        <v>10.0</v>
      </c>
      <c r="G289" s="216">
        <v>10.0</v>
      </c>
      <c r="H289" s="216">
        <v>50.0</v>
      </c>
      <c r="I289" s="11">
        <f t="shared" si="10"/>
        <v>500</v>
      </c>
      <c r="J289" s="11" t="s">
        <v>178</v>
      </c>
      <c r="K289" s="93"/>
      <c r="L289" s="93" t="s">
        <v>1960</v>
      </c>
      <c r="M289" s="93" t="s">
        <v>1628</v>
      </c>
      <c r="N289" s="217" t="s">
        <v>1659</v>
      </c>
      <c r="O289" s="11" t="str">
        <f>IMAGE("https://m.media-amazon.com/images/W/MEDIAX_792452-T2/images/I/41OjS3jnL4L.jpg",1)</f>
        <v/>
      </c>
      <c r="P289" s="78" t="s">
        <v>1688</v>
      </c>
      <c r="Q289" s="74"/>
      <c r="R289" s="75"/>
      <c r="S289" s="12"/>
      <c r="T289" s="11"/>
      <c r="U289" s="12">
        <v>1.0</v>
      </c>
      <c r="V289" s="11" t="s">
        <v>2127</v>
      </c>
      <c r="W289" s="332">
        <v>1.0</v>
      </c>
      <c r="X289" s="332">
        <f t="shared" si="4"/>
        <v>1</v>
      </c>
      <c r="Y289" s="332" t="str">
        <f t="shared" si="18"/>
        <v>E</v>
      </c>
      <c r="Z289" s="332"/>
    </row>
    <row r="290" ht="76.5" customHeight="1">
      <c r="A290" s="221">
        <v>289.0</v>
      </c>
      <c r="B290" s="11" t="s">
        <v>173</v>
      </c>
      <c r="C290" s="11" t="s">
        <v>1665</v>
      </c>
      <c r="D290" s="93" t="s">
        <v>1666</v>
      </c>
      <c r="E290" s="215" t="s">
        <v>1628</v>
      </c>
      <c r="F290" s="216">
        <v>10.0</v>
      </c>
      <c r="G290" s="216">
        <v>10.0</v>
      </c>
      <c r="H290" s="216">
        <v>300.0</v>
      </c>
      <c r="I290" s="11">
        <f t="shared" si="10"/>
        <v>3000</v>
      </c>
      <c r="J290" s="11" t="s">
        <v>178</v>
      </c>
      <c r="K290" s="93"/>
      <c r="L290" s="93" t="s">
        <v>1960</v>
      </c>
      <c r="M290" s="93" t="s">
        <v>1628</v>
      </c>
      <c r="N290" s="217" t="s">
        <v>1667</v>
      </c>
      <c r="O290" s="11" t="str">
        <f>IMAGE("https://robu.in/wp-content/uploads/2015/10/Soldron-25-Watt-Iron-Soldering-Gun-5.jpg")</f>
        <v/>
      </c>
      <c r="P290" s="78" t="s">
        <v>1725</v>
      </c>
      <c r="Q290" s="74"/>
      <c r="R290" s="75"/>
      <c r="S290" s="12"/>
      <c r="T290" s="11"/>
      <c r="U290" s="12">
        <v>1.0</v>
      </c>
      <c r="V290" s="11" t="s">
        <v>2127</v>
      </c>
      <c r="W290" s="332">
        <v>1.0</v>
      </c>
      <c r="X290" s="332">
        <f t="shared" si="4"/>
        <v>1</v>
      </c>
      <c r="Y290" s="332" t="str">
        <f t="shared" si="18"/>
        <v>E</v>
      </c>
      <c r="Z290" s="332"/>
    </row>
    <row r="291" ht="76.5" customHeight="1">
      <c r="A291" s="221">
        <v>290.0</v>
      </c>
      <c r="B291" s="11" t="s">
        <v>173</v>
      </c>
      <c r="C291" s="11" t="s">
        <v>1673</v>
      </c>
      <c r="D291" s="93" t="s">
        <v>1674</v>
      </c>
      <c r="E291" s="215" t="s">
        <v>1628</v>
      </c>
      <c r="F291" s="216">
        <v>10.0</v>
      </c>
      <c r="G291" s="216">
        <v>10.0</v>
      </c>
      <c r="H291" s="216">
        <v>65.0</v>
      </c>
      <c r="I291" s="11">
        <f t="shared" si="10"/>
        <v>650</v>
      </c>
      <c r="J291" s="11" t="s">
        <v>178</v>
      </c>
      <c r="K291" s="93"/>
      <c r="L291" s="93" t="s">
        <v>1960</v>
      </c>
      <c r="M291" s="93" t="s">
        <v>1628</v>
      </c>
      <c r="N291" s="217" t="s">
        <v>1675</v>
      </c>
      <c r="O291" s="11" t="str">
        <f>IMAGE("https://m.media-amazon.com/images/W/MEDIAX_792452-T2/images/I/511g3IePVzL.jpg",1)</f>
        <v/>
      </c>
      <c r="P291" s="78" t="s">
        <v>1725</v>
      </c>
      <c r="Q291" s="74"/>
      <c r="R291" s="75"/>
      <c r="S291" s="12"/>
      <c r="T291" s="11"/>
      <c r="U291" s="12">
        <v>1.0</v>
      </c>
      <c r="V291" s="11" t="s">
        <v>2127</v>
      </c>
      <c r="W291" s="332">
        <v>1.0</v>
      </c>
      <c r="X291" s="332">
        <f t="shared" si="4"/>
        <v>1</v>
      </c>
      <c r="Y291" s="332" t="str">
        <f t="shared" si="18"/>
        <v>E</v>
      </c>
      <c r="Z291" s="332"/>
    </row>
    <row r="292" ht="76.5" customHeight="1">
      <c r="A292" s="221">
        <v>291.0</v>
      </c>
      <c r="B292" s="11" t="s">
        <v>173</v>
      </c>
      <c r="C292" s="11" t="s">
        <v>1677</v>
      </c>
      <c r="D292" s="93" t="s">
        <v>1678</v>
      </c>
      <c r="E292" s="215" t="s">
        <v>1628</v>
      </c>
      <c r="F292" s="216">
        <v>10.0</v>
      </c>
      <c r="G292" s="216">
        <v>10.0</v>
      </c>
      <c r="H292" s="216">
        <v>100.0</v>
      </c>
      <c r="I292" s="11">
        <f t="shared" si="10"/>
        <v>1000</v>
      </c>
      <c r="J292" s="11" t="s">
        <v>178</v>
      </c>
      <c r="K292" s="93"/>
      <c r="L292" s="93" t="s">
        <v>1960</v>
      </c>
      <c r="M292" s="93" t="s">
        <v>1628</v>
      </c>
      <c r="N292" s="217" t="s">
        <v>1679</v>
      </c>
      <c r="O292" s="11" t="str">
        <f>IMAGE("https://5.imimg.com/data5/FT/MG/MY-9316309/soldering-wire-500x500.jpg",1)</f>
        <v/>
      </c>
      <c r="P292" s="78" t="s">
        <v>1688</v>
      </c>
      <c r="Q292" s="79"/>
      <c r="R292" s="80"/>
      <c r="S292" s="12"/>
      <c r="T292" s="11"/>
      <c r="U292" s="12">
        <v>1.0</v>
      </c>
      <c r="V292" s="11" t="s">
        <v>2127</v>
      </c>
      <c r="W292" s="332">
        <v>1.0</v>
      </c>
      <c r="X292" s="332">
        <f t="shared" si="4"/>
        <v>1</v>
      </c>
      <c r="Y292" s="332" t="str">
        <f t="shared" si="18"/>
        <v>E</v>
      </c>
      <c r="Z292" s="332"/>
    </row>
    <row r="293" ht="76.5" hidden="1" customHeight="1">
      <c r="A293" s="221">
        <v>292.0</v>
      </c>
      <c r="B293" s="231" t="s">
        <v>173</v>
      </c>
      <c r="C293" s="231" t="s">
        <v>2159</v>
      </c>
      <c r="D293" s="352" t="s">
        <v>2160</v>
      </c>
      <c r="E293" s="233" t="s">
        <v>415</v>
      </c>
      <c r="F293" s="349"/>
      <c r="G293" s="350">
        <v>21.0</v>
      </c>
      <c r="H293" s="222"/>
      <c r="I293" s="222"/>
      <c r="J293" s="222"/>
      <c r="K293" s="232"/>
      <c r="L293" s="232"/>
      <c r="M293" s="232"/>
      <c r="N293" s="235"/>
      <c r="O293" s="222" t="str">
        <f>IMAGE("https://sumeetinstruments.com/image/cache/catalog/3dprinter/A4988-Stepper-Motor-Driver-Module-Heat-Sink-3D-Printer-Parts.-550x550.jpg",1)</f>
        <v/>
      </c>
      <c r="P293" s="334"/>
      <c r="Q293" s="335"/>
      <c r="R293" s="336"/>
      <c r="S293" s="351"/>
      <c r="T293" s="224"/>
      <c r="U293" s="351"/>
      <c r="V293" s="222" t="s">
        <v>2059</v>
      </c>
      <c r="W293" s="332">
        <v>1.0</v>
      </c>
      <c r="X293" s="332">
        <f t="shared" si="4"/>
        <v>1</v>
      </c>
      <c r="Y293" s="332" t="str">
        <f t="shared" si="18"/>
        <v>E</v>
      </c>
      <c r="Z293" s="343">
        <f>sum(X77:X293)</f>
        <v>213</v>
      </c>
    </row>
    <row r="294" ht="76.5" hidden="1" customHeight="1">
      <c r="A294" s="221">
        <v>293.0</v>
      </c>
      <c r="B294" s="11" t="s">
        <v>137</v>
      </c>
      <c r="C294" s="11" t="s">
        <v>139</v>
      </c>
      <c r="D294" s="93" t="s">
        <v>140</v>
      </c>
      <c r="E294" s="215" t="s">
        <v>141</v>
      </c>
      <c r="F294" s="11">
        <v>1.0</v>
      </c>
      <c r="G294" s="11">
        <v>1.0</v>
      </c>
      <c r="H294" s="11">
        <v>2500.0</v>
      </c>
      <c r="I294" s="11">
        <f t="shared" ref="I294:I347" si="22">H294*G294</f>
        <v>2500</v>
      </c>
      <c r="J294" s="11" t="s">
        <v>142</v>
      </c>
      <c r="K294" s="93"/>
      <c r="L294" s="93"/>
      <c r="M294" s="93" t="s">
        <v>1901</v>
      </c>
      <c r="N294" s="217" t="s">
        <v>143</v>
      </c>
      <c r="O294" s="11" t="e">
        <v>#VALUE!</v>
      </c>
      <c r="P294" s="353" t="s">
        <v>1684</v>
      </c>
      <c r="Q294" s="331">
        <v>60.0</v>
      </c>
      <c r="R294" s="75"/>
      <c r="S294" s="253"/>
      <c r="T294" s="11"/>
      <c r="U294" s="12">
        <v>3.0</v>
      </c>
      <c r="V294" s="11" t="s">
        <v>2025</v>
      </c>
      <c r="W294" s="332">
        <v>2.0</v>
      </c>
      <c r="X294" s="332">
        <f t="shared" si="4"/>
        <v>0.5</v>
      </c>
      <c r="Y294" s="332" t="str">
        <f t="shared" si="18"/>
        <v>M</v>
      </c>
      <c r="Z294" s="332"/>
    </row>
    <row r="295" ht="76.5" hidden="1" customHeight="1">
      <c r="A295" s="221">
        <v>294.0</v>
      </c>
      <c r="B295" s="11" t="s">
        <v>137</v>
      </c>
      <c r="C295" s="11" t="s">
        <v>146</v>
      </c>
      <c r="D295" s="93" t="s">
        <v>147</v>
      </c>
      <c r="E295" s="215" t="s">
        <v>141</v>
      </c>
      <c r="F295" s="216">
        <v>1.0</v>
      </c>
      <c r="G295" s="216">
        <v>1.0</v>
      </c>
      <c r="H295" s="216">
        <v>1000.0</v>
      </c>
      <c r="I295" s="11">
        <f t="shared" si="22"/>
        <v>1000</v>
      </c>
      <c r="J295" s="11" t="s">
        <v>142</v>
      </c>
      <c r="K295" s="93"/>
      <c r="L295" s="93" t="s">
        <v>1902</v>
      </c>
      <c r="M295" s="93" t="s">
        <v>1901</v>
      </c>
      <c r="N295" s="217" t="s">
        <v>148</v>
      </c>
      <c r="O295" s="11" t="str">
        <f>IMAGE("https://i0.wp.com/www.deltastore.in/wp-content/uploads/2021/05/Untitled-design-95.png?fit=1080%2C1080&amp;ssl=1",1)</f>
        <v/>
      </c>
      <c r="P295" s="330"/>
      <c r="Q295" s="331"/>
      <c r="R295" s="75"/>
      <c r="S295" s="253"/>
      <c r="T295" s="11"/>
      <c r="U295" s="12">
        <v>1.0</v>
      </c>
      <c r="V295" s="11" t="s">
        <v>2026</v>
      </c>
      <c r="W295" s="332">
        <v>2.0</v>
      </c>
      <c r="X295" s="332">
        <f t="shared" si="4"/>
        <v>0.5</v>
      </c>
      <c r="Y295" s="332" t="str">
        <f t="shared" si="18"/>
        <v>M</v>
      </c>
      <c r="Z295" s="332"/>
    </row>
    <row r="296" ht="76.5" hidden="1" customHeight="1">
      <c r="A296" s="221">
        <v>295.0</v>
      </c>
      <c r="B296" s="11" t="s">
        <v>137</v>
      </c>
      <c r="C296" s="11" t="s">
        <v>154</v>
      </c>
      <c r="D296" s="93" t="s">
        <v>155</v>
      </c>
      <c r="E296" s="215" t="s">
        <v>141</v>
      </c>
      <c r="F296" s="216">
        <v>1.0</v>
      </c>
      <c r="G296" s="216">
        <v>1.0</v>
      </c>
      <c r="H296" s="216">
        <v>2000.0</v>
      </c>
      <c r="I296" s="11">
        <f t="shared" si="22"/>
        <v>2000</v>
      </c>
      <c r="J296" s="11" t="s">
        <v>142</v>
      </c>
      <c r="K296" s="93"/>
      <c r="L296" s="93"/>
      <c r="M296" s="93" t="s">
        <v>1901</v>
      </c>
      <c r="N296" s="217" t="s">
        <v>156</v>
      </c>
      <c r="O296" s="11" t="str">
        <f>IMAGE("https://m.media-amazon.com/images/I/61Zlcg+2mNL.jpg")</f>
        <v/>
      </c>
      <c r="P296" s="354" t="s">
        <v>1684</v>
      </c>
      <c r="Q296" s="331">
        <v>55.0</v>
      </c>
      <c r="R296" s="75"/>
      <c r="S296" s="253"/>
      <c r="T296" s="11"/>
      <c r="U296" s="12">
        <v>3.0</v>
      </c>
      <c r="V296" s="11" t="s">
        <v>2028</v>
      </c>
      <c r="W296" s="332">
        <v>2.0</v>
      </c>
      <c r="X296" s="332">
        <f t="shared" si="4"/>
        <v>0.5</v>
      </c>
      <c r="Y296" s="332" t="str">
        <f t="shared" si="18"/>
        <v>M</v>
      </c>
      <c r="Z296" s="332"/>
    </row>
    <row r="297" ht="76.5" hidden="1" customHeight="1">
      <c r="A297" s="221">
        <v>296.0</v>
      </c>
      <c r="B297" s="11" t="s">
        <v>137</v>
      </c>
      <c r="C297" s="11" t="s">
        <v>158</v>
      </c>
      <c r="D297" s="93" t="s">
        <v>159</v>
      </c>
      <c r="E297" s="215" t="s">
        <v>141</v>
      </c>
      <c r="F297" s="216">
        <v>1.0</v>
      </c>
      <c r="G297" s="216">
        <v>1.0</v>
      </c>
      <c r="H297" s="216">
        <v>35000.0</v>
      </c>
      <c r="I297" s="11">
        <f t="shared" si="22"/>
        <v>35000</v>
      </c>
      <c r="J297" s="11" t="s">
        <v>142</v>
      </c>
      <c r="K297" s="93"/>
      <c r="L297" s="93"/>
      <c r="M297" s="93" t="s">
        <v>1901</v>
      </c>
      <c r="N297" s="217" t="s">
        <v>160</v>
      </c>
      <c r="O297" s="11" t="str">
        <f>IMAGE("https://c1.neweggimages.com/Productimage/24-001-864-04.jpg",1)</f>
        <v/>
      </c>
      <c r="P297" s="73" t="s">
        <v>1685</v>
      </c>
      <c r="Q297" s="74"/>
      <c r="R297" s="75"/>
      <c r="S297" s="12"/>
      <c r="T297" s="11"/>
      <c r="U297" s="12">
        <v>3.0</v>
      </c>
      <c r="V297" s="11" t="s">
        <v>2029</v>
      </c>
      <c r="W297" s="332">
        <v>2.0</v>
      </c>
      <c r="X297" s="332">
        <f t="shared" si="4"/>
        <v>0.5</v>
      </c>
      <c r="Y297" s="332" t="str">
        <f t="shared" si="18"/>
        <v>M</v>
      </c>
      <c r="Z297" s="332"/>
    </row>
    <row r="298" ht="76.5" hidden="1" customHeight="1">
      <c r="A298" s="221">
        <v>297.0</v>
      </c>
      <c r="B298" s="11" t="s">
        <v>137</v>
      </c>
      <c r="C298" s="11" t="s">
        <v>162</v>
      </c>
      <c r="D298" s="93" t="s">
        <v>163</v>
      </c>
      <c r="E298" s="215" t="s">
        <v>141</v>
      </c>
      <c r="F298" s="216">
        <v>1.0</v>
      </c>
      <c r="G298" s="216">
        <v>1.0</v>
      </c>
      <c r="H298" s="216">
        <v>1000.0</v>
      </c>
      <c r="I298" s="11">
        <f t="shared" si="22"/>
        <v>1000</v>
      </c>
      <c r="J298" s="11" t="s">
        <v>142</v>
      </c>
      <c r="K298" s="93"/>
      <c r="L298" s="93"/>
      <c r="M298" s="93" t="s">
        <v>1901</v>
      </c>
      <c r="N298" s="217" t="s">
        <v>164</v>
      </c>
      <c r="O298" s="11" t="str">
        <f>IMAGE("https://m.media-amazon.com/images/I/6100FnINmsL._SL1468_.jpg",1)</f>
        <v/>
      </c>
      <c r="P298" s="78" t="s">
        <v>1686</v>
      </c>
      <c r="Q298" s="74">
        <v>55.0</v>
      </c>
      <c r="R298" s="75"/>
      <c r="S298" s="12"/>
      <c r="T298" s="11"/>
      <c r="U298" s="12">
        <v>3.0</v>
      </c>
      <c r="V298" s="11" t="s">
        <v>2030</v>
      </c>
      <c r="W298" s="332">
        <v>2.0</v>
      </c>
      <c r="X298" s="332">
        <f t="shared" si="4"/>
        <v>0.5</v>
      </c>
      <c r="Y298" s="332" t="str">
        <f t="shared" si="18"/>
        <v>M</v>
      </c>
      <c r="Z298" s="355"/>
    </row>
    <row r="299" ht="76.5" hidden="1" customHeight="1">
      <c r="A299" s="221">
        <v>298.0</v>
      </c>
      <c r="B299" s="11" t="s">
        <v>137</v>
      </c>
      <c r="C299" s="11" t="s">
        <v>166</v>
      </c>
      <c r="D299" s="93" t="s">
        <v>167</v>
      </c>
      <c r="E299" s="215" t="s">
        <v>141</v>
      </c>
      <c r="F299" s="216">
        <v>1.0</v>
      </c>
      <c r="G299" s="216">
        <v>1.0</v>
      </c>
      <c r="H299" s="216">
        <v>1500.0</v>
      </c>
      <c r="I299" s="11">
        <f t="shared" si="22"/>
        <v>1500</v>
      </c>
      <c r="J299" s="11" t="s">
        <v>142</v>
      </c>
      <c r="K299" s="93"/>
      <c r="L299" s="93"/>
      <c r="M299" s="93" t="s">
        <v>1901</v>
      </c>
      <c r="N299" s="217" t="s">
        <v>168</v>
      </c>
      <c r="O299" s="11" t="str">
        <f>IMAGE("https://encrypted-tbn1.gstatic.com/shopping?q=tbn:ANd9GcSwk1vUmWwFhmXgluT27_kpt_1XbFeMGM9voPktN2V8FycBha0_9qycLyoE5G3LsPm9IAaz9ZK9JsFmIAo5gwJtywrUheHD9Zzv6NIaMNLbw1go2XSC6Z0l&amp;usqp=CAE",1)</f>
        <v/>
      </c>
      <c r="P299" s="73" t="s">
        <v>1684</v>
      </c>
      <c r="Q299" s="74">
        <v>60.0</v>
      </c>
      <c r="R299" s="75"/>
      <c r="S299" s="12"/>
      <c r="T299" s="11"/>
      <c r="U299" s="12">
        <v>3.0</v>
      </c>
      <c r="V299" s="11" t="s">
        <v>2031</v>
      </c>
      <c r="W299" s="332">
        <v>2.0</v>
      </c>
      <c r="X299" s="332">
        <f t="shared" si="4"/>
        <v>0.5</v>
      </c>
      <c r="Y299" s="332" t="str">
        <f t="shared" si="18"/>
        <v>M</v>
      </c>
      <c r="Z299" s="332"/>
    </row>
    <row r="300" ht="76.5" hidden="1" customHeight="1">
      <c r="A300" s="221">
        <v>299.0</v>
      </c>
      <c r="B300" s="11" t="s">
        <v>137</v>
      </c>
      <c r="C300" s="11" t="s">
        <v>170</v>
      </c>
      <c r="D300" s="93" t="s">
        <v>171</v>
      </c>
      <c r="E300" s="215" t="s">
        <v>141</v>
      </c>
      <c r="F300" s="216">
        <v>1.0</v>
      </c>
      <c r="G300" s="216">
        <v>1.0</v>
      </c>
      <c r="H300" s="216">
        <v>35000.0</v>
      </c>
      <c r="I300" s="11">
        <f t="shared" si="22"/>
        <v>35000</v>
      </c>
      <c r="J300" s="11" t="s">
        <v>142</v>
      </c>
      <c r="K300" s="93"/>
      <c r="L300" s="123" t="s">
        <v>2008</v>
      </c>
      <c r="M300" s="93" t="s">
        <v>1901</v>
      </c>
      <c r="N300" s="217" t="s">
        <v>172</v>
      </c>
      <c r="O300" s="11" t="str">
        <f>IMAGE("https://www.designinfo.in/wp-content/uploads/nc/p/5/1/4/9/0/51490-485x485.jpg",1)</f>
        <v/>
      </c>
      <c r="P300" s="73" t="s">
        <v>1684</v>
      </c>
      <c r="Q300" s="74">
        <v>55.0</v>
      </c>
      <c r="R300" s="75"/>
      <c r="S300" s="12"/>
      <c r="T300" s="11"/>
      <c r="U300" s="12">
        <v>1.0</v>
      </c>
      <c r="V300" s="11" t="s">
        <v>2032</v>
      </c>
      <c r="W300" s="332">
        <v>2.0</v>
      </c>
      <c r="X300" s="332">
        <f t="shared" si="4"/>
        <v>0.5</v>
      </c>
      <c r="Y300" s="332" t="str">
        <f t="shared" si="18"/>
        <v>M</v>
      </c>
      <c r="Z300" s="332"/>
    </row>
    <row r="301" ht="76.5" hidden="1" customHeight="1">
      <c r="A301" s="221">
        <v>300.0</v>
      </c>
      <c r="B301" s="221" t="s">
        <v>137</v>
      </c>
      <c r="C301" s="11" t="s">
        <v>244</v>
      </c>
      <c r="D301" s="93" t="s">
        <v>245</v>
      </c>
      <c r="E301" s="215" t="s">
        <v>237</v>
      </c>
      <c r="F301" s="11">
        <v>1.0</v>
      </c>
      <c r="G301" s="11">
        <v>1.0</v>
      </c>
      <c r="H301" s="11">
        <v>200.0</v>
      </c>
      <c r="I301" s="11">
        <f t="shared" si="22"/>
        <v>200</v>
      </c>
      <c r="J301" s="11" t="s">
        <v>142</v>
      </c>
      <c r="K301" s="93"/>
      <c r="L301" s="93" t="s">
        <v>1902</v>
      </c>
      <c r="M301" s="93" t="s">
        <v>237</v>
      </c>
      <c r="N301" s="217"/>
      <c r="O301" s="11" t="str">
        <f>IMAGE("https://m.media-amazon.com/images/I/61YPX7I4aSL._SL1500_.jpg",1)</f>
        <v/>
      </c>
      <c r="P301" s="330"/>
      <c r="Q301" s="331"/>
      <c r="R301" s="75"/>
      <c r="S301" s="253"/>
      <c r="T301" s="11"/>
      <c r="U301" s="11">
        <v>1.0</v>
      </c>
      <c r="V301" s="11" t="s">
        <v>2026</v>
      </c>
      <c r="W301" s="332">
        <v>2.0</v>
      </c>
      <c r="X301" s="332">
        <f t="shared" si="4"/>
        <v>0.5</v>
      </c>
      <c r="Y301" s="332" t="str">
        <f t="shared" si="18"/>
        <v>M</v>
      </c>
      <c r="Z301" s="332"/>
    </row>
    <row r="302" ht="76.5" hidden="1" customHeight="1">
      <c r="A302" s="221">
        <v>301.0</v>
      </c>
      <c r="B302" s="11" t="s">
        <v>173</v>
      </c>
      <c r="C302" s="11" t="s">
        <v>313</v>
      </c>
      <c r="D302" s="93" t="s">
        <v>314</v>
      </c>
      <c r="E302" s="215" t="s">
        <v>237</v>
      </c>
      <c r="F302" s="11">
        <v>1.0</v>
      </c>
      <c r="G302" s="11">
        <v>1.0</v>
      </c>
      <c r="H302" s="11">
        <v>300.0</v>
      </c>
      <c r="I302" s="11">
        <f t="shared" si="22"/>
        <v>300</v>
      </c>
      <c r="J302" s="11" t="s">
        <v>142</v>
      </c>
      <c r="K302" s="93"/>
      <c r="L302" s="93" t="s">
        <v>1902</v>
      </c>
      <c r="M302" s="93" t="s">
        <v>237</v>
      </c>
      <c r="N302" s="217" t="s">
        <v>315</v>
      </c>
      <c r="O302" s="11" t="str">
        <f>IMAGE("https://m.media-amazon.com/images/I/41ajXEZ8zhL._SL1200_.jpg",1)</f>
        <v/>
      </c>
      <c r="P302" s="78"/>
      <c r="Q302" s="79"/>
      <c r="R302" s="80"/>
      <c r="S302" s="12"/>
      <c r="T302" s="11"/>
      <c r="U302" s="11">
        <v>1.0</v>
      </c>
      <c r="V302" s="11" t="s">
        <v>2026</v>
      </c>
      <c r="W302" s="332">
        <v>2.0</v>
      </c>
      <c r="X302" s="332">
        <f t="shared" si="4"/>
        <v>0.5</v>
      </c>
      <c r="Y302" s="332" t="str">
        <f t="shared" si="18"/>
        <v>M</v>
      </c>
      <c r="Z302" s="332"/>
    </row>
    <row r="303" ht="76.5" hidden="1" customHeight="1">
      <c r="A303" s="221">
        <v>302.0</v>
      </c>
      <c r="B303" s="231" t="s">
        <v>137</v>
      </c>
      <c r="C303" s="222" t="s">
        <v>969</v>
      </c>
      <c r="D303" s="232" t="s">
        <v>970</v>
      </c>
      <c r="E303" s="233" t="s">
        <v>326</v>
      </c>
      <c r="F303" s="234">
        <v>1.0</v>
      </c>
      <c r="G303" s="234">
        <v>1.0</v>
      </c>
      <c r="H303" s="234">
        <v>2000.0</v>
      </c>
      <c r="I303" s="222">
        <f t="shared" si="22"/>
        <v>2000</v>
      </c>
      <c r="J303" s="222" t="s">
        <v>326</v>
      </c>
      <c r="K303" s="232"/>
      <c r="L303" s="232"/>
      <c r="M303" s="232" t="s">
        <v>1901</v>
      </c>
      <c r="N303" s="235" t="s">
        <v>971</v>
      </c>
      <c r="O303" s="222" t="str">
        <f>IMAGE("https://www.jiomart.com/images/product/original/491503417/mi-home-security-camera-digital-o491503417-p590045677-0-202010110622.jpeg")</f>
        <v/>
      </c>
      <c r="P303" s="340" t="s">
        <v>1684</v>
      </c>
      <c r="Q303" s="335">
        <v>55.0</v>
      </c>
      <c r="R303" s="336"/>
      <c r="S303" s="299"/>
      <c r="T303" s="222"/>
      <c r="U303" s="222">
        <v>3.0</v>
      </c>
      <c r="V303" s="222" t="s">
        <v>2095</v>
      </c>
      <c r="W303" s="332">
        <v>2.0</v>
      </c>
      <c r="X303" s="332">
        <f t="shared" si="4"/>
        <v>0.5</v>
      </c>
      <c r="Y303" s="332" t="str">
        <f t="shared" si="18"/>
        <v>M</v>
      </c>
      <c r="Z303" s="332"/>
    </row>
    <row r="304" ht="76.5" hidden="1" customHeight="1">
      <c r="A304" s="221">
        <v>303.0</v>
      </c>
      <c r="B304" s="11" t="s">
        <v>137</v>
      </c>
      <c r="C304" s="11" t="s">
        <v>973</v>
      </c>
      <c r="D304" s="93" t="s">
        <v>974</v>
      </c>
      <c r="E304" s="215" t="s">
        <v>326</v>
      </c>
      <c r="F304" s="216">
        <v>1.0</v>
      </c>
      <c r="G304" s="216">
        <v>1.0</v>
      </c>
      <c r="H304" s="216">
        <v>32000.0</v>
      </c>
      <c r="I304" s="11">
        <f t="shared" si="22"/>
        <v>32000</v>
      </c>
      <c r="J304" s="11" t="s">
        <v>142</v>
      </c>
      <c r="K304" s="93"/>
      <c r="L304" s="93"/>
      <c r="M304" s="93" t="s">
        <v>1901</v>
      </c>
      <c r="N304" s="217"/>
      <c r="O304" s="11" t="str">
        <f>IMAGE("https://cdn.ttgtmedia.com/rms/onlineimages/hp_elitebook_mobile.jpg",1)</f>
        <v/>
      </c>
      <c r="P304" s="73"/>
      <c r="Q304" s="74"/>
      <c r="R304" s="75"/>
      <c r="S304" s="12"/>
      <c r="T304" s="11"/>
      <c r="U304" s="11">
        <v>3.0</v>
      </c>
      <c r="V304" s="11" t="s">
        <v>2096</v>
      </c>
      <c r="W304" s="332">
        <v>2.0</v>
      </c>
      <c r="X304" s="332">
        <f t="shared" si="4"/>
        <v>0.5</v>
      </c>
      <c r="Y304" s="332" t="str">
        <f t="shared" si="18"/>
        <v>M</v>
      </c>
      <c r="Z304" s="332"/>
    </row>
    <row r="305" ht="76.5" hidden="1" customHeight="1">
      <c r="A305" s="221">
        <v>304.0</v>
      </c>
      <c r="B305" s="222" t="s">
        <v>137</v>
      </c>
      <c r="C305" s="222" t="s">
        <v>976</v>
      </c>
      <c r="D305" s="232" t="s">
        <v>977</v>
      </c>
      <c r="E305" s="233" t="s">
        <v>326</v>
      </c>
      <c r="F305" s="234">
        <v>1.0</v>
      </c>
      <c r="G305" s="234">
        <v>1.0</v>
      </c>
      <c r="H305" s="234">
        <v>1500.0</v>
      </c>
      <c r="I305" s="222">
        <f t="shared" si="22"/>
        <v>1500</v>
      </c>
      <c r="J305" s="222" t="s">
        <v>142</v>
      </c>
      <c r="K305" s="232"/>
      <c r="L305" s="232"/>
      <c r="M305" s="232" t="s">
        <v>1901</v>
      </c>
      <c r="N305" s="235"/>
      <c r="O305" s="222" t="str">
        <f>IMAGE("https://m.media-amazon.com/images/W/MEDIAX_792452-T2/images/I/51UzU+2x3OS._SL1000_.jpg")</f>
        <v/>
      </c>
      <c r="P305" s="340" t="s">
        <v>1700</v>
      </c>
      <c r="Q305" s="335"/>
      <c r="R305" s="336"/>
      <c r="S305" s="299"/>
      <c r="T305" s="222"/>
      <c r="U305" s="222">
        <v>3.0</v>
      </c>
      <c r="V305" s="222" t="s">
        <v>2095</v>
      </c>
      <c r="W305" s="332">
        <v>2.0</v>
      </c>
      <c r="X305" s="332">
        <f t="shared" si="4"/>
        <v>0.5</v>
      </c>
      <c r="Y305" s="332" t="str">
        <f t="shared" si="18"/>
        <v>M</v>
      </c>
      <c r="Z305" s="332"/>
    </row>
    <row r="306" ht="76.5" hidden="1" customHeight="1">
      <c r="A306" s="221">
        <v>305.0</v>
      </c>
      <c r="B306" s="221" t="s">
        <v>15</v>
      </c>
      <c r="C306" s="11" t="s">
        <v>134</v>
      </c>
      <c r="D306" s="93" t="s">
        <v>135</v>
      </c>
      <c r="E306" s="215" t="s">
        <v>64</v>
      </c>
      <c r="F306" s="216">
        <v>10.0</v>
      </c>
      <c r="G306" s="216">
        <v>10.0</v>
      </c>
      <c r="H306" s="216">
        <v>20.0</v>
      </c>
      <c r="I306" s="11">
        <f t="shared" si="22"/>
        <v>200</v>
      </c>
      <c r="J306" s="11" t="s">
        <v>20</v>
      </c>
      <c r="K306" s="93" t="s">
        <v>77</v>
      </c>
      <c r="L306" s="123" t="s">
        <v>1594</v>
      </c>
      <c r="M306" s="93" t="s">
        <v>1890</v>
      </c>
      <c r="N306" s="217" t="s">
        <v>136</v>
      </c>
      <c r="O306" s="11" t="str">
        <f>IMAGE("https://m.media-amazon.com/images/I/717edTeWYZL._SL1500_.jpg",1)</f>
        <v/>
      </c>
      <c r="P306" s="78"/>
      <c r="Q306" s="74"/>
      <c r="R306" s="75"/>
      <c r="S306" s="5"/>
      <c r="T306" s="11"/>
      <c r="U306" s="11">
        <v>1.0</v>
      </c>
      <c r="V306" s="11" t="s">
        <v>2024</v>
      </c>
      <c r="W306" s="332">
        <v>1.0</v>
      </c>
      <c r="X306" s="332">
        <f t="shared" si="4"/>
        <v>1</v>
      </c>
      <c r="Y306" s="332" t="str">
        <f t="shared" si="18"/>
        <v>M</v>
      </c>
      <c r="Z306" s="332"/>
    </row>
    <row r="307" ht="76.5" hidden="1" customHeight="1">
      <c r="A307" s="221">
        <v>306.0</v>
      </c>
      <c r="B307" s="231" t="s">
        <v>137</v>
      </c>
      <c r="C307" s="222" t="s">
        <v>965</v>
      </c>
      <c r="D307" s="232" t="s">
        <v>1959</v>
      </c>
      <c r="E307" s="233" t="s">
        <v>326</v>
      </c>
      <c r="F307" s="234">
        <v>6.0</v>
      </c>
      <c r="G307" s="234">
        <v>6.0</v>
      </c>
      <c r="H307" s="234">
        <v>600.0</v>
      </c>
      <c r="I307" s="222">
        <f t="shared" si="22"/>
        <v>3600</v>
      </c>
      <c r="J307" s="222" t="s">
        <v>326</v>
      </c>
      <c r="K307" s="356"/>
      <c r="L307" s="232" t="s">
        <v>1960</v>
      </c>
      <c r="M307" s="232" t="s">
        <v>1901</v>
      </c>
      <c r="N307" s="357" t="s">
        <v>967</v>
      </c>
      <c r="O307" s="222" t="str">
        <f>IMAGE("https://www.220converters.com/resize/Shared/images/Product/Seven-Star-ES5C-220-Volt-Universal-5-Outlet-Power-Strip-With-Surge-Protection-220V-240V/es5c.jpg?bw=500&amp;bh=500",1)</f>
        <v/>
      </c>
      <c r="P307" s="334"/>
      <c r="Q307" s="335"/>
      <c r="R307" s="336"/>
      <c r="S307" s="351"/>
      <c r="T307" s="222"/>
      <c r="U307" s="222">
        <v>1.0</v>
      </c>
      <c r="V307" s="222" t="s">
        <v>2094</v>
      </c>
      <c r="W307" s="332">
        <v>1.0</v>
      </c>
      <c r="X307" s="332">
        <f t="shared" si="4"/>
        <v>1</v>
      </c>
      <c r="Y307" s="332" t="str">
        <f t="shared" si="18"/>
        <v>M</v>
      </c>
      <c r="Z307" s="332"/>
    </row>
    <row r="308" ht="76.5" hidden="1" customHeight="1">
      <c r="A308" s="221">
        <v>307.0</v>
      </c>
      <c r="B308" s="222" t="s">
        <v>1152</v>
      </c>
      <c r="C308" s="222" t="s">
        <v>1179</v>
      </c>
      <c r="D308" s="232" t="s">
        <v>1180</v>
      </c>
      <c r="E308" s="233" t="s">
        <v>1156</v>
      </c>
      <c r="F308" s="234">
        <v>20.0</v>
      </c>
      <c r="G308" s="234">
        <v>20.0</v>
      </c>
      <c r="H308" s="234">
        <v>100.0</v>
      </c>
      <c r="I308" s="222">
        <f t="shared" si="22"/>
        <v>2000</v>
      </c>
      <c r="J308" s="222" t="s">
        <v>1157</v>
      </c>
      <c r="K308" s="232"/>
      <c r="L308" s="232" t="s">
        <v>2012</v>
      </c>
      <c r="M308" s="232" t="s">
        <v>1970</v>
      </c>
      <c r="N308" s="235" t="s">
        <v>1181</v>
      </c>
      <c r="O308" s="222" t="str">
        <f>IMAGE("https://www.domo.in/image/cache/catalog/nHance/LNSS4201/Display-228x228.jpg")</f>
        <v/>
      </c>
      <c r="P308" s="334" t="s">
        <v>56</v>
      </c>
      <c r="Q308" s="335"/>
      <c r="R308" s="336"/>
      <c r="S308" s="299"/>
      <c r="T308" s="222"/>
      <c r="U308" s="222">
        <v>3.0</v>
      </c>
      <c r="V308" s="222" t="s">
        <v>2114</v>
      </c>
      <c r="W308" s="332">
        <v>1.0</v>
      </c>
      <c r="X308" s="332">
        <f t="shared" si="4"/>
        <v>1</v>
      </c>
      <c r="Y308" s="332" t="str">
        <f t="shared" si="18"/>
        <v>M</v>
      </c>
      <c r="Z308" s="343">
        <f>SUM(X294:X308)</f>
        <v>9</v>
      </c>
    </row>
    <row r="309" ht="76.5" hidden="1" customHeight="1">
      <c r="A309" s="221">
        <v>308.0</v>
      </c>
      <c r="B309" s="222" t="s">
        <v>1152</v>
      </c>
      <c r="C309" s="222" t="s">
        <v>1191</v>
      </c>
      <c r="D309" s="232" t="s">
        <v>1192</v>
      </c>
      <c r="E309" s="233" t="s">
        <v>1156</v>
      </c>
      <c r="F309" s="222">
        <v>1.0</v>
      </c>
      <c r="G309" s="222">
        <v>1.0</v>
      </c>
      <c r="H309" s="222">
        <v>1000.0</v>
      </c>
      <c r="I309" s="222">
        <f t="shared" si="22"/>
        <v>1000</v>
      </c>
      <c r="J309" s="222" t="s">
        <v>1157</v>
      </c>
      <c r="K309" s="232"/>
      <c r="L309" s="232"/>
      <c r="M309" s="232" t="s">
        <v>1971</v>
      </c>
      <c r="N309" s="235" t="s">
        <v>1193</v>
      </c>
      <c r="O309" s="222" t="str">
        <f>IMAGE("https://5.imimg.com/data5/SI/VL/MY-6819814/multi-volume-adjustable-micropipette.jpg",1)</f>
        <v/>
      </c>
      <c r="P309" s="340"/>
      <c r="Q309" s="335"/>
      <c r="R309" s="336"/>
      <c r="S309" s="299"/>
      <c r="T309" s="222"/>
      <c r="U309" s="222">
        <v>3.0</v>
      </c>
      <c r="V309" s="222" t="s">
        <v>2117</v>
      </c>
      <c r="W309" s="332">
        <v>2.0</v>
      </c>
      <c r="X309" s="332">
        <f t="shared" si="4"/>
        <v>0.5</v>
      </c>
      <c r="Y309" s="332" t="str">
        <f t="shared" si="18"/>
        <v>S</v>
      </c>
      <c r="Z309" s="332"/>
    </row>
    <row r="310" ht="76.5" hidden="1" customHeight="1">
      <c r="A310" s="221">
        <v>309.0</v>
      </c>
      <c r="B310" s="221" t="s">
        <v>1152</v>
      </c>
      <c r="C310" s="11" t="s">
        <v>150</v>
      </c>
      <c r="D310" s="93" t="s">
        <v>151</v>
      </c>
      <c r="E310" s="215" t="s">
        <v>141</v>
      </c>
      <c r="F310" s="216">
        <v>2.0</v>
      </c>
      <c r="G310" s="216">
        <v>2.0</v>
      </c>
      <c r="H310" s="216">
        <v>250.0</v>
      </c>
      <c r="I310" s="11">
        <f t="shared" si="22"/>
        <v>500</v>
      </c>
      <c r="J310" s="11" t="s">
        <v>1157</v>
      </c>
      <c r="K310" s="93"/>
      <c r="L310" s="93"/>
      <c r="M310" s="93" t="s">
        <v>1903</v>
      </c>
      <c r="N310" s="217" t="s">
        <v>152</v>
      </c>
      <c r="O310" s="11" t="str">
        <f>IMAGE("https://m.media-amazon.com/images/I/51KO2QtXE8L._SL1000_.jpg", 1)</f>
        <v/>
      </c>
      <c r="P310" s="73" t="s">
        <v>1684</v>
      </c>
      <c r="Q310" s="74">
        <v>120.0</v>
      </c>
      <c r="R310" s="75"/>
      <c r="S310" s="12"/>
      <c r="T310" s="11"/>
      <c r="U310" s="11">
        <v>3.0</v>
      </c>
      <c r="V310" s="222" t="s">
        <v>2027</v>
      </c>
      <c r="W310" s="332">
        <v>2.0</v>
      </c>
      <c r="X310" s="332">
        <f t="shared" si="4"/>
        <v>0.5</v>
      </c>
      <c r="Y310" s="332" t="str">
        <f t="shared" si="18"/>
        <v>S</v>
      </c>
      <c r="Z310" s="332"/>
    </row>
    <row r="311" ht="76.5" hidden="1" customHeight="1">
      <c r="A311" s="221">
        <v>310.0</v>
      </c>
      <c r="B311" s="222" t="s">
        <v>1152</v>
      </c>
      <c r="C311" s="222" t="s">
        <v>1220</v>
      </c>
      <c r="D311" s="232" t="s">
        <v>1221</v>
      </c>
      <c r="E311" s="233" t="s">
        <v>1156</v>
      </c>
      <c r="F311" s="222">
        <v>1.0</v>
      </c>
      <c r="G311" s="222">
        <v>1.0</v>
      </c>
      <c r="H311" s="222">
        <v>4000.0</v>
      </c>
      <c r="I311" s="222">
        <f t="shared" si="22"/>
        <v>4000</v>
      </c>
      <c r="J311" s="222" t="s">
        <v>1157</v>
      </c>
      <c r="K311" s="232"/>
      <c r="L311" s="232"/>
      <c r="M311" s="232" t="s">
        <v>1969</v>
      </c>
      <c r="N311" s="235" t="s">
        <v>1222</v>
      </c>
      <c r="O311" s="222" t="str">
        <f>IMAGE("https://5.imimg.com/data5/SELLER/Default/2021/3/XX/WV/MR/4080247/lab-sinks-500x500.jpeg",1)</f>
        <v/>
      </c>
      <c r="P311" s="334"/>
      <c r="Q311" s="335"/>
      <c r="R311" s="336"/>
      <c r="S311" s="299"/>
      <c r="T311" s="222"/>
      <c r="U311" s="222">
        <v>3.0</v>
      </c>
      <c r="V311" s="222" t="s">
        <v>2203</v>
      </c>
      <c r="W311" s="342">
        <v>2.0</v>
      </c>
      <c r="X311" s="342"/>
      <c r="Y311" s="342"/>
      <c r="Z311" s="342"/>
    </row>
    <row r="312" ht="76.5" hidden="1" customHeight="1">
      <c r="A312" s="221">
        <v>311.0</v>
      </c>
      <c r="B312" s="11" t="s">
        <v>1152</v>
      </c>
      <c r="C312" s="11" t="s">
        <v>1269</v>
      </c>
      <c r="D312" s="93" t="s">
        <v>1270</v>
      </c>
      <c r="E312" s="215" t="s">
        <v>1250</v>
      </c>
      <c r="F312" s="11">
        <v>1.0</v>
      </c>
      <c r="G312" s="11">
        <v>1.0</v>
      </c>
      <c r="H312" s="11">
        <v>2000.0</v>
      </c>
      <c r="I312" s="11">
        <f t="shared" si="22"/>
        <v>2000</v>
      </c>
      <c r="J312" s="11" t="s">
        <v>1157</v>
      </c>
      <c r="K312" s="93"/>
      <c r="L312" s="93"/>
      <c r="M312" s="93" t="s">
        <v>1975</v>
      </c>
      <c r="N312" s="217" t="s">
        <v>1271</v>
      </c>
      <c r="O312" s="11" t="str">
        <f>IMAGE("https://m.media-amazon.com/images/I/61USTYJ+OPL._SL1500_.jpg",1)</f>
        <v/>
      </c>
      <c r="P312" s="78"/>
      <c r="Q312" s="74"/>
      <c r="R312" s="75"/>
      <c r="S312" s="12"/>
      <c r="T312" s="11"/>
      <c r="U312" s="11">
        <v>3.0</v>
      </c>
      <c r="V312" s="11" t="s">
        <v>2027</v>
      </c>
      <c r="W312" s="332">
        <v>2.0</v>
      </c>
      <c r="X312" s="332">
        <f t="shared" ref="X312:X384" si="23">1/W312</f>
        <v>0.5</v>
      </c>
      <c r="Y312" s="332" t="str">
        <f t="shared" ref="Y312:Y399" si="24">LEFT(V312,1)</f>
        <v>S</v>
      </c>
      <c r="Z312" s="332"/>
    </row>
    <row r="313" ht="76.5" hidden="1" customHeight="1">
      <c r="A313" s="221">
        <v>312.0</v>
      </c>
      <c r="B313" s="222" t="s">
        <v>1152</v>
      </c>
      <c r="C313" s="222" t="s">
        <v>1273</v>
      </c>
      <c r="D313" s="232" t="s">
        <v>1274</v>
      </c>
      <c r="E313" s="233" t="s">
        <v>1250</v>
      </c>
      <c r="F313" s="222">
        <v>1.0</v>
      </c>
      <c r="G313" s="222">
        <v>1.0</v>
      </c>
      <c r="H313" s="222">
        <v>1700.0</v>
      </c>
      <c r="I313" s="222">
        <f t="shared" si="22"/>
        <v>1700</v>
      </c>
      <c r="J313" s="222" t="s">
        <v>1157</v>
      </c>
      <c r="K313" s="232" t="s">
        <v>47</v>
      </c>
      <c r="L313" s="232"/>
      <c r="M313" s="232" t="s">
        <v>1964</v>
      </c>
      <c r="N313" s="235" t="s">
        <v>1275</v>
      </c>
      <c r="O313" s="222" t="str">
        <f>IMAGE("https://htcinstrument.com/wp-content/uploads/2021/05/AVM-06L.jpg",1)</f>
        <v/>
      </c>
      <c r="P313" s="334" t="s">
        <v>1724</v>
      </c>
      <c r="Q313" s="335"/>
      <c r="R313" s="336"/>
      <c r="S313" s="299"/>
      <c r="T313" s="222"/>
      <c r="U313" s="222">
        <v>3.0</v>
      </c>
      <c r="V313" s="222" t="s">
        <v>2124</v>
      </c>
      <c r="W313" s="332">
        <v>2.0</v>
      </c>
      <c r="X313" s="332">
        <f t="shared" si="23"/>
        <v>0.5</v>
      </c>
      <c r="Y313" s="332" t="str">
        <f t="shared" si="24"/>
        <v>S</v>
      </c>
      <c r="Z313" s="332"/>
    </row>
    <row r="314" ht="76.5" hidden="1" customHeight="1">
      <c r="A314" s="221">
        <v>313.0</v>
      </c>
      <c r="B314" s="222" t="s">
        <v>1152</v>
      </c>
      <c r="C314" s="222" t="s">
        <v>1280</v>
      </c>
      <c r="D314" s="232" t="s">
        <v>1281</v>
      </c>
      <c r="E314" s="233" t="s">
        <v>1250</v>
      </c>
      <c r="F314" s="222">
        <v>1.0</v>
      </c>
      <c r="G314" s="222">
        <v>1.0</v>
      </c>
      <c r="H314" s="222">
        <v>1700.0</v>
      </c>
      <c r="I314" s="222">
        <f t="shared" si="22"/>
        <v>1700</v>
      </c>
      <c r="J314" s="222" t="s">
        <v>1157</v>
      </c>
      <c r="K314" s="232" t="s">
        <v>47</v>
      </c>
      <c r="L314" s="232"/>
      <c r="M314" s="232" t="s">
        <v>1964</v>
      </c>
      <c r="N314" s="235" t="s">
        <v>1282</v>
      </c>
      <c r="O314" s="222" t="str">
        <f>IMAGE("https://www.toolworld.in/storage/media/product/UT382-1.jpg",1)</f>
        <v/>
      </c>
      <c r="P314" s="358" t="s">
        <v>1724</v>
      </c>
      <c r="Q314" s="359"/>
      <c r="R314" s="336"/>
      <c r="S314" s="360"/>
      <c r="T314" s="222"/>
      <c r="U314" s="222">
        <v>3.0</v>
      </c>
      <c r="V314" s="222" t="s">
        <v>2124</v>
      </c>
      <c r="W314" s="332">
        <v>2.0</v>
      </c>
      <c r="X314" s="332">
        <f t="shared" si="23"/>
        <v>0.5</v>
      </c>
      <c r="Y314" s="332" t="str">
        <f t="shared" si="24"/>
        <v>S</v>
      </c>
      <c r="Z314" s="332"/>
    </row>
    <row r="315" ht="76.5" hidden="1" customHeight="1">
      <c r="A315" s="221">
        <v>314.0</v>
      </c>
      <c r="B315" s="11" t="s">
        <v>1152</v>
      </c>
      <c r="C315" s="11" t="s">
        <v>1284</v>
      </c>
      <c r="D315" s="93" t="s">
        <v>1285</v>
      </c>
      <c r="E315" s="215" t="s">
        <v>1250</v>
      </c>
      <c r="F315" s="11">
        <v>1.0</v>
      </c>
      <c r="G315" s="11">
        <v>1.0</v>
      </c>
      <c r="H315" s="11">
        <v>3000.0</v>
      </c>
      <c r="I315" s="11">
        <f t="shared" si="22"/>
        <v>3000</v>
      </c>
      <c r="J315" s="11" t="s">
        <v>1157</v>
      </c>
      <c r="K315" s="93"/>
      <c r="L315" s="93"/>
      <c r="M315" s="93" t="s">
        <v>1964</v>
      </c>
      <c r="N315" s="217"/>
      <c r="O315" s="11"/>
      <c r="P315" s="78" t="s">
        <v>1726</v>
      </c>
      <c r="Q315" s="74"/>
      <c r="R315" s="75"/>
      <c r="S315" s="12"/>
      <c r="T315" s="11"/>
      <c r="U315" s="11">
        <v>3.0</v>
      </c>
      <c r="V315" s="222" t="s">
        <v>2124</v>
      </c>
      <c r="W315" s="332">
        <v>2.0</v>
      </c>
      <c r="X315" s="332">
        <f t="shared" si="23"/>
        <v>0.5</v>
      </c>
      <c r="Y315" s="332" t="str">
        <f t="shared" si="24"/>
        <v>S</v>
      </c>
      <c r="Z315" s="344"/>
    </row>
    <row r="316" ht="76.5" hidden="1" customHeight="1">
      <c r="A316" s="221">
        <v>315.0</v>
      </c>
      <c r="B316" s="222" t="s">
        <v>1152</v>
      </c>
      <c r="C316" s="222" t="s">
        <v>1287</v>
      </c>
      <c r="D316" s="232" t="s">
        <v>1288</v>
      </c>
      <c r="E316" s="233" t="s">
        <v>1250</v>
      </c>
      <c r="F316" s="222">
        <v>1.0</v>
      </c>
      <c r="G316" s="222">
        <v>1.0</v>
      </c>
      <c r="H316" s="222">
        <v>1000.0</v>
      </c>
      <c r="I316" s="222">
        <f t="shared" si="22"/>
        <v>1000</v>
      </c>
      <c r="J316" s="222" t="s">
        <v>1157</v>
      </c>
      <c r="K316" s="232"/>
      <c r="L316" s="232"/>
      <c r="M316" s="232" t="s">
        <v>1964</v>
      </c>
      <c r="N316" s="235"/>
      <c r="O316" s="222" t="str">
        <f>IMAGE("https://m.media-amazon.com/images/I/41d6N8TdSTL._SL1001_.jpg",1)</f>
        <v/>
      </c>
      <c r="P316" s="334"/>
      <c r="Q316" s="335"/>
      <c r="R316" s="336"/>
      <c r="S316" s="299"/>
      <c r="T316" s="222"/>
      <c r="U316" s="222">
        <v>3.0</v>
      </c>
      <c r="V316" s="222" t="s">
        <v>2124</v>
      </c>
      <c r="W316" s="332">
        <v>2.0</v>
      </c>
      <c r="X316" s="332">
        <f t="shared" si="23"/>
        <v>0.5</v>
      </c>
      <c r="Y316" s="332" t="str">
        <f t="shared" si="24"/>
        <v>S</v>
      </c>
      <c r="Z316" s="332"/>
    </row>
    <row r="317" ht="76.5" hidden="1" customHeight="1">
      <c r="A317" s="221">
        <v>316.0</v>
      </c>
      <c r="B317" s="222" t="s">
        <v>1152</v>
      </c>
      <c r="C317" s="222" t="s">
        <v>1290</v>
      </c>
      <c r="D317" s="232" t="s">
        <v>1291</v>
      </c>
      <c r="E317" s="233" t="s">
        <v>1250</v>
      </c>
      <c r="F317" s="222">
        <v>1.0</v>
      </c>
      <c r="G317" s="222">
        <v>1.0</v>
      </c>
      <c r="H317" s="222">
        <v>1500.0</v>
      </c>
      <c r="I317" s="222">
        <f t="shared" si="22"/>
        <v>1500</v>
      </c>
      <c r="J317" s="222" t="s">
        <v>1157</v>
      </c>
      <c r="K317" s="232" t="s">
        <v>47</v>
      </c>
      <c r="L317" s="232"/>
      <c r="M317" s="232" t="s">
        <v>1964</v>
      </c>
      <c r="N317" s="235"/>
      <c r="O317" s="222" t="str">
        <f>IMAGE("https://htcinstrument.com/wp-content/uploads/2021/06/SL-1350L.jpg",1)</f>
        <v/>
      </c>
      <c r="P317" s="334" t="s">
        <v>1724</v>
      </c>
      <c r="Q317" s="335"/>
      <c r="R317" s="336"/>
      <c r="S317" s="299"/>
      <c r="T317" s="222"/>
      <c r="U317" s="222">
        <v>3.0</v>
      </c>
      <c r="V317" s="222" t="s">
        <v>2124</v>
      </c>
      <c r="W317" s="332">
        <v>2.0</v>
      </c>
      <c r="X317" s="332">
        <f t="shared" si="23"/>
        <v>0.5</v>
      </c>
      <c r="Y317" s="332" t="str">
        <f t="shared" si="24"/>
        <v>S</v>
      </c>
      <c r="Z317" s="332"/>
    </row>
    <row r="318" ht="76.5" hidden="1" customHeight="1">
      <c r="A318" s="221">
        <v>317.0</v>
      </c>
      <c r="B318" s="222" t="s">
        <v>1152</v>
      </c>
      <c r="C318" s="222" t="s">
        <v>1293</v>
      </c>
      <c r="D318" s="232" t="s">
        <v>1294</v>
      </c>
      <c r="E318" s="233" t="s">
        <v>1250</v>
      </c>
      <c r="F318" s="222">
        <v>1.0</v>
      </c>
      <c r="G318" s="222">
        <v>1.0</v>
      </c>
      <c r="H318" s="222">
        <v>2000.0</v>
      </c>
      <c r="I318" s="222">
        <f t="shared" si="22"/>
        <v>2000</v>
      </c>
      <c r="J318" s="222" t="s">
        <v>1157</v>
      </c>
      <c r="K318" s="232" t="s">
        <v>47</v>
      </c>
      <c r="L318" s="232"/>
      <c r="M318" s="232" t="s">
        <v>1964</v>
      </c>
      <c r="N318" s="235" t="s">
        <v>1295</v>
      </c>
      <c r="O318" s="222" t="str">
        <f>IMAGE("https://htcinstrument.com/wp-content/uploads/2021/04/HT-306L.jpg",1)</f>
        <v/>
      </c>
      <c r="P318" s="334" t="s">
        <v>1724</v>
      </c>
      <c r="Q318" s="335"/>
      <c r="R318" s="336"/>
      <c r="S318" s="299"/>
      <c r="T318" s="222"/>
      <c r="U318" s="222">
        <v>3.0</v>
      </c>
      <c r="V318" s="222" t="s">
        <v>2124</v>
      </c>
      <c r="W318" s="332">
        <v>2.0</v>
      </c>
      <c r="X318" s="332">
        <f t="shared" si="23"/>
        <v>0.5</v>
      </c>
      <c r="Y318" s="332" t="str">
        <f t="shared" si="24"/>
        <v>S</v>
      </c>
      <c r="Z318" s="332"/>
    </row>
    <row r="319" ht="76.5" hidden="1" customHeight="1">
      <c r="A319" s="221">
        <v>318.0</v>
      </c>
      <c r="B319" s="11" t="s">
        <v>1152</v>
      </c>
      <c r="C319" s="11" t="s">
        <v>1301</v>
      </c>
      <c r="D319" s="93" t="s">
        <v>1302</v>
      </c>
      <c r="E319" s="215" t="s">
        <v>1250</v>
      </c>
      <c r="F319" s="216">
        <v>1.0</v>
      </c>
      <c r="G319" s="216">
        <v>1.0</v>
      </c>
      <c r="H319" s="216">
        <v>1500.0</v>
      </c>
      <c r="I319" s="11">
        <f t="shared" si="22"/>
        <v>1500</v>
      </c>
      <c r="J319" s="11" t="s">
        <v>1157</v>
      </c>
      <c r="K319" s="93" t="s">
        <v>47</v>
      </c>
      <c r="L319" s="93"/>
      <c r="M319" s="93" t="s">
        <v>1975</v>
      </c>
      <c r="N319" s="217" t="s">
        <v>1303</v>
      </c>
      <c r="O319" s="11" t="str">
        <f>IMAGE("https://5.imimg.com/data5/XG/YW/VV/SELLER-219478/hot-plate-round-250x250.jpg",1)</f>
        <v/>
      </c>
      <c r="P319" s="73" t="s">
        <v>1684</v>
      </c>
      <c r="Q319" s="74">
        <v>60.0</v>
      </c>
      <c r="R319" s="75"/>
      <c r="S319" s="12"/>
      <c r="T319" s="11"/>
      <c r="U319" s="11">
        <v>3.0</v>
      </c>
      <c r="V319" s="11" t="s">
        <v>2027</v>
      </c>
      <c r="W319" s="332">
        <v>2.0</v>
      </c>
      <c r="X319" s="332">
        <f t="shared" si="23"/>
        <v>0.5</v>
      </c>
      <c r="Y319" s="332" t="str">
        <f t="shared" si="24"/>
        <v>S</v>
      </c>
      <c r="Z319" s="332"/>
    </row>
    <row r="320" ht="76.5" hidden="1" customHeight="1">
      <c r="A320" s="221">
        <v>319.0</v>
      </c>
      <c r="B320" s="11" t="s">
        <v>1152</v>
      </c>
      <c r="C320" s="11" t="s">
        <v>1305</v>
      </c>
      <c r="D320" s="93" t="s">
        <v>1306</v>
      </c>
      <c r="E320" s="215" t="s">
        <v>1250</v>
      </c>
      <c r="F320" s="216">
        <v>1.0</v>
      </c>
      <c r="G320" s="216">
        <v>1.0</v>
      </c>
      <c r="H320" s="216">
        <v>500.0</v>
      </c>
      <c r="I320" s="11">
        <f t="shared" si="22"/>
        <v>500</v>
      </c>
      <c r="J320" s="11" t="s">
        <v>1157</v>
      </c>
      <c r="K320" s="93"/>
      <c r="L320" s="93"/>
      <c r="M320" s="93" t="s">
        <v>1964</v>
      </c>
      <c r="N320" s="217" t="s">
        <v>1307</v>
      </c>
      <c r="O320" s="11" t="str">
        <f>IMAGE("https://image.made-in-china.com/202f0j00DeSTmvGBnZpR/Electronic-Weighing-Scale-Digital-Scale-of-High-Precision-HWA-.jpg",1)</f>
        <v/>
      </c>
      <c r="P320" s="73" t="s">
        <v>1684</v>
      </c>
      <c r="Q320" s="74"/>
      <c r="R320" s="75"/>
      <c r="S320" s="12"/>
      <c r="T320" s="11"/>
      <c r="U320" s="11">
        <v>3.0</v>
      </c>
      <c r="V320" s="11" t="s">
        <v>2027</v>
      </c>
      <c r="W320" s="332">
        <v>2.0</v>
      </c>
      <c r="X320" s="332">
        <f t="shared" si="23"/>
        <v>0.5</v>
      </c>
      <c r="Y320" s="332" t="str">
        <f t="shared" si="24"/>
        <v>S</v>
      </c>
      <c r="Z320" s="332"/>
    </row>
    <row r="321" ht="76.5" hidden="1" customHeight="1">
      <c r="A321" s="221">
        <v>320.0</v>
      </c>
      <c r="B321" s="222" t="s">
        <v>1152</v>
      </c>
      <c r="C321" s="222" t="s">
        <v>1309</v>
      </c>
      <c r="D321" s="232" t="s">
        <v>1310</v>
      </c>
      <c r="E321" s="233" t="s">
        <v>1250</v>
      </c>
      <c r="F321" s="234">
        <v>1.0</v>
      </c>
      <c r="G321" s="234">
        <v>1.0</v>
      </c>
      <c r="H321" s="234">
        <v>500.0</v>
      </c>
      <c r="I321" s="222">
        <f t="shared" si="22"/>
        <v>500</v>
      </c>
      <c r="J321" s="222" t="s">
        <v>1157</v>
      </c>
      <c r="K321" s="232" t="s">
        <v>47</v>
      </c>
      <c r="L321" s="232" t="s">
        <v>2052</v>
      </c>
      <c r="M321" s="232" t="s">
        <v>1964</v>
      </c>
      <c r="N321" s="235" t="s">
        <v>1311</v>
      </c>
      <c r="O321" s="222" t="str">
        <f>IMAGE("https://m.media-amazon.com/images/I/71-uBViGV+L._SX522_.jpg",1)</f>
        <v/>
      </c>
      <c r="P321" s="340" t="s">
        <v>1724</v>
      </c>
      <c r="Q321" s="335"/>
      <c r="R321" s="336"/>
      <c r="S321" s="299"/>
      <c r="T321" s="222"/>
      <c r="U321" s="222">
        <v>3.0</v>
      </c>
      <c r="V321" s="222" t="s">
        <v>2027</v>
      </c>
      <c r="W321" s="332">
        <v>2.0</v>
      </c>
      <c r="X321" s="332">
        <f t="shared" si="23"/>
        <v>0.5</v>
      </c>
      <c r="Y321" s="332" t="str">
        <f t="shared" si="24"/>
        <v>S</v>
      </c>
      <c r="Z321" s="332"/>
    </row>
    <row r="322" ht="76.5" hidden="1" customHeight="1">
      <c r="A322" s="221">
        <v>321.0</v>
      </c>
      <c r="B322" s="11" t="s">
        <v>1152</v>
      </c>
      <c r="C322" s="11" t="s">
        <v>1313</v>
      </c>
      <c r="D322" s="93" t="s">
        <v>1314</v>
      </c>
      <c r="E322" s="215" t="s">
        <v>1250</v>
      </c>
      <c r="F322" s="11">
        <v>1.0</v>
      </c>
      <c r="G322" s="11">
        <v>1.0</v>
      </c>
      <c r="H322" s="11">
        <v>12500.0</v>
      </c>
      <c r="I322" s="11">
        <f t="shared" si="22"/>
        <v>12500</v>
      </c>
      <c r="J322" s="11" t="s">
        <v>1157</v>
      </c>
      <c r="K322" s="93"/>
      <c r="L322" s="93"/>
      <c r="M322" s="93" t="s">
        <v>1971</v>
      </c>
      <c r="N322" s="217" t="s">
        <v>1315</v>
      </c>
      <c r="O322" s="11" t="str">
        <f>IMAGE("https://m.media-amazon.com/images/I/61MstERkLZL._SL1500_.jpg",1)</f>
        <v/>
      </c>
      <c r="P322" s="78"/>
      <c r="Q322" s="74"/>
      <c r="R322" s="75"/>
      <c r="S322" s="12"/>
      <c r="T322" s="11"/>
      <c r="U322" s="11">
        <v>3.0</v>
      </c>
      <c r="V322" s="11" t="s">
        <v>2027</v>
      </c>
      <c r="W322" s="332">
        <v>2.0</v>
      </c>
      <c r="X322" s="332">
        <f t="shared" si="23"/>
        <v>0.5</v>
      </c>
      <c r="Y322" s="332" t="str">
        <f t="shared" si="24"/>
        <v>S</v>
      </c>
      <c r="Z322" s="332"/>
    </row>
    <row r="323" ht="76.5" hidden="1" customHeight="1">
      <c r="A323" s="221">
        <v>322.0</v>
      </c>
      <c r="B323" s="222" t="s">
        <v>1152</v>
      </c>
      <c r="C323" s="222" t="s">
        <v>1321</v>
      </c>
      <c r="D323" s="232" t="s">
        <v>1322</v>
      </c>
      <c r="E323" s="233" t="s">
        <v>1250</v>
      </c>
      <c r="F323" s="234">
        <v>1.0</v>
      </c>
      <c r="G323" s="234">
        <v>1.0</v>
      </c>
      <c r="H323" s="234">
        <v>1000.0</v>
      </c>
      <c r="I323" s="222">
        <f t="shared" si="22"/>
        <v>1000</v>
      </c>
      <c r="J323" s="222" t="s">
        <v>1157</v>
      </c>
      <c r="K323" s="232"/>
      <c r="L323" s="232" t="s">
        <v>2052</v>
      </c>
      <c r="M323" s="232" t="s">
        <v>1971</v>
      </c>
      <c r="N323" s="235"/>
      <c r="O323" s="222" t="str">
        <f>IMAGE("https://m.media-amazon.com/images/I/61yYBr4qxBL._SL1276_.jpg",1)</f>
        <v/>
      </c>
      <c r="P323" s="340" t="s">
        <v>1684</v>
      </c>
      <c r="Q323" s="335">
        <v>120.0</v>
      </c>
      <c r="R323" s="336"/>
      <c r="S323" s="299"/>
      <c r="T323" s="222"/>
      <c r="U323" s="299">
        <v>3.0</v>
      </c>
      <c r="V323" s="222" t="s">
        <v>2027</v>
      </c>
      <c r="W323" s="332">
        <v>2.0</v>
      </c>
      <c r="X323" s="332">
        <f t="shared" si="23"/>
        <v>0.5</v>
      </c>
      <c r="Y323" s="332" t="str">
        <f t="shared" si="24"/>
        <v>S</v>
      </c>
      <c r="Z323" s="332"/>
    </row>
    <row r="324" ht="76.5" hidden="1" customHeight="1">
      <c r="A324" s="221">
        <v>323.0</v>
      </c>
      <c r="B324" s="231" t="s">
        <v>1152</v>
      </c>
      <c r="C324" s="222" t="s">
        <v>1062</v>
      </c>
      <c r="D324" s="232" t="s">
        <v>1063</v>
      </c>
      <c r="E324" s="233" t="s">
        <v>1032</v>
      </c>
      <c r="F324" s="234">
        <v>2.0</v>
      </c>
      <c r="G324" s="234">
        <v>2.0</v>
      </c>
      <c r="H324" s="234">
        <v>500.0</v>
      </c>
      <c r="I324" s="222">
        <f t="shared" si="22"/>
        <v>1000</v>
      </c>
      <c r="J324" s="222" t="s">
        <v>347</v>
      </c>
      <c r="K324" s="232"/>
      <c r="L324" s="232"/>
      <c r="M324" s="233" t="s">
        <v>1032</v>
      </c>
      <c r="N324" s="235" t="s">
        <v>1064</v>
      </c>
      <c r="O324" s="222" t="str">
        <f>IMAGE("https://i.ebayimg.com/images/g/QLMAAOSwETxj4~0j/s-l1600.jpg",1)</f>
        <v/>
      </c>
      <c r="P324" s="334"/>
      <c r="Q324" s="335"/>
      <c r="R324" s="336"/>
      <c r="S324" s="299"/>
      <c r="T324" s="222"/>
      <c r="U324" s="299">
        <v>3.0</v>
      </c>
      <c r="V324" s="222" t="s">
        <v>2195</v>
      </c>
      <c r="W324" s="332">
        <v>1.0</v>
      </c>
      <c r="X324" s="332">
        <f t="shared" si="23"/>
        <v>1</v>
      </c>
      <c r="Y324" s="332" t="str">
        <f t="shared" si="24"/>
        <v>S</v>
      </c>
      <c r="Z324" s="332"/>
    </row>
    <row r="325" ht="76.5" hidden="1" customHeight="1">
      <c r="A325" s="221">
        <v>324.0</v>
      </c>
      <c r="B325" s="11" t="s">
        <v>1152</v>
      </c>
      <c r="C325" s="11" t="s">
        <v>1154</v>
      </c>
      <c r="D325" s="93" t="s">
        <v>2110</v>
      </c>
      <c r="E325" s="215" t="s">
        <v>1156</v>
      </c>
      <c r="F325" s="216">
        <v>10.0</v>
      </c>
      <c r="G325" s="216">
        <v>10.0</v>
      </c>
      <c r="H325" s="216">
        <v>100.0</v>
      </c>
      <c r="I325" s="11">
        <f t="shared" si="22"/>
        <v>1000</v>
      </c>
      <c r="J325" s="11" t="s">
        <v>1157</v>
      </c>
      <c r="K325" s="93"/>
      <c r="L325" s="93"/>
      <c r="M325" s="93" t="s">
        <v>1968</v>
      </c>
      <c r="N325" s="217"/>
      <c r="O325" s="11" t="str">
        <f>IMAGE("https://5.imimg.com/data5/SB/TW/SA/SELLER-91497159/glass-beaker-500x500.jpg",1)</f>
        <v/>
      </c>
      <c r="P325" s="78"/>
      <c r="Q325" s="74"/>
      <c r="R325" s="75"/>
      <c r="S325" s="12"/>
      <c r="T325" s="11"/>
      <c r="U325" s="12">
        <v>3.0</v>
      </c>
      <c r="V325" s="11" t="s">
        <v>2204</v>
      </c>
      <c r="W325" s="332">
        <v>1.0</v>
      </c>
      <c r="X325" s="332">
        <f t="shared" si="23"/>
        <v>1</v>
      </c>
      <c r="Y325" s="332" t="str">
        <f t="shared" si="24"/>
        <v>S</v>
      </c>
      <c r="Z325" s="332"/>
    </row>
    <row r="326" ht="76.5" hidden="1" customHeight="1">
      <c r="A326" s="221">
        <v>325.0</v>
      </c>
      <c r="B326" s="11" t="s">
        <v>1152</v>
      </c>
      <c r="C326" s="11" t="s">
        <v>1159</v>
      </c>
      <c r="D326" s="93" t="s">
        <v>1160</v>
      </c>
      <c r="E326" s="215" t="s">
        <v>1156</v>
      </c>
      <c r="F326" s="11">
        <v>5.0</v>
      </c>
      <c r="G326" s="11">
        <v>5.0</v>
      </c>
      <c r="H326" s="11">
        <v>300.0</v>
      </c>
      <c r="I326" s="11">
        <f t="shared" si="22"/>
        <v>1500</v>
      </c>
      <c r="J326" s="11" t="s">
        <v>1157</v>
      </c>
      <c r="K326" s="93"/>
      <c r="L326" s="93"/>
      <c r="M326" s="93" t="s">
        <v>1968</v>
      </c>
      <c r="N326" s="223" t="s">
        <v>1161</v>
      </c>
      <c r="O326" s="11" t="str">
        <f>IMAGE("https://m.media-amazon.com/images/I/41vGxqzVasL.jpg",1)</f>
        <v/>
      </c>
      <c r="P326" s="78"/>
      <c r="Q326" s="74"/>
      <c r="R326" s="75"/>
      <c r="S326" s="12"/>
      <c r="T326" s="11"/>
      <c r="U326" s="12">
        <v>3.0</v>
      </c>
      <c r="V326" s="11" t="s">
        <v>2204</v>
      </c>
      <c r="W326" s="332">
        <v>1.0</v>
      </c>
      <c r="X326" s="332">
        <f t="shared" si="23"/>
        <v>1</v>
      </c>
      <c r="Y326" s="332" t="str">
        <f t="shared" si="24"/>
        <v>S</v>
      </c>
      <c r="Z326" s="332"/>
    </row>
    <row r="327" ht="76.5" hidden="1" customHeight="1">
      <c r="A327" s="221">
        <v>326.0</v>
      </c>
      <c r="B327" s="11" t="s">
        <v>1152</v>
      </c>
      <c r="C327" s="11" t="s">
        <v>1163</v>
      </c>
      <c r="D327" s="93" t="s">
        <v>1164</v>
      </c>
      <c r="E327" s="215" t="s">
        <v>1156</v>
      </c>
      <c r="F327" s="216">
        <v>10.0</v>
      </c>
      <c r="G327" s="216">
        <v>8.0</v>
      </c>
      <c r="H327" s="216">
        <v>100.0</v>
      </c>
      <c r="I327" s="11">
        <f t="shared" si="22"/>
        <v>800</v>
      </c>
      <c r="J327" s="11" t="s">
        <v>1157</v>
      </c>
      <c r="K327" s="93"/>
      <c r="L327" s="93"/>
      <c r="M327" s="93" t="s">
        <v>1968</v>
      </c>
      <c r="N327" s="217" t="s">
        <v>1165</v>
      </c>
      <c r="O327" s="11" t="str">
        <f>IMAGE("https://m.media-amazon.com/images/I/31b1KCUwqyL.jpg", 1)</f>
        <v/>
      </c>
      <c r="P327" s="78" t="s">
        <v>56</v>
      </c>
      <c r="Q327" s="74"/>
      <c r="R327" s="75"/>
      <c r="S327" s="12"/>
      <c r="T327" s="11"/>
      <c r="U327" s="12">
        <v>3.0</v>
      </c>
      <c r="V327" s="11" t="s">
        <v>2204</v>
      </c>
      <c r="W327" s="332">
        <v>1.0</v>
      </c>
      <c r="X327" s="332">
        <f t="shared" si="23"/>
        <v>1</v>
      </c>
      <c r="Y327" s="332" t="str">
        <f t="shared" si="24"/>
        <v>S</v>
      </c>
      <c r="Z327" s="332"/>
    </row>
    <row r="328" ht="76.5" hidden="1" customHeight="1">
      <c r="A328" s="221">
        <v>327.0</v>
      </c>
      <c r="B328" s="11" t="s">
        <v>1152</v>
      </c>
      <c r="C328" s="11" t="s">
        <v>1167</v>
      </c>
      <c r="D328" s="93" t="s">
        <v>1168</v>
      </c>
      <c r="E328" s="215" t="s">
        <v>1156</v>
      </c>
      <c r="F328" s="11">
        <v>2.0</v>
      </c>
      <c r="G328" s="11">
        <v>2.0</v>
      </c>
      <c r="H328" s="11">
        <v>200.0</v>
      </c>
      <c r="I328" s="11">
        <f t="shared" si="22"/>
        <v>400</v>
      </c>
      <c r="J328" s="11" t="s">
        <v>1157</v>
      </c>
      <c r="K328" s="93" t="s">
        <v>77</v>
      </c>
      <c r="L328" s="93"/>
      <c r="M328" s="93" t="s">
        <v>1969</v>
      </c>
      <c r="N328" s="217" t="s">
        <v>1169</v>
      </c>
      <c r="O328" s="11" t="str">
        <f>IMAGE("https://m.media-amazon.com/images/W/MEDIAX_792452-T2/images/I/71veIL4opPL.jpg",1)</f>
        <v/>
      </c>
      <c r="P328" s="330"/>
      <c r="Q328" s="331"/>
      <c r="R328" s="75"/>
      <c r="S328" s="253"/>
      <c r="T328" s="11"/>
      <c r="U328" s="12">
        <v>3.0</v>
      </c>
      <c r="V328" s="11" t="s">
        <v>2112</v>
      </c>
      <c r="W328" s="332">
        <v>1.0</v>
      </c>
      <c r="X328" s="332">
        <f t="shared" si="23"/>
        <v>1</v>
      </c>
      <c r="Y328" s="332" t="str">
        <f t="shared" si="24"/>
        <v>S</v>
      </c>
      <c r="Z328" s="332"/>
    </row>
    <row r="329" ht="76.5" hidden="1" customHeight="1">
      <c r="A329" s="221">
        <v>328.0</v>
      </c>
      <c r="B329" s="11" t="s">
        <v>1152</v>
      </c>
      <c r="C329" s="11" t="s">
        <v>1171</v>
      </c>
      <c r="D329" s="93" t="s">
        <v>1172</v>
      </c>
      <c r="E329" s="215" t="s">
        <v>1156</v>
      </c>
      <c r="F329" s="255">
        <v>1.0</v>
      </c>
      <c r="G329" s="255">
        <v>1.0</v>
      </c>
      <c r="H329" s="255">
        <v>200.0</v>
      </c>
      <c r="I329" s="11">
        <f t="shared" si="22"/>
        <v>200</v>
      </c>
      <c r="J329" s="11" t="s">
        <v>1157</v>
      </c>
      <c r="K329" s="93" t="s">
        <v>77</v>
      </c>
      <c r="L329" s="93" t="s">
        <v>1902</v>
      </c>
      <c r="M329" s="215" t="s">
        <v>111</v>
      </c>
      <c r="N329" s="217" t="s">
        <v>1173</v>
      </c>
      <c r="O329" s="11" t="str">
        <f>IMAGE("https://www.sigmaaldrich.com/deepweb/content/dam/sigma-aldrich/product2/017/wha2200110.tif/_jcr_content/renditions/wha2200110-large.jpg", 1)</f>
        <v/>
      </c>
      <c r="P329" s="330"/>
      <c r="Q329" s="331"/>
      <c r="R329" s="75"/>
      <c r="S329" s="253"/>
      <c r="T329" s="11"/>
      <c r="U329" s="12">
        <v>1.0</v>
      </c>
      <c r="V329" s="11" t="s">
        <v>2113</v>
      </c>
      <c r="W329" s="332">
        <v>1.0</v>
      </c>
      <c r="X329" s="332">
        <f t="shared" si="23"/>
        <v>1</v>
      </c>
      <c r="Y329" s="332" t="str">
        <f t="shared" si="24"/>
        <v>S</v>
      </c>
      <c r="Z329" s="332"/>
    </row>
    <row r="330" ht="76.5" hidden="1" customHeight="1">
      <c r="A330" s="221">
        <v>329.0</v>
      </c>
      <c r="B330" s="11" t="s">
        <v>1152</v>
      </c>
      <c r="C330" s="11" t="s">
        <v>1175</v>
      </c>
      <c r="D330" s="93" t="s">
        <v>1176</v>
      </c>
      <c r="E330" s="215" t="s">
        <v>1156</v>
      </c>
      <c r="F330" s="216">
        <v>1.0</v>
      </c>
      <c r="G330" s="216">
        <v>1.0</v>
      </c>
      <c r="H330" s="216">
        <v>150.0</v>
      </c>
      <c r="I330" s="11">
        <f t="shared" si="22"/>
        <v>150</v>
      </c>
      <c r="J330" s="11" t="s">
        <v>1157</v>
      </c>
      <c r="K330" s="93"/>
      <c r="L330" s="93" t="s">
        <v>2002</v>
      </c>
      <c r="M330" s="93" t="s">
        <v>1968</v>
      </c>
      <c r="N330" s="217" t="s">
        <v>1177</v>
      </c>
      <c r="O330" s="11" t="str">
        <f>IMAGE("https://m.media-amazon.com/images/I/A1PFWcAysAL.jpg", 1)</f>
        <v/>
      </c>
      <c r="P330" s="78"/>
      <c r="Q330" s="74"/>
      <c r="R330" s="75"/>
      <c r="S330" s="12"/>
      <c r="T330" s="11"/>
      <c r="U330" s="12">
        <v>3.0</v>
      </c>
      <c r="V330" s="11" t="s">
        <v>2112</v>
      </c>
      <c r="W330" s="332">
        <v>1.0</v>
      </c>
      <c r="X330" s="332">
        <f t="shared" si="23"/>
        <v>1</v>
      </c>
      <c r="Y330" s="332" t="str">
        <f t="shared" si="24"/>
        <v>S</v>
      </c>
      <c r="Z330" s="332"/>
    </row>
    <row r="331" ht="76.5" hidden="1" customHeight="1">
      <c r="A331" s="221">
        <v>330.0</v>
      </c>
      <c r="B331" s="11" t="s">
        <v>1152</v>
      </c>
      <c r="C331" s="11" t="s">
        <v>1183</v>
      </c>
      <c r="D331" s="93" t="s">
        <v>1184</v>
      </c>
      <c r="E331" s="215" t="s">
        <v>1156</v>
      </c>
      <c r="F331" s="11">
        <v>1.0</v>
      </c>
      <c r="G331" s="11">
        <v>1.0</v>
      </c>
      <c r="H331" s="11">
        <v>100.0</v>
      </c>
      <c r="I331" s="11">
        <f t="shared" si="22"/>
        <v>100</v>
      </c>
      <c r="J331" s="11" t="s">
        <v>1157</v>
      </c>
      <c r="K331" s="93"/>
      <c r="L331" s="93"/>
      <c r="M331" s="93" t="s">
        <v>1975</v>
      </c>
      <c r="N331" s="217" t="s">
        <v>1185</v>
      </c>
      <c r="O331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P331" s="330" t="s">
        <v>56</v>
      </c>
      <c r="Q331" s="331"/>
      <c r="R331" s="75"/>
      <c r="S331" s="253"/>
      <c r="T331" s="11"/>
      <c r="U331" s="11">
        <v>3.0</v>
      </c>
      <c r="V331" s="11" t="s">
        <v>2115</v>
      </c>
      <c r="W331" s="332">
        <v>1.0</v>
      </c>
      <c r="X331" s="332">
        <f t="shared" si="23"/>
        <v>1</v>
      </c>
      <c r="Y331" s="332" t="str">
        <f t="shared" si="24"/>
        <v>S</v>
      </c>
      <c r="Z331" s="332"/>
    </row>
    <row r="332" ht="76.5" hidden="1" customHeight="1">
      <c r="A332" s="221">
        <v>331.0</v>
      </c>
      <c r="B332" s="11" t="s">
        <v>1152</v>
      </c>
      <c r="C332" s="11" t="s">
        <v>1187</v>
      </c>
      <c r="D332" s="93" t="s">
        <v>1188</v>
      </c>
      <c r="E332" s="215" t="s">
        <v>1156</v>
      </c>
      <c r="F332" s="216">
        <v>1.0</v>
      </c>
      <c r="G332" s="216">
        <v>1.0</v>
      </c>
      <c r="H332" s="216">
        <v>350.0</v>
      </c>
      <c r="I332" s="11">
        <f t="shared" si="22"/>
        <v>350</v>
      </c>
      <c r="J332" s="11" t="s">
        <v>1157</v>
      </c>
      <c r="K332" s="93"/>
      <c r="L332" s="93"/>
      <c r="M332" s="93" t="s">
        <v>1975</v>
      </c>
      <c r="N332" s="217" t="s">
        <v>1189</v>
      </c>
      <c r="O332" s="11" t="str">
        <f>IMAGE("https://m.media-amazon.com/images/I/61ra1C535pL._SL1500_.jpg", 1)</f>
        <v/>
      </c>
      <c r="P332" s="78"/>
      <c r="Q332" s="74"/>
      <c r="R332" s="75"/>
      <c r="S332" s="12"/>
      <c r="T332" s="11"/>
      <c r="U332" s="11">
        <v>3.0</v>
      </c>
      <c r="V332" s="11" t="s">
        <v>2116</v>
      </c>
      <c r="W332" s="332">
        <v>1.0</v>
      </c>
      <c r="X332" s="332">
        <f t="shared" si="23"/>
        <v>1</v>
      </c>
      <c r="Y332" s="332" t="str">
        <f t="shared" si="24"/>
        <v>S</v>
      </c>
      <c r="Z332" s="332"/>
    </row>
    <row r="333" ht="76.5" hidden="1" customHeight="1">
      <c r="A333" s="221">
        <v>332.0</v>
      </c>
      <c r="B333" s="11" t="s">
        <v>1152</v>
      </c>
      <c r="C333" s="11" t="s">
        <v>1195</v>
      </c>
      <c r="D333" s="93" t="s">
        <v>1196</v>
      </c>
      <c r="E333" s="215" t="s">
        <v>1156</v>
      </c>
      <c r="F333" s="216">
        <v>2.0</v>
      </c>
      <c r="G333" s="216">
        <v>1.0</v>
      </c>
      <c r="H333" s="216">
        <v>200.0</v>
      </c>
      <c r="I333" s="11">
        <f t="shared" si="22"/>
        <v>200</v>
      </c>
      <c r="J333" s="11" t="s">
        <v>1157</v>
      </c>
      <c r="K333" s="93"/>
      <c r="L333" s="93" t="s">
        <v>1895</v>
      </c>
      <c r="M333" s="93" t="s">
        <v>1971</v>
      </c>
      <c r="N333" s="217" t="s">
        <v>1198</v>
      </c>
      <c r="O333" s="11" t="str">
        <f>IMAGE("https://5.imimg.com/data5/SELLER/Default/2021/7/IF/DT/PV/116258883/microscope-cover-glass-250x250.JPG",1)</f>
        <v/>
      </c>
      <c r="P333" s="78"/>
      <c r="Q333" s="74"/>
      <c r="R333" s="75"/>
      <c r="S333" s="12"/>
      <c r="T333" s="11"/>
      <c r="U333" s="11">
        <v>1.0</v>
      </c>
      <c r="V333" s="222" t="s">
        <v>2118</v>
      </c>
      <c r="W333" s="332">
        <v>1.0</v>
      </c>
      <c r="X333" s="332">
        <f t="shared" si="23"/>
        <v>1</v>
      </c>
      <c r="Y333" s="332" t="str">
        <f t="shared" si="24"/>
        <v>S</v>
      </c>
      <c r="Z333" s="332"/>
    </row>
    <row r="334" ht="76.5" hidden="1" customHeight="1">
      <c r="A334" s="221">
        <v>333.0</v>
      </c>
      <c r="B334" s="11" t="s">
        <v>1152</v>
      </c>
      <c r="C334" s="11" t="s">
        <v>1200</v>
      </c>
      <c r="D334" s="93" t="s">
        <v>1201</v>
      </c>
      <c r="E334" s="215" t="s">
        <v>1156</v>
      </c>
      <c r="F334" s="216">
        <v>2.0</v>
      </c>
      <c r="G334" s="216">
        <v>1.0</v>
      </c>
      <c r="H334" s="218">
        <v>100.0</v>
      </c>
      <c r="I334" s="11">
        <f t="shared" si="22"/>
        <v>100</v>
      </c>
      <c r="J334" s="11" t="s">
        <v>1157</v>
      </c>
      <c r="K334" s="93"/>
      <c r="L334" s="93" t="s">
        <v>1895</v>
      </c>
      <c r="M334" s="93" t="s">
        <v>1971</v>
      </c>
      <c r="N334" s="217" t="s">
        <v>1202</v>
      </c>
      <c r="O334" s="11" t="str">
        <f>IMAGE("https://5.imimg.com/data5/AZ/OD/EC/SELLER-20177713/laboratory-slides-500x500.jpg",1)</f>
        <v/>
      </c>
      <c r="P334" s="78"/>
      <c r="Q334" s="74"/>
      <c r="R334" s="75"/>
      <c r="S334" s="12"/>
      <c r="T334" s="11"/>
      <c r="U334" s="11">
        <v>1.0</v>
      </c>
      <c r="V334" s="222" t="s">
        <v>2118</v>
      </c>
      <c r="W334" s="332">
        <v>1.0</v>
      </c>
      <c r="X334" s="332">
        <f t="shared" si="23"/>
        <v>1</v>
      </c>
      <c r="Y334" s="332" t="str">
        <f t="shared" si="24"/>
        <v>S</v>
      </c>
      <c r="Z334" s="332"/>
    </row>
    <row r="335" ht="76.5" hidden="1" customHeight="1">
      <c r="A335" s="221">
        <v>334.0</v>
      </c>
      <c r="B335" s="222" t="s">
        <v>1152</v>
      </c>
      <c r="C335" s="222" t="s">
        <v>1204</v>
      </c>
      <c r="D335" s="232" t="s">
        <v>1205</v>
      </c>
      <c r="E335" s="233" t="s">
        <v>1156</v>
      </c>
      <c r="F335" s="234">
        <v>30.0</v>
      </c>
      <c r="G335" s="234">
        <v>30.0</v>
      </c>
      <c r="H335" s="234">
        <v>15.0</v>
      </c>
      <c r="I335" s="222">
        <f t="shared" si="22"/>
        <v>450</v>
      </c>
      <c r="J335" s="222" t="s">
        <v>1157</v>
      </c>
      <c r="K335" s="232"/>
      <c r="L335" s="232" t="s">
        <v>2008</v>
      </c>
      <c r="M335" s="232" t="s">
        <v>1968</v>
      </c>
      <c r="N335" s="235" t="s">
        <v>1206</v>
      </c>
      <c r="O335" s="222" t="str">
        <f>IMAGE("https://www.abdoslifesciences.com/wp-content/uploads/Abdos_Delhi2-107_P10911-to-P10918-2.png",1)</f>
        <v/>
      </c>
      <c r="P335" s="334" t="s">
        <v>56</v>
      </c>
      <c r="Q335" s="335"/>
      <c r="R335" s="336"/>
      <c r="S335" s="299"/>
      <c r="T335" s="222"/>
      <c r="U335" s="222">
        <v>1.0</v>
      </c>
      <c r="V335" s="222" t="s">
        <v>2119</v>
      </c>
      <c r="W335" s="332">
        <v>1.0</v>
      </c>
      <c r="X335" s="332">
        <f t="shared" si="23"/>
        <v>1</v>
      </c>
      <c r="Y335" s="332" t="str">
        <f t="shared" si="24"/>
        <v>S</v>
      </c>
      <c r="Z335" s="332"/>
    </row>
    <row r="336" ht="76.5" hidden="1" customHeight="1">
      <c r="A336" s="221">
        <v>335.0</v>
      </c>
      <c r="B336" s="11" t="s">
        <v>1152</v>
      </c>
      <c r="C336" s="11" t="s">
        <v>1208</v>
      </c>
      <c r="D336" s="93" t="s">
        <v>1209</v>
      </c>
      <c r="E336" s="215" t="s">
        <v>1156</v>
      </c>
      <c r="F336" s="11">
        <v>2.0</v>
      </c>
      <c r="G336" s="11">
        <v>2.0</v>
      </c>
      <c r="H336" s="11">
        <v>500.0</v>
      </c>
      <c r="I336" s="11">
        <f t="shared" si="22"/>
        <v>1000</v>
      </c>
      <c r="J336" s="11" t="s">
        <v>1157</v>
      </c>
      <c r="K336" s="93"/>
      <c r="L336" s="93"/>
      <c r="M336" s="93" t="s">
        <v>1968</v>
      </c>
      <c r="N336" s="217" t="s">
        <v>1210</v>
      </c>
      <c r="O336" s="11" t="str">
        <f>IMAGE("https://pim-resources.coleparmer.com/product/l/dwk-life-sciences-kimble-dwk-kimble-babcock-pipettes-14663.jpg",1)</f>
        <v/>
      </c>
      <c r="P336" s="78"/>
      <c r="Q336" s="74"/>
      <c r="R336" s="75"/>
      <c r="S336" s="12"/>
      <c r="T336" s="11"/>
      <c r="U336" s="11">
        <v>3.0</v>
      </c>
      <c r="V336" s="11" t="s">
        <v>2117</v>
      </c>
      <c r="W336" s="332">
        <v>1.0</v>
      </c>
      <c r="X336" s="332">
        <f t="shared" si="23"/>
        <v>1</v>
      </c>
      <c r="Y336" s="332" t="str">
        <f t="shared" si="24"/>
        <v>S</v>
      </c>
      <c r="Z336" s="332"/>
    </row>
    <row r="337" ht="76.5" hidden="1" customHeight="1">
      <c r="A337" s="221">
        <v>336.0</v>
      </c>
      <c r="B337" s="11" t="s">
        <v>1152</v>
      </c>
      <c r="C337" s="11" t="s">
        <v>1212</v>
      </c>
      <c r="D337" s="93" t="s">
        <v>1213</v>
      </c>
      <c r="E337" s="215" t="s">
        <v>1156</v>
      </c>
      <c r="F337" s="216">
        <v>10.0</v>
      </c>
      <c r="G337" s="216">
        <v>10.0</v>
      </c>
      <c r="H337" s="216">
        <v>20.0</v>
      </c>
      <c r="I337" s="11">
        <f t="shared" si="22"/>
        <v>200</v>
      </c>
      <c r="J337" s="11" t="s">
        <v>1157</v>
      </c>
      <c r="K337" s="93"/>
      <c r="L337" s="93" t="s">
        <v>1902</v>
      </c>
      <c r="M337" s="93" t="s">
        <v>1969</v>
      </c>
      <c r="N337" s="217" t="s">
        <v>1214</v>
      </c>
      <c r="O337" s="11" t="str">
        <f>IMAGE("https://5.imimg.com/data5/QC/NX/MY-932240/clear-plastic-funnel-250x250.jpg", 1)</f>
        <v/>
      </c>
      <c r="P337" s="78"/>
      <c r="Q337" s="74"/>
      <c r="R337" s="75"/>
      <c r="S337" s="12"/>
      <c r="T337" s="11"/>
      <c r="U337" s="11">
        <v>1.0</v>
      </c>
      <c r="V337" s="11" t="s">
        <v>2113</v>
      </c>
      <c r="W337" s="332">
        <v>1.0</v>
      </c>
      <c r="X337" s="332">
        <f t="shared" si="23"/>
        <v>1</v>
      </c>
      <c r="Y337" s="332" t="str">
        <f t="shared" si="24"/>
        <v>S</v>
      </c>
      <c r="Z337" s="332"/>
    </row>
    <row r="338" ht="76.5" hidden="1" customHeight="1">
      <c r="A338" s="221">
        <v>337.0</v>
      </c>
      <c r="B338" s="11" t="s">
        <v>1152</v>
      </c>
      <c r="C338" s="11" t="s">
        <v>1216</v>
      </c>
      <c r="D338" s="93" t="s">
        <v>1217</v>
      </c>
      <c r="E338" s="215" t="s">
        <v>1156</v>
      </c>
      <c r="F338" s="216">
        <v>10.0</v>
      </c>
      <c r="G338" s="216">
        <v>10.0</v>
      </c>
      <c r="H338" s="216">
        <v>20.0</v>
      </c>
      <c r="I338" s="11">
        <f t="shared" si="22"/>
        <v>200</v>
      </c>
      <c r="J338" s="11" t="s">
        <v>1157</v>
      </c>
      <c r="K338" s="93"/>
      <c r="L338" s="93" t="s">
        <v>1902</v>
      </c>
      <c r="M338" s="93" t="s">
        <v>1969</v>
      </c>
      <c r="N338" s="217" t="s">
        <v>1218</v>
      </c>
      <c r="O338" s="11" t="str">
        <f>IMAGE("https://www.reagecon.com/product/image/medium/6267270_1.jpg",1)</f>
        <v/>
      </c>
      <c r="P338" s="78"/>
      <c r="Q338" s="74"/>
      <c r="R338" s="75"/>
      <c r="S338" s="12"/>
      <c r="T338" s="11"/>
      <c r="U338" s="11">
        <v>1.0</v>
      </c>
      <c r="V338" s="11" t="s">
        <v>2113</v>
      </c>
      <c r="W338" s="332">
        <v>1.0</v>
      </c>
      <c r="X338" s="332">
        <f t="shared" si="23"/>
        <v>1</v>
      </c>
      <c r="Y338" s="332" t="str">
        <f t="shared" si="24"/>
        <v>S</v>
      </c>
      <c r="Z338" s="332"/>
    </row>
    <row r="339" ht="76.5" hidden="1" customHeight="1">
      <c r="A339" s="221">
        <v>338.0</v>
      </c>
      <c r="B339" s="222" t="s">
        <v>1152</v>
      </c>
      <c r="C339" s="222" t="s">
        <v>1224</v>
      </c>
      <c r="D339" s="232" t="s">
        <v>1225</v>
      </c>
      <c r="E339" s="233" t="s">
        <v>1156</v>
      </c>
      <c r="F339" s="234">
        <v>100.0</v>
      </c>
      <c r="G339" s="234">
        <v>100.0</v>
      </c>
      <c r="H339" s="234">
        <v>20.0</v>
      </c>
      <c r="I339" s="222">
        <f t="shared" si="22"/>
        <v>2000</v>
      </c>
      <c r="J339" s="222" t="s">
        <v>1157</v>
      </c>
      <c r="K339" s="232"/>
      <c r="L339" s="232" t="s">
        <v>2008</v>
      </c>
      <c r="M339" s="232" t="s">
        <v>1969</v>
      </c>
      <c r="N339" s="235" t="s">
        <v>1226</v>
      </c>
      <c r="O339" s="222" t="str">
        <f>IMAGE("https://5.imimg.com/data5/GX/OE/MY-972879/30ml-specimen-container-500x500.jpg", 1)</f>
        <v/>
      </c>
      <c r="P339" s="334"/>
      <c r="Q339" s="335"/>
      <c r="R339" s="336"/>
      <c r="S339" s="299"/>
      <c r="T339" s="222"/>
      <c r="U339" s="222">
        <v>1.0</v>
      </c>
      <c r="V339" s="222" t="s">
        <v>2120</v>
      </c>
      <c r="W339" s="332">
        <v>1.0</v>
      </c>
      <c r="X339" s="332">
        <f t="shared" si="23"/>
        <v>1</v>
      </c>
      <c r="Y339" s="332" t="str">
        <f t="shared" si="24"/>
        <v>S</v>
      </c>
      <c r="Z339" s="332"/>
    </row>
    <row r="340" ht="76.5" hidden="1" customHeight="1">
      <c r="A340" s="221">
        <v>339.0</v>
      </c>
      <c r="B340" s="11" t="s">
        <v>1152</v>
      </c>
      <c r="C340" s="11" t="s">
        <v>1228</v>
      </c>
      <c r="D340" s="93" t="s">
        <v>1229</v>
      </c>
      <c r="E340" s="215" t="s">
        <v>1156</v>
      </c>
      <c r="F340" s="11">
        <v>1.0</v>
      </c>
      <c r="G340" s="11">
        <v>1.0</v>
      </c>
      <c r="H340" s="11">
        <v>150.0</v>
      </c>
      <c r="I340" s="11">
        <f t="shared" si="22"/>
        <v>150</v>
      </c>
      <c r="J340" s="11" t="s">
        <v>1157</v>
      </c>
      <c r="K340" s="93"/>
      <c r="L340" s="93"/>
      <c r="M340" s="93" t="s">
        <v>1968</v>
      </c>
      <c r="N340" s="217" t="s">
        <v>1230</v>
      </c>
      <c r="O340" s="11" t="str">
        <f>IMAGE("https://m.media-amazon.com/images/I/51+vdFGMMML._SL1001_.jpg",1)</f>
        <v/>
      </c>
      <c r="P340" s="330"/>
      <c r="Q340" s="331"/>
      <c r="R340" s="75"/>
      <c r="S340" s="253"/>
      <c r="T340" s="11"/>
      <c r="U340" s="11">
        <v>3.0</v>
      </c>
      <c r="V340" s="11" t="s">
        <v>2027</v>
      </c>
      <c r="W340" s="332">
        <v>1.0</v>
      </c>
      <c r="X340" s="332">
        <f t="shared" si="23"/>
        <v>1</v>
      </c>
      <c r="Y340" s="332" t="str">
        <f t="shared" si="24"/>
        <v>S</v>
      </c>
      <c r="Z340" s="332"/>
    </row>
    <row r="341" ht="76.5" hidden="1" customHeight="1">
      <c r="A341" s="221">
        <v>340.0</v>
      </c>
      <c r="B341" s="11" t="s">
        <v>1152</v>
      </c>
      <c r="C341" s="11" t="s">
        <v>1232</v>
      </c>
      <c r="D341" s="93" t="s">
        <v>1233</v>
      </c>
      <c r="E341" s="215" t="s">
        <v>1156</v>
      </c>
      <c r="F341" s="216">
        <v>10.0</v>
      </c>
      <c r="G341" s="216">
        <v>10.0</v>
      </c>
      <c r="H341" s="216">
        <v>15.0</v>
      </c>
      <c r="I341" s="11">
        <f t="shared" si="22"/>
        <v>150</v>
      </c>
      <c r="J341" s="11" t="s">
        <v>1157</v>
      </c>
      <c r="K341" s="93"/>
      <c r="L341" s="93" t="s">
        <v>1895</v>
      </c>
      <c r="M341" s="93" t="s">
        <v>1968</v>
      </c>
      <c r="N341" s="217" t="s">
        <v>1234</v>
      </c>
      <c r="O341" s="11" t="str">
        <f>IMAGE("https://5.imimg.com/data5/SELLER/Default/2022/10/RF/ME/PW/7444604/12x100mm-glass-test-tube-500x500.jpg", 1)</f>
        <v/>
      </c>
      <c r="P341" s="78"/>
      <c r="Q341" s="74"/>
      <c r="R341" s="75"/>
      <c r="S341" s="12"/>
      <c r="T341" s="11"/>
      <c r="U341" s="11">
        <v>1.0</v>
      </c>
      <c r="V341" s="11" t="s">
        <v>2121</v>
      </c>
      <c r="W341" s="332">
        <v>1.0</v>
      </c>
      <c r="X341" s="332">
        <f t="shared" si="23"/>
        <v>1</v>
      </c>
      <c r="Y341" s="332" t="str">
        <f t="shared" si="24"/>
        <v>S</v>
      </c>
      <c r="Z341" s="332"/>
    </row>
    <row r="342" ht="76.5" hidden="1" customHeight="1">
      <c r="A342" s="221">
        <v>341.0</v>
      </c>
      <c r="B342" s="11" t="s">
        <v>1152</v>
      </c>
      <c r="C342" s="11" t="s">
        <v>1236</v>
      </c>
      <c r="D342" s="93" t="s">
        <v>1237</v>
      </c>
      <c r="E342" s="215" t="s">
        <v>1156</v>
      </c>
      <c r="F342" s="216">
        <v>1.0</v>
      </c>
      <c r="G342" s="216">
        <v>2.0</v>
      </c>
      <c r="H342" s="216">
        <v>150.0</v>
      </c>
      <c r="I342" s="11">
        <f t="shared" si="22"/>
        <v>300</v>
      </c>
      <c r="J342" s="11" t="s">
        <v>1157</v>
      </c>
      <c r="K342" s="93"/>
      <c r="L342" s="93"/>
      <c r="M342" s="93" t="s">
        <v>1968</v>
      </c>
      <c r="N342" s="217" t="s">
        <v>1238</v>
      </c>
      <c r="O342" s="11" t="str">
        <f>IMAGE("https://www.abdoslifesciences.com/wp-content/uploads/p10.jpg", 1)</f>
        <v/>
      </c>
      <c r="P342" s="78"/>
      <c r="Q342" s="74"/>
      <c r="R342" s="75"/>
      <c r="S342" s="12"/>
      <c r="T342" s="11"/>
      <c r="U342" s="11">
        <v>3.0</v>
      </c>
      <c r="V342" s="11" t="s">
        <v>2027</v>
      </c>
      <c r="W342" s="332">
        <v>1.0</v>
      </c>
      <c r="X342" s="332">
        <f t="shared" si="23"/>
        <v>1</v>
      </c>
      <c r="Y342" s="332" t="str">
        <f t="shared" si="24"/>
        <v>S</v>
      </c>
      <c r="Z342" s="332"/>
    </row>
    <row r="343" ht="76.5" hidden="1" customHeight="1">
      <c r="A343" s="221">
        <v>342.0</v>
      </c>
      <c r="B343" s="11" t="s">
        <v>1152</v>
      </c>
      <c r="C343" s="11" t="s">
        <v>1240</v>
      </c>
      <c r="D343" s="93" t="s">
        <v>1241</v>
      </c>
      <c r="E343" s="215" t="s">
        <v>1156</v>
      </c>
      <c r="F343" s="216">
        <v>2.0</v>
      </c>
      <c r="G343" s="216">
        <v>2.0</v>
      </c>
      <c r="H343" s="216">
        <v>100.0</v>
      </c>
      <c r="I343" s="11">
        <f t="shared" si="22"/>
        <v>200</v>
      </c>
      <c r="J343" s="11" t="s">
        <v>1157</v>
      </c>
      <c r="K343" s="93"/>
      <c r="L343" s="93"/>
      <c r="M343" s="93" t="s">
        <v>1969</v>
      </c>
      <c r="N343" s="238" t="s">
        <v>1242</v>
      </c>
      <c r="O343" s="11" t="str">
        <f>IMAGE("https://www.abdoslifesciences.com/wp-content/uploads/Wash-Bottle-LDPE-day-20376.jpg", 1)</f>
        <v/>
      </c>
      <c r="P343" s="78"/>
      <c r="Q343" s="74"/>
      <c r="R343" s="75"/>
      <c r="S343" s="12"/>
      <c r="T343" s="11"/>
      <c r="U343" s="11">
        <v>3.0</v>
      </c>
      <c r="V343" s="11" t="s">
        <v>2205</v>
      </c>
      <c r="W343" s="332">
        <v>1.0</v>
      </c>
      <c r="X343" s="332">
        <f t="shared" si="23"/>
        <v>1</v>
      </c>
      <c r="Y343" s="332" t="str">
        <f t="shared" si="24"/>
        <v>S</v>
      </c>
      <c r="Z343" s="332"/>
    </row>
    <row r="344" ht="76.5" hidden="1" customHeight="1">
      <c r="A344" s="221">
        <v>343.0</v>
      </c>
      <c r="B344" s="11" t="s">
        <v>1152</v>
      </c>
      <c r="C344" s="11" t="s">
        <v>1244</v>
      </c>
      <c r="D344" s="93" t="s">
        <v>1245</v>
      </c>
      <c r="E344" s="215" t="s">
        <v>1156</v>
      </c>
      <c r="F344" s="11">
        <v>10.0</v>
      </c>
      <c r="G344" s="11">
        <v>10.0</v>
      </c>
      <c r="H344" s="11">
        <v>10.0</v>
      </c>
      <c r="I344" s="11">
        <f t="shared" si="22"/>
        <v>100</v>
      </c>
      <c r="J344" s="11" t="s">
        <v>1157</v>
      </c>
      <c r="K344" s="93"/>
      <c r="L344" s="93" t="s">
        <v>1895</v>
      </c>
      <c r="M344" s="93" t="s">
        <v>1968</v>
      </c>
      <c r="N344" s="217" t="s">
        <v>1246</v>
      </c>
      <c r="O344" s="11" t="str">
        <f>IMAGE("https://m.media-amazon.com/images/I/31U00ndDv2L._SX679_.jpg",1)</f>
        <v/>
      </c>
      <c r="P344" s="78"/>
      <c r="Q344" s="74"/>
      <c r="R344" s="75"/>
      <c r="S344" s="12"/>
      <c r="T344" s="11"/>
      <c r="U344" s="11">
        <v>1.0</v>
      </c>
      <c r="V344" s="11" t="s">
        <v>2122</v>
      </c>
      <c r="W344" s="332">
        <v>1.0</v>
      </c>
      <c r="X344" s="332">
        <f t="shared" si="23"/>
        <v>1</v>
      </c>
      <c r="Y344" s="332" t="str">
        <f t="shared" si="24"/>
        <v>S</v>
      </c>
      <c r="Z344" s="332"/>
    </row>
    <row r="345" ht="76.5" hidden="1" customHeight="1">
      <c r="A345" s="221">
        <v>344.0</v>
      </c>
      <c r="B345" s="11" t="s">
        <v>1152</v>
      </c>
      <c r="C345" s="11" t="s">
        <v>1297</v>
      </c>
      <c r="D345" s="93" t="s">
        <v>1976</v>
      </c>
      <c r="E345" s="215" t="s">
        <v>1250</v>
      </c>
      <c r="F345" s="216">
        <v>20.0</v>
      </c>
      <c r="G345" s="216">
        <v>20.0</v>
      </c>
      <c r="H345" s="216">
        <v>2500.0</v>
      </c>
      <c r="I345" s="11">
        <f t="shared" si="22"/>
        <v>50000</v>
      </c>
      <c r="J345" s="11" t="s">
        <v>1157</v>
      </c>
      <c r="K345" s="93"/>
      <c r="L345" s="93" t="s">
        <v>2008</v>
      </c>
      <c r="M345" s="93" t="s">
        <v>1971</v>
      </c>
      <c r="N345" s="217" t="s">
        <v>1299</v>
      </c>
      <c r="O345" s="11" t="str">
        <f>IMAGE("https://m.media-amazon.com/images/I/71O3EMayekL.jpg",1)</f>
        <v/>
      </c>
      <c r="P345" s="73" t="s">
        <v>1684</v>
      </c>
      <c r="Q345" s="74">
        <v>1200.0</v>
      </c>
      <c r="R345" s="75"/>
      <c r="S345" s="12"/>
      <c r="T345" s="11"/>
      <c r="U345" s="11">
        <v>1.0</v>
      </c>
      <c r="V345" s="222" t="s">
        <v>2125</v>
      </c>
      <c r="W345" s="332">
        <v>1.0</v>
      </c>
      <c r="X345" s="332">
        <f t="shared" si="23"/>
        <v>1</v>
      </c>
      <c r="Y345" s="332" t="str">
        <f t="shared" si="24"/>
        <v>S</v>
      </c>
      <c r="Z345" s="332"/>
    </row>
    <row r="346" ht="76.5" hidden="1" customHeight="1">
      <c r="A346" s="221">
        <v>345.0</v>
      </c>
      <c r="B346" s="11" t="s">
        <v>1472</v>
      </c>
      <c r="C346" s="11" t="s">
        <v>1488</v>
      </c>
      <c r="D346" s="93" t="s">
        <v>1489</v>
      </c>
      <c r="E346" s="215" t="s">
        <v>1476</v>
      </c>
      <c r="F346" s="11">
        <v>5.0</v>
      </c>
      <c r="G346" s="11">
        <v>5.0</v>
      </c>
      <c r="H346" s="11">
        <v>500.0</v>
      </c>
      <c r="I346" s="11">
        <f t="shared" si="22"/>
        <v>2500</v>
      </c>
      <c r="J346" s="11" t="s">
        <v>1477</v>
      </c>
      <c r="K346" s="93"/>
      <c r="L346" s="93"/>
      <c r="M346" s="93" t="s">
        <v>1986</v>
      </c>
      <c r="N346" s="217" t="s">
        <v>1490</v>
      </c>
      <c r="O346" s="11" t="str">
        <f>IMAGE("https://5.imimg.com/data5/AR/LM/NG/SELLER-21409398/lab-uniform-500x500.jpg",1)</f>
        <v/>
      </c>
      <c r="P346" s="78"/>
      <c r="Q346" s="74"/>
      <c r="R346" s="75"/>
      <c r="S346" s="33"/>
      <c r="T346" s="11"/>
      <c r="U346" s="11">
        <v>3.0</v>
      </c>
      <c r="V346" s="221" t="s">
        <v>2145</v>
      </c>
      <c r="W346" s="332">
        <v>1.0</v>
      </c>
      <c r="X346" s="332">
        <f t="shared" si="23"/>
        <v>1</v>
      </c>
      <c r="Y346" s="332" t="str">
        <f t="shared" si="24"/>
        <v>S</v>
      </c>
      <c r="Z346" s="332"/>
    </row>
    <row r="347" ht="76.5" hidden="1" customHeight="1">
      <c r="A347" s="221">
        <v>346.0</v>
      </c>
      <c r="B347" s="11" t="s">
        <v>1472</v>
      </c>
      <c r="C347" s="11" t="s">
        <v>1492</v>
      </c>
      <c r="D347" s="93" t="s">
        <v>1493</v>
      </c>
      <c r="E347" s="215" t="s">
        <v>1476</v>
      </c>
      <c r="F347" s="216">
        <v>2.0</v>
      </c>
      <c r="G347" s="216">
        <v>2.0</v>
      </c>
      <c r="H347" s="216">
        <v>100.0</v>
      </c>
      <c r="I347" s="11">
        <f t="shared" si="22"/>
        <v>200</v>
      </c>
      <c r="J347" s="11" t="s">
        <v>1477</v>
      </c>
      <c r="K347" s="93"/>
      <c r="L347" s="93" t="s">
        <v>2052</v>
      </c>
      <c r="M347" s="93" t="s">
        <v>1986</v>
      </c>
      <c r="N347" s="217" t="s">
        <v>1494</v>
      </c>
      <c r="O347" s="11" t="str">
        <f>IMAGE("https://cdn.moglix.com/p/oBWcDtePyNEFP.jpg",1)</f>
        <v/>
      </c>
      <c r="P347" s="78"/>
      <c r="Q347" s="74"/>
      <c r="R347" s="75"/>
      <c r="S347" s="33"/>
      <c r="T347" s="11"/>
      <c r="U347" s="11">
        <v>3.0</v>
      </c>
      <c r="V347" s="221" t="s">
        <v>2145</v>
      </c>
      <c r="W347" s="332">
        <v>1.0</v>
      </c>
      <c r="X347" s="332">
        <f t="shared" si="23"/>
        <v>1</v>
      </c>
      <c r="Y347" s="332" t="str">
        <f t="shared" si="24"/>
        <v>S</v>
      </c>
      <c r="Z347" s="332"/>
    </row>
    <row r="348" ht="76.5" hidden="1" customHeight="1">
      <c r="A348" s="221">
        <v>347.0</v>
      </c>
      <c r="B348" s="222" t="s">
        <v>1472</v>
      </c>
      <c r="C348" s="222" t="s">
        <v>1496</v>
      </c>
      <c r="D348" s="232" t="s">
        <v>1497</v>
      </c>
      <c r="E348" s="233" t="s">
        <v>1476</v>
      </c>
      <c r="F348" s="222">
        <v>5.0</v>
      </c>
      <c r="G348" s="222">
        <v>5.0</v>
      </c>
      <c r="H348" s="222"/>
      <c r="I348" s="222">
        <v>100.0</v>
      </c>
      <c r="J348" s="222" t="s">
        <v>1477</v>
      </c>
      <c r="K348" s="232"/>
      <c r="L348" s="232"/>
      <c r="M348" s="232" t="s">
        <v>1986</v>
      </c>
      <c r="N348" s="235" t="s">
        <v>1498</v>
      </c>
      <c r="O348" s="222" t="str">
        <f>IMAGE("https://5.imimg.com/data5/SELLER/Default/2023/5/311302937/IM/IY/MO/34533827/safety-rubber-apron-1000x1000.jpg", 1)</f>
        <v/>
      </c>
      <c r="P348" s="334"/>
      <c r="Q348" s="335"/>
      <c r="R348" s="336"/>
      <c r="S348" s="361"/>
      <c r="T348" s="222"/>
      <c r="U348" s="222">
        <v>3.0</v>
      </c>
      <c r="V348" s="221" t="s">
        <v>2145</v>
      </c>
      <c r="W348" s="332">
        <v>1.0</v>
      </c>
      <c r="X348" s="332">
        <f t="shared" si="23"/>
        <v>1</v>
      </c>
      <c r="Y348" s="332" t="str">
        <f t="shared" si="24"/>
        <v>S</v>
      </c>
      <c r="Z348" s="332"/>
    </row>
    <row r="349" ht="76.5" hidden="1" customHeight="1">
      <c r="A349" s="221">
        <v>348.0</v>
      </c>
      <c r="B349" s="254" t="s">
        <v>1472</v>
      </c>
      <c r="C349" s="254" t="s">
        <v>1500</v>
      </c>
      <c r="D349" s="362" t="s">
        <v>1501</v>
      </c>
      <c r="E349" s="363" t="s">
        <v>1476</v>
      </c>
      <c r="F349" s="364">
        <v>15.0</v>
      </c>
      <c r="G349" s="364">
        <v>15.0</v>
      </c>
      <c r="H349" s="364">
        <v>70.0</v>
      </c>
      <c r="I349" s="254">
        <f t="shared" ref="I349:I351" si="25">H349*G349</f>
        <v>1050</v>
      </c>
      <c r="J349" s="254" t="s">
        <v>1477</v>
      </c>
      <c r="K349" s="362"/>
      <c r="L349" s="362" t="s">
        <v>1594</v>
      </c>
      <c r="M349" s="362" t="s">
        <v>1986</v>
      </c>
      <c r="N349" s="365" t="s">
        <v>1502</v>
      </c>
      <c r="O349" s="254" t="str">
        <f>IMAGE("https://5.imimg.com/data5/DM/UP/MY-3422722/latex-coated-gloves-500x500.jpg",1)</f>
        <v/>
      </c>
      <c r="P349" s="366"/>
      <c r="Q349" s="367"/>
      <c r="R349" s="368"/>
      <c r="S349" s="369"/>
      <c r="T349" s="254"/>
      <c r="U349" s="254">
        <v>1.0</v>
      </c>
      <c r="V349" s="370" t="s">
        <v>2206</v>
      </c>
      <c r="W349" s="332">
        <v>1.0</v>
      </c>
      <c r="X349" s="332">
        <f t="shared" si="23"/>
        <v>1</v>
      </c>
      <c r="Y349" s="332" t="str">
        <f t="shared" si="24"/>
        <v>S</v>
      </c>
      <c r="Z349" s="332"/>
    </row>
    <row r="350" ht="76.5" hidden="1" customHeight="1">
      <c r="A350" s="221">
        <v>349.0</v>
      </c>
      <c r="B350" s="222" t="s">
        <v>1472</v>
      </c>
      <c r="C350" s="222" t="s">
        <v>1504</v>
      </c>
      <c r="D350" s="232" t="s">
        <v>1505</v>
      </c>
      <c r="E350" s="233" t="s">
        <v>1476</v>
      </c>
      <c r="F350" s="234">
        <v>30.0</v>
      </c>
      <c r="G350" s="234">
        <v>30.0</v>
      </c>
      <c r="H350" s="234">
        <v>20.0</v>
      </c>
      <c r="I350" s="222">
        <f t="shared" si="25"/>
        <v>600</v>
      </c>
      <c r="J350" s="222" t="s">
        <v>1477</v>
      </c>
      <c r="K350" s="232"/>
      <c r="L350" s="232" t="s">
        <v>2008</v>
      </c>
      <c r="M350" s="232" t="s">
        <v>1986</v>
      </c>
      <c r="N350" s="235" t="s">
        <v>1506</v>
      </c>
      <c r="O350" s="222" t="str">
        <f>IMAGE("https://5.imimg.com/data5/RD/NQ/ZF/SELLER-67911650/safety-goggles.jpg")</f>
        <v/>
      </c>
      <c r="P350" s="345"/>
      <c r="Q350" s="335"/>
      <c r="R350" s="336"/>
      <c r="S350" s="361"/>
      <c r="T350" s="222"/>
      <c r="U350" s="222">
        <v>1.0</v>
      </c>
      <c r="V350" s="370" t="s">
        <v>2207</v>
      </c>
      <c r="W350" s="332">
        <v>1.0</v>
      </c>
      <c r="X350" s="332">
        <f t="shared" si="23"/>
        <v>1</v>
      </c>
      <c r="Y350" s="332" t="str">
        <f t="shared" si="24"/>
        <v>S</v>
      </c>
      <c r="Z350" s="332"/>
    </row>
    <row r="351" ht="76.5" hidden="1" customHeight="1">
      <c r="A351" s="221">
        <v>350.0</v>
      </c>
      <c r="B351" s="222" t="s">
        <v>1472</v>
      </c>
      <c r="C351" s="222" t="s">
        <v>1508</v>
      </c>
      <c r="D351" s="232" t="s">
        <v>1509</v>
      </c>
      <c r="E351" s="233" t="s">
        <v>1476</v>
      </c>
      <c r="F351" s="234">
        <v>60.0</v>
      </c>
      <c r="G351" s="234">
        <v>60.0</v>
      </c>
      <c r="H351" s="234">
        <v>150.0</v>
      </c>
      <c r="I351" s="222">
        <f t="shared" si="25"/>
        <v>9000</v>
      </c>
      <c r="J351" s="222" t="s">
        <v>1477</v>
      </c>
      <c r="K351" s="232"/>
      <c r="L351" s="232" t="s">
        <v>1594</v>
      </c>
      <c r="M351" s="232" t="s">
        <v>1986</v>
      </c>
      <c r="N351" s="235" t="s">
        <v>1510</v>
      </c>
      <c r="O351" s="222" t="str">
        <f>IMAGE("https://img2.exportersindia.com/product_images/bc-full/dir_151/4514764/dust-masks-1499837104-3125900.jpg",1)</f>
        <v/>
      </c>
      <c r="P351" s="334"/>
      <c r="Q351" s="335"/>
      <c r="R351" s="336"/>
      <c r="S351" s="361"/>
      <c r="T351" s="222"/>
      <c r="U351" s="222">
        <v>1.0</v>
      </c>
      <c r="V351" s="11" t="s">
        <v>2208</v>
      </c>
      <c r="W351" s="332">
        <v>1.0</v>
      </c>
      <c r="X351" s="332">
        <f t="shared" si="23"/>
        <v>1</v>
      </c>
      <c r="Y351" s="332" t="str">
        <f t="shared" si="24"/>
        <v>S</v>
      </c>
      <c r="Z351" s="332"/>
    </row>
    <row r="352" ht="76.5" hidden="1" customHeight="1">
      <c r="A352" s="221">
        <v>351.0</v>
      </c>
      <c r="B352" s="221" t="s">
        <v>1152</v>
      </c>
      <c r="C352" s="259" t="s">
        <v>1998</v>
      </c>
      <c r="D352" s="260" t="s">
        <v>1999</v>
      </c>
      <c r="E352" s="215" t="s">
        <v>1156</v>
      </c>
      <c r="F352" s="216"/>
      <c r="G352" s="216">
        <v>4.0</v>
      </c>
      <c r="H352" s="216"/>
      <c r="I352" s="11"/>
      <c r="J352" s="11" t="s">
        <v>1157</v>
      </c>
      <c r="K352" s="93"/>
      <c r="L352" s="123" t="s">
        <v>2002</v>
      </c>
      <c r="M352" s="93"/>
      <c r="N352" s="217"/>
      <c r="O352" s="11"/>
      <c r="P352" s="73"/>
      <c r="Q352" s="74"/>
      <c r="R352" s="75"/>
      <c r="S352" s="12"/>
      <c r="T352" s="11"/>
      <c r="U352" s="11">
        <v>3.0</v>
      </c>
      <c r="V352" s="11" t="s">
        <v>2155</v>
      </c>
      <c r="W352" s="332">
        <v>1.0</v>
      </c>
      <c r="X352" s="332">
        <f t="shared" si="23"/>
        <v>1</v>
      </c>
      <c r="Y352" s="332" t="str">
        <f t="shared" si="24"/>
        <v>S</v>
      </c>
      <c r="Z352" s="343">
        <f>SUM(X309:X352)</f>
        <v>36</v>
      </c>
    </row>
    <row r="353" ht="76.5" hidden="1" customHeight="1">
      <c r="A353" s="221">
        <v>352.0</v>
      </c>
      <c r="B353" s="11" t="s">
        <v>342</v>
      </c>
      <c r="C353" s="11" t="s">
        <v>1038</v>
      </c>
      <c r="D353" s="93" t="s">
        <v>1039</v>
      </c>
      <c r="E353" s="215" t="s">
        <v>1032</v>
      </c>
      <c r="F353" s="216">
        <v>1.0</v>
      </c>
      <c r="G353" s="216">
        <v>1.0</v>
      </c>
      <c r="H353" s="216">
        <v>100.0</v>
      </c>
      <c r="I353" s="11">
        <f t="shared" ref="I353:I358" si="26">H353*G353</f>
        <v>100</v>
      </c>
      <c r="J353" s="11" t="s">
        <v>347</v>
      </c>
      <c r="K353" s="93"/>
      <c r="L353" s="93"/>
      <c r="M353" s="215" t="s">
        <v>1032</v>
      </c>
      <c r="N353" s="217" t="s">
        <v>1040</v>
      </c>
      <c r="O353" s="11" t="str">
        <f>IMAGE("https://m.media-amazon.com/images/I/71qyUXJ5i6L._AC_UF1000,1000_QL80_.jpg",1)</f>
        <v/>
      </c>
      <c r="P353" s="330" t="s">
        <v>1689</v>
      </c>
      <c r="Q353" s="331" t="s">
        <v>1703</v>
      </c>
      <c r="R353" s="75"/>
      <c r="S353" s="253"/>
      <c r="T353" s="11"/>
      <c r="U353" s="11">
        <v>3.0</v>
      </c>
      <c r="V353" s="11" t="s">
        <v>2050</v>
      </c>
      <c r="W353" s="332">
        <v>2.0</v>
      </c>
      <c r="X353" s="332">
        <f t="shared" si="23"/>
        <v>0.5</v>
      </c>
      <c r="Y353" s="332" t="str">
        <f t="shared" si="24"/>
        <v>T</v>
      </c>
      <c r="Z353" s="332"/>
    </row>
    <row r="354" ht="76.5" hidden="1" customHeight="1">
      <c r="A354" s="221">
        <v>353.0</v>
      </c>
      <c r="B354" s="11" t="s">
        <v>342</v>
      </c>
      <c r="C354" s="11" t="s">
        <v>1042</v>
      </c>
      <c r="D354" s="93" t="s">
        <v>1043</v>
      </c>
      <c r="E354" s="215" t="s">
        <v>1032</v>
      </c>
      <c r="F354" s="216">
        <v>1.0</v>
      </c>
      <c r="G354" s="216">
        <v>1.0</v>
      </c>
      <c r="H354" s="216">
        <v>200.0</v>
      </c>
      <c r="I354" s="11">
        <f t="shared" si="26"/>
        <v>200</v>
      </c>
      <c r="J354" s="11" t="s">
        <v>347</v>
      </c>
      <c r="K354" s="93"/>
      <c r="L354" s="93"/>
      <c r="M354" s="215" t="s">
        <v>1032</v>
      </c>
      <c r="N354" s="223" t="s">
        <v>1044</v>
      </c>
      <c r="O354" s="11" t="str">
        <f>IMAGE("https://5.imimg.com/data5/TS/AU/MY-11200044/steel-shaft-claw-hammer-500x500.jpg",1)</f>
        <v/>
      </c>
      <c r="P354" s="73" t="s">
        <v>1689</v>
      </c>
      <c r="Q354" s="74" t="s">
        <v>1704</v>
      </c>
      <c r="R354" s="75"/>
      <c r="S354" s="12"/>
      <c r="T354" s="11"/>
      <c r="U354" s="11">
        <v>3.0</v>
      </c>
      <c r="V354" s="11" t="s">
        <v>2050</v>
      </c>
      <c r="W354" s="332">
        <v>2.0</v>
      </c>
      <c r="X354" s="332">
        <f t="shared" si="23"/>
        <v>0.5</v>
      </c>
      <c r="Y354" s="332" t="str">
        <f t="shared" si="24"/>
        <v>T</v>
      </c>
      <c r="Z354" s="332"/>
    </row>
    <row r="355" ht="76.5" hidden="1" customHeight="1">
      <c r="A355" s="221">
        <v>354.0</v>
      </c>
      <c r="B355" s="11" t="s">
        <v>342</v>
      </c>
      <c r="C355" s="11" t="s">
        <v>1050</v>
      </c>
      <c r="D355" s="93" t="s">
        <v>1051</v>
      </c>
      <c r="E355" s="215" t="s">
        <v>1032</v>
      </c>
      <c r="F355" s="216">
        <v>1.0</v>
      </c>
      <c r="G355" s="216">
        <v>1.0</v>
      </c>
      <c r="H355" s="216">
        <v>100.0</v>
      </c>
      <c r="I355" s="11">
        <f t="shared" si="26"/>
        <v>100</v>
      </c>
      <c r="J355" s="11" t="s">
        <v>347</v>
      </c>
      <c r="K355" s="93"/>
      <c r="L355" s="93"/>
      <c r="M355" s="215" t="s">
        <v>1032</v>
      </c>
      <c r="N355" s="217" t="s">
        <v>1052</v>
      </c>
      <c r="O355" s="11" t="str">
        <f>IMAGE("https://images.jdmagicbox.com/quickquotes/images_main/plier-381885296-5n4zf.jpg",1)</f>
        <v/>
      </c>
      <c r="P355" s="353" t="s">
        <v>1689</v>
      </c>
      <c r="Q355" s="331" t="s">
        <v>1705</v>
      </c>
      <c r="R355" s="75"/>
      <c r="S355" s="253"/>
      <c r="T355" s="11"/>
      <c r="U355" s="11">
        <v>3.0</v>
      </c>
      <c r="V355" s="11" t="s">
        <v>2050</v>
      </c>
      <c r="W355" s="332">
        <v>2.0</v>
      </c>
      <c r="X355" s="332">
        <f t="shared" si="23"/>
        <v>0.5</v>
      </c>
      <c r="Y355" s="332" t="str">
        <f t="shared" si="24"/>
        <v>T</v>
      </c>
      <c r="Z355" s="332"/>
    </row>
    <row r="356" ht="76.5" hidden="1" customHeight="1">
      <c r="A356" s="221">
        <v>355.0</v>
      </c>
      <c r="B356" s="11" t="s">
        <v>342</v>
      </c>
      <c r="C356" s="11" t="s">
        <v>1054</v>
      </c>
      <c r="D356" s="93" t="s">
        <v>1055</v>
      </c>
      <c r="E356" s="215" t="s">
        <v>1032</v>
      </c>
      <c r="F356" s="216">
        <v>1.0</v>
      </c>
      <c r="G356" s="216">
        <v>1.0</v>
      </c>
      <c r="H356" s="216">
        <v>150.0</v>
      </c>
      <c r="I356" s="11">
        <f t="shared" si="26"/>
        <v>150</v>
      </c>
      <c r="J356" s="11" t="s">
        <v>347</v>
      </c>
      <c r="K356" s="93"/>
      <c r="L356" s="93"/>
      <c r="M356" s="215" t="s">
        <v>1032</v>
      </c>
      <c r="N356" s="217" t="s">
        <v>1056</v>
      </c>
      <c r="O356" s="11" t="str">
        <f>IMAGE("https://m.media-amazon.com/images/I/613WSFIoSjL._SL1500_.jpg",1)</f>
        <v/>
      </c>
      <c r="P356" s="73" t="s">
        <v>1689</v>
      </c>
      <c r="Q356" s="74" t="s">
        <v>1706</v>
      </c>
      <c r="R356" s="75"/>
      <c r="S356" s="12"/>
      <c r="T356" s="11"/>
      <c r="U356" s="11">
        <v>3.0</v>
      </c>
      <c r="V356" s="11" t="s">
        <v>2050</v>
      </c>
      <c r="W356" s="332">
        <v>2.0</v>
      </c>
      <c r="X356" s="332">
        <f t="shared" si="23"/>
        <v>0.5</v>
      </c>
      <c r="Y356" s="332" t="str">
        <f t="shared" si="24"/>
        <v>T</v>
      </c>
      <c r="Z356" s="332"/>
    </row>
    <row r="357" ht="76.5" hidden="1" customHeight="1">
      <c r="A357" s="221">
        <v>356.0</v>
      </c>
      <c r="B357" s="11" t="s">
        <v>342</v>
      </c>
      <c r="C357" s="11" t="s">
        <v>1058</v>
      </c>
      <c r="D357" s="93" t="s">
        <v>1059</v>
      </c>
      <c r="E357" s="215" t="s">
        <v>1032</v>
      </c>
      <c r="F357" s="216">
        <v>1.0</v>
      </c>
      <c r="G357" s="216">
        <v>1.0</v>
      </c>
      <c r="H357" s="216">
        <v>100.0</v>
      </c>
      <c r="I357" s="11">
        <f t="shared" si="26"/>
        <v>100</v>
      </c>
      <c r="J357" s="11" t="s">
        <v>347</v>
      </c>
      <c r="K357" s="93"/>
      <c r="L357" s="93"/>
      <c r="M357" s="215" t="s">
        <v>1032</v>
      </c>
      <c r="N357" s="217" t="s">
        <v>1060</v>
      </c>
      <c r="O357" s="11" t="str">
        <f>IMAGE("https://in.misumi-ec.com/linked/material/fs/FUJ1/PHOTO/223000817171_001.jpg?$product_main$",1)</f>
        <v/>
      </c>
      <c r="P357" s="353" t="s">
        <v>1689</v>
      </c>
      <c r="Q357" s="331" t="s">
        <v>1707</v>
      </c>
      <c r="R357" s="75"/>
      <c r="S357" s="371"/>
      <c r="T357" s="14"/>
      <c r="U357" s="11">
        <v>3.0</v>
      </c>
      <c r="V357" s="11" t="s">
        <v>2050</v>
      </c>
      <c r="W357" s="332">
        <v>2.0</v>
      </c>
      <c r="X357" s="332">
        <f t="shared" si="23"/>
        <v>0.5</v>
      </c>
      <c r="Y357" s="332" t="str">
        <f t="shared" si="24"/>
        <v>T</v>
      </c>
      <c r="Z357" s="332"/>
    </row>
    <row r="358" ht="76.5" hidden="1" customHeight="1">
      <c r="A358" s="221">
        <v>357.0</v>
      </c>
      <c r="B358" s="11" t="s">
        <v>342</v>
      </c>
      <c r="C358" s="11" t="s">
        <v>1093</v>
      </c>
      <c r="D358" s="93" t="s">
        <v>1094</v>
      </c>
      <c r="E358" s="215" t="s">
        <v>1032</v>
      </c>
      <c r="F358" s="216" t="s">
        <v>56</v>
      </c>
      <c r="G358" s="216">
        <v>2.0</v>
      </c>
      <c r="H358" s="216">
        <v>350.0</v>
      </c>
      <c r="I358" s="11">
        <f t="shared" si="26"/>
        <v>700</v>
      </c>
      <c r="J358" s="11" t="s">
        <v>347</v>
      </c>
      <c r="K358" s="93"/>
      <c r="L358" s="93"/>
      <c r="M358" s="215" t="s">
        <v>1032</v>
      </c>
      <c r="N358" s="217" t="s">
        <v>1095</v>
      </c>
      <c r="O358" s="11" t="str">
        <f>IMAGE("https://m.media-amazon.com/images/I/41pgJCdOd0L._AC_SX522_.jpg", 1)</f>
        <v/>
      </c>
      <c r="P358" s="73" t="s">
        <v>1689</v>
      </c>
      <c r="Q358" s="74" t="s">
        <v>1712</v>
      </c>
      <c r="R358" s="75"/>
      <c r="S358" s="12"/>
      <c r="T358" s="11"/>
      <c r="U358" s="11">
        <v>3.0</v>
      </c>
      <c r="V358" s="11" t="s">
        <v>2050</v>
      </c>
      <c r="W358" s="332">
        <v>2.0</v>
      </c>
      <c r="X358" s="332">
        <f t="shared" si="23"/>
        <v>0.5</v>
      </c>
      <c r="Y358" s="332" t="str">
        <f t="shared" si="24"/>
        <v>T</v>
      </c>
      <c r="Z358" s="332"/>
    </row>
    <row r="359" ht="76.5" hidden="1" customHeight="1">
      <c r="A359" s="221">
        <v>358.0</v>
      </c>
      <c r="B359" s="11" t="s">
        <v>342</v>
      </c>
      <c r="C359" s="11" t="s">
        <v>1100</v>
      </c>
      <c r="D359" s="93" t="s">
        <v>1101</v>
      </c>
      <c r="E359" s="215" t="s">
        <v>1032</v>
      </c>
      <c r="F359" s="216" t="s">
        <v>56</v>
      </c>
      <c r="G359" s="216" t="s">
        <v>56</v>
      </c>
      <c r="H359" s="216" t="s">
        <v>56</v>
      </c>
      <c r="I359" s="216" t="s">
        <v>56</v>
      </c>
      <c r="J359" s="11" t="s">
        <v>347</v>
      </c>
      <c r="K359" s="93"/>
      <c r="L359" s="93"/>
      <c r="M359" s="215" t="s">
        <v>1032</v>
      </c>
      <c r="N359" s="216" t="s">
        <v>56</v>
      </c>
      <c r="O359" s="218" t="e">
        <v>#VALUE!</v>
      </c>
      <c r="P359" s="73" t="s">
        <v>1689</v>
      </c>
      <c r="Q359" s="74" t="s">
        <v>1713</v>
      </c>
      <c r="R359" s="75"/>
      <c r="S359" s="12"/>
      <c r="T359" s="11"/>
      <c r="U359" s="11">
        <v>3.0</v>
      </c>
      <c r="V359" s="11" t="s">
        <v>2050</v>
      </c>
      <c r="W359" s="332">
        <v>2.0</v>
      </c>
      <c r="X359" s="332">
        <f t="shared" si="23"/>
        <v>0.5</v>
      </c>
      <c r="Y359" s="332" t="str">
        <f t="shared" si="24"/>
        <v>T</v>
      </c>
      <c r="Z359" s="332"/>
    </row>
    <row r="360" ht="76.5" hidden="1" customHeight="1">
      <c r="A360" s="221">
        <v>359.0</v>
      </c>
      <c r="B360" s="11" t="s">
        <v>342</v>
      </c>
      <c r="C360" s="11" t="s">
        <v>1103</v>
      </c>
      <c r="D360" s="37" t="s">
        <v>1104</v>
      </c>
      <c r="E360" s="215" t="s">
        <v>1032</v>
      </c>
      <c r="F360" s="216" t="s">
        <v>56</v>
      </c>
      <c r="G360" s="216" t="s">
        <v>56</v>
      </c>
      <c r="H360" s="216" t="s">
        <v>56</v>
      </c>
      <c r="I360" s="216" t="s">
        <v>56</v>
      </c>
      <c r="J360" s="11" t="s">
        <v>347</v>
      </c>
      <c r="K360" s="93"/>
      <c r="L360" s="93"/>
      <c r="M360" s="215" t="s">
        <v>1032</v>
      </c>
      <c r="N360" s="216" t="s">
        <v>56</v>
      </c>
      <c r="O360" s="218" t="e">
        <v>#VALUE!</v>
      </c>
      <c r="P360" s="73" t="s">
        <v>1689</v>
      </c>
      <c r="Q360" s="74" t="s">
        <v>1714</v>
      </c>
      <c r="R360" s="75"/>
      <c r="S360" s="12"/>
      <c r="T360" s="11"/>
      <c r="U360" s="12">
        <v>3.0</v>
      </c>
      <c r="V360" s="11" t="s">
        <v>2050</v>
      </c>
      <c r="W360" s="332">
        <v>2.0</v>
      </c>
      <c r="X360" s="332">
        <f t="shared" si="23"/>
        <v>0.5</v>
      </c>
      <c r="Y360" s="332" t="str">
        <f t="shared" si="24"/>
        <v>T</v>
      </c>
      <c r="Z360" s="332"/>
    </row>
    <row r="361" ht="76.5" hidden="1" customHeight="1">
      <c r="A361" s="221">
        <v>360.0</v>
      </c>
      <c r="B361" s="11" t="s">
        <v>342</v>
      </c>
      <c r="C361" s="11" t="s">
        <v>1106</v>
      </c>
      <c r="D361" s="107" t="s">
        <v>1107</v>
      </c>
      <c r="E361" s="215" t="s">
        <v>1032</v>
      </c>
      <c r="F361" s="216" t="s">
        <v>56</v>
      </c>
      <c r="G361" s="216" t="s">
        <v>56</v>
      </c>
      <c r="H361" s="216" t="s">
        <v>56</v>
      </c>
      <c r="I361" s="216" t="s">
        <v>56</v>
      </c>
      <c r="J361" s="11" t="s">
        <v>347</v>
      </c>
      <c r="K361" s="93"/>
      <c r="L361" s="93"/>
      <c r="M361" s="215" t="s">
        <v>1032</v>
      </c>
      <c r="N361" s="216" t="s">
        <v>56</v>
      </c>
      <c r="O361" s="218" t="e">
        <v>#VALUE!</v>
      </c>
      <c r="P361" s="73" t="s">
        <v>1689</v>
      </c>
      <c r="Q361" s="74" t="s">
        <v>1715</v>
      </c>
      <c r="R361" s="75"/>
      <c r="S361" s="12"/>
      <c r="T361" s="11"/>
      <c r="U361" s="12">
        <v>3.0</v>
      </c>
      <c r="V361" s="11" t="s">
        <v>2050</v>
      </c>
      <c r="W361" s="332">
        <v>2.0</v>
      </c>
      <c r="X361" s="332">
        <f t="shared" si="23"/>
        <v>0.5</v>
      </c>
      <c r="Y361" s="332" t="str">
        <f t="shared" si="24"/>
        <v>T</v>
      </c>
      <c r="Z361" s="332"/>
    </row>
    <row r="362" ht="76.5" hidden="1" customHeight="1">
      <c r="A362" s="221">
        <v>361.0</v>
      </c>
      <c r="B362" s="11" t="s">
        <v>342</v>
      </c>
      <c r="C362" s="11" t="s">
        <v>1109</v>
      </c>
      <c r="D362" s="107" t="s">
        <v>1110</v>
      </c>
      <c r="E362" s="215" t="s">
        <v>1032</v>
      </c>
      <c r="F362" s="216" t="s">
        <v>56</v>
      </c>
      <c r="G362" s="216" t="s">
        <v>56</v>
      </c>
      <c r="H362" s="216" t="s">
        <v>56</v>
      </c>
      <c r="I362" s="216" t="s">
        <v>56</v>
      </c>
      <c r="J362" s="11" t="s">
        <v>347</v>
      </c>
      <c r="K362" s="93"/>
      <c r="L362" s="93"/>
      <c r="M362" s="215" t="s">
        <v>1032</v>
      </c>
      <c r="N362" s="217" t="s">
        <v>1111</v>
      </c>
      <c r="O362" s="216" t="e">
        <v>#VALUE!</v>
      </c>
      <c r="P362" s="73" t="s">
        <v>1689</v>
      </c>
      <c r="Q362" s="74" t="s">
        <v>1716</v>
      </c>
      <c r="R362" s="75"/>
      <c r="S362" s="12"/>
      <c r="T362" s="11"/>
      <c r="U362" s="12">
        <v>3.0</v>
      </c>
      <c r="V362" s="11" t="s">
        <v>2050</v>
      </c>
      <c r="W362" s="332">
        <v>2.0</v>
      </c>
      <c r="X362" s="332">
        <f t="shared" si="23"/>
        <v>0.5</v>
      </c>
      <c r="Y362" s="332" t="str">
        <f t="shared" si="24"/>
        <v>T</v>
      </c>
      <c r="Z362" s="332"/>
    </row>
    <row r="363" ht="76.5" hidden="1" customHeight="1">
      <c r="A363" s="221">
        <v>362.0</v>
      </c>
      <c r="B363" s="11" t="s">
        <v>342</v>
      </c>
      <c r="C363" s="11" t="s">
        <v>1113</v>
      </c>
      <c r="D363" s="93" t="s">
        <v>1114</v>
      </c>
      <c r="E363" s="215" t="s">
        <v>1032</v>
      </c>
      <c r="F363" s="216" t="s">
        <v>56</v>
      </c>
      <c r="G363" s="216" t="s">
        <v>56</v>
      </c>
      <c r="H363" s="216" t="s">
        <v>56</v>
      </c>
      <c r="I363" s="216" t="s">
        <v>56</v>
      </c>
      <c r="J363" s="11" t="s">
        <v>347</v>
      </c>
      <c r="K363" s="93"/>
      <c r="L363" s="93"/>
      <c r="M363" s="215" t="s">
        <v>1032</v>
      </c>
      <c r="N363" s="216" t="s">
        <v>56</v>
      </c>
      <c r="O363" s="216" t="e">
        <v>#VALUE!</v>
      </c>
      <c r="P363" s="73" t="s">
        <v>1689</v>
      </c>
      <c r="Q363" s="74">
        <v>60449.0</v>
      </c>
      <c r="R363" s="75"/>
      <c r="S363" s="12"/>
      <c r="T363" s="11"/>
      <c r="U363" s="12">
        <v>3.0</v>
      </c>
      <c r="V363" s="11" t="s">
        <v>2050</v>
      </c>
      <c r="W363" s="332">
        <v>2.0</v>
      </c>
      <c r="X363" s="332">
        <f t="shared" si="23"/>
        <v>0.5</v>
      </c>
      <c r="Y363" s="332" t="str">
        <f t="shared" si="24"/>
        <v>T</v>
      </c>
      <c r="Z363" s="332"/>
    </row>
    <row r="364" ht="76.5" hidden="1" customHeight="1">
      <c r="A364" s="221">
        <v>363.0</v>
      </c>
      <c r="B364" s="11" t="s">
        <v>342</v>
      </c>
      <c r="C364" s="11" t="s">
        <v>1116</v>
      </c>
      <c r="D364" s="93" t="s">
        <v>1117</v>
      </c>
      <c r="E364" s="215" t="s">
        <v>1032</v>
      </c>
      <c r="F364" s="216" t="s">
        <v>56</v>
      </c>
      <c r="G364" s="216" t="s">
        <v>56</v>
      </c>
      <c r="H364" s="216" t="s">
        <v>56</v>
      </c>
      <c r="I364" s="216" t="s">
        <v>56</v>
      </c>
      <c r="J364" s="11" t="s">
        <v>347</v>
      </c>
      <c r="K364" s="93"/>
      <c r="L364" s="93"/>
      <c r="M364" s="215" t="s">
        <v>1032</v>
      </c>
      <c r="N364" s="217" t="s">
        <v>1118</v>
      </c>
      <c r="O364" s="216" t="e">
        <v>#VALUE!</v>
      </c>
      <c r="P364" s="73" t="s">
        <v>1689</v>
      </c>
      <c r="Q364" s="74" t="s">
        <v>1717</v>
      </c>
      <c r="R364" s="75"/>
      <c r="S364" s="12"/>
      <c r="T364" s="11"/>
      <c r="U364" s="12">
        <v>3.0</v>
      </c>
      <c r="V364" s="11" t="s">
        <v>2050</v>
      </c>
      <c r="W364" s="332">
        <v>2.0</v>
      </c>
      <c r="X364" s="332">
        <f t="shared" si="23"/>
        <v>0.5</v>
      </c>
      <c r="Y364" s="332" t="str">
        <f t="shared" si="24"/>
        <v>T</v>
      </c>
      <c r="Z364" s="332"/>
    </row>
    <row r="365" ht="76.5" hidden="1" customHeight="1">
      <c r="A365" s="221">
        <v>364.0</v>
      </c>
      <c r="B365" s="11" t="s">
        <v>342</v>
      </c>
      <c r="C365" s="11" t="s">
        <v>1120</v>
      </c>
      <c r="D365" s="93" t="s">
        <v>1121</v>
      </c>
      <c r="E365" s="215" t="s">
        <v>1032</v>
      </c>
      <c r="F365" s="216">
        <v>1.0</v>
      </c>
      <c r="G365" s="216">
        <v>1.0</v>
      </c>
      <c r="H365" s="216">
        <v>300.0</v>
      </c>
      <c r="I365" s="11">
        <f t="shared" ref="I365:I384" si="27">H365*G365</f>
        <v>300</v>
      </c>
      <c r="J365" s="11" t="s">
        <v>347</v>
      </c>
      <c r="K365" s="93"/>
      <c r="L365" s="93"/>
      <c r="M365" s="215" t="s">
        <v>1032</v>
      </c>
      <c r="N365" s="217" t="s">
        <v>1122</v>
      </c>
      <c r="O365" s="11" t="str">
        <f>IMAGE("https://5.imimg.com/data5/DH/NE/PV/SELLER-4135781/6-pc-precision-screwdriver-set-500x500.jpg",1)</f>
        <v/>
      </c>
      <c r="P365" s="353" t="s">
        <v>1689</v>
      </c>
      <c r="Q365" s="331" t="s">
        <v>1718</v>
      </c>
      <c r="R365" s="75"/>
      <c r="S365" s="253"/>
      <c r="T365" s="11"/>
      <c r="U365" s="12">
        <v>3.0</v>
      </c>
      <c r="V365" s="11" t="s">
        <v>2050</v>
      </c>
      <c r="W365" s="332">
        <v>2.0</v>
      </c>
      <c r="X365" s="332">
        <f t="shared" si="23"/>
        <v>0.5</v>
      </c>
      <c r="Y365" s="332" t="str">
        <f t="shared" si="24"/>
        <v>T</v>
      </c>
      <c r="Z365" s="332"/>
    </row>
    <row r="366" ht="76.5" hidden="1" customHeight="1">
      <c r="A366" s="221">
        <v>365.0</v>
      </c>
      <c r="B366" s="254" t="s">
        <v>342</v>
      </c>
      <c r="C366" s="254" t="s">
        <v>1143</v>
      </c>
      <c r="D366" s="362" t="s">
        <v>1144</v>
      </c>
      <c r="E366" s="363" t="s">
        <v>1032</v>
      </c>
      <c r="F366" s="364">
        <v>1.0</v>
      </c>
      <c r="G366" s="364">
        <v>1.0</v>
      </c>
      <c r="H366" s="364">
        <v>1500.0</v>
      </c>
      <c r="I366" s="254">
        <f t="shared" si="27"/>
        <v>1500</v>
      </c>
      <c r="J366" s="254" t="s">
        <v>347</v>
      </c>
      <c r="K366" s="362"/>
      <c r="L366" s="362"/>
      <c r="M366" s="363" t="s">
        <v>1032</v>
      </c>
      <c r="N366" s="365" t="s">
        <v>1145</v>
      </c>
      <c r="O366" s="254" t="str">
        <f>IMAGE("https://5.imimg.com/data5/SELLER/Default/2021/4/UH/ZY/EE/41301440/machine.jpeg",1)</f>
        <v/>
      </c>
      <c r="P366" s="372" t="s">
        <v>1689</v>
      </c>
      <c r="Q366" s="367" t="s">
        <v>1721</v>
      </c>
      <c r="R366" s="368"/>
      <c r="S366" s="373"/>
      <c r="T366" s="254"/>
      <c r="U366" s="373">
        <v>3.0</v>
      </c>
      <c r="V366" s="11" t="s">
        <v>2050</v>
      </c>
      <c r="W366" s="332">
        <v>2.0</v>
      </c>
      <c r="X366" s="332">
        <f t="shared" si="23"/>
        <v>0.5</v>
      </c>
      <c r="Y366" s="332" t="str">
        <f t="shared" si="24"/>
        <v>T</v>
      </c>
      <c r="Z366" s="332"/>
    </row>
    <row r="367" ht="76.5" hidden="1" customHeight="1">
      <c r="A367" s="221">
        <v>366.0</v>
      </c>
      <c r="B367" s="11" t="s">
        <v>342</v>
      </c>
      <c r="C367" s="11" t="s">
        <v>359</v>
      </c>
      <c r="D367" s="93" t="s">
        <v>360</v>
      </c>
      <c r="E367" s="215" t="s">
        <v>346</v>
      </c>
      <c r="F367" s="216">
        <v>1.0</v>
      </c>
      <c r="G367" s="216">
        <v>1.0</v>
      </c>
      <c r="H367" s="216">
        <v>2500.0</v>
      </c>
      <c r="I367" s="11">
        <f t="shared" si="27"/>
        <v>2500</v>
      </c>
      <c r="J367" s="11" t="s">
        <v>347</v>
      </c>
      <c r="K367" s="93" t="s">
        <v>21</v>
      </c>
      <c r="L367" s="93"/>
      <c r="M367" s="215" t="s">
        <v>346</v>
      </c>
      <c r="N367" s="217" t="s">
        <v>361</v>
      </c>
      <c r="O367" s="11" t="str">
        <f>IMAGE("https://cdn.moglix.com/p/Rn8lZopeAizs5-xxlarge.jpg",1)</f>
        <v/>
      </c>
      <c r="P367" s="353" t="s">
        <v>1689</v>
      </c>
      <c r="Q367" s="331" t="s">
        <v>1693</v>
      </c>
      <c r="R367" s="75"/>
      <c r="S367" s="253"/>
      <c r="T367" s="11"/>
      <c r="U367" s="12">
        <v>3.0</v>
      </c>
      <c r="V367" s="11" t="s">
        <v>2050</v>
      </c>
      <c r="W367" s="332">
        <v>2.0</v>
      </c>
      <c r="X367" s="332">
        <f t="shared" si="23"/>
        <v>0.5</v>
      </c>
      <c r="Y367" s="332" t="str">
        <f t="shared" si="24"/>
        <v>T</v>
      </c>
      <c r="Z367" s="332"/>
    </row>
    <row r="368" ht="76.5" hidden="1" customHeight="1">
      <c r="A368" s="221">
        <v>367.0</v>
      </c>
      <c r="B368" s="11" t="s">
        <v>342</v>
      </c>
      <c r="C368" s="11" t="s">
        <v>363</v>
      </c>
      <c r="D368" s="93" t="s">
        <v>364</v>
      </c>
      <c r="E368" s="215" t="s">
        <v>346</v>
      </c>
      <c r="F368" s="216">
        <v>1.0</v>
      </c>
      <c r="G368" s="216">
        <v>1.0</v>
      </c>
      <c r="H368" s="216">
        <v>500.0</v>
      </c>
      <c r="I368" s="11">
        <f t="shared" si="27"/>
        <v>500</v>
      </c>
      <c r="J368" s="11" t="s">
        <v>347</v>
      </c>
      <c r="K368" s="93"/>
      <c r="L368" s="93"/>
      <c r="M368" s="215" t="s">
        <v>346</v>
      </c>
      <c r="N368" s="217" t="s">
        <v>365</v>
      </c>
      <c r="O368" s="11" t="str">
        <f>IMAGE("https://m.media-amazon.com/images/I/51wli9aWH9S._SL1000_.jpg",1)</f>
        <v/>
      </c>
      <c r="P368" s="73" t="s">
        <v>1684</v>
      </c>
      <c r="Q368" s="74">
        <v>60.0</v>
      </c>
      <c r="R368" s="75"/>
      <c r="S368" s="12"/>
      <c r="T368" s="11"/>
      <c r="U368" s="12">
        <v>3.0</v>
      </c>
      <c r="V368" s="11" t="s">
        <v>2050</v>
      </c>
      <c r="W368" s="332">
        <v>2.0</v>
      </c>
      <c r="X368" s="332">
        <f t="shared" si="23"/>
        <v>0.5</v>
      </c>
      <c r="Y368" s="332" t="str">
        <f t="shared" si="24"/>
        <v>T</v>
      </c>
      <c r="Z368" s="332"/>
    </row>
    <row r="369" ht="76.5" hidden="1" customHeight="1">
      <c r="A369" s="221">
        <v>368.0</v>
      </c>
      <c r="B369" s="11" t="s">
        <v>342</v>
      </c>
      <c r="C369" s="11" t="s">
        <v>1046</v>
      </c>
      <c r="D369" s="93" t="s">
        <v>1047</v>
      </c>
      <c r="E369" s="215" t="s">
        <v>1032</v>
      </c>
      <c r="F369" s="216">
        <v>1.0</v>
      </c>
      <c r="G369" s="216">
        <v>1.0</v>
      </c>
      <c r="H369" s="216">
        <v>500.0</v>
      </c>
      <c r="I369" s="11">
        <f t="shared" si="27"/>
        <v>500</v>
      </c>
      <c r="J369" s="11" t="s">
        <v>347</v>
      </c>
      <c r="K369" s="93"/>
      <c r="L369" s="93"/>
      <c r="M369" s="215" t="s">
        <v>1032</v>
      </c>
      <c r="N369" s="217" t="s">
        <v>1048</v>
      </c>
      <c r="O369" s="11" t="str">
        <f>IMAGE("https://5.imimg.com/data5/GU/RT/MY-2970994/bench-clamp.jpg",1)</f>
        <v/>
      </c>
      <c r="P369" s="73" t="s">
        <v>1689</v>
      </c>
      <c r="Q369" s="74"/>
      <c r="R369" s="75"/>
      <c r="S369" s="12"/>
      <c r="T369" s="11"/>
      <c r="U369" s="12">
        <v>3.0</v>
      </c>
      <c r="V369" s="11" t="s">
        <v>2050</v>
      </c>
      <c r="W369" s="332">
        <v>2.0</v>
      </c>
      <c r="X369" s="332">
        <f t="shared" si="23"/>
        <v>0.5</v>
      </c>
      <c r="Y369" s="332" t="str">
        <f t="shared" si="24"/>
        <v>T</v>
      </c>
      <c r="Z369" s="332"/>
    </row>
    <row r="370" ht="76.5" hidden="1" customHeight="1">
      <c r="A370" s="221">
        <v>369.0</v>
      </c>
      <c r="B370" s="231" t="s">
        <v>342</v>
      </c>
      <c r="C370" s="222" t="s">
        <v>1277</v>
      </c>
      <c r="D370" s="232" t="s">
        <v>1278</v>
      </c>
      <c r="E370" s="233" t="s">
        <v>1032</v>
      </c>
      <c r="F370" s="222">
        <v>1.0</v>
      </c>
      <c r="G370" s="222">
        <v>1.0</v>
      </c>
      <c r="H370" s="222">
        <v>3000.0</v>
      </c>
      <c r="I370" s="222">
        <f t="shared" si="27"/>
        <v>3000</v>
      </c>
      <c r="J370" s="222" t="s">
        <v>347</v>
      </c>
      <c r="K370" s="232"/>
      <c r="L370" s="232"/>
      <c r="M370" s="232" t="s">
        <v>1964</v>
      </c>
      <c r="N370" s="235"/>
      <c r="O370" s="222" t="str">
        <f>IMAGE("https://www.toolworld.in/storage/media/product/1696831532.jpg",1)</f>
        <v/>
      </c>
      <c r="P370" s="334" t="s">
        <v>1724</v>
      </c>
      <c r="Q370" s="335"/>
      <c r="R370" s="336"/>
      <c r="S370" s="299"/>
      <c r="T370" s="222"/>
      <c r="U370" s="299">
        <v>3.0</v>
      </c>
      <c r="V370" s="222" t="s">
        <v>2050</v>
      </c>
      <c r="W370" s="332">
        <v>2.0</v>
      </c>
      <c r="X370" s="332">
        <f t="shared" si="23"/>
        <v>0.5</v>
      </c>
      <c r="Y370" s="332" t="str">
        <f t="shared" si="24"/>
        <v>T</v>
      </c>
      <c r="Z370" s="332"/>
    </row>
    <row r="371" ht="76.5" hidden="1" customHeight="1">
      <c r="A371" s="221">
        <v>370.0</v>
      </c>
      <c r="B371" s="231" t="s">
        <v>342</v>
      </c>
      <c r="C371" s="222" t="s">
        <v>1317</v>
      </c>
      <c r="D371" s="232" t="s">
        <v>1318</v>
      </c>
      <c r="E371" s="233" t="s">
        <v>1250</v>
      </c>
      <c r="F371" s="234">
        <v>2.0</v>
      </c>
      <c r="G371" s="234">
        <v>2.0</v>
      </c>
      <c r="H371" s="234">
        <v>160.0</v>
      </c>
      <c r="I371" s="222">
        <f t="shared" si="27"/>
        <v>320</v>
      </c>
      <c r="J371" s="222" t="s">
        <v>347</v>
      </c>
      <c r="K371" s="232"/>
      <c r="L371" s="232" t="s">
        <v>2052</v>
      </c>
      <c r="M371" s="232" t="s">
        <v>1964</v>
      </c>
      <c r="N371" s="235" t="s">
        <v>1319</v>
      </c>
      <c r="O371" s="222" t="str">
        <f>IMAGE("https://5.imimg.com/data5/UM/JA/MY-39609002/screw-gauge-500x500.jpg",1)</f>
        <v/>
      </c>
      <c r="P371" s="334"/>
      <c r="Q371" s="335"/>
      <c r="R371" s="336"/>
      <c r="S371" s="299"/>
      <c r="T371" s="222"/>
      <c r="U371" s="299">
        <v>3.0</v>
      </c>
      <c r="V371" s="222" t="s">
        <v>2050</v>
      </c>
      <c r="W371" s="332">
        <v>2.0</v>
      </c>
      <c r="X371" s="332">
        <f t="shared" si="23"/>
        <v>0.5</v>
      </c>
      <c r="Y371" s="332" t="str">
        <f t="shared" si="24"/>
        <v>T</v>
      </c>
      <c r="Z371" s="332"/>
    </row>
    <row r="372" ht="76.5" hidden="1" customHeight="1">
      <c r="A372" s="221">
        <v>371.0</v>
      </c>
      <c r="B372" s="11" t="s">
        <v>342</v>
      </c>
      <c r="C372" s="11" t="s">
        <v>1324</v>
      </c>
      <c r="D372" s="93" t="s">
        <v>1325</v>
      </c>
      <c r="E372" s="215" t="s">
        <v>1250</v>
      </c>
      <c r="F372" s="216">
        <v>1.0</v>
      </c>
      <c r="G372" s="216">
        <v>1.0</v>
      </c>
      <c r="H372" s="216">
        <v>2000.0</v>
      </c>
      <c r="I372" s="11">
        <f t="shared" si="27"/>
        <v>2000</v>
      </c>
      <c r="J372" s="11" t="s">
        <v>347</v>
      </c>
      <c r="K372" s="93"/>
      <c r="L372" s="93"/>
      <c r="M372" s="93" t="s">
        <v>1964</v>
      </c>
      <c r="N372" s="217" t="s">
        <v>1326</v>
      </c>
      <c r="O372" s="11" t="e">
        <v>#VALUE!</v>
      </c>
      <c r="P372" s="353" t="s">
        <v>1684</v>
      </c>
      <c r="Q372" s="331">
        <v>60.0</v>
      </c>
      <c r="R372" s="75"/>
      <c r="S372" s="253"/>
      <c r="T372" s="11"/>
      <c r="U372" s="12">
        <v>3.0</v>
      </c>
      <c r="V372" s="11" t="s">
        <v>2050</v>
      </c>
      <c r="W372" s="332">
        <v>2.0</v>
      </c>
      <c r="X372" s="332">
        <f t="shared" si="23"/>
        <v>0.5</v>
      </c>
      <c r="Y372" s="332" t="str">
        <f t="shared" si="24"/>
        <v>T</v>
      </c>
      <c r="Z372" s="332"/>
    </row>
    <row r="373" ht="76.5" hidden="1" customHeight="1">
      <c r="A373" s="221">
        <v>372.0</v>
      </c>
      <c r="B373" s="222" t="s">
        <v>342</v>
      </c>
      <c r="C373" s="222" t="s">
        <v>1398</v>
      </c>
      <c r="D373" s="232" t="s">
        <v>1399</v>
      </c>
      <c r="E373" s="233" t="s">
        <v>1400</v>
      </c>
      <c r="F373" s="222">
        <v>1.0</v>
      </c>
      <c r="G373" s="222">
        <v>1.0</v>
      </c>
      <c r="H373" s="222"/>
      <c r="I373" s="222">
        <f t="shared" si="27"/>
        <v>0</v>
      </c>
      <c r="J373" s="222" t="s">
        <v>347</v>
      </c>
      <c r="K373" s="232"/>
      <c r="L373" s="232" t="s">
        <v>2105</v>
      </c>
      <c r="M373" s="232" t="s">
        <v>1980</v>
      </c>
      <c r="N373" s="235" t="s">
        <v>1401</v>
      </c>
      <c r="O373" s="222" t="str">
        <f>IMAGE("https://m.media-amazon.com/images/I/41giw5t2ycL.jpg",1)</f>
        <v/>
      </c>
      <c r="P373" s="340" t="s">
        <v>1689</v>
      </c>
      <c r="Q373" s="335"/>
      <c r="R373" s="336"/>
      <c r="S373" s="299"/>
      <c r="T373" s="222"/>
      <c r="U373" s="299">
        <v>4.0</v>
      </c>
      <c r="V373" s="222" t="s">
        <v>2136</v>
      </c>
      <c r="W373" s="332">
        <v>2.0</v>
      </c>
      <c r="X373" s="332">
        <f t="shared" si="23"/>
        <v>0.5</v>
      </c>
      <c r="Y373" s="332" t="str">
        <f t="shared" si="24"/>
        <v>T</v>
      </c>
      <c r="Z373" s="332"/>
    </row>
    <row r="374" ht="76.5" hidden="1" customHeight="1">
      <c r="A374" s="221">
        <v>373.0</v>
      </c>
      <c r="B374" s="11" t="s">
        <v>342</v>
      </c>
      <c r="C374" s="11" t="s">
        <v>1403</v>
      </c>
      <c r="D374" s="93" t="s">
        <v>1404</v>
      </c>
      <c r="E374" s="215" t="s">
        <v>1400</v>
      </c>
      <c r="F374" s="11">
        <v>1.0</v>
      </c>
      <c r="G374" s="11">
        <v>1.0</v>
      </c>
      <c r="H374" s="11">
        <v>700.0</v>
      </c>
      <c r="I374" s="11">
        <f t="shared" si="27"/>
        <v>700</v>
      </c>
      <c r="J374" s="11" t="s">
        <v>347</v>
      </c>
      <c r="K374" s="93"/>
      <c r="L374" s="93"/>
      <c r="M374" s="93" t="s">
        <v>1980</v>
      </c>
      <c r="N374" s="217"/>
      <c r="O374" s="11" t="str">
        <f>IMAGE("https://m.media-amazon.com/images/I/71vAZkeQh9L._SL1500_.jpg",1)</f>
        <v/>
      </c>
      <c r="P374" s="73" t="s">
        <v>1689</v>
      </c>
      <c r="Q374" s="74"/>
      <c r="R374" s="75"/>
      <c r="S374" s="12"/>
      <c r="T374" s="11"/>
      <c r="U374" s="12">
        <v>3.0</v>
      </c>
      <c r="V374" s="222" t="s">
        <v>2136</v>
      </c>
      <c r="W374" s="332">
        <v>2.0</v>
      </c>
      <c r="X374" s="332">
        <f t="shared" si="23"/>
        <v>0.5</v>
      </c>
      <c r="Y374" s="332" t="str">
        <f t="shared" si="24"/>
        <v>T</v>
      </c>
      <c r="Z374" s="332"/>
    </row>
    <row r="375" ht="76.5" hidden="1" customHeight="1">
      <c r="A375" s="221">
        <v>374.0</v>
      </c>
      <c r="B375" s="11" t="s">
        <v>342</v>
      </c>
      <c r="C375" s="11" t="s">
        <v>1415</v>
      </c>
      <c r="D375" s="93" t="s">
        <v>1416</v>
      </c>
      <c r="E375" s="215" t="s">
        <v>1400</v>
      </c>
      <c r="F375" s="11">
        <v>1.0</v>
      </c>
      <c r="G375" s="11">
        <v>1.0</v>
      </c>
      <c r="H375" s="11"/>
      <c r="I375" s="11">
        <f t="shared" si="27"/>
        <v>0</v>
      </c>
      <c r="J375" s="11" t="s">
        <v>347</v>
      </c>
      <c r="K375" s="93"/>
      <c r="L375" s="93"/>
      <c r="M375" s="93" t="s">
        <v>1980</v>
      </c>
      <c r="N375" s="217" t="s">
        <v>1417</v>
      </c>
      <c r="O375" s="11" t="str">
        <f>IMAGE("https://m.media-amazon.com/images/I/61zRix8Lt0L._SL1500_.jpg",1)</f>
        <v/>
      </c>
      <c r="P375" s="353" t="s">
        <v>1689</v>
      </c>
      <c r="Q375" s="331"/>
      <c r="R375" s="75" t="s">
        <v>1729</v>
      </c>
      <c r="S375" s="253"/>
      <c r="T375" s="11"/>
      <c r="U375" s="12">
        <v>3.0</v>
      </c>
      <c r="V375" s="222" t="s">
        <v>2136</v>
      </c>
      <c r="W375" s="332">
        <v>2.0</v>
      </c>
      <c r="X375" s="332">
        <f t="shared" si="23"/>
        <v>0.5</v>
      </c>
      <c r="Y375" s="332" t="str">
        <f t="shared" si="24"/>
        <v>T</v>
      </c>
      <c r="Z375" s="332"/>
    </row>
    <row r="376" ht="76.5" hidden="1" customHeight="1">
      <c r="A376" s="221">
        <v>375.0</v>
      </c>
      <c r="B376" s="11" t="s">
        <v>15</v>
      </c>
      <c r="C376" s="11" t="s">
        <v>41</v>
      </c>
      <c r="D376" s="93" t="s">
        <v>42</v>
      </c>
      <c r="E376" s="215" t="s">
        <v>19</v>
      </c>
      <c r="F376" s="216">
        <v>5.0</v>
      </c>
      <c r="G376" s="216">
        <v>6.0</v>
      </c>
      <c r="H376" s="216">
        <v>80.0</v>
      </c>
      <c r="I376" s="11">
        <f t="shared" si="27"/>
        <v>480</v>
      </c>
      <c r="J376" s="11" t="s">
        <v>20</v>
      </c>
      <c r="K376" s="93" t="s">
        <v>21</v>
      </c>
      <c r="L376" s="93" t="s">
        <v>2002</v>
      </c>
      <c r="M376" s="93" t="s">
        <v>23</v>
      </c>
      <c r="N376" s="217" t="s">
        <v>43</v>
      </c>
      <c r="O376" s="11" t="str">
        <f>IMAGE("https://m.media-amazon.com/images/I/51JAsOuirxL._SL1000_.jpg",1)</f>
        <v/>
      </c>
      <c r="P376" s="330" t="s">
        <v>56</v>
      </c>
      <c r="Q376" s="348"/>
      <c r="R376" s="80"/>
      <c r="S376" s="253"/>
      <c r="T376" s="11"/>
      <c r="U376" s="12">
        <v>1.0</v>
      </c>
      <c r="V376" s="11" t="s">
        <v>2010</v>
      </c>
      <c r="W376" s="332">
        <v>1.0</v>
      </c>
      <c r="X376" s="332">
        <f t="shared" si="23"/>
        <v>1</v>
      </c>
      <c r="Y376" s="332" t="str">
        <f t="shared" si="24"/>
        <v>T</v>
      </c>
      <c r="Z376" s="332"/>
    </row>
    <row r="377" ht="76.5" hidden="1" customHeight="1">
      <c r="A377" s="221">
        <v>376.0</v>
      </c>
      <c r="B377" s="11" t="s">
        <v>342</v>
      </c>
      <c r="C377" s="11" t="s">
        <v>344</v>
      </c>
      <c r="D377" s="93" t="s">
        <v>345</v>
      </c>
      <c r="E377" s="215" t="s">
        <v>346</v>
      </c>
      <c r="F377" s="216">
        <v>1.0</v>
      </c>
      <c r="G377" s="216">
        <v>2.0</v>
      </c>
      <c r="H377" s="216">
        <v>200.0</v>
      </c>
      <c r="I377" s="11">
        <f t="shared" si="27"/>
        <v>400</v>
      </c>
      <c r="J377" s="11" t="s">
        <v>347</v>
      </c>
      <c r="K377" s="93" t="s">
        <v>21</v>
      </c>
      <c r="L377" s="11"/>
      <c r="M377" s="215" t="s">
        <v>346</v>
      </c>
      <c r="N377" s="217" t="s">
        <v>348</v>
      </c>
      <c r="O377" s="11" t="str">
        <f>IMAGE("https://m.media-amazon.com/images/I/71NdWJD1LKL._SL1500_.jpg",1)</f>
        <v/>
      </c>
      <c r="P377" s="330" t="s">
        <v>1689</v>
      </c>
      <c r="Q377" s="331" t="s">
        <v>1691</v>
      </c>
      <c r="R377" s="75"/>
      <c r="S377" s="253"/>
      <c r="T377" s="11"/>
      <c r="U377" s="12">
        <v>3.0</v>
      </c>
      <c r="V377" s="11" t="s">
        <v>2050</v>
      </c>
      <c r="W377" s="332">
        <v>1.0</v>
      </c>
      <c r="X377" s="332">
        <f t="shared" si="23"/>
        <v>1</v>
      </c>
      <c r="Y377" s="332" t="str">
        <f t="shared" si="24"/>
        <v>T</v>
      </c>
      <c r="Z377" s="332"/>
    </row>
    <row r="378" ht="76.5" hidden="1" customHeight="1">
      <c r="A378" s="221">
        <v>377.0</v>
      </c>
      <c r="B378" s="11" t="s">
        <v>342</v>
      </c>
      <c r="C378" s="11" t="s">
        <v>350</v>
      </c>
      <c r="D378" s="93" t="s">
        <v>351</v>
      </c>
      <c r="E378" s="215" t="s">
        <v>346</v>
      </c>
      <c r="F378" s="216">
        <v>1.0</v>
      </c>
      <c r="G378" s="216">
        <v>2.0</v>
      </c>
      <c r="H378" s="216">
        <v>180.0</v>
      </c>
      <c r="I378" s="11">
        <f t="shared" si="27"/>
        <v>360</v>
      </c>
      <c r="J378" s="11" t="s">
        <v>347</v>
      </c>
      <c r="K378" s="93"/>
      <c r="L378" s="93"/>
      <c r="M378" s="215" t="s">
        <v>346</v>
      </c>
      <c r="N378" s="217" t="s">
        <v>353</v>
      </c>
      <c r="O378" s="11" t="str">
        <f>IMAGE("https://m.media-amazon.com/images/I/41GBeFsg3kL.jpg",1)</f>
        <v/>
      </c>
      <c r="P378" s="78"/>
      <c r="Q378" s="74"/>
      <c r="R378" s="75"/>
      <c r="S378" s="12"/>
      <c r="T378" s="11"/>
      <c r="U378" s="12">
        <v>3.0</v>
      </c>
      <c r="V378" s="11" t="s">
        <v>2051</v>
      </c>
      <c r="W378" s="332">
        <v>1.0</v>
      </c>
      <c r="X378" s="332">
        <f t="shared" si="23"/>
        <v>1</v>
      </c>
      <c r="Y378" s="332" t="str">
        <f t="shared" si="24"/>
        <v>T</v>
      </c>
      <c r="Z378" s="332"/>
    </row>
    <row r="379" ht="76.5" hidden="1" customHeight="1">
      <c r="A379" s="221">
        <v>378.0</v>
      </c>
      <c r="B379" s="11" t="s">
        <v>342</v>
      </c>
      <c r="C379" s="11" t="s">
        <v>355</v>
      </c>
      <c r="D379" s="93" t="s">
        <v>356</v>
      </c>
      <c r="E379" s="215" t="s">
        <v>346</v>
      </c>
      <c r="F379" s="216">
        <v>1.0</v>
      </c>
      <c r="G379" s="216">
        <v>1.0</v>
      </c>
      <c r="H379" s="216">
        <v>300.0</v>
      </c>
      <c r="I379" s="11">
        <f t="shared" si="27"/>
        <v>300</v>
      </c>
      <c r="J379" s="11" t="s">
        <v>347</v>
      </c>
      <c r="K379" s="93" t="s">
        <v>77</v>
      </c>
      <c r="L379" s="93" t="s">
        <v>2052</v>
      </c>
      <c r="M379" s="215" t="s">
        <v>346</v>
      </c>
      <c r="N379" s="217" t="s">
        <v>357</v>
      </c>
      <c r="O379" s="11" t="str">
        <f>IMAGE("https://services.ibo.com/media/v1/products/images/db78032d-e5ba-4c4c-bc8f-110fa0021b77/stanley-sta7221xjin-16-pc-drilling-and-screwdriving-set-1.jpeg",1)</f>
        <v/>
      </c>
      <c r="P379" s="353" t="s">
        <v>1689</v>
      </c>
      <c r="Q379" s="331" t="s">
        <v>1692</v>
      </c>
      <c r="R379" s="75"/>
      <c r="S379" s="253"/>
      <c r="T379" s="11"/>
      <c r="U379" s="12">
        <v>3.0</v>
      </c>
      <c r="V379" s="11" t="s">
        <v>2050</v>
      </c>
      <c r="W379" s="332">
        <v>1.0</v>
      </c>
      <c r="X379" s="332">
        <f t="shared" si="23"/>
        <v>1</v>
      </c>
      <c r="Y379" s="332" t="str">
        <f t="shared" si="24"/>
        <v>T</v>
      </c>
      <c r="Z379" s="332"/>
    </row>
    <row r="380" ht="76.5" hidden="1" customHeight="1">
      <c r="A380" s="221">
        <v>379.0</v>
      </c>
      <c r="B380" s="11" t="s">
        <v>342</v>
      </c>
      <c r="C380" s="11" t="s">
        <v>367</v>
      </c>
      <c r="D380" s="93" t="s">
        <v>368</v>
      </c>
      <c r="E380" s="215" t="s">
        <v>346</v>
      </c>
      <c r="F380" s="216">
        <v>20.0</v>
      </c>
      <c r="G380" s="216">
        <v>20.0</v>
      </c>
      <c r="H380" s="216">
        <v>5.0</v>
      </c>
      <c r="I380" s="11">
        <f t="shared" si="27"/>
        <v>100</v>
      </c>
      <c r="J380" s="11" t="s">
        <v>347</v>
      </c>
      <c r="K380" s="93"/>
      <c r="L380" s="93"/>
      <c r="M380" s="215" t="s">
        <v>346</v>
      </c>
      <c r="N380" s="217" t="s">
        <v>369</v>
      </c>
      <c r="O380" s="11" t="str">
        <f>IMAGE("https://res.cloudinary.com/rsc/image/upload/b_rgb:FFFFFF,c_pad,dpr_1.0,f_auto,q_auto,w_700/c_pad,w_700/C4847566-05",1)</f>
        <v/>
      </c>
      <c r="P380" s="330"/>
      <c r="Q380" s="331"/>
      <c r="R380" s="75"/>
      <c r="S380" s="371"/>
      <c r="T380" s="14"/>
      <c r="U380" s="12">
        <v>3.0</v>
      </c>
      <c r="V380" s="11" t="s">
        <v>2051</v>
      </c>
      <c r="W380" s="332">
        <v>1.0</v>
      </c>
      <c r="X380" s="332">
        <f t="shared" si="23"/>
        <v>1</v>
      </c>
      <c r="Y380" s="332" t="str">
        <f t="shared" si="24"/>
        <v>T</v>
      </c>
      <c r="Z380" s="332"/>
    </row>
    <row r="381" ht="76.5" hidden="1" customHeight="1">
      <c r="A381" s="221">
        <v>380.0</v>
      </c>
      <c r="B381" s="11" t="s">
        <v>342</v>
      </c>
      <c r="C381" s="11" t="s">
        <v>371</v>
      </c>
      <c r="D381" s="93" t="s">
        <v>372</v>
      </c>
      <c r="E381" s="215" t="s">
        <v>346</v>
      </c>
      <c r="F381" s="216">
        <v>1.0</v>
      </c>
      <c r="G381" s="216">
        <v>2.0</v>
      </c>
      <c r="H381" s="216">
        <v>150.0</v>
      </c>
      <c r="I381" s="11">
        <f t="shared" si="27"/>
        <v>300</v>
      </c>
      <c r="J381" s="11" t="s">
        <v>347</v>
      </c>
      <c r="K381" s="93"/>
      <c r="L381" s="93"/>
      <c r="M381" s="215" t="s">
        <v>346</v>
      </c>
      <c r="N381" s="217"/>
      <c r="O381" s="11" t="str">
        <f>IMAGE("https://5.imimg.com/data5/JR/LF/GK/SELLER-30390418/hacksaw-500x500.png",1)</f>
        <v/>
      </c>
      <c r="P381" s="353" t="s">
        <v>1689</v>
      </c>
      <c r="Q381" s="331"/>
      <c r="R381" s="75"/>
      <c r="S381" s="371"/>
      <c r="T381" s="14"/>
      <c r="U381" s="12">
        <v>3.0</v>
      </c>
      <c r="V381" s="11" t="s">
        <v>2053</v>
      </c>
      <c r="W381" s="332">
        <v>1.0</v>
      </c>
      <c r="X381" s="332">
        <f t="shared" si="23"/>
        <v>1</v>
      </c>
      <c r="Y381" s="332" t="str">
        <f t="shared" si="24"/>
        <v>T</v>
      </c>
      <c r="Z381" s="332"/>
    </row>
    <row r="382" ht="76.5" hidden="1" customHeight="1">
      <c r="A382" s="221">
        <v>381.0</v>
      </c>
      <c r="B382" s="11" t="s">
        <v>342</v>
      </c>
      <c r="C382" s="11" t="s">
        <v>374</v>
      </c>
      <c r="D382" s="93" t="s">
        <v>375</v>
      </c>
      <c r="E382" s="215" t="s">
        <v>346</v>
      </c>
      <c r="F382" s="216">
        <v>5.0</v>
      </c>
      <c r="G382" s="216">
        <v>5.0</v>
      </c>
      <c r="H382" s="216">
        <v>170.0</v>
      </c>
      <c r="I382" s="11">
        <f t="shared" si="27"/>
        <v>850</v>
      </c>
      <c r="J382" s="11" t="s">
        <v>347</v>
      </c>
      <c r="K382" s="93"/>
      <c r="L382" s="93"/>
      <c r="M382" s="215" t="s">
        <v>346</v>
      </c>
      <c r="N382" s="217" t="s">
        <v>376</v>
      </c>
      <c r="O382" s="11" t="str">
        <f>IMAGE("https://encrypted-tbn0.gstatic.com/images?q=tbn:ANd9GcRnlFGDkPLnXJSjTXFe7fzQ2kj51brspxAcjVtkmgU5NgUWN5-EbmbNTptE-Y3t4g8lr84&amp;usqp=CAU",1)</f>
        <v/>
      </c>
      <c r="P382" s="73" t="s">
        <v>1689</v>
      </c>
      <c r="Q382" s="74" t="s">
        <v>1694</v>
      </c>
      <c r="R382" s="75"/>
      <c r="S382" s="5"/>
      <c r="T382" s="14"/>
      <c r="U382" s="12">
        <v>3.0</v>
      </c>
      <c r="V382" s="11" t="s">
        <v>2053</v>
      </c>
      <c r="W382" s="332">
        <v>1.0</v>
      </c>
      <c r="X382" s="332">
        <f t="shared" si="23"/>
        <v>1</v>
      </c>
      <c r="Y382" s="332" t="str">
        <f t="shared" si="24"/>
        <v>T</v>
      </c>
      <c r="Z382" s="332"/>
    </row>
    <row r="383" ht="76.5" hidden="1" customHeight="1">
      <c r="A383" s="221">
        <v>382.0</v>
      </c>
      <c r="B383" s="11" t="s">
        <v>342</v>
      </c>
      <c r="C383" s="11" t="s">
        <v>378</v>
      </c>
      <c r="D383" s="93" t="s">
        <v>379</v>
      </c>
      <c r="E383" s="215" t="s">
        <v>346</v>
      </c>
      <c r="F383" s="216">
        <v>2.0</v>
      </c>
      <c r="G383" s="216">
        <v>2.0</v>
      </c>
      <c r="H383" s="216">
        <v>500.0</v>
      </c>
      <c r="I383" s="11">
        <f t="shared" si="27"/>
        <v>1000</v>
      </c>
      <c r="J383" s="11" t="s">
        <v>347</v>
      </c>
      <c r="K383" s="93"/>
      <c r="L383" s="93"/>
      <c r="M383" s="215" t="s">
        <v>346</v>
      </c>
      <c r="N383" s="217" t="s">
        <v>156</v>
      </c>
      <c r="O383" s="11" t="str">
        <f>IMAGE("https://www.stanleytools.me/EMEA/PRODUCT/IMAGES/HIRES/STHT0-10194/STHT0-10194_1.jpg?resize=530x530",1)</f>
        <v/>
      </c>
      <c r="P383" s="73" t="s">
        <v>1689</v>
      </c>
      <c r="Q383" s="74" t="s">
        <v>1695</v>
      </c>
      <c r="R383" s="75"/>
      <c r="S383" s="5"/>
      <c r="T383" s="14"/>
      <c r="U383" s="12">
        <v>3.0</v>
      </c>
      <c r="V383" s="11" t="s">
        <v>2050</v>
      </c>
      <c r="W383" s="332">
        <v>1.0</v>
      </c>
      <c r="X383" s="332">
        <f t="shared" si="23"/>
        <v>1</v>
      </c>
      <c r="Y383" s="332" t="str">
        <f t="shared" si="24"/>
        <v>T</v>
      </c>
      <c r="Z383" s="344"/>
    </row>
    <row r="384" ht="76.5" hidden="1" customHeight="1">
      <c r="A384" s="221">
        <v>383.0</v>
      </c>
      <c r="B384" s="11" t="s">
        <v>342</v>
      </c>
      <c r="C384" s="11" t="s">
        <v>381</v>
      </c>
      <c r="D384" s="93" t="s">
        <v>382</v>
      </c>
      <c r="E384" s="215" t="s">
        <v>346</v>
      </c>
      <c r="F384" s="216">
        <v>10.0</v>
      </c>
      <c r="G384" s="216">
        <v>10.0</v>
      </c>
      <c r="H384" s="216">
        <v>80.0</v>
      </c>
      <c r="I384" s="11">
        <f t="shared" si="27"/>
        <v>800</v>
      </c>
      <c r="J384" s="11" t="s">
        <v>347</v>
      </c>
      <c r="K384" s="93"/>
      <c r="L384" s="93" t="s">
        <v>2022</v>
      </c>
      <c r="M384" s="215" t="s">
        <v>346</v>
      </c>
      <c r="N384" s="217" t="s">
        <v>383</v>
      </c>
      <c r="O384" s="11" t="str">
        <f>IMAGE("https://sc04.alicdn.com/kf/HTB1fK8lXPvuK1Rjy0Faq6x2aVXa5.jpg",1)</f>
        <v/>
      </c>
      <c r="P384" s="73" t="s">
        <v>1689</v>
      </c>
      <c r="Q384" s="74"/>
      <c r="R384" s="75"/>
      <c r="S384" s="12"/>
      <c r="T384" s="11"/>
      <c r="U384" s="12">
        <v>3.0</v>
      </c>
      <c r="V384" s="11" t="s">
        <v>2054</v>
      </c>
      <c r="W384" s="332">
        <v>1.0</v>
      </c>
      <c r="X384" s="332">
        <f t="shared" si="23"/>
        <v>1</v>
      </c>
      <c r="Y384" s="332" t="str">
        <f t="shared" si="24"/>
        <v>T</v>
      </c>
      <c r="Z384" s="344"/>
    </row>
    <row r="385" ht="76.5" hidden="1" customHeight="1">
      <c r="A385" s="221">
        <v>384.0</v>
      </c>
      <c r="B385" s="11" t="s">
        <v>342</v>
      </c>
      <c r="C385" s="11" t="s">
        <v>385</v>
      </c>
      <c r="D385" s="93" t="s">
        <v>1926</v>
      </c>
      <c r="E385" s="215" t="s">
        <v>346</v>
      </c>
      <c r="F385" s="11">
        <v>1.0</v>
      </c>
      <c r="G385" s="11">
        <v>1.0</v>
      </c>
      <c r="H385" s="11">
        <v>3500.0</v>
      </c>
      <c r="I385" s="11">
        <v>3500.0</v>
      </c>
      <c r="J385" s="11" t="s">
        <v>347</v>
      </c>
      <c r="K385" s="93"/>
      <c r="L385" s="93"/>
      <c r="M385" s="215" t="s">
        <v>346</v>
      </c>
      <c r="N385" s="217"/>
      <c r="O385" s="11" t="str">
        <f>IMAGE("https://asia.blackanddecker.global/ASIA/PRODUCT/IMAGES/HIRES/RT18KA-B1/RT18KA_1.jpg?resize=530x530", 1)</f>
        <v/>
      </c>
      <c r="P385" s="73" t="s">
        <v>1689</v>
      </c>
      <c r="Q385" s="74"/>
      <c r="R385" s="75"/>
      <c r="S385" s="12"/>
      <c r="T385" s="11"/>
      <c r="U385" s="12">
        <v>3.0</v>
      </c>
      <c r="V385" s="11" t="s">
        <v>2050</v>
      </c>
      <c r="W385" s="332">
        <v>1.0</v>
      </c>
      <c r="X385" s="332">
        <v>0.5</v>
      </c>
      <c r="Y385" s="332" t="str">
        <f t="shared" si="24"/>
        <v>T</v>
      </c>
      <c r="Z385" s="332"/>
    </row>
    <row r="386" ht="76.5" hidden="1" customHeight="1">
      <c r="A386" s="221">
        <v>385.0</v>
      </c>
      <c r="B386" s="11" t="s">
        <v>342</v>
      </c>
      <c r="C386" s="11" t="s">
        <v>1030</v>
      </c>
      <c r="D386" s="93" t="s">
        <v>1031</v>
      </c>
      <c r="E386" s="215" t="s">
        <v>1032</v>
      </c>
      <c r="F386" s="11">
        <v>1.0</v>
      </c>
      <c r="G386" s="11">
        <v>1.0</v>
      </c>
      <c r="H386" s="11">
        <v>350.0</v>
      </c>
      <c r="I386" s="11">
        <f t="shared" ref="I386:I407" si="28">H386*G386</f>
        <v>350</v>
      </c>
      <c r="J386" s="11" t="s">
        <v>347</v>
      </c>
      <c r="K386" s="93"/>
      <c r="L386" s="93"/>
      <c r="M386" s="215" t="s">
        <v>1032</v>
      </c>
      <c r="N386" s="219" t="s">
        <v>1033</v>
      </c>
      <c r="O386" s="11" t="str">
        <f>IMAGE("https://m.media-amazon.com/images/I/61+L7sYwiBL._SL1500_.jpg",1)</f>
        <v/>
      </c>
      <c r="P386" s="73" t="s">
        <v>1689</v>
      </c>
      <c r="Q386" s="74"/>
      <c r="R386" s="75"/>
      <c r="S386" s="12"/>
      <c r="T386" s="11"/>
      <c r="U386" s="12">
        <v>3.0</v>
      </c>
      <c r="V386" s="11" t="s">
        <v>2050</v>
      </c>
      <c r="W386" s="332">
        <v>1.0</v>
      </c>
      <c r="X386" s="332">
        <f t="shared" ref="X386:X407" si="29">1/W386</f>
        <v>1</v>
      </c>
      <c r="Y386" s="332" t="str">
        <f t="shared" si="24"/>
        <v>T</v>
      </c>
      <c r="Z386" s="332"/>
    </row>
    <row r="387" ht="76.5" hidden="1" customHeight="1">
      <c r="A387" s="221">
        <v>386.0</v>
      </c>
      <c r="B387" s="11" t="s">
        <v>342</v>
      </c>
      <c r="C387" s="11" t="s">
        <v>1035</v>
      </c>
      <c r="D387" s="93" t="s">
        <v>1036</v>
      </c>
      <c r="E387" s="215" t="s">
        <v>1032</v>
      </c>
      <c r="F387" s="216"/>
      <c r="G387" s="216">
        <v>2.0</v>
      </c>
      <c r="H387" s="216">
        <v>250.0</v>
      </c>
      <c r="I387" s="11">
        <f t="shared" si="28"/>
        <v>500</v>
      </c>
      <c r="J387" s="11" t="s">
        <v>347</v>
      </c>
      <c r="K387" s="93"/>
      <c r="L387" s="93"/>
      <c r="M387" s="215" t="s">
        <v>1032</v>
      </c>
      <c r="N387" s="217"/>
      <c r="O387" s="11" t="e">
        <v>#VALUE!</v>
      </c>
      <c r="P387" s="78"/>
      <c r="Q387" s="74"/>
      <c r="R387" s="75"/>
      <c r="S387" s="12"/>
      <c r="T387" s="11"/>
      <c r="U387" s="12">
        <v>3.0</v>
      </c>
      <c r="V387" s="11" t="s">
        <v>2050</v>
      </c>
      <c r="W387" s="332">
        <v>1.0</v>
      </c>
      <c r="X387" s="332">
        <f t="shared" si="29"/>
        <v>1</v>
      </c>
      <c r="Y387" s="332" t="str">
        <f t="shared" si="24"/>
        <v>T</v>
      </c>
      <c r="Z387" s="332"/>
    </row>
    <row r="388" ht="76.5" hidden="1" customHeight="1">
      <c r="A388" s="221">
        <v>387.0</v>
      </c>
      <c r="B388" s="11" t="s">
        <v>342</v>
      </c>
      <c r="C388" s="11" t="s">
        <v>1066</v>
      </c>
      <c r="D388" s="93" t="s">
        <v>1067</v>
      </c>
      <c r="E388" s="215" t="s">
        <v>1032</v>
      </c>
      <c r="F388" s="216">
        <v>1.0</v>
      </c>
      <c r="G388" s="216">
        <v>1.0</v>
      </c>
      <c r="H388" s="216">
        <v>200.0</v>
      </c>
      <c r="I388" s="11">
        <f t="shared" si="28"/>
        <v>200</v>
      </c>
      <c r="J388" s="11" t="s">
        <v>347</v>
      </c>
      <c r="K388" s="93"/>
      <c r="L388" s="93"/>
      <c r="M388" s="215" t="s">
        <v>1032</v>
      </c>
      <c r="N388" s="217" t="s">
        <v>1068</v>
      </c>
      <c r="O388" s="11" t="str">
        <f>IMAGE("https://res.cloudinary.com/rsc/image/upload/b_rgb:FFFFFF,c_pad,dpr_1.0,f_auto,q_auto,w_700/c_pad,w_700/C1985249-01",1)</f>
        <v/>
      </c>
      <c r="P388" s="73" t="s">
        <v>1689</v>
      </c>
      <c r="Q388" s="74" t="s">
        <v>1708</v>
      </c>
      <c r="R388" s="75"/>
      <c r="S388" s="12"/>
      <c r="T388" s="11"/>
      <c r="U388" s="12">
        <v>3.0</v>
      </c>
      <c r="V388" s="11" t="s">
        <v>2050</v>
      </c>
      <c r="W388" s="332">
        <v>1.0</v>
      </c>
      <c r="X388" s="332">
        <f t="shared" si="29"/>
        <v>1</v>
      </c>
      <c r="Y388" s="332" t="str">
        <f t="shared" si="24"/>
        <v>T</v>
      </c>
      <c r="Z388" s="332"/>
    </row>
    <row r="389" ht="76.5" hidden="1" customHeight="1">
      <c r="A389" s="221">
        <v>388.0</v>
      </c>
      <c r="B389" s="222" t="s">
        <v>342</v>
      </c>
      <c r="C389" s="222" t="s">
        <v>1070</v>
      </c>
      <c r="D389" s="232" t="s">
        <v>1071</v>
      </c>
      <c r="E389" s="233" t="s">
        <v>1032</v>
      </c>
      <c r="F389" s="234">
        <v>10.0</v>
      </c>
      <c r="G389" s="234">
        <v>10.0</v>
      </c>
      <c r="H389" s="234">
        <v>200.0</v>
      </c>
      <c r="I389" s="222">
        <f t="shared" si="28"/>
        <v>2000</v>
      </c>
      <c r="J389" s="222" t="s">
        <v>347</v>
      </c>
      <c r="K389" s="232" t="s">
        <v>47</v>
      </c>
      <c r="L389" s="341" t="s">
        <v>65</v>
      </c>
      <c r="M389" s="233" t="s">
        <v>1032</v>
      </c>
      <c r="N389" s="235" t="s">
        <v>1072</v>
      </c>
      <c r="O389" s="222" t="str">
        <f>IMAGE("https://cdn.shopify.com/s/files/1/0064/3412/7939/products/71vpWrfPgFL._SL1000_9c7ae600-0e17-44f0-97b0-7a8fa32a55cc_2048x.jpg?v=1540199513",1)</f>
        <v/>
      </c>
      <c r="P389" s="345"/>
      <c r="Q389" s="335"/>
      <c r="R389" s="336"/>
      <c r="S389" s="299"/>
      <c r="T389" s="222"/>
      <c r="U389" s="299">
        <v>3.0</v>
      </c>
      <c r="V389" s="222" t="s">
        <v>2209</v>
      </c>
      <c r="W389" s="332">
        <v>1.0</v>
      </c>
      <c r="X389" s="332">
        <f t="shared" si="29"/>
        <v>1</v>
      </c>
      <c r="Y389" s="332" t="str">
        <f t="shared" si="24"/>
        <v>T</v>
      </c>
      <c r="Z389" s="332"/>
    </row>
    <row r="390" ht="76.5" hidden="1" customHeight="1">
      <c r="A390" s="221">
        <v>389.0</v>
      </c>
      <c r="B390" s="221" t="s">
        <v>15</v>
      </c>
      <c r="C390" s="11" t="s">
        <v>1074</v>
      </c>
      <c r="D390" s="93" t="s">
        <v>1075</v>
      </c>
      <c r="E390" s="215" t="s">
        <v>1032</v>
      </c>
      <c r="F390" s="216">
        <v>4.0</v>
      </c>
      <c r="G390" s="216">
        <v>4.0</v>
      </c>
      <c r="H390" s="216">
        <v>500.0</v>
      </c>
      <c r="I390" s="11">
        <f t="shared" si="28"/>
        <v>2000</v>
      </c>
      <c r="J390" s="11" t="s">
        <v>347</v>
      </c>
      <c r="K390" s="93"/>
      <c r="L390" s="93"/>
      <c r="M390" s="215" t="s">
        <v>1032</v>
      </c>
      <c r="N390" s="217" t="s">
        <v>284</v>
      </c>
      <c r="O390" s="11" t="str">
        <f>IMAGE("https://cdn.shopify.com/s/files/1/0088/0056/7392/products/71GahpQFYhL._SL1500_1024x.jpg?v=1634034762",1)</f>
        <v/>
      </c>
      <c r="P390" s="353" t="s">
        <v>1689</v>
      </c>
      <c r="Q390" s="331" t="s">
        <v>1709</v>
      </c>
      <c r="R390" s="75"/>
      <c r="S390" s="253"/>
      <c r="T390" s="11"/>
      <c r="U390" s="12">
        <v>3.0</v>
      </c>
      <c r="V390" s="11" t="s">
        <v>2102</v>
      </c>
      <c r="W390" s="332">
        <v>1.0</v>
      </c>
      <c r="X390" s="332">
        <f t="shared" si="29"/>
        <v>1</v>
      </c>
      <c r="Y390" s="332" t="str">
        <f t="shared" si="24"/>
        <v>T</v>
      </c>
      <c r="Z390" s="332"/>
    </row>
    <row r="391" ht="76.5" hidden="1" customHeight="1">
      <c r="A391" s="221">
        <v>390.0</v>
      </c>
      <c r="B391" s="11" t="s">
        <v>342</v>
      </c>
      <c r="C391" s="11" t="s">
        <v>1085</v>
      </c>
      <c r="D391" s="93" t="s">
        <v>1086</v>
      </c>
      <c r="E391" s="215" t="s">
        <v>1032</v>
      </c>
      <c r="F391" s="216">
        <v>2.0</v>
      </c>
      <c r="G391" s="216">
        <v>2.0</v>
      </c>
      <c r="H391" s="216">
        <v>100.0</v>
      </c>
      <c r="I391" s="11">
        <f t="shared" si="28"/>
        <v>200</v>
      </c>
      <c r="J391" s="11" t="s">
        <v>347</v>
      </c>
      <c r="K391" s="93"/>
      <c r="L391" s="93"/>
      <c r="M391" s="93" t="s">
        <v>1964</v>
      </c>
      <c r="N391" s="217" t="s">
        <v>1087</v>
      </c>
      <c r="O391" s="11" t="str">
        <f>IMAGE("https://m.media-amazon.com/images/I/513ZkVzGbdL._AC_.jpg", 1)</f>
        <v/>
      </c>
      <c r="P391" s="330"/>
      <c r="Q391" s="331"/>
      <c r="R391" s="75"/>
      <c r="S391" s="253"/>
      <c r="T391" s="11"/>
      <c r="U391" s="12">
        <v>3.0</v>
      </c>
      <c r="V391" s="11" t="s">
        <v>2050</v>
      </c>
      <c r="W391" s="332">
        <v>1.0</v>
      </c>
      <c r="X391" s="332">
        <f t="shared" si="29"/>
        <v>1</v>
      </c>
      <c r="Y391" s="332" t="str">
        <f t="shared" si="24"/>
        <v>T</v>
      </c>
      <c r="Z391" s="332"/>
    </row>
    <row r="392" ht="76.5" hidden="1" customHeight="1">
      <c r="A392" s="221">
        <v>391.0</v>
      </c>
      <c r="B392" s="11" t="s">
        <v>342</v>
      </c>
      <c r="C392" s="11" t="s">
        <v>1089</v>
      </c>
      <c r="D392" s="93" t="s">
        <v>1090</v>
      </c>
      <c r="E392" s="215" t="s">
        <v>1032</v>
      </c>
      <c r="F392" s="216">
        <v>1.0</v>
      </c>
      <c r="G392" s="216">
        <v>2.0</v>
      </c>
      <c r="H392" s="216">
        <v>200.0</v>
      </c>
      <c r="I392" s="11">
        <f t="shared" si="28"/>
        <v>400</v>
      </c>
      <c r="J392" s="11" t="s">
        <v>347</v>
      </c>
      <c r="K392" s="93"/>
      <c r="L392" s="93"/>
      <c r="M392" s="93" t="s">
        <v>1964</v>
      </c>
      <c r="N392" s="217" t="s">
        <v>1091</v>
      </c>
      <c r="O392" s="11" t="str">
        <f>IMAGE("https://m.media-amazon.com/images/I/41V47za3aNL.jpg",1)</f>
        <v/>
      </c>
      <c r="P392" s="73" t="s">
        <v>1689</v>
      </c>
      <c r="Q392" s="74" t="s">
        <v>1711</v>
      </c>
      <c r="R392" s="75"/>
      <c r="S392" s="12"/>
      <c r="T392" s="11"/>
      <c r="U392" s="12">
        <v>3.0</v>
      </c>
      <c r="V392" s="11" t="s">
        <v>2050</v>
      </c>
      <c r="W392" s="332">
        <v>1.0</v>
      </c>
      <c r="X392" s="332">
        <f t="shared" si="29"/>
        <v>1</v>
      </c>
      <c r="Y392" s="332" t="str">
        <f t="shared" si="24"/>
        <v>T</v>
      </c>
      <c r="Z392" s="332"/>
    </row>
    <row r="393" ht="76.5" hidden="1" customHeight="1">
      <c r="A393" s="221">
        <v>392.0</v>
      </c>
      <c r="B393" s="11" t="s">
        <v>342</v>
      </c>
      <c r="C393" s="11" t="s">
        <v>1097</v>
      </c>
      <c r="D393" s="93" t="s">
        <v>1098</v>
      </c>
      <c r="E393" s="215" t="s">
        <v>1032</v>
      </c>
      <c r="F393" s="216">
        <v>25.0</v>
      </c>
      <c r="G393" s="216">
        <v>25.0</v>
      </c>
      <c r="H393" s="216">
        <v>20.0</v>
      </c>
      <c r="I393" s="11">
        <f t="shared" si="28"/>
        <v>500</v>
      </c>
      <c r="J393" s="11" t="s">
        <v>347</v>
      </c>
      <c r="K393" s="93"/>
      <c r="L393" s="93" t="s">
        <v>2105</v>
      </c>
      <c r="M393" s="215" t="s">
        <v>1032</v>
      </c>
      <c r="N393" s="217" t="s">
        <v>481</v>
      </c>
      <c r="O393" s="11" t="str">
        <f>IMAGE("https://5.imimg.com/data5/UF/DF/MY-45635244/sand-paper-500x500.jpg",1)</f>
        <v/>
      </c>
      <c r="P393" s="78"/>
      <c r="Q393" s="74"/>
      <c r="R393" s="75"/>
      <c r="S393" s="12"/>
      <c r="T393" s="11"/>
      <c r="U393" s="12">
        <v>3.0</v>
      </c>
      <c r="V393" s="11" t="s">
        <v>2051</v>
      </c>
      <c r="W393" s="332">
        <v>1.0</v>
      </c>
      <c r="X393" s="332">
        <f t="shared" si="29"/>
        <v>1</v>
      </c>
      <c r="Y393" s="332" t="str">
        <f t="shared" si="24"/>
        <v>T</v>
      </c>
      <c r="Z393" s="332"/>
    </row>
    <row r="394" ht="76.5" hidden="1" customHeight="1">
      <c r="A394" s="221">
        <v>393.0</v>
      </c>
      <c r="B394" s="11" t="s">
        <v>342</v>
      </c>
      <c r="C394" s="11" t="s">
        <v>1127</v>
      </c>
      <c r="D394" s="93" t="s">
        <v>1128</v>
      </c>
      <c r="E394" s="215" t="s">
        <v>1032</v>
      </c>
      <c r="F394" s="216">
        <v>1.0</v>
      </c>
      <c r="G394" s="216">
        <v>1.0</v>
      </c>
      <c r="H394" s="216">
        <v>200.0</v>
      </c>
      <c r="I394" s="11">
        <f t="shared" si="28"/>
        <v>200</v>
      </c>
      <c r="J394" s="11" t="s">
        <v>347</v>
      </c>
      <c r="K394" s="93"/>
      <c r="L394" s="93"/>
      <c r="M394" s="93" t="s">
        <v>23</v>
      </c>
      <c r="N394" s="217" t="s">
        <v>1129</v>
      </c>
      <c r="O394" s="11" t="str">
        <f>IMAGE("https://cdn.bmstores.co.uk/images/hpcProductImage/imgFull/369783-stanley-sealant-gun-diy.jpg",1)</f>
        <v/>
      </c>
      <c r="P394" s="73" t="s">
        <v>1689</v>
      </c>
      <c r="Q394" s="74" t="s">
        <v>1719</v>
      </c>
      <c r="R394" s="75"/>
      <c r="S394" s="12"/>
      <c r="T394" s="11"/>
      <c r="U394" s="12">
        <v>3.0</v>
      </c>
      <c r="V394" s="11" t="s">
        <v>2050</v>
      </c>
      <c r="W394" s="332">
        <v>1.0</v>
      </c>
      <c r="X394" s="332">
        <f t="shared" si="29"/>
        <v>1</v>
      </c>
      <c r="Y394" s="332" t="str">
        <f t="shared" si="24"/>
        <v>T</v>
      </c>
      <c r="Z394" s="332"/>
    </row>
    <row r="395" ht="76.5" hidden="1" customHeight="1">
      <c r="A395" s="221">
        <v>394.0</v>
      </c>
      <c r="B395" s="11" t="s">
        <v>342</v>
      </c>
      <c r="C395" s="11" t="s">
        <v>1135</v>
      </c>
      <c r="D395" s="93" t="s">
        <v>1136</v>
      </c>
      <c r="E395" s="215" t="s">
        <v>1032</v>
      </c>
      <c r="F395" s="216">
        <v>1.0</v>
      </c>
      <c r="G395" s="216">
        <v>1.0</v>
      </c>
      <c r="H395" s="216">
        <v>180.0</v>
      </c>
      <c r="I395" s="11">
        <f t="shared" si="28"/>
        <v>180</v>
      </c>
      <c r="J395" s="11" t="s">
        <v>347</v>
      </c>
      <c r="K395" s="93"/>
      <c r="L395" s="93"/>
      <c r="M395" s="215" t="s">
        <v>1032</v>
      </c>
      <c r="N395" s="238" t="s">
        <v>1137</v>
      </c>
      <c r="O395" s="11" t="str">
        <f>IMAGE("https://ravimachines.com/wp-content/uploads/2016/07/full_13.jpg",1)</f>
        <v/>
      </c>
      <c r="P395" s="73" t="s">
        <v>1689</v>
      </c>
      <c r="Q395" s="74" t="s">
        <v>1720</v>
      </c>
      <c r="R395" s="75"/>
      <c r="S395" s="12"/>
      <c r="T395" s="11"/>
      <c r="U395" s="12">
        <v>3.0</v>
      </c>
      <c r="V395" s="11" t="s">
        <v>2050</v>
      </c>
      <c r="W395" s="332">
        <v>1.0</v>
      </c>
      <c r="X395" s="332">
        <f t="shared" si="29"/>
        <v>1</v>
      </c>
      <c r="Y395" s="332" t="str">
        <f t="shared" si="24"/>
        <v>T</v>
      </c>
      <c r="Z395" s="332"/>
    </row>
    <row r="396" ht="76.5" hidden="1" customHeight="1">
      <c r="A396" s="221">
        <v>395.0</v>
      </c>
      <c r="B396" s="11" t="s">
        <v>342</v>
      </c>
      <c r="C396" s="11" t="s">
        <v>1147</v>
      </c>
      <c r="D396" s="93" t="s">
        <v>1148</v>
      </c>
      <c r="E396" s="215" t="s">
        <v>1032</v>
      </c>
      <c r="F396" s="216">
        <v>2.0</v>
      </c>
      <c r="G396" s="216">
        <v>2.0</v>
      </c>
      <c r="H396" s="216">
        <v>250.0</v>
      </c>
      <c r="I396" s="11">
        <f t="shared" si="28"/>
        <v>500</v>
      </c>
      <c r="J396" s="11" t="s">
        <v>347</v>
      </c>
      <c r="K396" s="93"/>
      <c r="L396" s="93"/>
      <c r="M396" s="215" t="s">
        <v>1032</v>
      </c>
      <c r="N396" s="217"/>
      <c r="O396" s="11"/>
      <c r="P396" s="73"/>
      <c r="Q396" s="74"/>
      <c r="R396" s="75"/>
      <c r="S396" s="12"/>
      <c r="T396" s="11"/>
      <c r="U396" s="12">
        <v>3.0</v>
      </c>
      <c r="V396" s="11" t="s">
        <v>2108</v>
      </c>
      <c r="W396" s="332">
        <v>1.0</v>
      </c>
      <c r="X396" s="332">
        <f t="shared" si="29"/>
        <v>1</v>
      </c>
      <c r="Y396" s="332" t="str">
        <f t="shared" si="24"/>
        <v>T</v>
      </c>
      <c r="Z396" s="332"/>
    </row>
    <row r="397" ht="76.5" hidden="1" customHeight="1">
      <c r="A397" s="221">
        <v>396.0</v>
      </c>
      <c r="B397" s="11" t="s">
        <v>342</v>
      </c>
      <c r="C397" s="11" t="s">
        <v>1150</v>
      </c>
      <c r="D397" s="93" t="s">
        <v>1151</v>
      </c>
      <c r="E397" s="215" t="s">
        <v>1032</v>
      </c>
      <c r="F397" s="216">
        <v>10.0</v>
      </c>
      <c r="G397" s="216">
        <v>10.0</v>
      </c>
      <c r="H397" s="216">
        <v>100.0</v>
      </c>
      <c r="I397" s="11">
        <f t="shared" si="28"/>
        <v>1000</v>
      </c>
      <c r="J397" s="11" t="s">
        <v>347</v>
      </c>
      <c r="K397" s="93" t="s">
        <v>21</v>
      </c>
      <c r="L397" s="93" t="s">
        <v>2002</v>
      </c>
      <c r="M397" s="215" t="s">
        <v>1032</v>
      </c>
      <c r="N397" s="217"/>
      <c r="O397" s="11" t="str">
        <f>IMAGE("https://5.imimg.com/data5/SELLER/Default/2020/10/KC/AV/BY/25174136/150b-cutter-stripper-250x250.jpg",1)</f>
        <v/>
      </c>
      <c r="P397" s="73" t="s">
        <v>1689</v>
      </c>
      <c r="Q397" s="74"/>
      <c r="R397" s="75"/>
      <c r="S397" s="12"/>
      <c r="T397" s="11"/>
      <c r="U397" s="12">
        <v>3.0</v>
      </c>
      <c r="V397" s="11" t="s">
        <v>2109</v>
      </c>
      <c r="W397" s="332">
        <v>1.0</v>
      </c>
      <c r="X397" s="332">
        <f t="shared" si="29"/>
        <v>1</v>
      </c>
      <c r="Y397" s="332" t="str">
        <f t="shared" si="24"/>
        <v>T</v>
      </c>
      <c r="Z397" s="332"/>
    </row>
    <row r="398" ht="76.5" hidden="1" customHeight="1">
      <c r="A398" s="221">
        <v>397.0</v>
      </c>
      <c r="B398" s="222" t="s">
        <v>342</v>
      </c>
      <c r="C398" s="222" t="s">
        <v>1406</v>
      </c>
      <c r="D398" s="232" t="s">
        <v>1407</v>
      </c>
      <c r="E398" s="233" t="s">
        <v>1400</v>
      </c>
      <c r="F398" s="222"/>
      <c r="G398" s="222">
        <v>2.0</v>
      </c>
      <c r="H398" s="222"/>
      <c r="I398" s="222">
        <f t="shared" si="28"/>
        <v>0</v>
      </c>
      <c r="J398" s="222" t="s">
        <v>347</v>
      </c>
      <c r="K398" s="232" t="s">
        <v>65</v>
      </c>
      <c r="L398" s="232" t="s">
        <v>2105</v>
      </c>
      <c r="M398" s="232" t="s">
        <v>1980</v>
      </c>
      <c r="N398" s="235" t="s">
        <v>1409</v>
      </c>
      <c r="O398" s="222" t="str">
        <f>IMAGE("https://www.racknsell.com/public/thumbs/products/1138/pvc-solvent7_500_500.jpg",1)</f>
        <v/>
      </c>
      <c r="P398" s="334"/>
      <c r="Q398" s="335"/>
      <c r="R398" s="336"/>
      <c r="S398" s="299"/>
      <c r="T398" s="222"/>
      <c r="U398" s="299">
        <v>4.0</v>
      </c>
      <c r="V398" s="222" t="s">
        <v>2136</v>
      </c>
      <c r="W398" s="332">
        <v>1.0</v>
      </c>
      <c r="X398" s="332">
        <f t="shared" si="29"/>
        <v>1</v>
      </c>
      <c r="Y398" s="332" t="str">
        <f t="shared" si="24"/>
        <v>T</v>
      </c>
      <c r="Z398" s="332"/>
    </row>
    <row r="399" ht="76.5" hidden="1" customHeight="1">
      <c r="A399" s="221">
        <v>398.0</v>
      </c>
      <c r="B399" s="222" t="s">
        <v>342</v>
      </c>
      <c r="C399" s="222" t="s">
        <v>1411</v>
      </c>
      <c r="D399" s="232" t="s">
        <v>1412</v>
      </c>
      <c r="E399" s="233" t="s">
        <v>1400</v>
      </c>
      <c r="F399" s="222">
        <v>5.0</v>
      </c>
      <c r="G399" s="222">
        <v>5.0</v>
      </c>
      <c r="H399" s="222">
        <v>20.0</v>
      </c>
      <c r="I399" s="222">
        <f t="shared" si="28"/>
        <v>100</v>
      </c>
      <c r="J399" s="222" t="s">
        <v>347</v>
      </c>
      <c r="K399" s="232"/>
      <c r="L399" s="232" t="s">
        <v>2137</v>
      </c>
      <c r="M399" s="232" t="s">
        <v>1980</v>
      </c>
      <c r="N399" s="374" t="s">
        <v>1413</v>
      </c>
      <c r="O399" s="222" t="str">
        <f>IMAGE("https://m.media-amazon.com/images/I/61saUYFEn9L._SL1500_.jpg",1)</f>
        <v/>
      </c>
      <c r="P399" s="334"/>
      <c r="Q399" s="335"/>
      <c r="R399" s="336"/>
      <c r="S399" s="299"/>
      <c r="T399" s="222"/>
      <c r="U399" s="299">
        <v>1.0</v>
      </c>
      <c r="V399" s="222" t="s">
        <v>2138</v>
      </c>
      <c r="W399" s="332">
        <v>1.0</v>
      </c>
      <c r="X399" s="332">
        <f t="shared" si="29"/>
        <v>1</v>
      </c>
      <c r="Y399" s="332" t="str">
        <f t="shared" si="24"/>
        <v>T</v>
      </c>
      <c r="Z399" s="343">
        <f>SUM(X353:X399)</f>
        <v>35</v>
      </c>
    </row>
    <row r="400" ht="76.5" hidden="1" customHeight="1">
      <c r="A400" s="221">
        <v>399.0</v>
      </c>
      <c r="B400" s="221" t="s">
        <v>2048</v>
      </c>
      <c r="C400" s="11" t="s">
        <v>323</v>
      </c>
      <c r="D400" s="93" t="s">
        <v>324</v>
      </c>
      <c r="E400" s="215" t="s">
        <v>325</v>
      </c>
      <c r="F400" s="11">
        <v>1.0</v>
      </c>
      <c r="G400" s="11">
        <v>1.0</v>
      </c>
      <c r="H400" s="11">
        <v>200.0</v>
      </c>
      <c r="I400" s="11">
        <f t="shared" si="28"/>
        <v>200</v>
      </c>
      <c r="J400" s="11" t="s">
        <v>326</v>
      </c>
      <c r="K400" s="93"/>
      <c r="L400" s="93"/>
      <c r="M400" s="93" t="s">
        <v>1925</v>
      </c>
      <c r="N400" s="217" t="s">
        <v>78</v>
      </c>
      <c r="O400" s="11" t="str">
        <f>IMAGE("https://5.imimg.com/data5/PL/FV/MY-11916319/synthetic-angle-broom-500x500.jpg",1)</f>
        <v/>
      </c>
      <c r="P400" s="330"/>
      <c r="Q400" s="331"/>
      <c r="R400" s="75"/>
      <c r="S400" s="253"/>
      <c r="T400" s="11"/>
      <c r="U400" s="12">
        <v>3.0</v>
      </c>
      <c r="V400" s="11" t="s">
        <v>2049</v>
      </c>
      <c r="W400" s="332">
        <v>2.0</v>
      </c>
      <c r="X400" s="332">
        <f t="shared" si="29"/>
        <v>0.5</v>
      </c>
      <c r="Y400" s="332" t="s">
        <v>1472</v>
      </c>
      <c r="Z400" s="332"/>
    </row>
    <row r="401" ht="76.5" hidden="1" customHeight="1">
      <c r="A401" s="221">
        <v>400.0</v>
      </c>
      <c r="B401" s="221" t="s">
        <v>2048</v>
      </c>
      <c r="C401" s="11" t="s">
        <v>328</v>
      </c>
      <c r="D401" s="93" t="s">
        <v>329</v>
      </c>
      <c r="E401" s="215" t="s">
        <v>325</v>
      </c>
      <c r="F401" s="11">
        <v>1.0</v>
      </c>
      <c r="G401" s="11">
        <v>1.0</v>
      </c>
      <c r="H401" s="11">
        <v>100.0</v>
      </c>
      <c r="I401" s="11">
        <f t="shared" si="28"/>
        <v>100</v>
      </c>
      <c r="J401" s="11" t="s">
        <v>326</v>
      </c>
      <c r="K401" s="93"/>
      <c r="L401" s="93"/>
      <c r="M401" s="93" t="s">
        <v>1925</v>
      </c>
      <c r="N401" s="217" t="s">
        <v>330</v>
      </c>
      <c r="O401" s="11" t="str">
        <f>IMAGE("https://m.media-amazon.com/images/W/MEDIAX_792452-T2/images/I/61z4uqZdmPL._AC_UF1000,1000_QL80_.jpg",1)</f>
        <v/>
      </c>
      <c r="P401" s="330" t="s">
        <v>56</v>
      </c>
      <c r="Q401" s="348"/>
      <c r="R401" s="80"/>
      <c r="S401" s="253"/>
      <c r="T401" s="11"/>
      <c r="U401" s="12">
        <v>3.0</v>
      </c>
      <c r="V401" s="11" t="s">
        <v>2049</v>
      </c>
      <c r="W401" s="332">
        <v>2.0</v>
      </c>
      <c r="X401" s="332">
        <f t="shared" si="29"/>
        <v>0.5</v>
      </c>
      <c r="Y401" s="332" t="s">
        <v>1472</v>
      </c>
      <c r="Z401" s="332"/>
    </row>
    <row r="402" ht="76.5" hidden="1" customHeight="1">
      <c r="A402" s="221">
        <v>401.0</v>
      </c>
      <c r="B402" s="221" t="s">
        <v>2048</v>
      </c>
      <c r="C402" s="11" t="s">
        <v>332</v>
      </c>
      <c r="D402" s="93" t="s">
        <v>333</v>
      </c>
      <c r="E402" s="215" t="s">
        <v>325</v>
      </c>
      <c r="F402" s="11">
        <v>5.0</v>
      </c>
      <c r="G402" s="11">
        <v>5.0</v>
      </c>
      <c r="H402" s="11">
        <v>100.0</v>
      </c>
      <c r="I402" s="11">
        <f t="shared" si="28"/>
        <v>500</v>
      </c>
      <c r="J402" s="11" t="s">
        <v>326</v>
      </c>
      <c r="K402" s="93"/>
      <c r="L402" s="93"/>
      <c r="M402" s="93" t="s">
        <v>1925</v>
      </c>
      <c r="N402" s="217" t="s">
        <v>334</v>
      </c>
      <c r="O402" s="11" t="str">
        <f>IMAGE("https://m.media-amazon.com/images/W/MEDIAX_792452-T2/images/I/61Njm4X2d2L._AC_UF1000,1000_QL80_.jpg",1)</f>
        <v/>
      </c>
      <c r="P402" s="330"/>
      <c r="Q402" s="331"/>
      <c r="R402" s="75"/>
      <c r="S402" s="253"/>
      <c r="T402" s="11"/>
      <c r="U402" s="12">
        <v>3.0</v>
      </c>
      <c r="V402" s="11" t="s">
        <v>2049</v>
      </c>
      <c r="W402" s="332">
        <v>2.0</v>
      </c>
      <c r="X402" s="332">
        <f t="shared" si="29"/>
        <v>0.5</v>
      </c>
      <c r="Y402" s="332" t="s">
        <v>1472</v>
      </c>
      <c r="Z402" s="332"/>
    </row>
    <row r="403" ht="76.5" hidden="1" customHeight="1">
      <c r="A403" s="221">
        <v>402.0</v>
      </c>
      <c r="B403" s="221" t="s">
        <v>2048</v>
      </c>
      <c r="C403" s="11" t="s">
        <v>336</v>
      </c>
      <c r="D403" s="93" t="s">
        <v>337</v>
      </c>
      <c r="E403" s="215" t="s">
        <v>325</v>
      </c>
      <c r="F403" s="11">
        <v>1.0</v>
      </c>
      <c r="G403" s="11">
        <v>1.0</v>
      </c>
      <c r="H403" s="11">
        <v>3600.0</v>
      </c>
      <c r="I403" s="11">
        <f t="shared" si="28"/>
        <v>3600</v>
      </c>
      <c r="J403" s="11" t="s">
        <v>326</v>
      </c>
      <c r="K403" s="93" t="s">
        <v>65</v>
      </c>
      <c r="L403" s="123" t="s">
        <v>65</v>
      </c>
      <c r="M403" s="93" t="s">
        <v>1925</v>
      </c>
      <c r="N403" s="217" t="s">
        <v>338</v>
      </c>
      <c r="O403" s="11" t="str">
        <f>IMAGE("https://m.media-amazon.com/images/I/61HelF+y3YL._SL1500_.jpg",1)</f>
        <v/>
      </c>
      <c r="P403" s="73" t="s">
        <v>1689</v>
      </c>
      <c r="Q403" s="74"/>
      <c r="R403" s="75"/>
      <c r="S403" s="5"/>
      <c r="T403" s="14"/>
      <c r="U403" s="12">
        <v>3.0</v>
      </c>
      <c r="V403" s="11" t="s">
        <v>2049</v>
      </c>
      <c r="W403" s="332">
        <v>2.0</v>
      </c>
      <c r="X403" s="332">
        <f t="shared" si="29"/>
        <v>0.5</v>
      </c>
      <c r="Y403" s="332" t="s">
        <v>1472</v>
      </c>
      <c r="Z403" s="332"/>
    </row>
    <row r="404" ht="76.5" hidden="1" customHeight="1">
      <c r="A404" s="221">
        <v>403.0</v>
      </c>
      <c r="B404" s="221" t="s">
        <v>2048</v>
      </c>
      <c r="C404" s="11" t="s">
        <v>340</v>
      </c>
      <c r="D404" s="93" t="s">
        <v>341</v>
      </c>
      <c r="E404" s="215" t="s">
        <v>325</v>
      </c>
      <c r="F404" s="11">
        <v>3.0</v>
      </c>
      <c r="G404" s="11">
        <v>3.0</v>
      </c>
      <c r="H404" s="11">
        <v>800.0</v>
      </c>
      <c r="I404" s="11">
        <f t="shared" si="28"/>
        <v>2400</v>
      </c>
      <c r="J404" s="11" t="s">
        <v>326</v>
      </c>
      <c r="K404" s="93"/>
      <c r="L404" s="93"/>
      <c r="M404" s="93" t="s">
        <v>1925</v>
      </c>
      <c r="N404" s="217"/>
      <c r="O404" s="11" t="str">
        <f>IMAGE("https://rukminim2.flixcart.com/image/850/1000/kshtxu80/dustbin/p/l/y/swaccha-bharat-champaign-dry-and-wet-waste-bins-small-11ltr-original-imag6fnfj6pqmsba.jpeg?q=20",1)</f>
        <v/>
      </c>
      <c r="P404" s="330"/>
      <c r="Q404" s="348"/>
      <c r="R404" s="80"/>
      <c r="S404" s="253"/>
      <c r="T404" s="11"/>
      <c r="U404" s="12">
        <v>3.0</v>
      </c>
      <c r="V404" s="11" t="s">
        <v>2049</v>
      </c>
      <c r="W404" s="332">
        <v>2.0</v>
      </c>
      <c r="X404" s="332">
        <f t="shared" si="29"/>
        <v>0.5</v>
      </c>
      <c r="Y404" s="332" t="s">
        <v>1472</v>
      </c>
      <c r="Z404" s="332"/>
    </row>
    <row r="405" ht="76.5" hidden="1" customHeight="1">
      <c r="A405" s="221">
        <v>404.0</v>
      </c>
      <c r="B405" s="222" t="s">
        <v>1472</v>
      </c>
      <c r="C405" s="222" t="s">
        <v>1474</v>
      </c>
      <c r="D405" s="232" t="s">
        <v>1475</v>
      </c>
      <c r="E405" s="233" t="s">
        <v>1476</v>
      </c>
      <c r="F405" s="234">
        <v>1.0</v>
      </c>
      <c r="G405" s="234">
        <v>1.0</v>
      </c>
      <c r="H405" s="234">
        <v>500.0</v>
      </c>
      <c r="I405" s="222">
        <f t="shared" si="28"/>
        <v>500</v>
      </c>
      <c r="J405" s="222" t="s">
        <v>1477</v>
      </c>
      <c r="K405" s="232"/>
      <c r="L405" s="232"/>
      <c r="M405" s="232" t="s">
        <v>1986</v>
      </c>
      <c r="N405" s="235" t="s">
        <v>1478</v>
      </c>
      <c r="O405" s="222" t="str">
        <f>IMAGE("https://rukminim1.flixcart.com/image/416/416/jj367bk0/fire-extinguisher-mount/w/s/y/2-kg-abc-type-fire-extinguisher-safepro-original-imaf6h7fkdngmbqd.jpeg?q=70",1)</f>
        <v/>
      </c>
      <c r="P405" s="358"/>
      <c r="Q405" s="359"/>
      <c r="R405" s="336"/>
      <c r="S405" s="360"/>
      <c r="T405" s="222"/>
      <c r="U405" s="299">
        <v>3.0</v>
      </c>
      <c r="V405" s="222" t="s">
        <v>2144</v>
      </c>
      <c r="W405" s="332">
        <v>2.0</v>
      </c>
      <c r="X405" s="332">
        <f t="shared" si="29"/>
        <v>0.5</v>
      </c>
      <c r="Y405" s="332" t="s">
        <v>1472</v>
      </c>
      <c r="Z405" s="332"/>
    </row>
    <row r="406" ht="76.5" hidden="1" customHeight="1">
      <c r="A406" s="221">
        <v>405.0</v>
      </c>
      <c r="B406" s="299" t="s">
        <v>1472</v>
      </c>
      <c r="C406" s="299" t="s">
        <v>1480</v>
      </c>
      <c r="D406" s="252" t="s">
        <v>1481</v>
      </c>
      <c r="E406" s="375" t="s">
        <v>1476</v>
      </c>
      <c r="F406" s="376">
        <v>1.0</v>
      </c>
      <c r="G406" s="376">
        <v>1.0</v>
      </c>
      <c r="H406" s="376">
        <v>850.0</v>
      </c>
      <c r="I406" s="299">
        <f t="shared" si="28"/>
        <v>850</v>
      </c>
      <c r="J406" s="299" t="s">
        <v>1477</v>
      </c>
      <c r="K406" s="252"/>
      <c r="L406" s="252"/>
      <c r="M406" s="252" t="s">
        <v>1986</v>
      </c>
      <c r="N406" s="377" t="s">
        <v>1482</v>
      </c>
      <c r="O406" s="299" t="str">
        <f>IMAGE("https://m.media-amazon.com/images/I/61UHX6mp+wL._AC_UF894,1000_QL80_.jpg",1)</f>
        <v/>
      </c>
      <c r="P406" s="299" t="s">
        <v>56</v>
      </c>
      <c r="Q406" s="299"/>
      <c r="R406" s="299"/>
      <c r="S406" s="361"/>
      <c r="T406" s="299"/>
      <c r="U406" s="299">
        <v>3.0</v>
      </c>
      <c r="V406" s="222" t="s">
        <v>2144</v>
      </c>
      <c r="W406" s="332">
        <v>2.0</v>
      </c>
      <c r="X406" s="332">
        <f t="shared" si="29"/>
        <v>0.5</v>
      </c>
      <c r="Y406" s="332" t="s">
        <v>1472</v>
      </c>
      <c r="Z406" s="332"/>
    </row>
    <row r="407" ht="76.5" hidden="1" customHeight="1">
      <c r="A407" s="221">
        <v>406.0</v>
      </c>
      <c r="B407" s="299" t="s">
        <v>1472</v>
      </c>
      <c r="C407" s="299" t="s">
        <v>1484</v>
      </c>
      <c r="D407" s="252" t="s">
        <v>1485</v>
      </c>
      <c r="E407" s="375" t="s">
        <v>1476</v>
      </c>
      <c r="F407" s="376">
        <v>1.0</v>
      </c>
      <c r="G407" s="376">
        <v>1.0</v>
      </c>
      <c r="H407" s="376">
        <v>500.0</v>
      </c>
      <c r="I407" s="299">
        <f t="shared" si="28"/>
        <v>500</v>
      </c>
      <c r="J407" s="299" t="s">
        <v>1477</v>
      </c>
      <c r="K407" s="252"/>
      <c r="L407" s="252"/>
      <c r="M407" s="252" t="s">
        <v>1986</v>
      </c>
      <c r="N407" s="377" t="s">
        <v>1486</v>
      </c>
      <c r="O407" s="299" t="str">
        <f>IMAGE("https://m.media-amazon.com/images/I/41yRsXk89rS._SX355_.jpg",1)</f>
        <v/>
      </c>
      <c r="P407" s="299"/>
      <c r="Q407" s="299"/>
      <c r="R407" s="299"/>
      <c r="S407" s="361"/>
      <c r="T407" s="299"/>
      <c r="U407" s="299">
        <v>3.0</v>
      </c>
      <c r="V407" s="222" t="s">
        <v>2144</v>
      </c>
      <c r="W407" s="332">
        <v>2.0</v>
      </c>
      <c r="X407" s="332">
        <f t="shared" si="29"/>
        <v>0.5</v>
      </c>
      <c r="Y407" s="332" t="s">
        <v>1472</v>
      </c>
      <c r="Z407" s="343">
        <f>SUM(X400:X407)</f>
        <v>4</v>
      </c>
    </row>
    <row r="408" ht="76.5" hidden="1" customHeight="1">
      <c r="A408" s="378"/>
      <c r="B408" s="378"/>
      <c r="C408" s="378"/>
      <c r="D408" s="379"/>
      <c r="E408" s="380"/>
      <c r="F408" s="381"/>
      <c r="G408" s="381"/>
      <c r="H408" s="381"/>
      <c r="I408" s="378"/>
      <c r="J408" s="378"/>
      <c r="K408" s="379"/>
      <c r="L408" s="379"/>
      <c r="M408" s="379"/>
      <c r="N408" s="382"/>
      <c r="O408" s="378"/>
      <c r="P408" s="378"/>
      <c r="Q408" s="378"/>
      <c r="R408" s="378"/>
      <c r="S408" s="383"/>
      <c r="T408" s="378"/>
      <c r="U408" s="378"/>
      <c r="V408" s="378"/>
      <c r="W408" s="343"/>
      <c r="Y408" s="343"/>
      <c r="Z408" s="343">
        <f>Z407+Z399+Z352+Z308+Z293+Z76+Z66</f>
        <v>368</v>
      </c>
    </row>
  </sheetData>
  <autoFilter ref="$A$1:$Z$408">
    <filterColumn colId="9">
      <filters>
        <filter val="Electronics Work station"/>
      </filters>
    </filterColumn>
  </autoFilter>
  <conditionalFormatting sqref="B90">
    <cfRule type="containsBlanks" dxfId="0" priority="1">
      <formula>LEN(TRIM(B90))=0</formula>
    </cfRule>
  </conditionalFormatting>
  <conditionalFormatting sqref="U1:V408 T63">
    <cfRule type="cellIs" dxfId="3" priority="2" operator="equal">
      <formula>1</formula>
    </cfRule>
  </conditionalFormatting>
  <conditionalFormatting sqref="U1:V408">
    <cfRule type="cellIs" dxfId="8" priority="3" operator="equal">
      <formula>2</formula>
    </cfRule>
  </conditionalFormatting>
  <conditionalFormatting sqref="U1:V408">
    <cfRule type="cellIs" dxfId="9" priority="4" operator="equal">
      <formula>3</formula>
    </cfRule>
  </conditionalFormatting>
  <conditionalFormatting sqref="U1:V408">
    <cfRule type="cellIs" dxfId="5" priority="5" operator="equal">
      <formula>4</formula>
    </cfRule>
  </conditionalFormatting>
  <conditionalFormatting sqref="T1:T408">
    <cfRule type="cellIs" dxfId="3" priority="6" operator="equal">
      <formula>1</formula>
    </cfRule>
  </conditionalFormatting>
  <conditionalFormatting sqref="V1:V408">
    <cfRule type="notContainsBlanks" dxfId="10" priority="7">
      <formula>LEN(TRIM(V1))&gt;0</formula>
    </cfRule>
  </conditionalFormatting>
  <dataValidations>
    <dataValidation type="list" allowBlank="1" showErrorMessage="1" sqref="J1:J66 J68:J408">
      <formula1>Sheet1!$C$1:$C$8</formula1>
    </dataValidation>
    <dataValidation type="list" allowBlank="1" showErrorMessage="1" sqref="M12:M15 M18:M19 M23 M50 M58 M61:M64 M75 M77 M81 M84 M99:M104 M116 M120 M180 M191:M192 M273:M280 M282:M292 M297:M300 M303:M307 M309 M316:M317 M322:M323 M333:M334 M345 M371:M374 M400:M404 E1:E408">
      <formula1>Sheet1!$A$1:$A$24</formula1>
    </dataValidation>
  </dataValidations>
  <printOptions horizontalCentered="1" verticalCentered="1"/>
  <pageMargins bottom="0.75" footer="0.0" header="0.0" left="0.25" right="0.25" top="0.75"/>
  <pageSetup fitToHeight="0" paperSize="8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1.86"/>
    <col customWidth="1" min="3" max="3" width="24.71"/>
    <col customWidth="1" min="4" max="4" width="8.0"/>
  </cols>
  <sheetData>
    <row r="1">
      <c r="A1" s="384" t="s">
        <v>1</v>
      </c>
      <c r="B1" s="385" t="s">
        <v>2210</v>
      </c>
      <c r="C1" s="386" t="s">
        <v>1751</v>
      </c>
      <c r="D1" s="387" t="s">
        <v>2211</v>
      </c>
    </row>
    <row r="2">
      <c r="A2" s="32" t="s">
        <v>17</v>
      </c>
      <c r="B2" s="99" t="s">
        <v>18</v>
      </c>
      <c r="C2" s="388" t="s">
        <v>2006</v>
      </c>
      <c r="D2" s="389">
        <v>6.0</v>
      </c>
    </row>
    <row r="3">
      <c r="A3" s="32" t="s">
        <v>26</v>
      </c>
      <c r="B3" s="99" t="s">
        <v>27</v>
      </c>
      <c r="C3" s="388" t="s">
        <v>2007</v>
      </c>
      <c r="D3" s="389">
        <v>2.0</v>
      </c>
    </row>
    <row r="4">
      <c r="A4" s="32" t="s">
        <v>30</v>
      </c>
      <c r="B4" s="99" t="s">
        <v>31</v>
      </c>
      <c r="C4" s="388" t="s">
        <v>2009</v>
      </c>
      <c r="D4" s="389">
        <v>6.0</v>
      </c>
    </row>
    <row r="5">
      <c r="A5" s="32" t="s">
        <v>34</v>
      </c>
      <c r="B5" s="99" t="s">
        <v>35</v>
      </c>
      <c r="C5" s="388" t="s">
        <v>2006</v>
      </c>
      <c r="D5" s="389">
        <v>6.0</v>
      </c>
    </row>
    <row r="6">
      <c r="A6" s="32" t="s">
        <v>37</v>
      </c>
      <c r="B6" s="99" t="s">
        <v>1886</v>
      </c>
      <c r="C6" s="388" t="s">
        <v>2009</v>
      </c>
      <c r="D6" s="389">
        <v>6.0</v>
      </c>
    </row>
    <row r="7">
      <c r="A7" s="32" t="s">
        <v>41</v>
      </c>
      <c r="B7" s="99" t="s">
        <v>42</v>
      </c>
      <c r="C7" s="388" t="s">
        <v>2010</v>
      </c>
      <c r="D7" s="389">
        <v>6.0</v>
      </c>
    </row>
    <row r="8">
      <c r="A8" s="32" t="s">
        <v>45</v>
      </c>
      <c r="B8" s="99" t="s">
        <v>46</v>
      </c>
      <c r="C8" s="388" t="s">
        <v>2011</v>
      </c>
      <c r="D8" s="389">
        <v>10.0</v>
      </c>
    </row>
    <row r="9">
      <c r="A9" s="32" t="s">
        <v>50</v>
      </c>
      <c r="B9" s="99" t="s">
        <v>51</v>
      </c>
      <c r="C9" s="388" t="s">
        <v>2013</v>
      </c>
      <c r="D9" s="389">
        <v>5.0</v>
      </c>
    </row>
    <row r="10">
      <c r="A10" s="32" t="s">
        <v>54</v>
      </c>
      <c r="B10" s="99" t="s">
        <v>1887</v>
      </c>
      <c r="C10" s="388" t="s">
        <v>2011</v>
      </c>
      <c r="D10" s="389">
        <v>10.0</v>
      </c>
    </row>
    <row r="11">
      <c r="A11" s="32" t="s">
        <v>58</v>
      </c>
      <c r="B11" s="99" t="s">
        <v>1888</v>
      </c>
      <c r="C11" s="388" t="s">
        <v>2011</v>
      </c>
      <c r="D11" s="389">
        <v>10.0</v>
      </c>
    </row>
    <row r="12">
      <c r="A12" s="32" t="s">
        <v>62</v>
      </c>
      <c r="B12" s="99" t="s">
        <v>1889</v>
      </c>
      <c r="C12" s="388" t="s">
        <v>2014</v>
      </c>
      <c r="D12" s="389">
        <v>60.0</v>
      </c>
    </row>
    <row r="13">
      <c r="A13" s="32" t="s">
        <v>70</v>
      </c>
      <c r="B13" s="99" t="s">
        <v>71</v>
      </c>
      <c r="C13" s="388" t="s">
        <v>1984</v>
      </c>
      <c r="D13" s="389">
        <v>25.0</v>
      </c>
    </row>
    <row r="14">
      <c r="A14" s="32" t="s">
        <v>75</v>
      </c>
      <c r="B14" s="99" t="s">
        <v>1891</v>
      </c>
      <c r="C14" s="388" t="s">
        <v>2015</v>
      </c>
      <c r="D14" s="389">
        <v>10.0</v>
      </c>
    </row>
    <row r="15">
      <c r="A15" s="32" t="s">
        <v>80</v>
      </c>
      <c r="B15" s="99" t="s">
        <v>352</v>
      </c>
      <c r="C15" s="388" t="s">
        <v>1984</v>
      </c>
      <c r="D15" s="389">
        <v>5.0</v>
      </c>
    </row>
    <row r="16">
      <c r="A16" s="32" t="s">
        <v>86</v>
      </c>
      <c r="B16" s="99" t="s">
        <v>1893</v>
      </c>
      <c r="C16" s="388" t="s">
        <v>2016</v>
      </c>
      <c r="D16" s="389">
        <v>5.0</v>
      </c>
    </row>
    <row r="17">
      <c r="A17" s="32" t="s">
        <v>90</v>
      </c>
      <c r="B17" s="99" t="s">
        <v>91</v>
      </c>
      <c r="C17" s="388" t="s">
        <v>2016</v>
      </c>
      <c r="D17" s="389">
        <v>20.0</v>
      </c>
    </row>
    <row r="18">
      <c r="A18" s="32" t="s">
        <v>94</v>
      </c>
      <c r="B18" s="99" t="s">
        <v>95</v>
      </c>
      <c r="C18" s="388" t="s">
        <v>2016</v>
      </c>
      <c r="D18" s="389">
        <v>10.0</v>
      </c>
    </row>
    <row r="19">
      <c r="A19" s="32" t="s">
        <v>97</v>
      </c>
      <c r="B19" s="99" t="s">
        <v>1894</v>
      </c>
      <c r="C19" s="388" t="s">
        <v>2016</v>
      </c>
      <c r="D19" s="389">
        <v>10.0</v>
      </c>
    </row>
    <row r="20">
      <c r="A20" s="32" t="s">
        <v>100</v>
      </c>
      <c r="B20" s="99" t="s">
        <v>101</v>
      </c>
      <c r="C20" s="388" t="s">
        <v>2017</v>
      </c>
      <c r="D20" s="389">
        <v>10.0</v>
      </c>
    </row>
    <row r="21">
      <c r="A21" s="32" t="s">
        <v>104</v>
      </c>
      <c r="B21" s="99" t="s">
        <v>105</v>
      </c>
      <c r="C21" s="388" t="s">
        <v>2018</v>
      </c>
      <c r="D21" s="389">
        <v>5.0</v>
      </c>
    </row>
    <row r="22">
      <c r="A22" s="32" t="s">
        <v>108</v>
      </c>
      <c r="B22" s="99" t="s">
        <v>1896</v>
      </c>
      <c r="C22" s="388" t="s">
        <v>2019</v>
      </c>
      <c r="D22" s="389">
        <v>1.0</v>
      </c>
    </row>
    <row r="23">
      <c r="A23" s="32" t="s">
        <v>114</v>
      </c>
      <c r="B23" s="99" t="s">
        <v>115</v>
      </c>
      <c r="C23" s="388" t="s">
        <v>2020</v>
      </c>
      <c r="D23" s="389">
        <v>10.0</v>
      </c>
    </row>
    <row r="24">
      <c r="A24" s="32" t="s">
        <v>118</v>
      </c>
      <c r="B24" s="99" t="s">
        <v>1897</v>
      </c>
      <c r="C24" s="388" t="s">
        <v>2021</v>
      </c>
      <c r="D24" s="389">
        <v>10.0</v>
      </c>
    </row>
    <row r="25">
      <c r="A25" s="32" t="s">
        <v>122</v>
      </c>
      <c r="B25" s="99" t="s">
        <v>123</v>
      </c>
      <c r="C25" s="388" t="s">
        <v>2023</v>
      </c>
      <c r="D25" s="389">
        <v>10.0</v>
      </c>
    </row>
    <row r="26">
      <c r="A26" s="32" t="s">
        <v>126</v>
      </c>
      <c r="B26" s="99" t="s">
        <v>127</v>
      </c>
      <c r="C26" s="388" t="s">
        <v>1900</v>
      </c>
      <c r="D26" s="389">
        <v>5.0</v>
      </c>
    </row>
    <row r="27">
      <c r="A27" s="32" t="s">
        <v>130</v>
      </c>
      <c r="B27" s="99" t="s">
        <v>131</v>
      </c>
      <c r="C27" s="388" t="s">
        <v>2016</v>
      </c>
      <c r="D27" s="389">
        <v>10.0</v>
      </c>
    </row>
    <row r="28">
      <c r="A28" s="32" t="s">
        <v>134</v>
      </c>
      <c r="B28" s="99" t="s">
        <v>135</v>
      </c>
      <c r="C28" s="388" t="s">
        <v>2024</v>
      </c>
      <c r="D28" s="389">
        <v>10.0</v>
      </c>
    </row>
    <row r="29">
      <c r="A29" s="32" t="s">
        <v>139</v>
      </c>
      <c r="B29" s="99" t="s">
        <v>140</v>
      </c>
      <c r="C29" s="388" t="s">
        <v>2025</v>
      </c>
      <c r="D29" s="389">
        <v>1.0</v>
      </c>
    </row>
    <row r="30">
      <c r="A30" s="32" t="s">
        <v>146</v>
      </c>
      <c r="B30" s="99" t="s">
        <v>147</v>
      </c>
      <c r="C30" s="388" t="s">
        <v>2026</v>
      </c>
      <c r="D30" s="389">
        <v>1.0</v>
      </c>
    </row>
    <row r="31">
      <c r="A31" s="32" t="s">
        <v>150</v>
      </c>
      <c r="B31" s="99" t="s">
        <v>151</v>
      </c>
      <c r="C31" s="388" t="s">
        <v>2027</v>
      </c>
      <c r="D31" s="389">
        <v>2.0</v>
      </c>
    </row>
    <row r="32">
      <c r="A32" s="32" t="s">
        <v>154</v>
      </c>
      <c r="B32" s="99" t="s">
        <v>155</v>
      </c>
      <c r="C32" s="388" t="s">
        <v>2028</v>
      </c>
      <c r="D32" s="389">
        <v>1.0</v>
      </c>
    </row>
    <row r="33">
      <c r="A33" s="32" t="s">
        <v>158</v>
      </c>
      <c r="B33" s="99" t="s">
        <v>159</v>
      </c>
      <c r="C33" s="388" t="s">
        <v>2029</v>
      </c>
      <c r="D33" s="389">
        <v>1.0</v>
      </c>
    </row>
    <row r="34">
      <c r="A34" s="32" t="s">
        <v>162</v>
      </c>
      <c r="B34" s="99" t="s">
        <v>163</v>
      </c>
      <c r="C34" s="388" t="s">
        <v>2030</v>
      </c>
      <c r="D34" s="389">
        <v>1.0</v>
      </c>
    </row>
    <row r="35">
      <c r="A35" s="32" t="s">
        <v>166</v>
      </c>
      <c r="B35" s="99" t="s">
        <v>167</v>
      </c>
      <c r="C35" s="388" t="s">
        <v>2031</v>
      </c>
      <c r="D35" s="389">
        <v>1.0</v>
      </c>
    </row>
    <row r="36">
      <c r="A36" s="32" t="s">
        <v>170</v>
      </c>
      <c r="B36" s="99" t="s">
        <v>171</v>
      </c>
      <c r="C36" s="388" t="s">
        <v>2032</v>
      </c>
      <c r="D36" s="389">
        <v>1.0</v>
      </c>
    </row>
    <row r="37">
      <c r="A37" s="32" t="s">
        <v>175</v>
      </c>
      <c r="B37" s="99" t="s">
        <v>176</v>
      </c>
      <c r="C37" s="388" t="s">
        <v>2033</v>
      </c>
      <c r="D37" s="389">
        <v>5.0</v>
      </c>
    </row>
    <row r="38">
      <c r="A38" s="32" t="s">
        <v>182</v>
      </c>
      <c r="B38" s="99" t="s">
        <v>1906</v>
      </c>
      <c r="C38" s="388" t="s">
        <v>2034</v>
      </c>
      <c r="D38" s="389">
        <v>5.0</v>
      </c>
    </row>
    <row r="39">
      <c r="A39" s="32" t="s">
        <v>187</v>
      </c>
      <c r="B39" s="99" t="s">
        <v>1908</v>
      </c>
      <c r="C39" s="388" t="s">
        <v>2035</v>
      </c>
      <c r="D39" s="389">
        <v>5.0</v>
      </c>
    </row>
    <row r="40">
      <c r="A40" s="32" t="s">
        <v>191</v>
      </c>
      <c r="B40" s="99" t="s">
        <v>1910</v>
      </c>
      <c r="C40" s="388" t="s">
        <v>2036</v>
      </c>
      <c r="D40" s="389">
        <v>20.0</v>
      </c>
    </row>
    <row r="41">
      <c r="A41" s="32" t="s">
        <v>197</v>
      </c>
      <c r="B41" s="99" t="s">
        <v>1911</v>
      </c>
      <c r="C41" s="388" t="s">
        <v>2036</v>
      </c>
      <c r="D41" s="389">
        <v>15.0</v>
      </c>
    </row>
    <row r="42">
      <c r="A42" s="32" t="s">
        <v>201</v>
      </c>
      <c r="B42" s="99" t="s">
        <v>1912</v>
      </c>
      <c r="C42" s="388" t="s">
        <v>2037</v>
      </c>
      <c r="D42" s="389">
        <v>10.0</v>
      </c>
    </row>
    <row r="43">
      <c r="A43" s="32" t="s">
        <v>206</v>
      </c>
      <c r="B43" s="99" t="s">
        <v>1913</v>
      </c>
      <c r="C43" s="388" t="s">
        <v>2037</v>
      </c>
      <c r="D43" s="389">
        <v>30.0</v>
      </c>
    </row>
    <row r="44">
      <c r="A44" s="32" t="s">
        <v>210</v>
      </c>
      <c r="B44" s="99" t="s">
        <v>1914</v>
      </c>
      <c r="C44" s="388" t="s">
        <v>2037</v>
      </c>
      <c r="D44" s="389">
        <v>20.0</v>
      </c>
    </row>
    <row r="45">
      <c r="A45" s="32" t="s">
        <v>214</v>
      </c>
      <c r="B45" s="99" t="s">
        <v>1915</v>
      </c>
      <c r="C45" s="388" t="s">
        <v>2038</v>
      </c>
      <c r="D45" s="389">
        <v>20.0</v>
      </c>
    </row>
    <row r="46">
      <c r="A46" s="32" t="s">
        <v>219</v>
      </c>
      <c r="B46" s="99" t="s">
        <v>220</v>
      </c>
      <c r="C46" s="388" t="s">
        <v>2039</v>
      </c>
      <c r="D46" s="389">
        <v>5.0</v>
      </c>
    </row>
    <row r="47">
      <c r="A47" s="32" t="s">
        <v>223</v>
      </c>
      <c r="B47" s="99" t="s">
        <v>1741</v>
      </c>
      <c r="C47" s="388" t="s">
        <v>2040</v>
      </c>
      <c r="D47" s="389">
        <v>10.0</v>
      </c>
    </row>
    <row r="48">
      <c r="A48" s="32" t="s">
        <v>227</v>
      </c>
      <c r="B48" s="99" t="s">
        <v>228</v>
      </c>
      <c r="C48" s="388" t="s">
        <v>2038</v>
      </c>
      <c r="D48" s="389">
        <v>10.0</v>
      </c>
    </row>
    <row r="49">
      <c r="A49" s="32" t="s">
        <v>231</v>
      </c>
      <c r="B49" s="99" t="s">
        <v>232</v>
      </c>
      <c r="C49" s="388" t="s">
        <v>2041</v>
      </c>
      <c r="D49" s="389">
        <v>20.0</v>
      </c>
    </row>
    <row r="50">
      <c r="A50" s="32" t="s">
        <v>235</v>
      </c>
      <c r="B50" s="99" t="s">
        <v>1916</v>
      </c>
      <c r="C50" s="388" t="s">
        <v>2042</v>
      </c>
      <c r="D50" s="389">
        <v>20.0</v>
      </c>
    </row>
    <row r="51">
      <c r="A51" s="32" t="s">
        <v>240</v>
      </c>
      <c r="B51" s="99" t="s">
        <v>241</v>
      </c>
      <c r="C51" s="388" t="s">
        <v>2036</v>
      </c>
      <c r="D51" s="389">
        <v>20.0</v>
      </c>
    </row>
    <row r="52">
      <c r="A52" s="32" t="s">
        <v>244</v>
      </c>
      <c r="B52" s="99" t="s">
        <v>245</v>
      </c>
      <c r="C52" s="388" t="s">
        <v>2026</v>
      </c>
      <c r="D52" s="389">
        <v>1.0</v>
      </c>
    </row>
    <row r="53">
      <c r="A53" s="32" t="s">
        <v>247</v>
      </c>
      <c r="B53" s="99" t="s">
        <v>1918</v>
      </c>
      <c r="C53" s="388" t="s">
        <v>2043</v>
      </c>
      <c r="D53" s="389">
        <v>1.0</v>
      </c>
    </row>
    <row r="54">
      <c r="A54" s="32" t="s">
        <v>253</v>
      </c>
      <c r="B54" s="99" t="s">
        <v>1919</v>
      </c>
      <c r="C54" s="388" t="s">
        <v>2043</v>
      </c>
      <c r="D54" s="389">
        <v>1.0</v>
      </c>
    </row>
    <row r="55">
      <c r="A55" s="32" t="s">
        <v>257</v>
      </c>
      <c r="B55" s="99" t="s">
        <v>1920</v>
      </c>
      <c r="C55" s="388" t="s">
        <v>2043</v>
      </c>
      <c r="D55" s="389">
        <v>1.0</v>
      </c>
    </row>
    <row r="56">
      <c r="A56" s="32" t="s">
        <v>261</v>
      </c>
      <c r="B56" s="99" t="s">
        <v>1921</v>
      </c>
      <c r="C56" s="388" t="s">
        <v>2043</v>
      </c>
      <c r="D56" s="389">
        <v>1.0</v>
      </c>
    </row>
    <row r="57">
      <c r="A57" s="32" t="s">
        <v>265</v>
      </c>
      <c r="B57" s="99" t="s">
        <v>266</v>
      </c>
      <c r="C57" s="388" t="s">
        <v>2044</v>
      </c>
      <c r="D57" s="389">
        <v>20.0</v>
      </c>
    </row>
    <row r="58">
      <c r="A58" s="32" t="s">
        <v>270</v>
      </c>
      <c r="B58" s="99" t="s">
        <v>271</v>
      </c>
      <c r="C58" s="388" t="s">
        <v>2044</v>
      </c>
      <c r="D58" s="389">
        <v>20.0</v>
      </c>
    </row>
    <row r="59">
      <c r="A59" s="32" t="s">
        <v>274</v>
      </c>
      <c r="B59" s="99" t="s">
        <v>275</v>
      </c>
      <c r="C59" s="388" t="s">
        <v>2044</v>
      </c>
      <c r="D59" s="389">
        <v>20.0</v>
      </c>
    </row>
    <row r="60">
      <c r="A60" s="32" t="s">
        <v>278</v>
      </c>
      <c r="B60" s="99" t="s">
        <v>279</v>
      </c>
      <c r="C60" s="388" t="s">
        <v>2044</v>
      </c>
      <c r="D60" s="389">
        <v>20.0</v>
      </c>
    </row>
    <row r="61">
      <c r="A61" s="32" t="s">
        <v>282</v>
      </c>
      <c r="B61" s="99" t="s">
        <v>283</v>
      </c>
      <c r="C61" s="388" t="s">
        <v>2044</v>
      </c>
      <c r="D61" s="389">
        <v>20.0</v>
      </c>
    </row>
    <row r="62">
      <c r="A62" s="32" t="s">
        <v>286</v>
      </c>
      <c r="B62" s="99" t="s">
        <v>287</v>
      </c>
      <c r="C62" s="388" t="s">
        <v>2045</v>
      </c>
      <c r="D62" s="389">
        <v>20.0</v>
      </c>
    </row>
    <row r="63">
      <c r="A63" s="32" t="s">
        <v>291</v>
      </c>
      <c r="B63" s="99" t="s">
        <v>292</v>
      </c>
      <c r="C63" s="388" t="s">
        <v>2045</v>
      </c>
      <c r="D63" s="389">
        <v>20.0</v>
      </c>
    </row>
    <row r="64">
      <c r="A64" s="32" t="s">
        <v>295</v>
      </c>
      <c r="B64" s="99" t="s">
        <v>296</v>
      </c>
      <c r="C64" s="388" t="s">
        <v>2045</v>
      </c>
      <c r="D64" s="389">
        <v>20.0</v>
      </c>
    </row>
    <row r="65">
      <c r="A65" s="32" t="s">
        <v>299</v>
      </c>
      <c r="B65" s="99" t="s">
        <v>300</v>
      </c>
      <c r="C65" s="388" t="s">
        <v>2046</v>
      </c>
      <c r="D65" s="389">
        <v>10.0</v>
      </c>
    </row>
    <row r="66">
      <c r="A66" s="32" t="s">
        <v>303</v>
      </c>
      <c r="B66" s="99" t="s">
        <v>304</v>
      </c>
      <c r="C66" s="388" t="s">
        <v>2047</v>
      </c>
      <c r="D66" s="389">
        <v>10.0</v>
      </c>
    </row>
    <row r="67">
      <c r="A67" s="390" t="s">
        <v>308</v>
      </c>
      <c r="B67" s="391" t="s">
        <v>309</v>
      </c>
      <c r="C67" s="388"/>
      <c r="D67" s="389"/>
    </row>
    <row r="68">
      <c r="A68" s="32" t="s">
        <v>313</v>
      </c>
      <c r="B68" s="99" t="s">
        <v>314</v>
      </c>
      <c r="C68" s="388" t="s">
        <v>2026</v>
      </c>
      <c r="D68" s="389">
        <v>1.0</v>
      </c>
    </row>
    <row r="69">
      <c r="A69" s="32" t="s">
        <v>317</v>
      </c>
      <c r="B69" s="99" t="s">
        <v>1924</v>
      </c>
      <c r="C69" s="388" t="s">
        <v>2036</v>
      </c>
      <c r="D69" s="389">
        <v>10.0</v>
      </c>
    </row>
    <row r="70">
      <c r="A70" s="32" t="s">
        <v>323</v>
      </c>
      <c r="B70" s="99" t="s">
        <v>324</v>
      </c>
      <c r="C70" s="388" t="s">
        <v>2049</v>
      </c>
      <c r="D70" s="389">
        <v>1.0</v>
      </c>
    </row>
    <row r="71">
      <c r="A71" s="32" t="s">
        <v>328</v>
      </c>
      <c r="B71" s="99" t="s">
        <v>329</v>
      </c>
      <c r="C71" s="388" t="s">
        <v>2049</v>
      </c>
      <c r="D71" s="389">
        <v>1.0</v>
      </c>
    </row>
    <row r="72">
      <c r="A72" s="32" t="s">
        <v>332</v>
      </c>
      <c r="B72" s="99" t="s">
        <v>333</v>
      </c>
      <c r="C72" s="388" t="s">
        <v>2049</v>
      </c>
      <c r="D72" s="389">
        <v>5.0</v>
      </c>
    </row>
    <row r="73">
      <c r="A73" s="32" t="s">
        <v>336</v>
      </c>
      <c r="B73" s="99" t="s">
        <v>337</v>
      </c>
      <c r="C73" s="388" t="s">
        <v>2049</v>
      </c>
      <c r="D73" s="389">
        <v>1.0</v>
      </c>
    </row>
    <row r="74">
      <c r="A74" s="32" t="s">
        <v>340</v>
      </c>
      <c r="B74" s="99" t="s">
        <v>341</v>
      </c>
      <c r="C74" s="388" t="s">
        <v>2049</v>
      </c>
      <c r="D74" s="389">
        <v>3.0</v>
      </c>
    </row>
    <row r="75">
      <c r="A75" s="32" t="s">
        <v>344</v>
      </c>
      <c r="B75" s="99" t="s">
        <v>345</v>
      </c>
      <c r="C75" s="388" t="s">
        <v>2050</v>
      </c>
      <c r="D75" s="389">
        <v>2.0</v>
      </c>
    </row>
    <row r="76">
      <c r="A76" s="32" t="s">
        <v>350</v>
      </c>
      <c r="B76" s="99" t="s">
        <v>351</v>
      </c>
      <c r="C76" s="388" t="s">
        <v>2051</v>
      </c>
      <c r="D76" s="389">
        <v>2.0</v>
      </c>
    </row>
    <row r="77">
      <c r="A77" s="32" t="s">
        <v>355</v>
      </c>
      <c r="B77" s="99" t="s">
        <v>356</v>
      </c>
      <c r="C77" s="388" t="s">
        <v>2050</v>
      </c>
      <c r="D77" s="389">
        <v>1.0</v>
      </c>
    </row>
    <row r="78">
      <c r="A78" s="32" t="s">
        <v>359</v>
      </c>
      <c r="B78" s="99" t="s">
        <v>360</v>
      </c>
      <c r="C78" s="388" t="s">
        <v>2050</v>
      </c>
      <c r="D78" s="389">
        <v>1.0</v>
      </c>
    </row>
    <row r="79">
      <c r="A79" s="32" t="s">
        <v>363</v>
      </c>
      <c r="B79" s="99" t="s">
        <v>364</v>
      </c>
      <c r="C79" s="388" t="s">
        <v>2050</v>
      </c>
      <c r="D79" s="389">
        <v>1.0</v>
      </c>
    </row>
    <row r="80">
      <c r="A80" s="32" t="s">
        <v>367</v>
      </c>
      <c r="B80" s="99" t="s">
        <v>368</v>
      </c>
      <c r="C80" s="388" t="s">
        <v>2051</v>
      </c>
      <c r="D80" s="389">
        <v>20.0</v>
      </c>
    </row>
    <row r="81">
      <c r="A81" s="32" t="s">
        <v>371</v>
      </c>
      <c r="B81" s="99" t="s">
        <v>372</v>
      </c>
      <c r="C81" s="388" t="s">
        <v>2053</v>
      </c>
      <c r="D81" s="389">
        <v>2.0</v>
      </c>
    </row>
    <row r="82">
      <c r="A82" s="32" t="s">
        <v>374</v>
      </c>
      <c r="B82" s="99" t="s">
        <v>375</v>
      </c>
      <c r="C82" s="388" t="s">
        <v>2053</v>
      </c>
      <c r="D82" s="389">
        <v>5.0</v>
      </c>
    </row>
    <row r="83">
      <c r="A83" s="32" t="s">
        <v>378</v>
      </c>
      <c r="B83" s="99" t="s">
        <v>379</v>
      </c>
      <c r="C83" s="388" t="s">
        <v>2050</v>
      </c>
      <c r="D83" s="389">
        <v>2.0</v>
      </c>
    </row>
    <row r="84">
      <c r="A84" s="32" t="s">
        <v>381</v>
      </c>
      <c r="B84" s="99" t="s">
        <v>382</v>
      </c>
      <c r="C84" s="388" t="s">
        <v>2054</v>
      </c>
      <c r="D84" s="389">
        <v>10.0</v>
      </c>
    </row>
    <row r="85">
      <c r="A85" s="32" t="s">
        <v>385</v>
      </c>
      <c r="B85" s="99" t="s">
        <v>1926</v>
      </c>
      <c r="C85" s="388" t="s">
        <v>2050</v>
      </c>
      <c r="D85" s="389">
        <v>1.0</v>
      </c>
    </row>
    <row r="86">
      <c r="A86" s="32" t="s">
        <v>388</v>
      </c>
      <c r="B86" s="99" t="s">
        <v>1927</v>
      </c>
      <c r="C86" s="388" t="s">
        <v>2055</v>
      </c>
      <c r="D86" s="389">
        <v>5.0</v>
      </c>
    </row>
    <row r="87">
      <c r="A87" s="32" t="s">
        <v>392</v>
      </c>
      <c r="B87" s="99" t="s">
        <v>1928</v>
      </c>
      <c r="C87" s="388" t="s">
        <v>2055</v>
      </c>
      <c r="D87" s="389">
        <v>5.0</v>
      </c>
    </row>
    <row r="88">
      <c r="A88" s="32" t="s">
        <v>396</v>
      </c>
      <c r="B88" s="99" t="s">
        <v>1929</v>
      </c>
      <c r="C88" s="388" t="s">
        <v>2056</v>
      </c>
      <c r="D88" s="389">
        <v>5.0</v>
      </c>
    </row>
    <row r="89">
      <c r="A89" s="32" t="s">
        <v>400</v>
      </c>
      <c r="B89" s="99" t="s">
        <v>1930</v>
      </c>
      <c r="C89" s="388" t="s">
        <v>2056</v>
      </c>
      <c r="D89" s="389">
        <v>10.0</v>
      </c>
    </row>
    <row r="90">
      <c r="A90" s="32" t="s">
        <v>404</v>
      </c>
      <c r="B90" s="99" t="s">
        <v>405</v>
      </c>
      <c r="C90" s="388" t="s">
        <v>2057</v>
      </c>
      <c r="D90" s="389">
        <v>10.0</v>
      </c>
    </row>
    <row r="91">
      <c r="A91" s="32" t="s">
        <v>407</v>
      </c>
      <c r="B91" s="99" t="s">
        <v>408</v>
      </c>
      <c r="C91" s="388" t="s">
        <v>2057</v>
      </c>
      <c r="D91" s="389">
        <v>10.0</v>
      </c>
    </row>
    <row r="92">
      <c r="A92" s="32" t="s">
        <v>410</v>
      </c>
      <c r="B92" s="99" t="s">
        <v>411</v>
      </c>
      <c r="C92" s="388" t="s">
        <v>2058</v>
      </c>
      <c r="D92" s="389">
        <v>10.0</v>
      </c>
    </row>
    <row r="93">
      <c r="A93" s="390" t="s">
        <v>413</v>
      </c>
      <c r="B93" s="392" t="s">
        <v>1931</v>
      </c>
      <c r="C93" s="388"/>
      <c r="D93" s="389">
        <v>12.0</v>
      </c>
    </row>
    <row r="94">
      <c r="A94" s="32" t="s">
        <v>419</v>
      </c>
      <c r="B94" s="99" t="s">
        <v>420</v>
      </c>
      <c r="C94" s="388" t="s">
        <v>2060</v>
      </c>
      <c r="D94" s="389">
        <v>15.0</v>
      </c>
    </row>
    <row r="95">
      <c r="A95" s="32" t="s">
        <v>424</v>
      </c>
      <c r="B95" s="99" t="s">
        <v>1933</v>
      </c>
      <c r="C95" s="388" t="s">
        <v>2061</v>
      </c>
      <c r="D95" s="389">
        <v>10.0</v>
      </c>
    </row>
    <row r="96">
      <c r="A96" s="32" t="s">
        <v>428</v>
      </c>
      <c r="B96" s="99" t="s">
        <v>1934</v>
      </c>
      <c r="C96" s="388" t="s">
        <v>2060</v>
      </c>
      <c r="D96" s="389">
        <v>15.0</v>
      </c>
    </row>
    <row r="97">
      <c r="A97" s="390" t="s">
        <v>433</v>
      </c>
      <c r="B97" s="392" t="s">
        <v>1935</v>
      </c>
      <c r="C97" s="388"/>
      <c r="D97" s="389">
        <v>10.0</v>
      </c>
    </row>
    <row r="98">
      <c r="A98" s="32" t="s">
        <v>437</v>
      </c>
      <c r="B98" s="99" t="s">
        <v>438</v>
      </c>
      <c r="C98" s="388" t="s">
        <v>1806</v>
      </c>
      <c r="D98" s="389">
        <v>10.0</v>
      </c>
    </row>
    <row r="99">
      <c r="A99" s="32" t="s">
        <v>440</v>
      </c>
      <c r="B99" s="99" t="s">
        <v>441</v>
      </c>
      <c r="C99" s="388" t="s">
        <v>1803</v>
      </c>
      <c r="D99" s="389">
        <v>10.0</v>
      </c>
    </row>
    <row r="100">
      <c r="A100" s="32" t="s">
        <v>445</v>
      </c>
      <c r="B100" s="99" t="s">
        <v>446</v>
      </c>
      <c r="C100" s="388" t="s">
        <v>2063</v>
      </c>
      <c r="D100" s="389">
        <v>10.0</v>
      </c>
    </row>
    <row r="101">
      <c r="A101" s="32" t="s">
        <v>449</v>
      </c>
      <c r="B101" s="99" t="s">
        <v>450</v>
      </c>
      <c r="C101" s="388" t="s">
        <v>2063</v>
      </c>
      <c r="D101" s="389">
        <v>15.0</v>
      </c>
    </row>
    <row r="102">
      <c r="A102" s="32" t="s">
        <v>453</v>
      </c>
      <c r="B102" s="99" t="s">
        <v>454</v>
      </c>
      <c r="C102" s="388" t="s">
        <v>2064</v>
      </c>
      <c r="D102" s="389">
        <v>15.0</v>
      </c>
    </row>
    <row r="103">
      <c r="A103" s="32" t="s">
        <v>458</v>
      </c>
      <c r="B103" s="99" t="s">
        <v>459</v>
      </c>
      <c r="C103" s="388" t="s">
        <v>2064</v>
      </c>
      <c r="D103" s="389">
        <v>10.0</v>
      </c>
    </row>
    <row r="104">
      <c r="A104" s="32" t="s">
        <v>463</v>
      </c>
      <c r="B104" s="99" t="s">
        <v>464</v>
      </c>
      <c r="C104" s="388" t="s">
        <v>2065</v>
      </c>
      <c r="D104" s="389">
        <v>5.0</v>
      </c>
    </row>
    <row r="105">
      <c r="A105" s="32" t="s">
        <v>470</v>
      </c>
      <c r="B105" s="99" t="s">
        <v>471</v>
      </c>
      <c r="C105" s="388" t="s">
        <v>2066</v>
      </c>
      <c r="D105" s="389">
        <v>1.0</v>
      </c>
    </row>
    <row r="106">
      <c r="A106" s="32" t="s">
        <v>474</v>
      </c>
      <c r="B106" s="99" t="s">
        <v>475</v>
      </c>
      <c r="C106" s="388" t="s">
        <v>2067</v>
      </c>
      <c r="D106" s="389">
        <v>1.0</v>
      </c>
    </row>
    <row r="107">
      <c r="A107" s="32" t="s">
        <v>478</v>
      </c>
      <c r="B107" s="99" t="s">
        <v>479</v>
      </c>
      <c r="C107" s="388" t="s">
        <v>2069</v>
      </c>
      <c r="D107" s="389">
        <v>3.0</v>
      </c>
    </row>
    <row r="108">
      <c r="A108" s="32" t="s">
        <v>487</v>
      </c>
      <c r="B108" s="99" t="s">
        <v>488</v>
      </c>
      <c r="C108" s="388" t="s">
        <v>1802</v>
      </c>
      <c r="D108" s="389">
        <v>20.0</v>
      </c>
    </row>
    <row r="109">
      <c r="A109" s="32" t="s">
        <v>492</v>
      </c>
      <c r="B109" s="99" t="s">
        <v>1942</v>
      </c>
      <c r="C109" s="388" t="s">
        <v>2071</v>
      </c>
      <c r="D109" s="389">
        <v>10.0</v>
      </c>
    </row>
    <row r="110">
      <c r="A110" s="32" t="s">
        <v>496</v>
      </c>
      <c r="B110" s="99" t="s">
        <v>497</v>
      </c>
      <c r="C110" s="388" t="s">
        <v>2072</v>
      </c>
      <c r="D110" s="389">
        <v>10.0</v>
      </c>
    </row>
    <row r="111">
      <c r="A111" s="32" t="s">
        <v>500</v>
      </c>
      <c r="B111" s="99" t="s">
        <v>501</v>
      </c>
      <c r="C111" s="388" t="s">
        <v>2073</v>
      </c>
      <c r="D111" s="389">
        <v>10.0</v>
      </c>
    </row>
    <row r="112">
      <c r="A112" s="32" t="s">
        <v>504</v>
      </c>
      <c r="B112" s="99" t="s">
        <v>505</v>
      </c>
      <c r="C112" s="388" t="s">
        <v>2075</v>
      </c>
      <c r="D112" s="389">
        <v>100.0</v>
      </c>
    </row>
    <row r="113">
      <c r="A113" s="32" t="s">
        <v>508</v>
      </c>
      <c r="B113" s="99" t="s">
        <v>509</v>
      </c>
      <c r="C113" s="388" t="s">
        <v>2076</v>
      </c>
      <c r="D113" s="389">
        <v>50.0</v>
      </c>
    </row>
    <row r="114">
      <c r="A114" s="32" t="s">
        <v>512</v>
      </c>
      <c r="B114" s="99" t="s">
        <v>513</v>
      </c>
      <c r="C114" s="388" t="s">
        <v>2077</v>
      </c>
      <c r="D114" s="389">
        <v>50.0</v>
      </c>
    </row>
    <row r="115">
      <c r="A115" s="32" t="s">
        <v>521</v>
      </c>
      <c r="B115" s="99" t="s">
        <v>522</v>
      </c>
      <c r="C115" s="388" t="s">
        <v>1844</v>
      </c>
      <c r="D115" s="389">
        <v>100.0</v>
      </c>
    </row>
    <row r="116">
      <c r="A116" s="32" t="s">
        <v>516</v>
      </c>
      <c r="B116" s="99" t="s">
        <v>517</v>
      </c>
      <c r="C116" s="388" t="s">
        <v>1844</v>
      </c>
      <c r="D116" s="389">
        <v>100.0</v>
      </c>
    </row>
    <row r="117">
      <c r="A117" s="32" t="s">
        <v>529</v>
      </c>
      <c r="B117" s="99" t="s">
        <v>530</v>
      </c>
      <c r="C117" s="388" t="s">
        <v>1845</v>
      </c>
      <c r="D117" s="389">
        <v>100.0</v>
      </c>
    </row>
    <row r="118">
      <c r="A118" s="32" t="s">
        <v>525</v>
      </c>
      <c r="B118" s="99" t="s">
        <v>526</v>
      </c>
      <c r="C118" s="388" t="s">
        <v>1845</v>
      </c>
      <c r="D118" s="389">
        <v>100.0</v>
      </c>
    </row>
    <row r="119">
      <c r="A119" s="32" t="s">
        <v>565</v>
      </c>
      <c r="B119" s="99" t="s">
        <v>566</v>
      </c>
      <c r="C119" s="388" t="s">
        <v>1846</v>
      </c>
      <c r="D119" s="389">
        <v>50.0</v>
      </c>
    </row>
    <row r="120">
      <c r="A120" s="32" t="s">
        <v>573</v>
      </c>
      <c r="B120" s="99" t="s">
        <v>574</v>
      </c>
      <c r="C120" s="388" t="s">
        <v>1846</v>
      </c>
      <c r="D120" s="389">
        <v>50.0</v>
      </c>
    </row>
    <row r="121">
      <c r="A121" s="32" t="s">
        <v>533</v>
      </c>
      <c r="B121" s="99" t="s">
        <v>534</v>
      </c>
      <c r="C121" s="388" t="s">
        <v>1850</v>
      </c>
      <c r="D121" s="389">
        <v>20.0</v>
      </c>
    </row>
    <row r="122">
      <c r="A122" s="32" t="s">
        <v>549</v>
      </c>
      <c r="B122" s="99" t="s">
        <v>550</v>
      </c>
      <c r="C122" s="388" t="s">
        <v>1850</v>
      </c>
      <c r="D122" s="389">
        <v>20.0</v>
      </c>
    </row>
    <row r="123">
      <c r="A123" s="32" t="s">
        <v>569</v>
      </c>
      <c r="B123" s="99" t="s">
        <v>570</v>
      </c>
      <c r="C123" s="388" t="s">
        <v>1851</v>
      </c>
      <c r="D123" s="389">
        <v>50.0</v>
      </c>
    </row>
    <row r="124">
      <c r="A124" s="32" t="s">
        <v>537</v>
      </c>
      <c r="B124" s="99" t="s">
        <v>538</v>
      </c>
      <c r="C124" s="388" t="s">
        <v>1851</v>
      </c>
      <c r="D124" s="389">
        <v>50.0</v>
      </c>
    </row>
    <row r="125">
      <c r="A125" s="32" t="s">
        <v>553</v>
      </c>
      <c r="B125" s="99" t="s">
        <v>554</v>
      </c>
      <c r="C125" s="388" t="s">
        <v>1852</v>
      </c>
      <c r="D125" s="389">
        <v>20.0</v>
      </c>
    </row>
    <row r="126">
      <c r="A126" s="32" t="s">
        <v>577</v>
      </c>
      <c r="B126" s="99" t="s">
        <v>578</v>
      </c>
      <c r="C126" s="388" t="s">
        <v>1852</v>
      </c>
      <c r="D126" s="389">
        <v>20.0</v>
      </c>
    </row>
    <row r="127">
      <c r="A127" s="32" t="s">
        <v>541</v>
      </c>
      <c r="B127" s="99" t="s">
        <v>542</v>
      </c>
      <c r="C127" s="388" t="s">
        <v>1853</v>
      </c>
      <c r="D127" s="389">
        <v>100.0</v>
      </c>
    </row>
    <row r="128">
      <c r="A128" s="32" t="s">
        <v>557</v>
      </c>
      <c r="B128" s="99" t="s">
        <v>558</v>
      </c>
      <c r="C128" s="388" t="s">
        <v>1853</v>
      </c>
      <c r="D128" s="389">
        <v>100.0</v>
      </c>
    </row>
    <row r="129">
      <c r="A129" s="32" t="s">
        <v>581</v>
      </c>
      <c r="B129" s="99" t="s">
        <v>582</v>
      </c>
      <c r="C129" s="388" t="s">
        <v>1854</v>
      </c>
      <c r="D129" s="389">
        <v>50.0</v>
      </c>
    </row>
    <row r="130">
      <c r="A130" s="32" t="s">
        <v>545</v>
      </c>
      <c r="B130" s="99" t="s">
        <v>546</v>
      </c>
      <c r="C130" s="388" t="s">
        <v>1854</v>
      </c>
      <c r="D130" s="389">
        <v>50.0</v>
      </c>
    </row>
    <row r="131">
      <c r="A131" s="32" t="s">
        <v>561</v>
      </c>
      <c r="B131" s="99" t="s">
        <v>562</v>
      </c>
      <c r="C131" s="388" t="s">
        <v>1855</v>
      </c>
      <c r="D131" s="389">
        <v>20.0</v>
      </c>
    </row>
    <row r="132">
      <c r="A132" s="32" t="s">
        <v>585</v>
      </c>
      <c r="B132" s="99" t="s">
        <v>1860</v>
      </c>
      <c r="C132" s="388" t="s">
        <v>1861</v>
      </c>
      <c r="D132" s="389">
        <v>20.0</v>
      </c>
    </row>
    <row r="133">
      <c r="A133" s="32" t="s">
        <v>589</v>
      </c>
      <c r="B133" s="99" t="s">
        <v>590</v>
      </c>
      <c r="C133" s="388" t="s">
        <v>1842</v>
      </c>
      <c r="D133" s="389">
        <v>20.0</v>
      </c>
    </row>
    <row r="134">
      <c r="A134" s="32" t="s">
        <v>593</v>
      </c>
      <c r="B134" s="99" t="s">
        <v>594</v>
      </c>
      <c r="C134" s="388" t="s">
        <v>1842</v>
      </c>
      <c r="D134" s="389">
        <v>20.0</v>
      </c>
    </row>
    <row r="135">
      <c r="A135" s="32" t="s">
        <v>597</v>
      </c>
      <c r="B135" s="99" t="s">
        <v>1862</v>
      </c>
      <c r="C135" s="388" t="s">
        <v>1863</v>
      </c>
      <c r="D135" s="389">
        <v>20.0</v>
      </c>
    </row>
    <row r="136">
      <c r="A136" s="32" t="s">
        <v>602</v>
      </c>
      <c r="B136" s="99" t="s">
        <v>603</v>
      </c>
      <c r="C136" s="388" t="s">
        <v>2079</v>
      </c>
      <c r="D136" s="389">
        <v>500.0</v>
      </c>
    </row>
    <row r="137">
      <c r="A137" s="32" t="s">
        <v>606</v>
      </c>
      <c r="B137" s="99" t="s">
        <v>607</v>
      </c>
      <c r="C137" s="388" t="s">
        <v>2080</v>
      </c>
      <c r="D137" s="389">
        <v>500.0</v>
      </c>
    </row>
    <row r="138">
      <c r="A138" s="32" t="s">
        <v>609</v>
      </c>
      <c r="B138" s="99" t="s">
        <v>610</v>
      </c>
      <c r="C138" s="388" t="s">
        <v>2081</v>
      </c>
      <c r="D138" s="389">
        <v>500.0</v>
      </c>
    </row>
    <row r="139">
      <c r="A139" s="32" t="s">
        <v>613</v>
      </c>
      <c r="B139" s="99" t="s">
        <v>614</v>
      </c>
      <c r="C139" s="388" t="s">
        <v>2082</v>
      </c>
      <c r="D139" s="389">
        <v>500.0</v>
      </c>
    </row>
    <row r="140">
      <c r="A140" s="32" t="s">
        <v>617</v>
      </c>
      <c r="B140" s="99" t="s">
        <v>618</v>
      </c>
      <c r="C140" s="388" t="s">
        <v>2083</v>
      </c>
      <c r="D140" s="389">
        <v>500.0</v>
      </c>
    </row>
    <row r="141">
      <c r="A141" s="32" t="s">
        <v>621</v>
      </c>
      <c r="B141" s="99" t="s">
        <v>622</v>
      </c>
      <c r="C141" s="388" t="s">
        <v>2084</v>
      </c>
      <c r="D141" s="389">
        <v>100.0</v>
      </c>
    </row>
    <row r="142">
      <c r="A142" s="32" t="s">
        <v>625</v>
      </c>
      <c r="B142" s="99" t="s">
        <v>626</v>
      </c>
      <c r="C142" s="388" t="s">
        <v>1788</v>
      </c>
      <c r="D142" s="389">
        <v>20.0</v>
      </c>
    </row>
    <row r="143">
      <c r="A143" s="32" t="s">
        <v>629</v>
      </c>
      <c r="B143" s="99" t="s">
        <v>630</v>
      </c>
      <c r="C143" s="388" t="s">
        <v>1843</v>
      </c>
      <c r="D143" s="389">
        <v>20.0</v>
      </c>
    </row>
    <row r="144">
      <c r="A144" s="32" t="s">
        <v>633</v>
      </c>
      <c r="B144" s="99" t="s">
        <v>634</v>
      </c>
      <c r="C144" s="388" t="s">
        <v>1843</v>
      </c>
      <c r="D144" s="389">
        <v>20.0</v>
      </c>
    </row>
    <row r="145">
      <c r="A145" s="32" t="s">
        <v>637</v>
      </c>
      <c r="B145" s="99" t="s">
        <v>1804</v>
      </c>
      <c r="C145" s="388" t="s">
        <v>1802</v>
      </c>
      <c r="D145" s="389">
        <v>20.0</v>
      </c>
    </row>
    <row r="146">
      <c r="A146" s="32" t="s">
        <v>641</v>
      </c>
      <c r="B146" s="99" t="s">
        <v>642</v>
      </c>
      <c r="C146" s="388" t="s">
        <v>1828</v>
      </c>
      <c r="D146" s="389">
        <v>20.0</v>
      </c>
    </row>
    <row r="147">
      <c r="A147" s="32" t="s">
        <v>645</v>
      </c>
      <c r="B147" s="99" t="s">
        <v>646</v>
      </c>
      <c r="C147" s="388" t="s">
        <v>1826</v>
      </c>
      <c r="D147" s="389">
        <v>20.0</v>
      </c>
    </row>
    <row r="148">
      <c r="A148" s="32" t="s">
        <v>649</v>
      </c>
      <c r="B148" s="99" t="s">
        <v>650</v>
      </c>
      <c r="C148" s="388" t="s">
        <v>1826</v>
      </c>
      <c r="D148" s="389">
        <v>20.0</v>
      </c>
    </row>
    <row r="149">
      <c r="A149" s="32" t="s">
        <v>653</v>
      </c>
      <c r="B149" s="99" t="s">
        <v>654</v>
      </c>
      <c r="C149" s="388" t="s">
        <v>1828</v>
      </c>
      <c r="D149" s="389">
        <v>20.0</v>
      </c>
    </row>
    <row r="150">
      <c r="A150" s="32" t="s">
        <v>661</v>
      </c>
      <c r="B150" s="99" t="s">
        <v>662</v>
      </c>
      <c r="C150" s="388" t="s">
        <v>1753</v>
      </c>
      <c r="D150" s="389">
        <v>100.0</v>
      </c>
    </row>
    <row r="151">
      <c r="A151" s="32" t="s">
        <v>789</v>
      </c>
      <c r="B151" s="99" t="s">
        <v>1757</v>
      </c>
      <c r="C151" s="388" t="s">
        <v>1753</v>
      </c>
      <c r="D151" s="389">
        <v>100.0</v>
      </c>
    </row>
    <row r="152">
      <c r="A152" s="32" t="s">
        <v>697</v>
      </c>
      <c r="B152" s="99" t="s">
        <v>698</v>
      </c>
      <c r="C152" s="388" t="s">
        <v>1762</v>
      </c>
      <c r="D152" s="389">
        <v>100.0</v>
      </c>
    </row>
    <row r="153">
      <c r="A153" s="32" t="s">
        <v>705</v>
      </c>
      <c r="B153" s="99" t="s">
        <v>706</v>
      </c>
      <c r="C153" s="388" t="s">
        <v>1762</v>
      </c>
      <c r="D153" s="389">
        <v>100.0</v>
      </c>
    </row>
    <row r="154">
      <c r="A154" s="32" t="s">
        <v>717</v>
      </c>
      <c r="B154" s="99" t="s">
        <v>718</v>
      </c>
      <c r="C154" s="388" t="s">
        <v>1771</v>
      </c>
      <c r="D154" s="389">
        <v>100.0</v>
      </c>
    </row>
    <row r="155">
      <c r="A155" s="32" t="s">
        <v>733</v>
      </c>
      <c r="B155" s="99" t="s">
        <v>734</v>
      </c>
      <c r="C155" s="388" t="s">
        <v>1771</v>
      </c>
      <c r="D155" s="389">
        <v>100.0</v>
      </c>
    </row>
    <row r="156">
      <c r="A156" s="32" t="s">
        <v>817</v>
      </c>
      <c r="B156" s="99" t="s">
        <v>1779</v>
      </c>
      <c r="C156" s="388" t="s">
        <v>1780</v>
      </c>
      <c r="D156" s="389">
        <v>100.0</v>
      </c>
    </row>
    <row r="157">
      <c r="A157" s="32" t="s">
        <v>753</v>
      </c>
      <c r="B157" s="99" t="s">
        <v>754</v>
      </c>
      <c r="C157" s="388" t="s">
        <v>1780</v>
      </c>
      <c r="D157" s="389">
        <v>100.0</v>
      </c>
    </row>
    <row r="158">
      <c r="A158" s="32" t="s">
        <v>773</v>
      </c>
      <c r="B158" s="99" t="s">
        <v>774</v>
      </c>
      <c r="C158" s="388" t="s">
        <v>1785</v>
      </c>
      <c r="D158" s="389">
        <v>100.0</v>
      </c>
    </row>
    <row r="159">
      <c r="A159" s="32" t="s">
        <v>657</v>
      </c>
      <c r="B159" s="99" t="s">
        <v>658</v>
      </c>
      <c r="C159" s="388" t="s">
        <v>1785</v>
      </c>
      <c r="D159" s="389">
        <v>100.0</v>
      </c>
    </row>
    <row r="160">
      <c r="A160" s="32" t="s">
        <v>781</v>
      </c>
      <c r="B160" s="99" t="s">
        <v>1792</v>
      </c>
      <c r="C160" s="388" t="s">
        <v>1793</v>
      </c>
      <c r="D160" s="389">
        <v>100.0</v>
      </c>
    </row>
    <row r="161">
      <c r="A161" s="32" t="s">
        <v>689</v>
      </c>
      <c r="B161" s="99" t="s">
        <v>690</v>
      </c>
      <c r="C161" s="388" t="s">
        <v>1793</v>
      </c>
      <c r="D161" s="389">
        <v>100.0</v>
      </c>
    </row>
    <row r="162">
      <c r="A162" s="32" t="s">
        <v>797</v>
      </c>
      <c r="B162" s="99" t="s">
        <v>1799</v>
      </c>
      <c r="C162" s="388" t="s">
        <v>1800</v>
      </c>
      <c r="D162" s="389">
        <v>100.0</v>
      </c>
    </row>
    <row r="163">
      <c r="A163" s="32" t="s">
        <v>709</v>
      </c>
      <c r="B163" s="99" t="s">
        <v>710</v>
      </c>
      <c r="C163" s="388" t="s">
        <v>1800</v>
      </c>
      <c r="D163" s="389">
        <v>100.0</v>
      </c>
    </row>
    <row r="164">
      <c r="A164" s="32" t="s">
        <v>725</v>
      </c>
      <c r="B164" s="99" t="s">
        <v>726</v>
      </c>
      <c r="C164" s="388" t="s">
        <v>1805</v>
      </c>
      <c r="D164" s="389">
        <v>100.0</v>
      </c>
    </row>
    <row r="165">
      <c r="A165" s="32" t="s">
        <v>809</v>
      </c>
      <c r="B165" s="99" t="s">
        <v>1808</v>
      </c>
      <c r="C165" s="388" t="s">
        <v>1805</v>
      </c>
      <c r="D165" s="389">
        <v>100.0</v>
      </c>
    </row>
    <row r="166">
      <c r="A166" s="32" t="s">
        <v>745</v>
      </c>
      <c r="B166" s="99" t="s">
        <v>746</v>
      </c>
      <c r="C166" s="388" t="s">
        <v>1810</v>
      </c>
      <c r="D166" s="389">
        <v>100.0</v>
      </c>
    </row>
    <row r="167">
      <c r="A167" s="32" t="s">
        <v>765</v>
      </c>
      <c r="B167" s="99" t="s">
        <v>766</v>
      </c>
      <c r="C167" s="388" t="s">
        <v>1810</v>
      </c>
      <c r="D167" s="389">
        <v>100.0</v>
      </c>
    </row>
    <row r="168">
      <c r="A168" s="32" t="s">
        <v>677</v>
      </c>
      <c r="B168" s="99" t="s">
        <v>678</v>
      </c>
      <c r="C168" s="388" t="s">
        <v>1816</v>
      </c>
      <c r="D168" s="389">
        <v>100.0</v>
      </c>
    </row>
    <row r="169">
      <c r="A169" s="32" t="s">
        <v>685</v>
      </c>
      <c r="B169" s="99" t="s">
        <v>686</v>
      </c>
      <c r="C169" s="388" t="s">
        <v>1816</v>
      </c>
      <c r="D169" s="389">
        <v>100.0</v>
      </c>
    </row>
    <row r="170">
      <c r="A170" s="32" t="s">
        <v>741</v>
      </c>
      <c r="B170" s="99" t="s">
        <v>742</v>
      </c>
      <c r="C170" s="388" t="s">
        <v>1821</v>
      </c>
      <c r="D170" s="389">
        <v>100.0</v>
      </c>
    </row>
    <row r="171">
      <c r="A171" s="32" t="s">
        <v>665</v>
      </c>
      <c r="B171" s="99" t="s">
        <v>666</v>
      </c>
      <c r="C171" s="388" t="s">
        <v>1821</v>
      </c>
      <c r="D171" s="389">
        <v>100.0</v>
      </c>
    </row>
    <row r="172">
      <c r="A172" s="32" t="s">
        <v>793</v>
      </c>
      <c r="B172" s="99" t="s">
        <v>794</v>
      </c>
      <c r="C172" s="388" t="s">
        <v>1825</v>
      </c>
      <c r="D172" s="389">
        <v>100.0</v>
      </c>
    </row>
    <row r="173">
      <c r="A173" s="32" t="s">
        <v>701</v>
      </c>
      <c r="B173" s="99" t="s">
        <v>702</v>
      </c>
      <c r="C173" s="388" t="s">
        <v>1825</v>
      </c>
      <c r="D173" s="389">
        <v>100.0</v>
      </c>
    </row>
    <row r="174">
      <c r="A174" s="32" t="s">
        <v>805</v>
      </c>
      <c r="B174" s="99" t="s">
        <v>806</v>
      </c>
      <c r="C174" s="388" t="s">
        <v>1827</v>
      </c>
      <c r="D174" s="389">
        <v>100.0</v>
      </c>
    </row>
    <row r="175">
      <c r="A175" s="32" t="s">
        <v>721</v>
      </c>
      <c r="B175" s="99" t="s">
        <v>722</v>
      </c>
      <c r="C175" s="388" t="s">
        <v>1827</v>
      </c>
      <c r="D175" s="389">
        <v>100.0</v>
      </c>
    </row>
    <row r="176">
      <c r="A176" s="32" t="s">
        <v>737</v>
      </c>
      <c r="B176" s="99" t="s">
        <v>738</v>
      </c>
      <c r="C176" s="388" t="s">
        <v>1829</v>
      </c>
      <c r="D176" s="389">
        <v>100.0</v>
      </c>
    </row>
    <row r="177">
      <c r="A177" s="32" t="s">
        <v>821</v>
      </c>
      <c r="B177" s="99" t="s">
        <v>822</v>
      </c>
      <c r="C177" s="388" t="s">
        <v>1829</v>
      </c>
      <c r="D177" s="389">
        <v>100.0</v>
      </c>
    </row>
    <row r="178">
      <c r="A178" s="32" t="s">
        <v>757</v>
      </c>
      <c r="B178" s="99" t="s">
        <v>758</v>
      </c>
      <c r="C178" s="388" t="s">
        <v>1832</v>
      </c>
      <c r="D178" s="389">
        <v>100.0</v>
      </c>
    </row>
    <row r="179">
      <c r="A179" s="32" t="s">
        <v>777</v>
      </c>
      <c r="B179" s="99" t="s">
        <v>778</v>
      </c>
      <c r="C179" s="388" t="s">
        <v>1832</v>
      </c>
      <c r="D179" s="389">
        <v>100.0</v>
      </c>
    </row>
    <row r="180">
      <c r="A180" s="32" t="s">
        <v>669</v>
      </c>
      <c r="B180" s="99" t="s">
        <v>670</v>
      </c>
      <c r="C180" s="388" t="s">
        <v>1835</v>
      </c>
      <c r="D180" s="389">
        <v>100.0</v>
      </c>
    </row>
    <row r="181">
      <c r="A181" s="32" t="s">
        <v>785</v>
      </c>
      <c r="B181" s="99" t="s">
        <v>786</v>
      </c>
      <c r="C181" s="388" t="s">
        <v>1835</v>
      </c>
      <c r="D181" s="389">
        <v>100.0</v>
      </c>
    </row>
    <row r="182">
      <c r="A182" s="32" t="s">
        <v>673</v>
      </c>
      <c r="B182" s="99" t="s">
        <v>674</v>
      </c>
      <c r="C182" s="388" t="s">
        <v>1836</v>
      </c>
      <c r="D182" s="389">
        <v>100.0</v>
      </c>
    </row>
    <row r="183">
      <c r="A183" s="32" t="s">
        <v>693</v>
      </c>
      <c r="B183" s="99" t="s">
        <v>694</v>
      </c>
      <c r="C183" s="388" t="s">
        <v>1836</v>
      </c>
      <c r="D183" s="389">
        <v>100.0</v>
      </c>
    </row>
    <row r="184">
      <c r="A184" s="32" t="s">
        <v>801</v>
      </c>
      <c r="B184" s="99" t="s">
        <v>802</v>
      </c>
      <c r="C184" s="388" t="s">
        <v>1837</v>
      </c>
      <c r="D184" s="389">
        <v>100.0</v>
      </c>
    </row>
    <row r="185">
      <c r="A185" s="32" t="s">
        <v>713</v>
      </c>
      <c r="B185" s="99" t="s">
        <v>714</v>
      </c>
      <c r="C185" s="388" t="s">
        <v>1837</v>
      </c>
      <c r="D185" s="389">
        <v>100.0</v>
      </c>
    </row>
    <row r="186">
      <c r="A186" s="32" t="s">
        <v>729</v>
      </c>
      <c r="B186" s="99" t="s">
        <v>730</v>
      </c>
      <c r="C186" s="388" t="s">
        <v>1838</v>
      </c>
      <c r="D186" s="389">
        <v>100.0</v>
      </c>
    </row>
    <row r="187">
      <c r="A187" s="32" t="s">
        <v>813</v>
      </c>
      <c r="B187" s="99" t="s">
        <v>814</v>
      </c>
      <c r="C187" s="388" t="s">
        <v>1838</v>
      </c>
      <c r="D187" s="389">
        <v>100.0</v>
      </c>
    </row>
    <row r="188">
      <c r="A188" s="32" t="s">
        <v>749</v>
      </c>
      <c r="B188" s="99" t="s">
        <v>750</v>
      </c>
      <c r="C188" s="388" t="s">
        <v>1839</v>
      </c>
      <c r="D188" s="389">
        <v>100.0</v>
      </c>
    </row>
    <row r="189">
      <c r="A189" s="32" t="s">
        <v>761</v>
      </c>
      <c r="B189" s="99" t="s">
        <v>762</v>
      </c>
      <c r="C189" s="388" t="s">
        <v>1839</v>
      </c>
      <c r="D189" s="389">
        <v>100.0</v>
      </c>
    </row>
    <row r="190">
      <c r="A190" s="32" t="s">
        <v>769</v>
      </c>
      <c r="B190" s="99" t="s">
        <v>770</v>
      </c>
      <c r="C190" s="388" t="s">
        <v>1840</v>
      </c>
      <c r="D190" s="389">
        <v>100.0</v>
      </c>
    </row>
    <row r="191">
      <c r="A191" s="32" t="s">
        <v>681</v>
      </c>
      <c r="B191" s="99" t="s">
        <v>682</v>
      </c>
      <c r="C191" s="388" t="s">
        <v>1840</v>
      </c>
      <c r="D191" s="389">
        <v>100.0</v>
      </c>
    </row>
    <row r="192">
      <c r="A192" s="32" t="s">
        <v>825</v>
      </c>
      <c r="B192" s="99" t="s">
        <v>826</v>
      </c>
      <c r="C192" s="388" t="s">
        <v>1857</v>
      </c>
      <c r="D192" s="389">
        <v>100.0</v>
      </c>
    </row>
    <row r="193">
      <c r="A193" s="32" t="s">
        <v>829</v>
      </c>
      <c r="B193" s="99" t="s">
        <v>830</v>
      </c>
      <c r="C193" s="388" t="s">
        <v>1857</v>
      </c>
      <c r="D193" s="389">
        <v>50.0</v>
      </c>
    </row>
    <row r="194">
      <c r="A194" s="32" t="s">
        <v>833</v>
      </c>
      <c r="B194" s="99" t="s">
        <v>834</v>
      </c>
      <c r="C194" s="388" t="s">
        <v>1859</v>
      </c>
      <c r="D194" s="389">
        <v>50.0</v>
      </c>
    </row>
    <row r="195">
      <c r="A195" s="32" t="s">
        <v>837</v>
      </c>
      <c r="B195" s="99" t="s">
        <v>838</v>
      </c>
      <c r="C195" s="388" t="s">
        <v>1859</v>
      </c>
      <c r="D195" s="389">
        <v>50.0</v>
      </c>
    </row>
    <row r="196">
      <c r="A196" s="32" t="s">
        <v>841</v>
      </c>
      <c r="B196" s="99" t="s">
        <v>842</v>
      </c>
      <c r="C196" s="388" t="s">
        <v>1833</v>
      </c>
      <c r="D196" s="389">
        <v>50.0</v>
      </c>
    </row>
    <row r="197">
      <c r="A197" s="32" t="s">
        <v>845</v>
      </c>
      <c r="B197" s="99" t="s">
        <v>2085</v>
      </c>
      <c r="C197" s="388" t="s">
        <v>1864</v>
      </c>
      <c r="D197" s="389">
        <v>20.0</v>
      </c>
    </row>
    <row r="198">
      <c r="A198" s="32" t="s">
        <v>849</v>
      </c>
      <c r="B198" s="99" t="s">
        <v>850</v>
      </c>
      <c r="C198" s="388" t="s">
        <v>1847</v>
      </c>
      <c r="D198" s="389">
        <v>100.0</v>
      </c>
    </row>
    <row r="199">
      <c r="A199" s="32" t="s">
        <v>853</v>
      </c>
      <c r="B199" s="99" t="s">
        <v>854</v>
      </c>
      <c r="C199" s="388" t="s">
        <v>1848</v>
      </c>
      <c r="D199" s="389">
        <v>100.0</v>
      </c>
    </row>
    <row r="200">
      <c r="A200" s="32" t="s">
        <v>857</v>
      </c>
      <c r="B200" s="99" t="s">
        <v>858</v>
      </c>
      <c r="C200" s="388" t="s">
        <v>1848</v>
      </c>
      <c r="D200" s="389">
        <v>100.0</v>
      </c>
    </row>
    <row r="201">
      <c r="A201" s="32" t="s">
        <v>861</v>
      </c>
      <c r="B201" s="99" t="s">
        <v>862</v>
      </c>
      <c r="C201" s="388" t="s">
        <v>1848</v>
      </c>
      <c r="D201" s="389">
        <v>100.0</v>
      </c>
    </row>
    <row r="202">
      <c r="A202" s="32" t="s">
        <v>865</v>
      </c>
      <c r="B202" s="99" t="s">
        <v>866</v>
      </c>
      <c r="C202" s="388" t="s">
        <v>1849</v>
      </c>
      <c r="D202" s="389">
        <v>100.0</v>
      </c>
    </row>
    <row r="203">
      <c r="A203" s="32" t="s">
        <v>869</v>
      </c>
      <c r="B203" s="99" t="s">
        <v>870</v>
      </c>
      <c r="C203" s="388" t="s">
        <v>1847</v>
      </c>
      <c r="D203" s="389">
        <v>100.0</v>
      </c>
    </row>
    <row r="204">
      <c r="A204" s="32" t="s">
        <v>873</v>
      </c>
      <c r="B204" s="99" t="s">
        <v>874</v>
      </c>
      <c r="C204" s="388" t="s">
        <v>1841</v>
      </c>
      <c r="D204" s="389">
        <v>20.0</v>
      </c>
    </row>
    <row r="205">
      <c r="A205" s="32" t="s">
        <v>877</v>
      </c>
      <c r="B205" s="99" t="s">
        <v>878</v>
      </c>
      <c r="C205" s="388" t="s">
        <v>1841</v>
      </c>
      <c r="D205" s="389">
        <v>20.0</v>
      </c>
    </row>
    <row r="206">
      <c r="A206" s="32" t="s">
        <v>881</v>
      </c>
      <c r="B206" s="99" t="s">
        <v>882</v>
      </c>
      <c r="C206" s="388" t="s">
        <v>1841</v>
      </c>
      <c r="D206" s="389">
        <v>20.0</v>
      </c>
    </row>
    <row r="207">
      <c r="A207" s="32" t="s">
        <v>885</v>
      </c>
      <c r="B207" s="99" t="s">
        <v>886</v>
      </c>
      <c r="C207" s="388" t="s">
        <v>1834</v>
      </c>
      <c r="D207" s="389">
        <v>20.0</v>
      </c>
    </row>
    <row r="208">
      <c r="A208" s="32" t="s">
        <v>889</v>
      </c>
      <c r="B208" s="99" t="s">
        <v>1754</v>
      </c>
      <c r="C208" s="388" t="s">
        <v>1755</v>
      </c>
      <c r="D208" s="389">
        <v>10.0</v>
      </c>
    </row>
    <row r="209">
      <c r="A209" s="32" t="s">
        <v>894</v>
      </c>
      <c r="B209" s="99" t="s">
        <v>895</v>
      </c>
      <c r="C209" s="388" t="s">
        <v>1756</v>
      </c>
      <c r="D209" s="389">
        <v>10.0</v>
      </c>
    </row>
    <row r="210">
      <c r="A210" s="390" t="s">
        <v>898</v>
      </c>
      <c r="B210" s="392" t="s">
        <v>899</v>
      </c>
      <c r="C210" s="388"/>
      <c r="D210" s="389">
        <v>1.0</v>
      </c>
    </row>
    <row r="211">
      <c r="A211" s="32" t="s">
        <v>902</v>
      </c>
      <c r="B211" s="99" t="s">
        <v>903</v>
      </c>
      <c r="C211" s="388" t="s">
        <v>2087</v>
      </c>
      <c r="D211" s="389">
        <v>5.0</v>
      </c>
    </row>
    <row r="212">
      <c r="A212" s="32" t="s">
        <v>906</v>
      </c>
      <c r="B212" s="99" t="s">
        <v>1955</v>
      </c>
      <c r="C212" s="388" t="s">
        <v>2088</v>
      </c>
      <c r="D212" s="389">
        <v>10.0</v>
      </c>
    </row>
    <row r="213">
      <c r="A213" s="32" t="s">
        <v>910</v>
      </c>
      <c r="B213" s="99" t="s">
        <v>911</v>
      </c>
      <c r="C213" s="388" t="s">
        <v>1752</v>
      </c>
      <c r="D213" s="389">
        <v>20.0</v>
      </c>
    </row>
    <row r="214">
      <c r="A214" s="32" t="s">
        <v>914</v>
      </c>
      <c r="B214" s="99" t="s">
        <v>1811</v>
      </c>
      <c r="C214" s="388" t="s">
        <v>1812</v>
      </c>
      <c r="D214" s="389">
        <v>10.0</v>
      </c>
    </row>
    <row r="215">
      <c r="A215" s="32" t="s">
        <v>918</v>
      </c>
      <c r="B215" s="99" t="s">
        <v>1820</v>
      </c>
      <c r="C215" s="388" t="s">
        <v>1819</v>
      </c>
      <c r="D215" s="389">
        <v>10.0</v>
      </c>
    </row>
    <row r="216">
      <c r="A216" s="32" t="s">
        <v>922</v>
      </c>
      <c r="B216" s="99" t="s">
        <v>923</v>
      </c>
      <c r="C216" s="388" t="s">
        <v>2090</v>
      </c>
      <c r="D216" s="389">
        <v>5.0</v>
      </c>
    </row>
    <row r="217">
      <c r="A217" s="32" t="s">
        <v>926</v>
      </c>
      <c r="B217" s="99" t="s">
        <v>927</v>
      </c>
      <c r="C217" s="388" t="s">
        <v>2091</v>
      </c>
      <c r="D217" s="389">
        <v>10.0</v>
      </c>
    </row>
    <row r="218">
      <c r="A218" s="32" t="s">
        <v>929</v>
      </c>
      <c r="B218" s="99" t="s">
        <v>930</v>
      </c>
      <c r="C218" s="388" t="s">
        <v>2092</v>
      </c>
      <c r="D218" s="389">
        <v>10.0</v>
      </c>
    </row>
    <row r="219">
      <c r="A219" s="390" t="s">
        <v>933</v>
      </c>
      <c r="B219" s="392" t="s">
        <v>934</v>
      </c>
      <c r="C219" s="388"/>
      <c r="D219" s="389">
        <v>15.0</v>
      </c>
    </row>
    <row r="220">
      <c r="A220" s="32" t="s">
        <v>939</v>
      </c>
      <c r="B220" s="99" t="s">
        <v>940</v>
      </c>
      <c r="C220" s="388" t="s">
        <v>1814</v>
      </c>
      <c r="D220" s="389">
        <v>5.0</v>
      </c>
    </row>
    <row r="221">
      <c r="A221" s="32" t="s">
        <v>942</v>
      </c>
      <c r="B221" s="99" t="s">
        <v>943</v>
      </c>
      <c r="C221" s="388" t="s">
        <v>1815</v>
      </c>
      <c r="D221" s="389">
        <v>5.0</v>
      </c>
    </row>
    <row r="222">
      <c r="A222" s="32" t="s">
        <v>946</v>
      </c>
      <c r="B222" s="99" t="s">
        <v>947</v>
      </c>
      <c r="C222" s="388" t="s">
        <v>1819</v>
      </c>
      <c r="D222" s="389">
        <v>5.0</v>
      </c>
    </row>
    <row r="223">
      <c r="A223" s="32" t="s">
        <v>949</v>
      </c>
      <c r="B223" s="99" t="s">
        <v>950</v>
      </c>
      <c r="C223" s="388" t="s">
        <v>1809</v>
      </c>
      <c r="D223" s="389">
        <v>10.0</v>
      </c>
    </row>
    <row r="224">
      <c r="A224" s="32" t="s">
        <v>953</v>
      </c>
      <c r="B224" s="99" t="s">
        <v>1958</v>
      </c>
      <c r="C224" s="388" t="s">
        <v>2061</v>
      </c>
      <c r="D224" s="389">
        <v>10.0</v>
      </c>
    </row>
    <row r="225">
      <c r="A225" s="32" t="s">
        <v>957</v>
      </c>
      <c r="B225" s="99" t="s">
        <v>1760</v>
      </c>
      <c r="C225" s="388" t="s">
        <v>1761</v>
      </c>
      <c r="D225" s="389">
        <v>5.0</v>
      </c>
    </row>
    <row r="226">
      <c r="A226" s="32" t="s">
        <v>961</v>
      </c>
      <c r="B226" s="99" t="s">
        <v>962</v>
      </c>
      <c r="C226" s="388" t="s">
        <v>2093</v>
      </c>
      <c r="D226" s="389">
        <v>10.0</v>
      </c>
    </row>
    <row r="227">
      <c r="A227" s="32" t="s">
        <v>965</v>
      </c>
      <c r="B227" s="99" t="s">
        <v>1959</v>
      </c>
      <c r="C227" s="388" t="s">
        <v>2094</v>
      </c>
      <c r="D227" s="389">
        <v>6.0</v>
      </c>
    </row>
    <row r="228">
      <c r="A228" s="32" t="s">
        <v>969</v>
      </c>
      <c r="B228" s="99" t="s">
        <v>970</v>
      </c>
      <c r="C228" s="388" t="s">
        <v>2095</v>
      </c>
      <c r="D228" s="389">
        <v>1.0</v>
      </c>
    </row>
    <row r="229">
      <c r="A229" s="32" t="s">
        <v>973</v>
      </c>
      <c r="B229" s="99" t="s">
        <v>974</v>
      </c>
      <c r="C229" s="388" t="s">
        <v>2096</v>
      </c>
      <c r="D229" s="389">
        <v>1.0</v>
      </c>
    </row>
    <row r="230">
      <c r="A230" s="32" t="s">
        <v>976</v>
      </c>
      <c r="B230" s="99" t="s">
        <v>977</v>
      </c>
      <c r="C230" s="388" t="s">
        <v>2095</v>
      </c>
      <c r="D230" s="389">
        <v>1.0</v>
      </c>
    </row>
    <row r="231">
      <c r="A231" s="32" t="s">
        <v>979</v>
      </c>
      <c r="B231" s="99" t="s">
        <v>980</v>
      </c>
      <c r="C231" s="388" t="s">
        <v>2097</v>
      </c>
      <c r="D231" s="389">
        <v>5.0</v>
      </c>
    </row>
    <row r="232">
      <c r="A232" s="32" t="s">
        <v>984</v>
      </c>
      <c r="B232" s="99" t="s">
        <v>985</v>
      </c>
      <c r="C232" s="388" t="s">
        <v>2097</v>
      </c>
      <c r="D232" s="389">
        <v>5.0</v>
      </c>
    </row>
    <row r="233">
      <c r="A233" s="32" t="s">
        <v>988</v>
      </c>
      <c r="B233" s="99" t="s">
        <v>989</v>
      </c>
      <c r="C233" s="388" t="s">
        <v>2097</v>
      </c>
      <c r="D233" s="389">
        <v>2.0</v>
      </c>
    </row>
    <row r="234">
      <c r="A234" s="32" t="s">
        <v>992</v>
      </c>
      <c r="B234" s="99" t="s">
        <v>993</v>
      </c>
      <c r="C234" s="388" t="s">
        <v>2098</v>
      </c>
      <c r="D234" s="389">
        <v>5.0</v>
      </c>
    </row>
    <row r="235">
      <c r="A235" s="32" t="s">
        <v>996</v>
      </c>
      <c r="B235" s="99" t="s">
        <v>997</v>
      </c>
      <c r="C235" s="388" t="s">
        <v>2098</v>
      </c>
      <c r="D235" s="389">
        <v>5.0</v>
      </c>
    </row>
    <row r="236">
      <c r="A236" s="32" t="s">
        <v>999</v>
      </c>
      <c r="B236" s="99" t="s">
        <v>1000</v>
      </c>
      <c r="C236" s="388" t="s">
        <v>2098</v>
      </c>
      <c r="D236" s="389">
        <v>5.0</v>
      </c>
    </row>
    <row r="237">
      <c r="A237" s="32" t="s">
        <v>1003</v>
      </c>
      <c r="B237" s="99" t="s">
        <v>1004</v>
      </c>
      <c r="C237" s="388" t="s">
        <v>2013</v>
      </c>
      <c r="D237" s="389">
        <v>1.0</v>
      </c>
    </row>
    <row r="238">
      <c r="A238" s="32" t="s">
        <v>1007</v>
      </c>
      <c r="B238" s="99" t="s">
        <v>1008</v>
      </c>
      <c r="C238" s="388" t="s">
        <v>2099</v>
      </c>
      <c r="D238" s="389">
        <v>1.0</v>
      </c>
    </row>
    <row r="239">
      <c r="A239" s="32" t="s">
        <v>1011</v>
      </c>
      <c r="B239" s="99" t="s">
        <v>1012</v>
      </c>
      <c r="C239" s="388" t="s">
        <v>2099</v>
      </c>
      <c r="D239" s="389">
        <v>1.0</v>
      </c>
    </row>
    <row r="240">
      <c r="A240" s="32" t="s">
        <v>1015</v>
      </c>
      <c r="B240" s="99" t="s">
        <v>1016</v>
      </c>
      <c r="C240" s="388" t="s">
        <v>2099</v>
      </c>
      <c r="D240" s="389">
        <v>1.0</v>
      </c>
    </row>
    <row r="241">
      <c r="A241" s="32" t="s">
        <v>1018</v>
      </c>
      <c r="B241" s="99" t="s">
        <v>1019</v>
      </c>
      <c r="C241" s="388" t="s">
        <v>2099</v>
      </c>
      <c r="D241" s="389">
        <v>1.0</v>
      </c>
    </row>
    <row r="242">
      <c r="A242" s="32" t="s">
        <v>1022</v>
      </c>
      <c r="B242" s="99" t="s">
        <v>1023</v>
      </c>
      <c r="C242" s="388" t="s">
        <v>2100</v>
      </c>
      <c r="D242" s="389">
        <v>10.0</v>
      </c>
    </row>
    <row r="243">
      <c r="A243" s="32" t="s">
        <v>1026</v>
      </c>
      <c r="B243" s="99" t="s">
        <v>1027</v>
      </c>
      <c r="C243" s="388" t="s">
        <v>2100</v>
      </c>
      <c r="D243" s="389">
        <v>10.0</v>
      </c>
    </row>
    <row r="244">
      <c r="A244" s="32" t="s">
        <v>1030</v>
      </c>
      <c r="B244" s="99" t="s">
        <v>1031</v>
      </c>
      <c r="C244" s="388" t="s">
        <v>2050</v>
      </c>
      <c r="D244" s="389">
        <v>1.0</v>
      </c>
    </row>
    <row r="245">
      <c r="A245" s="32" t="s">
        <v>1035</v>
      </c>
      <c r="B245" s="99" t="s">
        <v>1036</v>
      </c>
      <c r="C245" s="388" t="s">
        <v>2050</v>
      </c>
      <c r="D245" s="389">
        <v>2.0</v>
      </c>
    </row>
    <row r="246">
      <c r="A246" s="32" t="s">
        <v>1038</v>
      </c>
      <c r="B246" s="99" t="s">
        <v>1039</v>
      </c>
      <c r="C246" s="388" t="s">
        <v>2050</v>
      </c>
      <c r="D246" s="389">
        <v>1.0</v>
      </c>
    </row>
    <row r="247">
      <c r="A247" s="32" t="s">
        <v>1042</v>
      </c>
      <c r="B247" s="99" t="s">
        <v>1043</v>
      </c>
      <c r="C247" s="388" t="s">
        <v>2050</v>
      </c>
      <c r="D247" s="389">
        <v>1.0</v>
      </c>
    </row>
    <row r="248">
      <c r="A248" s="32" t="s">
        <v>1046</v>
      </c>
      <c r="B248" s="99" t="s">
        <v>1047</v>
      </c>
      <c r="C248" s="388" t="s">
        <v>2050</v>
      </c>
      <c r="D248" s="389">
        <v>1.0</v>
      </c>
    </row>
    <row r="249">
      <c r="A249" s="32" t="s">
        <v>1050</v>
      </c>
      <c r="B249" s="99" t="s">
        <v>1051</v>
      </c>
      <c r="C249" s="388" t="s">
        <v>2050</v>
      </c>
      <c r="D249" s="389">
        <v>1.0</v>
      </c>
    </row>
    <row r="250">
      <c r="A250" s="32" t="s">
        <v>1054</v>
      </c>
      <c r="B250" s="99" t="s">
        <v>1055</v>
      </c>
      <c r="C250" s="388" t="s">
        <v>2050</v>
      </c>
      <c r="D250" s="389">
        <v>1.0</v>
      </c>
    </row>
    <row r="251">
      <c r="A251" s="32" t="s">
        <v>1058</v>
      </c>
      <c r="B251" s="99" t="s">
        <v>1059</v>
      </c>
      <c r="C251" s="388" t="s">
        <v>2050</v>
      </c>
      <c r="D251" s="389">
        <v>1.0</v>
      </c>
    </row>
    <row r="252">
      <c r="A252" s="32" t="s">
        <v>1062</v>
      </c>
      <c r="B252" s="99" t="s">
        <v>1063</v>
      </c>
      <c r="C252" s="388" t="s">
        <v>2195</v>
      </c>
      <c r="D252" s="389">
        <v>2.0</v>
      </c>
    </row>
    <row r="253">
      <c r="A253" s="32" t="s">
        <v>1066</v>
      </c>
      <c r="B253" s="99" t="s">
        <v>1067</v>
      </c>
      <c r="C253" s="388" t="s">
        <v>2050</v>
      </c>
      <c r="D253" s="389">
        <v>1.0</v>
      </c>
    </row>
    <row r="254">
      <c r="A254" s="32" t="s">
        <v>1070</v>
      </c>
      <c r="B254" s="99" t="s">
        <v>1071</v>
      </c>
      <c r="C254" s="388" t="s">
        <v>2209</v>
      </c>
      <c r="D254" s="389">
        <v>10.0</v>
      </c>
    </row>
    <row r="255">
      <c r="A255" s="32" t="s">
        <v>1074</v>
      </c>
      <c r="B255" s="99" t="s">
        <v>1075</v>
      </c>
      <c r="C255" s="388" t="s">
        <v>2102</v>
      </c>
      <c r="D255" s="389">
        <v>4.0</v>
      </c>
    </row>
    <row r="256">
      <c r="A256" s="32" t="s">
        <v>1077</v>
      </c>
      <c r="B256" s="99" t="s">
        <v>1078</v>
      </c>
      <c r="C256" s="388" t="s">
        <v>2103</v>
      </c>
      <c r="D256" s="389">
        <v>50.0</v>
      </c>
    </row>
    <row r="257">
      <c r="A257" s="32" t="s">
        <v>1081</v>
      </c>
      <c r="B257" s="99" t="s">
        <v>1082</v>
      </c>
      <c r="C257" s="388" t="s">
        <v>2104</v>
      </c>
      <c r="D257" s="389">
        <v>1.0</v>
      </c>
    </row>
    <row r="258">
      <c r="A258" s="32" t="s">
        <v>1085</v>
      </c>
      <c r="B258" s="99" t="s">
        <v>1086</v>
      </c>
      <c r="C258" s="388" t="s">
        <v>2050</v>
      </c>
      <c r="D258" s="389">
        <v>2.0</v>
      </c>
    </row>
    <row r="259">
      <c r="A259" s="32" t="s">
        <v>1089</v>
      </c>
      <c r="B259" s="99" t="s">
        <v>1090</v>
      </c>
      <c r="C259" s="388" t="s">
        <v>2050</v>
      </c>
      <c r="D259" s="389">
        <v>2.0</v>
      </c>
    </row>
    <row r="260">
      <c r="A260" s="32" t="s">
        <v>1093</v>
      </c>
      <c r="B260" s="99" t="s">
        <v>1094</v>
      </c>
      <c r="C260" s="388" t="s">
        <v>2050</v>
      </c>
      <c r="D260" s="389">
        <v>2.0</v>
      </c>
    </row>
    <row r="261">
      <c r="A261" s="32" t="s">
        <v>1097</v>
      </c>
      <c r="B261" s="99" t="s">
        <v>1098</v>
      </c>
      <c r="C261" s="388" t="s">
        <v>2051</v>
      </c>
      <c r="D261" s="389">
        <v>25.0</v>
      </c>
    </row>
    <row r="262">
      <c r="A262" s="32" t="s">
        <v>1100</v>
      </c>
      <c r="B262" s="99" t="s">
        <v>1101</v>
      </c>
      <c r="C262" s="388" t="s">
        <v>2050</v>
      </c>
      <c r="D262" s="389" t="s">
        <v>56</v>
      </c>
    </row>
    <row r="263">
      <c r="A263" s="32" t="s">
        <v>1103</v>
      </c>
      <c r="B263" s="99" t="s">
        <v>1104</v>
      </c>
      <c r="C263" s="388" t="s">
        <v>2050</v>
      </c>
      <c r="D263" s="389" t="s">
        <v>56</v>
      </c>
    </row>
    <row r="264">
      <c r="A264" s="32" t="s">
        <v>1106</v>
      </c>
      <c r="B264" s="99" t="s">
        <v>1107</v>
      </c>
      <c r="C264" s="388" t="s">
        <v>2050</v>
      </c>
      <c r="D264" s="389" t="s">
        <v>56</v>
      </c>
    </row>
    <row r="265">
      <c r="A265" s="32" t="s">
        <v>1109</v>
      </c>
      <c r="B265" s="99" t="s">
        <v>1110</v>
      </c>
      <c r="C265" s="388" t="s">
        <v>2050</v>
      </c>
      <c r="D265" s="389" t="s">
        <v>56</v>
      </c>
    </row>
    <row r="266">
      <c r="A266" s="32" t="s">
        <v>1113</v>
      </c>
      <c r="B266" s="99" t="s">
        <v>1114</v>
      </c>
      <c r="C266" s="388" t="s">
        <v>2050</v>
      </c>
      <c r="D266" s="389" t="s">
        <v>56</v>
      </c>
    </row>
    <row r="267">
      <c r="A267" s="32" t="s">
        <v>1116</v>
      </c>
      <c r="B267" s="99" t="s">
        <v>1117</v>
      </c>
      <c r="C267" s="388" t="s">
        <v>2050</v>
      </c>
      <c r="D267" s="389" t="s">
        <v>56</v>
      </c>
    </row>
    <row r="268">
      <c r="A268" s="32" t="s">
        <v>1120</v>
      </c>
      <c r="B268" s="99" t="s">
        <v>1121</v>
      </c>
      <c r="C268" s="388" t="s">
        <v>2050</v>
      </c>
      <c r="D268" s="389">
        <v>1.0</v>
      </c>
    </row>
    <row r="269">
      <c r="A269" s="32" t="s">
        <v>1124</v>
      </c>
      <c r="B269" s="99" t="s">
        <v>1125</v>
      </c>
      <c r="C269" s="388" t="s">
        <v>2106</v>
      </c>
      <c r="D269" s="389">
        <v>1.0</v>
      </c>
    </row>
    <row r="270">
      <c r="A270" s="32" t="s">
        <v>1127</v>
      </c>
      <c r="B270" s="99" t="s">
        <v>1128</v>
      </c>
      <c r="C270" s="388" t="s">
        <v>2050</v>
      </c>
      <c r="D270" s="389">
        <v>1.0</v>
      </c>
    </row>
    <row r="271">
      <c r="A271" s="32" t="s">
        <v>1131</v>
      </c>
      <c r="B271" s="99" t="s">
        <v>1132</v>
      </c>
      <c r="C271" s="388" t="s">
        <v>2201</v>
      </c>
      <c r="D271" s="389">
        <v>1.0</v>
      </c>
    </row>
    <row r="272">
      <c r="A272" s="32" t="s">
        <v>1135</v>
      </c>
      <c r="B272" s="99" t="s">
        <v>1136</v>
      </c>
      <c r="C272" s="388" t="s">
        <v>2050</v>
      </c>
      <c r="D272" s="389">
        <v>1.0</v>
      </c>
    </row>
    <row r="273">
      <c r="A273" s="32" t="s">
        <v>1139</v>
      </c>
      <c r="B273" s="99" t="s">
        <v>1140</v>
      </c>
      <c r="C273" s="388" t="s">
        <v>2058</v>
      </c>
      <c r="D273" s="389">
        <v>10.0</v>
      </c>
    </row>
    <row r="274">
      <c r="A274" s="32" t="s">
        <v>1143</v>
      </c>
      <c r="B274" s="99" t="s">
        <v>1144</v>
      </c>
      <c r="C274" s="388" t="s">
        <v>2050</v>
      </c>
      <c r="D274" s="389">
        <v>1.0</v>
      </c>
    </row>
    <row r="275">
      <c r="A275" s="32" t="s">
        <v>1147</v>
      </c>
      <c r="B275" s="99" t="s">
        <v>1148</v>
      </c>
      <c r="C275" s="388" t="s">
        <v>2108</v>
      </c>
      <c r="D275" s="389">
        <v>2.0</v>
      </c>
    </row>
    <row r="276">
      <c r="A276" s="32" t="s">
        <v>1150</v>
      </c>
      <c r="B276" s="99" t="s">
        <v>1151</v>
      </c>
      <c r="C276" s="388" t="s">
        <v>2109</v>
      </c>
      <c r="D276" s="389">
        <v>10.0</v>
      </c>
    </row>
    <row r="277">
      <c r="A277" s="32" t="s">
        <v>1154</v>
      </c>
      <c r="B277" s="99" t="s">
        <v>1155</v>
      </c>
      <c r="C277" s="388" t="s">
        <v>2204</v>
      </c>
      <c r="D277" s="389">
        <v>10.0</v>
      </c>
    </row>
    <row r="278">
      <c r="A278" s="32" t="s">
        <v>1159</v>
      </c>
      <c r="B278" s="99" t="s">
        <v>1160</v>
      </c>
      <c r="C278" s="388" t="s">
        <v>2204</v>
      </c>
      <c r="D278" s="389">
        <v>5.0</v>
      </c>
    </row>
    <row r="279">
      <c r="A279" s="32" t="s">
        <v>1163</v>
      </c>
      <c r="B279" s="99" t="s">
        <v>1164</v>
      </c>
      <c r="C279" s="388" t="s">
        <v>2204</v>
      </c>
      <c r="D279" s="389">
        <v>8.0</v>
      </c>
    </row>
    <row r="280">
      <c r="A280" s="32" t="s">
        <v>1167</v>
      </c>
      <c r="B280" s="99" t="s">
        <v>1168</v>
      </c>
      <c r="C280" s="388" t="s">
        <v>2112</v>
      </c>
      <c r="D280" s="389">
        <v>2.0</v>
      </c>
    </row>
    <row r="281">
      <c r="A281" s="32" t="s">
        <v>1171</v>
      </c>
      <c r="B281" s="99" t="s">
        <v>1172</v>
      </c>
      <c r="C281" s="388" t="s">
        <v>2113</v>
      </c>
      <c r="D281" s="389">
        <v>1.0</v>
      </c>
    </row>
    <row r="282">
      <c r="A282" s="32" t="s">
        <v>1175</v>
      </c>
      <c r="B282" s="99" t="s">
        <v>1176</v>
      </c>
      <c r="C282" s="388" t="s">
        <v>2112</v>
      </c>
      <c r="D282" s="389">
        <v>1.0</v>
      </c>
    </row>
    <row r="283">
      <c r="A283" s="32" t="s">
        <v>1179</v>
      </c>
      <c r="B283" s="99" t="s">
        <v>1180</v>
      </c>
      <c r="C283" s="388" t="s">
        <v>2114</v>
      </c>
      <c r="D283" s="389">
        <v>20.0</v>
      </c>
    </row>
    <row r="284">
      <c r="A284" s="32" t="s">
        <v>1183</v>
      </c>
      <c r="B284" s="99" t="s">
        <v>1184</v>
      </c>
      <c r="C284" s="388" t="s">
        <v>2115</v>
      </c>
      <c r="D284" s="389">
        <v>1.0</v>
      </c>
    </row>
    <row r="285">
      <c r="A285" s="32" t="s">
        <v>1187</v>
      </c>
      <c r="B285" s="99" t="s">
        <v>1188</v>
      </c>
      <c r="C285" s="388" t="s">
        <v>2116</v>
      </c>
      <c r="D285" s="389">
        <v>1.0</v>
      </c>
    </row>
    <row r="286">
      <c r="A286" s="32" t="s">
        <v>1191</v>
      </c>
      <c r="B286" s="99" t="s">
        <v>1192</v>
      </c>
      <c r="C286" s="388" t="s">
        <v>2117</v>
      </c>
      <c r="D286" s="389">
        <v>1.0</v>
      </c>
    </row>
    <row r="287">
      <c r="A287" s="32" t="s">
        <v>1195</v>
      </c>
      <c r="B287" s="99" t="s">
        <v>1196</v>
      </c>
      <c r="C287" s="388" t="s">
        <v>2118</v>
      </c>
      <c r="D287" s="389">
        <v>1.0</v>
      </c>
    </row>
    <row r="288">
      <c r="A288" s="32" t="s">
        <v>1200</v>
      </c>
      <c r="B288" s="99" t="s">
        <v>1201</v>
      </c>
      <c r="C288" s="388" t="s">
        <v>2118</v>
      </c>
      <c r="D288" s="389">
        <v>1.0</v>
      </c>
    </row>
    <row r="289">
      <c r="A289" s="32" t="s">
        <v>1204</v>
      </c>
      <c r="B289" s="99" t="s">
        <v>1205</v>
      </c>
      <c r="C289" s="388" t="s">
        <v>2119</v>
      </c>
      <c r="D289" s="389">
        <v>30.0</v>
      </c>
    </row>
    <row r="290">
      <c r="A290" s="32" t="s">
        <v>1208</v>
      </c>
      <c r="B290" s="99" t="s">
        <v>1209</v>
      </c>
      <c r="C290" s="388" t="s">
        <v>2117</v>
      </c>
      <c r="D290" s="389">
        <v>2.0</v>
      </c>
    </row>
    <row r="291">
      <c r="A291" s="32" t="s">
        <v>1212</v>
      </c>
      <c r="B291" s="99" t="s">
        <v>1213</v>
      </c>
      <c r="C291" s="388" t="s">
        <v>2113</v>
      </c>
      <c r="D291" s="389">
        <v>10.0</v>
      </c>
    </row>
    <row r="292">
      <c r="A292" s="32" t="s">
        <v>1216</v>
      </c>
      <c r="B292" s="99" t="s">
        <v>1217</v>
      </c>
      <c r="C292" s="388" t="s">
        <v>2113</v>
      </c>
      <c r="D292" s="389">
        <v>10.0</v>
      </c>
    </row>
    <row r="293">
      <c r="A293" s="32" t="s">
        <v>1220</v>
      </c>
      <c r="B293" s="99" t="s">
        <v>1221</v>
      </c>
      <c r="C293" s="388" t="s">
        <v>2203</v>
      </c>
      <c r="D293" s="389">
        <v>1.0</v>
      </c>
    </row>
    <row r="294">
      <c r="A294" s="32" t="s">
        <v>1224</v>
      </c>
      <c r="B294" s="99" t="s">
        <v>1225</v>
      </c>
      <c r="C294" s="388" t="s">
        <v>2120</v>
      </c>
      <c r="D294" s="389">
        <v>100.0</v>
      </c>
    </row>
    <row r="295">
      <c r="A295" s="32" t="s">
        <v>1228</v>
      </c>
      <c r="B295" s="99" t="s">
        <v>1229</v>
      </c>
      <c r="C295" s="388" t="s">
        <v>2027</v>
      </c>
      <c r="D295" s="389">
        <v>1.0</v>
      </c>
    </row>
    <row r="296">
      <c r="A296" s="32" t="s">
        <v>1232</v>
      </c>
      <c r="B296" s="99" t="s">
        <v>1233</v>
      </c>
      <c r="C296" s="388" t="s">
        <v>2121</v>
      </c>
      <c r="D296" s="389">
        <v>10.0</v>
      </c>
    </row>
    <row r="297">
      <c r="A297" s="32" t="s">
        <v>1236</v>
      </c>
      <c r="B297" s="99" t="s">
        <v>1237</v>
      </c>
      <c r="C297" s="388" t="s">
        <v>2027</v>
      </c>
      <c r="D297" s="389">
        <v>2.0</v>
      </c>
    </row>
    <row r="298">
      <c r="A298" s="32" t="s">
        <v>1240</v>
      </c>
      <c r="B298" s="99" t="s">
        <v>1241</v>
      </c>
      <c r="C298" s="388" t="s">
        <v>2205</v>
      </c>
      <c r="D298" s="389">
        <v>2.0</v>
      </c>
    </row>
    <row r="299">
      <c r="A299" s="32" t="s">
        <v>1244</v>
      </c>
      <c r="B299" s="99" t="s">
        <v>1245</v>
      </c>
      <c r="C299" s="388" t="s">
        <v>2122</v>
      </c>
      <c r="D299" s="389">
        <v>10.0</v>
      </c>
    </row>
    <row r="300">
      <c r="A300" s="32" t="s">
        <v>1248</v>
      </c>
      <c r="B300" s="99" t="s">
        <v>1249</v>
      </c>
      <c r="C300" s="388" t="s">
        <v>2123</v>
      </c>
      <c r="D300" s="389">
        <v>7.0</v>
      </c>
    </row>
    <row r="301">
      <c r="A301" s="32" t="s">
        <v>1253</v>
      </c>
      <c r="B301" s="99" t="s">
        <v>1254</v>
      </c>
      <c r="C301" s="388" t="s">
        <v>2123</v>
      </c>
      <c r="D301" s="389">
        <v>1.0</v>
      </c>
    </row>
    <row r="302">
      <c r="A302" s="32" t="s">
        <v>1257</v>
      </c>
      <c r="B302" s="99" t="s">
        <v>1258</v>
      </c>
      <c r="C302" s="388" t="s">
        <v>2104</v>
      </c>
      <c r="D302" s="389">
        <v>1.0</v>
      </c>
    </row>
    <row r="303">
      <c r="A303" s="32" t="s">
        <v>1261</v>
      </c>
      <c r="B303" s="99" t="s">
        <v>1262</v>
      </c>
      <c r="C303" s="388" t="s">
        <v>2104</v>
      </c>
      <c r="D303" s="389">
        <v>1.0</v>
      </c>
    </row>
    <row r="304">
      <c r="A304" s="32" t="s">
        <v>1265</v>
      </c>
      <c r="B304" s="99" t="s">
        <v>1266</v>
      </c>
      <c r="C304" s="388" t="s">
        <v>2104</v>
      </c>
      <c r="D304" s="389">
        <v>1.0</v>
      </c>
    </row>
    <row r="305">
      <c r="A305" s="32" t="s">
        <v>1269</v>
      </c>
      <c r="B305" s="99" t="s">
        <v>1270</v>
      </c>
      <c r="C305" s="388" t="s">
        <v>2027</v>
      </c>
      <c r="D305" s="389">
        <v>1.0</v>
      </c>
    </row>
    <row r="306">
      <c r="A306" s="32" t="s">
        <v>1273</v>
      </c>
      <c r="B306" s="99" t="s">
        <v>1274</v>
      </c>
      <c r="C306" s="388" t="s">
        <v>2124</v>
      </c>
      <c r="D306" s="389">
        <v>1.0</v>
      </c>
    </row>
    <row r="307">
      <c r="A307" s="32" t="s">
        <v>1277</v>
      </c>
      <c r="B307" s="99" t="s">
        <v>1278</v>
      </c>
      <c r="C307" s="388" t="s">
        <v>2050</v>
      </c>
      <c r="D307" s="389">
        <v>1.0</v>
      </c>
    </row>
    <row r="308">
      <c r="A308" s="32" t="s">
        <v>1280</v>
      </c>
      <c r="B308" s="99" t="s">
        <v>1281</v>
      </c>
      <c r="C308" s="388" t="s">
        <v>2124</v>
      </c>
      <c r="D308" s="389">
        <v>1.0</v>
      </c>
    </row>
    <row r="309">
      <c r="A309" s="32" t="s">
        <v>1284</v>
      </c>
      <c r="B309" s="99" t="s">
        <v>1285</v>
      </c>
      <c r="C309" s="388" t="s">
        <v>2124</v>
      </c>
      <c r="D309" s="389">
        <v>1.0</v>
      </c>
    </row>
    <row r="310">
      <c r="A310" s="32" t="s">
        <v>1287</v>
      </c>
      <c r="B310" s="99" t="s">
        <v>1288</v>
      </c>
      <c r="C310" s="388" t="s">
        <v>2124</v>
      </c>
      <c r="D310" s="389">
        <v>1.0</v>
      </c>
    </row>
    <row r="311">
      <c r="A311" s="32" t="s">
        <v>1290</v>
      </c>
      <c r="B311" s="99" t="s">
        <v>1291</v>
      </c>
      <c r="C311" s="388" t="s">
        <v>2124</v>
      </c>
      <c r="D311" s="389">
        <v>1.0</v>
      </c>
    </row>
    <row r="312">
      <c r="A312" s="32" t="s">
        <v>1293</v>
      </c>
      <c r="B312" s="99" t="s">
        <v>1294</v>
      </c>
      <c r="C312" s="388" t="s">
        <v>2124</v>
      </c>
      <c r="D312" s="389">
        <v>1.0</v>
      </c>
    </row>
    <row r="313">
      <c r="A313" s="32" t="s">
        <v>1297</v>
      </c>
      <c r="B313" s="99" t="s">
        <v>1976</v>
      </c>
      <c r="C313" s="388" t="s">
        <v>2125</v>
      </c>
      <c r="D313" s="389">
        <v>20.0</v>
      </c>
    </row>
    <row r="314">
      <c r="A314" s="32" t="s">
        <v>1301</v>
      </c>
      <c r="B314" s="99" t="s">
        <v>1302</v>
      </c>
      <c r="C314" s="388" t="s">
        <v>2027</v>
      </c>
      <c r="D314" s="389">
        <v>1.0</v>
      </c>
    </row>
    <row r="315">
      <c r="A315" s="32" t="s">
        <v>1305</v>
      </c>
      <c r="B315" s="99" t="s">
        <v>1306</v>
      </c>
      <c r="C315" s="388" t="s">
        <v>2027</v>
      </c>
      <c r="D315" s="389">
        <v>1.0</v>
      </c>
    </row>
    <row r="316">
      <c r="A316" s="32" t="s">
        <v>1309</v>
      </c>
      <c r="B316" s="99" t="s">
        <v>1310</v>
      </c>
      <c r="C316" s="388" t="s">
        <v>2027</v>
      </c>
      <c r="D316" s="389">
        <v>1.0</v>
      </c>
    </row>
    <row r="317">
      <c r="A317" s="32" t="s">
        <v>1313</v>
      </c>
      <c r="B317" s="99" t="s">
        <v>1314</v>
      </c>
      <c r="C317" s="388" t="s">
        <v>2027</v>
      </c>
      <c r="D317" s="389">
        <v>1.0</v>
      </c>
    </row>
    <row r="318">
      <c r="A318" s="32" t="s">
        <v>1317</v>
      </c>
      <c r="B318" s="99" t="s">
        <v>1318</v>
      </c>
      <c r="C318" s="388" t="s">
        <v>2050</v>
      </c>
      <c r="D318" s="389">
        <v>2.0</v>
      </c>
    </row>
    <row r="319">
      <c r="A319" s="32" t="s">
        <v>1321</v>
      </c>
      <c r="B319" s="99" t="s">
        <v>1322</v>
      </c>
      <c r="C319" s="388" t="s">
        <v>2027</v>
      </c>
      <c r="D319" s="389">
        <v>1.0</v>
      </c>
    </row>
    <row r="320">
      <c r="A320" s="32" t="s">
        <v>1324</v>
      </c>
      <c r="B320" s="99" t="s">
        <v>1325</v>
      </c>
      <c r="C320" s="388" t="s">
        <v>2050</v>
      </c>
      <c r="D320" s="389">
        <v>1.0</v>
      </c>
    </row>
    <row r="321">
      <c r="A321" s="32" t="s">
        <v>1328</v>
      </c>
      <c r="B321" s="99" t="s">
        <v>1329</v>
      </c>
      <c r="C321" s="388" t="s">
        <v>2126</v>
      </c>
      <c r="D321" s="389">
        <v>100.0</v>
      </c>
    </row>
    <row r="322">
      <c r="A322" s="32" t="s">
        <v>1334</v>
      </c>
      <c r="B322" s="99" t="s">
        <v>1335</v>
      </c>
      <c r="C322" s="388" t="s">
        <v>2126</v>
      </c>
      <c r="D322" s="389">
        <v>100.0</v>
      </c>
    </row>
    <row r="323">
      <c r="A323" s="32" t="s">
        <v>1338</v>
      </c>
      <c r="B323" s="99" t="s">
        <v>1339</v>
      </c>
      <c r="C323" s="388" t="s">
        <v>2127</v>
      </c>
      <c r="D323" s="389">
        <v>10.0</v>
      </c>
    </row>
    <row r="324">
      <c r="A324" s="32" t="s">
        <v>1343</v>
      </c>
      <c r="B324" s="99" t="s">
        <v>1344</v>
      </c>
      <c r="C324" s="388" t="s">
        <v>2126</v>
      </c>
      <c r="D324" s="389">
        <v>100.0</v>
      </c>
    </row>
    <row r="325">
      <c r="A325" s="32" t="s">
        <v>1349</v>
      </c>
      <c r="B325" s="99" t="s">
        <v>1350</v>
      </c>
      <c r="C325" s="388" t="s">
        <v>2128</v>
      </c>
      <c r="D325" s="389">
        <v>1.0</v>
      </c>
    </row>
    <row r="326">
      <c r="A326" s="32" t="s">
        <v>1353</v>
      </c>
      <c r="B326" s="99" t="s">
        <v>1354</v>
      </c>
      <c r="C326" s="388" t="s">
        <v>2128</v>
      </c>
      <c r="D326" s="389">
        <v>1.0</v>
      </c>
    </row>
    <row r="327">
      <c r="A327" s="32" t="s">
        <v>1357</v>
      </c>
      <c r="B327" s="99" t="s">
        <v>1358</v>
      </c>
      <c r="C327" s="388" t="s">
        <v>2129</v>
      </c>
      <c r="D327" s="389">
        <v>15.0</v>
      </c>
    </row>
    <row r="328">
      <c r="A328" s="32" t="s">
        <v>1362</v>
      </c>
      <c r="B328" s="99" t="s">
        <v>1363</v>
      </c>
      <c r="C328" s="388" t="s">
        <v>2130</v>
      </c>
      <c r="D328" s="389">
        <v>30.0</v>
      </c>
    </row>
    <row r="329">
      <c r="A329" s="32" t="s">
        <v>1366</v>
      </c>
      <c r="B329" s="99" t="s">
        <v>1367</v>
      </c>
      <c r="C329" s="388" t="s">
        <v>2131</v>
      </c>
      <c r="D329" s="389">
        <v>30.0</v>
      </c>
    </row>
    <row r="330">
      <c r="A330" s="32" t="s">
        <v>1371</v>
      </c>
      <c r="B330" s="99" t="s">
        <v>1372</v>
      </c>
      <c r="C330" s="388" t="s">
        <v>2132</v>
      </c>
      <c r="D330" s="389">
        <v>30.0</v>
      </c>
    </row>
    <row r="331">
      <c r="A331" s="32" t="s">
        <v>1375</v>
      </c>
      <c r="B331" s="99" t="s">
        <v>1376</v>
      </c>
      <c r="C331" s="388" t="s">
        <v>2133</v>
      </c>
      <c r="D331" s="389">
        <v>20.0</v>
      </c>
    </row>
    <row r="332">
      <c r="A332" s="32" t="s">
        <v>1379</v>
      </c>
      <c r="B332" s="99" t="s">
        <v>1380</v>
      </c>
      <c r="C332" s="388" t="s">
        <v>1834</v>
      </c>
      <c r="D332" s="389">
        <v>10.0</v>
      </c>
    </row>
    <row r="333">
      <c r="A333" s="32" t="s">
        <v>1383</v>
      </c>
      <c r="B333" s="99" t="s">
        <v>1384</v>
      </c>
      <c r="C333" s="388" t="s">
        <v>2129</v>
      </c>
      <c r="D333" s="389">
        <v>30.0</v>
      </c>
    </row>
    <row r="334">
      <c r="A334" s="32" t="s">
        <v>1387</v>
      </c>
      <c r="B334" s="99" t="s">
        <v>1388</v>
      </c>
      <c r="C334" s="388" t="s">
        <v>1830</v>
      </c>
      <c r="D334" s="389">
        <v>5.0</v>
      </c>
    </row>
    <row r="335">
      <c r="A335" s="390" t="s">
        <v>1390</v>
      </c>
      <c r="B335" s="392" t="s">
        <v>1391</v>
      </c>
      <c r="C335" s="388"/>
      <c r="D335" s="389">
        <v>26.0</v>
      </c>
    </row>
    <row r="336">
      <c r="A336" s="32" t="s">
        <v>1394</v>
      </c>
      <c r="B336" s="99" t="s">
        <v>1395</v>
      </c>
      <c r="C336" s="388" t="s">
        <v>2135</v>
      </c>
      <c r="D336" s="389">
        <v>15.0</v>
      </c>
    </row>
    <row r="337">
      <c r="A337" s="32" t="s">
        <v>1398</v>
      </c>
      <c r="B337" s="99" t="s">
        <v>1399</v>
      </c>
      <c r="C337" s="388" t="s">
        <v>2136</v>
      </c>
      <c r="D337" s="389">
        <v>1.0</v>
      </c>
    </row>
    <row r="338">
      <c r="A338" s="32" t="s">
        <v>1403</v>
      </c>
      <c r="B338" s="99" t="s">
        <v>1404</v>
      </c>
      <c r="C338" s="388" t="s">
        <v>2136</v>
      </c>
      <c r="D338" s="389">
        <v>1.0</v>
      </c>
    </row>
    <row r="339">
      <c r="A339" s="32" t="s">
        <v>1406</v>
      </c>
      <c r="B339" s="99" t="s">
        <v>1407</v>
      </c>
      <c r="C339" s="388" t="s">
        <v>2136</v>
      </c>
      <c r="D339" s="389">
        <v>2.0</v>
      </c>
    </row>
    <row r="340">
      <c r="A340" s="32" t="s">
        <v>1411</v>
      </c>
      <c r="B340" s="99" t="s">
        <v>1412</v>
      </c>
      <c r="C340" s="388" t="s">
        <v>2138</v>
      </c>
      <c r="D340" s="389">
        <v>5.0</v>
      </c>
    </row>
    <row r="341">
      <c r="A341" s="32" t="s">
        <v>1415</v>
      </c>
      <c r="B341" s="99" t="s">
        <v>1416</v>
      </c>
      <c r="C341" s="388" t="s">
        <v>2136</v>
      </c>
      <c r="D341" s="389">
        <v>1.0</v>
      </c>
    </row>
    <row r="342">
      <c r="A342" s="32" t="s">
        <v>1419</v>
      </c>
      <c r="B342" s="99" t="s">
        <v>1420</v>
      </c>
      <c r="C342" s="388" t="s">
        <v>2202</v>
      </c>
      <c r="D342" s="389">
        <v>10.0</v>
      </c>
    </row>
    <row r="343">
      <c r="A343" s="32" t="s">
        <v>1424</v>
      </c>
      <c r="B343" s="99" t="s">
        <v>1425</v>
      </c>
      <c r="C343" s="388" t="s">
        <v>2011</v>
      </c>
      <c r="D343" s="389">
        <v>5.0</v>
      </c>
    </row>
    <row r="344">
      <c r="A344" s="32" t="s">
        <v>1429</v>
      </c>
      <c r="B344" s="99" t="s">
        <v>1981</v>
      </c>
      <c r="C344" s="388" t="s">
        <v>2139</v>
      </c>
      <c r="D344" s="389">
        <v>5.0</v>
      </c>
    </row>
    <row r="345">
      <c r="A345" s="32" t="s">
        <v>1433</v>
      </c>
      <c r="B345" s="99" t="s">
        <v>1982</v>
      </c>
      <c r="C345" s="388" t="s">
        <v>2007</v>
      </c>
      <c r="D345" s="389">
        <v>1.0</v>
      </c>
    </row>
    <row r="346">
      <c r="A346" s="32" t="s">
        <v>1438</v>
      </c>
      <c r="B346" s="99" t="s">
        <v>1439</v>
      </c>
      <c r="C346" s="388" t="s">
        <v>2140</v>
      </c>
      <c r="D346" s="389">
        <v>5.0</v>
      </c>
    </row>
    <row r="347">
      <c r="A347" s="32" t="s">
        <v>1442</v>
      </c>
      <c r="B347" s="99" t="s">
        <v>936</v>
      </c>
      <c r="C347" s="388" t="s">
        <v>2019</v>
      </c>
      <c r="D347" s="389">
        <v>4.0</v>
      </c>
    </row>
    <row r="348">
      <c r="A348" s="32" t="s">
        <v>1453</v>
      </c>
      <c r="B348" s="99" t="s">
        <v>1454</v>
      </c>
      <c r="C348" s="388" t="s">
        <v>2141</v>
      </c>
      <c r="D348" s="389">
        <v>50.0</v>
      </c>
    </row>
    <row r="349">
      <c r="A349" s="32" t="s">
        <v>1457</v>
      </c>
      <c r="B349" s="99" t="s">
        <v>1458</v>
      </c>
      <c r="C349" s="388" t="s">
        <v>2142</v>
      </c>
      <c r="D349" s="389">
        <v>10.0</v>
      </c>
    </row>
    <row r="350">
      <c r="A350" s="32" t="s">
        <v>1445</v>
      </c>
      <c r="B350" s="99" t="s">
        <v>1446</v>
      </c>
      <c r="C350" s="388" t="s">
        <v>2143</v>
      </c>
      <c r="D350" s="389">
        <v>5.0</v>
      </c>
    </row>
    <row r="351">
      <c r="A351" s="32" t="s">
        <v>1449</v>
      </c>
      <c r="B351" s="99" t="s">
        <v>1450</v>
      </c>
      <c r="C351" s="388" t="s">
        <v>2143</v>
      </c>
      <c r="D351" s="389">
        <v>5.0</v>
      </c>
    </row>
    <row r="352">
      <c r="A352" s="32" t="s">
        <v>1460</v>
      </c>
      <c r="B352" s="99" t="s">
        <v>1461</v>
      </c>
      <c r="C352" s="388" t="s">
        <v>1984</v>
      </c>
      <c r="D352" s="389">
        <v>1.0</v>
      </c>
    </row>
    <row r="353">
      <c r="A353" s="32" t="s">
        <v>1465</v>
      </c>
      <c r="B353" s="99" t="s">
        <v>1466</v>
      </c>
      <c r="C353" s="388" t="s">
        <v>2142</v>
      </c>
      <c r="D353" s="389">
        <v>10.0</v>
      </c>
    </row>
    <row r="354">
      <c r="A354" s="32" t="s">
        <v>1469</v>
      </c>
      <c r="B354" s="99" t="s">
        <v>1470</v>
      </c>
      <c r="C354" s="388" t="s">
        <v>2007</v>
      </c>
      <c r="D354" s="389">
        <v>1.0</v>
      </c>
    </row>
    <row r="355">
      <c r="A355" s="32" t="s">
        <v>1474</v>
      </c>
      <c r="B355" s="99" t="s">
        <v>1475</v>
      </c>
      <c r="C355" s="388" t="s">
        <v>2144</v>
      </c>
      <c r="D355" s="389">
        <v>1.0</v>
      </c>
    </row>
    <row r="356">
      <c r="A356" s="32" t="s">
        <v>1480</v>
      </c>
      <c r="B356" s="99" t="s">
        <v>1481</v>
      </c>
      <c r="C356" s="388" t="s">
        <v>2144</v>
      </c>
      <c r="D356" s="389">
        <v>1.0</v>
      </c>
    </row>
    <row r="357">
      <c r="A357" s="32" t="s">
        <v>1484</v>
      </c>
      <c r="B357" s="99" t="s">
        <v>1485</v>
      </c>
      <c r="C357" s="388" t="s">
        <v>2144</v>
      </c>
      <c r="D357" s="389">
        <v>1.0</v>
      </c>
    </row>
    <row r="358">
      <c r="A358" s="32" t="s">
        <v>1488</v>
      </c>
      <c r="B358" s="99" t="s">
        <v>1489</v>
      </c>
      <c r="C358" s="388" t="s">
        <v>2145</v>
      </c>
      <c r="D358" s="389">
        <v>5.0</v>
      </c>
    </row>
    <row r="359">
      <c r="A359" s="32" t="s">
        <v>1492</v>
      </c>
      <c r="B359" s="99" t="s">
        <v>1493</v>
      </c>
      <c r="C359" s="388" t="s">
        <v>2145</v>
      </c>
      <c r="D359" s="389">
        <v>2.0</v>
      </c>
    </row>
    <row r="360">
      <c r="A360" s="32" t="s">
        <v>1496</v>
      </c>
      <c r="B360" s="99" t="s">
        <v>1497</v>
      </c>
      <c r="C360" s="388" t="s">
        <v>2145</v>
      </c>
      <c r="D360" s="389">
        <v>5.0</v>
      </c>
    </row>
    <row r="361">
      <c r="A361" s="32" t="s">
        <v>1500</v>
      </c>
      <c r="B361" s="99" t="s">
        <v>1501</v>
      </c>
      <c r="C361" s="388" t="s">
        <v>2206</v>
      </c>
      <c r="D361" s="389">
        <v>15.0</v>
      </c>
    </row>
    <row r="362">
      <c r="A362" s="32" t="s">
        <v>1504</v>
      </c>
      <c r="B362" s="99" t="s">
        <v>1505</v>
      </c>
      <c r="C362" s="388" t="s">
        <v>2207</v>
      </c>
      <c r="D362" s="389">
        <v>30.0</v>
      </c>
    </row>
    <row r="363">
      <c r="A363" s="32" t="s">
        <v>1508</v>
      </c>
      <c r="B363" s="99" t="s">
        <v>1509</v>
      </c>
      <c r="C363" s="388" t="s">
        <v>2208</v>
      </c>
      <c r="D363" s="389">
        <v>60.0</v>
      </c>
    </row>
    <row r="364">
      <c r="A364" s="32" t="s">
        <v>1512</v>
      </c>
      <c r="B364" s="99" t="s">
        <v>1767</v>
      </c>
      <c r="C364" s="388" t="s">
        <v>1768</v>
      </c>
      <c r="D364" s="389">
        <v>10.0</v>
      </c>
    </row>
    <row r="365">
      <c r="A365" s="32" t="s">
        <v>1517</v>
      </c>
      <c r="B365" s="99" t="s">
        <v>1824</v>
      </c>
      <c r="C365" s="388" t="s">
        <v>1823</v>
      </c>
      <c r="D365" s="389">
        <v>5.0</v>
      </c>
    </row>
    <row r="366">
      <c r="A366" s="32" t="s">
        <v>1521</v>
      </c>
      <c r="B366" s="99" t="s">
        <v>1744</v>
      </c>
      <c r="C366" s="388" t="s">
        <v>1774</v>
      </c>
      <c r="D366" s="389">
        <v>5.0</v>
      </c>
    </row>
    <row r="367">
      <c r="A367" s="32" t="s">
        <v>1525</v>
      </c>
      <c r="B367" s="99" t="s">
        <v>1526</v>
      </c>
      <c r="C367" s="388" t="s">
        <v>1784</v>
      </c>
      <c r="D367" s="389">
        <v>5.0</v>
      </c>
    </row>
    <row r="368">
      <c r="A368" s="32" t="s">
        <v>1529</v>
      </c>
      <c r="B368" s="99" t="s">
        <v>1530</v>
      </c>
      <c r="C368" s="388" t="s">
        <v>1783</v>
      </c>
      <c r="D368" s="389">
        <v>5.0</v>
      </c>
    </row>
    <row r="369">
      <c r="A369" s="32" t="s">
        <v>1533</v>
      </c>
      <c r="B369" s="99" t="s">
        <v>1781</v>
      </c>
      <c r="C369" s="388" t="s">
        <v>1782</v>
      </c>
      <c r="D369" s="389">
        <v>10.0</v>
      </c>
    </row>
    <row r="370">
      <c r="A370" s="32" t="s">
        <v>1537</v>
      </c>
      <c r="B370" s="99" t="s">
        <v>1791</v>
      </c>
      <c r="C370" s="388" t="s">
        <v>1788</v>
      </c>
      <c r="D370" s="389">
        <v>5.0</v>
      </c>
    </row>
    <row r="371">
      <c r="A371" s="32" t="s">
        <v>1541</v>
      </c>
      <c r="B371" s="99" t="s">
        <v>1786</v>
      </c>
      <c r="C371" s="388" t="s">
        <v>1787</v>
      </c>
      <c r="D371" s="389">
        <v>5.0</v>
      </c>
    </row>
    <row r="372">
      <c r="A372" s="32" t="s">
        <v>1545</v>
      </c>
      <c r="B372" s="99" t="s">
        <v>1546</v>
      </c>
      <c r="C372" s="388" t="s">
        <v>1782</v>
      </c>
      <c r="D372" s="389">
        <v>10.0</v>
      </c>
    </row>
    <row r="373">
      <c r="A373" s="32" t="s">
        <v>1549</v>
      </c>
      <c r="B373" s="99" t="s">
        <v>1775</v>
      </c>
      <c r="C373" s="388" t="s">
        <v>1776</v>
      </c>
      <c r="D373" s="389">
        <v>5.0</v>
      </c>
    </row>
    <row r="374">
      <c r="A374" s="32" t="s">
        <v>1553</v>
      </c>
      <c r="B374" s="99" t="s">
        <v>1822</v>
      </c>
      <c r="C374" s="388" t="s">
        <v>1823</v>
      </c>
      <c r="D374" s="389">
        <v>5.0</v>
      </c>
    </row>
    <row r="375">
      <c r="A375" s="32" t="s">
        <v>1557</v>
      </c>
      <c r="B375" s="99" t="s">
        <v>1758</v>
      </c>
      <c r="C375" s="388" t="s">
        <v>1759</v>
      </c>
      <c r="D375" s="389">
        <v>10.0</v>
      </c>
    </row>
    <row r="376">
      <c r="A376" s="32" t="s">
        <v>1560</v>
      </c>
      <c r="B376" s="99" t="s">
        <v>1789</v>
      </c>
      <c r="C376" s="388" t="s">
        <v>1790</v>
      </c>
      <c r="D376" s="389">
        <v>10.0</v>
      </c>
    </row>
    <row r="377">
      <c r="A377" s="32" t="s">
        <v>1564</v>
      </c>
      <c r="B377" s="99" t="s">
        <v>2149</v>
      </c>
      <c r="C377" s="388" t="s">
        <v>1766</v>
      </c>
      <c r="D377" s="389">
        <v>5.0</v>
      </c>
    </row>
    <row r="378">
      <c r="A378" s="32" t="s">
        <v>1568</v>
      </c>
      <c r="B378" s="99" t="s">
        <v>1769</v>
      </c>
      <c r="C378" s="388" t="s">
        <v>1770</v>
      </c>
      <c r="D378" s="389">
        <v>5.0</v>
      </c>
    </row>
    <row r="379">
      <c r="A379" s="32" t="s">
        <v>1571</v>
      </c>
      <c r="B379" s="99" t="s">
        <v>1772</v>
      </c>
      <c r="C379" s="388" t="s">
        <v>1773</v>
      </c>
      <c r="D379" s="389">
        <v>5.0</v>
      </c>
    </row>
    <row r="380">
      <c r="A380" s="32" t="s">
        <v>1575</v>
      </c>
      <c r="B380" s="99" t="s">
        <v>1576</v>
      </c>
      <c r="C380" s="388" t="s">
        <v>1794</v>
      </c>
      <c r="D380" s="389">
        <v>10.0</v>
      </c>
    </row>
    <row r="381">
      <c r="A381" s="32" t="s">
        <v>1579</v>
      </c>
      <c r="B381" s="99" t="s">
        <v>1763</v>
      </c>
      <c r="C381" s="388" t="s">
        <v>1764</v>
      </c>
      <c r="D381" s="389">
        <v>5.0</v>
      </c>
    </row>
    <row r="382">
      <c r="A382" s="32" t="s">
        <v>1583</v>
      </c>
      <c r="B382" s="99" t="s">
        <v>1584</v>
      </c>
      <c r="C382" s="388" t="s">
        <v>1797</v>
      </c>
      <c r="D382" s="389">
        <v>10.0</v>
      </c>
    </row>
    <row r="383">
      <c r="A383" s="32" t="s">
        <v>1587</v>
      </c>
      <c r="B383" s="99" t="s">
        <v>1795</v>
      </c>
      <c r="C383" s="388" t="s">
        <v>1796</v>
      </c>
      <c r="D383" s="389">
        <v>10.0</v>
      </c>
    </row>
    <row r="384">
      <c r="A384" s="32" t="s">
        <v>1591</v>
      </c>
      <c r="B384" s="99" t="s">
        <v>1798</v>
      </c>
      <c r="C384" s="388" t="s">
        <v>1796</v>
      </c>
      <c r="D384" s="389">
        <v>20.0</v>
      </c>
    </row>
    <row r="385">
      <c r="A385" s="32" t="s">
        <v>1595</v>
      </c>
      <c r="B385" s="99" t="s">
        <v>1777</v>
      </c>
      <c r="C385" s="388" t="s">
        <v>1778</v>
      </c>
      <c r="D385" s="389">
        <v>5.0</v>
      </c>
    </row>
    <row r="386">
      <c r="A386" s="32" t="s">
        <v>1618</v>
      </c>
      <c r="B386" s="99" t="s">
        <v>1619</v>
      </c>
      <c r="C386" s="388" t="s">
        <v>1801</v>
      </c>
      <c r="D386" s="389">
        <v>10.0</v>
      </c>
    </row>
    <row r="387">
      <c r="A387" s="32" t="s">
        <v>1622</v>
      </c>
      <c r="B387" s="99" t="s">
        <v>1623</v>
      </c>
      <c r="C387" s="388" t="s">
        <v>2150</v>
      </c>
      <c r="D387" s="389">
        <v>5.0</v>
      </c>
    </row>
    <row r="388">
      <c r="A388" s="390" t="s">
        <v>1599</v>
      </c>
      <c r="B388" s="392" t="s">
        <v>1600</v>
      </c>
      <c r="C388" s="388"/>
      <c r="D388" s="389">
        <v>1.0</v>
      </c>
    </row>
    <row r="389">
      <c r="A389" s="32" t="s">
        <v>1603</v>
      </c>
      <c r="B389" s="99" t="s">
        <v>1604</v>
      </c>
      <c r="C389" s="388" t="s">
        <v>2151</v>
      </c>
      <c r="D389" s="389">
        <v>1.0</v>
      </c>
    </row>
    <row r="390">
      <c r="A390" s="32" t="s">
        <v>1607</v>
      </c>
      <c r="B390" s="99" t="s">
        <v>1608</v>
      </c>
      <c r="C390" s="388" t="s">
        <v>2151</v>
      </c>
      <c r="D390" s="389">
        <v>2.0</v>
      </c>
    </row>
    <row r="391">
      <c r="A391" s="32" t="s">
        <v>1610</v>
      </c>
      <c r="B391" s="99" t="s">
        <v>1611</v>
      </c>
      <c r="C391" s="388" t="s">
        <v>2151</v>
      </c>
      <c r="D391" s="389">
        <v>5.0</v>
      </c>
    </row>
    <row r="392">
      <c r="A392" s="32" t="s">
        <v>1614</v>
      </c>
      <c r="B392" s="99" t="s">
        <v>1615</v>
      </c>
      <c r="C392" s="388" t="s">
        <v>2152</v>
      </c>
      <c r="D392" s="389">
        <v>5.0</v>
      </c>
    </row>
    <row r="393">
      <c r="A393" s="32" t="s">
        <v>1626</v>
      </c>
      <c r="B393" s="99" t="s">
        <v>1627</v>
      </c>
      <c r="C393" s="388" t="s">
        <v>2127</v>
      </c>
      <c r="D393" s="389">
        <v>10.0</v>
      </c>
    </row>
    <row r="394">
      <c r="A394" s="32" t="s">
        <v>1632</v>
      </c>
      <c r="B394" s="99" t="s">
        <v>1633</v>
      </c>
      <c r="C394" s="388" t="s">
        <v>2127</v>
      </c>
      <c r="D394" s="389">
        <v>10.0</v>
      </c>
    </row>
    <row r="395">
      <c r="A395" s="32" t="s">
        <v>1636</v>
      </c>
      <c r="B395" s="99" t="s">
        <v>1988</v>
      </c>
      <c r="C395" s="388" t="s">
        <v>2153</v>
      </c>
      <c r="D395" s="389">
        <v>30.0</v>
      </c>
    </row>
    <row r="396">
      <c r="A396" s="32" t="s">
        <v>1641</v>
      </c>
      <c r="B396" s="99" t="s">
        <v>1989</v>
      </c>
      <c r="C396" s="388" t="s">
        <v>2153</v>
      </c>
      <c r="D396" s="389">
        <v>10.0</v>
      </c>
    </row>
    <row r="397">
      <c r="A397" s="32" t="s">
        <v>1645</v>
      </c>
      <c r="B397" s="99" t="s">
        <v>1646</v>
      </c>
      <c r="C397" s="388" t="s">
        <v>2127</v>
      </c>
      <c r="D397" s="389">
        <v>5.0</v>
      </c>
    </row>
    <row r="398">
      <c r="A398" s="32" t="s">
        <v>1649</v>
      </c>
      <c r="B398" s="99" t="s">
        <v>1650</v>
      </c>
      <c r="C398" s="388" t="s">
        <v>2127</v>
      </c>
      <c r="D398" s="389">
        <v>10.0</v>
      </c>
    </row>
    <row r="399">
      <c r="A399" s="32" t="s">
        <v>1653</v>
      </c>
      <c r="B399" s="99" t="s">
        <v>1654</v>
      </c>
      <c r="C399" s="388" t="s">
        <v>2127</v>
      </c>
      <c r="D399" s="389">
        <v>10.0</v>
      </c>
    </row>
    <row r="400">
      <c r="A400" s="32" t="s">
        <v>1657</v>
      </c>
      <c r="B400" s="99" t="s">
        <v>1658</v>
      </c>
      <c r="C400" s="388" t="s">
        <v>2127</v>
      </c>
      <c r="D400" s="389">
        <v>10.0</v>
      </c>
    </row>
    <row r="401">
      <c r="A401" s="32" t="s">
        <v>1661</v>
      </c>
      <c r="B401" s="99" t="s">
        <v>1662</v>
      </c>
      <c r="C401" s="388" t="s">
        <v>2104</v>
      </c>
      <c r="D401" s="389">
        <v>2.0</v>
      </c>
    </row>
    <row r="402">
      <c r="A402" s="32" t="s">
        <v>1665</v>
      </c>
      <c r="B402" s="99" t="s">
        <v>1666</v>
      </c>
      <c r="C402" s="388" t="s">
        <v>2127</v>
      </c>
      <c r="D402" s="389">
        <v>10.0</v>
      </c>
    </row>
    <row r="403">
      <c r="A403" s="32" t="s">
        <v>1669</v>
      </c>
      <c r="B403" s="99" t="s">
        <v>1670</v>
      </c>
      <c r="C403" s="388" t="s">
        <v>2127</v>
      </c>
      <c r="D403" s="389">
        <v>1.0</v>
      </c>
    </row>
    <row r="404">
      <c r="A404" s="32" t="s">
        <v>1673</v>
      </c>
      <c r="B404" s="99" t="s">
        <v>1674</v>
      </c>
      <c r="C404" s="388" t="s">
        <v>2127</v>
      </c>
      <c r="D404" s="389">
        <v>10.0</v>
      </c>
    </row>
    <row r="405">
      <c r="A405" s="32" t="s">
        <v>1677</v>
      </c>
      <c r="B405" s="99" t="s">
        <v>1678</v>
      </c>
      <c r="C405" s="388" t="s">
        <v>2127</v>
      </c>
      <c r="D405" s="389">
        <v>10.0</v>
      </c>
    </row>
    <row r="406">
      <c r="A406" s="32" t="s">
        <v>482</v>
      </c>
      <c r="B406" s="99" t="s">
        <v>483</v>
      </c>
      <c r="C406" s="388" t="s">
        <v>2066</v>
      </c>
      <c r="D406" s="389">
        <v>1.0</v>
      </c>
    </row>
    <row r="407">
      <c r="A407" s="32" t="s">
        <v>1992</v>
      </c>
      <c r="B407" s="99" t="s">
        <v>1993</v>
      </c>
      <c r="C407" s="388" t="s">
        <v>2067</v>
      </c>
      <c r="D407" s="389">
        <v>1.0</v>
      </c>
    </row>
    <row r="408">
      <c r="A408" s="32" t="s">
        <v>1994</v>
      </c>
      <c r="B408" s="99" t="s">
        <v>1995</v>
      </c>
      <c r="C408" s="388" t="s">
        <v>2066</v>
      </c>
      <c r="D408" s="389">
        <v>1.0</v>
      </c>
    </row>
    <row r="409">
      <c r="A409" s="32" t="s">
        <v>1996</v>
      </c>
      <c r="B409" s="99" t="s">
        <v>1997</v>
      </c>
      <c r="C409" s="388" t="s">
        <v>2154</v>
      </c>
      <c r="D409" s="389">
        <v>1.0</v>
      </c>
    </row>
    <row r="410">
      <c r="A410" s="32" t="s">
        <v>1998</v>
      </c>
      <c r="B410" s="99" t="s">
        <v>1999</v>
      </c>
      <c r="C410" s="388" t="s">
        <v>2155</v>
      </c>
      <c r="D410" s="389">
        <v>4.0</v>
      </c>
    </row>
    <row r="411">
      <c r="A411" s="32"/>
      <c r="B411" s="99"/>
      <c r="C411" s="388" t="s">
        <v>2156</v>
      </c>
      <c r="D411" s="389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hidden="1" min="1" max="1" width="18.29"/>
    <col customWidth="1" hidden="1" min="2" max="2" width="15.71"/>
    <col customWidth="1" hidden="1" min="3" max="3" width="22.43"/>
    <col customWidth="1" hidden="1" min="4" max="6" width="13.71"/>
    <col customWidth="1" hidden="1" min="7" max="7" width="11.0"/>
    <col customWidth="1" hidden="1" min="8" max="8" width="8.57"/>
    <col customWidth="1" hidden="1" min="9" max="9" width="5.0"/>
    <col customWidth="1" hidden="1" min="10" max="10" width="7.86"/>
    <col hidden="1" min="11" max="11" width="14.43"/>
    <col customWidth="1" min="12" max="12" width="5.71"/>
    <col customWidth="1" min="13" max="13" width="25.0"/>
    <col customWidth="1" min="14" max="14" width="15.57"/>
    <col customWidth="1" hidden="1" min="15" max="18" width="18.29"/>
    <col customWidth="1" min="19" max="19" width="18.29"/>
    <col customWidth="1" min="20" max="20" width="5.43"/>
    <col customWidth="1" min="21" max="21" width="28.57"/>
    <col customWidth="1" min="22" max="22" width="16.29"/>
    <col customWidth="1" hidden="1" min="23" max="26" width="9.14"/>
    <col customWidth="1" min="27" max="27" width="16.0"/>
    <col customWidth="1" min="28" max="28" width="4.71"/>
    <col customWidth="1" min="29" max="29" width="25.57"/>
    <col customWidth="1" min="30" max="31" width="16.43"/>
    <col customWidth="1" min="32" max="32" width="4.71"/>
    <col customWidth="1" min="33" max="34" width="19.29"/>
    <col customWidth="1" min="35" max="35" width="14.71"/>
    <col customWidth="1" min="36" max="36" width="5.57"/>
    <col customWidth="1" min="37" max="38" width="18.57"/>
    <col customWidth="1" min="39" max="39" width="16.43"/>
    <col customWidth="1" min="40" max="40" width="4.71"/>
    <col hidden="1" min="43" max="46" width="14.43"/>
  </cols>
  <sheetData>
    <row r="1" ht="39.75" customHeight="1">
      <c r="A1" s="393" t="s">
        <v>2</v>
      </c>
      <c r="B1" s="394"/>
      <c r="C1" s="393" t="s">
        <v>2</v>
      </c>
      <c r="D1" s="394" t="s">
        <v>1</v>
      </c>
      <c r="E1" s="394"/>
      <c r="F1" s="394" t="s">
        <v>1</v>
      </c>
      <c r="G1" s="394" t="s">
        <v>10</v>
      </c>
      <c r="H1" s="394" t="s">
        <v>2212</v>
      </c>
      <c r="I1" s="394" t="s">
        <v>2213</v>
      </c>
      <c r="J1" s="394" t="s">
        <v>1751</v>
      </c>
      <c r="K1" s="394" t="s">
        <v>2214</v>
      </c>
      <c r="L1" s="395"/>
      <c r="M1" s="396" t="s">
        <v>2215</v>
      </c>
      <c r="T1" s="397"/>
      <c r="U1" s="398" t="s">
        <v>2216</v>
      </c>
      <c r="AB1" s="399"/>
      <c r="AC1" s="400" t="s">
        <v>2217</v>
      </c>
      <c r="AD1" s="39"/>
      <c r="AE1" s="40"/>
      <c r="AF1" s="401"/>
      <c r="AG1" s="402" t="s">
        <v>1749</v>
      </c>
      <c r="AJ1" s="399"/>
      <c r="AK1" s="403" t="s">
        <v>1750</v>
      </c>
      <c r="AL1" s="39"/>
      <c r="AM1" s="40"/>
      <c r="AN1" s="399"/>
      <c r="AO1" s="399"/>
      <c r="AP1" s="399"/>
      <c r="AQ1" s="399"/>
      <c r="AR1" s="399"/>
      <c r="AS1" s="399"/>
      <c r="AT1" s="399"/>
      <c r="AU1" s="399"/>
      <c r="AV1" s="399"/>
    </row>
    <row r="2">
      <c r="A2" s="93" t="s">
        <v>454</v>
      </c>
      <c r="B2" s="93" t="s">
        <v>459</v>
      </c>
      <c r="C2" s="93" t="str">
        <f t="shared" ref="C2:C29" si="1">A2&amp;" , "&amp;B2</f>
        <v>Raspberry Pi Pico , Raspberry Pi Pico GPIO Expansion Board</v>
      </c>
      <c r="D2" s="106" t="s">
        <v>453</v>
      </c>
      <c r="E2" s="106" t="s">
        <v>458</v>
      </c>
      <c r="F2" s="404" t="str">
        <f t="shared" ref="F2:F29" si="2"> D2 &amp;", "&amp;E2</f>
        <v>DB04/01-E, DB04/02-E</v>
      </c>
      <c r="G2" s="405" t="s">
        <v>66</v>
      </c>
      <c r="H2" s="405" t="s">
        <v>1594</v>
      </c>
      <c r="I2" s="405">
        <v>1.0</v>
      </c>
      <c r="J2" s="406" t="s">
        <v>2218</v>
      </c>
      <c r="K2" s="406" t="str">
        <f>J2&amp;"-"&amp;H2&amp;"/"&amp;I2</f>
        <v>ETL1-SM22/1</v>
      </c>
      <c r="L2" s="407"/>
      <c r="M2" s="408" t="s">
        <v>2</v>
      </c>
      <c r="N2" s="409" t="s">
        <v>1</v>
      </c>
      <c r="O2" s="409" t="s">
        <v>10</v>
      </c>
      <c r="P2" s="409" t="s">
        <v>2212</v>
      </c>
      <c r="Q2" s="409" t="s">
        <v>2213</v>
      </c>
      <c r="R2" s="409" t="s">
        <v>1751</v>
      </c>
      <c r="S2" s="409" t="s">
        <v>2214</v>
      </c>
      <c r="T2" s="407"/>
      <c r="U2" s="408" t="s">
        <v>2</v>
      </c>
      <c r="V2" s="409" t="s">
        <v>1</v>
      </c>
      <c r="W2" s="409" t="s">
        <v>10</v>
      </c>
      <c r="X2" s="409" t="s">
        <v>2212</v>
      </c>
      <c r="Y2" s="409" t="s">
        <v>2213</v>
      </c>
      <c r="Z2" s="409" t="s">
        <v>1751</v>
      </c>
      <c r="AA2" s="409" t="s">
        <v>2214</v>
      </c>
      <c r="AC2" s="410" t="s">
        <v>2</v>
      </c>
      <c r="AD2" s="410" t="s">
        <v>1</v>
      </c>
      <c r="AE2" s="410" t="s">
        <v>1751</v>
      </c>
      <c r="AG2" s="410" t="s">
        <v>2</v>
      </c>
      <c r="AH2" s="411" t="s">
        <v>1</v>
      </c>
      <c r="AI2" s="411" t="s">
        <v>1751</v>
      </c>
      <c r="AK2" s="410" t="s">
        <v>2</v>
      </c>
      <c r="AL2" s="410" t="s">
        <v>1</v>
      </c>
      <c r="AM2" s="410" t="s">
        <v>1751</v>
      </c>
      <c r="AO2" s="115" t="s">
        <v>1082</v>
      </c>
      <c r="AP2" s="412" t="s">
        <v>1081</v>
      </c>
      <c r="AQ2" s="413"/>
      <c r="AR2" s="413"/>
      <c r="AS2" s="413"/>
      <c r="AT2" s="413"/>
      <c r="AU2" s="412" t="s">
        <v>2104</v>
      </c>
      <c r="AV2" s="259">
        <v>1.0</v>
      </c>
    </row>
    <row r="3">
      <c r="A3" s="414"/>
      <c r="B3" s="93"/>
      <c r="C3" s="93" t="str">
        <f t="shared" si="1"/>
        <v> , </v>
      </c>
      <c r="D3" s="414"/>
      <c r="E3" s="106"/>
      <c r="F3" s="404" t="str">
        <f t="shared" si="2"/>
        <v>, </v>
      </c>
      <c r="G3" s="242"/>
      <c r="H3" s="242"/>
      <c r="I3" s="242"/>
      <c r="J3" s="415"/>
      <c r="K3" s="415"/>
      <c r="L3" s="407"/>
      <c r="M3" s="416" t="s">
        <v>962</v>
      </c>
      <c r="N3" s="246" t="s">
        <v>961</v>
      </c>
      <c r="O3" s="417" t="s">
        <v>179</v>
      </c>
      <c r="P3" s="417" t="s">
        <v>1895</v>
      </c>
      <c r="Q3" s="418">
        <v>1.0</v>
      </c>
      <c r="R3" s="419" t="s">
        <v>2219</v>
      </c>
      <c r="S3" s="420" t="str">
        <f t="shared" ref="S3:S16" si="3">R3&amp;"-"&amp;P3&amp;"/"&amp;Q3</f>
        <v>ETL2-SL11/1</v>
      </c>
      <c r="T3" s="407"/>
      <c r="U3" s="421" t="s">
        <v>2220</v>
      </c>
      <c r="V3" s="422" t="s">
        <v>2221</v>
      </c>
      <c r="W3" s="423" t="s">
        <v>66</v>
      </c>
      <c r="X3" s="423" t="s">
        <v>1594</v>
      </c>
      <c r="Y3" s="424">
        <v>1.0</v>
      </c>
      <c r="Z3" s="420" t="s">
        <v>2218</v>
      </c>
      <c r="AA3" s="420" t="str">
        <f t="shared" ref="AA3:AA28" si="4">Z3&amp;"-"&amp;X3&amp;"/"&amp;Y3</f>
        <v>ETL1-SM22/1</v>
      </c>
      <c r="AC3" s="93" t="s">
        <v>911</v>
      </c>
      <c r="AD3" s="106" t="s">
        <v>910</v>
      </c>
      <c r="AE3" s="107" t="s">
        <v>1752</v>
      </c>
      <c r="AG3" s="270" t="s">
        <v>2222</v>
      </c>
      <c r="AH3" s="425" t="s">
        <v>2223</v>
      </c>
      <c r="AI3" s="426" t="s">
        <v>1753</v>
      </c>
      <c r="AK3" s="93" t="s">
        <v>1754</v>
      </c>
      <c r="AL3" s="106" t="s">
        <v>889</v>
      </c>
      <c r="AM3" s="107" t="s">
        <v>1755</v>
      </c>
      <c r="AO3" s="115" t="s">
        <v>1258</v>
      </c>
      <c r="AP3" s="412" t="s">
        <v>1257</v>
      </c>
      <c r="AQ3" s="413"/>
      <c r="AR3" s="413"/>
      <c r="AS3" s="413"/>
      <c r="AT3" s="413"/>
      <c r="AU3" s="412" t="s">
        <v>2104</v>
      </c>
      <c r="AV3" s="259">
        <v>1.0</v>
      </c>
    </row>
    <row r="4">
      <c r="A4" s="93" t="s">
        <v>1958</v>
      </c>
      <c r="B4" s="93" t="s">
        <v>1933</v>
      </c>
      <c r="C4" s="93" t="str">
        <f t="shared" si="1"/>
        <v>Arduino Motor Shield - L 298 , Arduino NANO Shield</v>
      </c>
      <c r="D4" s="106" t="s">
        <v>953</v>
      </c>
      <c r="E4" s="106" t="s">
        <v>424</v>
      </c>
      <c r="F4" s="404" t="str">
        <f t="shared" si="2"/>
        <v>EM17-E, DB01/02-E</v>
      </c>
      <c r="G4" s="405" t="s">
        <v>66</v>
      </c>
      <c r="H4" s="405" t="s">
        <v>1594</v>
      </c>
      <c r="I4" s="405">
        <v>2.0</v>
      </c>
      <c r="J4" s="406" t="s">
        <v>2218</v>
      </c>
      <c r="K4" s="406" t="str">
        <f>J4&amp;"-"&amp;H4&amp;"/"&amp;I4</f>
        <v>ETL1-SM22/2</v>
      </c>
      <c r="L4" s="407"/>
      <c r="M4" s="416" t="s">
        <v>1955</v>
      </c>
      <c r="N4" s="246" t="s">
        <v>906</v>
      </c>
      <c r="O4" s="417" t="s">
        <v>179</v>
      </c>
      <c r="P4" s="417" t="s">
        <v>1895</v>
      </c>
      <c r="Q4" s="418">
        <v>2.0</v>
      </c>
      <c r="R4" s="419" t="s">
        <v>2219</v>
      </c>
      <c r="S4" s="420" t="str">
        <f t="shared" si="3"/>
        <v>ETL2-SL11/2</v>
      </c>
      <c r="T4" s="407"/>
      <c r="U4" s="421" t="s">
        <v>2224</v>
      </c>
      <c r="V4" s="422" t="s">
        <v>2225</v>
      </c>
      <c r="W4" s="423" t="s">
        <v>66</v>
      </c>
      <c r="X4" s="423" t="s">
        <v>1594</v>
      </c>
      <c r="Y4" s="424">
        <v>2.0</v>
      </c>
      <c r="Z4" s="427" t="s">
        <v>2219</v>
      </c>
      <c r="AA4" s="420" t="str">
        <f t="shared" si="4"/>
        <v>ETL2-SM22/2</v>
      </c>
      <c r="AC4" s="93" t="s">
        <v>895</v>
      </c>
      <c r="AD4" s="106" t="s">
        <v>894</v>
      </c>
      <c r="AE4" s="107" t="s">
        <v>1756</v>
      </c>
      <c r="AG4" s="428" t="s">
        <v>2226</v>
      </c>
      <c r="AH4" s="429" t="s">
        <v>2227</v>
      </c>
      <c r="AI4" s="426" t="s">
        <v>1762</v>
      </c>
      <c r="AK4" s="93" t="s">
        <v>1758</v>
      </c>
      <c r="AL4" s="106" t="s">
        <v>1557</v>
      </c>
      <c r="AM4" s="107" t="s">
        <v>1759</v>
      </c>
      <c r="AO4" s="115" t="s">
        <v>1262</v>
      </c>
      <c r="AP4" s="412" t="s">
        <v>1261</v>
      </c>
      <c r="AQ4" s="413"/>
      <c r="AR4" s="413"/>
      <c r="AS4" s="413"/>
      <c r="AT4" s="413"/>
      <c r="AU4" s="412" t="s">
        <v>2104</v>
      </c>
      <c r="AV4" s="259">
        <v>1.0</v>
      </c>
    </row>
    <row r="5">
      <c r="A5" s="414"/>
      <c r="B5" s="93"/>
      <c r="C5" s="93" t="str">
        <f t="shared" si="1"/>
        <v> , </v>
      </c>
      <c r="D5" s="414"/>
      <c r="E5" s="106"/>
      <c r="F5" s="404" t="str">
        <f t="shared" si="2"/>
        <v>, </v>
      </c>
      <c r="G5" s="242"/>
      <c r="H5" s="242"/>
      <c r="I5" s="242"/>
      <c r="J5" s="415"/>
      <c r="K5" s="415"/>
      <c r="L5" s="407"/>
      <c r="M5" s="416" t="s">
        <v>927</v>
      </c>
      <c r="N5" s="246" t="s">
        <v>926</v>
      </c>
      <c r="O5" s="417" t="s">
        <v>179</v>
      </c>
      <c r="P5" s="417" t="s">
        <v>1895</v>
      </c>
      <c r="Q5" s="418">
        <v>3.0</v>
      </c>
      <c r="R5" s="417" t="s">
        <v>2219</v>
      </c>
      <c r="S5" s="420" t="str">
        <f t="shared" si="3"/>
        <v>ETL2-SL11/3</v>
      </c>
      <c r="T5" s="407"/>
      <c r="U5" s="421" t="s">
        <v>2228</v>
      </c>
      <c r="V5" s="422" t="s">
        <v>2229</v>
      </c>
      <c r="W5" s="423" t="s">
        <v>66</v>
      </c>
      <c r="X5" s="423" t="s">
        <v>1594</v>
      </c>
      <c r="Y5" s="424">
        <v>3.0</v>
      </c>
      <c r="Z5" s="420" t="s">
        <v>2218</v>
      </c>
      <c r="AA5" s="420" t="str">
        <f t="shared" si="4"/>
        <v>ETL1-SM22/3</v>
      </c>
      <c r="AC5" s="93" t="s">
        <v>2230</v>
      </c>
      <c r="AD5" s="106" t="s">
        <v>957</v>
      </c>
      <c r="AE5" s="107" t="s">
        <v>1761</v>
      </c>
      <c r="AG5" s="428" t="s">
        <v>2231</v>
      </c>
      <c r="AH5" s="429" t="s">
        <v>2232</v>
      </c>
      <c r="AI5" s="426" t="s">
        <v>1771</v>
      </c>
      <c r="AK5" s="430" t="s">
        <v>1763</v>
      </c>
      <c r="AL5" s="106" t="s">
        <v>1579</v>
      </c>
      <c r="AM5" s="107" t="s">
        <v>1764</v>
      </c>
      <c r="AO5" s="115" t="s">
        <v>1266</v>
      </c>
      <c r="AP5" s="412" t="s">
        <v>1265</v>
      </c>
      <c r="AQ5" s="413"/>
      <c r="AR5" s="413"/>
      <c r="AS5" s="413"/>
      <c r="AT5" s="413"/>
      <c r="AU5" s="412" t="s">
        <v>2104</v>
      </c>
      <c r="AV5" s="259">
        <v>1.0</v>
      </c>
    </row>
    <row r="6">
      <c r="A6" s="93" t="s">
        <v>1934</v>
      </c>
      <c r="B6" s="93" t="s">
        <v>420</v>
      </c>
      <c r="C6" s="93" t="str">
        <f t="shared" si="1"/>
        <v>Arduino UNO , Arduino NANO</v>
      </c>
      <c r="D6" s="106" t="s">
        <v>428</v>
      </c>
      <c r="E6" s="106" t="s">
        <v>419</v>
      </c>
      <c r="F6" s="404" t="str">
        <f t="shared" si="2"/>
        <v>DB02/01-E, DB01/01-E</v>
      </c>
      <c r="G6" s="405" t="s">
        <v>66</v>
      </c>
      <c r="H6" s="405" t="s">
        <v>1594</v>
      </c>
      <c r="I6" s="405">
        <v>3.0</v>
      </c>
      <c r="J6" s="406" t="s">
        <v>2218</v>
      </c>
      <c r="K6" s="406" t="str">
        <f>J6&amp;"-"&amp;H6&amp;"/"&amp;I6</f>
        <v>ETL1-SM22/3</v>
      </c>
      <c r="L6" s="407"/>
      <c r="M6" s="416" t="s">
        <v>930</v>
      </c>
      <c r="N6" s="246" t="s">
        <v>929</v>
      </c>
      <c r="O6" s="417" t="s">
        <v>179</v>
      </c>
      <c r="P6" s="417" t="s">
        <v>1895</v>
      </c>
      <c r="Q6" s="418">
        <v>4.0</v>
      </c>
      <c r="R6" s="417" t="s">
        <v>2233</v>
      </c>
      <c r="S6" s="420" t="str">
        <f t="shared" si="3"/>
        <v>ETL3-SL11/4</v>
      </c>
      <c r="T6" s="407"/>
      <c r="U6" s="421" t="s">
        <v>2234</v>
      </c>
      <c r="V6" s="422" t="s">
        <v>2235</v>
      </c>
      <c r="W6" s="423" t="s">
        <v>66</v>
      </c>
      <c r="X6" s="423" t="s">
        <v>1594</v>
      </c>
      <c r="Y6" s="424">
        <v>4.0</v>
      </c>
      <c r="Z6" s="420" t="s">
        <v>2218</v>
      </c>
      <c r="AA6" s="420" t="str">
        <f t="shared" si="4"/>
        <v>ETL1-SM22/4</v>
      </c>
      <c r="AC6" s="93" t="s">
        <v>1765</v>
      </c>
      <c r="AD6" s="431" t="s">
        <v>1564</v>
      </c>
      <c r="AE6" s="107" t="s">
        <v>1766</v>
      </c>
      <c r="AG6" s="428" t="s">
        <v>2236</v>
      </c>
      <c r="AH6" s="429" t="s">
        <v>2237</v>
      </c>
      <c r="AI6" s="426" t="s">
        <v>1780</v>
      </c>
      <c r="AK6" s="93" t="s">
        <v>1767</v>
      </c>
      <c r="AL6" s="106" t="s">
        <v>1512</v>
      </c>
      <c r="AM6" s="107" t="s">
        <v>1768</v>
      </c>
      <c r="AO6" s="115" t="s">
        <v>1329</v>
      </c>
      <c r="AP6" s="412" t="s">
        <v>1328</v>
      </c>
      <c r="AQ6" s="287"/>
      <c r="AR6" s="287"/>
      <c r="AS6" s="287"/>
      <c r="AT6" s="287"/>
      <c r="AU6" s="412" t="s">
        <v>2126</v>
      </c>
      <c r="AV6" s="412">
        <v>100.0</v>
      </c>
    </row>
    <row r="7">
      <c r="A7" s="414"/>
      <c r="B7" s="93"/>
      <c r="C7" s="93" t="str">
        <f t="shared" si="1"/>
        <v> , </v>
      </c>
      <c r="D7" s="414"/>
      <c r="E7" s="106"/>
      <c r="F7" s="404" t="str">
        <f t="shared" si="2"/>
        <v>, </v>
      </c>
      <c r="G7" s="242"/>
      <c r="H7" s="242"/>
      <c r="I7" s="242"/>
      <c r="J7" s="415"/>
      <c r="K7" s="415"/>
      <c r="L7" s="407"/>
      <c r="M7" s="416" t="s">
        <v>1623</v>
      </c>
      <c r="N7" s="246" t="s">
        <v>1622</v>
      </c>
      <c r="O7" s="417" t="s">
        <v>179</v>
      </c>
      <c r="P7" s="417" t="s">
        <v>1895</v>
      </c>
      <c r="Q7" s="418">
        <v>5.0</v>
      </c>
      <c r="R7" s="417" t="s">
        <v>2233</v>
      </c>
      <c r="S7" s="420" t="str">
        <f t="shared" si="3"/>
        <v>ETL3-SL11/5</v>
      </c>
      <c r="T7" s="407"/>
      <c r="U7" s="421" t="s">
        <v>2238</v>
      </c>
      <c r="V7" s="422" t="s">
        <v>2239</v>
      </c>
      <c r="W7" s="423" t="s">
        <v>66</v>
      </c>
      <c r="X7" s="423" t="s">
        <v>1594</v>
      </c>
      <c r="Y7" s="424">
        <v>5.0</v>
      </c>
      <c r="Z7" s="420" t="s">
        <v>2219</v>
      </c>
      <c r="AA7" s="420" t="str">
        <f t="shared" si="4"/>
        <v>ETL2-SM22/5</v>
      </c>
      <c r="AC7" s="415" t="s">
        <v>1769</v>
      </c>
      <c r="AD7" s="432" t="s">
        <v>1568</v>
      </c>
      <c r="AE7" s="107" t="s">
        <v>1770</v>
      </c>
      <c r="AG7" s="428" t="s">
        <v>2240</v>
      </c>
      <c r="AH7" s="429" t="s">
        <v>2241</v>
      </c>
      <c r="AI7" s="426" t="s">
        <v>1785</v>
      </c>
      <c r="AK7" s="93" t="s">
        <v>1772</v>
      </c>
      <c r="AL7" s="106" t="s">
        <v>1571</v>
      </c>
      <c r="AM7" s="107" t="s">
        <v>1773</v>
      </c>
      <c r="AO7" s="115" t="s">
        <v>1335</v>
      </c>
      <c r="AP7" s="412" t="s">
        <v>1334</v>
      </c>
      <c r="AQ7" s="287"/>
      <c r="AR7" s="287"/>
      <c r="AS7" s="287"/>
      <c r="AT7" s="287"/>
      <c r="AU7" s="412" t="s">
        <v>2126</v>
      </c>
      <c r="AV7" s="412">
        <v>100.0</v>
      </c>
    </row>
    <row r="8">
      <c r="A8" s="93" t="s">
        <v>446</v>
      </c>
      <c r="B8" s="93" t="s">
        <v>450</v>
      </c>
      <c r="C8" s="93" t="str">
        <f t="shared" si="1"/>
        <v>ESP32 CAM Shield , ESP32 WIFI Bluetooth UNO D1</v>
      </c>
      <c r="D8" s="106" t="s">
        <v>445</v>
      </c>
      <c r="E8" s="106" t="s">
        <v>449</v>
      </c>
      <c r="F8" s="404" t="str">
        <f t="shared" si="2"/>
        <v>DB03/02-E, DB03/01-E</v>
      </c>
      <c r="G8" s="405" t="s">
        <v>66</v>
      </c>
      <c r="H8" s="405" t="s">
        <v>1594</v>
      </c>
      <c r="I8" s="405">
        <v>4.0</v>
      </c>
      <c r="J8" s="406" t="s">
        <v>2218</v>
      </c>
      <c r="K8" s="406" t="str">
        <f>J8&amp;"-"&amp;H8&amp;"/"&amp;I8</f>
        <v>ETL1-SM22/4</v>
      </c>
      <c r="L8" s="407"/>
      <c r="M8" s="416" t="s">
        <v>923</v>
      </c>
      <c r="N8" s="246" t="s">
        <v>922</v>
      </c>
      <c r="O8" s="417" t="s">
        <v>179</v>
      </c>
      <c r="P8" s="417" t="s">
        <v>1895</v>
      </c>
      <c r="Q8" s="418">
        <v>6.0</v>
      </c>
      <c r="R8" s="417" t="s">
        <v>2233</v>
      </c>
      <c r="S8" s="420" t="str">
        <f t="shared" si="3"/>
        <v>ETL3-SL11/6</v>
      </c>
      <c r="T8" s="407"/>
      <c r="U8" s="421" t="s">
        <v>2242</v>
      </c>
      <c r="V8" s="422" t="s">
        <v>2243</v>
      </c>
      <c r="W8" s="420" t="s">
        <v>249</v>
      </c>
      <c r="X8" s="420" t="s">
        <v>2012</v>
      </c>
      <c r="Y8" s="433">
        <v>1.0</v>
      </c>
      <c r="Z8" s="427" t="s">
        <v>2244</v>
      </c>
      <c r="AA8" s="420" t="str">
        <f t="shared" si="4"/>
        <v>EBL1-SL22/1</v>
      </c>
      <c r="AC8" s="93" t="s">
        <v>1744</v>
      </c>
      <c r="AD8" s="106" t="s">
        <v>1521</v>
      </c>
      <c r="AE8" s="107" t="s">
        <v>1774</v>
      </c>
      <c r="AG8" s="428" t="s">
        <v>2245</v>
      </c>
      <c r="AH8" s="429" t="s">
        <v>2246</v>
      </c>
      <c r="AI8" s="426" t="s">
        <v>1793</v>
      </c>
      <c r="AK8" s="93" t="s">
        <v>1775</v>
      </c>
      <c r="AL8" s="106" t="s">
        <v>1549</v>
      </c>
      <c r="AM8" s="107" t="s">
        <v>1776</v>
      </c>
      <c r="AO8" s="115" t="s">
        <v>1344</v>
      </c>
      <c r="AP8" s="412" t="s">
        <v>1343</v>
      </c>
      <c r="AQ8" s="287"/>
      <c r="AR8" s="287"/>
      <c r="AS8" s="287"/>
      <c r="AT8" s="287"/>
      <c r="AU8" s="412" t="s">
        <v>2126</v>
      </c>
      <c r="AV8" s="412">
        <v>100.0</v>
      </c>
    </row>
    <row r="9">
      <c r="A9" s="414"/>
      <c r="B9" s="93"/>
      <c r="C9" s="93" t="str">
        <f t="shared" si="1"/>
        <v> , </v>
      </c>
      <c r="D9" s="414"/>
      <c r="E9" s="106"/>
      <c r="F9" s="404" t="str">
        <f t="shared" si="2"/>
        <v>, </v>
      </c>
      <c r="G9" s="242"/>
      <c r="H9" s="242"/>
      <c r="I9" s="242"/>
      <c r="J9" s="415"/>
      <c r="K9" s="415"/>
      <c r="L9" s="407"/>
      <c r="M9" s="416" t="s">
        <v>2247</v>
      </c>
      <c r="N9" s="246" t="s">
        <v>2248</v>
      </c>
      <c r="O9" s="420" t="s">
        <v>179</v>
      </c>
      <c r="P9" s="420" t="s">
        <v>1895</v>
      </c>
      <c r="Q9" s="433">
        <v>7.0</v>
      </c>
      <c r="R9" s="427" t="s">
        <v>2249</v>
      </c>
      <c r="S9" s="417" t="str">
        <f t="shared" si="3"/>
        <v>ETR3-SL11/7</v>
      </c>
      <c r="T9" s="407"/>
      <c r="U9" s="416" t="s">
        <v>903</v>
      </c>
      <c r="V9" s="250" t="s">
        <v>902</v>
      </c>
      <c r="W9" s="417" t="s">
        <v>249</v>
      </c>
      <c r="X9" s="417" t="s">
        <v>2012</v>
      </c>
      <c r="Y9" s="418">
        <v>2.0</v>
      </c>
      <c r="Z9" s="417" t="s">
        <v>2233</v>
      </c>
      <c r="AA9" s="420" t="str">
        <f t="shared" si="4"/>
        <v>ETL3-SL22/2</v>
      </c>
      <c r="AC9" s="93" t="s">
        <v>1777</v>
      </c>
      <c r="AD9" s="106" t="s">
        <v>1595</v>
      </c>
      <c r="AE9" s="107" t="s">
        <v>1778</v>
      </c>
      <c r="AG9" s="428" t="s">
        <v>2250</v>
      </c>
      <c r="AH9" s="429" t="s">
        <v>2251</v>
      </c>
      <c r="AI9" s="426" t="s">
        <v>1800</v>
      </c>
      <c r="AK9" s="270" t="s">
        <v>2252</v>
      </c>
      <c r="AL9" s="425" t="s">
        <v>2253</v>
      </c>
      <c r="AM9" s="107" t="s">
        <v>1782</v>
      </c>
      <c r="AO9" s="115" t="s">
        <v>1350</v>
      </c>
      <c r="AP9" s="412" t="s">
        <v>1349</v>
      </c>
      <c r="AQ9" s="413"/>
      <c r="AR9" s="413"/>
      <c r="AS9" s="413"/>
      <c r="AT9" s="413"/>
      <c r="AU9" s="412" t="s">
        <v>2128</v>
      </c>
      <c r="AV9" s="412">
        <v>1.0</v>
      </c>
    </row>
    <row r="10">
      <c r="A10" s="93" t="s">
        <v>962</v>
      </c>
      <c r="B10" s="93"/>
      <c r="C10" s="93" t="str">
        <f t="shared" si="1"/>
        <v>RFID Tag and Reader , </v>
      </c>
      <c r="D10" s="106" t="s">
        <v>961</v>
      </c>
      <c r="E10" s="106"/>
      <c r="F10" s="404" t="str">
        <f t="shared" si="2"/>
        <v>EM19-E, </v>
      </c>
      <c r="G10" s="107" t="s">
        <v>179</v>
      </c>
      <c r="H10" s="107" t="s">
        <v>1895</v>
      </c>
      <c r="I10" s="107">
        <v>1.0</v>
      </c>
      <c r="J10" s="107" t="s">
        <v>2218</v>
      </c>
      <c r="K10" s="406" t="str">
        <f t="shared" ref="K10:K12" si="5">J10&amp;"-"&amp;H10&amp;"/"&amp;I10</f>
        <v>ETL1-SL11/1</v>
      </c>
      <c r="L10" s="407"/>
      <c r="M10" s="416" t="s">
        <v>1741</v>
      </c>
      <c r="N10" s="246" t="s">
        <v>223</v>
      </c>
      <c r="O10" s="417" t="s">
        <v>179</v>
      </c>
      <c r="P10" s="417" t="s">
        <v>1895</v>
      </c>
      <c r="Q10" s="418">
        <v>8.0</v>
      </c>
      <c r="R10" s="417" t="s">
        <v>2254</v>
      </c>
      <c r="S10" s="420" t="str">
        <f t="shared" si="3"/>
        <v>ETR1-SL11/8</v>
      </c>
      <c r="T10" s="407"/>
      <c r="U10" s="416" t="s">
        <v>1367</v>
      </c>
      <c r="V10" s="250" t="s">
        <v>1366</v>
      </c>
      <c r="W10" s="417" t="s">
        <v>249</v>
      </c>
      <c r="X10" s="417" t="s">
        <v>2012</v>
      </c>
      <c r="Y10" s="418">
        <v>3.0</v>
      </c>
      <c r="Z10" s="417" t="s">
        <v>2233</v>
      </c>
      <c r="AA10" s="420" t="str">
        <f t="shared" si="4"/>
        <v>ETL3-SL22/3</v>
      </c>
      <c r="AC10" s="93" t="s">
        <v>1530</v>
      </c>
      <c r="AD10" s="106" t="s">
        <v>1529</v>
      </c>
      <c r="AE10" s="107" t="s">
        <v>1783</v>
      </c>
      <c r="AG10" s="428" t="s">
        <v>2255</v>
      </c>
      <c r="AH10" s="429" t="s">
        <v>2256</v>
      </c>
      <c r="AI10" s="426" t="s">
        <v>1805</v>
      </c>
      <c r="AK10" s="93" t="s">
        <v>1786</v>
      </c>
      <c r="AL10" s="106" t="s">
        <v>1541</v>
      </c>
      <c r="AM10" s="107" t="s">
        <v>1787</v>
      </c>
      <c r="AO10" s="115" t="s">
        <v>1354</v>
      </c>
      <c r="AP10" s="412" t="s">
        <v>1353</v>
      </c>
      <c r="AQ10" s="413"/>
      <c r="AR10" s="413"/>
      <c r="AS10" s="413"/>
      <c r="AT10" s="413"/>
      <c r="AU10" s="412" t="s">
        <v>2128</v>
      </c>
      <c r="AV10" s="412">
        <v>1.0</v>
      </c>
    </row>
    <row r="11">
      <c r="A11" s="93" t="s">
        <v>1955</v>
      </c>
      <c r="B11" s="93"/>
      <c r="C11" s="93" t="str">
        <f t="shared" si="1"/>
        <v>LCD Display , </v>
      </c>
      <c r="D11" s="106" t="s">
        <v>906</v>
      </c>
      <c r="E11" s="106"/>
      <c r="F11" s="404" t="str">
        <f t="shared" si="2"/>
        <v>EM05-E, </v>
      </c>
      <c r="G11" s="107" t="s">
        <v>179</v>
      </c>
      <c r="H11" s="107" t="s">
        <v>1895</v>
      </c>
      <c r="I11" s="107">
        <v>2.0</v>
      </c>
      <c r="J11" s="107" t="s">
        <v>2218</v>
      </c>
      <c r="K11" s="406" t="str">
        <f t="shared" si="5"/>
        <v>ETL1-SL11/2</v>
      </c>
      <c r="L11" s="407"/>
      <c r="M11" s="416" t="s">
        <v>2257</v>
      </c>
      <c r="N11" s="246" t="s">
        <v>2258</v>
      </c>
      <c r="O11" s="420" t="s">
        <v>179</v>
      </c>
      <c r="P11" s="420" t="s">
        <v>1895</v>
      </c>
      <c r="Q11" s="433">
        <v>9.0</v>
      </c>
      <c r="R11" s="420" t="s">
        <v>2254</v>
      </c>
      <c r="S11" s="420" t="str">
        <f t="shared" si="3"/>
        <v>ETR1-SL11/9</v>
      </c>
      <c r="T11" s="407"/>
      <c r="U11" s="416" t="s">
        <v>1363</v>
      </c>
      <c r="V11" s="250" t="s">
        <v>1362</v>
      </c>
      <c r="W11" s="417" t="s">
        <v>249</v>
      </c>
      <c r="X11" s="417" t="s">
        <v>2012</v>
      </c>
      <c r="Y11" s="418">
        <v>4.0</v>
      </c>
      <c r="Z11" s="417" t="s">
        <v>2233</v>
      </c>
      <c r="AA11" s="420" t="str">
        <f t="shared" si="4"/>
        <v>ETL3-SL22/4</v>
      </c>
      <c r="AC11" s="93" t="s">
        <v>1526</v>
      </c>
      <c r="AD11" s="106" t="s">
        <v>1525</v>
      </c>
      <c r="AE11" s="107" t="s">
        <v>1784</v>
      </c>
      <c r="AG11" s="428" t="s">
        <v>2259</v>
      </c>
      <c r="AH11" s="429" t="s">
        <v>2260</v>
      </c>
      <c r="AI11" s="426" t="s">
        <v>1810</v>
      </c>
      <c r="AK11" s="93" t="s">
        <v>1789</v>
      </c>
      <c r="AL11" s="106" t="s">
        <v>1560</v>
      </c>
      <c r="AM11" s="107" t="s">
        <v>1790</v>
      </c>
      <c r="AO11" s="115" t="s">
        <v>1646</v>
      </c>
      <c r="AP11" s="412" t="s">
        <v>1645</v>
      </c>
      <c r="AQ11" s="413"/>
      <c r="AR11" s="413"/>
      <c r="AS11" s="413"/>
      <c r="AT11" s="413"/>
      <c r="AU11" s="412" t="s">
        <v>2261</v>
      </c>
      <c r="AV11" s="259">
        <v>5.0</v>
      </c>
    </row>
    <row r="12">
      <c r="A12" s="93" t="s">
        <v>1358</v>
      </c>
      <c r="B12" s="93" t="s">
        <v>1384</v>
      </c>
      <c r="C12" s="93" t="str">
        <f t="shared" si="1"/>
        <v>360 Servo Motor (MG996) , Servo Motor mini (MG90)</v>
      </c>
      <c r="D12" s="106" t="s">
        <v>1357</v>
      </c>
      <c r="E12" s="106" t="s">
        <v>1383</v>
      </c>
      <c r="F12" s="404" t="str">
        <f t="shared" si="2"/>
        <v>MW01-E, MW06-E</v>
      </c>
      <c r="G12" s="405" t="s">
        <v>66</v>
      </c>
      <c r="H12" s="405" t="s">
        <v>1594</v>
      </c>
      <c r="I12" s="405">
        <v>5.0</v>
      </c>
      <c r="J12" s="406" t="s">
        <v>2219</v>
      </c>
      <c r="K12" s="406" t="str">
        <f t="shared" si="5"/>
        <v>ETL2-SM22/5</v>
      </c>
      <c r="L12" s="407"/>
      <c r="M12" s="416" t="s">
        <v>232</v>
      </c>
      <c r="N12" s="246" t="s">
        <v>231</v>
      </c>
      <c r="O12" s="417" t="s">
        <v>179</v>
      </c>
      <c r="P12" s="417" t="s">
        <v>1895</v>
      </c>
      <c r="Q12" s="418">
        <v>10.0</v>
      </c>
      <c r="R12" s="417" t="s">
        <v>2254</v>
      </c>
      <c r="S12" s="420" t="str">
        <f t="shared" si="3"/>
        <v>ETR1-SL11/10</v>
      </c>
      <c r="T12" s="407"/>
      <c r="U12" s="416" t="s">
        <v>2262</v>
      </c>
      <c r="V12" s="250" t="s">
        <v>1394</v>
      </c>
      <c r="W12" s="417" t="s">
        <v>249</v>
      </c>
      <c r="X12" s="417" t="s">
        <v>2012</v>
      </c>
      <c r="Y12" s="418">
        <v>5.0</v>
      </c>
      <c r="Z12" s="417" t="s">
        <v>2233</v>
      </c>
      <c r="AA12" s="420" t="str">
        <f t="shared" si="4"/>
        <v>ETL3-SL22/5</v>
      </c>
      <c r="AC12" s="270" t="s">
        <v>2263</v>
      </c>
      <c r="AD12" s="425" t="s">
        <v>2264</v>
      </c>
      <c r="AE12" s="406" t="s">
        <v>1788</v>
      </c>
      <c r="AG12" s="428" t="s">
        <v>2265</v>
      </c>
      <c r="AH12" s="429" t="s">
        <v>2266</v>
      </c>
      <c r="AI12" s="426" t="s">
        <v>1816</v>
      </c>
      <c r="AK12" s="93" t="s">
        <v>1576</v>
      </c>
      <c r="AL12" s="106" t="s">
        <v>1575</v>
      </c>
      <c r="AM12" s="107" t="s">
        <v>1794</v>
      </c>
      <c r="AO12" s="115" t="s">
        <v>1650</v>
      </c>
      <c r="AP12" s="412" t="s">
        <v>1649</v>
      </c>
      <c r="AQ12" s="413"/>
      <c r="AR12" s="413"/>
      <c r="AS12" s="413"/>
      <c r="AT12" s="413"/>
      <c r="AU12" s="412" t="s">
        <v>2261</v>
      </c>
      <c r="AV12" s="434">
        <v>5.0</v>
      </c>
    </row>
    <row r="13">
      <c r="A13" s="414"/>
      <c r="B13" s="93"/>
      <c r="C13" s="93" t="str">
        <f t="shared" si="1"/>
        <v> , </v>
      </c>
      <c r="D13" s="106"/>
      <c r="E13" s="106"/>
      <c r="F13" s="404" t="str">
        <f t="shared" si="2"/>
        <v>, </v>
      </c>
      <c r="G13" s="242"/>
      <c r="H13" s="242"/>
      <c r="I13" s="242"/>
      <c r="J13" s="415"/>
      <c r="K13" s="435"/>
      <c r="L13" s="407"/>
      <c r="M13" s="416" t="s">
        <v>2267</v>
      </c>
      <c r="N13" s="246" t="s">
        <v>2268</v>
      </c>
      <c r="O13" s="420" t="s">
        <v>179</v>
      </c>
      <c r="P13" s="420" t="s">
        <v>1895</v>
      </c>
      <c r="Q13" s="433">
        <v>11.0</v>
      </c>
      <c r="R13" s="420" t="s">
        <v>2269</v>
      </c>
      <c r="S13" s="420" t="str">
        <f t="shared" si="3"/>
        <v>ETR2-SL11/11</v>
      </c>
      <c r="T13" s="407"/>
      <c r="U13" s="416" t="s">
        <v>220</v>
      </c>
      <c r="V13" s="250" t="s">
        <v>219</v>
      </c>
      <c r="W13" s="416" t="s">
        <v>66</v>
      </c>
      <c r="X13" s="416" t="s">
        <v>1594</v>
      </c>
      <c r="Y13" s="436">
        <v>6.0</v>
      </c>
      <c r="Z13" s="419" t="s">
        <v>2249</v>
      </c>
      <c r="AA13" s="420" t="str">
        <f t="shared" si="4"/>
        <v>ETR3-SM22/6</v>
      </c>
      <c r="AC13" s="270" t="s">
        <v>2270</v>
      </c>
      <c r="AD13" s="425" t="s">
        <v>2271</v>
      </c>
      <c r="AE13" s="406" t="s">
        <v>1796</v>
      </c>
      <c r="AG13" s="428" t="s">
        <v>2272</v>
      </c>
      <c r="AH13" s="429" t="s">
        <v>2273</v>
      </c>
      <c r="AI13" s="426" t="s">
        <v>1821</v>
      </c>
      <c r="AK13" s="93" t="s">
        <v>1584</v>
      </c>
      <c r="AL13" s="106" t="s">
        <v>1583</v>
      </c>
      <c r="AM13" s="107" t="s">
        <v>1797</v>
      </c>
      <c r="AO13" s="115" t="s">
        <v>1654</v>
      </c>
      <c r="AP13" s="412" t="s">
        <v>1653</v>
      </c>
      <c r="AQ13" s="413"/>
      <c r="AR13" s="413"/>
      <c r="AS13" s="413"/>
      <c r="AT13" s="413"/>
      <c r="AU13" s="412" t="s">
        <v>2261</v>
      </c>
      <c r="AV13" s="434">
        <v>5.0</v>
      </c>
    </row>
    <row r="14">
      <c r="A14" s="93" t="s">
        <v>927</v>
      </c>
      <c r="B14" s="93"/>
      <c r="C14" s="93" t="str">
        <f t="shared" si="1"/>
        <v>Speaker Module , </v>
      </c>
      <c r="D14" s="106" t="s">
        <v>926</v>
      </c>
      <c r="E14" s="106"/>
      <c r="F14" s="404" t="str">
        <f t="shared" si="2"/>
        <v>EM10-E, </v>
      </c>
      <c r="G14" s="107" t="s">
        <v>179</v>
      </c>
      <c r="H14" s="107" t="s">
        <v>1895</v>
      </c>
      <c r="I14" s="107">
        <v>3.0</v>
      </c>
      <c r="J14" s="107" t="s">
        <v>2219</v>
      </c>
      <c r="K14" s="406" t="str">
        <f t="shared" ref="K14:K15" si="6">J14&amp;"-"&amp;H14&amp;"/"&amp;I14</f>
        <v>ETL2-SL11/3</v>
      </c>
      <c r="L14" s="407"/>
      <c r="M14" s="416" t="s">
        <v>501</v>
      </c>
      <c r="N14" s="246" t="s">
        <v>500</v>
      </c>
      <c r="O14" s="417" t="s">
        <v>179</v>
      </c>
      <c r="P14" s="417" t="s">
        <v>1895</v>
      </c>
      <c r="Q14" s="418">
        <v>12.0</v>
      </c>
      <c r="R14" s="417" t="s">
        <v>2269</v>
      </c>
      <c r="S14" s="420" t="str">
        <f t="shared" si="3"/>
        <v>ETR2-SL11/12</v>
      </c>
      <c r="T14" s="407"/>
      <c r="U14" s="416" t="s">
        <v>304</v>
      </c>
      <c r="V14" s="250" t="s">
        <v>303</v>
      </c>
      <c r="W14" s="417" t="s">
        <v>249</v>
      </c>
      <c r="X14" s="417" t="s">
        <v>2012</v>
      </c>
      <c r="Y14" s="418">
        <v>6.0</v>
      </c>
      <c r="Z14" s="419" t="s">
        <v>2274</v>
      </c>
      <c r="AA14" s="420" t="str">
        <f t="shared" si="4"/>
        <v>EBR1-SL22/6</v>
      </c>
      <c r="AC14" s="270" t="s">
        <v>2275</v>
      </c>
      <c r="AD14" s="425" t="s">
        <v>2276</v>
      </c>
      <c r="AE14" s="107" t="s">
        <v>1802</v>
      </c>
      <c r="AG14" s="428" t="s">
        <v>2277</v>
      </c>
      <c r="AH14" s="429" t="s">
        <v>2278</v>
      </c>
      <c r="AI14" s="426" t="s">
        <v>1825</v>
      </c>
      <c r="AK14" s="93" t="s">
        <v>1619</v>
      </c>
      <c r="AL14" s="106" t="s">
        <v>1618</v>
      </c>
      <c r="AM14" s="107" t="s">
        <v>1801</v>
      </c>
      <c r="AO14" s="115" t="s">
        <v>1662</v>
      </c>
      <c r="AP14" s="412" t="s">
        <v>1661</v>
      </c>
      <c r="AQ14" s="413"/>
      <c r="AR14" s="413"/>
      <c r="AS14" s="413"/>
      <c r="AT14" s="413"/>
      <c r="AU14" s="412" t="s">
        <v>2104</v>
      </c>
      <c r="AV14" s="259">
        <v>2.0</v>
      </c>
    </row>
    <row r="15">
      <c r="A15" s="93" t="s">
        <v>2279</v>
      </c>
      <c r="B15" s="93"/>
      <c r="C15" s="93" t="str">
        <f t="shared" si="1"/>
        <v>LED Blue, Green, Red, White, Yellow, RGB , </v>
      </c>
      <c r="D15" s="106" t="s">
        <v>2280</v>
      </c>
      <c r="E15" s="106"/>
      <c r="F15" s="404" t="str">
        <f t="shared" si="2"/>
        <v>EC09/01-06-E, </v>
      </c>
      <c r="G15" s="406" t="s">
        <v>249</v>
      </c>
      <c r="H15" s="406" t="s">
        <v>2012</v>
      </c>
      <c r="I15" s="406">
        <v>1.0</v>
      </c>
      <c r="J15" s="406" t="s">
        <v>2219</v>
      </c>
      <c r="K15" s="406" t="str">
        <f t="shared" si="6"/>
        <v>ETL2-SL22/1</v>
      </c>
      <c r="L15" s="407"/>
      <c r="M15" s="416" t="s">
        <v>176</v>
      </c>
      <c r="N15" s="246" t="s">
        <v>175</v>
      </c>
      <c r="O15" s="417" t="s">
        <v>179</v>
      </c>
      <c r="P15" s="417" t="s">
        <v>1895</v>
      </c>
      <c r="Q15" s="418">
        <v>13.0</v>
      </c>
      <c r="R15" s="417" t="s">
        <v>2249</v>
      </c>
      <c r="S15" s="420" t="str">
        <f t="shared" si="3"/>
        <v>ETR3-SL11/13</v>
      </c>
      <c r="T15" s="407"/>
      <c r="U15" s="421" t="s">
        <v>2281</v>
      </c>
      <c r="V15" s="422" t="s">
        <v>2282</v>
      </c>
      <c r="W15" s="420" t="s">
        <v>22</v>
      </c>
      <c r="X15" s="420" t="s">
        <v>2008</v>
      </c>
      <c r="Y15" s="433">
        <v>1.0</v>
      </c>
      <c r="Z15" s="420" t="s">
        <v>2254</v>
      </c>
      <c r="AA15" s="420" t="str">
        <f t="shared" si="4"/>
        <v>ETR1-SM44/1</v>
      </c>
      <c r="AC15" s="414"/>
      <c r="AD15" s="414"/>
      <c r="AE15" s="414"/>
      <c r="AG15" s="428" t="s">
        <v>2283</v>
      </c>
      <c r="AH15" s="429" t="s">
        <v>2284</v>
      </c>
      <c r="AI15" s="426" t="s">
        <v>1827</v>
      </c>
      <c r="AK15" s="93" t="s">
        <v>441</v>
      </c>
      <c r="AL15" s="106" t="s">
        <v>440</v>
      </c>
      <c r="AM15" s="107" t="s">
        <v>1803</v>
      </c>
      <c r="AO15" s="115" t="s">
        <v>1670</v>
      </c>
      <c r="AP15" s="412" t="s">
        <v>1669</v>
      </c>
      <c r="AQ15" s="413"/>
      <c r="AR15" s="413"/>
      <c r="AS15" s="413"/>
      <c r="AT15" s="413"/>
      <c r="AU15" s="412" t="s">
        <v>2261</v>
      </c>
      <c r="AV15" s="259">
        <v>1.0</v>
      </c>
    </row>
    <row r="16">
      <c r="A16" s="93"/>
      <c r="B16" s="93"/>
      <c r="C16" s="93" t="str">
        <f t="shared" si="1"/>
        <v> , </v>
      </c>
      <c r="D16" s="106"/>
      <c r="E16" s="106"/>
      <c r="F16" s="404" t="str">
        <f t="shared" si="2"/>
        <v>, </v>
      </c>
      <c r="G16" s="435"/>
      <c r="H16" s="435"/>
      <c r="I16" s="435"/>
      <c r="J16" s="435"/>
      <c r="K16" s="435"/>
      <c r="L16" s="407"/>
      <c r="M16" s="416" t="s">
        <v>1376</v>
      </c>
      <c r="N16" s="246" t="s">
        <v>1375</v>
      </c>
      <c r="O16" s="417" t="s">
        <v>179</v>
      </c>
      <c r="P16" s="417" t="s">
        <v>1895</v>
      </c>
      <c r="Q16" s="418">
        <v>14.0</v>
      </c>
      <c r="R16" s="417" t="s">
        <v>2244</v>
      </c>
      <c r="S16" s="417" t="str">
        <f t="shared" si="3"/>
        <v>EBL1-SL11/14</v>
      </c>
      <c r="T16" s="407"/>
      <c r="U16" s="421" t="s">
        <v>2285</v>
      </c>
      <c r="V16" s="422" t="s">
        <v>2286</v>
      </c>
      <c r="W16" s="420" t="s">
        <v>249</v>
      </c>
      <c r="X16" s="420" t="s">
        <v>2012</v>
      </c>
      <c r="Y16" s="433">
        <v>7.0</v>
      </c>
      <c r="Z16" s="420" t="s">
        <v>2269</v>
      </c>
      <c r="AA16" s="420" t="str">
        <f t="shared" si="4"/>
        <v>ETR2-SL22/7</v>
      </c>
      <c r="AC16" s="414"/>
      <c r="AD16" s="414"/>
      <c r="AE16" s="414"/>
      <c r="AG16" s="428" t="s">
        <v>2287</v>
      </c>
      <c r="AH16" s="429" t="s">
        <v>2288</v>
      </c>
      <c r="AI16" s="426" t="s">
        <v>1829</v>
      </c>
      <c r="AK16" s="416" t="s">
        <v>438</v>
      </c>
      <c r="AL16" s="250" t="s">
        <v>437</v>
      </c>
      <c r="AM16" s="107" t="s">
        <v>1806</v>
      </c>
      <c r="AO16" s="414"/>
      <c r="AP16" s="414"/>
      <c r="AQ16" s="414"/>
      <c r="AR16" s="414"/>
      <c r="AS16" s="414"/>
      <c r="AT16" s="414"/>
      <c r="AU16" s="414"/>
      <c r="AV16" s="414"/>
    </row>
    <row r="17">
      <c r="A17" s="93"/>
      <c r="B17" s="93"/>
      <c r="C17" s="93" t="str">
        <f t="shared" si="1"/>
        <v> , </v>
      </c>
      <c r="D17" s="106"/>
      <c r="E17" s="106"/>
      <c r="F17" s="404" t="str">
        <f t="shared" si="2"/>
        <v>, </v>
      </c>
      <c r="G17" s="435"/>
      <c r="H17" s="435"/>
      <c r="I17" s="435"/>
      <c r="J17" s="435"/>
      <c r="K17" s="435"/>
      <c r="L17" s="407"/>
      <c r="M17" s="437"/>
      <c r="T17" s="407"/>
      <c r="U17" s="416" t="s">
        <v>1942</v>
      </c>
      <c r="V17" s="250" t="s">
        <v>492</v>
      </c>
      <c r="W17" s="417" t="s">
        <v>249</v>
      </c>
      <c r="X17" s="417" t="s">
        <v>2012</v>
      </c>
      <c r="Y17" s="418">
        <v>8.0</v>
      </c>
      <c r="Z17" s="417" t="s">
        <v>2269</v>
      </c>
      <c r="AA17" s="420" t="str">
        <f t="shared" si="4"/>
        <v>ETR2-SL22/8</v>
      </c>
      <c r="AC17" s="438" t="s">
        <v>1813</v>
      </c>
      <c r="AD17" s="39"/>
      <c r="AE17" s="40"/>
      <c r="AG17" s="428" t="s">
        <v>2289</v>
      </c>
      <c r="AH17" s="429" t="s">
        <v>2290</v>
      </c>
      <c r="AI17" s="426" t="s">
        <v>1832</v>
      </c>
      <c r="AK17" s="93" t="s">
        <v>950</v>
      </c>
      <c r="AL17" s="106" t="s">
        <v>949</v>
      </c>
      <c r="AM17" s="107" t="s">
        <v>1809</v>
      </c>
      <c r="AO17" s="414"/>
      <c r="AP17" s="414"/>
      <c r="AQ17" s="414"/>
      <c r="AR17" s="414"/>
      <c r="AS17" s="414"/>
      <c r="AT17" s="414"/>
      <c r="AU17" s="414"/>
      <c r="AV17" s="414"/>
    </row>
    <row r="18">
      <c r="A18" s="93"/>
      <c r="B18" s="93"/>
      <c r="C18" s="93" t="str">
        <f t="shared" si="1"/>
        <v> , </v>
      </c>
      <c r="D18" s="106"/>
      <c r="E18" s="106"/>
      <c r="F18" s="404" t="str">
        <f t="shared" si="2"/>
        <v>, </v>
      </c>
      <c r="G18" s="435"/>
      <c r="H18" s="435"/>
      <c r="I18" s="435"/>
      <c r="J18" s="435"/>
      <c r="K18" s="435"/>
      <c r="L18" s="407"/>
      <c r="M18" s="437"/>
      <c r="N18" s="437"/>
      <c r="O18" s="437"/>
      <c r="P18" s="437"/>
      <c r="Q18" s="437"/>
      <c r="R18" s="437"/>
      <c r="S18" s="437"/>
      <c r="T18" s="407"/>
      <c r="U18" s="416" t="s">
        <v>497</v>
      </c>
      <c r="V18" s="250" t="s">
        <v>496</v>
      </c>
      <c r="W18" s="417" t="s">
        <v>249</v>
      </c>
      <c r="X18" s="417" t="s">
        <v>2012</v>
      </c>
      <c r="Y18" s="418">
        <v>9.0</v>
      </c>
      <c r="Z18" s="417" t="s">
        <v>2269</v>
      </c>
      <c r="AA18" s="420" t="str">
        <f t="shared" si="4"/>
        <v>ETR2-SL22/9</v>
      </c>
      <c r="AC18" s="405" t="s">
        <v>943</v>
      </c>
      <c r="AD18" s="439" t="s">
        <v>942</v>
      </c>
      <c r="AE18" s="426" t="s">
        <v>1815</v>
      </c>
      <c r="AG18" s="428" t="s">
        <v>2291</v>
      </c>
      <c r="AH18" s="429" t="s">
        <v>2292</v>
      </c>
      <c r="AI18" s="426" t="s">
        <v>1835</v>
      </c>
      <c r="AK18" s="93" t="s">
        <v>1811</v>
      </c>
      <c r="AL18" s="106" t="s">
        <v>914</v>
      </c>
      <c r="AM18" s="107" t="s">
        <v>1812</v>
      </c>
      <c r="AO18" s="414"/>
      <c r="AP18" s="414"/>
      <c r="AQ18" s="414"/>
      <c r="AR18" s="414"/>
      <c r="AS18" s="414"/>
      <c r="AT18" s="414"/>
      <c r="AU18" s="414"/>
      <c r="AV18" s="414"/>
    </row>
    <row r="19">
      <c r="A19" s="93"/>
      <c r="B19" s="93"/>
      <c r="C19" s="93" t="str">
        <f t="shared" si="1"/>
        <v> , </v>
      </c>
      <c r="D19" s="106"/>
      <c r="E19" s="106"/>
      <c r="F19" s="404" t="str">
        <f t="shared" si="2"/>
        <v>, </v>
      </c>
      <c r="G19" s="435"/>
      <c r="H19" s="435"/>
      <c r="I19" s="435"/>
      <c r="J19" s="435"/>
      <c r="K19" s="435"/>
      <c r="L19" s="407"/>
      <c r="M19" s="437"/>
      <c r="N19" s="437"/>
      <c r="O19" s="437"/>
      <c r="P19" s="437"/>
      <c r="Q19" s="437"/>
      <c r="R19" s="437"/>
      <c r="S19" s="437"/>
      <c r="T19" s="407"/>
      <c r="U19" s="421" t="s">
        <v>2293</v>
      </c>
      <c r="V19" s="422" t="s">
        <v>2294</v>
      </c>
      <c r="W19" s="420" t="s">
        <v>249</v>
      </c>
      <c r="X19" s="420" t="s">
        <v>2012</v>
      </c>
      <c r="Y19" s="433">
        <v>10.0</v>
      </c>
      <c r="Z19" s="420" t="s">
        <v>2269</v>
      </c>
      <c r="AA19" s="420" t="str">
        <f t="shared" si="4"/>
        <v>ETR2-SL22/10</v>
      </c>
      <c r="AC19" s="440" t="s">
        <v>2295</v>
      </c>
      <c r="AD19" s="441" t="s">
        <v>2296</v>
      </c>
      <c r="AE19" s="426" t="s">
        <v>1819</v>
      </c>
      <c r="AG19" s="428" t="s">
        <v>2297</v>
      </c>
      <c r="AH19" s="429" t="s">
        <v>2298</v>
      </c>
      <c r="AI19" s="426" t="s">
        <v>1836</v>
      </c>
      <c r="AK19" s="93" t="s">
        <v>940</v>
      </c>
      <c r="AL19" s="106" t="s">
        <v>939</v>
      </c>
      <c r="AM19" s="107" t="s">
        <v>1814</v>
      </c>
      <c r="AO19" s="414"/>
      <c r="AP19" s="414"/>
      <c r="AQ19" s="414"/>
      <c r="AR19" s="414"/>
      <c r="AS19" s="414"/>
      <c r="AT19" s="414"/>
      <c r="AU19" s="414"/>
      <c r="AV19" s="414"/>
    </row>
    <row r="20">
      <c r="A20" s="93"/>
      <c r="B20" s="93"/>
      <c r="C20" s="93" t="str">
        <f t="shared" si="1"/>
        <v> , </v>
      </c>
      <c r="D20" s="106"/>
      <c r="E20" s="106"/>
      <c r="F20" s="404" t="str">
        <f t="shared" si="2"/>
        <v>, </v>
      </c>
      <c r="G20" s="415"/>
      <c r="H20" s="415"/>
      <c r="I20" s="415"/>
      <c r="J20" s="415"/>
      <c r="K20" s="435"/>
      <c r="L20" s="407"/>
      <c r="M20" s="437"/>
      <c r="N20" s="437"/>
      <c r="O20" s="437"/>
      <c r="P20" s="437"/>
      <c r="Q20" s="437"/>
      <c r="R20" s="437"/>
      <c r="S20" s="437"/>
      <c r="T20" s="407"/>
      <c r="U20" s="416" t="s">
        <v>1908</v>
      </c>
      <c r="V20" s="250" t="s">
        <v>187</v>
      </c>
      <c r="W20" s="416" t="s">
        <v>66</v>
      </c>
      <c r="X20" s="416" t="s">
        <v>1594</v>
      </c>
      <c r="Y20" s="436">
        <v>7.0</v>
      </c>
      <c r="Z20" s="417" t="s">
        <v>2249</v>
      </c>
      <c r="AA20" s="420" t="str">
        <f t="shared" si="4"/>
        <v>ETR3-SM22/7</v>
      </c>
      <c r="AC20" s="440" t="s">
        <v>2299</v>
      </c>
      <c r="AD20" s="441" t="s">
        <v>2300</v>
      </c>
      <c r="AE20" s="426" t="s">
        <v>1823</v>
      </c>
      <c r="AG20" s="428" t="s">
        <v>2301</v>
      </c>
      <c r="AH20" s="429" t="s">
        <v>2302</v>
      </c>
      <c r="AI20" s="426" t="s">
        <v>1837</v>
      </c>
      <c r="AK20" s="442" t="s">
        <v>1817</v>
      </c>
      <c r="AL20" s="40"/>
      <c r="AM20" s="443" t="s">
        <v>1818</v>
      </c>
      <c r="AO20" s="414"/>
      <c r="AP20" s="414"/>
      <c r="AQ20" s="414"/>
      <c r="AR20" s="414"/>
      <c r="AS20" s="414"/>
      <c r="AT20" s="414"/>
      <c r="AU20" s="414"/>
      <c r="AV20" s="414"/>
    </row>
    <row r="21">
      <c r="A21" s="93" t="s">
        <v>930</v>
      </c>
      <c r="B21" s="93"/>
      <c r="C21" s="93" t="str">
        <f t="shared" si="1"/>
        <v>Water Pump module , </v>
      </c>
      <c r="D21" s="106" t="s">
        <v>929</v>
      </c>
      <c r="E21" s="106"/>
      <c r="F21" s="404" t="str">
        <f t="shared" si="2"/>
        <v>EM11-E, </v>
      </c>
      <c r="G21" s="107" t="s">
        <v>179</v>
      </c>
      <c r="H21" s="107" t="s">
        <v>1895</v>
      </c>
      <c r="I21" s="107">
        <v>4.0</v>
      </c>
      <c r="J21" s="107" t="s">
        <v>2233</v>
      </c>
      <c r="K21" s="406" t="str">
        <f t="shared" ref="K21:K29" si="7">J21&amp;"-"&amp;H21&amp;"/"&amp;I21</f>
        <v>ETL3-SL11/4</v>
      </c>
      <c r="L21" s="407"/>
      <c r="M21" s="437"/>
      <c r="N21" s="437"/>
      <c r="O21" s="437"/>
      <c r="P21" s="437"/>
      <c r="Q21" s="437"/>
      <c r="R21" s="437"/>
      <c r="S21" s="437"/>
      <c r="T21" s="407"/>
      <c r="U21" s="416" t="s">
        <v>1906</v>
      </c>
      <c r="V21" s="250" t="s">
        <v>182</v>
      </c>
      <c r="W21" s="416" t="s">
        <v>66</v>
      </c>
      <c r="X21" s="416" t="s">
        <v>1594</v>
      </c>
      <c r="Y21" s="436">
        <v>8.0</v>
      </c>
      <c r="Z21" s="417" t="s">
        <v>2249</v>
      </c>
      <c r="AA21" s="420" t="str">
        <f t="shared" si="4"/>
        <v>ETR3-SM22/8</v>
      </c>
      <c r="AC21" s="440" t="s">
        <v>2303</v>
      </c>
      <c r="AD21" s="441" t="s">
        <v>2304</v>
      </c>
      <c r="AE21" s="426" t="s">
        <v>1826</v>
      </c>
      <c r="AG21" s="428" t="s">
        <v>2305</v>
      </c>
      <c r="AH21" s="429" t="s">
        <v>2306</v>
      </c>
      <c r="AI21" s="426" t="s">
        <v>1838</v>
      </c>
      <c r="AK21" s="444"/>
      <c r="AO21" s="414"/>
      <c r="AP21" s="414"/>
      <c r="AQ21" s="414"/>
      <c r="AR21" s="414"/>
      <c r="AS21" s="414"/>
      <c r="AT21" s="414"/>
      <c r="AU21" s="414"/>
      <c r="AV21" s="414"/>
    </row>
    <row r="22">
      <c r="A22" s="93" t="s">
        <v>1623</v>
      </c>
      <c r="B22" s="93"/>
      <c r="C22" s="93" t="str">
        <f t="shared" si="1"/>
        <v>Water Flow Sensor , </v>
      </c>
      <c r="D22" s="106" t="s">
        <v>1622</v>
      </c>
      <c r="E22" s="106"/>
      <c r="F22" s="404" t="str">
        <f t="shared" si="2"/>
        <v>SM24-E, </v>
      </c>
      <c r="G22" s="107" t="s">
        <v>179</v>
      </c>
      <c r="H22" s="107" t="s">
        <v>1895</v>
      </c>
      <c r="I22" s="107">
        <v>5.0</v>
      </c>
      <c r="J22" s="107" t="s">
        <v>2233</v>
      </c>
      <c r="K22" s="406" t="str">
        <f t="shared" si="7"/>
        <v>ETL3-SL11/5</v>
      </c>
      <c r="L22" s="407"/>
      <c r="M22" s="437"/>
      <c r="N22" s="437"/>
      <c r="O22" s="437"/>
      <c r="P22" s="437"/>
      <c r="Q22" s="437"/>
      <c r="R22" s="437"/>
      <c r="S22" s="437"/>
      <c r="T22" s="407"/>
      <c r="U22" s="416" t="s">
        <v>1372</v>
      </c>
      <c r="V22" s="250" t="s">
        <v>1371</v>
      </c>
      <c r="W22" s="416" t="s">
        <v>66</v>
      </c>
      <c r="X22" s="416" t="s">
        <v>1594</v>
      </c>
      <c r="Y22" s="436">
        <v>9.0</v>
      </c>
      <c r="Z22" s="417" t="s">
        <v>2244</v>
      </c>
      <c r="AA22" s="420" t="str">
        <f t="shared" si="4"/>
        <v>EBL1-SM22/9</v>
      </c>
      <c r="AC22" s="440" t="s">
        <v>2307</v>
      </c>
      <c r="AD22" s="441" t="s">
        <v>2308</v>
      </c>
      <c r="AE22" s="426" t="s">
        <v>1828</v>
      </c>
      <c r="AG22" s="428" t="s">
        <v>2309</v>
      </c>
      <c r="AH22" s="429" t="s">
        <v>2310</v>
      </c>
      <c r="AI22" s="426" t="s">
        <v>1839</v>
      </c>
      <c r="AK22" s="444"/>
      <c r="AL22" s="444"/>
      <c r="AM22" s="444"/>
      <c r="AO22" s="414"/>
      <c r="AP22" s="414"/>
      <c r="AQ22" s="414"/>
      <c r="AR22" s="414"/>
      <c r="AS22" s="414"/>
      <c r="AT22" s="414"/>
      <c r="AU22" s="414"/>
      <c r="AV22" s="414"/>
    </row>
    <row r="23">
      <c r="A23" s="93" t="s">
        <v>923</v>
      </c>
      <c r="B23" s="93"/>
      <c r="C23" s="93" t="str">
        <f t="shared" si="1"/>
        <v>Solenoid valve , </v>
      </c>
      <c r="D23" s="106" t="s">
        <v>922</v>
      </c>
      <c r="E23" s="106"/>
      <c r="F23" s="404" t="str">
        <f t="shared" si="2"/>
        <v>EM09-E, </v>
      </c>
      <c r="G23" s="107" t="s">
        <v>179</v>
      </c>
      <c r="H23" s="107" t="s">
        <v>1895</v>
      </c>
      <c r="I23" s="107">
        <v>6.0</v>
      </c>
      <c r="J23" s="107" t="s">
        <v>2233</v>
      </c>
      <c r="K23" s="406" t="str">
        <f t="shared" si="7"/>
        <v>ETL3-SL11/6</v>
      </c>
      <c r="L23" s="407"/>
      <c r="M23" s="437"/>
      <c r="N23" s="437"/>
      <c r="O23" s="437"/>
      <c r="P23" s="437"/>
      <c r="Q23" s="437"/>
      <c r="R23" s="437"/>
      <c r="S23" s="437"/>
      <c r="T23" s="407"/>
      <c r="U23" s="416" t="s">
        <v>300</v>
      </c>
      <c r="V23" s="250" t="s">
        <v>299</v>
      </c>
      <c r="W23" s="416" t="s">
        <v>66</v>
      </c>
      <c r="X23" s="416" t="s">
        <v>1594</v>
      </c>
      <c r="Y23" s="436">
        <v>10.0</v>
      </c>
      <c r="Z23" s="417" t="s">
        <v>2274</v>
      </c>
      <c r="AA23" s="420" t="str">
        <f t="shared" si="4"/>
        <v>EBR1-SM22/10</v>
      </c>
      <c r="AC23" s="242" t="s">
        <v>1388</v>
      </c>
      <c r="AD23" s="445" t="s">
        <v>1387</v>
      </c>
      <c r="AE23" s="446" t="s">
        <v>1830</v>
      </c>
      <c r="AG23" s="428" t="s">
        <v>2311</v>
      </c>
      <c r="AH23" s="429" t="s">
        <v>2312</v>
      </c>
      <c r="AI23" s="426" t="s">
        <v>1840</v>
      </c>
      <c r="AK23" s="444"/>
      <c r="AL23" s="444"/>
      <c r="AM23" s="444"/>
      <c r="AO23" s="414"/>
      <c r="AP23" s="414"/>
      <c r="AQ23" s="414"/>
      <c r="AR23" s="414"/>
      <c r="AS23" s="414"/>
      <c r="AT23" s="414"/>
      <c r="AU23" s="414"/>
      <c r="AV23" s="414"/>
    </row>
    <row r="24">
      <c r="A24" s="93" t="s">
        <v>903</v>
      </c>
      <c r="B24" s="93"/>
      <c r="C24" s="93" t="str">
        <f t="shared" si="1"/>
        <v>DC Cooling Fan , </v>
      </c>
      <c r="D24" s="106" t="s">
        <v>902</v>
      </c>
      <c r="E24" s="106"/>
      <c r="F24" s="404" t="str">
        <f t="shared" si="2"/>
        <v>EM04-E, </v>
      </c>
      <c r="G24" s="107" t="s">
        <v>249</v>
      </c>
      <c r="H24" s="107" t="s">
        <v>2012</v>
      </c>
      <c r="I24" s="107">
        <v>2.0</v>
      </c>
      <c r="J24" s="107" t="s">
        <v>2233</v>
      </c>
      <c r="K24" s="406" t="str">
        <f t="shared" si="7"/>
        <v>ETL3-SL22/2</v>
      </c>
      <c r="L24" s="407"/>
      <c r="O24" s="437"/>
      <c r="P24" s="437"/>
      <c r="Q24" s="437"/>
      <c r="R24" s="437"/>
      <c r="S24" s="437"/>
      <c r="T24" s="407"/>
      <c r="U24" s="416" t="s">
        <v>1916</v>
      </c>
      <c r="V24" s="250" t="s">
        <v>235</v>
      </c>
      <c r="W24" s="416" t="s">
        <v>66</v>
      </c>
      <c r="X24" s="416" t="s">
        <v>1594</v>
      </c>
      <c r="Y24" s="436">
        <v>11.0</v>
      </c>
      <c r="Z24" s="417" t="s">
        <v>2274</v>
      </c>
      <c r="AA24" s="420" t="str">
        <f t="shared" si="4"/>
        <v>EBR1-SM22/11</v>
      </c>
      <c r="AC24" s="93" t="s">
        <v>834</v>
      </c>
      <c r="AD24" s="123" t="s">
        <v>833</v>
      </c>
      <c r="AE24" s="105" t="s">
        <v>1831</v>
      </c>
      <c r="AG24" s="428" t="s">
        <v>2313</v>
      </c>
      <c r="AH24" s="429" t="s">
        <v>2314</v>
      </c>
      <c r="AI24" s="426" t="s">
        <v>1841</v>
      </c>
      <c r="AK24" s="444"/>
      <c r="AL24" s="444"/>
      <c r="AM24" s="444"/>
      <c r="AO24" s="414"/>
      <c r="AP24" s="414"/>
      <c r="AQ24" s="414"/>
      <c r="AR24" s="414"/>
      <c r="AS24" s="414"/>
      <c r="AT24" s="414"/>
      <c r="AU24" s="414"/>
      <c r="AV24" s="414"/>
    </row>
    <row r="25">
      <c r="A25" s="93" t="s">
        <v>1367</v>
      </c>
      <c r="B25" s="93"/>
      <c r="C25" s="93" t="str">
        <f t="shared" si="1"/>
        <v>BO1 Motor 60RPM , </v>
      </c>
      <c r="D25" s="106" t="s">
        <v>1366</v>
      </c>
      <c r="E25" s="106"/>
      <c r="F25" s="404" t="str">
        <f t="shared" si="2"/>
        <v>MW02/02-E, </v>
      </c>
      <c r="G25" s="107" t="s">
        <v>249</v>
      </c>
      <c r="H25" s="107" t="s">
        <v>2012</v>
      </c>
      <c r="I25" s="107">
        <v>3.0</v>
      </c>
      <c r="J25" s="107" t="s">
        <v>2233</v>
      </c>
      <c r="K25" s="406" t="str">
        <f t="shared" si="7"/>
        <v>ETL3-SL22/3</v>
      </c>
      <c r="L25" s="407"/>
      <c r="O25" s="437"/>
      <c r="P25" s="437"/>
      <c r="Q25" s="437"/>
      <c r="R25" s="437"/>
      <c r="S25" s="437"/>
      <c r="T25" s="407"/>
      <c r="U25" s="421" t="s">
        <v>2315</v>
      </c>
      <c r="V25" s="422" t="s">
        <v>2316</v>
      </c>
      <c r="W25" s="420" t="s">
        <v>22</v>
      </c>
      <c r="X25" s="420" t="s">
        <v>2008</v>
      </c>
      <c r="Y25" s="433">
        <v>2.0</v>
      </c>
      <c r="Z25" s="427" t="s">
        <v>2274</v>
      </c>
      <c r="AA25" s="420" t="str">
        <f t="shared" si="4"/>
        <v>EBR1-SM44/2</v>
      </c>
      <c r="AC25" s="405" t="s">
        <v>842</v>
      </c>
      <c r="AD25" s="439" t="s">
        <v>841</v>
      </c>
      <c r="AE25" s="426" t="s">
        <v>1833</v>
      </c>
      <c r="AG25" s="428" t="s">
        <v>2317</v>
      </c>
      <c r="AH25" s="429" t="s">
        <v>2318</v>
      </c>
      <c r="AI25" s="426" t="s">
        <v>1842</v>
      </c>
      <c r="AK25" s="444"/>
      <c r="AL25" s="444"/>
      <c r="AM25" s="444"/>
      <c r="AO25" s="414"/>
      <c r="AP25" s="414"/>
      <c r="AQ25" s="414"/>
      <c r="AR25" s="414"/>
      <c r="AS25" s="414"/>
      <c r="AT25" s="414"/>
      <c r="AU25" s="414"/>
      <c r="AV25" s="414"/>
    </row>
    <row r="26">
      <c r="A26" s="93" t="s">
        <v>1363</v>
      </c>
      <c r="B26" s="93"/>
      <c r="C26" s="93" t="str">
        <f t="shared" si="1"/>
        <v>BO1 Motor 200RPM , </v>
      </c>
      <c r="D26" s="106" t="s">
        <v>1362</v>
      </c>
      <c r="E26" s="106"/>
      <c r="F26" s="404" t="str">
        <f t="shared" si="2"/>
        <v>MW02/01-E, </v>
      </c>
      <c r="G26" s="107" t="s">
        <v>249</v>
      </c>
      <c r="H26" s="107" t="s">
        <v>2012</v>
      </c>
      <c r="I26" s="107">
        <v>4.0</v>
      </c>
      <c r="J26" s="107" t="s">
        <v>2233</v>
      </c>
      <c r="K26" s="406" t="str">
        <f t="shared" si="7"/>
        <v>ETL3-SL22/4</v>
      </c>
      <c r="L26" s="407"/>
      <c r="O26" s="437"/>
      <c r="P26" s="437"/>
      <c r="Q26" s="437"/>
      <c r="R26" s="437"/>
      <c r="S26" s="437"/>
      <c r="T26" s="407"/>
      <c r="U26" s="421" t="s">
        <v>2319</v>
      </c>
      <c r="V26" s="447" t="s">
        <v>2320</v>
      </c>
      <c r="W26" s="420" t="s">
        <v>1904</v>
      </c>
      <c r="X26" s="420" t="s">
        <v>2008</v>
      </c>
      <c r="Y26" s="420">
        <v>3.0</v>
      </c>
      <c r="Z26" s="420" t="s">
        <v>2321</v>
      </c>
      <c r="AA26" s="420" t="str">
        <f t="shared" si="4"/>
        <v>EBL2-SM44/3</v>
      </c>
      <c r="AC26" s="440" t="s">
        <v>2322</v>
      </c>
      <c r="AD26" s="441" t="s">
        <v>2323</v>
      </c>
      <c r="AE26" s="426" t="s">
        <v>1834</v>
      </c>
      <c r="AG26" s="428" t="s">
        <v>2324</v>
      </c>
      <c r="AH26" s="429" t="s">
        <v>2325</v>
      </c>
      <c r="AI26" s="426" t="s">
        <v>1843</v>
      </c>
      <c r="AK26" s="444"/>
      <c r="AL26" s="444"/>
      <c r="AM26" s="444"/>
      <c r="AO26" s="414"/>
      <c r="AP26" s="414"/>
      <c r="AQ26" s="414"/>
      <c r="AR26" s="414"/>
      <c r="AS26" s="414"/>
      <c r="AT26" s="414"/>
      <c r="AU26" s="414"/>
      <c r="AV26" s="414"/>
    </row>
    <row r="27">
      <c r="A27" s="93" t="s">
        <v>1391</v>
      </c>
      <c r="B27" s="93"/>
      <c r="C27" s="93" t="str">
        <f t="shared" si="1"/>
        <v>Stepper Motor , </v>
      </c>
      <c r="D27" s="106" t="s">
        <v>1390</v>
      </c>
      <c r="E27" s="106"/>
      <c r="F27" s="404" t="str">
        <f t="shared" si="2"/>
        <v>MW08-E, </v>
      </c>
      <c r="G27" s="107" t="s">
        <v>249</v>
      </c>
      <c r="H27" s="107" t="s">
        <v>2012</v>
      </c>
      <c r="I27" s="107">
        <v>5.0</v>
      </c>
      <c r="J27" s="107" t="s">
        <v>2233</v>
      </c>
      <c r="K27" s="406" t="str">
        <f t="shared" si="7"/>
        <v>ETL3-SL22/5</v>
      </c>
      <c r="L27" s="407"/>
      <c r="O27" s="437"/>
      <c r="P27" s="437"/>
      <c r="Q27" s="437"/>
      <c r="R27" s="437"/>
      <c r="S27" s="437"/>
      <c r="T27" s="407"/>
      <c r="U27" s="448" t="s">
        <v>2326</v>
      </c>
      <c r="V27" s="449" t="s">
        <v>2327</v>
      </c>
      <c r="W27" s="449" t="s">
        <v>1972</v>
      </c>
      <c r="X27" s="449" t="s">
        <v>2012</v>
      </c>
      <c r="Y27" s="449">
        <v>11.0</v>
      </c>
      <c r="Z27" s="449" t="s">
        <v>2233</v>
      </c>
      <c r="AA27" s="420" t="str">
        <f t="shared" si="4"/>
        <v>ETL3-SL22/11</v>
      </c>
      <c r="AC27" s="37"/>
      <c r="AG27" s="428" t="s">
        <v>2328</v>
      </c>
      <c r="AH27" s="429" t="s">
        <v>2329</v>
      </c>
      <c r="AI27" s="426" t="s">
        <v>1844</v>
      </c>
      <c r="AK27" s="444"/>
      <c r="AL27" s="444"/>
      <c r="AM27" s="444"/>
      <c r="AO27" s="414"/>
      <c r="AP27" s="414"/>
      <c r="AQ27" s="414"/>
      <c r="AR27" s="414"/>
      <c r="AS27" s="414"/>
      <c r="AT27" s="414"/>
      <c r="AU27" s="414"/>
      <c r="AV27" s="414"/>
    </row>
    <row r="28">
      <c r="A28" s="93" t="s">
        <v>220</v>
      </c>
      <c r="B28" s="93"/>
      <c r="C28" s="93" t="str">
        <f t="shared" si="1"/>
        <v>Power Bank , </v>
      </c>
      <c r="D28" s="106" t="s">
        <v>219</v>
      </c>
      <c r="E28" s="106"/>
      <c r="F28" s="404" t="str">
        <f t="shared" si="2"/>
        <v>BA06-E, </v>
      </c>
      <c r="G28" s="93" t="s">
        <v>66</v>
      </c>
      <c r="H28" s="93" t="s">
        <v>1594</v>
      </c>
      <c r="I28" s="93">
        <v>6.0</v>
      </c>
      <c r="J28" s="107" t="s">
        <v>2254</v>
      </c>
      <c r="K28" s="406" t="str">
        <f t="shared" si="7"/>
        <v>ETR1-SM22/6</v>
      </c>
      <c r="L28" s="407"/>
      <c r="M28" s="437"/>
      <c r="N28" s="437"/>
      <c r="O28" s="437"/>
      <c r="P28" s="437"/>
      <c r="Q28" s="437"/>
      <c r="R28" s="437"/>
      <c r="S28" s="437"/>
      <c r="T28" s="407"/>
      <c r="U28" s="450" t="s">
        <v>1391</v>
      </c>
      <c r="V28" s="450" t="s">
        <v>1390</v>
      </c>
      <c r="W28" s="449" t="s">
        <v>1972</v>
      </c>
      <c r="X28" s="449" t="s">
        <v>2012</v>
      </c>
      <c r="Y28" s="449">
        <v>12.0</v>
      </c>
      <c r="Z28" s="449" t="s">
        <v>2233</v>
      </c>
      <c r="AA28" s="420" t="str">
        <f t="shared" si="4"/>
        <v>ETL3-SL22/12</v>
      </c>
      <c r="AC28" s="414"/>
      <c r="AD28" s="414"/>
      <c r="AE28" s="414"/>
      <c r="AG28" s="428" t="s">
        <v>2330</v>
      </c>
      <c r="AH28" s="429" t="s">
        <v>2331</v>
      </c>
      <c r="AI28" s="426" t="s">
        <v>1845</v>
      </c>
      <c r="AK28" s="444"/>
      <c r="AL28" s="444"/>
      <c r="AM28" s="444"/>
      <c r="AO28" s="414"/>
      <c r="AP28" s="414"/>
      <c r="AQ28" s="414"/>
      <c r="AR28" s="414"/>
      <c r="AS28" s="414"/>
      <c r="AT28" s="414"/>
      <c r="AU28" s="414"/>
      <c r="AV28" s="414"/>
    </row>
    <row r="29">
      <c r="A29" s="93" t="s">
        <v>2332</v>
      </c>
      <c r="B29" s="93" t="s">
        <v>2333</v>
      </c>
      <c r="C29" s="93" t="str">
        <f t="shared" si="1"/>
        <v>Battery Clip, DC Power Jack , Battery Clip with DC Jack, 3.5mm Sterio Plug</v>
      </c>
      <c r="D29" s="106" t="s">
        <v>2334</v>
      </c>
      <c r="E29" s="106" t="s">
        <v>2335</v>
      </c>
      <c r="F29" s="404" t="str">
        <f t="shared" si="2"/>
        <v>BA03/01-E, CC02-E, BA03/02-E, CC09-E</v>
      </c>
      <c r="G29" s="406" t="s">
        <v>179</v>
      </c>
      <c r="H29" s="406" t="s">
        <v>1895</v>
      </c>
      <c r="I29" s="406">
        <v>7.0</v>
      </c>
      <c r="J29" s="406" t="s">
        <v>2254</v>
      </c>
      <c r="K29" s="406" t="str">
        <f t="shared" si="7"/>
        <v>ETR1-SL11/7</v>
      </c>
      <c r="L29" s="407"/>
      <c r="M29" s="437"/>
      <c r="N29" s="437"/>
      <c r="O29" s="437"/>
      <c r="P29" s="437"/>
      <c r="Q29" s="437"/>
      <c r="R29" s="437"/>
      <c r="S29" s="437"/>
      <c r="T29" s="407"/>
      <c r="AA29" s="420"/>
      <c r="AC29" s="414"/>
      <c r="AD29" s="414"/>
      <c r="AE29" s="414"/>
      <c r="AG29" s="428" t="s">
        <v>2336</v>
      </c>
      <c r="AH29" s="429" t="s">
        <v>2337</v>
      </c>
      <c r="AI29" s="426" t="s">
        <v>1846</v>
      </c>
      <c r="AK29" s="444"/>
      <c r="AL29" s="444"/>
      <c r="AM29" s="444"/>
      <c r="AO29" s="414"/>
      <c r="AP29" s="414"/>
      <c r="AQ29" s="414"/>
      <c r="AR29" s="414"/>
      <c r="AS29" s="414"/>
      <c r="AT29" s="414"/>
      <c r="AU29" s="414"/>
      <c r="AV29" s="414"/>
    </row>
    <row r="30">
      <c r="A30" s="414"/>
      <c r="B30" s="93"/>
      <c r="C30" s="37"/>
      <c r="D30" s="414"/>
      <c r="E30" s="106"/>
      <c r="F30" s="451"/>
      <c r="G30" s="435"/>
      <c r="H30" s="435"/>
      <c r="I30" s="435"/>
      <c r="J30" s="435"/>
      <c r="K30" s="435"/>
      <c r="L30" s="407"/>
      <c r="M30" s="437"/>
      <c r="N30" s="437"/>
      <c r="O30" s="437"/>
      <c r="P30" s="437"/>
      <c r="Q30" s="437"/>
      <c r="R30" s="437"/>
      <c r="S30" s="437"/>
      <c r="T30" s="407"/>
      <c r="U30" s="452" t="s">
        <v>2338</v>
      </c>
      <c r="AC30" s="37"/>
      <c r="AD30" s="37"/>
      <c r="AE30" s="37"/>
      <c r="AG30" s="428" t="s">
        <v>2339</v>
      </c>
      <c r="AH30" s="429" t="s">
        <v>2340</v>
      </c>
      <c r="AI30" s="426" t="s">
        <v>1847</v>
      </c>
      <c r="AK30" s="444"/>
      <c r="AL30" s="444"/>
      <c r="AM30" s="444"/>
      <c r="AO30" s="414"/>
      <c r="AP30" s="414"/>
      <c r="AQ30" s="414"/>
      <c r="AR30" s="414"/>
      <c r="AS30" s="414"/>
      <c r="AT30" s="414"/>
      <c r="AU30" s="414"/>
      <c r="AV30" s="414"/>
    </row>
    <row r="31">
      <c r="A31" s="93"/>
      <c r="B31" s="93"/>
      <c r="C31" s="93"/>
      <c r="D31" s="106"/>
      <c r="E31" s="106"/>
      <c r="F31" s="451"/>
      <c r="G31" s="435"/>
      <c r="H31" s="435"/>
      <c r="I31" s="435"/>
      <c r="J31" s="435"/>
      <c r="K31" s="435"/>
      <c r="L31" s="407"/>
      <c r="M31" s="437"/>
      <c r="N31" s="437"/>
      <c r="O31" s="437"/>
      <c r="P31" s="437"/>
      <c r="Q31" s="437"/>
      <c r="R31" s="437"/>
      <c r="S31" s="437"/>
      <c r="T31" s="407"/>
      <c r="AC31" s="37"/>
      <c r="AD31" s="37"/>
      <c r="AE31" s="37"/>
      <c r="AG31" s="428" t="s">
        <v>2341</v>
      </c>
      <c r="AH31" s="429" t="s">
        <v>2342</v>
      </c>
      <c r="AI31" s="426" t="s">
        <v>1848</v>
      </c>
      <c r="AK31" s="444"/>
      <c r="AL31" s="444"/>
      <c r="AM31" s="444"/>
      <c r="AO31" s="414"/>
      <c r="AP31" s="414"/>
      <c r="AQ31" s="414"/>
      <c r="AR31" s="414"/>
      <c r="AS31" s="414"/>
      <c r="AT31" s="414"/>
      <c r="AU31" s="414"/>
      <c r="AV31" s="414"/>
    </row>
    <row r="32">
      <c r="A32" s="93"/>
      <c r="B32" s="93"/>
      <c r="C32" s="93"/>
      <c r="D32" s="106"/>
      <c r="E32" s="106"/>
      <c r="F32" s="453"/>
      <c r="G32" s="415"/>
      <c r="H32" s="415"/>
      <c r="I32" s="415"/>
      <c r="J32" s="415"/>
      <c r="K32" s="435"/>
      <c r="L32" s="407"/>
      <c r="M32" s="437"/>
      <c r="N32" s="437"/>
      <c r="O32" s="437"/>
      <c r="P32" s="437"/>
      <c r="Q32" s="437"/>
      <c r="R32" s="437"/>
      <c r="S32" s="437"/>
      <c r="T32" s="407"/>
      <c r="U32" s="414"/>
      <c r="AC32" s="37"/>
      <c r="AD32" s="37"/>
      <c r="AE32" s="37"/>
      <c r="AG32" s="242" t="s">
        <v>866</v>
      </c>
      <c r="AH32" s="432" t="s">
        <v>865</v>
      </c>
      <c r="AI32" s="105" t="s">
        <v>1849</v>
      </c>
      <c r="AK32" s="444"/>
      <c r="AL32" s="444"/>
      <c r="AM32" s="444"/>
      <c r="AO32" s="414"/>
      <c r="AP32" s="414"/>
      <c r="AQ32" s="414"/>
      <c r="AR32" s="414"/>
      <c r="AS32" s="414"/>
      <c r="AT32" s="414"/>
      <c r="AU32" s="414"/>
      <c r="AV32" s="414"/>
    </row>
    <row r="33">
      <c r="A33" s="93" t="s">
        <v>1741</v>
      </c>
      <c r="B33" s="93"/>
      <c r="C33" s="93"/>
      <c r="D33" s="106" t="s">
        <v>223</v>
      </c>
      <c r="E33" s="106"/>
      <c r="F33" s="106"/>
      <c r="G33" s="107" t="s">
        <v>179</v>
      </c>
      <c r="H33" s="107" t="s">
        <v>1895</v>
      </c>
      <c r="I33" s="107">
        <v>8.0</v>
      </c>
      <c r="J33" s="107" t="s">
        <v>2254</v>
      </c>
      <c r="K33" s="406" t="str">
        <f t="shared" ref="K33:K34" si="8">J33&amp;"-"&amp;H33&amp;"/"&amp;I33</f>
        <v>ETR1-SL11/8</v>
      </c>
      <c r="L33" s="407"/>
      <c r="M33" s="437"/>
      <c r="N33" s="437"/>
      <c r="O33" s="437"/>
      <c r="P33" s="437"/>
      <c r="Q33" s="437"/>
      <c r="R33" s="437"/>
      <c r="S33" s="437"/>
      <c r="T33" s="407"/>
      <c r="U33" s="454" t="s">
        <v>2343</v>
      </c>
      <c r="V33" s="455" t="s">
        <v>2344</v>
      </c>
      <c r="W33" s="456" t="s">
        <v>110</v>
      </c>
      <c r="X33" s="457" t="s">
        <v>1960</v>
      </c>
      <c r="Y33" s="457">
        <v>1.0</v>
      </c>
      <c r="Z33" s="457" t="s">
        <v>2261</v>
      </c>
      <c r="AA33" s="420" t="str">
        <f>Z33&amp;"-"&amp;X33&amp;"/"&amp;Y33</f>
        <v>EBC-NV/1</v>
      </c>
      <c r="AC33" s="37"/>
      <c r="AD33" s="37"/>
      <c r="AE33" s="37"/>
      <c r="AG33" s="428" t="s">
        <v>2345</v>
      </c>
      <c r="AH33" s="429" t="s">
        <v>2346</v>
      </c>
      <c r="AI33" s="426" t="s">
        <v>1850</v>
      </c>
      <c r="AK33" s="444"/>
      <c r="AL33" s="444"/>
      <c r="AM33" s="444"/>
      <c r="AO33" s="414"/>
      <c r="AP33" s="414"/>
      <c r="AQ33" s="414"/>
      <c r="AR33" s="414"/>
      <c r="AS33" s="414"/>
      <c r="AT33" s="414"/>
      <c r="AU33" s="414"/>
      <c r="AV33" s="414"/>
    </row>
    <row r="34">
      <c r="A34" s="93" t="s">
        <v>228</v>
      </c>
      <c r="B34" s="93"/>
      <c r="C34" s="93"/>
      <c r="D34" s="106" t="s">
        <v>227</v>
      </c>
      <c r="E34" s="106"/>
      <c r="F34" s="404"/>
      <c r="G34" s="406" t="s">
        <v>179</v>
      </c>
      <c r="H34" s="406" t="s">
        <v>1895</v>
      </c>
      <c r="I34" s="406">
        <v>9.0</v>
      </c>
      <c r="J34" s="406" t="s">
        <v>2254</v>
      </c>
      <c r="K34" s="406" t="str">
        <f t="shared" si="8"/>
        <v>ETR1-SL11/9</v>
      </c>
      <c r="L34" s="407"/>
      <c r="M34" s="437"/>
      <c r="N34" s="437"/>
      <c r="O34" s="437"/>
      <c r="P34" s="437"/>
      <c r="Q34" s="437"/>
      <c r="R34" s="437"/>
      <c r="S34" s="437"/>
      <c r="T34" s="407"/>
      <c r="U34" s="458"/>
      <c r="V34" s="458"/>
      <c r="W34" s="458"/>
      <c r="X34" s="458"/>
      <c r="Y34" s="458"/>
      <c r="Z34" s="458"/>
      <c r="AA34" s="459"/>
      <c r="AC34" s="37"/>
      <c r="AD34" s="37"/>
      <c r="AE34" s="37"/>
      <c r="AG34" s="428" t="s">
        <v>2347</v>
      </c>
      <c r="AH34" s="429" t="s">
        <v>2348</v>
      </c>
      <c r="AI34" s="426" t="s">
        <v>1851</v>
      </c>
      <c r="AK34" s="444"/>
      <c r="AL34" s="444"/>
      <c r="AM34" s="444"/>
      <c r="AO34" s="414"/>
      <c r="AP34" s="414"/>
      <c r="AQ34" s="414"/>
      <c r="AR34" s="414"/>
      <c r="AS34" s="414"/>
      <c r="AT34" s="414"/>
      <c r="AU34" s="414"/>
      <c r="AV34" s="414"/>
    </row>
    <row r="35">
      <c r="A35" s="93" t="s">
        <v>1915</v>
      </c>
      <c r="B35" s="93"/>
      <c r="C35" s="93"/>
      <c r="D35" s="106" t="s">
        <v>214</v>
      </c>
      <c r="E35" s="106"/>
      <c r="F35" s="453"/>
      <c r="G35" s="415"/>
      <c r="H35" s="415"/>
      <c r="I35" s="415"/>
      <c r="J35" s="415"/>
      <c r="K35" s="435"/>
      <c r="L35" s="407"/>
      <c r="M35" s="437"/>
      <c r="N35" s="437"/>
      <c r="O35" s="437"/>
      <c r="P35" s="437"/>
      <c r="Q35" s="437"/>
      <c r="R35" s="437"/>
      <c r="S35" s="437"/>
      <c r="T35" s="407"/>
      <c r="U35" s="414"/>
      <c r="V35" s="414"/>
      <c r="W35" s="414"/>
      <c r="X35" s="414"/>
      <c r="Y35" s="414"/>
      <c r="Z35" s="414"/>
      <c r="AA35" s="414"/>
      <c r="AC35" s="37"/>
      <c r="AD35" s="37"/>
      <c r="AE35" s="37"/>
      <c r="AG35" s="428" t="s">
        <v>2349</v>
      </c>
      <c r="AH35" s="429" t="s">
        <v>2350</v>
      </c>
      <c r="AI35" s="426" t="s">
        <v>1852</v>
      </c>
      <c r="AK35" s="444"/>
      <c r="AL35" s="444"/>
      <c r="AM35" s="444"/>
      <c r="AO35" s="414"/>
      <c r="AP35" s="414"/>
      <c r="AQ35" s="414"/>
      <c r="AR35" s="414"/>
      <c r="AS35" s="414"/>
      <c r="AT35" s="414"/>
      <c r="AU35" s="414"/>
      <c r="AV35" s="414"/>
    </row>
    <row r="36">
      <c r="A36" s="93" t="s">
        <v>232</v>
      </c>
      <c r="B36" s="93"/>
      <c r="C36" s="93"/>
      <c r="D36" s="106" t="s">
        <v>231</v>
      </c>
      <c r="E36" s="106"/>
      <c r="F36" s="106"/>
      <c r="G36" s="107" t="s">
        <v>179</v>
      </c>
      <c r="H36" s="107" t="s">
        <v>1895</v>
      </c>
      <c r="I36" s="107">
        <v>10.0</v>
      </c>
      <c r="J36" s="107" t="s">
        <v>2254</v>
      </c>
      <c r="K36" s="406" t="str">
        <f t="shared" ref="K36:K38" si="9">J36&amp;"-"&amp;H36&amp;"/"&amp;I36</f>
        <v>ETR1-SL11/10</v>
      </c>
      <c r="L36" s="407"/>
      <c r="M36" s="437"/>
      <c r="N36" s="437"/>
      <c r="O36" s="437"/>
      <c r="P36" s="437"/>
      <c r="Q36" s="437"/>
      <c r="R36" s="437"/>
      <c r="S36" s="437"/>
      <c r="T36" s="407"/>
      <c r="U36" s="414"/>
      <c r="V36" s="414"/>
      <c r="W36" s="414"/>
      <c r="X36" s="414"/>
      <c r="Y36" s="414"/>
      <c r="Z36" s="414"/>
      <c r="AA36" s="414"/>
      <c r="AC36" s="37"/>
      <c r="AD36" s="37"/>
      <c r="AE36" s="37"/>
      <c r="AG36" s="428" t="s">
        <v>2351</v>
      </c>
      <c r="AH36" s="429" t="s">
        <v>2352</v>
      </c>
      <c r="AI36" s="426" t="s">
        <v>1853</v>
      </c>
      <c r="AK36" s="444"/>
      <c r="AL36" s="444"/>
      <c r="AM36" s="444"/>
      <c r="AO36" s="414"/>
      <c r="AP36" s="414"/>
      <c r="AQ36" s="414"/>
      <c r="AR36" s="414"/>
      <c r="AS36" s="414"/>
      <c r="AT36" s="414"/>
      <c r="AU36" s="414"/>
      <c r="AV36" s="414"/>
    </row>
    <row r="37">
      <c r="A37" s="93" t="s">
        <v>304</v>
      </c>
      <c r="B37" s="93"/>
      <c r="C37" s="93"/>
      <c r="D37" s="106" t="s">
        <v>303</v>
      </c>
      <c r="E37" s="106"/>
      <c r="F37" s="106"/>
      <c r="G37" s="107" t="s">
        <v>249</v>
      </c>
      <c r="H37" s="107" t="s">
        <v>2012</v>
      </c>
      <c r="I37" s="107">
        <v>6.0</v>
      </c>
      <c r="J37" s="107" t="s">
        <v>2254</v>
      </c>
      <c r="K37" s="406" t="str">
        <f t="shared" si="9"/>
        <v>ETR1-SL22/6</v>
      </c>
      <c r="L37" s="407"/>
      <c r="M37" s="437"/>
      <c r="N37" s="437"/>
      <c r="O37" s="437"/>
      <c r="P37" s="437"/>
      <c r="Q37" s="437"/>
      <c r="R37" s="437"/>
      <c r="S37" s="437"/>
      <c r="T37" s="407"/>
      <c r="U37" s="414"/>
      <c r="V37" s="414"/>
      <c r="W37" s="414"/>
      <c r="X37" s="414"/>
      <c r="Y37" s="414"/>
      <c r="Z37" s="414"/>
      <c r="AA37" s="414"/>
      <c r="AC37" s="37"/>
      <c r="AD37" s="37"/>
      <c r="AE37" s="37"/>
      <c r="AG37" s="428" t="s">
        <v>2353</v>
      </c>
      <c r="AH37" s="429" t="s">
        <v>2354</v>
      </c>
      <c r="AI37" s="426" t="s">
        <v>1854</v>
      </c>
      <c r="AK37" s="444"/>
      <c r="AL37" s="444"/>
      <c r="AM37" s="444"/>
      <c r="AO37" s="414"/>
      <c r="AP37" s="414"/>
      <c r="AQ37" s="414"/>
      <c r="AR37" s="414"/>
      <c r="AS37" s="414"/>
      <c r="AT37" s="414"/>
      <c r="AU37" s="414"/>
      <c r="AV37" s="414"/>
    </row>
    <row r="38">
      <c r="A38" s="93" t="s">
        <v>1912</v>
      </c>
      <c r="B38" s="93"/>
      <c r="C38" s="93"/>
      <c r="D38" s="106" t="s">
        <v>201</v>
      </c>
      <c r="E38" s="106"/>
      <c r="F38" s="404"/>
      <c r="G38" s="406" t="s">
        <v>22</v>
      </c>
      <c r="H38" s="406" t="s">
        <v>2008</v>
      </c>
      <c r="I38" s="406">
        <v>1.0</v>
      </c>
      <c r="J38" s="406" t="s">
        <v>2254</v>
      </c>
      <c r="K38" s="406" t="str">
        <f t="shared" si="9"/>
        <v>ETR1-SM44/1</v>
      </c>
      <c r="L38" s="407"/>
      <c r="M38" s="437"/>
      <c r="N38" s="437"/>
      <c r="O38" s="437"/>
      <c r="P38" s="437"/>
      <c r="Q38" s="437"/>
      <c r="R38" s="437"/>
      <c r="S38" s="437"/>
      <c r="T38" s="407"/>
      <c r="U38" s="414"/>
      <c r="V38" s="414"/>
      <c r="W38" s="414"/>
      <c r="X38" s="414"/>
      <c r="Y38" s="414"/>
      <c r="Z38" s="414"/>
      <c r="AA38" s="414"/>
      <c r="AC38" s="37"/>
      <c r="AD38" s="37"/>
      <c r="AE38" s="37"/>
      <c r="AG38" s="242" t="s">
        <v>562</v>
      </c>
      <c r="AH38" s="432" t="s">
        <v>561</v>
      </c>
      <c r="AI38" s="105" t="s">
        <v>1855</v>
      </c>
      <c r="AK38" s="444"/>
      <c r="AL38" s="444"/>
      <c r="AM38" s="444"/>
      <c r="AO38" s="35"/>
      <c r="AP38" s="35"/>
      <c r="AQ38" s="35"/>
      <c r="AR38" s="35"/>
      <c r="AS38" s="35"/>
      <c r="AT38" s="35"/>
      <c r="AU38" s="35"/>
      <c r="AV38" s="35"/>
    </row>
    <row r="39">
      <c r="A39" s="93" t="s">
        <v>1913</v>
      </c>
      <c r="B39" s="93"/>
      <c r="C39" s="93"/>
      <c r="D39" s="106" t="s">
        <v>206</v>
      </c>
      <c r="E39" s="106"/>
      <c r="F39" s="451"/>
      <c r="G39" s="435"/>
      <c r="H39" s="435"/>
      <c r="I39" s="435"/>
      <c r="J39" s="435"/>
      <c r="K39" s="435"/>
      <c r="L39" s="407"/>
      <c r="M39" s="437"/>
      <c r="N39" s="437"/>
      <c r="O39" s="437"/>
      <c r="P39" s="437"/>
      <c r="Q39" s="437"/>
      <c r="R39" s="437"/>
      <c r="S39" s="437"/>
      <c r="T39" s="407"/>
      <c r="U39" s="414"/>
      <c r="V39" s="414"/>
      <c r="W39" s="414"/>
      <c r="X39" s="414"/>
      <c r="Y39" s="414"/>
      <c r="Z39" s="414"/>
      <c r="AA39" s="414"/>
      <c r="AC39" s="37"/>
      <c r="AD39" s="37"/>
      <c r="AE39" s="37"/>
      <c r="AG39" s="270" t="s">
        <v>2355</v>
      </c>
      <c r="AH39" s="221" t="s">
        <v>2356</v>
      </c>
      <c r="AI39" s="426" t="s">
        <v>1857</v>
      </c>
      <c r="AK39" s="444"/>
      <c r="AL39" s="444"/>
      <c r="AM39" s="444"/>
      <c r="AO39" s="35"/>
      <c r="AP39" s="35"/>
      <c r="AQ39" s="35"/>
      <c r="AR39" s="35"/>
      <c r="AS39" s="35"/>
      <c r="AT39" s="35"/>
      <c r="AU39" s="35"/>
      <c r="AV39" s="35"/>
    </row>
    <row r="40">
      <c r="A40" s="93" t="s">
        <v>1914</v>
      </c>
      <c r="B40" s="93"/>
      <c r="C40" s="93"/>
      <c r="D40" s="106" t="s">
        <v>210</v>
      </c>
      <c r="E40" s="106"/>
      <c r="F40" s="453"/>
      <c r="G40" s="415"/>
      <c r="H40" s="415"/>
      <c r="I40" s="415"/>
      <c r="J40" s="415"/>
      <c r="K40" s="435"/>
      <c r="L40" s="407"/>
      <c r="M40" s="437"/>
      <c r="N40" s="437"/>
      <c r="O40" s="437"/>
      <c r="P40" s="437"/>
      <c r="Q40" s="437"/>
      <c r="R40" s="437"/>
      <c r="S40" s="437"/>
      <c r="T40" s="407"/>
      <c r="U40" s="414"/>
      <c r="V40" s="414"/>
      <c r="W40" s="414"/>
      <c r="X40" s="414"/>
      <c r="Y40" s="414"/>
      <c r="Z40" s="414"/>
      <c r="AA40" s="414"/>
      <c r="AC40" s="37"/>
      <c r="AD40" s="37"/>
      <c r="AE40" s="37"/>
      <c r="AG40" s="242" t="s">
        <v>838</v>
      </c>
      <c r="AH40" s="432" t="s">
        <v>837</v>
      </c>
      <c r="AI40" s="105" t="s">
        <v>1859</v>
      </c>
      <c r="AK40" s="444"/>
      <c r="AL40" s="444"/>
      <c r="AM40" s="444"/>
      <c r="AO40" s="35"/>
      <c r="AP40" s="35"/>
      <c r="AQ40" s="35"/>
      <c r="AR40" s="35"/>
      <c r="AS40" s="35"/>
      <c r="AT40" s="35"/>
      <c r="AU40" s="35"/>
      <c r="AV40" s="35"/>
    </row>
    <row r="41">
      <c r="A41" s="93" t="s">
        <v>1988</v>
      </c>
      <c r="B41" s="93"/>
      <c r="C41" s="93"/>
      <c r="D41" s="106" t="s">
        <v>1636</v>
      </c>
      <c r="E41" s="106"/>
      <c r="F41" s="404"/>
      <c r="G41" s="406" t="s">
        <v>179</v>
      </c>
      <c r="H41" s="406" t="s">
        <v>1895</v>
      </c>
      <c r="I41" s="406">
        <v>11.0</v>
      </c>
      <c r="J41" s="406" t="s">
        <v>2269</v>
      </c>
      <c r="K41" s="406" t="str">
        <f>J41&amp;"-"&amp;H41&amp;"/"&amp;I41</f>
        <v>ETR2-SL11/11</v>
      </c>
      <c r="L41" s="407"/>
      <c r="M41" s="437"/>
      <c r="N41" s="437"/>
      <c r="O41" s="437"/>
      <c r="P41" s="437"/>
      <c r="Q41" s="437"/>
      <c r="R41" s="437"/>
      <c r="S41" s="437"/>
      <c r="T41" s="407"/>
      <c r="U41" s="414"/>
      <c r="V41" s="414"/>
      <c r="W41" s="414"/>
      <c r="X41" s="414"/>
      <c r="Y41" s="414"/>
      <c r="Z41" s="414"/>
      <c r="AA41" s="414"/>
      <c r="AC41" s="37"/>
      <c r="AD41" s="37"/>
      <c r="AE41" s="37"/>
      <c r="AG41" s="93" t="s">
        <v>1860</v>
      </c>
      <c r="AH41" s="106" t="s">
        <v>585</v>
      </c>
      <c r="AI41" s="105" t="s">
        <v>1861</v>
      </c>
      <c r="AK41" s="444"/>
      <c r="AL41" s="444"/>
      <c r="AM41" s="444"/>
      <c r="AO41" s="414"/>
      <c r="AP41" s="414"/>
      <c r="AQ41" s="414"/>
      <c r="AR41" s="414"/>
      <c r="AS41" s="414"/>
      <c r="AT41" s="414"/>
      <c r="AU41" s="414"/>
      <c r="AV41" s="414"/>
    </row>
    <row r="42">
      <c r="A42" s="93" t="s">
        <v>1989</v>
      </c>
      <c r="B42" s="93"/>
      <c r="C42" s="93"/>
      <c r="D42" s="106" t="s">
        <v>1641</v>
      </c>
      <c r="E42" s="106"/>
      <c r="F42" s="453"/>
      <c r="G42" s="415"/>
      <c r="H42" s="415"/>
      <c r="I42" s="415"/>
      <c r="J42" s="415"/>
      <c r="K42" s="435"/>
      <c r="L42" s="407"/>
      <c r="M42" s="437"/>
      <c r="N42" s="437"/>
      <c r="O42" s="437"/>
      <c r="P42" s="437"/>
      <c r="Q42" s="437"/>
      <c r="R42" s="437"/>
      <c r="S42" s="437"/>
      <c r="T42" s="407"/>
      <c r="U42" s="414"/>
      <c r="V42" s="414"/>
      <c r="W42" s="414"/>
      <c r="X42" s="414"/>
      <c r="Y42" s="414"/>
      <c r="Z42" s="414"/>
      <c r="AA42" s="414"/>
      <c r="AC42" s="37"/>
      <c r="AD42" s="37"/>
      <c r="AE42" s="37"/>
      <c r="AG42" s="93" t="s">
        <v>1862</v>
      </c>
      <c r="AH42" s="106" t="s">
        <v>597</v>
      </c>
      <c r="AI42" s="105" t="s">
        <v>1863</v>
      </c>
      <c r="AK42" s="444"/>
      <c r="AL42" s="444"/>
      <c r="AM42" s="444"/>
      <c r="AO42" s="414"/>
      <c r="AP42" s="414"/>
      <c r="AQ42" s="414"/>
      <c r="AR42" s="414"/>
      <c r="AS42" s="414"/>
      <c r="AT42" s="414"/>
      <c r="AU42" s="414"/>
      <c r="AV42" s="414"/>
    </row>
    <row r="43">
      <c r="A43" s="93" t="s">
        <v>501</v>
      </c>
      <c r="B43" s="93"/>
      <c r="C43" s="93"/>
      <c r="D43" s="106" t="s">
        <v>500</v>
      </c>
      <c r="E43" s="106"/>
      <c r="F43" s="106"/>
      <c r="G43" s="107" t="s">
        <v>179</v>
      </c>
      <c r="H43" s="107" t="s">
        <v>1895</v>
      </c>
      <c r="I43" s="107">
        <v>12.0</v>
      </c>
      <c r="J43" s="107" t="s">
        <v>2269</v>
      </c>
      <c r="K43" s="406" t="str">
        <f t="shared" ref="K43:K44" si="10">J43&amp;"-"&amp;H43&amp;"/"&amp;I43</f>
        <v>ETR2-SL11/12</v>
      </c>
      <c r="L43" s="407"/>
      <c r="M43" s="437"/>
      <c r="N43" s="437"/>
      <c r="O43" s="437"/>
      <c r="P43" s="437"/>
      <c r="Q43" s="437"/>
      <c r="R43" s="437"/>
      <c r="S43" s="437"/>
      <c r="T43" s="407"/>
      <c r="U43" s="414"/>
      <c r="V43" s="414"/>
      <c r="W43" s="414"/>
      <c r="X43" s="414"/>
      <c r="Y43" s="414"/>
      <c r="Z43" s="414"/>
      <c r="AA43" s="414"/>
      <c r="AC43" s="37"/>
      <c r="AD43" s="37"/>
      <c r="AE43" s="37"/>
      <c r="AG43" s="93" t="s">
        <v>2085</v>
      </c>
      <c r="AH43" s="106" t="s">
        <v>845</v>
      </c>
      <c r="AI43" s="105" t="s">
        <v>1864</v>
      </c>
      <c r="AK43" s="444"/>
      <c r="AL43" s="444"/>
      <c r="AM43" s="444"/>
      <c r="AO43" s="414"/>
      <c r="AP43" s="414"/>
      <c r="AQ43" s="414"/>
      <c r="AR43" s="414"/>
      <c r="AS43" s="414"/>
      <c r="AT43" s="414"/>
      <c r="AU43" s="414"/>
      <c r="AV43" s="414"/>
    </row>
    <row r="44">
      <c r="A44" s="93" t="s">
        <v>266</v>
      </c>
      <c r="B44" s="93"/>
      <c r="C44" s="93"/>
      <c r="D44" s="106" t="s">
        <v>265</v>
      </c>
      <c r="E44" s="106"/>
      <c r="F44" s="404"/>
      <c r="G44" s="406" t="s">
        <v>249</v>
      </c>
      <c r="H44" s="406" t="s">
        <v>2012</v>
      </c>
      <c r="I44" s="406">
        <v>7.0</v>
      </c>
      <c r="J44" s="406" t="s">
        <v>2269</v>
      </c>
      <c r="K44" s="406" t="str">
        <f t="shared" si="10"/>
        <v>ETR2-SL22/7</v>
      </c>
      <c r="L44" s="407"/>
      <c r="M44" s="437"/>
      <c r="N44" s="437"/>
      <c r="O44" s="437"/>
      <c r="P44" s="437"/>
      <c r="Q44" s="437"/>
      <c r="R44" s="437"/>
      <c r="S44" s="437"/>
      <c r="T44" s="407"/>
      <c r="U44" s="414"/>
      <c r="V44" s="414"/>
      <c r="W44" s="414"/>
      <c r="X44" s="414"/>
      <c r="Y44" s="414"/>
      <c r="Z44" s="414"/>
      <c r="AA44" s="414"/>
      <c r="AC44" s="37"/>
      <c r="AD44" s="37"/>
      <c r="AE44" s="37"/>
      <c r="AG44" s="242" t="s">
        <v>2357</v>
      </c>
      <c r="AH44" s="432" t="s">
        <v>602</v>
      </c>
      <c r="AI44" s="105" t="s">
        <v>1866</v>
      </c>
      <c r="AK44" s="444"/>
      <c r="AL44" s="444"/>
      <c r="AM44" s="444"/>
      <c r="AO44" s="414"/>
      <c r="AP44" s="414"/>
      <c r="AQ44" s="414"/>
      <c r="AR44" s="414"/>
      <c r="AS44" s="414"/>
      <c r="AT44" s="414"/>
      <c r="AU44" s="414"/>
      <c r="AV44" s="414"/>
    </row>
    <row r="45">
      <c r="A45" s="93" t="s">
        <v>271</v>
      </c>
      <c r="B45" s="93"/>
      <c r="C45" s="93"/>
      <c r="D45" s="106" t="s">
        <v>270</v>
      </c>
      <c r="E45" s="106"/>
      <c r="F45" s="451"/>
      <c r="G45" s="435"/>
      <c r="H45" s="435"/>
      <c r="I45" s="435"/>
      <c r="J45" s="435"/>
      <c r="K45" s="435"/>
      <c r="L45" s="407"/>
      <c r="M45" s="444"/>
      <c r="N45" s="444"/>
      <c r="O45" s="414"/>
      <c r="P45" s="414"/>
      <c r="Q45" s="414"/>
      <c r="R45" s="414"/>
      <c r="S45" s="414"/>
      <c r="T45" s="407"/>
      <c r="U45" s="414"/>
      <c r="V45" s="414"/>
      <c r="W45" s="414"/>
      <c r="X45" s="414"/>
      <c r="Y45" s="414"/>
      <c r="Z45" s="414"/>
      <c r="AA45" s="414"/>
      <c r="AD45" s="37"/>
      <c r="AE45" s="37"/>
      <c r="AG45" s="242" t="s">
        <v>607</v>
      </c>
      <c r="AH45" s="432" t="s">
        <v>606</v>
      </c>
      <c r="AI45" s="105" t="s">
        <v>1867</v>
      </c>
      <c r="AK45" s="444"/>
      <c r="AL45" s="444"/>
      <c r="AM45" s="444"/>
      <c r="AO45" s="414"/>
      <c r="AP45" s="414"/>
      <c r="AQ45" s="414"/>
      <c r="AR45" s="414"/>
      <c r="AS45" s="414"/>
      <c r="AT45" s="414"/>
      <c r="AU45" s="414"/>
      <c r="AV45" s="414"/>
    </row>
    <row r="46">
      <c r="A46" s="93" t="s">
        <v>275</v>
      </c>
      <c r="B46" s="93"/>
      <c r="C46" s="93"/>
      <c r="D46" s="106" t="s">
        <v>274</v>
      </c>
      <c r="E46" s="106"/>
      <c r="F46" s="451"/>
      <c r="G46" s="435"/>
      <c r="H46" s="435"/>
      <c r="I46" s="435"/>
      <c r="J46" s="435"/>
      <c r="K46" s="435"/>
      <c r="L46" s="407"/>
      <c r="M46" s="444"/>
      <c r="N46" s="444"/>
      <c r="O46" s="414"/>
      <c r="P46" s="414"/>
      <c r="Q46" s="414"/>
      <c r="R46" s="414"/>
      <c r="S46" s="414"/>
      <c r="T46" s="407"/>
      <c r="U46" s="414"/>
      <c r="V46" s="414"/>
      <c r="W46" s="414"/>
      <c r="X46" s="414"/>
      <c r="Y46" s="414"/>
      <c r="Z46" s="414"/>
      <c r="AA46" s="414"/>
      <c r="AC46" s="37"/>
      <c r="AD46" s="37"/>
      <c r="AE46" s="37"/>
      <c r="AG46" s="242" t="s">
        <v>610</v>
      </c>
      <c r="AH46" s="432" t="s">
        <v>609</v>
      </c>
      <c r="AI46" s="105" t="s">
        <v>1868</v>
      </c>
      <c r="AK46" s="444"/>
      <c r="AL46" s="444"/>
      <c r="AM46" s="444"/>
      <c r="AO46" s="414"/>
      <c r="AP46" s="414"/>
      <c r="AQ46" s="414"/>
      <c r="AR46" s="414"/>
      <c r="AS46" s="414"/>
      <c r="AT46" s="414"/>
      <c r="AU46" s="414"/>
      <c r="AV46" s="414"/>
    </row>
    <row r="47">
      <c r="A47" s="93" t="s">
        <v>279</v>
      </c>
      <c r="B47" s="93"/>
      <c r="C47" s="93"/>
      <c r="D47" s="106" t="s">
        <v>278</v>
      </c>
      <c r="E47" s="106"/>
      <c r="F47" s="451"/>
      <c r="G47" s="435"/>
      <c r="H47" s="435"/>
      <c r="I47" s="435"/>
      <c r="J47" s="435"/>
      <c r="K47" s="435"/>
      <c r="L47" s="407"/>
      <c r="M47" s="444"/>
      <c r="N47" s="444"/>
      <c r="O47" s="414"/>
      <c r="P47" s="414"/>
      <c r="Q47" s="414"/>
      <c r="R47" s="414"/>
      <c r="S47" s="414"/>
      <c r="T47" s="407"/>
      <c r="U47" s="414"/>
      <c r="V47" s="414"/>
      <c r="W47" s="414"/>
      <c r="X47" s="414"/>
      <c r="Y47" s="414"/>
      <c r="Z47" s="414"/>
      <c r="AA47" s="414"/>
      <c r="AC47" s="37"/>
      <c r="AD47" s="37"/>
      <c r="AE47" s="37"/>
      <c r="AG47" s="242" t="s">
        <v>614</v>
      </c>
      <c r="AH47" s="432" t="s">
        <v>613</v>
      </c>
      <c r="AI47" s="105" t="s">
        <v>1869</v>
      </c>
      <c r="AK47" s="444"/>
      <c r="AL47" s="444"/>
      <c r="AM47" s="444"/>
      <c r="AO47" s="414"/>
      <c r="AP47" s="414"/>
      <c r="AQ47" s="414"/>
      <c r="AR47" s="414"/>
      <c r="AS47" s="414"/>
      <c r="AT47" s="414"/>
      <c r="AU47" s="414"/>
      <c r="AV47" s="414"/>
    </row>
    <row r="48">
      <c r="A48" s="93" t="s">
        <v>283</v>
      </c>
      <c r="B48" s="93"/>
      <c r="C48" s="93"/>
      <c r="D48" s="106" t="s">
        <v>282</v>
      </c>
      <c r="E48" s="106"/>
      <c r="F48" s="453"/>
      <c r="G48" s="415"/>
      <c r="H48" s="415"/>
      <c r="I48" s="415"/>
      <c r="J48" s="415"/>
      <c r="K48" s="435"/>
      <c r="L48" s="407"/>
      <c r="M48" s="444"/>
      <c r="N48" s="444"/>
      <c r="O48" s="414"/>
      <c r="P48" s="414"/>
      <c r="Q48" s="414"/>
      <c r="R48" s="414"/>
      <c r="S48" s="414"/>
      <c r="T48" s="407"/>
      <c r="U48" s="414"/>
      <c r="V48" s="414"/>
      <c r="W48" s="414"/>
      <c r="X48" s="414"/>
      <c r="Y48" s="414"/>
      <c r="Z48" s="414"/>
      <c r="AA48" s="414"/>
      <c r="AC48" s="37"/>
      <c r="AD48" s="37"/>
      <c r="AE48" s="37"/>
      <c r="AG48" s="242" t="s">
        <v>618</v>
      </c>
      <c r="AH48" s="432" t="s">
        <v>617</v>
      </c>
      <c r="AI48" s="105" t="s">
        <v>1870</v>
      </c>
      <c r="AK48" s="444"/>
      <c r="AL48" s="444"/>
      <c r="AM48" s="444"/>
      <c r="AO48" s="414"/>
      <c r="AP48" s="414"/>
      <c r="AQ48" s="414"/>
      <c r="AR48" s="414"/>
      <c r="AS48" s="414"/>
      <c r="AT48" s="414"/>
      <c r="AU48" s="414"/>
      <c r="AV48" s="414"/>
    </row>
    <row r="49" ht="18.0" customHeight="1">
      <c r="A49" s="93" t="s">
        <v>1942</v>
      </c>
      <c r="B49" s="93"/>
      <c r="C49" s="93"/>
      <c r="D49" s="106" t="s">
        <v>492</v>
      </c>
      <c r="E49" s="106"/>
      <c r="F49" s="106"/>
      <c r="G49" s="107" t="s">
        <v>249</v>
      </c>
      <c r="H49" s="107" t="s">
        <v>2012</v>
      </c>
      <c r="I49" s="107">
        <v>8.0</v>
      </c>
      <c r="J49" s="107" t="s">
        <v>2269</v>
      </c>
      <c r="K49" s="406" t="str">
        <f t="shared" ref="K49:K51" si="11">J49&amp;"-"&amp;H49&amp;"/"&amp;I49</f>
        <v>ETR2-SL22/8</v>
      </c>
      <c r="L49" s="407"/>
      <c r="M49" s="444"/>
      <c r="N49" s="444"/>
      <c r="O49" s="414"/>
      <c r="P49" s="414"/>
      <c r="Q49" s="414"/>
      <c r="R49" s="414"/>
      <c r="S49" s="414"/>
      <c r="T49" s="407"/>
      <c r="U49" s="414"/>
      <c r="V49" s="414"/>
      <c r="W49" s="414"/>
      <c r="X49" s="414"/>
      <c r="Y49" s="414"/>
      <c r="Z49" s="414"/>
      <c r="AA49" s="414"/>
      <c r="AC49" s="37"/>
      <c r="AD49" s="37"/>
      <c r="AE49" s="37"/>
      <c r="AG49" s="242" t="s">
        <v>622</v>
      </c>
      <c r="AH49" s="432" t="s">
        <v>621</v>
      </c>
      <c r="AI49" s="105" t="s">
        <v>1871</v>
      </c>
      <c r="AK49" s="444"/>
      <c r="AL49" s="444"/>
      <c r="AM49" s="444"/>
      <c r="AO49" s="414"/>
      <c r="AP49" s="414"/>
      <c r="AQ49" s="414"/>
      <c r="AR49" s="414"/>
      <c r="AS49" s="414"/>
      <c r="AT49" s="414"/>
      <c r="AU49" s="414"/>
      <c r="AV49" s="414"/>
    </row>
    <row r="50">
      <c r="A50" s="93" t="s">
        <v>497</v>
      </c>
      <c r="B50" s="93"/>
      <c r="C50" s="93"/>
      <c r="D50" s="106" t="s">
        <v>496</v>
      </c>
      <c r="E50" s="106"/>
      <c r="F50" s="106"/>
      <c r="G50" s="107" t="s">
        <v>249</v>
      </c>
      <c r="H50" s="107" t="s">
        <v>2012</v>
      </c>
      <c r="I50" s="107">
        <v>9.0</v>
      </c>
      <c r="J50" s="107" t="s">
        <v>2269</v>
      </c>
      <c r="K50" s="406" t="str">
        <f t="shared" si="11"/>
        <v>ETR2-SL22/9</v>
      </c>
      <c r="L50" s="407"/>
      <c r="M50" s="444"/>
      <c r="N50" s="444"/>
      <c r="O50" s="414"/>
      <c r="P50" s="414"/>
      <c r="Q50" s="414"/>
      <c r="R50" s="414"/>
      <c r="S50" s="414"/>
      <c r="T50" s="407"/>
      <c r="U50" s="414"/>
      <c r="V50" s="414"/>
      <c r="W50" s="414"/>
      <c r="X50" s="414"/>
      <c r="Y50" s="414"/>
      <c r="Z50" s="414"/>
      <c r="AA50" s="414"/>
      <c r="AC50" s="37"/>
      <c r="AD50" s="37"/>
      <c r="AE50" s="37"/>
      <c r="AG50" s="242" t="s">
        <v>509</v>
      </c>
      <c r="AH50" s="432" t="s">
        <v>508</v>
      </c>
      <c r="AI50" s="105" t="s">
        <v>1872</v>
      </c>
      <c r="AK50" s="444"/>
      <c r="AL50" s="444"/>
      <c r="AM50" s="444"/>
      <c r="AO50" s="414"/>
      <c r="AP50" s="414"/>
      <c r="AQ50" s="414"/>
      <c r="AR50" s="414"/>
      <c r="AS50" s="414"/>
      <c r="AT50" s="414"/>
      <c r="AU50" s="414"/>
      <c r="AV50" s="414"/>
    </row>
    <row r="51">
      <c r="A51" s="93" t="s">
        <v>1918</v>
      </c>
      <c r="B51" s="93"/>
      <c r="C51" s="93"/>
      <c r="D51" s="106" t="s">
        <v>247</v>
      </c>
      <c r="E51" s="106"/>
      <c r="F51" s="404"/>
      <c r="G51" s="406" t="s">
        <v>249</v>
      </c>
      <c r="H51" s="406" t="s">
        <v>2012</v>
      </c>
      <c r="I51" s="406">
        <v>10.0</v>
      </c>
      <c r="J51" s="406" t="s">
        <v>2269</v>
      </c>
      <c r="K51" s="406" t="str">
        <f t="shared" si="11"/>
        <v>ETR2-SL22/10</v>
      </c>
      <c r="L51" s="407"/>
      <c r="M51" s="444"/>
      <c r="N51" s="444"/>
      <c r="O51" s="414"/>
      <c r="P51" s="414"/>
      <c r="Q51" s="414"/>
      <c r="R51" s="414"/>
      <c r="S51" s="414"/>
      <c r="T51" s="407"/>
      <c r="U51" s="414"/>
      <c r="V51" s="414"/>
      <c r="W51" s="414"/>
      <c r="X51" s="414"/>
      <c r="Y51" s="414"/>
      <c r="Z51" s="414"/>
      <c r="AA51" s="414"/>
      <c r="AC51" s="37"/>
      <c r="AD51" s="37"/>
      <c r="AE51" s="37"/>
      <c r="AG51" s="242" t="s">
        <v>513</v>
      </c>
      <c r="AH51" s="432" t="s">
        <v>512</v>
      </c>
      <c r="AI51" s="105" t="s">
        <v>1873</v>
      </c>
      <c r="AK51" s="444"/>
      <c r="AL51" s="444"/>
      <c r="AM51" s="444"/>
      <c r="AO51" s="414"/>
      <c r="AP51" s="414"/>
      <c r="AQ51" s="414"/>
      <c r="AR51" s="414"/>
      <c r="AS51" s="414"/>
      <c r="AT51" s="414"/>
      <c r="AU51" s="414"/>
      <c r="AV51" s="414"/>
    </row>
    <row r="52">
      <c r="A52" s="93" t="s">
        <v>1919</v>
      </c>
      <c r="B52" s="93"/>
      <c r="C52" s="93"/>
      <c r="D52" s="106" t="s">
        <v>253</v>
      </c>
      <c r="E52" s="106"/>
      <c r="F52" s="451"/>
      <c r="G52" s="435"/>
      <c r="H52" s="435"/>
      <c r="I52" s="435"/>
      <c r="J52" s="435"/>
      <c r="K52" s="435"/>
      <c r="L52" s="407"/>
      <c r="M52" s="444"/>
      <c r="N52" s="444"/>
      <c r="O52" s="414"/>
      <c r="P52" s="414"/>
      <c r="Q52" s="414"/>
      <c r="R52" s="414"/>
      <c r="S52" s="414"/>
      <c r="T52" s="407"/>
      <c r="U52" s="414"/>
      <c r="V52" s="414"/>
      <c r="W52" s="414"/>
      <c r="X52" s="414"/>
      <c r="Y52" s="414"/>
      <c r="Z52" s="414"/>
      <c r="AA52" s="414"/>
      <c r="AC52" s="37"/>
      <c r="AD52" s="37"/>
      <c r="AE52" s="37"/>
      <c r="AG52" s="93" t="s">
        <v>505</v>
      </c>
      <c r="AH52" s="431" t="s">
        <v>504</v>
      </c>
      <c r="AI52" s="105" t="s">
        <v>1874</v>
      </c>
      <c r="AK52" s="444"/>
      <c r="AL52" s="444"/>
      <c r="AM52" s="444"/>
      <c r="AO52" s="414"/>
      <c r="AP52" s="414"/>
      <c r="AQ52" s="414"/>
      <c r="AR52" s="414"/>
      <c r="AS52" s="414"/>
      <c r="AT52" s="414"/>
      <c r="AU52" s="414"/>
      <c r="AV52" s="414"/>
    </row>
    <row r="53">
      <c r="A53" s="93" t="s">
        <v>1920</v>
      </c>
      <c r="B53" s="93"/>
      <c r="C53" s="93"/>
      <c r="D53" s="106" t="s">
        <v>257</v>
      </c>
      <c r="E53" s="106"/>
      <c r="F53" s="451"/>
      <c r="G53" s="435"/>
      <c r="H53" s="435"/>
      <c r="I53" s="435"/>
      <c r="J53" s="435"/>
      <c r="K53" s="435"/>
      <c r="L53" s="407"/>
      <c r="M53" s="444"/>
      <c r="N53" s="444"/>
      <c r="O53" s="414"/>
      <c r="P53" s="414"/>
      <c r="Q53" s="414"/>
      <c r="R53" s="414"/>
      <c r="S53" s="414"/>
      <c r="T53" s="407"/>
      <c r="U53" s="414"/>
      <c r="V53" s="414"/>
      <c r="W53" s="414"/>
      <c r="X53" s="414"/>
      <c r="Y53" s="414"/>
      <c r="Z53" s="414"/>
      <c r="AA53" s="414"/>
      <c r="AC53" s="37"/>
      <c r="AD53" s="37"/>
      <c r="AE53" s="37"/>
      <c r="AG53" s="107" t="s">
        <v>1875</v>
      </c>
      <c r="AH53" s="11" t="s">
        <v>295</v>
      </c>
      <c r="AI53" s="105" t="s">
        <v>1876</v>
      </c>
      <c r="AK53" s="444"/>
      <c r="AL53" s="444"/>
      <c r="AM53" s="444"/>
      <c r="AO53" s="414"/>
      <c r="AP53" s="414"/>
      <c r="AQ53" s="414"/>
      <c r="AR53" s="414"/>
      <c r="AS53" s="414"/>
      <c r="AT53" s="414"/>
      <c r="AU53" s="414"/>
      <c r="AV53" s="414"/>
    </row>
    <row r="54">
      <c r="A54" s="93" t="s">
        <v>1921</v>
      </c>
      <c r="B54" s="93"/>
      <c r="C54" s="93"/>
      <c r="D54" s="106" t="s">
        <v>261</v>
      </c>
      <c r="E54" s="106"/>
      <c r="F54" s="453"/>
      <c r="G54" s="415"/>
      <c r="H54" s="415"/>
      <c r="I54" s="415"/>
      <c r="J54" s="415"/>
      <c r="K54" s="435"/>
      <c r="L54" s="407"/>
      <c r="M54" s="444"/>
      <c r="N54" s="444"/>
      <c r="O54" s="414"/>
      <c r="P54" s="414"/>
      <c r="Q54" s="414"/>
      <c r="R54" s="414"/>
      <c r="S54" s="414"/>
      <c r="T54" s="407"/>
      <c r="U54" s="414"/>
      <c r="V54" s="414"/>
      <c r="W54" s="414"/>
      <c r="X54" s="414"/>
      <c r="Y54" s="414"/>
      <c r="Z54" s="414"/>
      <c r="AA54" s="414"/>
      <c r="AC54" s="37"/>
      <c r="AD54" s="37"/>
      <c r="AE54" s="37"/>
      <c r="AG54" s="107" t="s">
        <v>1877</v>
      </c>
      <c r="AH54" s="11" t="s">
        <v>291</v>
      </c>
      <c r="AI54" s="105" t="s">
        <v>1878</v>
      </c>
      <c r="AK54" s="444"/>
      <c r="AL54" s="444"/>
      <c r="AM54" s="444"/>
      <c r="AO54" s="414"/>
      <c r="AP54" s="414"/>
      <c r="AQ54" s="414"/>
      <c r="AR54" s="414"/>
      <c r="AS54" s="414"/>
      <c r="AT54" s="414"/>
      <c r="AU54" s="414"/>
      <c r="AV54" s="414"/>
    </row>
    <row r="55">
      <c r="A55" s="93" t="s">
        <v>1908</v>
      </c>
      <c r="B55" s="93"/>
      <c r="C55" s="93"/>
      <c r="D55" s="106" t="s">
        <v>187</v>
      </c>
      <c r="E55" s="106"/>
      <c r="F55" s="106"/>
      <c r="G55" s="93" t="s">
        <v>66</v>
      </c>
      <c r="H55" s="93" t="s">
        <v>1594</v>
      </c>
      <c r="I55" s="93">
        <v>7.0</v>
      </c>
      <c r="J55" s="107" t="s">
        <v>2249</v>
      </c>
      <c r="K55" s="406" t="str">
        <f t="shared" ref="K55:K58" si="12">J55&amp;"-"&amp;H55&amp;"/"&amp;I55</f>
        <v>ETR3-SM22/7</v>
      </c>
      <c r="L55" s="407"/>
      <c r="M55" s="444"/>
      <c r="N55" s="444"/>
      <c r="O55" s="414"/>
      <c r="P55" s="414"/>
      <c r="Q55" s="414"/>
      <c r="R55" s="414"/>
      <c r="S55" s="414"/>
      <c r="T55" s="407"/>
      <c r="U55" s="414"/>
      <c r="V55" s="414"/>
      <c r="W55" s="414"/>
      <c r="X55" s="414"/>
      <c r="Y55" s="414"/>
      <c r="Z55" s="414"/>
      <c r="AA55" s="414"/>
      <c r="AC55" s="37"/>
      <c r="AD55" s="37"/>
      <c r="AE55" s="37"/>
      <c r="AG55" s="107" t="s">
        <v>1879</v>
      </c>
      <c r="AH55" s="11" t="s">
        <v>286</v>
      </c>
      <c r="AI55" s="105" t="s">
        <v>1880</v>
      </c>
      <c r="AK55" s="444"/>
      <c r="AL55" s="444"/>
      <c r="AM55" s="444"/>
      <c r="AO55" s="414"/>
      <c r="AP55" s="414"/>
      <c r="AQ55" s="414"/>
      <c r="AR55" s="414"/>
      <c r="AS55" s="414"/>
      <c r="AT55" s="414"/>
      <c r="AU55" s="414"/>
      <c r="AV55" s="414"/>
    </row>
    <row r="56">
      <c r="A56" s="93" t="s">
        <v>1906</v>
      </c>
      <c r="B56" s="93"/>
      <c r="C56" s="93"/>
      <c r="D56" s="106" t="s">
        <v>182</v>
      </c>
      <c r="E56" s="106"/>
      <c r="F56" s="106"/>
      <c r="G56" s="93" t="s">
        <v>66</v>
      </c>
      <c r="H56" s="93" t="s">
        <v>1594</v>
      </c>
      <c r="I56" s="93">
        <v>8.0</v>
      </c>
      <c r="J56" s="107" t="s">
        <v>2249</v>
      </c>
      <c r="K56" s="406" t="str">
        <f t="shared" si="12"/>
        <v>ETR3-SM22/8</v>
      </c>
      <c r="L56" s="407"/>
      <c r="M56" s="444"/>
      <c r="N56" s="444"/>
      <c r="O56" s="414"/>
      <c r="P56" s="414"/>
      <c r="Q56" s="414"/>
      <c r="R56" s="414"/>
      <c r="S56" s="414"/>
      <c r="T56" s="407"/>
      <c r="U56" s="414"/>
      <c r="V56" s="414"/>
      <c r="W56" s="414"/>
      <c r="X56" s="414"/>
      <c r="Y56" s="414"/>
      <c r="Z56" s="414"/>
      <c r="AA56" s="414"/>
      <c r="AC56" s="37"/>
      <c r="AD56" s="37"/>
      <c r="AE56" s="37"/>
      <c r="AG56" s="444"/>
      <c r="AK56" s="444"/>
      <c r="AL56" s="444"/>
      <c r="AM56" s="444"/>
      <c r="AO56" s="414"/>
      <c r="AP56" s="414"/>
      <c r="AQ56" s="414"/>
      <c r="AR56" s="414"/>
      <c r="AS56" s="414"/>
      <c r="AT56" s="414"/>
      <c r="AU56" s="414"/>
      <c r="AV56" s="414"/>
    </row>
    <row r="57">
      <c r="A57" s="93" t="s">
        <v>176</v>
      </c>
      <c r="B57" s="93"/>
      <c r="C57" s="93"/>
      <c r="D57" s="106" t="s">
        <v>175</v>
      </c>
      <c r="E57" s="106"/>
      <c r="F57" s="106"/>
      <c r="G57" s="107" t="s">
        <v>179</v>
      </c>
      <c r="H57" s="107" t="s">
        <v>1895</v>
      </c>
      <c r="I57" s="107">
        <v>13.0</v>
      </c>
      <c r="J57" s="107" t="s">
        <v>2249</v>
      </c>
      <c r="K57" s="406" t="str">
        <f t="shared" si="12"/>
        <v>ETR3-SL11/13</v>
      </c>
      <c r="L57" s="407"/>
      <c r="M57" s="444"/>
      <c r="N57" s="444"/>
      <c r="O57" s="414"/>
      <c r="P57" s="414"/>
      <c r="Q57" s="414"/>
      <c r="R57" s="414"/>
      <c r="S57" s="414"/>
      <c r="T57" s="407"/>
      <c r="U57" s="414"/>
      <c r="V57" s="414"/>
      <c r="W57" s="414"/>
      <c r="X57" s="414"/>
      <c r="Y57" s="414"/>
      <c r="Z57" s="414"/>
      <c r="AA57" s="414"/>
      <c r="AC57" s="37"/>
      <c r="AD57" s="37"/>
      <c r="AE57" s="37"/>
      <c r="AG57" s="460" t="s">
        <v>2358</v>
      </c>
      <c r="AH57" s="118"/>
      <c r="AI57" s="119"/>
      <c r="AK57" s="444"/>
      <c r="AL57" s="444"/>
      <c r="AM57" s="444"/>
      <c r="AO57" s="414"/>
      <c r="AP57" s="414"/>
      <c r="AQ57" s="414"/>
      <c r="AR57" s="414"/>
      <c r="AS57" s="414"/>
      <c r="AT57" s="414"/>
      <c r="AU57" s="414"/>
      <c r="AV57" s="414"/>
    </row>
    <row r="58">
      <c r="A58" s="93" t="s">
        <v>1372</v>
      </c>
      <c r="B58" s="93"/>
      <c r="C58" s="93"/>
      <c r="D58" s="106" t="s">
        <v>1371</v>
      </c>
      <c r="E58" s="106"/>
      <c r="F58" s="106"/>
      <c r="G58" s="93" t="s">
        <v>66</v>
      </c>
      <c r="H58" s="93" t="s">
        <v>1594</v>
      </c>
      <c r="I58" s="93">
        <v>9.0</v>
      </c>
      <c r="J58" s="107" t="s">
        <v>2244</v>
      </c>
      <c r="K58" s="406" t="str">
        <f t="shared" si="12"/>
        <v>EBL1-SM22/9</v>
      </c>
      <c r="L58" s="122"/>
      <c r="M58" s="444"/>
      <c r="N58" s="444"/>
      <c r="O58" s="414"/>
      <c r="P58" s="414"/>
      <c r="Q58" s="414"/>
      <c r="R58" s="414"/>
      <c r="S58" s="414"/>
      <c r="T58" s="122"/>
      <c r="U58" s="414"/>
      <c r="V58" s="414"/>
      <c r="W58" s="414"/>
      <c r="X58" s="414"/>
      <c r="Y58" s="414"/>
      <c r="Z58" s="414"/>
      <c r="AA58" s="414"/>
      <c r="AD58" s="313"/>
      <c r="AE58" s="37"/>
      <c r="AG58" s="461"/>
      <c r="AH58" s="462"/>
      <c r="AI58" s="463"/>
      <c r="AK58" s="444"/>
      <c r="AL58" s="444"/>
      <c r="AM58" s="444"/>
      <c r="AO58" s="414"/>
      <c r="AP58" s="414"/>
      <c r="AQ58" s="414"/>
      <c r="AR58" s="414"/>
      <c r="AS58" s="414"/>
      <c r="AT58" s="414"/>
      <c r="AU58" s="414"/>
      <c r="AV58" s="414"/>
    </row>
  </sheetData>
  <autoFilter ref="$A$1:$G$1"/>
  <mergeCells count="20">
    <mergeCell ref="AG1:AI1"/>
    <mergeCell ref="AJ1:AJ58"/>
    <mergeCell ref="AK1:AM1"/>
    <mergeCell ref="AN1:AN58"/>
    <mergeCell ref="AK20:AL20"/>
    <mergeCell ref="AK21:AM21"/>
    <mergeCell ref="AG56:AI56"/>
    <mergeCell ref="AG57:AI57"/>
    <mergeCell ref="M17:S17"/>
    <mergeCell ref="AC17:AE17"/>
    <mergeCell ref="AC27:AE27"/>
    <mergeCell ref="U30:AA30"/>
    <mergeCell ref="L1:L58"/>
    <mergeCell ref="M1:S1"/>
    <mergeCell ref="T1:T58"/>
    <mergeCell ref="U1:AA1"/>
    <mergeCell ref="AB1:AB58"/>
    <mergeCell ref="AC1:AE1"/>
    <mergeCell ref="AF1:AF58"/>
    <mergeCell ref="U32:AA32"/>
  </mergeCells>
  <conditionalFormatting sqref="D24:E27 AH39:AH55 D43:F54">
    <cfRule type="containsBlanks" dxfId="0" priority="1">
      <formula>LEN(TRIM(D24))=0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19.57"/>
    <col hidden="1" min="3" max="6" width="14.43"/>
    <col customWidth="1" min="7" max="7" width="18.0"/>
  </cols>
  <sheetData>
    <row r="1">
      <c r="A1" s="464" t="s">
        <v>2</v>
      </c>
      <c r="B1" s="464" t="s">
        <v>1</v>
      </c>
      <c r="C1" s="464" t="s">
        <v>10</v>
      </c>
      <c r="D1" s="464" t="s">
        <v>2212</v>
      </c>
      <c r="E1" s="464" t="s">
        <v>2213</v>
      </c>
      <c r="F1" s="464" t="s">
        <v>1751</v>
      </c>
      <c r="G1" s="464" t="s">
        <v>2214</v>
      </c>
    </row>
    <row r="2">
      <c r="A2" s="465" t="s">
        <v>962</v>
      </c>
      <c r="B2" s="466" t="s">
        <v>961</v>
      </c>
      <c r="C2" s="467" t="s">
        <v>179</v>
      </c>
      <c r="D2" s="467" t="s">
        <v>1895</v>
      </c>
      <c r="E2" s="468">
        <v>1.0</v>
      </c>
      <c r="F2" s="467" t="s">
        <v>2218</v>
      </c>
      <c r="G2" s="467" t="str">
        <f t="shared" ref="G2:G20" si="1">F2&amp;"-"&amp;D2&amp;"/"&amp;E2</f>
        <v>ETL1-SL11/1</v>
      </c>
    </row>
    <row r="3">
      <c r="A3" s="465" t="s">
        <v>1955</v>
      </c>
      <c r="B3" s="466" t="s">
        <v>906</v>
      </c>
      <c r="C3" s="467" t="s">
        <v>179</v>
      </c>
      <c r="D3" s="467" t="s">
        <v>1895</v>
      </c>
      <c r="E3" s="468">
        <v>2.0</v>
      </c>
      <c r="F3" s="467" t="s">
        <v>2218</v>
      </c>
      <c r="G3" s="467" t="str">
        <f t="shared" si="1"/>
        <v>ETL1-SL11/2</v>
      </c>
    </row>
    <row r="4">
      <c r="A4" s="465" t="s">
        <v>927</v>
      </c>
      <c r="B4" s="466" t="s">
        <v>926</v>
      </c>
      <c r="C4" s="467" t="s">
        <v>179</v>
      </c>
      <c r="D4" s="467" t="s">
        <v>1895</v>
      </c>
      <c r="E4" s="468">
        <v>3.0</v>
      </c>
      <c r="F4" s="467" t="s">
        <v>2219</v>
      </c>
      <c r="G4" s="467" t="str">
        <f t="shared" si="1"/>
        <v>ETL2-SL11/3</v>
      </c>
    </row>
    <row r="5">
      <c r="A5" s="465" t="s">
        <v>930</v>
      </c>
      <c r="B5" s="466" t="s">
        <v>929</v>
      </c>
      <c r="C5" s="467" t="s">
        <v>179</v>
      </c>
      <c r="D5" s="467" t="s">
        <v>1895</v>
      </c>
      <c r="E5" s="468">
        <v>4.0</v>
      </c>
      <c r="F5" s="467" t="s">
        <v>2233</v>
      </c>
      <c r="G5" s="467" t="str">
        <f t="shared" si="1"/>
        <v>ETL3-SL11/4</v>
      </c>
    </row>
    <row r="6">
      <c r="A6" s="465" t="s">
        <v>1623</v>
      </c>
      <c r="B6" s="466" t="s">
        <v>1622</v>
      </c>
      <c r="C6" s="467" t="s">
        <v>179</v>
      </c>
      <c r="D6" s="467" t="s">
        <v>1895</v>
      </c>
      <c r="E6" s="468">
        <v>5.0</v>
      </c>
      <c r="F6" s="467" t="s">
        <v>2233</v>
      </c>
      <c r="G6" s="467" t="str">
        <f t="shared" si="1"/>
        <v>ETL3-SL11/5</v>
      </c>
    </row>
    <row r="7">
      <c r="A7" s="465" t="s">
        <v>923</v>
      </c>
      <c r="B7" s="466" t="s">
        <v>922</v>
      </c>
      <c r="C7" s="467" t="s">
        <v>179</v>
      </c>
      <c r="D7" s="467" t="s">
        <v>1895</v>
      </c>
      <c r="E7" s="468">
        <v>6.0</v>
      </c>
      <c r="F7" s="467" t="s">
        <v>2233</v>
      </c>
      <c r="G7" s="467" t="str">
        <f t="shared" si="1"/>
        <v>ETL3-SL11/6</v>
      </c>
    </row>
    <row r="8">
      <c r="A8" s="465" t="s">
        <v>1910</v>
      </c>
      <c r="B8" s="466" t="s">
        <v>191</v>
      </c>
      <c r="C8" s="467" t="s">
        <v>179</v>
      </c>
      <c r="D8" s="467" t="s">
        <v>1895</v>
      </c>
      <c r="E8" s="468">
        <v>7.0</v>
      </c>
      <c r="F8" s="467" t="s">
        <v>2254</v>
      </c>
      <c r="G8" s="467" t="str">
        <f t="shared" si="1"/>
        <v>ETR1-SL11/7</v>
      </c>
    </row>
    <row r="9">
      <c r="A9" s="469" t="s">
        <v>1911</v>
      </c>
      <c r="B9" s="470" t="s">
        <v>197</v>
      </c>
      <c r="C9" s="465" t="s">
        <v>179</v>
      </c>
      <c r="D9" s="465" t="s">
        <v>1895</v>
      </c>
      <c r="E9" s="471">
        <v>7.0</v>
      </c>
      <c r="F9" s="465" t="s">
        <v>2254</v>
      </c>
      <c r="G9" s="465" t="str">
        <f t="shared" si="1"/>
        <v>ETR1-SL11/7</v>
      </c>
    </row>
    <row r="10">
      <c r="A10" s="469" t="s">
        <v>241</v>
      </c>
      <c r="B10" s="470" t="s">
        <v>240</v>
      </c>
      <c r="C10" s="465" t="s">
        <v>179</v>
      </c>
      <c r="D10" s="465" t="s">
        <v>1895</v>
      </c>
      <c r="E10" s="471">
        <v>7.0</v>
      </c>
      <c r="F10" s="465" t="s">
        <v>2254</v>
      </c>
      <c r="G10" s="465" t="str">
        <f t="shared" si="1"/>
        <v>ETR1-SL11/7</v>
      </c>
    </row>
    <row r="11">
      <c r="A11" s="469" t="s">
        <v>1924</v>
      </c>
      <c r="B11" s="470" t="s">
        <v>317</v>
      </c>
      <c r="C11" s="465" t="s">
        <v>179</v>
      </c>
      <c r="D11" s="465" t="s">
        <v>1895</v>
      </c>
      <c r="E11" s="471">
        <v>7.0</v>
      </c>
      <c r="F11" s="465" t="s">
        <v>2254</v>
      </c>
      <c r="G11" s="465" t="str">
        <f t="shared" si="1"/>
        <v>ETR1-SL11/7</v>
      </c>
    </row>
    <row r="12">
      <c r="A12" s="465" t="s">
        <v>1741</v>
      </c>
      <c r="B12" s="466" t="s">
        <v>223</v>
      </c>
      <c r="C12" s="467" t="s">
        <v>179</v>
      </c>
      <c r="D12" s="467" t="s">
        <v>1895</v>
      </c>
      <c r="E12" s="468">
        <v>8.0</v>
      </c>
      <c r="F12" s="467" t="s">
        <v>2254</v>
      </c>
      <c r="G12" s="467" t="str">
        <f t="shared" si="1"/>
        <v>ETR1-SL11/8</v>
      </c>
    </row>
    <row r="13">
      <c r="A13" s="465" t="s">
        <v>228</v>
      </c>
      <c r="B13" s="466" t="s">
        <v>2359</v>
      </c>
      <c r="C13" s="467" t="s">
        <v>179</v>
      </c>
      <c r="D13" s="467" t="s">
        <v>1895</v>
      </c>
      <c r="E13" s="468">
        <v>9.0</v>
      </c>
      <c r="F13" s="467" t="s">
        <v>2254</v>
      </c>
      <c r="G13" s="467" t="str">
        <f t="shared" si="1"/>
        <v>ETR1-SL11/9</v>
      </c>
    </row>
    <row r="14">
      <c r="A14" s="472" t="s">
        <v>1915</v>
      </c>
      <c r="B14" s="473" t="s">
        <v>214</v>
      </c>
      <c r="C14" s="467" t="s">
        <v>179</v>
      </c>
      <c r="D14" s="467" t="s">
        <v>1895</v>
      </c>
      <c r="E14" s="468">
        <v>9.0</v>
      </c>
      <c r="F14" s="467" t="s">
        <v>2254</v>
      </c>
      <c r="G14" s="467" t="str">
        <f t="shared" si="1"/>
        <v>ETR1-SL11/9</v>
      </c>
    </row>
    <row r="15">
      <c r="A15" s="465" t="s">
        <v>232</v>
      </c>
      <c r="B15" s="466" t="s">
        <v>231</v>
      </c>
      <c r="C15" s="467" t="s">
        <v>179</v>
      </c>
      <c r="D15" s="467" t="s">
        <v>1895</v>
      </c>
      <c r="E15" s="468">
        <v>10.0</v>
      </c>
      <c r="F15" s="467" t="s">
        <v>2254</v>
      </c>
      <c r="G15" s="467" t="str">
        <f t="shared" si="1"/>
        <v>ETR1-SL11/10</v>
      </c>
    </row>
    <row r="16">
      <c r="A16" s="465" t="s">
        <v>1988</v>
      </c>
      <c r="B16" s="466" t="s">
        <v>1636</v>
      </c>
      <c r="C16" s="467" t="s">
        <v>179</v>
      </c>
      <c r="D16" s="467" t="s">
        <v>1895</v>
      </c>
      <c r="E16" s="468">
        <v>11.0</v>
      </c>
      <c r="F16" s="467" t="s">
        <v>2269</v>
      </c>
      <c r="G16" s="467" t="str">
        <f t="shared" si="1"/>
        <v>ETR2-SL11/11</v>
      </c>
    </row>
    <row r="17">
      <c r="A17" s="465" t="s">
        <v>1989</v>
      </c>
      <c r="B17" s="466" t="s">
        <v>1641</v>
      </c>
      <c r="C17" s="467" t="s">
        <v>179</v>
      </c>
      <c r="D17" s="467" t="s">
        <v>1895</v>
      </c>
      <c r="E17" s="468">
        <v>11.0</v>
      </c>
      <c r="F17" s="467" t="s">
        <v>2269</v>
      </c>
      <c r="G17" s="467" t="str">
        <f t="shared" si="1"/>
        <v>ETR2-SL11/11</v>
      </c>
    </row>
    <row r="18">
      <c r="A18" s="465" t="s">
        <v>501</v>
      </c>
      <c r="B18" s="466" t="s">
        <v>500</v>
      </c>
      <c r="C18" s="467" t="s">
        <v>179</v>
      </c>
      <c r="D18" s="467" t="s">
        <v>1895</v>
      </c>
      <c r="E18" s="468">
        <v>12.0</v>
      </c>
      <c r="F18" s="467" t="s">
        <v>2269</v>
      </c>
      <c r="G18" s="467" t="str">
        <f t="shared" si="1"/>
        <v>ETR2-SL11/12</v>
      </c>
    </row>
    <row r="19">
      <c r="A19" s="465" t="s">
        <v>176</v>
      </c>
      <c r="B19" s="466" t="s">
        <v>175</v>
      </c>
      <c r="C19" s="467" t="s">
        <v>179</v>
      </c>
      <c r="D19" s="467" t="s">
        <v>1895</v>
      </c>
      <c r="E19" s="468">
        <v>13.0</v>
      </c>
      <c r="F19" s="467" t="s">
        <v>2249</v>
      </c>
      <c r="G19" s="467" t="str">
        <f t="shared" si="1"/>
        <v>ETR3-SL11/13</v>
      </c>
    </row>
    <row r="20">
      <c r="A20" s="465" t="s">
        <v>1376</v>
      </c>
      <c r="B20" s="466" t="s">
        <v>1375</v>
      </c>
      <c r="C20" s="467" t="s">
        <v>179</v>
      </c>
      <c r="D20" s="467" t="s">
        <v>1895</v>
      </c>
      <c r="E20" s="468">
        <v>14.0</v>
      </c>
      <c r="F20" s="467" t="s">
        <v>2244</v>
      </c>
      <c r="G20" s="467" t="str">
        <f t="shared" si="1"/>
        <v>EBL1-SL11/14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3.71"/>
    <col customWidth="1" min="3" max="3" width="11.0"/>
    <col customWidth="1" min="4" max="4" width="8.57"/>
    <col customWidth="1" min="5" max="5" width="5.0"/>
    <col customWidth="1" min="6" max="6" width="7.86"/>
    <col customWidth="1" min="8" max="8" width="5.71"/>
    <col customWidth="1" min="9" max="9" width="25.0"/>
    <col customWidth="1" min="10" max="10" width="15.57"/>
    <col customWidth="1" hidden="1" min="11" max="14" width="18.29"/>
    <col customWidth="1" min="15" max="15" width="18.29"/>
    <col customWidth="1" min="16" max="16" width="5.43"/>
    <col customWidth="1" min="17" max="17" width="28.57"/>
    <col customWidth="1" min="18" max="18" width="16.29"/>
    <col customWidth="1" hidden="1" min="19" max="22" width="9.14"/>
    <col customWidth="1" min="23" max="23" width="16.0"/>
    <col customWidth="1" min="24" max="24" width="4.71"/>
    <col customWidth="1" min="25" max="25" width="25.57"/>
    <col customWidth="1" min="26" max="27" width="16.43"/>
    <col customWidth="1" min="28" max="28" width="4.71"/>
    <col customWidth="1" min="29" max="30" width="19.29"/>
    <col customWidth="1" min="31" max="31" width="14.71"/>
    <col customWidth="1" min="32" max="32" width="5.57"/>
    <col customWidth="1" min="33" max="34" width="18.57"/>
    <col customWidth="1" min="35" max="35" width="16.43"/>
    <col customWidth="1" min="36" max="36" width="4.71"/>
  </cols>
  <sheetData>
    <row r="1" ht="39.75" customHeight="1">
      <c r="A1" s="474" t="s">
        <v>2</v>
      </c>
      <c r="B1" s="475" t="s">
        <v>1</v>
      </c>
      <c r="C1" s="475" t="s">
        <v>10</v>
      </c>
      <c r="D1" s="475" t="s">
        <v>2212</v>
      </c>
      <c r="E1" s="475" t="s">
        <v>2213</v>
      </c>
      <c r="F1" s="475" t="s">
        <v>1751</v>
      </c>
      <c r="G1" s="475" t="s">
        <v>2214</v>
      </c>
      <c r="H1" s="476"/>
      <c r="I1" s="477" t="s">
        <v>2215</v>
      </c>
      <c r="P1" s="476"/>
      <c r="Q1" s="478" t="s">
        <v>2216</v>
      </c>
      <c r="X1" s="479"/>
      <c r="Y1" s="480" t="s">
        <v>2217</v>
      </c>
      <c r="Z1" s="39"/>
      <c r="AA1" s="40"/>
      <c r="AB1" s="481"/>
      <c r="AC1" s="482" t="s">
        <v>1749</v>
      </c>
      <c r="AF1" s="479"/>
      <c r="AG1" s="483" t="s">
        <v>1750</v>
      </c>
      <c r="AH1" s="39"/>
      <c r="AI1" s="40"/>
      <c r="AJ1" s="479"/>
      <c r="AK1" s="99"/>
      <c r="AL1" s="99"/>
      <c r="AM1" s="99"/>
      <c r="AN1" s="99"/>
      <c r="AO1" s="99"/>
      <c r="AP1" s="99"/>
    </row>
    <row r="2">
      <c r="A2" s="102" t="s">
        <v>454</v>
      </c>
      <c r="B2" s="103" t="s">
        <v>453</v>
      </c>
      <c r="C2" s="484" t="s">
        <v>66</v>
      </c>
      <c r="D2" s="484" t="s">
        <v>1594</v>
      </c>
      <c r="E2" s="484">
        <v>1.0</v>
      </c>
      <c r="F2" s="485" t="s">
        <v>2218</v>
      </c>
      <c r="G2" s="406" t="str">
        <f>F2&amp;"-"&amp;D2&amp;"/"&amp;E2</f>
        <v>ETL1-SM22/1</v>
      </c>
      <c r="H2" s="407"/>
      <c r="I2" s="464" t="s">
        <v>2</v>
      </c>
      <c r="J2" s="486" t="s">
        <v>1</v>
      </c>
      <c r="K2" s="487" t="s">
        <v>10</v>
      </c>
      <c r="L2" s="487" t="s">
        <v>2212</v>
      </c>
      <c r="M2" s="487" t="s">
        <v>2213</v>
      </c>
      <c r="N2" s="487" t="s">
        <v>1751</v>
      </c>
      <c r="O2" s="487" t="s">
        <v>2214</v>
      </c>
      <c r="P2" s="407"/>
      <c r="Q2" s="464" t="s">
        <v>2</v>
      </c>
      <c r="R2" s="486" t="s">
        <v>1</v>
      </c>
      <c r="S2" s="487" t="s">
        <v>10</v>
      </c>
      <c r="T2" s="487" t="s">
        <v>2212</v>
      </c>
      <c r="U2" s="487" t="s">
        <v>2213</v>
      </c>
      <c r="V2" s="487" t="s">
        <v>1751</v>
      </c>
      <c r="W2" s="487" t="s">
        <v>2214</v>
      </c>
      <c r="Y2" s="488" t="s">
        <v>2</v>
      </c>
      <c r="Z2" s="488" t="s">
        <v>1</v>
      </c>
      <c r="AA2" s="488" t="s">
        <v>1751</v>
      </c>
      <c r="AC2" s="488" t="s">
        <v>2</v>
      </c>
      <c r="AD2" s="489" t="s">
        <v>1</v>
      </c>
      <c r="AE2" s="489" t="s">
        <v>1751</v>
      </c>
      <c r="AG2" s="488" t="s">
        <v>2</v>
      </c>
      <c r="AH2" s="488" t="s">
        <v>1</v>
      </c>
      <c r="AI2" s="488" t="s">
        <v>1751</v>
      </c>
    </row>
    <row r="3">
      <c r="A3" s="102" t="s">
        <v>459</v>
      </c>
      <c r="B3" s="103" t="s">
        <v>458</v>
      </c>
      <c r="C3" s="490"/>
      <c r="D3" s="490"/>
      <c r="E3" s="490"/>
      <c r="F3" s="490"/>
      <c r="G3" s="490"/>
      <c r="H3" s="407"/>
      <c r="I3" s="115" t="s">
        <v>962</v>
      </c>
      <c r="J3" s="116" t="s">
        <v>961</v>
      </c>
      <c r="K3" s="491" t="s">
        <v>179</v>
      </c>
      <c r="L3" s="491" t="s">
        <v>1895</v>
      </c>
      <c r="M3" s="492">
        <v>1.0</v>
      </c>
      <c r="N3" s="493" t="s">
        <v>2218</v>
      </c>
      <c r="O3" s="494" t="str">
        <f t="shared" ref="O3:O9" si="1">N3&amp;"-"&amp;L3&amp;"/"&amp;M3</f>
        <v>ETL1-SL11/1</v>
      </c>
      <c r="P3" s="407"/>
      <c r="Q3" s="495" t="s">
        <v>454</v>
      </c>
      <c r="R3" s="496" t="s">
        <v>453</v>
      </c>
      <c r="S3" s="497" t="s">
        <v>66</v>
      </c>
      <c r="T3" s="497" t="s">
        <v>1594</v>
      </c>
      <c r="U3" s="498">
        <v>1.0</v>
      </c>
      <c r="V3" s="499" t="s">
        <v>2218</v>
      </c>
      <c r="W3" s="494" t="str">
        <f>V3&amp;"-"&amp;T3&amp;"/"&amp;U3</f>
        <v>ETL1-SM22/1</v>
      </c>
      <c r="Y3" s="102" t="s">
        <v>911</v>
      </c>
      <c r="Z3" s="103" t="s">
        <v>910</v>
      </c>
      <c r="AA3" s="104" t="s">
        <v>1752</v>
      </c>
      <c r="AC3" s="102" t="s">
        <v>662</v>
      </c>
      <c r="AD3" s="103" t="s">
        <v>661</v>
      </c>
      <c r="AE3" s="426" t="s">
        <v>1753</v>
      </c>
      <c r="AG3" s="93" t="s">
        <v>1754</v>
      </c>
      <c r="AH3" s="106" t="s">
        <v>889</v>
      </c>
      <c r="AI3" s="107" t="s">
        <v>1755</v>
      </c>
    </row>
    <row r="4">
      <c r="A4" s="93" t="s">
        <v>1958</v>
      </c>
      <c r="B4" s="106" t="s">
        <v>953</v>
      </c>
      <c r="C4" s="484" t="s">
        <v>66</v>
      </c>
      <c r="D4" s="484" t="s">
        <v>1594</v>
      </c>
      <c r="E4" s="484">
        <v>2.0</v>
      </c>
      <c r="F4" s="485" t="s">
        <v>2218</v>
      </c>
      <c r="G4" s="406" t="str">
        <f>F4&amp;"-"&amp;D4&amp;"/"&amp;E4</f>
        <v>ETL1-SM22/2</v>
      </c>
      <c r="H4" s="407"/>
      <c r="I4" s="115" t="s">
        <v>1955</v>
      </c>
      <c r="J4" s="116" t="s">
        <v>906</v>
      </c>
      <c r="K4" s="491" t="s">
        <v>179</v>
      </c>
      <c r="L4" s="491" t="s">
        <v>1895</v>
      </c>
      <c r="M4" s="492">
        <v>2.0</v>
      </c>
      <c r="N4" s="493" t="s">
        <v>2218</v>
      </c>
      <c r="O4" s="494" t="str">
        <f t="shared" si="1"/>
        <v>ETL1-SL11/2</v>
      </c>
      <c r="P4" s="407"/>
      <c r="Q4" s="495" t="s">
        <v>459</v>
      </c>
      <c r="R4" s="496" t="s">
        <v>458</v>
      </c>
      <c r="S4" s="490"/>
      <c r="T4" s="490"/>
      <c r="U4" s="490"/>
      <c r="V4" s="490"/>
      <c r="W4" s="490"/>
      <c r="Y4" s="102" t="s">
        <v>895</v>
      </c>
      <c r="Z4" s="103" t="s">
        <v>894</v>
      </c>
      <c r="AA4" s="104" t="s">
        <v>1756</v>
      </c>
      <c r="AC4" s="108" t="s">
        <v>1757</v>
      </c>
      <c r="AD4" s="109" t="s">
        <v>789</v>
      </c>
      <c r="AE4" s="490"/>
      <c r="AG4" s="93" t="s">
        <v>1758</v>
      </c>
      <c r="AH4" s="106" t="s">
        <v>1557</v>
      </c>
      <c r="AI4" s="107" t="s">
        <v>1759</v>
      </c>
    </row>
    <row r="5">
      <c r="A5" s="93" t="s">
        <v>1933</v>
      </c>
      <c r="B5" s="106" t="s">
        <v>424</v>
      </c>
      <c r="C5" s="490"/>
      <c r="D5" s="490"/>
      <c r="E5" s="490"/>
      <c r="F5" s="490"/>
      <c r="G5" s="490"/>
      <c r="H5" s="407"/>
      <c r="I5" s="115" t="s">
        <v>927</v>
      </c>
      <c r="J5" s="116" t="s">
        <v>926</v>
      </c>
      <c r="K5" s="491" t="s">
        <v>179</v>
      </c>
      <c r="L5" s="491" t="s">
        <v>1895</v>
      </c>
      <c r="M5" s="492">
        <v>3.0</v>
      </c>
      <c r="N5" s="500" t="s">
        <v>2219</v>
      </c>
      <c r="O5" s="494" t="str">
        <f t="shared" si="1"/>
        <v>ETL2-SL11/3</v>
      </c>
      <c r="P5" s="407"/>
      <c r="Q5" s="115" t="s">
        <v>1958</v>
      </c>
      <c r="R5" s="116" t="s">
        <v>953</v>
      </c>
      <c r="S5" s="497" t="s">
        <v>66</v>
      </c>
      <c r="T5" s="497" t="s">
        <v>1594</v>
      </c>
      <c r="U5" s="498">
        <v>2.0</v>
      </c>
      <c r="V5" s="499" t="s">
        <v>2218</v>
      </c>
      <c r="W5" s="494" t="str">
        <f>V5&amp;"-"&amp;T5&amp;"/"&amp;U5</f>
        <v>ETL1-SM22/2</v>
      </c>
      <c r="Y5" s="102" t="s">
        <v>1760</v>
      </c>
      <c r="Z5" s="103" t="s">
        <v>957</v>
      </c>
      <c r="AA5" s="104" t="s">
        <v>1761</v>
      </c>
      <c r="AC5" s="108" t="s">
        <v>698</v>
      </c>
      <c r="AD5" s="109" t="s">
        <v>697</v>
      </c>
      <c r="AE5" s="426" t="s">
        <v>1762</v>
      </c>
      <c r="AG5" s="110" t="s">
        <v>1763</v>
      </c>
      <c r="AH5" s="106" t="s">
        <v>1579</v>
      </c>
      <c r="AI5" s="107" t="s">
        <v>1764</v>
      </c>
    </row>
    <row r="6">
      <c r="A6" s="93" t="s">
        <v>1934</v>
      </c>
      <c r="B6" s="106" t="s">
        <v>428</v>
      </c>
      <c r="C6" s="484" t="s">
        <v>66</v>
      </c>
      <c r="D6" s="484" t="s">
        <v>1594</v>
      </c>
      <c r="E6" s="484">
        <v>3.0</v>
      </c>
      <c r="F6" s="485" t="s">
        <v>2218</v>
      </c>
      <c r="G6" s="406" t="str">
        <f>F6&amp;"-"&amp;D6&amp;"/"&amp;E6</f>
        <v>ETL1-SM22/3</v>
      </c>
      <c r="H6" s="407"/>
      <c r="I6" s="495" t="s">
        <v>930</v>
      </c>
      <c r="J6" s="496" t="s">
        <v>929</v>
      </c>
      <c r="K6" s="491" t="s">
        <v>179</v>
      </c>
      <c r="L6" s="491" t="s">
        <v>1895</v>
      </c>
      <c r="M6" s="492">
        <v>4.0</v>
      </c>
      <c r="N6" s="501" t="s">
        <v>2233</v>
      </c>
      <c r="O6" s="494" t="str">
        <f t="shared" si="1"/>
        <v>ETL3-SL11/4</v>
      </c>
      <c r="P6" s="407"/>
      <c r="Q6" s="115" t="s">
        <v>1933</v>
      </c>
      <c r="R6" s="116" t="s">
        <v>424</v>
      </c>
      <c r="S6" s="490"/>
      <c r="T6" s="490"/>
      <c r="U6" s="490"/>
      <c r="V6" s="490"/>
      <c r="W6" s="490"/>
      <c r="Y6" s="111" t="s">
        <v>1765</v>
      </c>
      <c r="Z6" s="112" t="s">
        <v>1564</v>
      </c>
      <c r="AA6" s="104" t="s">
        <v>1766</v>
      </c>
      <c r="AC6" s="108" t="s">
        <v>706</v>
      </c>
      <c r="AD6" s="109" t="s">
        <v>705</v>
      </c>
      <c r="AE6" s="490"/>
      <c r="AG6" s="93" t="s">
        <v>1767</v>
      </c>
      <c r="AH6" s="106" t="s">
        <v>1512</v>
      </c>
      <c r="AI6" s="107" t="s">
        <v>1768</v>
      </c>
    </row>
    <row r="7">
      <c r="A7" s="93" t="s">
        <v>420</v>
      </c>
      <c r="B7" s="106" t="s">
        <v>419</v>
      </c>
      <c r="C7" s="490"/>
      <c r="D7" s="490"/>
      <c r="E7" s="490"/>
      <c r="F7" s="490"/>
      <c r="G7" s="490"/>
      <c r="H7" s="407"/>
      <c r="I7" s="495" t="s">
        <v>1623</v>
      </c>
      <c r="J7" s="496" t="s">
        <v>1622</v>
      </c>
      <c r="K7" s="491" t="s">
        <v>179</v>
      </c>
      <c r="L7" s="491" t="s">
        <v>1895</v>
      </c>
      <c r="M7" s="492">
        <v>5.0</v>
      </c>
      <c r="N7" s="501" t="s">
        <v>2233</v>
      </c>
      <c r="O7" s="494" t="str">
        <f t="shared" si="1"/>
        <v>ETL3-SL11/5</v>
      </c>
      <c r="P7" s="407"/>
      <c r="Q7" s="115" t="s">
        <v>1934</v>
      </c>
      <c r="R7" s="116" t="s">
        <v>428</v>
      </c>
      <c r="S7" s="497" t="s">
        <v>66</v>
      </c>
      <c r="T7" s="497" t="s">
        <v>1594</v>
      </c>
      <c r="U7" s="498">
        <v>3.0</v>
      </c>
      <c r="V7" s="499" t="s">
        <v>2218</v>
      </c>
      <c r="W7" s="494" t="str">
        <f>V7&amp;"-"&amp;T7&amp;"/"&amp;U7</f>
        <v>ETL1-SM22/3</v>
      </c>
      <c r="Y7" s="113" t="s">
        <v>1769</v>
      </c>
      <c r="Z7" s="114" t="s">
        <v>1568</v>
      </c>
      <c r="AA7" s="104" t="s">
        <v>1770</v>
      </c>
      <c r="AC7" s="108" t="s">
        <v>718</v>
      </c>
      <c r="AD7" s="109" t="s">
        <v>717</v>
      </c>
      <c r="AE7" s="426" t="s">
        <v>1771</v>
      </c>
      <c r="AG7" s="93" t="s">
        <v>1772</v>
      </c>
      <c r="AH7" s="106" t="s">
        <v>1571</v>
      </c>
      <c r="AI7" s="107" t="s">
        <v>1773</v>
      </c>
    </row>
    <row r="8">
      <c r="A8" s="93" t="s">
        <v>446</v>
      </c>
      <c r="B8" s="106" t="s">
        <v>445</v>
      </c>
      <c r="C8" s="484" t="s">
        <v>66</v>
      </c>
      <c r="D8" s="484" t="s">
        <v>1594</v>
      </c>
      <c r="E8" s="484">
        <v>4.0</v>
      </c>
      <c r="F8" s="485" t="s">
        <v>2218</v>
      </c>
      <c r="G8" s="406" t="str">
        <f>F8&amp;"-"&amp;D8&amp;"/"&amp;E8</f>
        <v>ETL1-SM22/4</v>
      </c>
      <c r="H8" s="407"/>
      <c r="I8" s="495" t="s">
        <v>923</v>
      </c>
      <c r="J8" s="496" t="s">
        <v>922</v>
      </c>
      <c r="K8" s="491" t="s">
        <v>179</v>
      </c>
      <c r="L8" s="491" t="s">
        <v>1895</v>
      </c>
      <c r="M8" s="492">
        <v>6.0</v>
      </c>
      <c r="N8" s="501" t="s">
        <v>2233</v>
      </c>
      <c r="O8" s="494" t="str">
        <f t="shared" si="1"/>
        <v>ETL3-SL11/6</v>
      </c>
      <c r="P8" s="407"/>
      <c r="Q8" s="115" t="s">
        <v>420</v>
      </c>
      <c r="R8" s="116" t="s">
        <v>419</v>
      </c>
      <c r="S8" s="490"/>
      <c r="T8" s="490"/>
      <c r="U8" s="490"/>
      <c r="V8" s="490"/>
      <c r="W8" s="490"/>
      <c r="Y8" s="102" t="s">
        <v>1744</v>
      </c>
      <c r="Z8" s="103" t="s">
        <v>1521</v>
      </c>
      <c r="AA8" s="104" t="s">
        <v>1774</v>
      </c>
      <c r="AC8" s="108" t="s">
        <v>734</v>
      </c>
      <c r="AD8" s="109" t="s">
        <v>733</v>
      </c>
      <c r="AE8" s="490"/>
      <c r="AG8" s="93" t="s">
        <v>1775</v>
      </c>
      <c r="AH8" s="106" t="s">
        <v>1549</v>
      </c>
      <c r="AI8" s="107" t="s">
        <v>1776</v>
      </c>
    </row>
    <row r="9">
      <c r="A9" s="93" t="s">
        <v>450</v>
      </c>
      <c r="B9" s="106" t="s">
        <v>449</v>
      </c>
      <c r="C9" s="490"/>
      <c r="D9" s="490"/>
      <c r="E9" s="490"/>
      <c r="F9" s="490"/>
      <c r="G9" s="490"/>
      <c r="H9" s="407"/>
      <c r="I9" s="495" t="s">
        <v>1910</v>
      </c>
      <c r="J9" s="496" t="s">
        <v>191</v>
      </c>
      <c r="K9" s="502" t="s">
        <v>179</v>
      </c>
      <c r="L9" s="502" t="s">
        <v>1895</v>
      </c>
      <c r="M9" s="503">
        <v>7.0</v>
      </c>
      <c r="N9" s="504" t="s">
        <v>2254</v>
      </c>
      <c r="O9" s="420" t="str">
        <f t="shared" si="1"/>
        <v>ETR1-SL11/7</v>
      </c>
      <c r="P9" s="407"/>
      <c r="Q9" s="115" t="s">
        <v>446</v>
      </c>
      <c r="R9" s="116" t="s">
        <v>445</v>
      </c>
      <c r="S9" s="497" t="s">
        <v>66</v>
      </c>
      <c r="T9" s="497" t="s">
        <v>1594</v>
      </c>
      <c r="U9" s="498">
        <v>4.0</v>
      </c>
      <c r="V9" s="499" t="s">
        <v>2218</v>
      </c>
      <c r="W9" s="494" t="str">
        <f>V9&amp;"-"&amp;T9&amp;"/"&amp;U9</f>
        <v>ETL1-SM22/4</v>
      </c>
      <c r="Y9" s="102" t="s">
        <v>1777</v>
      </c>
      <c r="Z9" s="103" t="s">
        <v>1595</v>
      </c>
      <c r="AA9" s="104" t="s">
        <v>1778</v>
      </c>
      <c r="AC9" s="108" t="s">
        <v>1779</v>
      </c>
      <c r="AD9" s="109" t="s">
        <v>817</v>
      </c>
      <c r="AE9" s="426" t="s">
        <v>1780</v>
      </c>
      <c r="AG9" s="93" t="s">
        <v>1781</v>
      </c>
      <c r="AH9" s="106" t="s">
        <v>1533</v>
      </c>
      <c r="AI9" s="107" t="s">
        <v>1782</v>
      </c>
    </row>
    <row r="10">
      <c r="A10" s="93" t="s">
        <v>962</v>
      </c>
      <c r="B10" s="106" t="s">
        <v>961</v>
      </c>
      <c r="C10" s="505" t="s">
        <v>179</v>
      </c>
      <c r="D10" s="505" t="s">
        <v>1895</v>
      </c>
      <c r="E10" s="505">
        <v>1.0</v>
      </c>
      <c r="F10" s="506" t="s">
        <v>2218</v>
      </c>
      <c r="G10" s="406" t="str">
        <f t="shared" ref="G10:G12" si="2">F10&amp;"-"&amp;D10&amp;"/"&amp;E10</f>
        <v>ETL1-SL11/1</v>
      </c>
      <c r="H10" s="407"/>
      <c r="I10" s="495" t="s">
        <v>1911</v>
      </c>
      <c r="J10" s="496" t="s">
        <v>197</v>
      </c>
      <c r="K10" s="507"/>
      <c r="L10" s="507"/>
      <c r="M10" s="507"/>
      <c r="N10" s="507"/>
      <c r="O10" s="507"/>
      <c r="P10" s="407"/>
      <c r="Q10" s="115" t="s">
        <v>450</v>
      </c>
      <c r="R10" s="116" t="s">
        <v>449</v>
      </c>
      <c r="S10" s="490"/>
      <c r="T10" s="490"/>
      <c r="U10" s="490"/>
      <c r="V10" s="490"/>
      <c r="W10" s="490"/>
      <c r="Y10" s="102" t="s">
        <v>1530</v>
      </c>
      <c r="Z10" s="103" t="s">
        <v>1529</v>
      </c>
      <c r="AA10" s="104" t="s">
        <v>1783</v>
      </c>
      <c r="AC10" s="108" t="s">
        <v>754</v>
      </c>
      <c r="AD10" s="109" t="s">
        <v>753</v>
      </c>
      <c r="AE10" s="490"/>
      <c r="AG10" s="93" t="s">
        <v>1546</v>
      </c>
      <c r="AH10" s="106" t="s">
        <v>1545</v>
      </c>
      <c r="AI10" s="107" t="s">
        <v>1782</v>
      </c>
    </row>
    <row r="11">
      <c r="A11" s="93" t="s">
        <v>1955</v>
      </c>
      <c r="B11" s="106" t="s">
        <v>906</v>
      </c>
      <c r="C11" s="505" t="s">
        <v>179</v>
      </c>
      <c r="D11" s="505" t="s">
        <v>1895</v>
      </c>
      <c r="E11" s="505">
        <v>2.0</v>
      </c>
      <c r="F11" s="506" t="s">
        <v>2218</v>
      </c>
      <c r="G11" s="406" t="str">
        <f t="shared" si="2"/>
        <v>ETL1-SL11/2</v>
      </c>
      <c r="H11" s="407"/>
      <c r="I11" s="115" t="s">
        <v>241</v>
      </c>
      <c r="J11" s="116" t="s">
        <v>240</v>
      </c>
      <c r="K11" s="507"/>
      <c r="L11" s="507"/>
      <c r="M11" s="507"/>
      <c r="N11" s="507"/>
      <c r="O11" s="507"/>
      <c r="P11" s="407"/>
      <c r="Q11" s="115" t="s">
        <v>1358</v>
      </c>
      <c r="R11" s="116" t="s">
        <v>1357</v>
      </c>
      <c r="S11" s="497" t="s">
        <v>66</v>
      </c>
      <c r="T11" s="497" t="s">
        <v>1594</v>
      </c>
      <c r="U11" s="498">
        <v>5.0</v>
      </c>
      <c r="V11" s="508" t="s">
        <v>2219</v>
      </c>
      <c r="W11" s="494" t="str">
        <f>V11&amp;"-"&amp;T11&amp;"/"&amp;U11</f>
        <v>ETL2-SM22/5</v>
      </c>
      <c r="Y11" s="102" t="s">
        <v>1526</v>
      </c>
      <c r="Z11" s="103" t="s">
        <v>1525</v>
      </c>
      <c r="AA11" s="104" t="s">
        <v>1784</v>
      </c>
      <c r="AC11" s="108" t="s">
        <v>774</v>
      </c>
      <c r="AD11" s="109" t="s">
        <v>773</v>
      </c>
      <c r="AE11" s="426" t="s">
        <v>1785</v>
      </c>
      <c r="AG11" s="93" t="s">
        <v>1786</v>
      </c>
      <c r="AH11" s="106" t="s">
        <v>1541</v>
      </c>
      <c r="AI11" s="107" t="s">
        <v>1787</v>
      </c>
    </row>
    <row r="12">
      <c r="A12" s="93" t="s">
        <v>1358</v>
      </c>
      <c r="B12" s="106" t="s">
        <v>1357</v>
      </c>
      <c r="C12" s="484" t="s">
        <v>66</v>
      </c>
      <c r="D12" s="484" t="s">
        <v>1594</v>
      </c>
      <c r="E12" s="484">
        <v>5.0</v>
      </c>
      <c r="F12" s="509" t="s">
        <v>2219</v>
      </c>
      <c r="G12" s="406" t="str">
        <f t="shared" si="2"/>
        <v>ETL2-SM22/5</v>
      </c>
      <c r="H12" s="407"/>
      <c r="I12" s="115" t="s">
        <v>1924</v>
      </c>
      <c r="J12" s="116" t="s">
        <v>317</v>
      </c>
      <c r="K12" s="490"/>
      <c r="L12" s="490"/>
      <c r="M12" s="490"/>
      <c r="N12" s="490"/>
      <c r="O12" s="507"/>
      <c r="P12" s="407"/>
      <c r="Q12" s="115" t="s">
        <v>1384</v>
      </c>
      <c r="R12" s="116" t="s">
        <v>1383</v>
      </c>
      <c r="S12" s="490"/>
      <c r="T12" s="490"/>
      <c r="U12" s="490"/>
      <c r="V12" s="490"/>
      <c r="W12" s="507"/>
      <c r="Y12" s="102" t="s">
        <v>626</v>
      </c>
      <c r="Z12" s="103" t="s">
        <v>625</v>
      </c>
      <c r="AA12" s="510" t="s">
        <v>1788</v>
      </c>
      <c r="AC12" s="108" t="s">
        <v>658</v>
      </c>
      <c r="AD12" s="109" t="s">
        <v>657</v>
      </c>
      <c r="AE12" s="490"/>
      <c r="AG12" s="93" t="s">
        <v>1789</v>
      </c>
      <c r="AH12" s="106" t="s">
        <v>1560</v>
      </c>
      <c r="AI12" s="107" t="s">
        <v>1790</v>
      </c>
    </row>
    <row r="13">
      <c r="A13" s="93" t="s">
        <v>1384</v>
      </c>
      <c r="B13" s="106" t="s">
        <v>1383</v>
      </c>
      <c r="C13" s="490"/>
      <c r="D13" s="490"/>
      <c r="E13" s="490"/>
      <c r="F13" s="490"/>
      <c r="G13" s="507"/>
      <c r="H13" s="407"/>
      <c r="I13" s="115" t="s">
        <v>1741</v>
      </c>
      <c r="J13" s="116" t="s">
        <v>223</v>
      </c>
      <c r="K13" s="491" t="s">
        <v>179</v>
      </c>
      <c r="L13" s="491" t="s">
        <v>1895</v>
      </c>
      <c r="M13" s="492">
        <v>8.0</v>
      </c>
      <c r="N13" s="511" t="s">
        <v>2254</v>
      </c>
      <c r="O13" s="494" t="str">
        <f t="shared" ref="O13:O14" si="3">N13&amp;"-"&amp;L13&amp;"/"&amp;M13</f>
        <v>ETR1-SL11/8</v>
      </c>
      <c r="P13" s="407"/>
      <c r="Q13" s="115" t="s">
        <v>603</v>
      </c>
      <c r="R13" s="116" t="s">
        <v>602</v>
      </c>
      <c r="S13" s="512" t="s">
        <v>249</v>
      </c>
      <c r="T13" s="512" t="s">
        <v>2012</v>
      </c>
      <c r="U13" s="513">
        <v>1.0</v>
      </c>
      <c r="V13" s="508" t="s">
        <v>2219</v>
      </c>
      <c r="W13" s="420" t="str">
        <f>V13&amp;"-"&amp;T13&amp;"/"&amp;U13</f>
        <v>ETL2-SL22/1</v>
      </c>
      <c r="Y13" s="102" t="s">
        <v>1791</v>
      </c>
      <c r="Z13" s="103" t="s">
        <v>1537</v>
      </c>
      <c r="AA13" s="490"/>
      <c r="AC13" s="108" t="s">
        <v>1792</v>
      </c>
      <c r="AD13" s="109" t="s">
        <v>781</v>
      </c>
      <c r="AE13" s="426" t="s">
        <v>1793</v>
      </c>
      <c r="AG13" s="93" t="s">
        <v>1576</v>
      </c>
      <c r="AH13" s="106" t="s">
        <v>1575</v>
      </c>
      <c r="AI13" s="107" t="s">
        <v>1794</v>
      </c>
    </row>
    <row r="14">
      <c r="A14" s="93" t="s">
        <v>927</v>
      </c>
      <c r="B14" s="106" t="s">
        <v>926</v>
      </c>
      <c r="C14" s="505" t="s">
        <v>179</v>
      </c>
      <c r="D14" s="505" t="s">
        <v>1895</v>
      </c>
      <c r="E14" s="505">
        <v>3.0</v>
      </c>
      <c r="F14" s="514" t="s">
        <v>2219</v>
      </c>
      <c r="G14" s="406" t="str">
        <f t="shared" ref="G14:G15" si="4">F14&amp;"-"&amp;D14&amp;"/"&amp;E14</f>
        <v>ETL2-SL11/3</v>
      </c>
      <c r="H14" s="407"/>
      <c r="I14" s="115" t="s">
        <v>228</v>
      </c>
      <c r="J14" s="116" t="s">
        <v>227</v>
      </c>
      <c r="K14" s="502" t="s">
        <v>179</v>
      </c>
      <c r="L14" s="502" t="s">
        <v>1895</v>
      </c>
      <c r="M14" s="503">
        <v>9.0</v>
      </c>
      <c r="N14" s="504" t="s">
        <v>2254</v>
      </c>
      <c r="O14" s="494" t="str">
        <f t="shared" si="3"/>
        <v>ETR1-SL11/9</v>
      </c>
      <c r="P14" s="407"/>
      <c r="Q14" s="115" t="s">
        <v>607</v>
      </c>
      <c r="R14" s="116" t="s">
        <v>606</v>
      </c>
      <c r="S14" s="507"/>
      <c r="T14" s="507"/>
      <c r="U14" s="507"/>
      <c r="V14" s="507"/>
      <c r="W14" s="507"/>
      <c r="Y14" s="102" t="s">
        <v>1795</v>
      </c>
      <c r="Z14" s="103" t="s">
        <v>1587</v>
      </c>
      <c r="AA14" s="510" t="s">
        <v>1796</v>
      </c>
      <c r="AC14" s="108" t="s">
        <v>690</v>
      </c>
      <c r="AD14" s="109" t="s">
        <v>689</v>
      </c>
      <c r="AE14" s="490"/>
      <c r="AG14" s="93" t="s">
        <v>1584</v>
      </c>
      <c r="AH14" s="106" t="s">
        <v>1583</v>
      </c>
      <c r="AI14" s="107" t="s">
        <v>1797</v>
      </c>
    </row>
    <row r="15">
      <c r="A15" s="93" t="s">
        <v>603</v>
      </c>
      <c r="B15" s="106" t="s">
        <v>602</v>
      </c>
      <c r="C15" s="515" t="s">
        <v>249</v>
      </c>
      <c r="D15" s="515" t="s">
        <v>2012</v>
      </c>
      <c r="E15" s="515">
        <v>1.0</v>
      </c>
      <c r="F15" s="509" t="s">
        <v>2219</v>
      </c>
      <c r="G15" s="406" t="str">
        <f t="shared" si="4"/>
        <v>ETL2-SL22/1</v>
      </c>
      <c r="H15" s="407"/>
      <c r="I15" s="115" t="s">
        <v>1915</v>
      </c>
      <c r="J15" s="116" t="s">
        <v>214</v>
      </c>
      <c r="K15" s="490"/>
      <c r="L15" s="490"/>
      <c r="M15" s="490"/>
      <c r="N15" s="490"/>
      <c r="O15" s="507"/>
      <c r="P15" s="407"/>
      <c r="Q15" s="115" t="s">
        <v>610</v>
      </c>
      <c r="R15" s="116" t="s">
        <v>609</v>
      </c>
      <c r="S15" s="507"/>
      <c r="T15" s="507"/>
      <c r="U15" s="507"/>
      <c r="V15" s="507"/>
      <c r="W15" s="507"/>
      <c r="Y15" s="102" t="s">
        <v>1798</v>
      </c>
      <c r="Z15" s="103" t="s">
        <v>1591</v>
      </c>
      <c r="AA15" s="490"/>
      <c r="AC15" s="108" t="s">
        <v>1799</v>
      </c>
      <c r="AD15" s="109" t="s">
        <v>797</v>
      </c>
      <c r="AE15" s="426" t="s">
        <v>1800</v>
      </c>
      <c r="AG15" s="93" t="s">
        <v>1619</v>
      </c>
      <c r="AH15" s="106" t="s">
        <v>1618</v>
      </c>
      <c r="AI15" s="107" t="s">
        <v>1801</v>
      </c>
    </row>
    <row r="16">
      <c r="A16" s="93" t="s">
        <v>607</v>
      </c>
      <c r="B16" s="106" t="s">
        <v>606</v>
      </c>
      <c r="C16" s="507"/>
      <c r="D16" s="507"/>
      <c r="E16" s="507"/>
      <c r="F16" s="507"/>
      <c r="G16" s="507"/>
      <c r="H16" s="407"/>
      <c r="I16" s="115" t="s">
        <v>232</v>
      </c>
      <c r="J16" s="116" t="s">
        <v>231</v>
      </c>
      <c r="K16" s="491" t="s">
        <v>179</v>
      </c>
      <c r="L16" s="491" t="s">
        <v>1895</v>
      </c>
      <c r="M16" s="492">
        <v>10.0</v>
      </c>
      <c r="N16" s="511" t="s">
        <v>2254</v>
      </c>
      <c r="O16" s="494" t="str">
        <f t="shared" ref="O16:O17" si="5">N16&amp;"-"&amp;L16&amp;"/"&amp;M16</f>
        <v>ETR1-SL11/10</v>
      </c>
      <c r="P16" s="407"/>
      <c r="Q16" s="115" t="s">
        <v>614</v>
      </c>
      <c r="R16" s="116" t="s">
        <v>613</v>
      </c>
      <c r="S16" s="507"/>
      <c r="T16" s="507"/>
      <c r="U16" s="507"/>
      <c r="V16" s="507"/>
      <c r="W16" s="507"/>
      <c r="Y16" s="102" t="s">
        <v>488</v>
      </c>
      <c r="Z16" s="103" t="s">
        <v>487</v>
      </c>
      <c r="AA16" s="510" t="s">
        <v>1802</v>
      </c>
      <c r="AC16" s="108" t="s">
        <v>710</v>
      </c>
      <c r="AD16" s="109" t="s">
        <v>709</v>
      </c>
      <c r="AE16" s="490"/>
      <c r="AG16" s="93" t="s">
        <v>441</v>
      </c>
      <c r="AH16" s="106" t="s">
        <v>440</v>
      </c>
      <c r="AI16" s="107" t="s">
        <v>1803</v>
      </c>
    </row>
    <row r="17">
      <c r="A17" s="93" t="s">
        <v>610</v>
      </c>
      <c r="B17" s="106" t="s">
        <v>609</v>
      </c>
      <c r="C17" s="507"/>
      <c r="D17" s="507"/>
      <c r="E17" s="507"/>
      <c r="F17" s="507"/>
      <c r="G17" s="507"/>
      <c r="H17" s="407"/>
      <c r="I17" s="115" t="s">
        <v>1988</v>
      </c>
      <c r="J17" s="116" t="s">
        <v>1636</v>
      </c>
      <c r="K17" s="502" t="s">
        <v>179</v>
      </c>
      <c r="L17" s="502" t="s">
        <v>1895</v>
      </c>
      <c r="M17" s="503">
        <v>11.0</v>
      </c>
      <c r="N17" s="516" t="s">
        <v>2269</v>
      </c>
      <c r="O17" s="494" t="str">
        <f t="shared" si="5"/>
        <v>ETR2-SL11/11</v>
      </c>
      <c r="P17" s="407"/>
      <c r="Q17" s="115" t="s">
        <v>618</v>
      </c>
      <c r="R17" s="116" t="s">
        <v>617</v>
      </c>
      <c r="S17" s="507"/>
      <c r="T17" s="507"/>
      <c r="U17" s="507"/>
      <c r="V17" s="507"/>
      <c r="W17" s="507"/>
      <c r="Y17" s="102" t="s">
        <v>1804</v>
      </c>
      <c r="Z17" s="103" t="s">
        <v>637</v>
      </c>
      <c r="AA17" s="490"/>
      <c r="AC17" s="108" t="s">
        <v>726</v>
      </c>
      <c r="AD17" s="109" t="s">
        <v>725</v>
      </c>
      <c r="AE17" s="426" t="s">
        <v>1805</v>
      </c>
      <c r="AG17" s="115" t="s">
        <v>438</v>
      </c>
      <c r="AH17" s="116" t="s">
        <v>437</v>
      </c>
      <c r="AI17" s="107" t="s">
        <v>1806</v>
      </c>
    </row>
    <row r="18">
      <c r="A18" s="93" t="s">
        <v>614</v>
      </c>
      <c r="B18" s="106" t="s">
        <v>613</v>
      </c>
      <c r="C18" s="507"/>
      <c r="D18" s="507"/>
      <c r="E18" s="507"/>
      <c r="F18" s="507"/>
      <c r="G18" s="507"/>
      <c r="H18" s="407"/>
      <c r="I18" s="115" t="s">
        <v>1989</v>
      </c>
      <c r="J18" s="116" t="s">
        <v>1641</v>
      </c>
      <c r="K18" s="490"/>
      <c r="L18" s="490"/>
      <c r="M18" s="490"/>
      <c r="N18" s="490"/>
      <c r="O18" s="507"/>
      <c r="P18" s="407"/>
      <c r="Q18" s="115" t="s">
        <v>2360</v>
      </c>
      <c r="R18" s="116" t="s">
        <v>621</v>
      </c>
      <c r="S18" s="490"/>
      <c r="T18" s="490"/>
      <c r="U18" s="490"/>
      <c r="V18" s="490"/>
      <c r="W18" s="507"/>
      <c r="AC18" s="108" t="s">
        <v>1808</v>
      </c>
      <c r="AD18" s="109" t="s">
        <v>809</v>
      </c>
      <c r="AE18" s="490"/>
      <c r="AG18" s="93" t="s">
        <v>950</v>
      </c>
      <c r="AH18" s="106" t="s">
        <v>949</v>
      </c>
      <c r="AI18" s="107" t="s">
        <v>1809</v>
      </c>
    </row>
    <row r="19">
      <c r="A19" s="93" t="s">
        <v>618</v>
      </c>
      <c r="B19" s="106" t="s">
        <v>617</v>
      </c>
      <c r="C19" s="507"/>
      <c r="D19" s="507"/>
      <c r="E19" s="507"/>
      <c r="F19" s="507"/>
      <c r="G19" s="507"/>
      <c r="H19" s="407"/>
      <c r="I19" s="115" t="s">
        <v>501</v>
      </c>
      <c r="J19" s="116" t="s">
        <v>500</v>
      </c>
      <c r="K19" s="491" t="s">
        <v>179</v>
      </c>
      <c r="L19" s="491" t="s">
        <v>1895</v>
      </c>
      <c r="M19" s="492">
        <v>12.0</v>
      </c>
      <c r="N19" s="517" t="s">
        <v>2269</v>
      </c>
      <c r="O19" s="494" t="str">
        <f t="shared" ref="O19:O21" si="6">N19&amp;"-"&amp;L19&amp;"/"&amp;M19</f>
        <v>ETR2-SL11/12</v>
      </c>
      <c r="P19" s="407"/>
      <c r="Q19" s="115" t="s">
        <v>903</v>
      </c>
      <c r="R19" s="116" t="s">
        <v>902</v>
      </c>
      <c r="S19" s="518" t="s">
        <v>249</v>
      </c>
      <c r="T19" s="518" t="s">
        <v>2012</v>
      </c>
      <c r="U19" s="519">
        <v>2.0</v>
      </c>
      <c r="V19" s="501" t="s">
        <v>2233</v>
      </c>
      <c r="W19" s="494" t="str">
        <f t="shared" ref="W19:W25" si="7">V19&amp;"-"&amp;T19&amp;"/"&amp;U19</f>
        <v>ETL3-SL22/2</v>
      </c>
      <c r="Y19" s="96" t="s">
        <v>1813</v>
      </c>
      <c r="Z19" s="39"/>
      <c r="AA19" s="40"/>
      <c r="AC19" s="108" t="s">
        <v>746</v>
      </c>
      <c r="AD19" s="109" t="s">
        <v>745</v>
      </c>
      <c r="AE19" s="426" t="s">
        <v>1810</v>
      </c>
      <c r="AG19" s="93" t="s">
        <v>1811</v>
      </c>
      <c r="AH19" s="106" t="s">
        <v>914</v>
      </c>
      <c r="AI19" s="107" t="s">
        <v>1812</v>
      </c>
    </row>
    <row r="20">
      <c r="A20" s="93" t="s">
        <v>2360</v>
      </c>
      <c r="B20" s="106" t="s">
        <v>621</v>
      </c>
      <c r="C20" s="490"/>
      <c r="D20" s="490"/>
      <c r="E20" s="490"/>
      <c r="F20" s="490"/>
      <c r="G20" s="507"/>
      <c r="H20" s="407"/>
      <c r="I20" s="115" t="s">
        <v>176</v>
      </c>
      <c r="J20" s="116" t="s">
        <v>175</v>
      </c>
      <c r="K20" s="491" t="s">
        <v>179</v>
      </c>
      <c r="L20" s="491" t="s">
        <v>1895</v>
      </c>
      <c r="M20" s="492">
        <v>13.0</v>
      </c>
      <c r="N20" s="518" t="s">
        <v>2249</v>
      </c>
      <c r="O20" s="494" t="str">
        <f t="shared" si="6"/>
        <v>ETR3-SL11/13</v>
      </c>
      <c r="P20" s="407"/>
      <c r="Q20" s="115" t="s">
        <v>1367</v>
      </c>
      <c r="R20" s="116" t="s">
        <v>1366</v>
      </c>
      <c r="S20" s="518" t="s">
        <v>249</v>
      </c>
      <c r="T20" s="518" t="s">
        <v>2012</v>
      </c>
      <c r="U20" s="519">
        <v>3.0</v>
      </c>
      <c r="V20" s="501" t="s">
        <v>2233</v>
      </c>
      <c r="W20" s="494" t="str">
        <f t="shared" si="7"/>
        <v>ETL3-SL22/3</v>
      </c>
      <c r="Y20" s="405" t="s">
        <v>943</v>
      </c>
      <c r="Z20" s="439" t="s">
        <v>942</v>
      </c>
      <c r="AA20" s="426" t="s">
        <v>1815</v>
      </c>
      <c r="AC20" s="108" t="s">
        <v>766</v>
      </c>
      <c r="AD20" s="109" t="s">
        <v>765</v>
      </c>
      <c r="AE20" s="490"/>
      <c r="AG20" s="93" t="s">
        <v>940</v>
      </c>
      <c r="AH20" s="106" t="s">
        <v>939</v>
      </c>
      <c r="AI20" s="107" t="s">
        <v>1814</v>
      </c>
    </row>
    <row r="21">
      <c r="A21" s="102" t="s">
        <v>930</v>
      </c>
      <c r="B21" s="103" t="s">
        <v>929</v>
      </c>
      <c r="C21" s="505" t="s">
        <v>179</v>
      </c>
      <c r="D21" s="505" t="s">
        <v>1895</v>
      </c>
      <c r="E21" s="505">
        <v>4.0</v>
      </c>
      <c r="F21" s="520" t="s">
        <v>2233</v>
      </c>
      <c r="G21" s="406" t="str">
        <f t="shared" ref="G21:G29" si="8">F21&amp;"-"&amp;D21&amp;"/"&amp;E21</f>
        <v>ETL3-SL11/4</v>
      </c>
      <c r="H21" s="407"/>
      <c r="I21" s="115" t="s">
        <v>1376</v>
      </c>
      <c r="J21" s="116" t="s">
        <v>1375</v>
      </c>
      <c r="K21" s="491" t="s">
        <v>179</v>
      </c>
      <c r="L21" s="491" t="s">
        <v>1895</v>
      </c>
      <c r="M21" s="492">
        <v>14.0</v>
      </c>
      <c r="N21" s="521" t="s">
        <v>2244</v>
      </c>
      <c r="O21" s="522" t="str">
        <f t="shared" si="6"/>
        <v>EBL1-SL11/14</v>
      </c>
      <c r="P21" s="407"/>
      <c r="Q21" s="115" t="s">
        <v>1363</v>
      </c>
      <c r="R21" s="116" t="s">
        <v>1362</v>
      </c>
      <c r="S21" s="518" t="s">
        <v>249</v>
      </c>
      <c r="T21" s="518" t="s">
        <v>2012</v>
      </c>
      <c r="U21" s="519">
        <v>4.0</v>
      </c>
      <c r="V21" s="501" t="s">
        <v>2233</v>
      </c>
      <c r="W21" s="494" t="str">
        <f t="shared" si="7"/>
        <v>ETL3-SL22/4</v>
      </c>
      <c r="Y21" s="405" t="s">
        <v>947</v>
      </c>
      <c r="Z21" s="439" t="s">
        <v>946</v>
      </c>
      <c r="AA21" s="426" t="s">
        <v>1819</v>
      </c>
      <c r="AC21" s="108" t="s">
        <v>678</v>
      </c>
      <c r="AD21" s="109" t="s">
        <v>677</v>
      </c>
      <c r="AE21" s="426" t="s">
        <v>1816</v>
      </c>
      <c r="AG21" s="124" t="s">
        <v>1817</v>
      </c>
      <c r="AH21" s="40"/>
      <c r="AI21" s="107" t="s">
        <v>1818</v>
      </c>
    </row>
    <row r="22">
      <c r="A22" s="102" t="s">
        <v>1623</v>
      </c>
      <c r="B22" s="103" t="s">
        <v>1622</v>
      </c>
      <c r="C22" s="505" t="s">
        <v>179</v>
      </c>
      <c r="D22" s="505" t="s">
        <v>1895</v>
      </c>
      <c r="E22" s="505">
        <v>5.0</v>
      </c>
      <c r="F22" s="520" t="s">
        <v>2233</v>
      </c>
      <c r="G22" s="406" t="str">
        <f t="shared" si="8"/>
        <v>ETL3-SL11/5</v>
      </c>
      <c r="H22" s="407"/>
      <c r="I22" s="523"/>
      <c r="P22" s="407"/>
      <c r="Q22" s="115" t="s">
        <v>2262</v>
      </c>
      <c r="R22" s="116" t="s">
        <v>1394</v>
      </c>
      <c r="S22" s="518" t="s">
        <v>249</v>
      </c>
      <c r="T22" s="518" t="s">
        <v>2012</v>
      </c>
      <c r="U22" s="519">
        <v>5.0</v>
      </c>
      <c r="V22" s="501" t="s">
        <v>2233</v>
      </c>
      <c r="W22" s="494" t="str">
        <f t="shared" si="7"/>
        <v>ETL3-SL22/5</v>
      </c>
      <c r="Y22" s="524" t="s">
        <v>1820</v>
      </c>
      <c r="Z22" s="525" t="s">
        <v>918</v>
      </c>
      <c r="AA22" s="507"/>
      <c r="AC22" s="108" t="s">
        <v>686</v>
      </c>
      <c r="AD22" s="109" t="s">
        <v>685</v>
      </c>
      <c r="AE22" s="490"/>
      <c r="AG22" s="479"/>
    </row>
    <row r="23">
      <c r="A23" s="102" t="s">
        <v>923</v>
      </c>
      <c r="B23" s="103" t="s">
        <v>922</v>
      </c>
      <c r="C23" s="505" t="s">
        <v>179</v>
      </c>
      <c r="D23" s="505" t="s">
        <v>1895</v>
      </c>
      <c r="E23" s="505">
        <v>6.0</v>
      </c>
      <c r="F23" s="520" t="s">
        <v>2233</v>
      </c>
      <c r="G23" s="406" t="str">
        <f t="shared" si="8"/>
        <v>ETL3-SL11/6</v>
      </c>
      <c r="H23" s="407"/>
      <c r="I23" s="128"/>
      <c r="J23" s="128"/>
      <c r="K23" s="128"/>
      <c r="L23" s="128"/>
      <c r="M23" s="128"/>
      <c r="N23" s="128"/>
      <c r="O23" s="128"/>
      <c r="P23" s="407"/>
      <c r="Q23" s="115" t="s">
        <v>220</v>
      </c>
      <c r="R23" s="116" t="s">
        <v>219</v>
      </c>
      <c r="S23" s="526" t="s">
        <v>66</v>
      </c>
      <c r="T23" s="526" t="s">
        <v>1594</v>
      </c>
      <c r="U23" s="527">
        <v>6.0</v>
      </c>
      <c r="V23" s="511" t="s">
        <v>2254</v>
      </c>
      <c r="W23" s="494" t="str">
        <f t="shared" si="7"/>
        <v>ETR1-SM22/6</v>
      </c>
      <c r="Y23" s="405" t="s">
        <v>1822</v>
      </c>
      <c r="Z23" s="439" t="s">
        <v>1553</v>
      </c>
      <c r="AA23" s="426" t="s">
        <v>1823</v>
      </c>
      <c r="AC23" s="108" t="s">
        <v>742</v>
      </c>
      <c r="AD23" s="109" t="s">
        <v>741</v>
      </c>
      <c r="AE23" s="426" t="s">
        <v>1821</v>
      </c>
      <c r="AG23" s="99"/>
      <c r="AH23" s="99"/>
      <c r="AI23" s="99"/>
    </row>
    <row r="24">
      <c r="A24" s="93" t="s">
        <v>903</v>
      </c>
      <c r="B24" s="106" t="s">
        <v>902</v>
      </c>
      <c r="C24" s="528" t="s">
        <v>249</v>
      </c>
      <c r="D24" s="528" t="s">
        <v>2012</v>
      </c>
      <c r="E24" s="528">
        <v>2.0</v>
      </c>
      <c r="F24" s="520" t="s">
        <v>2233</v>
      </c>
      <c r="G24" s="406" t="str">
        <f t="shared" si="8"/>
        <v>ETL3-SL22/2</v>
      </c>
      <c r="H24" s="407"/>
      <c r="I24" s="128"/>
      <c r="J24" s="128"/>
      <c r="K24" s="128"/>
      <c r="L24" s="128"/>
      <c r="M24" s="128"/>
      <c r="N24" s="128"/>
      <c r="O24" s="128"/>
      <c r="P24" s="407"/>
      <c r="Q24" s="115" t="s">
        <v>304</v>
      </c>
      <c r="R24" s="116" t="s">
        <v>303</v>
      </c>
      <c r="S24" s="518" t="s">
        <v>249</v>
      </c>
      <c r="T24" s="518" t="s">
        <v>2012</v>
      </c>
      <c r="U24" s="519">
        <v>6.0</v>
      </c>
      <c r="V24" s="511" t="s">
        <v>2254</v>
      </c>
      <c r="W24" s="494" t="str">
        <f t="shared" si="7"/>
        <v>ETR1-SL22/6</v>
      </c>
      <c r="Y24" s="524" t="s">
        <v>1824</v>
      </c>
      <c r="Z24" s="525" t="s">
        <v>1517</v>
      </c>
      <c r="AA24" s="507"/>
      <c r="AC24" s="108" t="s">
        <v>666</v>
      </c>
      <c r="AD24" s="109" t="s">
        <v>665</v>
      </c>
      <c r="AE24" s="490"/>
      <c r="AG24" s="99"/>
      <c r="AH24" s="99"/>
      <c r="AI24" s="99"/>
    </row>
    <row r="25">
      <c r="A25" s="93" t="s">
        <v>1367</v>
      </c>
      <c r="B25" s="106" t="s">
        <v>1366</v>
      </c>
      <c r="C25" s="528" t="s">
        <v>249</v>
      </c>
      <c r="D25" s="528" t="s">
        <v>2012</v>
      </c>
      <c r="E25" s="528">
        <v>3.0</v>
      </c>
      <c r="F25" s="520" t="s">
        <v>2233</v>
      </c>
      <c r="G25" s="406" t="str">
        <f t="shared" si="8"/>
        <v>ETL3-SL22/3</v>
      </c>
      <c r="H25" s="407"/>
      <c r="I25" s="529"/>
      <c r="J25" s="529"/>
      <c r="K25" s="529"/>
      <c r="L25" s="529"/>
      <c r="M25" s="529"/>
      <c r="N25" s="529"/>
      <c r="O25" s="529"/>
      <c r="P25" s="407"/>
      <c r="Q25" s="495" t="s">
        <v>1912</v>
      </c>
      <c r="R25" s="496" t="s">
        <v>201</v>
      </c>
      <c r="S25" s="530" t="s">
        <v>22</v>
      </c>
      <c r="T25" s="530" t="s">
        <v>2008</v>
      </c>
      <c r="U25" s="531">
        <v>1.0</v>
      </c>
      <c r="V25" s="504" t="s">
        <v>2254</v>
      </c>
      <c r="W25" s="494" t="str">
        <f t="shared" si="7"/>
        <v>ETR1-SM44/1</v>
      </c>
      <c r="Y25" s="405" t="s">
        <v>650</v>
      </c>
      <c r="Z25" s="439" t="s">
        <v>649</v>
      </c>
      <c r="AA25" s="426" t="s">
        <v>1826</v>
      </c>
      <c r="AC25" s="108" t="s">
        <v>794</v>
      </c>
      <c r="AD25" s="109" t="s">
        <v>793</v>
      </c>
      <c r="AE25" s="426" t="s">
        <v>1825</v>
      </c>
      <c r="AG25" s="99"/>
      <c r="AH25" s="99"/>
      <c r="AI25" s="99"/>
    </row>
    <row r="26">
      <c r="A26" s="93" t="s">
        <v>1363</v>
      </c>
      <c r="B26" s="106" t="s">
        <v>1362</v>
      </c>
      <c r="C26" s="528" t="s">
        <v>249</v>
      </c>
      <c r="D26" s="528" t="s">
        <v>2012</v>
      </c>
      <c r="E26" s="528">
        <v>4.0</v>
      </c>
      <c r="F26" s="520" t="s">
        <v>2233</v>
      </c>
      <c r="G26" s="406" t="str">
        <f t="shared" si="8"/>
        <v>ETL3-SL22/4</v>
      </c>
      <c r="H26" s="407"/>
      <c r="I26" s="529"/>
      <c r="J26" s="529"/>
      <c r="K26" s="529"/>
      <c r="L26" s="529"/>
      <c r="M26" s="529"/>
      <c r="N26" s="529"/>
      <c r="O26" s="529"/>
      <c r="P26" s="407"/>
      <c r="Q26" s="495" t="s">
        <v>1913</v>
      </c>
      <c r="R26" s="496" t="s">
        <v>206</v>
      </c>
      <c r="S26" s="507"/>
      <c r="T26" s="507"/>
      <c r="U26" s="507"/>
      <c r="V26" s="507"/>
      <c r="W26" s="507"/>
      <c r="Y26" s="524" t="s">
        <v>646</v>
      </c>
      <c r="Z26" s="525" t="s">
        <v>645</v>
      </c>
      <c r="AA26" s="532" t="s">
        <v>1826</v>
      </c>
      <c r="AC26" s="108" t="s">
        <v>702</v>
      </c>
      <c r="AD26" s="109" t="s">
        <v>701</v>
      </c>
      <c r="AE26" s="490"/>
      <c r="AG26" s="99"/>
      <c r="AH26" s="99"/>
      <c r="AI26" s="99"/>
    </row>
    <row r="27">
      <c r="A27" s="93" t="s">
        <v>1391</v>
      </c>
      <c r="B27" s="106" t="s">
        <v>1390</v>
      </c>
      <c r="C27" s="528" t="s">
        <v>249</v>
      </c>
      <c r="D27" s="528" t="s">
        <v>2012</v>
      </c>
      <c r="E27" s="528">
        <v>5.0</v>
      </c>
      <c r="F27" s="520" t="s">
        <v>2233</v>
      </c>
      <c r="G27" s="406" t="str">
        <f t="shared" si="8"/>
        <v>ETL3-SL22/5</v>
      </c>
      <c r="H27" s="407"/>
      <c r="I27" s="529"/>
      <c r="J27" s="529"/>
      <c r="K27" s="529"/>
      <c r="L27" s="529"/>
      <c r="M27" s="529"/>
      <c r="N27" s="529"/>
      <c r="O27" s="529"/>
      <c r="P27" s="407"/>
      <c r="Q27" s="495" t="s">
        <v>1914</v>
      </c>
      <c r="R27" s="496" t="s">
        <v>210</v>
      </c>
      <c r="S27" s="490"/>
      <c r="T27" s="490"/>
      <c r="U27" s="490"/>
      <c r="V27" s="490"/>
      <c r="W27" s="507"/>
      <c r="Y27" s="405" t="s">
        <v>642</v>
      </c>
      <c r="Z27" s="439" t="s">
        <v>641</v>
      </c>
      <c r="AA27" s="426" t="s">
        <v>1828</v>
      </c>
      <c r="AC27" s="108" t="s">
        <v>806</v>
      </c>
      <c r="AD27" s="109" t="s">
        <v>805</v>
      </c>
      <c r="AE27" s="426" t="s">
        <v>1827</v>
      </c>
      <c r="AG27" s="99"/>
      <c r="AH27" s="99"/>
      <c r="AI27" s="99"/>
    </row>
    <row r="28">
      <c r="A28" s="93" t="s">
        <v>220</v>
      </c>
      <c r="B28" s="106" t="s">
        <v>219</v>
      </c>
      <c r="C28" s="362" t="s">
        <v>66</v>
      </c>
      <c r="D28" s="362" t="s">
        <v>1594</v>
      </c>
      <c r="E28" s="362">
        <v>6.0</v>
      </c>
      <c r="F28" s="533" t="s">
        <v>2254</v>
      </c>
      <c r="G28" s="406" t="str">
        <f t="shared" si="8"/>
        <v>ETR1-SM22/6</v>
      </c>
      <c r="H28" s="407"/>
      <c r="I28" s="128"/>
      <c r="J28" s="128"/>
      <c r="K28" s="128"/>
      <c r="L28" s="128"/>
      <c r="M28" s="128"/>
      <c r="N28" s="128"/>
      <c r="O28" s="128"/>
      <c r="P28" s="407"/>
      <c r="Q28" s="115" t="s">
        <v>266</v>
      </c>
      <c r="R28" s="116" t="s">
        <v>265</v>
      </c>
      <c r="S28" s="512" t="s">
        <v>249</v>
      </c>
      <c r="T28" s="512" t="s">
        <v>2012</v>
      </c>
      <c r="U28" s="513">
        <v>7.0</v>
      </c>
      <c r="V28" s="516" t="s">
        <v>2269</v>
      </c>
      <c r="W28" s="420" t="str">
        <f>V28&amp;"-"&amp;T28&amp;"/"&amp;U28</f>
        <v>ETR2-SL22/7</v>
      </c>
      <c r="Y28" s="242" t="s">
        <v>654</v>
      </c>
      <c r="Z28" s="445" t="s">
        <v>653</v>
      </c>
      <c r="AA28" s="490"/>
      <c r="AC28" s="108" t="s">
        <v>722</v>
      </c>
      <c r="AD28" s="109" t="s">
        <v>721</v>
      </c>
      <c r="AE28" s="490"/>
      <c r="AG28" s="99"/>
      <c r="AH28" s="99"/>
      <c r="AI28" s="99"/>
    </row>
    <row r="29">
      <c r="A29" s="102" t="s">
        <v>1910</v>
      </c>
      <c r="B29" s="103" t="s">
        <v>191</v>
      </c>
      <c r="C29" s="534" t="s">
        <v>179</v>
      </c>
      <c r="D29" s="534" t="s">
        <v>1895</v>
      </c>
      <c r="E29" s="534">
        <v>7.0</v>
      </c>
      <c r="F29" s="535" t="s">
        <v>2254</v>
      </c>
      <c r="G29" s="406" t="str">
        <f t="shared" si="8"/>
        <v>ETR1-SL11/7</v>
      </c>
      <c r="H29" s="407"/>
      <c r="I29" s="128"/>
      <c r="J29" s="128"/>
      <c r="K29" s="128"/>
      <c r="L29" s="128"/>
      <c r="M29" s="128"/>
      <c r="N29" s="128"/>
      <c r="O29" s="128"/>
      <c r="P29" s="407"/>
      <c r="Q29" s="115" t="s">
        <v>271</v>
      </c>
      <c r="R29" s="116" t="s">
        <v>270</v>
      </c>
      <c r="S29" s="507"/>
      <c r="T29" s="507"/>
      <c r="U29" s="507"/>
      <c r="V29" s="507"/>
      <c r="W29" s="507"/>
      <c r="Y29" s="242" t="s">
        <v>1388</v>
      </c>
      <c r="Z29" s="445" t="s">
        <v>1387</v>
      </c>
      <c r="AA29" s="446" t="s">
        <v>1830</v>
      </c>
      <c r="AC29" s="108" t="s">
        <v>738</v>
      </c>
      <c r="AD29" s="109" t="s">
        <v>737</v>
      </c>
      <c r="AE29" s="426" t="s">
        <v>1829</v>
      </c>
      <c r="AG29" s="99"/>
      <c r="AH29" s="99"/>
      <c r="AI29" s="99"/>
    </row>
    <row r="30">
      <c r="A30" s="102" t="s">
        <v>1911</v>
      </c>
      <c r="B30" s="103" t="s">
        <v>197</v>
      </c>
      <c r="C30" s="507"/>
      <c r="D30" s="507"/>
      <c r="E30" s="507"/>
      <c r="F30" s="507"/>
      <c r="G30" s="507"/>
      <c r="H30" s="407"/>
      <c r="I30" s="128"/>
      <c r="J30" s="128"/>
      <c r="K30" s="128"/>
      <c r="L30" s="128"/>
      <c r="M30" s="128"/>
      <c r="N30" s="128"/>
      <c r="O30" s="128"/>
      <c r="P30" s="407"/>
      <c r="Q30" s="115" t="s">
        <v>275</v>
      </c>
      <c r="R30" s="116" t="s">
        <v>274</v>
      </c>
      <c r="S30" s="507"/>
      <c r="T30" s="507"/>
      <c r="U30" s="507"/>
      <c r="V30" s="507"/>
      <c r="W30" s="507"/>
      <c r="Y30" s="93" t="s">
        <v>834</v>
      </c>
      <c r="Z30" s="123" t="s">
        <v>833</v>
      </c>
      <c r="AA30" s="105" t="s">
        <v>1831</v>
      </c>
      <c r="AC30" s="108" t="s">
        <v>822</v>
      </c>
      <c r="AD30" s="109" t="s">
        <v>821</v>
      </c>
      <c r="AE30" s="490"/>
      <c r="AG30" s="99"/>
      <c r="AH30" s="99"/>
      <c r="AI30" s="99"/>
    </row>
    <row r="31">
      <c r="A31" s="93" t="s">
        <v>241</v>
      </c>
      <c r="B31" s="106" t="s">
        <v>240</v>
      </c>
      <c r="C31" s="507"/>
      <c r="D31" s="507"/>
      <c r="E31" s="507"/>
      <c r="F31" s="507"/>
      <c r="G31" s="507"/>
      <c r="H31" s="407"/>
      <c r="I31" s="128"/>
      <c r="J31" s="128"/>
      <c r="K31" s="128"/>
      <c r="L31" s="128"/>
      <c r="M31" s="128"/>
      <c r="N31" s="128"/>
      <c r="O31" s="128"/>
      <c r="P31" s="407"/>
      <c r="Q31" s="115" t="s">
        <v>279</v>
      </c>
      <c r="R31" s="116" t="s">
        <v>278</v>
      </c>
      <c r="S31" s="507"/>
      <c r="T31" s="507"/>
      <c r="U31" s="507"/>
      <c r="V31" s="507"/>
      <c r="W31" s="507"/>
      <c r="Y31" s="405" t="s">
        <v>842</v>
      </c>
      <c r="Z31" s="439" t="s">
        <v>841</v>
      </c>
      <c r="AA31" s="426" t="s">
        <v>1833</v>
      </c>
      <c r="AC31" s="108" t="s">
        <v>758</v>
      </c>
      <c r="AD31" s="109" t="s">
        <v>757</v>
      </c>
      <c r="AE31" s="426" t="s">
        <v>1832</v>
      </c>
      <c r="AG31" s="99"/>
      <c r="AH31" s="99"/>
      <c r="AI31" s="99"/>
    </row>
    <row r="32">
      <c r="A32" s="93" t="s">
        <v>1924</v>
      </c>
      <c r="B32" s="106" t="s">
        <v>317</v>
      </c>
      <c r="C32" s="490"/>
      <c r="D32" s="490"/>
      <c r="E32" s="490"/>
      <c r="F32" s="490"/>
      <c r="G32" s="507"/>
      <c r="H32" s="407"/>
      <c r="I32" s="128"/>
      <c r="J32" s="128"/>
      <c r="K32" s="128"/>
      <c r="L32" s="128"/>
      <c r="M32" s="128"/>
      <c r="N32" s="128"/>
      <c r="O32" s="128"/>
      <c r="P32" s="407"/>
      <c r="Q32" s="115" t="s">
        <v>283</v>
      </c>
      <c r="R32" s="116" t="s">
        <v>282</v>
      </c>
      <c r="S32" s="490"/>
      <c r="T32" s="490"/>
      <c r="U32" s="490"/>
      <c r="V32" s="490"/>
      <c r="W32" s="507"/>
      <c r="Y32" s="405" t="s">
        <v>886</v>
      </c>
      <c r="Z32" s="439" t="s">
        <v>885</v>
      </c>
      <c r="AA32" s="426" t="s">
        <v>1834</v>
      </c>
      <c r="AC32" s="108" t="s">
        <v>778</v>
      </c>
      <c r="AD32" s="109" t="s">
        <v>777</v>
      </c>
      <c r="AE32" s="490"/>
      <c r="AG32" s="99"/>
      <c r="AH32" s="99"/>
      <c r="AI32" s="99"/>
    </row>
    <row r="33">
      <c r="A33" s="93" t="s">
        <v>1741</v>
      </c>
      <c r="B33" s="106" t="s">
        <v>223</v>
      </c>
      <c r="C33" s="505" t="s">
        <v>179</v>
      </c>
      <c r="D33" s="505" t="s">
        <v>1895</v>
      </c>
      <c r="E33" s="505">
        <v>8.0</v>
      </c>
      <c r="F33" s="533" t="s">
        <v>2254</v>
      </c>
      <c r="G33" s="406" t="str">
        <f t="shared" ref="G33:G34" si="9">F33&amp;"-"&amp;D33&amp;"/"&amp;E33</f>
        <v>ETR1-SL11/8</v>
      </c>
      <c r="H33" s="407"/>
      <c r="I33" s="128"/>
      <c r="J33" s="128"/>
      <c r="K33" s="128"/>
      <c r="L33" s="128"/>
      <c r="M33" s="128"/>
      <c r="N33" s="128"/>
      <c r="O33" s="128"/>
      <c r="P33" s="407"/>
      <c r="Q33" s="115" t="s">
        <v>1942</v>
      </c>
      <c r="R33" s="116" t="s">
        <v>492</v>
      </c>
      <c r="S33" s="518" t="s">
        <v>249</v>
      </c>
      <c r="T33" s="518" t="s">
        <v>2012</v>
      </c>
      <c r="U33" s="519">
        <v>8.0</v>
      </c>
      <c r="V33" s="517" t="s">
        <v>2269</v>
      </c>
      <c r="W33" s="494" t="str">
        <f t="shared" ref="W33:W35" si="10">V33&amp;"-"&amp;T33&amp;"/"&amp;U33</f>
        <v>ETR2-SL22/8</v>
      </c>
      <c r="Y33" s="242" t="s">
        <v>1380</v>
      </c>
      <c r="Z33" s="445" t="s">
        <v>1379</v>
      </c>
      <c r="AA33" s="490"/>
      <c r="AC33" s="108" t="s">
        <v>670</v>
      </c>
      <c r="AD33" s="109" t="s">
        <v>669</v>
      </c>
      <c r="AE33" s="426" t="s">
        <v>1835</v>
      </c>
      <c r="AG33" s="99"/>
      <c r="AH33" s="99"/>
      <c r="AI33" s="99"/>
    </row>
    <row r="34">
      <c r="A34" s="93" t="s">
        <v>228</v>
      </c>
      <c r="B34" s="106" t="s">
        <v>227</v>
      </c>
      <c r="C34" s="534" t="s">
        <v>179</v>
      </c>
      <c r="D34" s="534" t="s">
        <v>1895</v>
      </c>
      <c r="E34" s="534">
        <v>9.0</v>
      </c>
      <c r="F34" s="535" t="s">
        <v>2254</v>
      </c>
      <c r="G34" s="406" t="str">
        <f t="shared" si="9"/>
        <v>ETR1-SL11/9</v>
      </c>
      <c r="H34" s="407"/>
      <c r="I34" s="128"/>
      <c r="J34" s="128"/>
      <c r="K34" s="128"/>
      <c r="L34" s="128"/>
      <c r="M34" s="128"/>
      <c r="N34" s="128"/>
      <c r="O34" s="128"/>
      <c r="P34" s="407"/>
      <c r="Q34" s="115" t="s">
        <v>497</v>
      </c>
      <c r="R34" s="116" t="s">
        <v>496</v>
      </c>
      <c r="S34" s="518" t="s">
        <v>249</v>
      </c>
      <c r="T34" s="518" t="s">
        <v>2012</v>
      </c>
      <c r="U34" s="519">
        <v>9.0</v>
      </c>
      <c r="V34" s="517" t="s">
        <v>2269</v>
      </c>
      <c r="W34" s="494" t="str">
        <f t="shared" si="10"/>
        <v>ETR2-SL22/9</v>
      </c>
      <c r="Y34" s="481"/>
      <c r="AC34" s="108" t="s">
        <v>786</v>
      </c>
      <c r="AD34" s="109" t="s">
        <v>785</v>
      </c>
      <c r="AE34" s="490"/>
      <c r="AG34" s="99"/>
      <c r="AH34" s="99"/>
      <c r="AI34" s="99"/>
    </row>
    <row r="35">
      <c r="A35" s="93" t="s">
        <v>1915</v>
      </c>
      <c r="B35" s="106" t="s">
        <v>214</v>
      </c>
      <c r="C35" s="490"/>
      <c r="D35" s="490"/>
      <c r="E35" s="490"/>
      <c r="F35" s="490"/>
      <c r="G35" s="507"/>
      <c r="H35" s="407"/>
      <c r="I35" s="128"/>
      <c r="J35" s="128"/>
      <c r="K35" s="128"/>
      <c r="L35" s="128"/>
      <c r="M35" s="128"/>
      <c r="N35" s="128"/>
      <c r="O35" s="128"/>
      <c r="P35" s="407"/>
      <c r="Q35" s="115" t="s">
        <v>1918</v>
      </c>
      <c r="R35" s="116" t="s">
        <v>247</v>
      </c>
      <c r="S35" s="512" t="s">
        <v>249</v>
      </c>
      <c r="T35" s="512" t="s">
        <v>2012</v>
      </c>
      <c r="U35" s="513">
        <v>10.0</v>
      </c>
      <c r="V35" s="516" t="s">
        <v>2269</v>
      </c>
      <c r="W35" s="420" t="str">
        <f t="shared" si="10"/>
        <v>ETR2-SL22/10</v>
      </c>
      <c r="Y35" s="97"/>
      <c r="Z35" s="97"/>
      <c r="AA35" s="97"/>
      <c r="AC35" s="108" t="s">
        <v>674</v>
      </c>
      <c r="AD35" s="109" t="s">
        <v>673</v>
      </c>
      <c r="AE35" s="426" t="s">
        <v>1836</v>
      </c>
      <c r="AG35" s="99"/>
      <c r="AH35" s="99"/>
      <c r="AI35" s="99"/>
    </row>
    <row r="36">
      <c r="A36" s="93" t="s">
        <v>232</v>
      </c>
      <c r="B36" s="106" t="s">
        <v>231</v>
      </c>
      <c r="C36" s="505" t="s">
        <v>179</v>
      </c>
      <c r="D36" s="505" t="s">
        <v>1895</v>
      </c>
      <c r="E36" s="505">
        <v>10.0</v>
      </c>
      <c r="F36" s="533" t="s">
        <v>2254</v>
      </c>
      <c r="G36" s="406" t="str">
        <f t="shared" ref="G36:G38" si="11">F36&amp;"-"&amp;D36&amp;"/"&amp;E36</f>
        <v>ETR1-SL11/10</v>
      </c>
      <c r="H36" s="407"/>
      <c r="I36" s="128"/>
      <c r="J36" s="128"/>
      <c r="K36" s="128"/>
      <c r="L36" s="128"/>
      <c r="M36" s="128"/>
      <c r="N36" s="128"/>
      <c r="O36" s="128"/>
      <c r="P36" s="407"/>
      <c r="Q36" s="115" t="s">
        <v>1919</v>
      </c>
      <c r="R36" s="116" t="s">
        <v>253</v>
      </c>
      <c r="S36" s="507"/>
      <c r="T36" s="507"/>
      <c r="U36" s="507"/>
      <c r="V36" s="507"/>
      <c r="W36" s="507"/>
      <c r="Y36" s="536" t="s">
        <v>1807</v>
      </c>
      <c r="Z36" s="118"/>
      <c r="AA36" s="119"/>
      <c r="AC36" s="108" t="s">
        <v>694</v>
      </c>
      <c r="AD36" s="109" t="s">
        <v>693</v>
      </c>
      <c r="AE36" s="490"/>
      <c r="AG36" s="99"/>
      <c r="AH36" s="99"/>
      <c r="AI36" s="99"/>
    </row>
    <row r="37">
      <c r="A37" s="93" t="s">
        <v>304</v>
      </c>
      <c r="B37" s="106" t="s">
        <v>303</v>
      </c>
      <c r="C37" s="528" t="s">
        <v>249</v>
      </c>
      <c r="D37" s="528" t="s">
        <v>2012</v>
      </c>
      <c r="E37" s="528">
        <v>6.0</v>
      </c>
      <c r="F37" s="533" t="s">
        <v>2254</v>
      </c>
      <c r="G37" s="406" t="str">
        <f t="shared" si="11"/>
        <v>ETR1-SL22/6</v>
      </c>
      <c r="H37" s="407"/>
      <c r="I37" s="128"/>
      <c r="J37" s="128"/>
      <c r="K37" s="128"/>
      <c r="L37" s="128"/>
      <c r="M37" s="128"/>
      <c r="N37" s="128"/>
      <c r="O37" s="128"/>
      <c r="P37" s="407"/>
      <c r="Q37" s="115" t="s">
        <v>1920</v>
      </c>
      <c r="R37" s="116" t="s">
        <v>257</v>
      </c>
      <c r="S37" s="507"/>
      <c r="T37" s="507"/>
      <c r="U37" s="507"/>
      <c r="V37" s="507"/>
      <c r="W37" s="507"/>
      <c r="Y37" s="120"/>
      <c r="Z37" s="121"/>
      <c r="AA37" s="122"/>
      <c r="AC37" s="108" t="s">
        <v>802</v>
      </c>
      <c r="AD37" s="109" t="s">
        <v>801</v>
      </c>
      <c r="AE37" s="426" t="s">
        <v>1837</v>
      </c>
      <c r="AG37" s="99"/>
      <c r="AH37" s="99"/>
      <c r="AI37" s="99"/>
    </row>
    <row r="38">
      <c r="A38" s="102" t="s">
        <v>1912</v>
      </c>
      <c r="B38" s="103" t="s">
        <v>201</v>
      </c>
      <c r="C38" s="537" t="s">
        <v>22</v>
      </c>
      <c r="D38" s="537" t="s">
        <v>2008</v>
      </c>
      <c r="E38" s="537">
        <v>1.0</v>
      </c>
      <c r="F38" s="535" t="s">
        <v>2254</v>
      </c>
      <c r="G38" s="406" t="str">
        <f t="shared" si="11"/>
        <v>ETR1-SM44/1</v>
      </c>
      <c r="H38" s="407"/>
      <c r="I38" s="128"/>
      <c r="J38" s="128"/>
      <c r="K38" s="128"/>
      <c r="L38" s="128"/>
      <c r="M38" s="128"/>
      <c r="N38" s="128"/>
      <c r="O38" s="128"/>
      <c r="P38" s="407"/>
      <c r="Q38" s="115" t="s">
        <v>1921</v>
      </c>
      <c r="R38" s="116" t="s">
        <v>261</v>
      </c>
      <c r="S38" s="490"/>
      <c r="T38" s="490"/>
      <c r="U38" s="490"/>
      <c r="V38" s="490"/>
      <c r="W38" s="507"/>
      <c r="Y38" s="97"/>
      <c r="Z38" s="97"/>
      <c r="AA38" s="97"/>
      <c r="AC38" s="108" t="s">
        <v>714</v>
      </c>
      <c r="AD38" s="109" t="s">
        <v>713</v>
      </c>
      <c r="AE38" s="490"/>
      <c r="AG38" s="99"/>
      <c r="AH38" s="99"/>
      <c r="AI38" s="99"/>
      <c r="AK38" s="314"/>
      <c r="AL38" s="314"/>
      <c r="AM38" s="314"/>
      <c r="AN38" s="314"/>
      <c r="AO38" s="314"/>
      <c r="AP38" s="314"/>
    </row>
    <row r="39">
      <c r="A39" s="102" t="s">
        <v>1913</v>
      </c>
      <c r="B39" s="103" t="s">
        <v>206</v>
      </c>
      <c r="C39" s="507"/>
      <c r="D39" s="507"/>
      <c r="E39" s="507"/>
      <c r="F39" s="507"/>
      <c r="G39" s="507"/>
      <c r="H39" s="407"/>
      <c r="I39" s="128"/>
      <c r="J39" s="128"/>
      <c r="K39" s="128"/>
      <c r="L39" s="128"/>
      <c r="M39" s="128"/>
      <c r="N39" s="128"/>
      <c r="O39" s="128"/>
      <c r="P39" s="407"/>
      <c r="Q39" s="115" t="s">
        <v>1908</v>
      </c>
      <c r="R39" s="116" t="s">
        <v>187</v>
      </c>
      <c r="S39" s="526" t="s">
        <v>66</v>
      </c>
      <c r="T39" s="526" t="s">
        <v>1594</v>
      </c>
      <c r="U39" s="527">
        <v>7.0</v>
      </c>
      <c r="V39" s="518" t="s">
        <v>2249</v>
      </c>
      <c r="W39" s="494" t="str">
        <f t="shared" ref="W39:W44" si="12">V39&amp;"-"&amp;T39&amp;"/"&amp;U39</f>
        <v>ETR3-SM22/7</v>
      </c>
      <c r="Y39" s="97"/>
      <c r="Z39" s="97"/>
      <c r="AA39" s="97"/>
      <c r="AC39" s="108" t="s">
        <v>730</v>
      </c>
      <c r="AD39" s="109" t="s">
        <v>729</v>
      </c>
      <c r="AE39" s="426" t="s">
        <v>1838</v>
      </c>
      <c r="AG39" s="99"/>
      <c r="AH39" s="99"/>
      <c r="AI39" s="99"/>
      <c r="AK39" s="314"/>
      <c r="AL39" s="314"/>
      <c r="AM39" s="314"/>
      <c r="AN39" s="314"/>
      <c r="AO39" s="314"/>
      <c r="AP39" s="314"/>
    </row>
    <row r="40">
      <c r="A40" s="102" t="s">
        <v>1914</v>
      </c>
      <c r="B40" s="103" t="s">
        <v>210</v>
      </c>
      <c r="C40" s="490"/>
      <c r="D40" s="490"/>
      <c r="E40" s="490"/>
      <c r="F40" s="490"/>
      <c r="G40" s="507"/>
      <c r="H40" s="407"/>
      <c r="I40" s="128"/>
      <c r="J40" s="128"/>
      <c r="K40" s="128"/>
      <c r="L40" s="128"/>
      <c r="M40" s="128"/>
      <c r="N40" s="128"/>
      <c r="O40" s="128"/>
      <c r="P40" s="407"/>
      <c r="Q40" s="115" t="s">
        <v>1906</v>
      </c>
      <c r="R40" s="116" t="s">
        <v>182</v>
      </c>
      <c r="S40" s="526" t="s">
        <v>66</v>
      </c>
      <c r="T40" s="526" t="s">
        <v>1594</v>
      </c>
      <c r="U40" s="527">
        <v>8.0</v>
      </c>
      <c r="V40" s="518" t="s">
        <v>2249</v>
      </c>
      <c r="W40" s="494" t="str">
        <f t="shared" si="12"/>
        <v>ETR3-SM22/8</v>
      </c>
      <c r="Y40" s="97"/>
      <c r="Z40" s="97"/>
      <c r="AA40" s="97"/>
      <c r="AC40" s="108" t="s">
        <v>814</v>
      </c>
      <c r="AD40" s="109" t="s">
        <v>813</v>
      </c>
      <c r="AE40" s="490"/>
      <c r="AG40" s="99"/>
      <c r="AH40" s="99"/>
      <c r="AI40" s="99"/>
      <c r="AK40" s="314"/>
      <c r="AL40" s="314"/>
      <c r="AM40" s="314"/>
      <c r="AN40" s="314"/>
      <c r="AO40" s="314"/>
      <c r="AP40" s="314"/>
    </row>
    <row r="41">
      <c r="A41" s="93" t="s">
        <v>1988</v>
      </c>
      <c r="B41" s="106" t="s">
        <v>1636</v>
      </c>
      <c r="C41" s="534" t="s">
        <v>179</v>
      </c>
      <c r="D41" s="534" t="s">
        <v>1895</v>
      </c>
      <c r="E41" s="534">
        <v>11.0</v>
      </c>
      <c r="F41" s="538" t="s">
        <v>2269</v>
      </c>
      <c r="G41" s="406" t="str">
        <f>F41&amp;"-"&amp;D41&amp;"/"&amp;E41</f>
        <v>ETR2-SL11/11</v>
      </c>
      <c r="H41" s="407"/>
      <c r="I41" s="128"/>
      <c r="J41" s="128"/>
      <c r="K41" s="128"/>
      <c r="L41" s="128"/>
      <c r="M41" s="128"/>
      <c r="N41" s="128"/>
      <c r="O41" s="128"/>
      <c r="P41" s="407"/>
      <c r="Q41" s="115" t="s">
        <v>1372</v>
      </c>
      <c r="R41" s="116" t="s">
        <v>1371</v>
      </c>
      <c r="S41" s="526" t="s">
        <v>66</v>
      </c>
      <c r="T41" s="526" t="s">
        <v>1594</v>
      </c>
      <c r="U41" s="527">
        <v>9.0</v>
      </c>
      <c r="V41" s="521" t="s">
        <v>2244</v>
      </c>
      <c r="W41" s="494" t="str">
        <f t="shared" si="12"/>
        <v>EBL1-SM22/9</v>
      </c>
      <c r="Y41" s="97"/>
      <c r="Z41" s="97"/>
      <c r="AA41" s="97"/>
      <c r="AC41" s="108" t="s">
        <v>750</v>
      </c>
      <c r="AD41" s="109" t="s">
        <v>749</v>
      </c>
      <c r="AE41" s="426" t="s">
        <v>1839</v>
      </c>
      <c r="AG41" s="99"/>
      <c r="AH41" s="99"/>
      <c r="AI41" s="99"/>
    </row>
    <row r="42">
      <c r="A42" s="93" t="s">
        <v>1989</v>
      </c>
      <c r="B42" s="106" t="s">
        <v>1641</v>
      </c>
      <c r="C42" s="490"/>
      <c r="D42" s="490"/>
      <c r="E42" s="490"/>
      <c r="F42" s="490"/>
      <c r="G42" s="507"/>
      <c r="H42" s="407"/>
      <c r="I42" s="128"/>
      <c r="J42" s="128"/>
      <c r="K42" s="128"/>
      <c r="L42" s="128"/>
      <c r="M42" s="128"/>
      <c r="N42" s="128"/>
      <c r="O42" s="128"/>
      <c r="P42" s="407"/>
      <c r="Q42" s="115" t="s">
        <v>300</v>
      </c>
      <c r="R42" s="116" t="s">
        <v>299</v>
      </c>
      <c r="S42" s="526" t="s">
        <v>66</v>
      </c>
      <c r="T42" s="526" t="s">
        <v>1594</v>
      </c>
      <c r="U42" s="527">
        <v>10.0</v>
      </c>
      <c r="V42" s="539" t="s">
        <v>2274</v>
      </c>
      <c r="W42" s="494" t="str">
        <f t="shared" si="12"/>
        <v>EBR1-SM22/10</v>
      </c>
      <c r="Y42" s="97"/>
      <c r="Z42" s="97"/>
      <c r="AA42" s="97"/>
      <c r="AC42" s="108" t="s">
        <v>762</v>
      </c>
      <c r="AD42" s="109" t="s">
        <v>761</v>
      </c>
      <c r="AE42" s="490"/>
      <c r="AG42" s="99"/>
      <c r="AH42" s="99"/>
      <c r="AI42" s="99"/>
    </row>
    <row r="43">
      <c r="A43" s="93" t="s">
        <v>501</v>
      </c>
      <c r="B43" s="106" t="s">
        <v>500</v>
      </c>
      <c r="C43" s="505" t="s">
        <v>179</v>
      </c>
      <c r="D43" s="505" t="s">
        <v>1895</v>
      </c>
      <c r="E43" s="505">
        <v>12.0</v>
      </c>
      <c r="F43" s="540" t="s">
        <v>2269</v>
      </c>
      <c r="G43" s="406" t="str">
        <f t="shared" ref="G43:G44" si="13">F43&amp;"-"&amp;D43&amp;"/"&amp;E43</f>
        <v>ETR2-SL11/12</v>
      </c>
      <c r="H43" s="407"/>
      <c r="I43" s="128"/>
      <c r="J43" s="128"/>
      <c r="K43" s="128"/>
      <c r="L43" s="128"/>
      <c r="M43" s="128"/>
      <c r="N43" s="128"/>
      <c r="O43" s="128"/>
      <c r="P43" s="407"/>
      <c r="Q43" s="115" t="s">
        <v>1916</v>
      </c>
      <c r="R43" s="116" t="s">
        <v>235</v>
      </c>
      <c r="S43" s="526" t="s">
        <v>66</v>
      </c>
      <c r="T43" s="526" t="s">
        <v>1594</v>
      </c>
      <c r="U43" s="527">
        <v>11.0</v>
      </c>
      <c r="V43" s="539" t="s">
        <v>2274</v>
      </c>
      <c r="W43" s="494" t="str">
        <f t="shared" si="12"/>
        <v>EBR1-SM22/11</v>
      </c>
      <c r="Y43" s="97"/>
      <c r="Z43" s="97"/>
      <c r="AA43" s="97"/>
      <c r="AC43" s="108" t="s">
        <v>770</v>
      </c>
      <c r="AD43" s="109" t="s">
        <v>769</v>
      </c>
      <c r="AE43" s="426" t="s">
        <v>1840</v>
      </c>
      <c r="AG43" s="99"/>
      <c r="AH43" s="99"/>
      <c r="AI43" s="99"/>
    </row>
    <row r="44">
      <c r="A44" s="93" t="s">
        <v>266</v>
      </c>
      <c r="B44" s="106" t="s">
        <v>265</v>
      </c>
      <c r="C44" s="515" t="s">
        <v>249</v>
      </c>
      <c r="D44" s="515" t="s">
        <v>2012</v>
      </c>
      <c r="E44" s="515">
        <v>7.0</v>
      </c>
      <c r="F44" s="538" t="s">
        <v>2269</v>
      </c>
      <c r="G44" s="406" t="str">
        <f t="shared" si="13"/>
        <v>ETR2-SL22/7</v>
      </c>
      <c r="H44" s="407"/>
      <c r="I44" s="128"/>
      <c r="J44" s="128"/>
      <c r="K44" s="128"/>
      <c r="L44" s="128"/>
      <c r="M44" s="128"/>
      <c r="N44" s="128"/>
      <c r="O44" s="128"/>
      <c r="P44" s="407"/>
      <c r="Q44" s="115" t="s">
        <v>287</v>
      </c>
      <c r="R44" s="116" t="s">
        <v>286</v>
      </c>
      <c r="S44" s="530" t="s">
        <v>22</v>
      </c>
      <c r="T44" s="530" t="s">
        <v>2008</v>
      </c>
      <c r="U44" s="531">
        <v>2.0</v>
      </c>
      <c r="V44" s="541" t="s">
        <v>2361</v>
      </c>
      <c r="W44" s="420" t="str">
        <f t="shared" si="12"/>
        <v>EBR2-SM44/2</v>
      </c>
      <c r="Y44" s="97"/>
      <c r="Z44" s="97"/>
      <c r="AA44" s="97"/>
      <c r="AC44" s="108" t="s">
        <v>682</v>
      </c>
      <c r="AD44" s="109" t="s">
        <v>681</v>
      </c>
      <c r="AE44" s="490"/>
      <c r="AG44" s="99"/>
      <c r="AH44" s="99"/>
      <c r="AI44" s="99"/>
    </row>
    <row r="45">
      <c r="A45" s="93" t="s">
        <v>271</v>
      </c>
      <c r="B45" s="106" t="s">
        <v>270</v>
      </c>
      <c r="C45" s="507"/>
      <c r="D45" s="507"/>
      <c r="E45" s="507"/>
      <c r="F45" s="507"/>
      <c r="G45" s="507"/>
      <c r="H45" s="407"/>
      <c r="I45" s="128"/>
      <c r="J45" s="128"/>
      <c r="K45" s="128"/>
      <c r="L45" s="128"/>
      <c r="M45" s="128"/>
      <c r="N45" s="128"/>
      <c r="O45" s="128"/>
      <c r="P45" s="407"/>
      <c r="Q45" s="115" t="s">
        <v>292</v>
      </c>
      <c r="R45" s="116" t="s">
        <v>291</v>
      </c>
      <c r="S45" s="507"/>
      <c r="T45" s="507"/>
      <c r="U45" s="507"/>
      <c r="V45" s="507"/>
      <c r="W45" s="507"/>
      <c r="Y45" s="97"/>
      <c r="Z45" s="97"/>
      <c r="AA45" s="97"/>
      <c r="AC45" s="108" t="s">
        <v>874</v>
      </c>
      <c r="AD45" s="109" t="s">
        <v>873</v>
      </c>
      <c r="AE45" s="426" t="s">
        <v>1841</v>
      </c>
      <c r="AG45" s="99"/>
      <c r="AH45" s="99"/>
      <c r="AI45" s="99"/>
    </row>
    <row r="46">
      <c r="A46" s="93" t="s">
        <v>275</v>
      </c>
      <c r="B46" s="106" t="s">
        <v>274</v>
      </c>
      <c r="C46" s="507"/>
      <c r="D46" s="507"/>
      <c r="E46" s="507"/>
      <c r="F46" s="507"/>
      <c r="G46" s="507"/>
      <c r="H46" s="407"/>
      <c r="I46" s="128"/>
      <c r="J46" s="128"/>
      <c r="K46" s="128"/>
      <c r="L46" s="128"/>
      <c r="M46" s="128"/>
      <c r="N46" s="128"/>
      <c r="O46" s="128"/>
      <c r="P46" s="407"/>
      <c r="Q46" s="115" t="s">
        <v>296</v>
      </c>
      <c r="R46" s="116" t="s">
        <v>295</v>
      </c>
      <c r="S46" s="507"/>
      <c r="T46" s="507"/>
      <c r="U46" s="507"/>
      <c r="V46" s="507"/>
      <c r="W46" s="507"/>
      <c r="Y46" s="97"/>
      <c r="Z46" s="97"/>
      <c r="AA46" s="97"/>
      <c r="AC46" s="108" t="s">
        <v>878</v>
      </c>
      <c r="AD46" s="109" t="s">
        <v>877</v>
      </c>
      <c r="AE46" s="507"/>
      <c r="AG46" s="99"/>
      <c r="AH46" s="99"/>
      <c r="AI46" s="99"/>
    </row>
    <row r="47">
      <c r="A47" s="93" t="s">
        <v>279</v>
      </c>
      <c r="B47" s="106" t="s">
        <v>278</v>
      </c>
      <c r="C47" s="507"/>
      <c r="D47" s="507"/>
      <c r="E47" s="507"/>
      <c r="F47" s="507"/>
      <c r="G47" s="507"/>
      <c r="H47" s="407"/>
      <c r="I47" s="128"/>
      <c r="J47" s="128"/>
      <c r="K47" s="128"/>
      <c r="L47" s="128"/>
      <c r="M47" s="128"/>
      <c r="N47" s="128"/>
      <c r="O47" s="128"/>
      <c r="P47" s="407"/>
      <c r="Q47" s="115" t="s">
        <v>509</v>
      </c>
      <c r="R47" s="116" t="s">
        <v>508</v>
      </c>
      <c r="S47" s="507"/>
      <c r="T47" s="507"/>
      <c r="U47" s="507"/>
      <c r="V47" s="507"/>
      <c r="W47" s="507"/>
      <c r="Y47" s="97"/>
      <c r="Z47" s="97"/>
      <c r="AA47" s="97"/>
      <c r="AC47" s="108" t="s">
        <v>882</v>
      </c>
      <c r="AD47" s="109" t="s">
        <v>881</v>
      </c>
      <c r="AE47" s="490"/>
      <c r="AG47" s="99"/>
      <c r="AH47" s="99"/>
      <c r="AI47" s="99"/>
    </row>
    <row r="48">
      <c r="A48" s="93" t="s">
        <v>283</v>
      </c>
      <c r="B48" s="106" t="s">
        <v>282</v>
      </c>
      <c r="C48" s="490"/>
      <c r="D48" s="490"/>
      <c r="E48" s="490"/>
      <c r="F48" s="490"/>
      <c r="G48" s="507"/>
      <c r="H48" s="407"/>
      <c r="I48" s="128"/>
      <c r="J48" s="128"/>
      <c r="K48" s="128"/>
      <c r="L48" s="128"/>
      <c r="M48" s="128"/>
      <c r="N48" s="128"/>
      <c r="O48" s="128"/>
      <c r="P48" s="407"/>
      <c r="Q48" s="115" t="s">
        <v>513</v>
      </c>
      <c r="R48" s="116" t="s">
        <v>512</v>
      </c>
      <c r="S48" s="507"/>
      <c r="T48" s="507"/>
      <c r="U48" s="507"/>
      <c r="V48" s="507"/>
      <c r="W48" s="507"/>
      <c r="Y48" s="97"/>
      <c r="Z48" s="97"/>
      <c r="AA48" s="97"/>
      <c r="AC48" s="108" t="s">
        <v>590</v>
      </c>
      <c r="AD48" s="109" t="s">
        <v>589</v>
      </c>
      <c r="AE48" s="426" t="s">
        <v>1842</v>
      </c>
      <c r="AG48" s="99"/>
      <c r="AH48" s="99"/>
      <c r="AI48" s="99"/>
    </row>
    <row r="49" ht="18.0" customHeight="1">
      <c r="A49" s="93" t="s">
        <v>1942</v>
      </c>
      <c r="B49" s="106" t="s">
        <v>492</v>
      </c>
      <c r="C49" s="528" t="s">
        <v>249</v>
      </c>
      <c r="D49" s="528" t="s">
        <v>2012</v>
      </c>
      <c r="E49" s="528">
        <v>8.0</v>
      </c>
      <c r="F49" s="540" t="s">
        <v>2269</v>
      </c>
      <c r="G49" s="406" t="str">
        <f t="shared" ref="G49:G51" si="14">F49&amp;"-"&amp;D49&amp;"/"&amp;E49</f>
        <v>ETR2-SL22/8</v>
      </c>
      <c r="H49" s="407"/>
      <c r="I49" s="128"/>
      <c r="J49" s="128"/>
      <c r="K49" s="128"/>
      <c r="L49" s="128"/>
      <c r="M49" s="128"/>
      <c r="N49" s="128"/>
      <c r="O49" s="128"/>
      <c r="P49" s="407"/>
      <c r="Q49" s="115" t="s">
        <v>505</v>
      </c>
      <c r="R49" s="116" t="s">
        <v>504</v>
      </c>
      <c r="S49" s="490"/>
      <c r="T49" s="490"/>
      <c r="U49" s="490"/>
      <c r="V49" s="490"/>
      <c r="W49" s="490"/>
      <c r="Y49" s="97"/>
      <c r="Z49" s="97"/>
      <c r="AA49" s="97"/>
      <c r="AC49" s="108" t="s">
        <v>594</v>
      </c>
      <c r="AD49" s="109" t="s">
        <v>593</v>
      </c>
      <c r="AE49" s="490"/>
      <c r="AG49" s="99"/>
      <c r="AH49" s="99"/>
      <c r="AI49" s="99"/>
    </row>
    <row r="50">
      <c r="A50" s="93" t="s">
        <v>497</v>
      </c>
      <c r="B50" s="106" t="s">
        <v>496</v>
      </c>
      <c r="C50" s="528" t="s">
        <v>249</v>
      </c>
      <c r="D50" s="528" t="s">
        <v>2012</v>
      </c>
      <c r="E50" s="528">
        <v>9.0</v>
      </c>
      <c r="F50" s="540" t="s">
        <v>2269</v>
      </c>
      <c r="G50" s="406" t="str">
        <f t="shared" si="14"/>
        <v>ETR2-SL22/9</v>
      </c>
      <c r="H50" s="407"/>
      <c r="P50" s="407"/>
      <c r="Q50" s="542"/>
      <c r="Y50" s="97"/>
      <c r="Z50" s="97"/>
      <c r="AA50" s="97"/>
      <c r="AC50" s="108" t="s">
        <v>630</v>
      </c>
      <c r="AD50" s="109" t="s">
        <v>629</v>
      </c>
      <c r="AE50" s="426" t="s">
        <v>1843</v>
      </c>
      <c r="AG50" s="99"/>
      <c r="AH50" s="99"/>
      <c r="AI50" s="99"/>
    </row>
    <row r="51">
      <c r="A51" s="93" t="s">
        <v>1918</v>
      </c>
      <c r="B51" s="106" t="s">
        <v>247</v>
      </c>
      <c r="C51" s="515" t="s">
        <v>249</v>
      </c>
      <c r="D51" s="515" t="s">
        <v>2012</v>
      </c>
      <c r="E51" s="515">
        <v>10.0</v>
      </c>
      <c r="F51" s="538" t="s">
        <v>2269</v>
      </c>
      <c r="G51" s="406" t="str">
        <f t="shared" si="14"/>
        <v>ETR2-SL22/10</v>
      </c>
      <c r="H51" s="407"/>
      <c r="P51" s="407"/>
      <c r="Y51" s="97"/>
      <c r="Z51" s="97"/>
      <c r="AA51" s="97"/>
      <c r="AC51" s="108" t="s">
        <v>634</v>
      </c>
      <c r="AD51" s="109" t="s">
        <v>633</v>
      </c>
      <c r="AE51" s="490"/>
      <c r="AG51" s="99"/>
      <c r="AH51" s="99"/>
      <c r="AI51" s="99"/>
    </row>
    <row r="52">
      <c r="A52" s="93" t="s">
        <v>1919</v>
      </c>
      <c r="B52" s="106" t="s">
        <v>253</v>
      </c>
      <c r="C52" s="507"/>
      <c r="D52" s="507"/>
      <c r="E52" s="507"/>
      <c r="F52" s="507"/>
      <c r="G52" s="507"/>
      <c r="H52" s="407"/>
      <c r="P52" s="407"/>
      <c r="Y52" s="97"/>
      <c r="Z52" s="97"/>
      <c r="AA52" s="97"/>
      <c r="AC52" s="108" t="s">
        <v>522</v>
      </c>
      <c r="AD52" s="109" t="s">
        <v>521</v>
      </c>
      <c r="AE52" s="426" t="s">
        <v>1844</v>
      </c>
      <c r="AG52" s="99"/>
      <c r="AH52" s="99"/>
      <c r="AI52" s="99"/>
    </row>
    <row r="53">
      <c r="A53" s="93" t="s">
        <v>1920</v>
      </c>
      <c r="B53" s="106" t="s">
        <v>257</v>
      </c>
      <c r="C53" s="507"/>
      <c r="D53" s="507"/>
      <c r="E53" s="507"/>
      <c r="F53" s="507"/>
      <c r="G53" s="507"/>
      <c r="H53" s="407"/>
      <c r="P53" s="407"/>
      <c r="Y53" s="97"/>
      <c r="Z53" s="97"/>
      <c r="AA53" s="97"/>
      <c r="AC53" s="108" t="s">
        <v>517</v>
      </c>
      <c r="AD53" s="109" t="s">
        <v>516</v>
      </c>
      <c r="AE53" s="490"/>
      <c r="AG53" s="99"/>
      <c r="AH53" s="99"/>
      <c r="AI53" s="99"/>
    </row>
    <row r="54">
      <c r="A54" s="93" t="s">
        <v>1921</v>
      </c>
      <c r="B54" s="106" t="s">
        <v>261</v>
      </c>
      <c r="C54" s="490"/>
      <c r="D54" s="490"/>
      <c r="E54" s="490"/>
      <c r="F54" s="490"/>
      <c r="G54" s="507"/>
      <c r="H54" s="407"/>
      <c r="P54" s="407"/>
      <c r="Y54" s="97"/>
      <c r="Z54" s="97"/>
      <c r="AA54" s="97"/>
      <c r="AC54" s="108" t="s">
        <v>530</v>
      </c>
      <c r="AD54" s="109" t="s">
        <v>529</v>
      </c>
      <c r="AE54" s="426" t="s">
        <v>1845</v>
      </c>
      <c r="AG54" s="99"/>
      <c r="AH54" s="99"/>
      <c r="AI54" s="99"/>
    </row>
    <row r="55">
      <c r="A55" s="93" t="s">
        <v>1908</v>
      </c>
      <c r="B55" s="106" t="s">
        <v>187</v>
      </c>
      <c r="C55" s="362" t="s">
        <v>66</v>
      </c>
      <c r="D55" s="362" t="s">
        <v>1594</v>
      </c>
      <c r="E55" s="362">
        <v>7.0</v>
      </c>
      <c r="F55" s="528" t="s">
        <v>2249</v>
      </c>
      <c r="G55" s="406" t="str">
        <f t="shared" ref="G55:G62" si="15">F55&amp;"-"&amp;D55&amp;"/"&amp;E55</f>
        <v>ETR3-SM22/7</v>
      </c>
      <c r="H55" s="407"/>
      <c r="P55" s="407"/>
      <c r="Y55" s="97"/>
      <c r="Z55" s="97"/>
      <c r="AA55" s="97"/>
      <c r="AC55" s="108" t="s">
        <v>526</v>
      </c>
      <c r="AD55" s="109" t="s">
        <v>525</v>
      </c>
      <c r="AE55" s="490"/>
      <c r="AG55" s="99"/>
      <c r="AH55" s="99"/>
      <c r="AI55" s="99"/>
    </row>
    <row r="56">
      <c r="A56" s="93" t="s">
        <v>1906</v>
      </c>
      <c r="B56" s="106" t="s">
        <v>182</v>
      </c>
      <c r="C56" s="362" t="s">
        <v>66</v>
      </c>
      <c r="D56" s="362" t="s">
        <v>1594</v>
      </c>
      <c r="E56" s="362">
        <v>8.0</v>
      </c>
      <c r="F56" s="528" t="s">
        <v>2249</v>
      </c>
      <c r="G56" s="406" t="str">
        <f t="shared" si="15"/>
        <v>ETR3-SM22/8</v>
      </c>
      <c r="H56" s="407"/>
      <c r="P56" s="407"/>
      <c r="Y56" s="97"/>
      <c r="Z56" s="97"/>
      <c r="AA56" s="97"/>
      <c r="AC56" s="108" t="s">
        <v>566</v>
      </c>
      <c r="AD56" s="109" t="s">
        <v>565</v>
      </c>
      <c r="AE56" s="426" t="s">
        <v>1846</v>
      </c>
      <c r="AG56" s="99"/>
      <c r="AH56" s="99"/>
      <c r="AI56" s="99"/>
    </row>
    <row r="57">
      <c r="A57" s="93" t="s">
        <v>176</v>
      </c>
      <c r="B57" s="106" t="s">
        <v>175</v>
      </c>
      <c r="C57" s="505" t="s">
        <v>179</v>
      </c>
      <c r="D57" s="505" t="s">
        <v>1895</v>
      </c>
      <c r="E57" s="505">
        <v>13.0</v>
      </c>
      <c r="F57" s="528" t="s">
        <v>2249</v>
      </c>
      <c r="G57" s="406" t="str">
        <f t="shared" si="15"/>
        <v>ETR3-SL11/13</v>
      </c>
      <c r="H57" s="407"/>
      <c r="P57" s="407"/>
      <c r="Y57" s="97"/>
      <c r="Z57" s="97"/>
      <c r="AA57" s="97"/>
      <c r="AC57" s="108" t="s">
        <v>574</v>
      </c>
      <c r="AD57" s="109" t="s">
        <v>573</v>
      </c>
      <c r="AE57" s="490"/>
      <c r="AG57" s="99"/>
      <c r="AH57" s="99"/>
      <c r="AI57" s="99"/>
    </row>
    <row r="58">
      <c r="A58" s="93" t="s">
        <v>1372</v>
      </c>
      <c r="B58" s="106" t="s">
        <v>1371</v>
      </c>
      <c r="C58" s="362" t="s">
        <v>66</v>
      </c>
      <c r="D58" s="362" t="s">
        <v>1594</v>
      </c>
      <c r="E58" s="362">
        <v>9.0</v>
      </c>
      <c r="F58" s="543" t="s">
        <v>2244</v>
      </c>
      <c r="G58" s="406" t="str">
        <f t="shared" si="15"/>
        <v>EBL1-SM22/9</v>
      </c>
      <c r="H58" s="407"/>
      <c r="P58" s="407"/>
      <c r="Y58" s="97"/>
      <c r="Z58" s="97"/>
      <c r="AA58" s="97"/>
      <c r="AC58" s="108" t="s">
        <v>870</v>
      </c>
      <c r="AD58" s="109" t="s">
        <v>869</v>
      </c>
      <c r="AE58" s="426" t="s">
        <v>1847</v>
      </c>
      <c r="AG58" s="99"/>
      <c r="AH58" s="99"/>
      <c r="AI58" s="99"/>
    </row>
    <row r="59">
      <c r="A59" s="93" t="s">
        <v>1376</v>
      </c>
      <c r="B59" s="106" t="s">
        <v>1375</v>
      </c>
      <c r="C59" s="505" t="s">
        <v>179</v>
      </c>
      <c r="D59" s="505" t="s">
        <v>1895</v>
      </c>
      <c r="E59" s="505">
        <v>14.0</v>
      </c>
      <c r="F59" s="543" t="s">
        <v>2244</v>
      </c>
      <c r="G59" s="406" t="str">
        <f t="shared" si="15"/>
        <v>EBL1-SL11/14</v>
      </c>
      <c r="H59" s="407"/>
      <c r="P59" s="407"/>
      <c r="Y59" s="97"/>
      <c r="Z59" s="97"/>
      <c r="AA59" s="97"/>
      <c r="AC59" s="108" t="s">
        <v>850</v>
      </c>
      <c r="AD59" s="109" t="s">
        <v>849</v>
      </c>
      <c r="AE59" s="490"/>
      <c r="AG59" s="99"/>
      <c r="AH59" s="99"/>
      <c r="AI59" s="99"/>
    </row>
    <row r="60">
      <c r="A60" s="93" t="s">
        <v>300</v>
      </c>
      <c r="B60" s="106" t="s">
        <v>299</v>
      </c>
      <c r="C60" s="362" t="s">
        <v>66</v>
      </c>
      <c r="D60" s="362" t="s">
        <v>1594</v>
      </c>
      <c r="E60" s="362">
        <v>10.0</v>
      </c>
      <c r="F60" s="544" t="s">
        <v>2274</v>
      </c>
      <c r="G60" s="406" t="str">
        <f t="shared" si="15"/>
        <v>EBR1-SM22/10</v>
      </c>
      <c r="H60" s="407"/>
      <c r="P60" s="407"/>
      <c r="Y60" s="97"/>
      <c r="Z60" s="97"/>
      <c r="AA60" s="97"/>
      <c r="AC60" s="108" t="s">
        <v>854</v>
      </c>
      <c r="AD60" s="109" t="s">
        <v>853</v>
      </c>
      <c r="AE60" s="426" t="s">
        <v>1848</v>
      </c>
      <c r="AG60" s="99"/>
      <c r="AH60" s="99"/>
      <c r="AI60" s="99"/>
    </row>
    <row r="61">
      <c r="A61" s="93" t="s">
        <v>1916</v>
      </c>
      <c r="B61" s="106" t="s">
        <v>235</v>
      </c>
      <c r="C61" s="362" t="s">
        <v>66</v>
      </c>
      <c r="D61" s="362" t="s">
        <v>1594</v>
      </c>
      <c r="E61" s="362">
        <v>11.0</v>
      </c>
      <c r="F61" s="544" t="s">
        <v>2274</v>
      </c>
      <c r="G61" s="406" t="str">
        <f t="shared" si="15"/>
        <v>EBR1-SM22/11</v>
      </c>
      <c r="H61" s="407"/>
      <c r="P61" s="407"/>
      <c r="Y61" s="97"/>
      <c r="Z61" s="97"/>
      <c r="AA61" s="97"/>
      <c r="AC61" s="108" t="s">
        <v>858</v>
      </c>
      <c r="AD61" s="109" t="s">
        <v>857</v>
      </c>
      <c r="AE61" s="507"/>
      <c r="AG61" s="99"/>
      <c r="AH61" s="99"/>
      <c r="AI61" s="99"/>
    </row>
    <row r="62">
      <c r="A62" s="93" t="s">
        <v>287</v>
      </c>
      <c r="B62" s="106" t="s">
        <v>286</v>
      </c>
      <c r="C62" s="537" t="s">
        <v>22</v>
      </c>
      <c r="D62" s="537" t="s">
        <v>2008</v>
      </c>
      <c r="E62" s="537">
        <v>2.0</v>
      </c>
      <c r="F62" s="545" t="s">
        <v>2361</v>
      </c>
      <c r="G62" s="406" t="str">
        <f t="shared" si="15"/>
        <v>EBR2-SM44/2</v>
      </c>
      <c r="H62" s="407"/>
      <c r="P62" s="407"/>
      <c r="Y62" s="97"/>
      <c r="Z62" s="97"/>
      <c r="AA62" s="97"/>
      <c r="AC62" s="108" t="s">
        <v>862</v>
      </c>
      <c r="AD62" s="109" t="s">
        <v>861</v>
      </c>
      <c r="AE62" s="490"/>
      <c r="AG62" s="99"/>
      <c r="AH62" s="99"/>
      <c r="AI62" s="99"/>
    </row>
    <row r="63">
      <c r="A63" s="93" t="s">
        <v>292</v>
      </c>
      <c r="B63" s="106" t="s">
        <v>291</v>
      </c>
      <c r="C63" s="507"/>
      <c r="D63" s="507"/>
      <c r="E63" s="507"/>
      <c r="F63" s="507"/>
      <c r="G63" s="507"/>
      <c r="H63" s="407"/>
      <c r="P63" s="407"/>
      <c r="Y63" s="97"/>
      <c r="Z63" s="97"/>
      <c r="AA63" s="97"/>
      <c r="AC63" s="108" t="s">
        <v>866</v>
      </c>
      <c r="AD63" s="109" t="s">
        <v>865</v>
      </c>
      <c r="AE63" s="105" t="s">
        <v>1849</v>
      </c>
      <c r="AG63" s="99"/>
      <c r="AH63" s="99"/>
      <c r="AI63" s="99"/>
    </row>
    <row r="64">
      <c r="A64" s="93" t="s">
        <v>296</v>
      </c>
      <c r="B64" s="106" t="s">
        <v>295</v>
      </c>
      <c r="C64" s="507"/>
      <c r="D64" s="507"/>
      <c r="E64" s="507"/>
      <c r="F64" s="507"/>
      <c r="G64" s="507"/>
      <c r="H64" s="407"/>
      <c r="P64" s="407"/>
      <c r="Y64" s="97"/>
      <c r="Z64" s="97"/>
      <c r="AA64" s="97"/>
      <c r="AC64" s="108" t="s">
        <v>534</v>
      </c>
      <c r="AD64" s="109" t="s">
        <v>533</v>
      </c>
      <c r="AE64" s="426" t="s">
        <v>1850</v>
      </c>
      <c r="AG64" s="99"/>
      <c r="AH64" s="99"/>
      <c r="AI64" s="99"/>
    </row>
    <row r="65">
      <c r="A65" s="93" t="s">
        <v>509</v>
      </c>
      <c r="B65" s="106" t="s">
        <v>508</v>
      </c>
      <c r="C65" s="507"/>
      <c r="D65" s="507"/>
      <c r="E65" s="507"/>
      <c r="F65" s="507"/>
      <c r="G65" s="507"/>
      <c r="H65" s="407"/>
      <c r="P65" s="407"/>
      <c r="Y65" s="97"/>
      <c r="Z65" s="97"/>
      <c r="AA65" s="97"/>
      <c r="AC65" s="108" t="s">
        <v>550</v>
      </c>
      <c r="AD65" s="109" t="s">
        <v>549</v>
      </c>
      <c r="AE65" s="490"/>
      <c r="AG65" s="99"/>
      <c r="AH65" s="99"/>
      <c r="AI65" s="99"/>
    </row>
    <row r="66">
      <c r="A66" s="93" t="s">
        <v>513</v>
      </c>
      <c r="B66" s="106" t="s">
        <v>512</v>
      </c>
      <c r="C66" s="507"/>
      <c r="D66" s="507"/>
      <c r="E66" s="507"/>
      <c r="F66" s="507"/>
      <c r="G66" s="507"/>
      <c r="H66" s="407"/>
      <c r="P66" s="407"/>
      <c r="Y66" s="97"/>
      <c r="Z66" s="97"/>
      <c r="AA66" s="97"/>
      <c r="AC66" s="108" t="s">
        <v>570</v>
      </c>
      <c r="AD66" s="109" t="s">
        <v>569</v>
      </c>
      <c r="AE66" s="426" t="s">
        <v>1851</v>
      </c>
      <c r="AG66" s="99"/>
      <c r="AH66" s="99"/>
      <c r="AI66" s="99"/>
    </row>
    <row r="67">
      <c r="A67" s="93" t="s">
        <v>505</v>
      </c>
      <c r="B67" s="106" t="s">
        <v>504</v>
      </c>
      <c r="C67" s="490"/>
      <c r="D67" s="490"/>
      <c r="E67" s="490"/>
      <c r="F67" s="490"/>
      <c r="G67" s="507"/>
      <c r="H67" s="407"/>
      <c r="P67" s="407"/>
      <c r="Y67" s="97"/>
      <c r="Z67" s="97"/>
      <c r="AA67" s="97"/>
      <c r="AC67" s="108" t="s">
        <v>538</v>
      </c>
      <c r="AD67" s="109" t="s">
        <v>537</v>
      </c>
      <c r="AE67" s="490"/>
      <c r="AG67" s="99"/>
      <c r="AH67" s="99"/>
      <c r="AI67" s="99"/>
    </row>
    <row r="68">
      <c r="A68" s="93" t="s">
        <v>1627</v>
      </c>
      <c r="B68" s="11" t="s">
        <v>1626</v>
      </c>
      <c r="C68" s="546" t="s">
        <v>110</v>
      </c>
      <c r="D68" s="546" t="s">
        <v>1960</v>
      </c>
      <c r="E68" s="546">
        <v>1.0</v>
      </c>
      <c r="F68" s="546" t="s">
        <v>2261</v>
      </c>
      <c r="G68" s="406" t="str">
        <f>F68&amp;"-"&amp;D68&amp;"/"&amp;E68</f>
        <v>EBC-NV/1</v>
      </c>
      <c r="H68" s="407"/>
      <c r="P68" s="407"/>
      <c r="Y68" s="97"/>
      <c r="Z68" s="97"/>
      <c r="AA68" s="97"/>
      <c r="AC68" s="108" t="s">
        <v>554</v>
      </c>
      <c r="AD68" s="109" t="s">
        <v>553</v>
      </c>
      <c r="AE68" s="426" t="s">
        <v>1852</v>
      </c>
      <c r="AG68" s="99"/>
      <c r="AH68" s="99"/>
      <c r="AI68" s="99"/>
    </row>
    <row r="69">
      <c r="A69" s="93" t="s">
        <v>1633</v>
      </c>
      <c r="B69" s="11" t="s">
        <v>1632</v>
      </c>
      <c r="C69" s="507"/>
      <c r="D69" s="507"/>
      <c r="E69" s="507"/>
      <c r="F69" s="507"/>
      <c r="G69" s="507"/>
      <c r="H69" s="407"/>
      <c r="P69" s="407"/>
      <c r="Y69" s="97"/>
      <c r="Z69" s="97"/>
      <c r="AA69" s="97"/>
      <c r="AC69" s="108" t="s">
        <v>578</v>
      </c>
      <c r="AD69" s="109" t="s">
        <v>577</v>
      </c>
      <c r="AE69" s="490"/>
      <c r="AG69" s="99"/>
      <c r="AH69" s="99"/>
      <c r="AI69" s="99"/>
    </row>
    <row r="70">
      <c r="A70" s="93" t="s">
        <v>1658</v>
      </c>
      <c r="B70" s="11" t="s">
        <v>1657</v>
      </c>
      <c r="C70" s="507"/>
      <c r="D70" s="507"/>
      <c r="E70" s="507"/>
      <c r="F70" s="507"/>
      <c r="G70" s="507"/>
      <c r="H70" s="407"/>
      <c r="P70" s="407"/>
      <c r="Y70" s="97"/>
      <c r="Z70" s="97"/>
      <c r="AA70" s="97"/>
      <c r="AC70" s="108" t="s">
        <v>542</v>
      </c>
      <c r="AD70" s="109" t="s">
        <v>541</v>
      </c>
      <c r="AE70" s="426" t="s">
        <v>1853</v>
      </c>
      <c r="AG70" s="99"/>
      <c r="AH70" s="99"/>
      <c r="AI70" s="99"/>
    </row>
    <row r="71">
      <c r="A71" s="93" t="s">
        <v>1666</v>
      </c>
      <c r="B71" s="11" t="s">
        <v>1665</v>
      </c>
      <c r="C71" s="507"/>
      <c r="D71" s="507"/>
      <c r="E71" s="507"/>
      <c r="F71" s="507"/>
      <c r="G71" s="507"/>
      <c r="H71" s="407"/>
      <c r="P71" s="407"/>
      <c r="Y71" s="97"/>
      <c r="Z71" s="97"/>
      <c r="AA71" s="97"/>
      <c r="AC71" s="108" t="s">
        <v>558</v>
      </c>
      <c r="AD71" s="109" t="s">
        <v>557</v>
      </c>
      <c r="AE71" s="490"/>
      <c r="AG71" s="99"/>
      <c r="AH71" s="99"/>
      <c r="AI71" s="99"/>
    </row>
    <row r="72">
      <c r="A72" s="93" t="s">
        <v>1674</v>
      </c>
      <c r="B72" s="11" t="s">
        <v>1673</v>
      </c>
      <c r="C72" s="507"/>
      <c r="D72" s="507"/>
      <c r="E72" s="507"/>
      <c r="F72" s="507"/>
      <c r="G72" s="507"/>
      <c r="H72" s="407"/>
      <c r="P72" s="407"/>
      <c r="Y72" s="97"/>
      <c r="Z72" s="97"/>
      <c r="AA72" s="97"/>
      <c r="AC72" s="108" t="s">
        <v>582</v>
      </c>
      <c r="AD72" s="109" t="s">
        <v>581</v>
      </c>
      <c r="AE72" s="426" t="s">
        <v>1854</v>
      </c>
      <c r="AG72" s="99"/>
      <c r="AH72" s="99"/>
      <c r="AI72" s="99"/>
    </row>
    <row r="73">
      <c r="A73" s="93" t="s">
        <v>1678</v>
      </c>
      <c r="B73" s="11" t="s">
        <v>1677</v>
      </c>
      <c r="C73" s="507"/>
      <c r="D73" s="507"/>
      <c r="E73" s="507"/>
      <c r="F73" s="507"/>
      <c r="G73" s="507"/>
      <c r="H73" s="407"/>
      <c r="P73" s="407"/>
      <c r="Y73" s="97"/>
      <c r="Z73" s="97"/>
      <c r="AA73" s="97"/>
      <c r="AC73" s="108" t="s">
        <v>546</v>
      </c>
      <c r="AD73" s="109" t="s">
        <v>545</v>
      </c>
      <c r="AE73" s="490"/>
      <c r="AG73" s="99"/>
      <c r="AH73" s="99"/>
      <c r="AI73" s="99"/>
    </row>
    <row r="74">
      <c r="A74" s="93" t="s">
        <v>1633</v>
      </c>
      <c r="B74" s="11" t="s">
        <v>1632</v>
      </c>
      <c r="C74" s="507"/>
      <c r="D74" s="507"/>
      <c r="E74" s="507"/>
      <c r="F74" s="507"/>
      <c r="G74" s="507"/>
      <c r="H74" s="407"/>
      <c r="P74" s="407"/>
      <c r="Y74" s="97"/>
      <c r="Z74" s="97"/>
      <c r="AA74" s="97"/>
      <c r="AC74" s="108" t="s">
        <v>562</v>
      </c>
      <c r="AD74" s="109" t="s">
        <v>561</v>
      </c>
      <c r="AE74" s="105" t="s">
        <v>1855</v>
      </c>
      <c r="AG74" s="99"/>
      <c r="AH74" s="99"/>
      <c r="AI74" s="99"/>
    </row>
    <row r="75">
      <c r="A75" s="115" t="s">
        <v>1646</v>
      </c>
      <c r="B75" s="412" t="s">
        <v>1645</v>
      </c>
      <c r="C75" s="507"/>
      <c r="D75" s="507"/>
      <c r="E75" s="507"/>
      <c r="F75" s="507"/>
      <c r="G75" s="507"/>
      <c r="H75" s="407"/>
      <c r="P75" s="407"/>
      <c r="Y75" s="97"/>
      <c r="Z75" s="97"/>
      <c r="AA75" s="97"/>
      <c r="AC75" s="108"/>
      <c r="AD75" s="109"/>
      <c r="AE75" s="105"/>
      <c r="AG75" s="99"/>
      <c r="AH75" s="99"/>
      <c r="AI75" s="99"/>
    </row>
    <row r="76">
      <c r="A76" s="115" t="s">
        <v>1650</v>
      </c>
      <c r="B76" s="412" t="s">
        <v>1649</v>
      </c>
      <c r="C76" s="507"/>
      <c r="D76" s="507"/>
      <c r="E76" s="507"/>
      <c r="F76" s="507"/>
      <c r="G76" s="507"/>
      <c r="H76" s="407"/>
      <c r="P76" s="407"/>
      <c r="Y76" s="97"/>
      <c r="Z76" s="97"/>
      <c r="AA76" s="97"/>
      <c r="AC76" s="108"/>
      <c r="AD76" s="109"/>
      <c r="AE76" s="105"/>
      <c r="AG76" s="99"/>
      <c r="AH76" s="99"/>
      <c r="AI76" s="99"/>
    </row>
    <row r="77">
      <c r="A77" s="115" t="s">
        <v>1654</v>
      </c>
      <c r="B77" s="412" t="s">
        <v>1653</v>
      </c>
      <c r="C77" s="490"/>
      <c r="D77" s="490"/>
      <c r="E77" s="490"/>
      <c r="F77" s="490"/>
      <c r="G77" s="490"/>
      <c r="H77" s="407"/>
      <c r="P77" s="407"/>
      <c r="Y77" s="97"/>
      <c r="Z77" s="97"/>
      <c r="AA77" s="97"/>
      <c r="AC77" s="108"/>
      <c r="AD77" s="109"/>
      <c r="AE77" s="105"/>
      <c r="AG77" s="99"/>
      <c r="AH77" s="99"/>
      <c r="AI77" s="99"/>
    </row>
    <row r="78">
      <c r="A78" s="547"/>
      <c r="B78" s="39"/>
      <c r="C78" s="39"/>
      <c r="D78" s="39"/>
      <c r="E78" s="39"/>
      <c r="F78" s="39"/>
      <c r="G78" s="40"/>
      <c r="H78" s="407"/>
      <c r="P78" s="407"/>
      <c r="Y78" s="97"/>
      <c r="Z78" s="97"/>
      <c r="AA78" s="97"/>
      <c r="AC78" s="102" t="s">
        <v>1856</v>
      </c>
      <c r="AD78" s="11" t="s">
        <v>825</v>
      </c>
      <c r="AE78" s="426" t="s">
        <v>1857</v>
      </c>
      <c r="AG78" s="99"/>
      <c r="AH78" s="99"/>
      <c r="AI78" s="99"/>
    </row>
    <row r="79">
      <c r="C79" s="414"/>
      <c r="D79" s="414"/>
      <c r="F79" s="414"/>
      <c r="H79" s="407"/>
      <c r="P79" s="407"/>
      <c r="Y79" s="97"/>
      <c r="Z79" s="97"/>
      <c r="AA79" s="97"/>
      <c r="AC79" s="102" t="s">
        <v>2362</v>
      </c>
      <c r="AD79" s="125" t="s">
        <v>829</v>
      </c>
      <c r="AE79" s="490"/>
      <c r="AI79" s="99"/>
    </row>
    <row r="80">
      <c r="C80" s="414"/>
      <c r="D80" s="414"/>
      <c r="F80" s="414"/>
      <c r="H80" s="407"/>
      <c r="P80" s="407"/>
      <c r="Y80" s="97"/>
      <c r="Z80" s="97"/>
      <c r="AA80" s="97"/>
      <c r="AC80" s="108" t="s">
        <v>838</v>
      </c>
      <c r="AD80" s="109" t="s">
        <v>837</v>
      </c>
      <c r="AE80" s="105" t="s">
        <v>1859</v>
      </c>
      <c r="AI80" s="126"/>
    </row>
    <row r="81">
      <c r="C81" s="414"/>
      <c r="D81" s="414"/>
      <c r="F81" s="414"/>
      <c r="H81" s="407"/>
      <c r="P81" s="407"/>
      <c r="Y81" s="97"/>
      <c r="Z81" s="97"/>
      <c r="AA81" s="97"/>
      <c r="AC81" s="102" t="s">
        <v>1860</v>
      </c>
      <c r="AD81" s="103" t="s">
        <v>585</v>
      </c>
      <c r="AE81" s="105" t="s">
        <v>1861</v>
      </c>
      <c r="AI81" s="99"/>
    </row>
    <row r="82">
      <c r="C82" s="414"/>
      <c r="D82" s="414"/>
      <c r="F82" s="414"/>
      <c r="H82" s="407"/>
      <c r="P82" s="407"/>
      <c r="Y82" s="97"/>
      <c r="Z82" s="97"/>
      <c r="AA82" s="97"/>
      <c r="AC82" s="102" t="s">
        <v>1862</v>
      </c>
      <c r="AD82" s="103" t="s">
        <v>597</v>
      </c>
      <c r="AE82" s="105" t="s">
        <v>1863</v>
      </c>
      <c r="AI82" s="99"/>
    </row>
    <row r="83">
      <c r="C83" s="414"/>
      <c r="D83" s="414"/>
      <c r="F83" s="414"/>
      <c r="H83" s="407"/>
      <c r="P83" s="407"/>
      <c r="Y83" s="97"/>
      <c r="Z83" s="97"/>
      <c r="AA83" s="97"/>
      <c r="AC83" s="102" t="s">
        <v>846</v>
      </c>
      <c r="AD83" s="103" t="s">
        <v>845</v>
      </c>
      <c r="AE83" s="105" t="s">
        <v>1864</v>
      </c>
      <c r="AI83" s="99"/>
    </row>
    <row r="84">
      <c r="C84" s="414"/>
      <c r="D84" s="414"/>
      <c r="F84" s="414"/>
      <c r="H84" s="407"/>
      <c r="P84" s="407"/>
      <c r="Y84" s="97"/>
      <c r="Z84" s="97"/>
      <c r="AA84" s="97"/>
      <c r="AC84" s="108" t="s">
        <v>2357</v>
      </c>
      <c r="AD84" s="109" t="s">
        <v>602</v>
      </c>
      <c r="AE84" s="105" t="s">
        <v>1866</v>
      </c>
      <c r="AI84" s="99"/>
    </row>
    <row r="85">
      <c r="C85" s="414"/>
      <c r="D85" s="414"/>
      <c r="F85" s="414"/>
      <c r="H85" s="407"/>
      <c r="P85" s="407"/>
      <c r="Y85" s="97"/>
      <c r="Z85" s="97"/>
      <c r="AA85" s="97"/>
      <c r="AC85" s="108" t="s">
        <v>607</v>
      </c>
      <c r="AD85" s="109" t="s">
        <v>606</v>
      </c>
      <c r="AE85" s="105" t="s">
        <v>1867</v>
      </c>
      <c r="AI85" s="99"/>
    </row>
    <row r="86">
      <c r="C86" s="414"/>
      <c r="D86" s="414"/>
      <c r="F86" s="414"/>
      <c r="H86" s="407"/>
      <c r="P86" s="407"/>
      <c r="Y86" s="97"/>
      <c r="Z86" s="97"/>
      <c r="AA86" s="97"/>
      <c r="AC86" s="108" t="s">
        <v>610</v>
      </c>
      <c r="AD86" s="109" t="s">
        <v>609</v>
      </c>
      <c r="AE86" s="105" t="s">
        <v>1868</v>
      </c>
      <c r="AI86" s="99"/>
    </row>
    <row r="87">
      <c r="C87" s="414"/>
      <c r="D87" s="414"/>
      <c r="F87" s="414"/>
      <c r="H87" s="407"/>
      <c r="P87" s="407"/>
      <c r="Y87" s="97"/>
      <c r="Z87" s="97"/>
      <c r="AA87" s="97"/>
      <c r="AC87" s="108" t="s">
        <v>614</v>
      </c>
      <c r="AD87" s="109" t="s">
        <v>613</v>
      </c>
      <c r="AE87" s="105" t="s">
        <v>1869</v>
      </c>
      <c r="AI87" s="99"/>
    </row>
    <row r="88">
      <c r="C88" s="414"/>
      <c r="D88" s="414"/>
      <c r="F88" s="414"/>
      <c r="H88" s="407"/>
      <c r="P88" s="407"/>
      <c r="Y88" s="97"/>
      <c r="Z88" s="97"/>
      <c r="AA88" s="97"/>
      <c r="AC88" s="108" t="s">
        <v>618</v>
      </c>
      <c r="AD88" s="109" t="s">
        <v>617</v>
      </c>
      <c r="AE88" s="105" t="s">
        <v>1870</v>
      </c>
      <c r="AI88" s="99"/>
    </row>
    <row r="89">
      <c r="C89" s="414"/>
      <c r="D89" s="414"/>
      <c r="F89" s="414"/>
      <c r="H89" s="407"/>
      <c r="P89" s="407"/>
      <c r="Y89" s="97"/>
      <c r="Z89" s="97"/>
      <c r="AA89" s="97"/>
      <c r="AC89" s="108" t="s">
        <v>622</v>
      </c>
      <c r="AD89" s="109" t="s">
        <v>621</v>
      </c>
      <c r="AE89" s="105" t="s">
        <v>1871</v>
      </c>
      <c r="AI89" s="99"/>
    </row>
    <row r="90">
      <c r="C90" s="414"/>
      <c r="D90" s="414"/>
      <c r="F90" s="414"/>
      <c r="H90" s="407"/>
      <c r="P90" s="407"/>
      <c r="Y90" s="97"/>
      <c r="Z90" s="97"/>
      <c r="AA90" s="97"/>
      <c r="AC90" s="127" t="s">
        <v>509</v>
      </c>
      <c r="AD90" s="114" t="s">
        <v>508</v>
      </c>
      <c r="AE90" s="105" t="s">
        <v>1872</v>
      </c>
      <c r="AI90" s="99"/>
    </row>
    <row r="91">
      <c r="C91" s="414"/>
      <c r="D91" s="414"/>
      <c r="F91" s="414"/>
      <c r="H91" s="407"/>
      <c r="P91" s="407"/>
      <c r="Y91" s="97"/>
      <c r="Z91" s="97"/>
      <c r="AA91" s="97"/>
      <c r="AC91" s="108" t="s">
        <v>513</v>
      </c>
      <c r="AD91" s="109" t="s">
        <v>512</v>
      </c>
      <c r="AE91" s="105" t="s">
        <v>1873</v>
      </c>
      <c r="AI91" s="99"/>
    </row>
    <row r="92">
      <c r="C92" s="414"/>
      <c r="D92" s="414"/>
      <c r="F92" s="414"/>
      <c r="H92" s="407"/>
      <c r="P92" s="407"/>
      <c r="Y92" s="97"/>
      <c r="Z92" s="97"/>
      <c r="AA92" s="97"/>
      <c r="AC92" s="111" t="s">
        <v>505</v>
      </c>
      <c r="AD92" s="112" t="s">
        <v>504</v>
      </c>
      <c r="AE92" s="105" t="s">
        <v>1874</v>
      </c>
      <c r="AI92" s="99"/>
    </row>
    <row r="93">
      <c r="C93" s="414"/>
      <c r="D93" s="414"/>
      <c r="F93" s="414"/>
      <c r="H93" s="407"/>
      <c r="P93" s="407"/>
      <c r="Y93" s="97"/>
      <c r="Z93" s="97"/>
      <c r="AA93" s="97"/>
      <c r="AC93" s="104" t="s">
        <v>1875</v>
      </c>
      <c r="AD93" s="6" t="s">
        <v>295</v>
      </c>
      <c r="AE93" s="105" t="s">
        <v>1876</v>
      </c>
      <c r="AI93" s="99"/>
    </row>
    <row r="94">
      <c r="C94" s="414"/>
      <c r="D94" s="414"/>
      <c r="F94" s="414"/>
      <c r="H94" s="407"/>
      <c r="P94" s="407"/>
      <c r="Y94" s="97"/>
      <c r="Z94" s="97"/>
      <c r="AA94" s="97"/>
      <c r="AC94" s="104" t="s">
        <v>1877</v>
      </c>
      <c r="AD94" s="6" t="s">
        <v>291</v>
      </c>
      <c r="AE94" s="105" t="s">
        <v>1878</v>
      </c>
      <c r="AI94" s="99"/>
    </row>
    <row r="95">
      <c r="C95" s="414"/>
      <c r="D95" s="414"/>
      <c r="F95" s="414"/>
      <c r="H95" s="407"/>
      <c r="P95" s="407"/>
      <c r="Y95" s="97"/>
      <c r="Z95" s="97"/>
      <c r="AA95" s="97"/>
      <c r="AC95" s="104" t="s">
        <v>1879</v>
      </c>
      <c r="AD95" s="6" t="s">
        <v>286</v>
      </c>
      <c r="AE95" s="105" t="s">
        <v>1880</v>
      </c>
      <c r="AI95" s="99"/>
    </row>
    <row r="96">
      <c r="C96" s="414"/>
      <c r="D96" s="414"/>
      <c r="F96" s="414"/>
      <c r="H96" s="407"/>
      <c r="P96" s="407"/>
      <c r="Y96" s="97"/>
      <c r="Z96" s="97"/>
      <c r="AA96" s="97"/>
      <c r="AC96" s="479"/>
      <c r="AI96" s="99"/>
    </row>
    <row r="97">
      <c r="C97" s="414"/>
      <c r="D97" s="414"/>
      <c r="F97" s="414"/>
      <c r="H97" s="407"/>
      <c r="P97" s="407"/>
      <c r="Y97" s="128"/>
      <c r="Z97" s="128"/>
      <c r="AA97" s="128"/>
      <c r="AC97" s="548" t="s">
        <v>1865</v>
      </c>
      <c r="AD97" s="118"/>
      <c r="AE97" s="119"/>
      <c r="AI97" s="99"/>
    </row>
    <row r="98">
      <c r="C98" s="414"/>
      <c r="D98" s="414"/>
      <c r="F98" s="414"/>
      <c r="H98" s="407"/>
      <c r="P98" s="407"/>
      <c r="Y98" s="99"/>
      <c r="Z98" s="99"/>
      <c r="AA98" s="99"/>
      <c r="AC98" s="120"/>
      <c r="AD98" s="121"/>
      <c r="AE98" s="122"/>
      <c r="AG98" s="99"/>
      <c r="AH98" s="99"/>
      <c r="AI98" s="99"/>
    </row>
    <row r="99">
      <c r="C99" s="414"/>
      <c r="D99" s="414"/>
      <c r="F99" s="414"/>
      <c r="H99" s="407"/>
      <c r="P99" s="407"/>
      <c r="Y99" s="99"/>
      <c r="Z99" s="99"/>
      <c r="AA99" s="99"/>
      <c r="AC99" s="99"/>
      <c r="AD99" s="99"/>
      <c r="AE99" s="99"/>
      <c r="AG99" s="99"/>
      <c r="AH99" s="99"/>
      <c r="AI99" s="99"/>
    </row>
    <row r="100">
      <c r="C100" s="414"/>
      <c r="D100" s="414"/>
      <c r="F100" s="414"/>
      <c r="H100" s="407"/>
      <c r="P100" s="407"/>
      <c r="Y100" s="99"/>
      <c r="Z100" s="99"/>
      <c r="AA100" s="99"/>
      <c r="AC100" s="99"/>
      <c r="AD100" s="99"/>
      <c r="AE100" s="99"/>
      <c r="AG100" s="99"/>
      <c r="AH100" s="99"/>
      <c r="AI100" s="99"/>
    </row>
    <row r="101">
      <c r="C101" s="414"/>
      <c r="D101" s="414"/>
      <c r="F101" s="414"/>
      <c r="H101" s="407"/>
      <c r="P101" s="407"/>
      <c r="Y101" s="99"/>
      <c r="Z101" s="99"/>
      <c r="AA101" s="99"/>
      <c r="AC101" s="99"/>
      <c r="AD101" s="99"/>
      <c r="AE101" s="99"/>
      <c r="AG101" s="99"/>
      <c r="AH101" s="99"/>
      <c r="AI101" s="99"/>
    </row>
    <row r="102">
      <c r="C102" s="414"/>
      <c r="D102" s="414"/>
      <c r="F102" s="414"/>
      <c r="H102" s="407"/>
      <c r="P102" s="407"/>
      <c r="Y102" s="99"/>
      <c r="Z102" s="99"/>
      <c r="AA102" s="99"/>
      <c r="AC102" s="99"/>
      <c r="AD102" s="99"/>
      <c r="AE102" s="99"/>
      <c r="AG102" s="99"/>
      <c r="AH102" s="99"/>
      <c r="AI102" s="99"/>
    </row>
    <row r="103">
      <c r="C103" s="414"/>
      <c r="D103" s="414"/>
      <c r="F103" s="414"/>
      <c r="H103" s="407"/>
      <c r="P103" s="407"/>
      <c r="Y103" s="99"/>
      <c r="Z103" s="99"/>
      <c r="AA103" s="99"/>
      <c r="AC103" s="99"/>
      <c r="AD103" s="99"/>
      <c r="AE103" s="99"/>
      <c r="AG103" s="99"/>
      <c r="AH103" s="99"/>
      <c r="AI103" s="99"/>
    </row>
    <row r="104">
      <c r="C104" s="414"/>
      <c r="D104" s="414"/>
      <c r="F104" s="414"/>
      <c r="H104" s="407"/>
      <c r="P104" s="407"/>
      <c r="Y104" s="99"/>
      <c r="Z104" s="99"/>
      <c r="AA104" s="99"/>
      <c r="AC104" s="99"/>
      <c r="AD104" s="99"/>
      <c r="AE104" s="99"/>
      <c r="AG104" s="99"/>
      <c r="AH104" s="99"/>
      <c r="AI104" s="99"/>
    </row>
    <row r="105">
      <c r="C105" s="414"/>
      <c r="D105" s="414"/>
      <c r="F105" s="414"/>
      <c r="H105" s="407"/>
      <c r="P105" s="407"/>
      <c r="Y105" s="99"/>
      <c r="Z105" s="99"/>
      <c r="AA105" s="99"/>
      <c r="AC105" s="99"/>
      <c r="AD105" s="99"/>
      <c r="AE105" s="99"/>
      <c r="AG105" s="99"/>
      <c r="AH105" s="99"/>
      <c r="AI105" s="99"/>
    </row>
    <row r="106">
      <c r="C106" s="414"/>
      <c r="D106" s="414"/>
      <c r="F106" s="414"/>
      <c r="H106" s="407"/>
      <c r="P106" s="407"/>
      <c r="Y106" s="99"/>
      <c r="Z106" s="99"/>
      <c r="AA106" s="99"/>
      <c r="AC106" s="99"/>
      <c r="AD106" s="99"/>
      <c r="AE106" s="99"/>
      <c r="AG106" s="99"/>
      <c r="AH106" s="99"/>
      <c r="AI106" s="99"/>
    </row>
    <row r="107">
      <c r="C107" s="414"/>
      <c r="D107" s="414"/>
      <c r="F107" s="414"/>
      <c r="H107" s="407"/>
      <c r="P107" s="407"/>
      <c r="Y107" s="99"/>
      <c r="Z107" s="99"/>
      <c r="AA107" s="99"/>
      <c r="AC107" s="99"/>
      <c r="AD107" s="99"/>
      <c r="AE107" s="99"/>
      <c r="AG107" s="99"/>
      <c r="AH107" s="99"/>
      <c r="AI107" s="99"/>
    </row>
    <row r="108">
      <c r="C108" s="414"/>
      <c r="D108" s="414"/>
      <c r="F108" s="414"/>
      <c r="H108" s="407"/>
      <c r="P108" s="407"/>
      <c r="Y108" s="99"/>
      <c r="Z108" s="99"/>
      <c r="AA108" s="99"/>
      <c r="AC108" s="99"/>
      <c r="AD108" s="99"/>
      <c r="AE108" s="99"/>
      <c r="AG108" s="99"/>
      <c r="AH108" s="99"/>
      <c r="AI108" s="99"/>
    </row>
    <row r="109">
      <c r="C109" s="414"/>
      <c r="D109" s="414"/>
      <c r="F109" s="414"/>
      <c r="H109" s="407"/>
      <c r="P109" s="407"/>
      <c r="Y109" s="99"/>
      <c r="Z109" s="99"/>
      <c r="AA109" s="99"/>
      <c r="AC109" s="99"/>
      <c r="AD109" s="99"/>
      <c r="AE109" s="99"/>
      <c r="AG109" s="99"/>
      <c r="AH109" s="99"/>
      <c r="AI109" s="99"/>
    </row>
    <row r="110">
      <c r="C110" s="414"/>
      <c r="D110" s="414"/>
      <c r="F110" s="414"/>
      <c r="H110" s="407"/>
      <c r="P110" s="407"/>
      <c r="Y110" s="99"/>
      <c r="Z110" s="99"/>
      <c r="AA110" s="99"/>
      <c r="AC110" s="99"/>
      <c r="AD110" s="99"/>
      <c r="AE110" s="99"/>
      <c r="AG110" s="99"/>
      <c r="AH110" s="99"/>
      <c r="AI110" s="99"/>
    </row>
    <row r="111">
      <c r="C111" s="414"/>
      <c r="D111" s="414"/>
      <c r="F111" s="414"/>
      <c r="H111" s="407"/>
      <c r="P111" s="407"/>
      <c r="Y111" s="99"/>
      <c r="Z111" s="99"/>
      <c r="AA111" s="99"/>
      <c r="AC111" s="99"/>
      <c r="AD111" s="99"/>
      <c r="AE111" s="99"/>
      <c r="AG111" s="99"/>
      <c r="AH111" s="99"/>
      <c r="AI111" s="99"/>
    </row>
    <row r="112">
      <c r="C112" s="414"/>
      <c r="D112" s="414"/>
      <c r="F112" s="414"/>
      <c r="H112" s="407"/>
      <c r="P112" s="407"/>
      <c r="Y112" s="99"/>
      <c r="Z112" s="99"/>
      <c r="AA112" s="99"/>
      <c r="AC112" s="99"/>
      <c r="AD112" s="99"/>
      <c r="AE112" s="99"/>
      <c r="AG112" s="99"/>
      <c r="AH112" s="99"/>
      <c r="AI112" s="99"/>
    </row>
    <row r="113">
      <c r="C113" s="414"/>
      <c r="D113" s="414"/>
      <c r="F113" s="414"/>
      <c r="H113" s="407"/>
      <c r="P113" s="407"/>
      <c r="Y113" s="99"/>
      <c r="Z113" s="99"/>
      <c r="AA113" s="99"/>
      <c r="AC113" s="99"/>
      <c r="AD113" s="99"/>
      <c r="AE113" s="99"/>
      <c r="AG113" s="99"/>
      <c r="AH113" s="99"/>
      <c r="AI113" s="99"/>
    </row>
    <row r="114">
      <c r="C114" s="414"/>
      <c r="D114" s="414"/>
      <c r="F114" s="414"/>
      <c r="H114" s="407"/>
      <c r="P114" s="407"/>
      <c r="Y114" s="99"/>
      <c r="Z114" s="99"/>
      <c r="AA114" s="99"/>
      <c r="AC114" s="99"/>
      <c r="AD114" s="99"/>
      <c r="AE114" s="99"/>
      <c r="AG114" s="99"/>
      <c r="AH114" s="99"/>
      <c r="AI114" s="99"/>
    </row>
    <row r="115">
      <c r="C115" s="414"/>
      <c r="D115" s="414"/>
      <c r="F115" s="414"/>
      <c r="H115" s="407"/>
      <c r="P115" s="407"/>
      <c r="Y115" s="99"/>
      <c r="Z115" s="99"/>
      <c r="AA115" s="99"/>
      <c r="AC115" s="99"/>
      <c r="AD115" s="99"/>
      <c r="AE115" s="99"/>
      <c r="AG115" s="99"/>
      <c r="AH115" s="99"/>
      <c r="AI115" s="99"/>
    </row>
    <row r="116">
      <c r="C116" s="414"/>
      <c r="D116" s="414"/>
      <c r="F116" s="414"/>
      <c r="H116" s="407"/>
      <c r="P116" s="407"/>
      <c r="Y116" s="99"/>
      <c r="Z116" s="99"/>
      <c r="AA116" s="99"/>
      <c r="AC116" s="99"/>
      <c r="AD116" s="99"/>
      <c r="AE116" s="99"/>
      <c r="AG116" s="99"/>
      <c r="AH116" s="99"/>
      <c r="AI116" s="99"/>
    </row>
    <row r="117">
      <c r="C117" s="414"/>
      <c r="D117" s="414"/>
      <c r="F117" s="414"/>
      <c r="H117" s="407"/>
      <c r="P117" s="407"/>
      <c r="Y117" s="99"/>
      <c r="Z117" s="99"/>
      <c r="AA117" s="99"/>
      <c r="AC117" s="99"/>
      <c r="AD117" s="99"/>
      <c r="AE117" s="99"/>
      <c r="AG117" s="99"/>
      <c r="AH117" s="99"/>
      <c r="AI117" s="99"/>
    </row>
    <row r="118">
      <c r="C118" s="414"/>
      <c r="D118" s="414"/>
      <c r="F118" s="414"/>
      <c r="H118" s="407"/>
      <c r="P118" s="407"/>
      <c r="Y118" s="99"/>
      <c r="Z118" s="99"/>
      <c r="AA118" s="99"/>
      <c r="AC118" s="99"/>
      <c r="AD118" s="99"/>
      <c r="AE118" s="99"/>
      <c r="AG118" s="99"/>
      <c r="AH118" s="99"/>
      <c r="AI118" s="99"/>
    </row>
    <row r="119">
      <c r="C119" s="414"/>
      <c r="D119" s="414"/>
      <c r="F119" s="414"/>
      <c r="H119" s="407"/>
      <c r="P119" s="407"/>
      <c r="Y119" s="99"/>
      <c r="Z119" s="99"/>
      <c r="AA119" s="99"/>
      <c r="AC119" s="99"/>
      <c r="AD119" s="99"/>
      <c r="AE119" s="99"/>
      <c r="AG119" s="99"/>
      <c r="AH119" s="99"/>
      <c r="AI119" s="99"/>
    </row>
    <row r="120">
      <c r="C120" s="414"/>
      <c r="D120" s="414"/>
      <c r="F120" s="414"/>
      <c r="H120" s="407"/>
      <c r="P120" s="407"/>
      <c r="Y120" s="99"/>
      <c r="Z120" s="99"/>
      <c r="AA120" s="99"/>
      <c r="AC120" s="99"/>
      <c r="AD120" s="99"/>
      <c r="AE120" s="99"/>
      <c r="AG120" s="99"/>
      <c r="AH120" s="99"/>
      <c r="AI120" s="99"/>
    </row>
    <row r="121">
      <c r="C121" s="414"/>
      <c r="D121" s="414"/>
      <c r="F121" s="414"/>
      <c r="H121" s="407"/>
      <c r="P121" s="407"/>
      <c r="Y121" s="99"/>
      <c r="Z121" s="99"/>
      <c r="AA121" s="99"/>
      <c r="AC121" s="99"/>
      <c r="AD121" s="99"/>
      <c r="AE121" s="99"/>
      <c r="AG121" s="99"/>
      <c r="AH121" s="99"/>
      <c r="AI121" s="99"/>
    </row>
    <row r="122">
      <c r="C122" s="414"/>
      <c r="D122" s="414"/>
      <c r="F122" s="414"/>
      <c r="H122" s="407"/>
      <c r="P122" s="407"/>
      <c r="Y122" s="99"/>
      <c r="Z122" s="99"/>
      <c r="AA122" s="99"/>
      <c r="AC122" s="99"/>
      <c r="AD122" s="99"/>
      <c r="AE122" s="99"/>
      <c r="AG122" s="99"/>
      <c r="AH122" s="99"/>
      <c r="AI122" s="99"/>
    </row>
    <row r="123">
      <c r="C123" s="414"/>
      <c r="D123" s="414"/>
      <c r="F123" s="414"/>
      <c r="H123" s="407"/>
      <c r="P123" s="407"/>
      <c r="Y123" s="99"/>
      <c r="Z123" s="99"/>
      <c r="AA123" s="99"/>
      <c r="AC123" s="99"/>
      <c r="AD123" s="99"/>
      <c r="AE123" s="99"/>
      <c r="AG123" s="99"/>
      <c r="AH123" s="99"/>
      <c r="AI123" s="99"/>
    </row>
    <row r="124">
      <c r="C124" s="414"/>
      <c r="D124" s="414"/>
      <c r="F124" s="414"/>
      <c r="H124" s="407"/>
      <c r="P124" s="407"/>
      <c r="Y124" s="99"/>
      <c r="Z124" s="99"/>
      <c r="AA124" s="99"/>
      <c r="AC124" s="99"/>
      <c r="AD124" s="99"/>
      <c r="AE124" s="99"/>
      <c r="AG124" s="99"/>
      <c r="AH124" s="99"/>
      <c r="AI124" s="99"/>
    </row>
    <row r="125">
      <c r="C125" s="414"/>
      <c r="D125" s="414"/>
      <c r="F125" s="414"/>
      <c r="H125" s="407"/>
      <c r="P125" s="407"/>
      <c r="Y125" s="99"/>
      <c r="Z125" s="99"/>
      <c r="AA125" s="99"/>
      <c r="AC125" s="99"/>
      <c r="AD125" s="99"/>
      <c r="AE125" s="99"/>
      <c r="AG125" s="99"/>
      <c r="AH125" s="99"/>
      <c r="AI125" s="99"/>
    </row>
    <row r="126">
      <c r="C126" s="414"/>
      <c r="D126" s="414"/>
      <c r="F126" s="414"/>
      <c r="H126" s="407"/>
      <c r="P126" s="407"/>
      <c r="Y126" s="99"/>
      <c r="Z126" s="99"/>
      <c r="AA126" s="99"/>
      <c r="AC126" s="99"/>
      <c r="AD126" s="99"/>
      <c r="AE126" s="99"/>
      <c r="AG126" s="99"/>
      <c r="AH126" s="99"/>
      <c r="AI126" s="99"/>
    </row>
    <row r="127">
      <c r="C127" s="414"/>
      <c r="D127" s="414"/>
      <c r="F127" s="414"/>
      <c r="H127" s="407"/>
      <c r="P127" s="407"/>
      <c r="Y127" s="99"/>
      <c r="Z127" s="99"/>
      <c r="AA127" s="99"/>
      <c r="AC127" s="99"/>
      <c r="AD127" s="99"/>
      <c r="AE127" s="99"/>
      <c r="AG127" s="99"/>
      <c r="AH127" s="99"/>
      <c r="AI127" s="99"/>
    </row>
    <row r="128">
      <c r="C128" s="414"/>
      <c r="D128" s="414"/>
      <c r="F128" s="414"/>
      <c r="H128" s="407"/>
      <c r="P128" s="407"/>
      <c r="Y128" s="99"/>
      <c r="Z128" s="99"/>
      <c r="AA128" s="99"/>
      <c r="AC128" s="99"/>
      <c r="AD128" s="99"/>
      <c r="AE128" s="99"/>
      <c r="AG128" s="99"/>
      <c r="AH128" s="99"/>
      <c r="AI128" s="99"/>
    </row>
    <row r="129">
      <c r="C129" s="414"/>
      <c r="D129" s="414"/>
      <c r="F129" s="414"/>
      <c r="H129" s="407"/>
      <c r="P129" s="407"/>
      <c r="Y129" s="99"/>
      <c r="Z129" s="99"/>
      <c r="AA129" s="99"/>
      <c r="AC129" s="99"/>
      <c r="AD129" s="99"/>
      <c r="AE129" s="99"/>
      <c r="AG129" s="99"/>
      <c r="AH129" s="99"/>
      <c r="AI129" s="99"/>
    </row>
    <row r="130">
      <c r="C130" s="414"/>
      <c r="D130" s="414"/>
      <c r="F130" s="414"/>
      <c r="H130" s="407"/>
      <c r="P130" s="407"/>
      <c r="Y130" s="99"/>
      <c r="Z130" s="99"/>
      <c r="AA130" s="99"/>
      <c r="AC130" s="99"/>
      <c r="AD130" s="99"/>
      <c r="AE130" s="99"/>
      <c r="AG130" s="99"/>
      <c r="AH130" s="99"/>
      <c r="AI130" s="99"/>
    </row>
    <row r="131">
      <c r="C131" s="414"/>
      <c r="D131" s="414"/>
      <c r="F131" s="414"/>
      <c r="H131" s="407"/>
      <c r="P131" s="407"/>
      <c r="Y131" s="99"/>
      <c r="Z131" s="99"/>
      <c r="AA131" s="99"/>
      <c r="AC131" s="99"/>
      <c r="AD131" s="99"/>
      <c r="AE131" s="99"/>
      <c r="AG131" s="99"/>
      <c r="AH131" s="99"/>
      <c r="AI131" s="99"/>
    </row>
    <row r="132">
      <c r="C132" s="414"/>
      <c r="D132" s="414"/>
      <c r="F132" s="414"/>
      <c r="H132" s="407"/>
      <c r="P132" s="407"/>
      <c r="Y132" s="99"/>
      <c r="Z132" s="99"/>
      <c r="AA132" s="99"/>
      <c r="AC132" s="99"/>
      <c r="AD132" s="99"/>
      <c r="AE132" s="99"/>
      <c r="AG132" s="99"/>
      <c r="AH132" s="99"/>
      <c r="AI132" s="99"/>
    </row>
    <row r="133">
      <c r="C133" s="414"/>
      <c r="D133" s="414"/>
      <c r="F133" s="414"/>
      <c r="H133" s="407"/>
      <c r="P133" s="407"/>
      <c r="Y133" s="99"/>
      <c r="Z133" s="99"/>
      <c r="AA133" s="99"/>
      <c r="AC133" s="99"/>
      <c r="AD133" s="99"/>
      <c r="AE133" s="99"/>
      <c r="AG133" s="99"/>
      <c r="AH133" s="99"/>
      <c r="AI133" s="99"/>
    </row>
    <row r="134">
      <c r="C134" s="414"/>
      <c r="D134" s="414"/>
      <c r="F134" s="414"/>
      <c r="H134" s="407"/>
      <c r="P134" s="407"/>
      <c r="Y134" s="99"/>
      <c r="Z134" s="99"/>
      <c r="AA134" s="99"/>
      <c r="AC134" s="99"/>
      <c r="AD134" s="99"/>
      <c r="AE134" s="99"/>
      <c r="AG134" s="99"/>
      <c r="AH134" s="99"/>
      <c r="AI134" s="99"/>
    </row>
    <row r="135">
      <c r="C135" s="414"/>
      <c r="D135" s="414"/>
      <c r="F135" s="414"/>
      <c r="H135" s="407"/>
      <c r="P135" s="407"/>
      <c r="Y135" s="99"/>
      <c r="Z135" s="99"/>
      <c r="AA135" s="99"/>
      <c r="AC135" s="99"/>
      <c r="AD135" s="99"/>
      <c r="AE135" s="99"/>
      <c r="AG135" s="99"/>
      <c r="AH135" s="99"/>
      <c r="AI135" s="99"/>
    </row>
    <row r="136">
      <c r="C136" s="414"/>
      <c r="D136" s="414"/>
      <c r="F136" s="414"/>
      <c r="H136" s="407"/>
      <c r="P136" s="407"/>
      <c r="Y136" s="99"/>
      <c r="Z136" s="99"/>
      <c r="AA136" s="99"/>
      <c r="AC136" s="99"/>
      <c r="AD136" s="99"/>
      <c r="AE136" s="99"/>
      <c r="AG136" s="99"/>
      <c r="AH136" s="99"/>
      <c r="AI136" s="99"/>
    </row>
    <row r="137">
      <c r="C137" s="414"/>
      <c r="D137" s="414"/>
      <c r="F137" s="414"/>
      <c r="H137" s="407"/>
      <c r="P137" s="407"/>
      <c r="Y137" s="99"/>
      <c r="Z137" s="99"/>
      <c r="AA137" s="99"/>
      <c r="AC137" s="99"/>
      <c r="AD137" s="99"/>
      <c r="AE137" s="99"/>
      <c r="AG137" s="99"/>
      <c r="AH137" s="99"/>
      <c r="AI137" s="99"/>
    </row>
    <row r="138">
      <c r="C138" s="414"/>
      <c r="D138" s="414"/>
      <c r="F138" s="414"/>
      <c r="H138" s="407"/>
      <c r="P138" s="407"/>
      <c r="Y138" s="99"/>
      <c r="Z138" s="99"/>
      <c r="AA138" s="99"/>
      <c r="AC138" s="99"/>
      <c r="AD138" s="99"/>
      <c r="AE138" s="99"/>
      <c r="AG138" s="99"/>
      <c r="AH138" s="99"/>
      <c r="AI138" s="99"/>
    </row>
    <row r="139">
      <c r="C139" s="414"/>
      <c r="D139" s="414"/>
      <c r="F139" s="414"/>
      <c r="H139" s="407"/>
      <c r="P139" s="407"/>
      <c r="Y139" s="99"/>
      <c r="Z139" s="99"/>
      <c r="AA139" s="99"/>
      <c r="AC139" s="99"/>
      <c r="AD139" s="99"/>
      <c r="AE139" s="99"/>
      <c r="AG139" s="99"/>
      <c r="AH139" s="99"/>
      <c r="AI139" s="99"/>
    </row>
    <row r="140">
      <c r="C140" s="414"/>
      <c r="D140" s="414"/>
      <c r="F140" s="414"/>
      <c r="H140" s="407"/>
      <c r="P140" s="407"/>
      <c r="Y140" s="99"/>
      <c r="Z140" s="99"/>
      <c r="AA140" s="99"/>
      <c r="AC140" s="99"/>
      <c r="AD140" s="99"/>
      <c r="AE140" s="99"/>
      <c r="AG140" s="99"/>
      <c r="AH140" s="99"/>
      <c r="AI140" s="99"/>
    </row>
    <row r="141">
      <c r="C141" s="414"/>
      <c r="D141" s="414"/>
      <c r="F141" s="414"/>
      <c r="H141" s="407"/>
      <c r="P141" s="407"/>
      <c r="Y141" s="99"/>
      <c r="Z141" s="99"/>
      <c r="AA141" s="99"/>
      <c r="AC141" s="99"/>
      <c r="AD141" s="99"/>
      <c r="AE141" s="99"/>
      <c r="AG141" s="99"/>
      <c r="AH141" s="99"/>
      <c r="AI141" s="99"/>
    </row>
    <row r="142">
      <c r="C142" s="414"/>
      <c r="D142" s="414"/>
      <c r="F142" s="414"/>
      <c r="H142" s="407"/>
      <c r="P142" s="407"/>
      <c r="Y142" s="99"/>
      <c r="Z142" s="99"/>
      <c r="AA142" s="99"/>
      <c r="AC142" s="99"/>
      <c r="AD142" s="99"/>
      <c r="AE142" s="99"/>
      <c r="AG142" s="99"/>
      <c r="AH142" s="99"/>
      <c r="AI142" s="99"/>
    </row>
    <row r="143">
      <c r="C143" s="414"/>
      <c r="D143" s="414"/>
      <c r="F143" s="414"/>
      <c r="H143" s="407"/>
      <c r="P143" s="407"/>
      <c r="Y143" s="99"/>
      <c r="Z143" s="99"/>
      <c r="AA143" s="99"/>
      <c r="AC143" s="99"/>
      <c r="AD143" s="99"/>
      <c r="AE143" s="99"/>
      <c r="AG143" s="99"/>
      <c r="AH143" s="99"/>
      <c r="AI143" s="99"/>
    </row>
    <row r="144">
      <c r="C144" s="414"/>
      <c r="D144" s="414"/>
      <c r="F144" s="414"/>
      <c r="H144" s="407"/>
      <c r="P144" s="407"/>
      <c r="Y144" s="99"/>
      <c r="Z144" s="99"/>
      <c r="AA144" s="99"/>
      <c r="AC144" s="99"/>
      <c r="AD144" s="99"/>
      <c r="AE144" s="99"/>
      <c r="AG144" s="99"/>
      <c r="AH144" s="99"/>
      <c r="AI144" s="99"/>
    </row>
    <row r="145">
      <c r="C145" s="414"/>
      <c r="D145" s="414"/>
      <c r="F145" s="414"/>
      <c r="H145" s="407"/>
      <c r="P145" s="407"/>
      <c r="Y145" s="99"/>
      <c r="Z145" s="99"/>
      <c r="AA145" s="99"/>
      <c r="AC145" s="99"/>
      <c r="AD145" s="99"/>
      <c r="AE145" s="99"/>
      <c r="AG145" s="99"/>
      <c r="AH145" s="99"/>
      <c r="AI145" s="99"/>
    </row>
    <row r="146">
      <c r="C146" s="414"/>
      <c r="D146" s="414"/>
      <c r="F146" s="414"/>
      <c r="H146" s="407"/>
      <c r="P146" s="407"/>
      <c r="Y146" s="99"/>
      <c r="Z146" s="99"/>
      <c r="AA146" s="99"/>
      <c r="AC146" s="99"/>
      <c r="AD146" s="99"/>
      <c r="AE146" s="99"/>
      <c r="AG146" s="99"/>
      <c r="AH146" s="99"/>
      <c r="AI146" s="99"/>
    </row>
    <row r="147">
      <c r="C147" s="414"/>
      <c r="D147" s="414"/>
      <c r="F147" s="414"/>
      <c r="H147" s="407"/>
      <c r="P147" s="407"/>
      <c r="Y147" s="99"/>
      <c r="Z147" s="99"/>
      <c r="AA147" s="99"/>
      <c r="AC147" s="99"/>
      <c r="AD147" s="99"/>
      <c r="AE147" s="99"/>
      <c r="AG147" s="99"/>
      <c r="AH147" s="99"/>
      <c r="AI147" s="99"/>
    </row>
    <row r="148">
      <c r="C148" s="414"/>
      <c r="D148" s="414"/>
      <c r="F148" s="414"/>
      <c r="H148" s="407"/>
      <c r="P148" s="407"/>
      <c r="Y148" s="99"/>
      <c r="Z148" s="99"/>
      <c r="AA148" s="99"/>
      <c r="AC148" s="99"/>
      <c r="AD148" s="99"/>
      <c r="AE148" s="99"/>
      <c r="AG148" s="99"/>
      <c r="AH148" s="99"/>
      <c r="AI148" s="99"/>
    </row>
    <row r="149">
      <c r="C149" s="414"/>
      <c r="D149" s="414"/>
      <c r="F149" s="414"/>
      <c r="H149" s="407"/>
      <c r="P149" s="407"/>
      <c r="Y149" s="99"/>
      <c r="Z149" s="99"/>
      <c r="AA149" s="99"/>
      <c r="AC149" s="99"/>
      <c r="AD149" s="99"/>
      <c r="AE149" s="99"/>
      <c r="AG149" s="99"/>
      <c r="AH149" s="99"/>
      <c r="AI149" s="99"/>
    </row>
    <row r="150">
      <c r="C150" s="414"/>
      <c r="D150" s="414"/>
      <c r="F150" s="414"/>
      <c r="H150" s="407"/>
      <c r="P150" s="407"/>
      <c r="Y150" s="99"/>
      <c r="Z150" s="99"/>
      <c r="AA150" s="99"/>
      <c r="AC150" s="99"/>
      <c r="AD150" s="99"/>
      <c r="AE150" s="99"/>
      <c r="AG150" s="99"/>
      <c r="AH150" s="99"/>
      <c r="AI150" s="99"/>
    </row>
    <row r="151">
      <c r="C151" s="414"/>
      <c r="D151" s="414"/>
      <c r="F151" s="414"/>
      <c r="H151" s="407"/>
      <c r="P151" s="407"/>
      <c r="Y151" s="99"/>
      <c r="Z151" s="99"/>
      <c r="AA151" s="99"/>
      <c r="AC151" s="99"/>
      <c r="AD151" s="99"/>
      <c r="AE151" s="99"/>
      <c r="AG151" s="99"/>
      <c r="AH151" s="99"/>
      <c r="AI151" s="99"/>
    </row>
    <row r="152">
      <c r="C152" s="414"/>
      <c r="D152" s="414"/>
      <c r="F152" s="414"/>
      <c r="H152" s="407"/>
      <c r="P152" s="407"/>
      <c r="Y152" s="99"/>
      <c r="Z152" s="99"/>
      <c r="AA152" s="99"/>
      <c r="AC152" s="99"/>
      <c r="AD152" s="99"/>
      <c r="AE152" s="99"/>
      <c r="AG152" s="99"/>
      <c r="AH152" s="99"/>
      <c r="AI152" s="99"/>
    </row>
    <row r="153">
      <c r="C153" s="414"/>
      <c r="D153" s="414"/>
      <c r="F153" s="414"/>
      <c r="H153" s="407"/>
      <c r="P153" s="407"/>
      <c r="Y153" s="99"/>
      <c r="Z153" s="99"/>
      <c r="AA153" s="99"/>
      <c r="AC153" s="99"/>
      <c r="AD153" s="99"/>
      <c r="AE153" s="99"/>
      <c r="AG153" s="99"/>
      <c r="AH153" s="99"/>
      <c r="AI153" s="99"/>
    </row>
    <row r="154">
      <c r="C154" s="414"/>
      <c r="D154" s="414"/>
      <c r="F154" s="414"/>
      <c r="H154" s="407"/>
      <c r="P154" s="407"/>
      <c r="Y154" s="99"/>
      <c r="Z154" s="99"/>
      <c r="AA154" s="99"/>
      <c r="AC154" s="99"/>
      <c r="AD154" s="99"/>
      <c r="AE154" s="99"/>
      <c r="AG154" s="99"/>
      <c r="AH154" s="99"/>
      <c r="AI154" s="99"/>
    </row>
    <row r="155">
      <c r="C155" s="414"/>
      <c r="D155" s="414"/>
      <c r="F155" s="414"/>
      <c r="H155" s="407"/>
      <c r="P155" s="407"/>
      <c r="Y155" s="99"/>
      <c r="Z155" s="99"/>
      <c r="AA155" s="99"/>
      <c r="AC155" s="99"/>
      <c r="AD155" s="99"/>
      <c r="AE155" s="99"/>
      <c r="AG155" s="99"/>
      <c r="AH155" s="99"/>
      <c r="AI155" s="99"/>
    </row>
    <row r="156">
      <c r="C156" s="414"/>
      <c r="D156" s="414"/>
      <c r="F156" s="414"/>
      <c r="H156" s="407"/>
      <c r="P156" s="407"/>
      <c r="Y156" s="99"/>
      <c r="Z156" s="99"/>
      <c r="AA156" s="99"/>
      <c r="AC156" s="99"/>
      <c r="AD156" s="99"/>
      <c r="AE156" s="99"/>
      <c r="AG156" s="99"/>
      <c r="AH156" s="99"/>
      <c r="AI156" s="99"/>
    </row>
    <row r="157">
      <c r="C157" s="414"/>
      <c r="D157" s="414"/>
      <c r="F157" s="414"/>
      <c r="H157" s="407"/>
      <c r="P157" s="407"/>
      <c r="Y157" s="99"/>
      <c r="Z157" s="99"/>
      <c r="AA157" s="99"/>
      <c r="AC157" s="99"/>
      <c r="AD157" s="99"/>
      <c r="AE157" s="99"/>
      <c r="AG157" s="99"/>
      <c r="AH157" s="99"/>
      <c r="AI157" s="99"/>
    </row>
    <row r="158">
      <c r="C158" s="414"/>
      <c r="D158" s="414"/>
      <c r="F158" s="414"/>
      <c r="H158" s="407"/>
      <c r="P158" s="407"/>
      <c r="Y158" s="99"/>
      <c r="Z158" s="99"/>
      <c r="AA158" s="99"/>
      <c r="AC158" s="99"/>
      <c r="AD158" s="99"/>
      <c r="AE158" s="99"/>
      <c r="AG158" s="99"/>
      <c r="AH158" s="99"/>
      <c r="AI158" s="99"/>
    </row>
    <row r="159">
      <c r="C159" s="414"/>
      <c r="D159" s="414"/>
      <c r="F159" s="414"/>
      <c r="H159" s="407"/>
      <c r="P159" s="407"/>
      <c r="Y159" s="99"/>
      <c r="Z159" s="99"/>
      <c r="AA159" s="99"/>
      <c r="AC159" s="99"/>
      <c r="AD159" s="99"/>
      <c r="AE159" s="99"/>
      <c r="AG159" s="99"/>
      <c r="AH159" s="99"/>
      <c r="AI159" s="99"/>
    </row>
    <row r="160">
      <c r="C160" s="414"/>
      <c r="D160" s="414"/>
      <c r="F160" s="414"/>
      <c r="H160" s="407"/>
      <c r="P160" s="407"/>
      <c r="Y160" s="99"/>
      <c r="Z160" s="99"/>
      <c r="AA160" s="99"/>
      <c r="AC160" s="99"/>
      <c r="AD160" s="99"/>
      <c r="AE160" s="99"/>
      <c r="AG160" s="99"/>
      <c r="AH160" s="99"/>
      <c r="AI160" s="99"/>
    </row>
    <row r="161">
      <c r="C161" s="414"/>
      <c r="D161" s="414"/>
      <c r="F161" s="414"/>
      <c r="H161" s="407"/>
      <c r="P161" s="407"/>
      <c r="Y161" s="99"/>
      <c r="Z161" s="99"/>
      <c r="AA161" s="99"/>
      <c r="AC161" s="99"/>
      <c r="AD161" s="99"/>
      <c r="AE161" s="99"/>
      <c r="AG161" s="99"/>
      <c r="AH161" s="99"/>
      <c r="AI161" s="99"/>
    </row>
    <row r="162">
      <c r="C162" s="414"/>
      <c r="D162" s="414"/>
      <c r="F162" s="414"/>
      <c r="H162" s="407"/>
      <c r="P162" s="407"/>
      <c r="Y162" s="99"/>
      <c r="Z162" s="99"/>
      <c r="AA162" s="99"/>
      <c r="AC162" s="99"/>
      <c r="AD162" s="99"/>
      <c r="AE162" s="99"/>
      <c r="AG162" s="99"/>
      <c r="AH162" s="99"/>
      <c r="AI162" s="99"/>
    </row>
    <row r="163">
      <c r="C163" s="414"/>
      <c r="D163" s="414"/>
      <c r="F163" s="414"/>
      <c r="H163" s="407"/>
      <c r="P163" s="407"/>
      <c r="Y163" s="99"/>
      <c r="Z163" s="99"/>
      <c r="AA163" s="99"/>
      <c r="AC163" s="99"/>
      <c r="AD163" s="99"/>
      <c r="AE163" s="99"/>
      <c r="AG163" s="99"/>
      <c r="AH163" s="99"/>
      <c r="AI163" s="99"/>
    </row>
    <row r="164">
      <c r="C164" s="414"/>
      <c r="D164" s="414"/>
      <c r="F164" s="414"/>
      <c r="H164" s="407"/>
      <c r="P164" s="407"/>
      <c r="Y164" s="99"/>
      <c r="Z164" s="99"/>
      <c r="AA164" s="99"/>
      <c r="AC164" s="99"/>
      <c r="AD164" s="99"/>
      <c r="AE164" s="99"/>
      <c r="AG164" s="99"/>
      <c r="AH164" s="99"/>
      <c r="AI164" s="99"/>
    </row>
    <row r="165">
      <c r="C165" s="414"/>
      <c r="D165" s="414"/>
      <c r="F165" s="414"/>
      <c r="H165" s="407"/>
      <c r="P165" s="407"/>
      <c r="Y165" s="99"/>
      <c r="Z165" s="99"/>
      <c r="AA165" s="99"/>
      <c r="AC165" s="99"/>
      <c r="AD165" s="99"/>
      <c r="AE165" s="99"/>
      <c r="AG165" s="99"/>
      <c r="AH165" s="99"/>
      <c r="AI165" s="99"/>
    </row>
    <row r="166">
      <c r="C166" s="414"/>
      <c r="D166" s="414"/>
      <c r="F166" s="414"/>
      <c r="H166" s="407"/>
      <c r="P166" s="407"/>
      <c r="Y166" s="99"/>
      <c r="Z166" s="99"/>
      <c r="AA166" s="99"/>
      <c r="AC166" s="99"/>
      <c r="AD166" s="99"/>
      <c r="AE166" s="99"/>
      <c r="AG166" s="99"/>
      <c r="AH166" s="99"/>
      <c r="AI166" s="99"/>
    </row>
    <row r="167">
      <c r="C167" s="414"/>
      <c r="D167" s="414"/>
      <c r="F167" s="414"/>
      <c r="H167" s="407"/>
      <c r="P167" s="407"/>
      <c r="Y167" s="99"/>
      <c r="Z167" s="99"/>
      <c r="AA167" s="99"/>
      <c r="AC167" s="99"/>
      <c r="AD167" s="99"/>
      <c r="AE167" s="99"/>
      <c r="AG167" s="99"/>
      <c r="AH167" s="99"/>
      <c r="AI167" s="99"/>
    </row>
    <row r="168">
      <c r="C168" s="414"/>
      <c r="D168" s="414"/>
      <c r="F168" s="414"/>
      <c r="H168" s="407"/>
      <c r="P168" s="407"/>
      <c r="Y168" s="99"/>
      <c r="Z168" s="99"/>
      <c r="AA168" s="99"/>
      <c r="AC168" s="99"/>
      <c r="AD168" s="99"/>
      <c r="AE168" s="99"/>
      <c r="AG168" s="99"/>
      <c r="AH168" s="99"/>
      <c r="AI168" s="99"/>
    </row>
    <row r="169">
      <c r="C169" s="414"/>
      <c r="D169" s="414"/>
      <c r="F169" s="414"/>
      <c r="H169" s="407"/>
      <c r="P169" s="407"/>
      <c r="Y169" s="99"/>
      <c r="Z169" s="99"/>
      <c r="AA169" s="99"/>
      <c r="AC169" s="99"/>
      <c r="AD169" s="99"/>
      <c r="AE169" s="99"/>
      <c r="AG169" s="99"/>
      <c r="AH169" s="99"/>
      <c r="AI169" s="99"/>
    </row>
    <row r="170">
      <c r="C170" s="414"/>
      <c r="D170" s="414"/>
      <c r="F170" s="414"/>
      <c r="H170" s="407"/>
      <c r="P170" s="407"/>
      <c r="Y170" s="99"/>
      <c r="Z170" s="99"/>
      <c r="AA170" s="99"/>
      <c r="AC170" s="99"/>
      <c r="AD170" s="99"/>
      <c r="AE170" s="99"/>
      <c r="AG170" s="99"/>
      <c r="AH170" s="99"/>
      <c r="AI170" s="99"/>
    </row>
    <row r="171">
      <c r="C171" s="414"/>
      <c r="D171" s="414"/>
      <c r="F171" s="414"/>
      <c r="H171" s="407"/>
      <c r="P171" s="407"/>
      <c r="Y171" s="99"/>
      <c r="Z171" s="99"/>
      <c r="AA171" s="99"/>
      <c r="AC171" s="99"/>
      <c r="AD171" s="99"/>
      <c r="AE171" s="99"/>
      <c r="AG171" s="99"/>
      <c r="AH171" s="99"/>
      <c r="AI171" s="99"/>
    </row>
    <row r="172">
      <c r="C172" s="414"/>
      <c r="D172" s="414"/>
      <c r="F172" s="414"/>
      <c r="H172" s="407"/>
      <c r="P172" s="407"/>
      <c r="Y172" s="99"/>
      <c r="Z172" s="99"/>
      <c r="AA172" s="99"/>
      <c r="AC172" s="99"/>
      <c r="AD172" s="99"/>
      <c r="AE172" s="99"/>
      <c r="AG172" s="99"/>
      <c r="AH172" s="99"/>
      <c r="AI172" s="99"/>
    </row>
    <row r="173">
      <c r="C173" s="414"/>
      <c r="D173" s="414"/>
      <c r="F173" s="414"/>
      <c r="H173" s="407"/>
      <c r="P173" s="407"/>
      <c r="Y173" s="99"/>
      <c r="Z173" s="99"/>
      <c r="AA173" s="99"/>
      <c r="AC173" s="99"/>
      <c r="AD173" s="99"/>
      <c r="AE173" s="99"/>
      <c r="AG173" s="99"/>
      <c r="AH173" s="99"/>
      <c r="AI173" s="99"/>
    </row>
    <row r="174">
      <c r="C174" s="414"/>
      <c r="D174" s="414"/>
      <c r="F174" s="414"/>
      <c r="H174" s="407"/>
      <c r="P174" s="407"/>
      <c r="Y174" s="99"/>
      <c r="Z174" s="99"/>
      <c r="AA174" s="99"/>
      <c r="AC174" s="99"/>
      <c r="AD174" s="99"/>
      <c r="AE174" s="99"/>
      <c r="AG174" s="99"/>
      <c r="AH174" s="99"/>
      <c r="AI174" s="99"/>
    </row>
    <row r="175">
      <c r="C175" s="414"/>
      <c r="D175" s="414"/>
      <c r="F175" s="414"/>
      <c r="H175" s="407"/>
      <c r="P175" s="407"/>
      <c r="Y175" s="99"/>
      <c r="Z175" s="99"/>
      <c r="AA175" s="99"/>
      <c r="AC175" s="99"/>
      <c r="AD175" s="99"/>
      <c r="AE175" s="99"/>
      <c r="AG175" s="99"/>
      <c r="AH175" s="99"/>
      <c r="AI175" s="99"/>
    </row>
    <row r="176">
      <c r="C176" s="414"/>
      <c r="D176" s="414"/>
      <c r="F176" s="414"/>
      <c r="H176" s="407"/>
      <c r="P176" s="407"/>
      <c r="Y176" s="99"/>
      <c r="Z176" s="99"/>
      <c r="AA176" s="99"/>
      <c r="AC176" s="99"/>
      <c r="AD176" s="99"/>
      <c r="AE176" s="99"/>
      <c r="AG176" s="99"/>
      <c r="AH176" s="99"/>
      <c r="AI176" s="99"/>
    </row>
    <row r="177">
      <c r="C177" s="414"/>
      <c r="D177" s="414"/>
      <c r="F177" s="414"/>
      <c r="H177" s="407"/>
      <c r="P177" s="407"/>
      <c r="Y177" s="99"/>
      <c r="Z177" s="99"/>
      <c r="AA177" s="99"/>
      <c r="AC177" s="99"/>
      <c r="AD177" s="99"/>
      <c r="AE177" s="99"/>
      <c r="AG177" s="99"/>
      <c r="AH177" s="99"/>
      <c r="AI177" s="99"/>
    </row>
    <row r="178">
      <c r="C178" s="414"/>
      <c r="D178" s="414"/>
      <c r="F178" s="414"/>
      <c r="H178" s="407"/>
      <c r="P178" s="407"/>
      <c r="Y178" s="99"/>
      <c r="Z178" s="99"/>
      <c r="AA178" s="99"/>
      <c r="AC178" s="99"/>
      <c r="AD178" s="99"/>
      <c r="AE178" s="99"/>
      <c r="AG178" s="99"/>
      <c r="AH178" s="99"/>
      <c r="AI178" s="99"/>
    </row>
    <row r="179">
      <c r="C179" s="414"/>
      <c r="D179" s="414"/>
      <c r="F179" s="414"/>
      <c r="H179" s="407"/>
      <c r="P179" s="407"/>
      <c r="Y179" s="99"/>
      <c r="Z179" s="99"/>
      <c r="AA179" s="99"/>
      <c r="AC179" s="99"/>
      <c r="AD179" s="99"/>
      <c r="AE179" s="99"/>
      <c r="AG179" s="99"/>
      <c r="AH179" s="99"/>
      <c r="AI179" s="99"/>
    </row>
    <row r="180">
      <c r="C180" s="414"/>
      <c r="D180" s="414"/>
      <c r="F180" s="414"/>
      <c r="H180" s="407"/>
      <c r="P180" s="407"/>
      <c r="Y180" s="99"/>
      <c r="Z180" s="99"/>
      <c r="AA180" s="99"/>
      <c r="AC180" s="99"/>
      <c r="AD180" s="99"/>
      <c r="AE180" s="99"/>
      <c r="AG180" s="99"/>
      <c r="AH180" s="99"/>
      <c r="AI180" s="99"/>
    </row>
    <row r="181">
      <c r="C181" s="414"/>
      <c r="D181" s="414"/>
      <c r="F181" s="414"/>
      <c r="H181" s="407"/>
      <c r="P181" s="407"/>
      <c r="Y181" s="99"/>
      <c r="Z181" s="99"/>
      <c r="AA181" s="99"/>
      <c r="AC181" s="99"/>
      <c r="AD181" s="99"/>
      <c r="AE181" s="99"/>
      <c r="AG181" s="99"/>
      <c r="AH181" s="99"/>
      <c r="AI181" s="99"/>
    </row>
    <row r="182">
      <c r="C182" s="414"/>
      <c r="D182" s="414"/>
      <c r="F182" s="414"/>
      <c r="H182" s="407"/>
      <c r="P182" s="407"/>
      <c r="Y182" s="99"/>
      <c r="Z182" s="99"/>
      <c r="AA182" s="99"/>
      <c r="AC182" s="99"/>
      <c r="AD182" s="99"/>
      <c r="AE182" s="99"/>
      <c r="AG182" s="99"/>
      <c r="AH182" s="99"/>
      <c r="AI182" s="99"/>
    </row>
    <row r="183">
      <c r="C183" s="414"/>
      <c r="D183" s="414"/>
      <c r="F183" s="414"/>
      <c r="H183" s="407"/>
      <c r="P183" s="407"/>
      <c r="Y183" s="99"/>
      <c r="Z183" s="99"/>
      <c r="AA183" s="99"/>
      <c r="AC183" s="99"/>
      <c r="AD183" s="99"/>
      <c r="AE183" s="99"/>
      <c r="AG183" s="99"/>
      <c r="AH183" s="99"/>
      <c r="AI183" s="99"/>
    </row>
    <row r="184">
      <c r="C184" s="414"/>
      <c r="D184" s="414"/>
      <c r="F184" s="414"/>
      <c r="H184" s="407"/>
      <c r="P184" s="407"/>
      <c r="Y184" s="99"/>
      <c r="Z184" s="99"/>
      <c r="AA184" s="99"/>
      <c r="AC184" s="99"/>
      <c r="AD184" s="99"/>
      <c r="AE184" s="99"/>
      <c r="AG184" s="99"/>
      <c r="AH184" s="99"/>
      <c r="AI184" s="99"/>
    </row>
    <row r="185">
      <c r="C185" s="414"/>
      <c r="D185" s="414"/>
      <c r="F185" s="414"/>
      <c r="H185" s="407"/>
      <c r="P185" s="407"/>
      <c r="Y185" s="99"/>
      <c r="Z185" s="99"/>
      <c r="AA185" s="99"/>
      <c r="AC185" s="99"/>
      <c r="AD185" s="99"/>
      <c r="AE185" s="99"/>
      <c r="AG185" s="99"/>
      <c r="AH185" s="99"/>
      <c r="AI185" s="99"/>
    </row>
    <row r="186">
      <c r="C186" s="414"/>
      <c r="D186" s="414"/>
      <c r="F186" s="414"/>
      <c r="H186" s="407"/>
      <c r="P186" s="407"/>
      <c r="Y186" s="99"/>
      <c r="Z186" s="99"/>
      <c r="AA186" s="99"/>
      <c r="AC186" s="99"/>
      <c r="AD186" s="99"/>
      <c r="AE186" s="99"/>
      <c r="AG186" s="99"/>
      <c r="AH186" s="99"/>
      <c r="AI186" s="99"/>
    </row>
    <row r="187">
      <c r="C187" s="414"/>
      <c r="D187" s="414"/>
      <c r="F187" s="414"/>
      <c r="H187" s="407"/>
      <c r="P187" s="407"/>
      <c r="Y187" s="99"/>
      <c r="Z187" s="99"/>
      <c r="AA187" s="99"/>
      <c r="AC187" s="99"/>
      <c r="AD187" s="99"/>
      <c r="AE187" s="99"/>
      <c r="AG187" s="99"/>
      <c r="AH187" s="99"/>
      <c r="AI187" s="99"/>
    </row>
    <row r="188">
      <c r="C188" s="414"/>
      <c r="D188" s="414"/>
      <c r="F188" s="414"/>
      <c r="H188" s="407"/>
      <c r="P188" s="407"/>
      <c r="Y188" s="99"/>
      <c r="Z188" s="99"/>
      <c r="AA188" s="99"/>
      <c r="AC188" s="99"/>
      <c r="AD188" s="99"/>
      <c r="AE188" s="99"/>
      <c r="AG188" s="99"/>
      <c r="AH188" s="99"/>
      <c r="AI188" s="99"/>
    </row>
    <row r="189">
      <c r="C189" s="414"/>
      <c r="D189" s="414"/>
      <c r="F189" s="414"/>
      <c r="H189" s="407"/>
      <c r="P189" s="407"/>
      <c r="Y189" s="99"/>
      <c r="Z189" s="99"/>
      <c r="AA189" s="99"/>
      <c r="AC189" s="99"/>
      <c r="AD189" s="99"/>
      <c r="AE189" s="99"/>
      <c r="AG189" s="99"/>
      <c r="AH189" s="99"/>
      <c r="AI189" s="99"/>
    </row>
    <row r="190">
      <c r="C190" s="414"/>
      <c r="D190" s="414"/>
      <c r="F190" s="414"/>
      <c r="H190" s="407"/>
      <c r="P190" s="407"/>
      <c r="Y190" s="99"/>
      <c r="Z190" s="99"/>
      <c r="AA190" s="99"/>
      <c r="AC190" s="99"/>
      <c r="AD190" s="99"/>
      <c r="AE190" s="99"/>
      <c r="AG190" s="99"/>
      <c r="AH190" s="99"/>
      <c r="AI190" s="99"/>
    </row>
    <row r="191">
      <c r="C191" s="414"/>
      <c r="D191" s="414"/>
      <c r="F191" s="414"/>
      <c r="H191" s="407"/>
      <c r="P191" s="407"/>
      <c r="Y191" s="99"/>
      <c r="Z191" s="99"/>
      <c r="AA191" s="99"/>
      <c r="AC191" s="99"/>
      <c r="AD191" s="99"/>
      <c r="AE191" s="99"/>
      <c r="AG191" s="99"/>
      <c r="AH191" s="99"/>
      <c r="AI191" s="99"/>
    </row>
    <row r="192">
      <c r="C192" s="414"/>
      <c r="D192" s="414"/>
      <c r="F192" s="414"/>
      <c r="H192" s="407"/>
      <c r="P192" s="407"/>
      <c r="Y192" s="99"/>
      <c r="Z192" s="99"/>
      <c r="AA192" s="99"/>
      <c r="AC192" s="99"/>
      <c r="AD192" s="99"/>
      <c r="AE192" s="99"/>
      <c r="AG192" s="99"/>
      <c r="AH192" s="99"/>
      <c r="AI192" s="99"/>
    </row>
    <row r="193">
      <c r="C193" s="414"/>
      <c r="D193" s="414"/>
      <c r="F193" s="414"/>
      <c r="H193" s="407"/>
      <c r="P193" s="407"/>
      <c r="Y193" s="99"/>
      <c r="Z193" s="99"/>
      <c r="AA193" s="99"/>
      <c r="AC193" s="99"/>
      <c r="AD193" s="99"/>
      <c r="AE193" s="99"/>
      <c r="AG193" s="99"/>
      <c r="AH193" s="99"/>
      <c r="AI193" s="99"/>
    </row>
    <row r="194">
      <c r="C194" s="414"/>
      <c r="D194" s="414"/>
      <c r="F194" s="414"/>
      <c r="H194" s="407"/>
      <c r="P194" s="407"/>
      <c r="Y194" s="99"/>
      <c r="Z194" s="99"/>
      <c r="AA194" s="99"/>
      <c r="AC194" s="99"/>
      <c r="AD194" s="99"/>
      <c r="AE194" s="99"/>
      <c r="AG194" s="99"/>
      <c r="AH194" s="99"/>
      <c r="AI194" s="99"/>
    </row>
    <row r="195">
      <c r="C195" s="414"/>
      <c r="D195" s="414"/>
      <c r="F195" s="414"/>
      <c r="H195" s="407"/>
      <c r="P195" s="407"/>
      <c r="Y195" s="99"/>
      <c r="Z195" s="99"/>
      <c r="AA195" s="99"/>
      <c r="AC195" s="99"/>
      <c r="AD195" s="99"/>
      <c r="AE195" s="99"/>
      <c r="AG195" s="99"/>
      <c r="AH195" s="99"/>
      <c r="AI195" s="99"/>
    </row>
    <row r="196">
      <c r="C196" s="414"/>
      <c r="D196" s="414"/>
      <c r="F196" s="414"/>
      <c r="H196" s="407"/>
      <c r="P196" s="407"/>
      <c r="Y196" s="99"/>
      <c r="Z196" s="99"/>
      <c r="AA196" s="99"/>
      <c r="AC196" s="99"/>
      <c r="AD196" s="99"/>
      <c r="AE196" s="99"/>
      <c r="AG196" s="99"/>
      <c r="AH196" s="99"/>
      <c r="AI196" s="99"/>
    </row>
    <row r="197">
      <c r="C197" s="414"/>
      <c r="D197" s="414"/>
      <c r="F197" s="414"/>
      <c r="H197" s="407"/>
      <c r="P197" s="407"/>
      <c r="Y197" s="99"/>
      <c r="Z197" s="99"/>
      <c r="AA197" s="99"/>
      <c r="AC197" s="99"/>
      <c r="AD197" s="99"/>
      <c r="AE197" s="99"/>
      <c r="AG197" s="99"/>
      <c r="AH197" s="99"/>
      <c r="AI197" s="99"/>
    </row>
    <row r="198">
      <c r="C198" s="414"/>
      <c r="D198" s="414"/>
      <c r="F198" s="414"/>
      <c r="H198" s="407"/>
      <c r="P198" s="407"/>
      <c r="Y198" s="99"/>
      <c r="Z198" s="99"/>
      <c r="AA198" s="99"/>
      <c r="AC198" s="99"/>
      <c r="AD198" s="99"/>
      <c r="AE198" s="99"/>
      <c r="AG198" s="99"/>
      <c r="AH198" s="99"/>
      <c r="AI198" s="99"/>
    </row>
    <row r="199">
      <c r="C199" s="414"/>
      <c r="D199" s="414"/>
      <c r="F199" s="414"/>
      <c r="H199" s="407"/>
      <c r="P199" s="407"/>
      <c r="Y199" s="99"/>
      <c r="Z199" s="99"/>
      <c r="AA199" s="99"/>
      <c r="AC199" s="99"/>
      <c r="AD199" s="99"/>
      <c r="AE199" s="99"/>
      <c r="AG199" s="99"/>
      <c r="AH199" s="99"/>
      <c r="AI199" s="99"/>
    </row>
    <row r="200">
      <c r="C200" s="414"/>
      <c r="D200" s="414"/>
      <c r="F200" s="414"/>
      <c r="H200" s="407"/>
      <c r="P200" s="407"/>
      <c r="Y200" s="99"/>
      <c r="Z200" s="99"/>
      <c r="AA200" s="99"/>
      <c r="AC200" s="99"/>
      <c r="AD200" s="99"/>
      <c r="AE200" s="99"/>
      <c r="AG200" s="99"/>
      <c r="AH200" s="99"/>
      <c r="AI200" s="99"/>
    </row>
    <row r="201">
      <c r="C201" s="414"/>
      <c r="D201" s="414"/>
      <c r="F201" s="414"/>
      <c r="H201" s="407"/>
      <c r="P201" s="407"/>
      <c r="Y201" s="99"/>
      <c r="Z201" s="99"/>
      <c r="AA201" s="99"/>
      <c r="AC201" s="99"/>
      <c r="AD201" s="99"/>
      <c r="AE201" s="99"/>
      <c r="AG201" s="99"/>
      <c r="AH201" s="99"/>
      <c r="AI201" s="99"/>
    </row>
    <row r="202">
      <c r="C202" s="414"/>
      <c r="D202" s="414"/>
      <c r="F202" s="414"/>
      <c r="H202" s="407"/>
      <c r="P202" s="407"/>
      <c r="Y202" s="99"/>
      <c r="Z202" s="99"/>
      <c r="AA202" s="99"/>
      <c r="AC202" s="99"/>
      <c r="AD202" s="99"/>
      <c r="AE202" s="99"/>
      <c r="AG202" s="99"/>
      <c r="AH202" s="99"/>
      <c r="AI202" s="99"/>
    </row>
    <row r="203">
      <c r="C203" s="414"/>
      <c r="D203" s="414"/>
      <c r="F203" s="414"/>
      <c r="H203" s="407"/>
      <c r="P203" s="407"/>
      <c r="Y203" s="99"/>
      <c r="Z203" s="99"/>
      <c r="AA203" s="99"/>
      <c r="AC203" s="99"/>
      <c r="AD203" s="99"/>
      <c r="AE203" s="99"/>
      <c r="AG203" s="99"/>
      <c r="AH203" s="99"/>
      <c r="AI203" s="99"/>
    </row>
    <row r="204">
      <c r="C204" s="414"/>
      <c r="D204" s="414"/>
      <c r="F204" s="414"/>
      <c r="H204" s="407"/>
      <c r="P204" s="407"/>
      <c r="Y204" s="99"/>
      <c r="Z204" s="99"/>
      <c r="AA204" s="99"/>
      <c r="AC204" s="99"/>
      <c r="AD204" s="99"/>
      <c r="AE204" s="99"/>
      <c r="AG204" s="99"/>
      <c r="AH204" s="99"/>
      <c r="AI204" s="99"/>
    </row>
    <row r="205">
      <c r="C205" s="414"/>
      <c r="D205" s="414"/>
      <c r="F205" s="414"/>
      <c r="H205" s="407"/>
      <c r="P205" s="407"/>
      <c r="Y205" s="99"/>
      <c r="Z205" s="99"/>
      <c r="AA205" s="99"/>
      <c r="AC205" s="99"/>
      <c r="AD205" s="99"/>
      <c r="AE205" s="99"/>
      <c r="AG205" s="99"/>
      <c r="AH205" s="99"/>
      <c r="AI205" s="99"/>
    </row>
    <row r="206">
      <c r="C206" s="414"/>
      <c r="D206" s="414"/>
      <c r="F206" s="414"/>
      <c r="H206" s="407"/>
      <c r="P206" s="407"/>
      <c r="Y206" s="99"/>
      <c r="Z206" s="99"/>
      <c r="AA206" s="99"/>
      <c r="AC206" s="99"/>
      <c r="AD206" s="99"/>
      <c r="AE206" s="99"/>
      <c r="AG206" s="99"/>
      <c r="AH206" s="99"/>
      <c r="AI206" s="99"/>
    </row>
    <row r="207">
      <c r="C207" s="414"/>
      <c r="D207" s="414"/>
      <c r="F207" s="414"/>
      <c r="H207" s="407"/>
      <c r="P207" s="407"/>
      <c r="Y207" s="99"/>
      <c r="Z207" s="99"/>
      <c r="AA207" s="99"/>
      <c r="AC207" s="99"/>
      <c r="AD207" s="99"/>
      <c r="AE207" s="99"/>
      <c r="AG207" s="99"/>
      <c r="AH207" s="99"/>
      <c r="AI207" s="99"/>
    </row>
    <row r="208">
      <c r="C208" s="414"/>
      <c r="D208" s="414"/>
      <c r="F208" s="414"/>
      <c r="H208" s="407"/>
      <c r="P208" s="407"/>
      <c r="Y208" s="99"/>
      <c r="Z208" s="99"/>
      <c r="AA208" s="99"/>
      <c r="AC208" s="99"/>
      <c r="AD208" s="99"/>
      <c r="AE208" s="99"/>
      <c r="AG208" s="99"/>
      <c r="AH208" s="99"/>
      <c r="AI208" s="99"/>
    </row>
    <row r="209">
      <c r="C209" s="414"/>
      <c r="D209" s="414"/>
      <c r="F209" s="414"/>
      <c r="H209" s="407"/>
      <c r="P209" s="407"/>
      <c r="Y209" s="99"/>
      <c r="Z209" s="99"/>
      <c r="AA209" s="99"/>
      <c r="AC209" s="99"/>
      <c r="AD209" s="99"/>
      <c r="AE209" s="99"/>
      <c r="AG209" s="99"/>
      <c r="AH209" s="99"/>
      <c r="AI209" s="99"/>
    </row>
    <row r="210">
      <c r="C210" s="414"/>
      <c r="D210" s="414"/>
      <c r="F210" s="414"/>
      <c r="H210" s="407"/>
      <c r="P210" s="407"/>
      <c r="Y210" s="99"/>
      <c r="Z210" s="99"/>
      <c r="AA210" s="99"/>
      <c r="AC210" s="99"/>
      <c r="AD210" s="99"/>
      <c r="AE210" s="99"/>
      <c r="AG210" s="99"/>
      <c r="AH210" s="99"/>
      <c r="AI210" s="99"/>
    </row>
    <row r="211">
      <c r="C211" s="414"/>
      <c r="D211" s="414"/>
      <c r="F211" s="414"/>
      <c r="H211" s="407"/>
      <c r="P211" s="407"/>
      <c r="Y211" s="99"/>
      <c r="Z211" s="99"/>
      <c r="AA211" s="99"/>
      <c r="AC211" s="99"/>
      <c r="AD211" s="99"/>
      <c r="AE211" s="99"/>
      <c r="AG211" s="99"/>
      <c r="AH211" s="99"/>
      <c r="AI211" s="99"/>
    </row>
    <row r="212">
      <c r="C212" s="414"/>
      <c r="D212" s="414"/>
      <c r="F212" s="414"/>
      <c r="H212" s="407"/>
      <c r="P212" s="407"/>
      <c r="Y212" s="99"/>
      <c r="Z212" s="99"/>
      <c r="AA212" s="99"/>
      <c r="AC212" s="99"/>
      <c r="AD212" s="99"/>
      <c r="AE212" s="99"/>
      <c r="AG212" s="99"/>
      <c r="AH212" s="99"/>
      <c r="AI212" s="99"/>
    </row>
    <row r="213">
      <c r="C213" s="414"/>
      <c r="D213" s="414"/>
      <c r="F213" s="414"/>
      <c r="H213" s="407"/>
      <c r="P213" s="407"/>
      <c r="Y213" s="99"/>
      <c r="Z213" s="99"/>
      <c r="AA213" s="99"/>
      <c r="AC213" s="99"/>
      <c r="AD213" s="99"/>
      <c r="AE213" s="99"/>
      <c r="AG213" s="99"/>
      <c r="AH213" s="99"/>
      <c r="AI213" s="99"/>
    </row>
    <row r="214">
      <c r="C214" s="414"/>
      <c r="D214" s="414"/>
      <c r="F214" s="414"/>
      <c r="H214" s="407"/>
      <c r="P214" s="407"/>
      <c r="Y214" s="99"/>
      <c r="Z214" s="99"/>
      <c r="AA214" s="99"/>
      <c r="AC214" s="99"/>
      <c r="AD214" s="99"/>
      <c r="AE214" s="99"/>
      <c r="AG214" s="99"/>
      <c r="AH214" s="99"/>
      <c r="AI214" s="99"/>
    </row>
    <row r="215">
      <c r="C215" s="414"/>
      <c r="D215" s="414"/>
      <c r="F215" s="414"/>
      <c r="H215" s="407"/>
      <c r="P215" s="407"/>
      <c r="Y215" s="99"/>
      <c r="Z215" s="99"/>
      <c r="AA215" s="99"/>
      <c r="AC215" s="99"/>
      <c r="AD215" s="99"/>
      <c r="AE215" s="99"/>
      <c r="AG215" s="99"/>
      <c r="AH215" s="99"/>
      <c r="AI215" s="99"/>
    </row>
    <row r="216">
      <c r="C216" s="414"/>
      <c r="D216" s="414"/>
      <c r="F216" s="414"/>
      <c r="H216" s="407"/>
      <c r="P216" s="407"/>
      <c r="Y216" s="99"/>
      <c r="Z216" s="99"/>
      <c r="AA216" s="99"/>
      <c r="AC216" s="99"/>
      <c r="AD216" s="99"/>
      <c r="AE216" s="99"/>
      <c r="AG216" s="99"/>
      <c r="AH216" s="99"/>
      <c r="AI216" s="99"/>
    </row>
    <row r="217">
      <c r="C217" s="414"/>
      <c r="D217" s="414"/>
      <c r="F217" s="414"/>
      <c r="H217" s="407"/>
      <c r="P217" s="407"/>
      <c r="Y217" s="99"/>
      <c r="Z217" s="99"/>
      <c r="AA217" s="99"/>
      <c r="AC217" s="99"/>
      <c r="AD217" s="99"/>
      <c r="AE217" s="99"/>
      <c r="AG217" s="99"/>
      <c r="AH217" s="99"/>
      <c r="AI217" s="99"/>
    </row>
    <row r="218">
      <c r="C218" s="414"/>
      <c r="D218" s="414"/>
      <c r="F218" s="414"/>
      <c r="H218" s="407"/>
      <c r="P218" s="407"/>
      <c r="Y218" s="99"/>
      <c r="Z218" s="99"/>
      <c r="AA218" s="99"/>
      <c r="AC218" s="99"/>
      <c r="AD218" s="99"/>
      <c r="AE218" s="99"/>
      <c r="AG218" s="99"/>
      <c r="AH218" s="99"/>
      <c r="AI218" s="99"/>
    </row>
    <row r="219">
      <c r="C219" s="414"/>
      <c r="D219" s="414"/>
      <c r="F219" s="414"/>
      <c r="H219" s="407"/>
      <c r="P219" s="407"/>
      <c r="Y219" s="99"/>
      <c r="Z219" s="99"/>
      <c r="AA219" s="99"/>
      <c r="AC219" s="99"/>
      <c r="AD219" s="99"/>
      <c r="AE219" s="99"/>
      <c r="AG219" s="99"/>
      <c r="AH219" s="99"/>
      <c r="AI219" s="99"/>
    </row>
    <row r="220">
      <c r="C220" s="414"/>
      <c r="D220" s="414"/>
      <c r="F220" s="414"/>
      <c r="H220" s="407"/>
      <c r="P220" s="407"/>
      <c r="Y220" s="99"/>
      <c r="Z220" s="99"/>
      <c r="AA220" s="99"/>
      <c r="AC220" s="99"/>
      <c r="AD220" s="99"/>
      <c r="AE220" s="99"/>
      <c r="AG220" s="99"/>
      <c r="AH220" s="99"/>
      <c r="AI220" s="99"/>
    </row>
    <row r="221">
      <c r="C221" s="414"/>
      <c r="D221" s="414"/>
      <c r="F221" s="414"/>
      <c r="H221" s="407"/>
      <c r="P221" s="407"/>
      <c r="Y221" s="99"/>
      <c r="Z221" s="99"/>
      <c r="AA221" s="99"/>
      <c r="AC221" s="99"/>
      <c r="AD221" s="99"/>
      <c r="AE221" s="99"/>
      <c r="AG221" s="99"/>
      <c r="AH221" s="99"/>
      <c r="AI221" s="99"/>
    </row>
    <row r="222">
      <c r="C222" s="414"/>
      <c r="D222" s="414"/>
      <c r="F222" s="414"/>
      <c r="H222" s="407"/>
      <c r="P222" s="407"/>
      <c r="Y222" s="99"/>
      <c r="Z222" s="99"/>
      <c r="AA222" s="99"/>
      <c r="AC222" s="99"/>
      <c r="AD222" s="99"/>
      <c r="AE222" s="99"/>
      <c r="AG222" s="99"/>
      <c r="AH222" s="99"/>
      <c r="AI222" s="99"/>
    </row>
    <row r="223">
      <c r="C223" s="414"/>
      <c r="D223" s="414"/>
      <c r="F223" s="414"/>
      <c r="H223" s="407"/>
      <c r="P223" s="407"/>
      <c r="Y223" s="99"/>
      <c r="Z223" s="99"/>
      <c r="AA223" s="99"/>
      <c r="AC223" s="99"/>
      <c r="AD223" s="99"/>
      <c r="AE223" s="99"/>
      <c r="AG223" s="99"/>
      <c r="AH223" s="99"/>
      <c r="AI223" s="99"/>
    </row>
    <row r="224">
      <c r="C224" s="414"/>
      <c r="D224" s="414"/>
      <c r="F224" s="414"/>
      <c r="H224" s="407"/>
      <c r="P224" s="407"/>
      <c r="Y224" s="99"/>
      <c r="Z224" s="99"/>
      <c r="AA224" s="99"/>
      <c r="AC224" s="99"/>
      <c r="AD224" s="99"/>
      <c r="AE224" s="99"/>
      <c r="AG224" s="99"/>
      <c r="AH224" s="99"/>
      <c r="AI224" s="99"/>
    </row>
    <row r="225">
      <c r="C225" s="414"/>
      <c r="D225" s="414"/>
      <c r="F225" s="414"/>
      <c r="H225" s="407"/>
      <c r="P225" s="407"/>
      <c r="Y225" s="99"/>
      <c r="Z225" s="99"/>
      <c r="AA225" s="99"/>
      <c r="AC225" s="99"/>
      <c r="AD225" s="99"/>
      <c r="AE225" s="99"/>
      <c r="AG225" s="99"/>
      <c r="AH225" s="99"/>
      <c r="AI225" s="99"/>
    </row>
    <row r="226">
      <c r="C226" s="414"/>
      <c r="D226" s="414"/>
      <c r="F226" s="414"/>
      <c r="H226" s="407"/>
      <c r="P226" s="407"/>
      <c r="Y226" s="99"/>
      <c r="Z226" s="99"/>
      <c r="AA226" s="99"/>
      <c r="AC226" s="99"/>
      <c r="AD226" s="99"/>
      <c r="AE226" s="99"/>
      <c r="AG226" s="99"/>
      <c r="AH226" s="99"/>
      <c r="AI226" s="99"/>
    </row>
    <row r="227">
      <c r="C227" s="414"/>
      <c r="D227" s="414"/>
      <c r="F227" s="414"/>
      <c r="H227" s="407"/>
      <c r="P227" s="407"/>
      <c r="Y227" s="99"/>
      <c r="Z227" s="99"/>
      <c r="AA227" s="99"/>
      <c r="AC227" s="99"/>
      <c r="AD227" s="99"/>
      <c r="AE227" s="99"/>
      <c r="AG227" s="99"/>
      <c r="AH227" s="99"/>
      <c r="AI227" s="99"/>
    </row>
    <row r="228">
      <c r="C228" s="414"/>
      <c r="D228" s="414"/>
      <c r="F228" s="414"/>
      <c r="H228" s="407"/>
      <c r="P228" s="407"/>
      <c r="Y228" s="99"/>
      <c r="Z228" s="99"/>
      <c r="AA228" s="99"/>
      <c r="AC228" s="99"/>
      <c r="AD228" s="99"/>
      <c r="AE228" s="99"/>
      <c r="AG228" s="99"/>
      <c r="AH228" s="99"/>
      <c r="AI228" s="99"/>
    </row>
    <row r="229">
      <c r="C229" s="414"/>
      <c r="D229" s="414"/>
      <c r="F229" s="414"/>
      <c r="H229" s="407"/>
      <c r="P229" s="407"/>
      <c r="Y229" s="99"/>
      <c r="Z229" s="99"/>
      <c r="AA229" s="99"/>
      <c r="AC229" s="99"/>
      <c r="AD229" s="99"/>
      <c r="AE229" s="99"/>
      <c r="AG229" s="99"/>
      <c r="AH229" s="99"/>
      <c r="AI229" s="99"/>
    </row>
    <row r="230">
      <c r="C230" s="414"/>
      <c r="D230" s="414"/>
      <c r="F230" s="414"/>
      <c r="H230" s="407"/>
      <c r="P230" s="407"/>
      <c r="Y230" s="99"/>
      <c r="Z230" s="99"/>
      <c r="AA230" s="99"/>
      <c r="AC230" s="99"/>
      <c r="AD230" s="99"/>
      <c r="AE230" s="99"/>
      <c r="AG230" s="99"/>
      <c r="AH230" s="99"/>
      <c r="AI230" s="99"/>
    </row>
    <row r="231">
      <c r="C231" s="414"/>
      <c r="D231" s="414"/>
      <c r="F231" s="414"/>
      <c r="H231" s="407"/>
      <c r="P231" s="407"/>
      <c r="Y231" s="99"/>
      <c r="Z231" s="99"/>
      <c r="AA231" s="99"/>
      <c r="AC231" s="99"/>
      <c r="AD231" s="99"/>
      <c r="AE231" s="99"/>
      <c r="AG231" s="99"/>
      <c r="AH231" s="99"/>
      <c r="AI231" s="99"/>
    </row>
    <row r="232">
      <c r="C232" s="414"/>
      <c r="D232" s="414"/>
      <c r="F232" s="414"/>
      <c r="H232" s="407"/>
      <c r="P232" s="407"/>
      <c r="Y232" s="99"/>
      <c r="Z232" s="99"/>
      <c r="AA232" s="99"/>
      <c r="AC232" s="99"/>
      <c r="AD232" s="99"/>
      <c r="AE232" s="99"/>
      <c r="AG232" s="99"/>
      <c r="AH232" s="99"/>
      <c r="AI232" s="99"/>
    </row>
    <row r="233">
      <c r="C233" s="414"/>
      <c r="D233" s="414"/>
      <c r="F233" s="414"/>
      <c r="H233" s="407"/>
      <c r="P233" s="407"/>
      <c r="Y233" s="99"/>
      <c r="Z233" s="99"/>
      <c r="AA233" s="99"/>
      <c r="AC233" s="99"/>
      <c r="AD233" s="99"/>
      <c r="AE233" s="99"/>
      <c r="AG233" s="99"/>
      <c r="AH233" s="99"/>
      <c r="AI233" s="99"/>
    </row>
    <row r="234">
      <c r="C234" s="414"/>
      <c r="D234" s="414"/>
      <c r="F234" s="414"/>
      <c r="H234" s="407"/>
      <c r="P234" s="407"/>
      <c r="Y234" s="99"/>
      <c r="Z234" s="99"/>
      <c r="AA234" s="99"/>
      <c r="AC234" s="99"/>
      <c r="AD234" s="99"/>
      <c r="AE234" s="99"/>
      <c r="AG234" s="99"/>
      <c r="AH234" s="99"/>
      <c r="AI234" s="99"/>
    </row>
    <row r="235">
      <c r="C235" s="414"/>
      <c r="D235" s="414"/>
      <c r="F235" s="414"/>
      <c r="H235" s="407"/>
      <c r="P235" s="407"/>
      <c r="Y235" s="99"/>
      <c r="Z235" s="99"/>
      <c r="AA235" s="99"/>
      <c r="AC235" s="99"/>
      <c r="AD235" s="99"/>
      <c r="AE235" s="99"/>
      <c r="AG235" s="99"/>
      <c r="AH235" s="99"/>
      <c r="AI235" s="99"/>
    </row>
    <row r="236">
      <c r="C236" s="414"/>
      <c r="D236" s="414"/>
      <c r="F236" s="414"/>
      <c r="H236" s="407"/>
      <c r="P236" s="407"/>
      <c r="Y236" s="99"/>
      <c r="Z236" s="99"/>
      <c r="AA236" s="99"/>
      <c r="AC236" s="99"/>
      <c r="AD236" s="99"/>
      <c r="AE236" s="99"/>
      <c r="AG236" s="99"/>
      <c r="AH236" s="99"/>
      <c r="AI236" s="99"/>
    </row>
    <row r="237">
      <c r="C237" s="414"/>
      <c r="D237" s="414"/>
      <c r="F237" s="414"/>
      <c r="H237" s="407"/>
      <c r="P237" s="407"/>
      <c r="Y237" s="99"/>
      <c r="Z237" s="99"/>
      <c r="AA237" s="99"/>
      <c r="AC237" s="99"/>
      <c r="AD237" s="99"/>
      <c r="AE237" s="99"/>
      <c r="AG237" s="99"/>
      <c r="AH237" s="99"/>
      <c r="AI237" s="99"/>
    </row>
    <row r="238">
      <c r="C238" s="414"/>
      <c r="D238" s="414"/>
      <c r="F238" s="414"/>
      <c r="H238" s="407"/>
      <c r="P238" s="407"/>
      <c r="Y238" s="99"/>
      <c r="Z238" s="99"/>
      <c r="AA238" s="99"/>
      <c r="AC238" s="99"/>
      <c r="AD238" s="99"/>
      <c r="AE238" s="99"/>
      <c r="AG238" s="99"/>
      <c r="AH238" s="99"/>
      <c r="AI238" s="99"/>
    </row>
    <row r="239">
      <c r="C239" s="414"/>
      <c r="D239" s="414"/>
      <c r="F239" s="414"/>
      <c r="H239" s="407"/>
      <c r="P239" s="407"/>
      <c r="Y239" s="99"/>
      <c r="Z239" s="99"/>
      <c r="AA239" s="99"/>
      <c r="AC239" s="99"/>
      <c r="AD239" s="99"/>
      <c r="AE239" s="99"/>
      <c r="AG239" s="99"/>
      <c r="AH239" s="99"/>
      <c r="AI239" s="99"/>
    </row>
    <row r="240">
      <c r="C240" s="414"/>
      <c r="D240" s="414"/>
      <c r="F240" s="414"/>
      <c r="H240" s="407"/>
      <c r="P240" s="407"/>
      <c r="Y240" s="99"/>
      <c r="Z240" s="99"/>
      <c r="AA240" s="99"/>
      <c r="AC240" s="99"/>
      <c r="AD240" s="99"/>
      <c r="AE240" s="99"/>
      <c r="AG240" s="99"/>
      <c r="AH240" s="99"/>
      <c r="AI240" s="99"/>
    </row>
    <row r="241">
      <c r="C241" s="414"/>
      <c r="D241" s="414"/>
      <c r="F241" s="414"/>
      <c r="H241" s="407"/>
      <c r="P241" s="407"/>
      <c r="Y241" s="99"/>
      <c r="Z241" s="99"/>
      <c r="AA241" s="99"/>
      <c r="AC241" s="99"/>
      <c r="AD241" s="99"/>
      <c r="AE241" s="99"/>
      <c r="AG241" s="99"/>
      <c r="AH241" s="99"/>
      <c r="AI241" s="99"/>
    </row>
    <row r="242">
      <c r="C242" s="414"/>
      <c r="D242" s="414"/>
      <c r="F242" s="414"/>
      <c r="H242" s="407"/>
      <c r="P242" s="407"/>
      <c r="Y242" s="99"/>
      <c r="Z242" s="99"/>
      <c r="AA242" s="99"/>
      <c r="AC242" s="99"/>
      <c r="AD242" s="99"/>
      <c r="AE242" s="99"/>
      <c r="AG242" s="99"/>
      <c r="AH242" s="99"/>
      <c r="AI242" s="99"/>
    </row>
    <row r="243">
      <c r="C243" s="414"/>
      <c r="D243" s="414"/>
      <c r="F243" s="414"/>
      <c r="H243" s="407"/>
      <c r="P243" s="407"/>
      <c r="Y243" s="99"/>
      <c r="Z243" s="99"/>
      <c r="AA243" s="99"/>
      <c r="AC243" s="99"/>
      <c r="AD243" s="99"/>
      <c r="AE243" s="99"/>
      <c r="AG243" s="99"/>
      <c r="AH243" s="99"/>
      <c r="AI243" s="99"/>
    </row>
    <row r="244">
      <c r="C244" s="414"/>
      <c r="D244" s="414"/>
      <c r="F244" s="414"/>
      <c r="H244" s="407"/>
      <c r="P244" s="407"/>
      <c r="Y244" s="99"/>
      <c r="Z244" s="99"/>
      <c r="AA244" s="99"/>
      <c r="AC244" s="99"/>
      <c r="AD244" s="99"/>
      <c r="AE244" s="99"/>
      <c r="AG244" s="99"/>
      <c r="AH244" s="99"/>
      <c r="AI244" s="99"/>
    </row>
    <row r="245">
      <c r="C245" s="414"/>
      <c r="D245" s="414"/>
      <c r="F245" s="414"/>
      <c r="H245" s="407"/>
      <c r="P245" s="407"/>
      <c r="Y245" s="99"/>
      <c r="Z245" s="99"/>
      <c r="AA245" s="99"/>
      <c r="AC245" s="99"/>
      <c r="AD245" s="99"/>
      <c r="AE245" s="99"/>
      <c r="AG245" s="99"/>
      <c r="AH245" s="99"/>
      <c r="AI245" s="99"/>
    </row>
    <row r="246">
      <c r="C246" s="414"/>
      <c r="D246" s="414"/>
      <c r="F246" s="414"/>
      <c r="H246" s="407"/>
      <c r="P246" s="407"/>
      <c r="Y246" s="99"/>
      <c r="Z246" s="99"/>
      <c r="AA246" s="99"/>
      <c r="AC246" s="99"/>
      <c r="AD246" s="99"/>
      <c r="AE246" s="99"/>
      <c r="AG246" s="99"/>
      <c r="AH246" s="99"/>
      <c r="AI246" s="99"/>
    </row>
    <row r="247">
      <c r="C247" s="414"/>
      <c r="D247" s="414"/>
      <c r="F247" s="414"/>
      <c r="H247" s="407"/>
      <c r="P247" s="407"/>
      <c r="Y247" s="99"/>
      <c r="Z247" s="99"/>
      <c r="AA247" s="99"/>
      <c r="AC247" s="99"/>
      <c r="AD247" s="99"/>
      <c r="AE247" s="99"/>
      <c r="AG247" s="99"/>
      <c r="AH247" s="99"/>
      <c r="AI247" s="99"/>
    </row>
    <row r="248">
      <c r="C248" s="414"/>
      <c r="D248" s="414"/>
      <c r="F248" s="414"/>
      <c r="H248" s="407"/>
      <c r="P248" s="407"/>
      <c r="Y248" s="99"/>
      <c r="Z248" s="99"/>
      <c r="AA248" s="99"/>
      <c r="AC248" s="99"/>
      <c r="AD248" s="99"/>
      <c r="AE248" s="99"/>
      <c r="AG248" s="99"/>
      <c r="AH248" s="99"/>
      <c r="AI248" s="99"/>
    </row>
    <row r="249">
      <c r="C249" s="414"/>
      <c r="D249" s="414"/>
      <c r="F249" s="414"/>
      <c r="H249" s="407"/>
      <c r="P249" s="407"/>
      <c r="Y249" s="99"/>
      <c r="Z249" s="99"/>
      <c r="AA249" s="99"/>
      <c r="AC249" s="99"/>
      <c r="AD249" s="99"/>
      <c r="AE249" s="99"/>
      <c r="AG249" s="99"/>
      <c r="AH249" s="99"/>
      <c r="AI249" s="99"/>
    </row>
    <row r="250">
      <c r="C250" s="414"/>
      <c r="D250" s="414"/>
      <c r="F250" s="414"/>
      <c r="H250" s="407"/>
      <c r="P250" s="407"/>
      <c r="Y250" s="99"/>
      <c r="Z250" s="99"/>
      <c r="AA250" s="99"/>
      <c r="AC250" s="99"/>
      <c r="AD250" s="99"/>
      <c r="AE250" s="99"/>
      <c r="AG250" s="99"/>
      <c r="AH250" s="99"/>
      <c r="AI250" s="99"/>
    </row>
    <row r="251">
      <c r="C251" s="414"/>
      <c r="D251" s="414"/>
      <c r="F251" s="414"/>
      <c r="H251" s="407"/>
      <c r="P251" s="407"/>
      <c r="Y251" s="99"/>
      <c r="Z251" s="99"/>
      <c r="AA251" s="99"/>
      <c r="AC251" s="99"/>
      <c r="AD251" s="99"/>
      <c r="AE251" s="99"/>
      <c r="AG251" s="99"/>
      <c r="AH251" s="99"/>
      <c r="AI251" s="99"/>
    </row>
    <row r="252">
      <c r="C252" s="414"/>
      <c r="D252" s="414"/>
      <c r="F252" s="414"/>
      <c r="H252" s="407"/>
      <c r="P252" s="407"/>
      <c r="Y252" s="99"/>
      <c r="Z252" s="99"/>
      <c r="AA252" s="99"/>
      <c r="AC252" s="99"/>
      <c r="AD252" s="99"/>
      <c r="AE252" s="99"/>
      <c r="AG252" s="99"/>
      <c r="AH252" s="99"/>
      <c r="AI252" s="99"/>
    </row>
    <row r="253">
      <c r="C253" s="414"/>
      <c r="D253" s="414"/>
      <c r="F253" s="414"/>
      <c r="H253" s="407"/>
      <c r="P253" s="407"/>
      <c r="Y253" s="99"/>
      <c r="Z253" s="99"/>
      <c r="AA253" s="99"/>
      <c r="AC253" s="99"/>
      <c r="AD253" s="99"/>
      <c r="AE253" s="99"/>
      <c r="AG253" s="99"/>
      <c r="AH253" s="99"/>
      <c r="AI253" s="99"/>
    </row>
    <row r="254">
      <c r="C254" s="414"/>
      <c r="D254" s="414"/>
      <c r="F254" s="414"/>
      <c r="H254" s="407"/>
      <c r="P254" s="407"/>
      <c r="Y254" s="99"/>
      <c r="Z254" s="99"/>
      <c r="AA254" s="99"/>
      <c r="AC254" s="99"/>
      <c r="AD254" s="99"/>
      <c r="AE254" s="99"/>
      <c r="AG254" s="99"/>
      <c r="AH254" s="99"/>
      <c r="AI254" s="99"/>
    </row>
    <row r="255">
      <c r="C255" s="414"/>
      <c r="D255" s="414"/>
      <c r="F255" s="414"/>
      <c r="H255" s="407"/>
      <c r="P255" s="407"/>
      <c r="Y255" s="99"/>
      <c r="Z255" s="99"/>
      <c r="AA255" s="99"/>
      <c r="AC255" s="99"/>
      <c r="AD255" s="99"/>
      <c r="AE255" s="99"/>
      <c r="AG255" s="99"/>
      <c r="AH255" s="99"/>
      <c r="AI255" s="99"/>
    </row>
    <row r="256">
      <c r="C256" s="414"/>
      <c r="D256" s="414"/>
      <c r="F256" s="414"/>
      <c r="H256" s="407"/>
      <c r="P256" s="407"/>
      <c r="Y256" s="99"/>
      <c r="Z256" s="99"/>
      <c r="AA256" s="99"/>
      <c r="AC256" s="99"/>
      <c r="AD256" s="99"/>
      <c r="AE256" s="99"/>
      <c r="AG256" s="99"/>
      <c r="AH256" s="99"/>
      <c r="AI256" s="99"/>
    </row>
    <row r="257">
      <c r="C257" s="414"/>
      <c r="D257" s="414"/>
      <c r="F257" s="414"/>
      <c r="H257" s="407"/>
      <c r="P257" s="407"/>
      <c r="Y257" s="99"/>
      <c r="Z257" s="99"/>
      <c r="AA257" s="99"/>
      <c r="AC257" s="99"/>
      <c r="AD257" s="99"/>
      <c r="AE257" s="99"/>
      <c r="AG257" s="99"/>
      <c r="AH257" s="99"/>
      <c r="AI257" s="99"/>
    </row>
    <row r="258">
      <c r="C258" s="414"/>
      <c r="D258" s="414"/>
      <c r="F258" s="414"/>
      <c r="H258" s="407"/>
      <c r="P258" s="407"/>
      <c r="Y258" s="99"/>
      <c r="Z258" s="99"/>
      <c r="AA258" s="99"/>
      <c r="AC258" s="99"/>
      <c r="AD258" s="99"/>
      <c r="AE258" s="99"/>
      <c r="AG258" s="99"/>
      <c r="AH258" s="99"/>
      <c r="AI258" s="99"/>
    </row>
    <row r="259">
      <c r="C259" s="414"/>
      <c r="D259" s="414"/>
      <c r="F259" s="414"/>
      <c r="H259" s="407"/>
      <c r="P259" s="407"/>
      <c r="Y259" s="99"/>
      <c r="Z259" s="99"/>
      <c r="AA259" s="99"/>
      <c r="AC259" s="99"/>
      <c r="AD259" s="99"/>
      <c r="AE259" s="99"/>
      <c r="AG259" s="99"/>
      <c r="AH259" s="99"/>
      <c r="AI259" s="99"/>
    </row>
    <row r="260">
      <c r="C260" s="414"/>
      <c r="D260" s="414"/>
      <c r="F260" s="414"/>
      <c r="H260" s="407"/>
      <c r="P260" s="407"/>
      <c r="Y260" s="99"/>
      <c r="Z260" s="99"/>
      <c r="AA260" s="99"/>
      <c r="AC260" s="99"/>
      <c r="AD260" s="99"/>
      <c r="AE260" s="99"/>
      <c r="AG260" s="99"/>
      <c r="AH260" s="99"/>
      <c r="AI260" s="99"/>
    </row>
    <row r="261">
      <c r="C261" s="414"/>
      <c r="D261" s="414"/>
      <c r="F261" s="414"/>
      <c r="H261" s="407"/>
      <c r="P261" s="407"/>
      <c r="Y261" s="99"/>
      <c r="Z261" s="99"/>
      <c r="AA261" s="99"/>
      <c r="AC261" s="99"/>
      <c r="AD261" s="99"/>
      <c r="AE261" s="99"/>
      <c r="AG261" s="99"/>
      <c r="AH261" s="99"/>
      <c r="AI261" s="99"/>
    </row>
    <row r="262">
      <c r="C262" s="414"/>
      <c r="D262" s="414"/>
      <c r="F262" s="414"/>
      <c r="H262" s="407"/>
      <c r="P262" s="407"/>
      <c r="Y262" s="99"/>
      <c r="Z262" s="99"/>
      <c r="AA262" s="99"/>
      <c r="AC262" s="99"/>
      <c r="AD262" s="99"/>
      <c r="AE262" s="99"/>
      <c r="AG262" s="99"/>
      <c r="AH262" s="99"/>
      <c r="AI262" s="99"/>
    </row>
    <row r="263">
      <c r="C263" s="414"/>
      <c r="D263" s="414"/>
      <c r="F263" s="414"/>
      <c r="H263" s="407"/>
      <c r="P263" s="407"/>
      <c r="Y263" s="99"/>
      <c r="Z263" s="99"/>
      <c r="AA263" s="99"/>
      <c r="AC263" s="99"/>
      <c r="AD263" s="99"/>
      <c r="AE263" s="99"/>
      <c r="AG263" s="99"/>
      <c r="AH263" s="99"/>
      <c r="AI263" s="99"/>
    </row>
    <row r="264">
      <c r="C264" s="414"/>
      <c r="D264" s="414"/>
      <c r="F264" s="414"/>
      <c r="H264" s="407"/>
      <c r="P264" s="407"/>
      <c r="Y264" s="99"/>
      <c r="Z264" s="99"/>
      <c r="AA264" s="99"/>
      <c r="AC264" s="99"/>
      <c r="AD264" s="99"/>
      <c r="AE264" s="99"/>
      <c r="AG264" s="99"/>
      <c r="AH264" s="99"/>
      <c r="AI264" s="99"/>
    </row>
    <row r="265">
      <c r="C265" s="414"/>
      <c r="D265" s="414"/>
      <c r="F265" s="414"/>
      <c r="H265" s="407"/>
      <c r="P265" s="407"/>
      <c r="Y265" s="99"/>
      <c r="Z265" s="99"/>
      <c r="AA265" s="99"/>
      <c r="AC265" s="99"/>
      <c r="AD265" s="99"/>
      <c r="AE265" s="99"/>
      <c r="AG265" s="99"/>
      <c r="AH265" s="99"/>
      <c r="AI265" s="99"/>
    </row>
    <row r="266">
      <c r="C266" s="414"/>
      <c r="D266" s="414"/>
      <c r="F266" s="414"/>
      <c r="H266" s="407"/>
      <c r="P266" s="407"/>
      <c r="Y266" s="99"/>
      <c r="Z266" s="99"/>
      <c r="AA266" s="99"/>
      <c r="AC266" s="99"/>
      <c r="AD266" s="99"/>
      <c r="AE266" s="99"/>
      <c r="AG266" s="99"/>
      <c r="AH266" s="99"/>
      <c r="AI266" s="99"/>
    </row>
    <row r="267">
      <c r="C267" s="414"/>
      <c r="D267" s="414"/>
      <c r="F267" s="414"/>
      <c r="H267" s="407"/>
      <c r="P267" s="407"/>
      <c r="Y267" s="99"/>
      <c r="Z267" s="99"/>
      <c r="AA267" s="99"/>
      <c r="AC267" s="99"/>
      <c r="AD267" s="99"/>
      <c r="AE267" s="99"/>
      <c r="AG267" s="99"/>
      <c r="AH267" s="99"/>
      <c r="AI267" s="99"/>
    </row>
    <row r="268">
      <c r="C268" s="414"/>
      <c r="D268" s="414"/>
      <c r="F268" s="414"/>
      <c r="H268" s="407"/>
      <c r="P268" s="407"/>
      <c r="Y268" s="99"/>
      <c r="Z268" s="99"/>
      <c r="AA268" s="99"/>
      <c r="AC268" s="99"/>
      <c r="AD268" s="99"/>
      <c r="AE268" s="99"/>
      <c r="AG268" s="99"/>
      <c r="AH268" s="99"/>
      <c r="AI268" s="99"/>
    </row>
    <row r="269">
      <c r="C269" s="414"/>
      <c r="D269" s="414"/>
      <c r="F269" s="414"/>
      <c r="H269" s="407"/>
      <c r="P269" s="407"/>
      <c r="Y269" s="99"/>
      <c r="Z269" s="99"/>
      <c r="AA269" s="99"/>
      <c r="AC269" s="99"/>
      <c r="AD269" s="99"/>
      <c r="AE269" s="99"/>
      <c r="AG269" s="99"/>
      <c r="AH269" s="99"/>
      <c r="AI269" s="99"/>
    </row>
    <row r="270">
      <c r="C270" s="414"/>
      <c r="D270" s="414"/>
      <c r="F270" s="414"/>
      <c r="H270" s="407"/>
      <c r="P270" s="407"/>
      <c r="Y270" s="99"/>
      <c r="Z270" s="99"/>
      <c r="AA270" s="99"/>
      <c r="AC270" s="99"/>
      <c r="AD270" s="99"/>
      <c r="AE270" s="99"/>
      <c r="AG270" s="99"/>
      <c r="AH270" s="99"/>
      <c r="AI270" s="99"/>
    </row>
    <row r="271">
      <c r="C271" s="414"/>
      <c r="D271" s="414"/>
      <c r="F271" s="414"/>
      <c r="H271" s="407"/>
      <c r="P271" s="407"/>
      <c r="Y271" s="99"/>
      <c r="Z271" s="99"/>
      <c r="AA271" s="99"/>
      <c r="AC271" s="99"/>
      <c r="AD271" s="99"/>
      <c r="AE271" s="99"/>
      <c r="AG271" s="99"/>
      <c r="AH271" s="99"/>
      <c r="AI271" s="99"/>
    </row>
    <row r="272">
      <c r="C272" s="414"/>
      <c r="D272" s="414"/>
      <c r="F272" s="414"/>
      <c r="H272" s="407"/>
      <c r="P272" s="407"/>
      <c r="Y272" s="99"/>
      <c r="Z272" s="99"/>
      <c r="AA272" s="99"/>
      <c r="AC272" s="99"/>
      <c r="AD272" s="99"/>
      <c r="AE272" s="99"/>
      <c r="AG272" s="99"/>
      <c r="AH272" s="99"/>
      <c r="AI272" s="99"/>
    </row>
    <row r="273">
      <c r="C273" s="414"/>
      <c r="D273" s="414"/>
      <c r="F273" s="414"/>
      <c r="H273" s="407"/>
      <c r="P273" s="407"/>
      <c r="Y273" s="99"/>
      <c r="Z273" s="99"/>
      <c r="AA273" s="99"/>
      <c r="AC273" s="99"/>
      <c r="AD273" s="99"/>
      <c r="AE273" s="99"/>
      <c r="AG273" s="99"/>
      <c r="AH273" s="99"/>
      <c r="AI273" s="99"/>
    </row>
    <row r="274">
      <c r="C274" s="414"/>
      <c r="D274" s="414"/>
      <c r="F274" s="414"/>
      <c r="H274" s="407"/>
      <c r="P274" s="407"/>
      <c r="Y274" s="99"/>
      <c r="Z274" s="99"/>
      <c r="AA274" s="99"/>
      <c r="AC274" s="99"/>
      <c r="AD274" s="99"/>
      <c r="AE274" s="99"/>
      <c r="AG274" s="99"/>
      <c r="AH274" s="99"/>
      <c r="AI274" s="99"/>
    </row>
    <row r="275">
      <c r="C275" s="414"/>
      <c r="D275" s="414"/>
      <c r="F275" s="414"/>
      <c r="H275" s="407"/>
      <c r="P275" s="407"/>
      <c r="Y275" s="99"/>
      <c r="Z275" s="99"/>
      <c r="AA275" s="99"/>
      <c r="AC275" s="99"/>
      <c r="AD275" s="99"/>
      <c r="AE275" s="99"/>
      <c r="AG275" s="99"/>
      <c r="AH275" s="99"/>
      <c r="AI275" s="99"/>
    </row>
    <row r="276">
      <c r="C276" s="414"/>
      <c r="D276" s="414"/>
      <c r="F276" s="414"/>
      <c r="H276" s="407"/>
      <c r="P276" s="407"/>
      <c r="Y276" s="99"/>
      <c r="Z276" s="99"/>
      <c r="AA276" s="99"/>
      <c r="AC276" s="99"/>
      <c r="AD276" s="99"/>
      <c r="AE276" s="99"/>
      <c r="AG276" s="99"/>
      <c r="AH276" s="99"/>
      <c r="AI276" s="99"/>
    </row>
    <row r="277">
      <c r="C277" s="414"/>
      <c r="D277" s="414"/>
      <c r="F277" s="414"/>
      <c r="H277" s="407"/>
      <c r="P277" s="407"/>
      <c r="Y277" s="99"/>
      <c r="Z277" s="99"/>
      <c r="AA277" s="99"/>
      <c r="AC277" s="99"/>
      <c r="AD277" s="99"/>
      <c r="AE277" s="99"/>
      <c r="AG277" s="99"/>
      <c r="AH277" s="99"/>
      <c r="AI277" s="99"/>
    </row>
    <row r="278">
      <c r="C278" s="414"/>
      <c r="D278" s="414"/>
      <c r="F278" s="414"/>
      <c r="H278" s="407"/>
      <c r="P278" s="407"/>
      <c r="Y278" s="99"/>
      <c r="Z278" s="99"/>
      <c r="AA278" s="99"/>
      <c r="AC278" s="99"/>
      <c r="AD278" s="99"/>
      <c r="AE278" s="99"/>
      <c r="AG278" s="99"/>
      <c r="AH278" s="99"/>
      <c r="AI278" s="99"/>
    </row>
    <row r="279">
      <c r="C279" s="414"/>
      <c r="D279" s="414"/>
      <c r="F279" s="414"/>
      <c r="H279" s="407"/>
      <c r="P279" s="407"/>
      <c r="Y279" s="99"/>
      <c r="Z279" s="99"/>
      <c r="AA279" s="99"/>
      <c r="AC279" s="99"/>
      <c r="AD279" s="99"/>
      <c r="AE279" s="99"/>
      <c r="AG279" s="99"/>
      <c r="AH279" s="99"/>
      <c r="AI279" s="99"/>
    </row>
    <row r="280">
      <c r="C280" s="414"/>
      <c r="D280" s="414"/>
      <c r="F280" s="414"/>
      <c r="H280" s="407"/>
      <c r="P280" s="407"/>
      <c r="Y280" s="99"/>
      <c r="Z280" s="99"/>
      <c r="AA280" s="99"/>
      <c r="AC280" s="99"/>
      <c r="AD280" s="99"/>
      <c r="AE280" s="99"/>
      <c r="AG280" s="99"/>
      <c r="AH280" s="99"/>
      <c r="AI280" s="99"/>
    </row>
    <row r="281">
      <c r="C281" s="414"/>
      <c r="D281" s="414"/>
      <c r="F281" s="414"/>
      <c r="H281" s="407"/>
      <c r="P281" s="407"/>
      <c r="Y281" s="99"/>
      <c r="Z281" s="99"/>
      <c r="AA281" s="99"/>
      <c r="AC281" s="99"/>
      <c r="AD281" s="99"/>
      <c r="AE281" s="99"/>
      <c r="AG281" s="99"/>
      <c r="AH281" s="99"/>
      <c r="AI281" s="99"/>
    </row>
    <row r="282">
      <c r="C282" s="414"/>
      <c r="D282" s="414"/>
      <c r="F282" s="414"/>
      <c r="H282" s="407"/>
      <c r="P282" s="407"/>
      <c r="Y282" s="99"/>
      <c r="Z282" s="99"/>
      <c r="AA282" s="99"/>
      <c r="AC282" s="99"/>
      <c r="AD282" s="99"/>
      <c r="AE282" s="99"/>
      <c r="AG282" s="99"/>
      <c r="AH282" s="99"/>
      <c r="AI282" s="99"/>
    </row>
    <row r="283">
      <c r="C283" s="414"/>
      <c r="D283" s="414"/>
      <c r="F283" s="414"/>
      <c r="H283" s="407"/>
      <c r="P283" s="407"/>
      <c r="Y283" s="99"/>
      <c r="Z283" s="99"/>
      <c r="AA283" s="99"/>
      <c r="AC283" s="99"/>
      <c r="AD283" s="99"/>
      <c r="AE283" s="99"/>
      <c r="AG283" s="99"/>
      <c r="AH283" s="99"/>
      <c r="AI283" s="99"/>
    </row>
    <row r="284">
      <c r="C284" s="414"/>
      <c r="D284" s="414"/>
      <c r="F284" s="414"/>
      <c r="H284" s="407"/>
      <c r="P284" s="407"/>
      <c r="Y284" s="99"/>
      <c r="Z284" s="99"/>
      <c r="AA284" s="99"/>
      <c r="AC284" s="99"/>
      <c r="AD284" s="99"/>
      <c r="AE284" s="99"/>
      <c r="AG284" s="99"/>
      <c r="AH284" s="99"/>
      <c r="AI284" s="99"/>
    </row>
    <row r="285">
      <c r="C285" s="414"/>
      <c r="D285" s="414"/>
      <c r="F285" s="414"/>
      <c r="H285" s="407"/>
      <c r="P285" s="407"/>
      <c r="Y285" s="99"/>
      <c r="Z285" s="99"/>
      <c r="AA285" s="99"/>
      <c r="AC285" s="99"/>
      <c r="AD285" s="99"/>
      <c r="AE285" s="99"/>
      <c r="AG285" s="99"/>
      <c r="AH285" s="99"/>
      <c r="AI285" s="99"/>
    </row>
    <row r="286">
      <c r="C286" s="414"/>
      <c r="D286" s="414"/>
      <c r="F286" s="414"/>
      <c r="H286" s="407"/>
      <c r="P286" s="407"/>
      <c r="Y286" s="99"/>
      <c r="Z286" s="99"/>
      <c r="AA286" s="99"/>
      <c r="AC286" s="99"/>
      <c r="AD286" s="99"/>
      <c r="AE286" s="99"/>
      <c r="AG286" s="99"/>
      <c r="AH286" s="99"/>
      <c r="AI286" s="99"/>
    </row>
    <row r="287">
      <c r="C287" s="414"/>
      <c r="D287" s="414"/>
      <c r="F287" s="414"/>
      <c r="H287" s="407"/>
      <c r="P287" s="407"/>
      <c r="Y287" s="99"/>
      <c r="Z287" s="99"/>
      <c r="AA287" s="99"/>
      <c r="AC287" s="99"/>
      <c r="AD287" s="99"/>
      <c r="AE287" s="99"/>
      <c r="AG287" s="99"/>
      <c r="AH287" s="99"/>
      <c r="AI287" s="99"/>
    </row>
    <row r="288">
      <c r="C288" s="414"/>
      <c r="D288" s="414"/>
      <c r="F288" s="414"/>
      <c r="H288" s="407"/>
      <c r="P288" s="407"/>
      <c r="Y288" s="99"/>
      <c r="Z288" s="99"/>
      <c r="AA288" s="99"/>
      <c r="AC288" s="99"/>
      <c r="AD288" s="99"/>
      <c r="AE288" s="99"/>
      <c r="AG288" s="99"/>
      <c r="AH288" s="99"/>
      <c r="AI288" s="99"/>
    </row>
    <row r="289">
      <c r="C289" s="414"/>
      <c r="D289" s="414"/>
      <c r="F289" s="414"/>
      <c r="H289" s="407"/>
      <c r="P289" s="407"/>
      <c r="Y289" s="99"/>
      <c r="Z289" s="99"/>
      <c r="AA289" s="99"/>
      <c r="AC289" s="99"/>
      <c r="AD289" s="99"/>
      <c r="AE289" s="99"/>
      <c r="AG289" s="99"/>
      <c r="AH289" s="99"/>
      <c r="AI289" s="99"/>
    </row>
    <row r="290">
      <c r="C290" s="414"/>
      <c r="D290" s="414"/>
      <c r="F290" s="414"/>
      <c r="H290" s="407"/>
      <c r="P290" s="407"/>
      <c r="Y290" s="99"/>
      <c r="Z290" s="99"/>
      <c r="AA290" s="99"/>
      <c r="AC290" s="99"/>
      <c r="AD290" s="99"/>
      <c r="AE290" s="99"/>
      <c r="AG290" s="99"/>
      <c r="AH290" s="99"/>
      <c r="AI290" s="99"/>
    </row>
    <row r="291">
      <c r="C291" s="414"/>
      <c r="D291" s="414"/>
      <c r="F291" s="414"/>
      <c r="H291" s="407"/>
      <c r="P291" s="407"/>
      <c r="Y291" s="99"/>
      <c r="Z291" s="99"/>
      <c r="AA291" s="99"/>
      <c r="AC291" s="99"/>
      <c r="AD291" s="99"/>
      <c r="AE291" s="99"/>
      <c r="AG291" s="99"/>
      <c r="AH291" s="99"/>
      <c r="AI291" s="99"/>
    </row>
    <row r="292">
      <c r="C292" s="414"/>
      <c r="D292" s="414"/>
      <c r="F292" s="414"/>
      <c r="H292" s="407"/>
      <c r="P292" s="407"/>
      <c r="Y292" s="99"/>
      <c r="Z292" s="99"/>
      <c r="AA292" s="99"/>
      <c r="AC292" s="99"/>
      <c r="AD292" s="99"/>
      <c r="AE292" s="99"/>
      <c r="AG292" s="99"/>
      <c r="AH292" s="99"/>
      <c r="AI292" s="99"/>
    </row>
    <row r="293">
      <c r="C293" s="414"/>
      <c r="D293" s="414"/>
      <c r="F293" s="414"/>
      <c r="H293" s="407"/>
      <c r="P293" s="407"/>
      <c r="Y293" s="99"/>
      <c r="Z293" s="99"/>
      <c r="AA293" s="99"/>
      <c r="AC293" s="99"/>
      <c r="AD293" s="99"/>
      <c r="AE293" s="99"/>
      <c r="AG293" s="99"/>
      <c r="AH293" s="99"/>
      <c r="AI293" s="99"/>
    </row>
    <row r="294">
      <c r="C294" s="414"/>
      <c r="D294" s="414"/>
      <c r="F294" s="414"/>
      <c r="H294" s="407"/>
      <c r="P294" s="407"/>
      <c r="Y294" s="99"/>
      <c r="Z294" s="99"/>
      <c r="AA294" s="99"/>
      <c r="AC294" s="99"/>
      <c r="AD294" s="99"/>
      <c r="AE294" s="99"/>
      <c r="AG294" s="99"/>
      <c r="AH294" s="99"/>
      <c r="AI294" s="99"/>
    </row>
    <row r="295">
      <c r="C295" s="414"/>
      <c r="D295" s="414"/>
      <c r="F295" s="414"/>
      <c r="H295" s="407"/>
      <c r="P295" s="407"/>
      <c r="Y295" s="99"/>
      <c r="Z295" s="99"/>
      <c r="AA295" s="99"/>
      <c r="AC295" s="99"/>
      <c r="AD295" s="99"/>
      <c r="AE295" s="99"/>
      <c r="AG295" s="99"/>
      <c r="AH295" s="99"/>
      <c r="AI295" s="99"/>
    </row>
    <row r="296">
      <c r="C296" s="414"/>
      <c r="D296" s="414"/>
      <c r="F296" s="414"/>
      <c r="H296" s="407"/>
      <c r="P296" s="407"/>
      <c r="Y296" s="99"/>
      <c r="Z296" s="99"/>
      <c r="AA296" s="99"/>
      <c r="AC296" s="99"/>
      <c r="AD296" s="99"/>
      <c r="AE296" s="99"/>
      <c r="AG296" s="99"/>
      <c r="AH296" s="99"/>
      <c r="AI296" s="99"/>
    </row>
    <row r="297">
      <c r="C297" s="414"/>
      <c r="D297" s="414"/>
      <c r="F297" s="414"/>
      <c r="H297" s="407"/>
      <c r="P297" s="407"/>
      <c r="Y297" s="99"/>
      <c r="Z297" s="99"/>
      <c r="AA297" s="99"/>
      <c r="AC297" s="99"/>
      <c r="AD297" s="99"/>
      <c r="AE297" s="99"/>
      <c r="AG297" s="99"/>
      <c r="AH297" s="99"/>
      <c r="AI297" s="99"/>
    </row>
    <row r="298">
      <c r="C298" s="414"/>
      <c r="D298" s="414"/>
      <c r="F298" s="414"/>
      <c r="H298" s="407"/>
      <c r="P298" s="407"/>
      <c r="Y298" s="99"/>
      <c r="Z298" s="99"/>
      <c r="AA298" s="99"/>
      <c r="AC298" s="99"/>
      <c r="AD298" s="99"/>
      <c r="AE298" s="99"/>
      <c r="AG298" s="99"/>
      <c r="AH298" s="99"/>
      <c r="AI298" s="99"/>
    </row>
    <row r="299">
      <c r="C299" s="414"/>
      <c r="D299" s="414"/>
      <c r="F299" s="414"/>
      <c r="H299" s="407"/>
      <c r="P299" s="407"/>
      <c r="Y299" s="99"/>
      <c r="Z299" s="99"/>
      <c r="AA299" s="99"/>
      <c r="AC299" s="99"/>
      <c r="AD299" s="99"/>
      <c r="AE299" s="99"/>
      <c r="AG299" s="99"/>
      <c r="AH299" s="99"/>
      <c r="AI299" s="99"/>
    </row>
    <row r="300">
      <c r="C300" s="414"/>
      <c r="D300" s="414"/>
      <c r="F300" s="414"/>
      <c r="H300" s="407"/>
      <c r="P300" s="407"/>
      <c r="Y300" s="99"/>
      <c r="Z300" s="99"/>
      <c r="AA300" s="99"/>
      <c r="AC300" s="99"/>
      <c r="AD300" s="99"/>
      <c r="AE300" s="99"/>
      <c r="AG300" s="99"/>
      <c r="AH300" s="99"/>
      <c r="AI300" s="99"/>
    </row>
    <row r="301">
      <c r="C301" s="414"/>
      <c r="D301" s="414"/>
      <c r="F301" s="414"/>
      <c r="H301" s="407"/>
      <c r="P301" s="407"/>
      <c r="Y301" s="99"/>
      <c r="Z301" s="99"/>
      <c r="AA301" s="99"/>
      <c r="AC301" s="99"/>
      <c r="AD301" s="99"/>
      <c r="AE301" s="99"/>
      <c r="AG301" s="99"/>
      <c r="AH301" s="99"/>
      <c r="AI301" s="99"/>
    </row>
    <row r="302">
      <c r="C302" s="414"/>
      <c r="D302" s="414"/>
      <c r="F302" s="414"/>
      <c r="H302" s="407"/>
      <c r="P302" s="407"/>
      <c r="Y302" s="99"/>
      <c r="Z302" s="99"/>
      <c r="AA302" s="99"/>
      <c r="AC302" s="99"/>
      <c r="AD302" s="99"/>
      <c r="AE302" s="99"/>
      <c r="AG302" s="99"/>
      <c r="AH302" s="99"/>
      <c r="AI302" s="99"/>
    </row>
    <row r="303">
      <c r="C303" s="414"/>
      <c r="D303" s="414"/>
      <c r="F303" s="414"/>
      <c r="H303" s="407"/>
      <c r="P303" s="407"/>
      <c r="Y303" s="99"/>
      <c r="Z303" s="99"/>
      <c r="AA303" s="99"/>
      <c r="AC303" s="99"/>
      <c r="AD303" s="99"/>
      <c r="AE303" s="99"/>
      <c r="AG303" s="99"/>
      <c r="AH303" s="99"/>
      <c r="AI303" s="99"/>
    </row>
    <row r="304">
      <c r="C304" s="414"/>
      <c r="D304" s="414"/>
      <c r="F304" s="414"/>
      <c r="H304" s="407"/>
      <c r="P304" s="407"/>
      <c r="Y304" s="99"/>
      <c r="Z304" s="99"/>
      <c r="AA304" s="99"/>
      <c r="AC304" s="99"/>
      <c r="AD304" s="99"/>
      <c r="AE304" s="99"/>
      <c r="AG304" s="99"/>
      <c r="AH304" s="99"/>
      <c r="AI304" s="99"/>
    </row>
    <row r="305">
      <c r="C305" s="414"/>
      <c r="D305" s="414"/>
      <c r="F305" s="414"/>
      <c r="H305" s="407"/>
      <c r="P305" s="407"/>
      <c r="Y305" s="99"/>
      <c r="Z305" s="99"/>
      <c r="AA305" s="99"/>
      <c r="AC305" s="99"/>
      <c r="AD305" s="99"/>
      <c r="AE305" s="99"/>
      <c r="AG305" s="99"/>
      <c r="AH305" s="99"/>
      <c r="AI305" s="99"/>
    </row>
    <row r="306">
      <c r="C306" s="414"/>
      <c r="D306" s="414"/>
      <c r="F306" s="414"/>
      <c r="H306" s="407"/>
      <c r="P306" s="407"/>
      <c r="Y306" s="99"/>
      <c r="Z306" s="99"/>
      <c r="AA306" s="99"/>
      <c r="AC306" s="99"/>
      <c r="AD306" s="99"/>
      <c r="AE306" s="99"/>
      <c r="AG306" s="99"/>
      <c r="AH306" s="99"/>
      <c r="AI306" s="99"/>
    </row>
    <row r="307">
      <c r="C307" s="414"/>
      <c r="D307" s="414"/>
      <c r="F307" s="414"/>
      <c r="H307" s="407"/>
      <c r="P307" s="407"/>
      <c r="Y307" s="99"/>
      <c r="Z307" s="99"/>
      <c r="AA307" s="99"/>
      <c r="AC307" s="99"/>
      <c r="AD307" s="99"/>
      <c r="AE307" s="99"/>
      <c r="AG307" s="99"/>
      <c r="AH307" s="99"/>
      <c r="AI307" s="99"/>
    </row>
    <row r="308">
      <c r="C308" s="414"/>
      <c r="D308" s="414"/>
      <c r="F308" s="414"/>
      <c r="H308" s="407"/>
      <c r="P308" s="407"/>
      <c r="Y308" s="99"/>
      <c r="Z308" s="99"/>
      <c r="AA308" s="99"/>
      <c r="AC308" s="99"/>
      <c r="AD308" s="99"/>
      <c r="AE308" s="99"/>
      <c r="AG308" s="99"/>
      <c r="AH308" s="99"/>
      <c r="AI308" s="99"/>
    </row>
    <row r="309">
      <c r="C309" s="414"/>
      <c r="D309" s="414"/>
      <c r="F309" s="414"/>
      <c r="H309" s="407"/>
      <c r="P309" s="407"/>
      <c r="Y309" s="99"/>
      <c r="Z309" s="99"/>
      <c r="AA309" s="99"/>
      <c r="AC309" s="99"/>
      <c r="AD309" s="99"/>
      <c r="AE309" s="99"/>
      <c r="AG309" s="99"/>
      <c r="AH309" s="99"/>
      <c r="AI309" s="99"/>
    </row>
    <row r="310">
      <c r="C310" s="414"/>
      <c r="D310" s="414"/>
      <c r="F310" s="414"/>
      <c r="H310" s="407"/>
      <c r="P310" s="407"/>
      <c r="Y310" s="99"/>
      <c r="Z310" s="99"/>
      <c r="AA310" s="99"/>
      <c r="AC310" s="99"/>
      <c r="AD310" s="99"/>
      <c r="AE310" s="99"/>
      <c r="AG310" s="99"/>
      <c r="AH310" s="99"/>
      <c r="AI310" s="99"/>
    </row>
    <row r="311">
      <c r="C311" s="414"/>
      <c r="D311" s="414"/>
      <c r="F311" s="414"/>
      <c r="H311" s="407"/>
      <c r="P311" s="407"/>
      <c r="Y311" s="99"/>
      <c r="Z311" s="99"/>
      <c r="AA311" s="99"/>
      <c r="AC311" s="99"/>
      <c r="AD311" s="99"/>
      <c r="AE311" s="99"/>
      <c r="AG311" s="99"/>
      <c r="AH311" s="99"/>
      <c r="AI311" s="99"/>
    </row>
    <row r="312">
      <c r="C312" s="414"/>
      <c r="D312" s="414"/>
      <c r="F312" s="414"/>
      <c r="H312" s="407"/>
      <c r="P312" s="407"/>
      <c r="Y312" s="99"/>
      <c r="Z312" s="99"/>
      <c r="AA312" s="99"/>
      <c r="AC312" s="99"/>
      <c r="AD312" s="99"/>
      <c r="AE312" s="99"/>
      <c r="AG312" s="99"/>
      <c r="AH312" s="99"/>
      <c r="AI312" s="99"/>
    </row>
    <row r="313">
      <c r="C313" s="414"/>
      <c r="D313" s="414"/>
      <c r="F313" s="414"/>
      <c r="H313" s="407"/>
      <c r="P313" s="407"/>
      <c r="Y313" s="99"/>
      <c r="Z313" s="99"/>
      <c r="AA313" s="99"/>
      <c r="AC313" s="99"/>
      <c r="AD313" s="99"/>
      <c r="AE313" s="99"/>
      <c r="AG313" s="99"/>
      <c r="AH313" s="99"/>
      <c r="AI313" s="99"/>
    </row>
    <row r="314">
      <c r="C314" s="414"/>
      <c r="D314" s="414"/>
      <c r="F314" s="414"/>
      <c r="H314" s="407"/>
      <c r="P314" s="407"/>
      <c r="Y314" s="99"/>
      <c r="Z314" s="99"/>
      <c r="AA314" s="99"/>
      <c r="AC314" s="99"/>
      <c r="AD314" s="99"/>
      <c r="AE314" s="99"/>
      <c r="AG314" s="99"/>
      <c r="AH314" s="99"/>
      <c r="AI314" s="99"/>
    </row>
    <row r="315">
      <c r="C315" s="414"/>
      <c r="D315" s="414"/>
      <c r="F315" s="414"/>
      <c r="H315" s="407"/>
      <c r="P315" s="407"/>
      <c r="Y315" s="99"/>
      <c r="Z315" s="99"/>
      <c r="AA315" s="99"/>
      <c r="AC315" s="99"/>
      <c r="AD315" s="99"/>
      <c r="AE315" s="99"/>
      <c r="AG315" s="99"/>
      <c r="AH315" s="99"/>
      <c r="AI315" s="99"/>
    </row>
    <row r="316">
      <c r="C316" s="414"/>
      <c r="D316" s="414"/>
      <c r="F316" s="414"/>
      <c r="H316" s="407"/>
      <c r="P316" s="407"/>
      <c r="Y316" s="99"/>
      <c r="Z316" s="99"/>
      <c r="AA316" s="99"/>
      <c r="AC316" s="99"/>
      <c r="AD316" s="99"/>
      <c r="AE316" s="99"/>
      <c r="AG316" s="99"/>
      <c r="AH316" s="99"/>
      <c r="AI316" s="99"/>
    </row>
    <row r="317">
      <c r="C317" s="414"/>
      <c r="D317" s="414"/>
      <c r="F317" s="414"/>
      <c r="H317" s="407"/>
      <c r="P317" s="407"/>
      <c r="Y317" s="99"/>
      <c r="Z317" s="99"/>
      <c r="AA317" s="99"/>
      <c r="AC317" s="99"/>
      <c r="AD317" s="99"/>
      <c r="AE317" s="99"/>
      <c r="AG317" s="99"/>
      <c r="AH317" s="99"/>
      <c r="AI317" s="99"/>
    </row>
    <row r="318">
      <c r="C318" s="414"/>
      <c r="D318" s="414"/>
      <c r="F318" s="414"/>
      <c r="H318" s="407"/>
      <c r="P318" s="407"/>
      <c r="Y318" s="99"/>
      <c r="Z318" s="99"/>
      <c r="AA318" s="99"/>
      <c r="AC318" s="99"/>
      <c r="AD318" s="99"/>
      <c r="AE318" s="99"/>
      <c r="AG318" s="99"/>
      <c r="AH318" s="99"/>
      <c r="AI318" s="99"/>
    </row>
    <row r="319">
      <c r="C319" s="414"/>
      <c r="D319" s="414"/>
      <c r="F319" s="414"/>
      <c r="H319" s="407"/>
      <c r="P319" s="407"/>
      <c r="Y319" s="99"/>
      <c r="Z319" s="99"/>
      <c r="AA319" s="99"/>
      <c r="AC319" s="99"/>
      <c r="AD319" s="99"/>
      <c r="AE319" s="99"/>
      <c r="AG319" s="99"/>
      <c r="AH319" s="99"/>
      <c r="AI319" s="99"/>
    </row>
    <row r="320">
      <c r="C320" s="414"/>
      <c r="D320" s="414"/>
      <c r="F320" s="414"/>
      <c r="H320" s="407"/>
      <c r="P320" s="407"/>
      <c r="Y320" s="99"/>
      <c r="Z320" s="99"/>
      <c r="AA320" s="99"/>
      <c r="AC320" s="99"/>
      <c r="AD320" s="99"/>
      <c r="AE320" s="99"/>
      <c r="AG320" s="99"/>
      <c r="AH320" s="99"/>
      <c r="AI320" s="99"/>
    </row>
    <row r="321">
      <c r="C321" s="414"/>
      <c r="D321" s="414"/>
      <c r="F321" s="414"/>
      <c r="H321" s="407"/>
      <c r="P321" s="407"/>
      <c r="Y321" s="99"/>
      <c r="Z321" s="99"/>
      <c r="AA321" s="99"/>
      <c r="AC321" s="99"/>
      <c r="AD321" s="99"/>
      <c r="AE321" s="99"/>
      <c r="AG321" s="99"/>
      <c r="AH321" s="99"/>
      <c r="AI321" s="99"/>
    </row>
    <row r="322">
      <c r="C322" s="414"/>
      <c r="D322" s="414"/>
      <c r="F322" s="414"/>
      <c r="H322" s="407"/>
      <c r="P322" s="407"/>
      <c r="Y322" s="99"/>
      <c r="Z322" s="99"/>
      <c r="AA322" s="99"/>
      <c r="AC322" s="99"/>
      <c r="AD322" s="99"/>
      <c r="AE322" s="99"/>
      <c r="AG322" s="99"/>
      <c r="AH322" s="99"/>
      <c r="AI322" s="99"/>
    </row>
    <row r="323">
      <c r="C323" s="414"/>
      <c r="D323" s="414"/>
      <c r="F323" s="414"/>
      <c r="H323" s="407"/>
      <c r="P323" s="407"/>
      <c r="Y323" s="99"/>
      <c r="Z323" s="99"/>
      <c r="AA323" s="99"/>
      <c r="AC323" s="99"/>
      <c r="AD323" s="99"/>
      <c r="AE323" s="99"/>
      <c r="AG323" s="99"/>
      <c r="AH323" s="99"/>
      <c r="AI323" s="99"/>
    </row>
    <row r="324">
      <c r="C324" s="414"/>
      <c r="D324" s="414"/>
      <c r="F324" s="414"/>
      <c r="H324" s="407"/>
      <c r="P324" s="407"/>
      <c r="Y324" s="99"/>
      <c r="Z324" s="99"/>
      <c r="AA324" s="99"/>
      <c r="AC324" s="99"/>
      <c r="AD324" s="99"/>
      <c r="AE324" s="99"/>
      <c r="AG324" s="99"/>
      <c r="AH324" s="99"/>
      <c r="AI324" s="99"/>
    </row>
    <row r="325">
      <c r="C325" s="414"/>
      <c r="D325" s="414"/>
      <c r="F325" s="414"/>
      <c r="H325" s="407"/>
      <c r="P325" s="407"/>
      <c r="Y325" s="99"/>
      <c r="Z325" s="99"/>
      <c r="AA325" s="99"/>
      <c r="AC325" s="99"/>
      <c r="AD325" s="99"/>
      <c r="AE325" s="99"/>
      <c r="AG325" s="99"/>
      <c r="AH325" s="99"/>
      <c r="AI325" s="99"/>
    </row>
    <row r="326">
      <c r="C326" s="414"/>
      <c r="D326" s="414"/>
      <c r="F326" s="414"/>
      <c r="H326" s="407"/>
      <c r="P326" s="407"/>
      <c r="Y326" s="99"/>
      <c r="Z326" s="99"/>
      <c r="AA326" s="99"/>
      <c r="AC326" s="99"/>
      <c r="AD326" s="99"/>
      <c r="AE326" s="99"/>
      <c r="AG326" s="99"/>
      <c r="AH326" s="99"/>
      <c r="AI326" s="99"/>
    </row>
    <row r="327">
      <c r="C327" s="414"/>
      <c r="D327" s="414"/>
      <c r="F327" s="414"/>
      <c r="H327" s="407"/>
      <c r="P327" s="407"/>
      <c r="Y327" s="99"/>
      <c r="Z327" s="99"/>
      <c r="AA327" s="99"/>
      <c r="AC327" s="99"/>
      <c r="AD327" s="99"/>
      <c r="AE327" s="99"/>
      <c r="AG327" s="99"/>
      <c r="AH327" s="99"/>
      <c r="AI327" s="99"/>
    </row>
    <row r="328">
      <c r="C328" s="414"/>
      <c r="D328" s="414"/>
      <c r="F328" s="414"/>
      <c r="H328" s="407"/>
      <c r="P328" s="407"/>
      <c r="Y328" s="99"/>
      <c r="Z328" s="99"/>
      <c r="AA328" s="99"/>
      <c r="AC328" s="99"/>
      <c r="AD328" s="99"/>
      <c r="AE328" s="99"/>
      <c r="AG328" s="99"/>
      <c r="AH328" s="99"/>
      <c r="AI328" s="99"/>
    </row>
    <row r="329">
      <c r="C329" s="414"/>
      <c r="D329" s="414"/>
      <c r="F329" s="414"/>
      <c r="H329" s="407"/>
      <c r="P329" s="407"/>
      <c r="Y329" s="99"/>
      <c r="Z329" s="99"/>
      <c r="AA329" s="99"/>
      <c r="AC329" s="99"/>
      <c r="AD329" s="99"/>
      <c r="AE329" s="99"/>
      <c r="AG329" s="99"/>
      <c r="AH329" s="99"/>
      <c r="AI329" s="99"/>
    </row>
    <row r="330">
      <c r="C330" s="414"/>
      <c r="D330" s="414"/>
      <c r="F330" s="414"/>
      <c r="H330" s="407"/>
      <c r="P330" s="407"/>
      <c r="Y330" s="99"/>
      <c r="Z330" s="99"/>
      <c r="AA330" s="99"/>
      <c r="AC330" s="99"/>
      <c r="AD330" s="99"/>
      <c r="AE330" s="99"/>
      <c r="AG330" s="99"/>
      <c r="AH330" s="99"/>
      <c r="AI330" s="99"/>
    </row>
    <row r="331">
      <c r="C331" s="414"/>
      <c r="D331" s="414"/>
      <c r="F331" s="414"/>
      <c r="H331" s="407"/>
      <c r="P331" s="407"/>
      <c r="Y331" s="99"/>
      <c r="Z331" s="99"/>
      <c r="AA331" s="99"/>
      <c r="AC331" s="99"/>
      <c r="AD331" s="99"/>
      <c r="AE331" s="99"/>
      <c r="AG331" s="99"/>
      <c r="AH331" s="99"/>
      <c r="AI331" s="99"/>
    </row>
    <row r="332">
      <c r="C332" s="414"/>
      <c r="D332" s="414"/>
      <c r="F332" s="414"/>
      <c r="H332" s="407"/>
      <c r="P332" s="407"/>
      <c r="Y332" s="99"/>
      <c r="Z332" s="99"/>
      <c r="AA332" s="99"/>
      <c r="AC332" s="99"/>
      <c r="AD332" s="99"/>
      <c r="AE332" s="99"/>
      <c r="AG332" s="99"/>
      <c r="AH332" s="99"/>
      <c r="AI332" s="99"/>
    </row>
    <row r="333">
      <c r="C333" s="414"/>
      <c r="D333" s="414"/>
      <c r="F333" s="414"/>
      <c r="H333" s="407"/>
      <c r="P333" s="407"/>
      <c r="Y333" s="99"/>
      <c r="Z333" s="99"/>
      <c r="AA333" s="99"/>
      <c r="AC333" s="99"/>
      <c r="AD333" s="99"/>
      <c r="AE333" s="99"/>
      <c r="AG333" s="99"/>
      <c r="AH333" s="99"/>
      <c r="AI333" s="99"/>
    </row>
    <row r="334">
      <c r="C334" s="414"/>
      <c r="D334" s="414"/>
      <c r="F334" s="414"/>
      <c r="H334" s="407"/>
      <c r="P334" s="407"/>
      <c r="Y334" s="99"/>
      <c r="Z334" s="99"/>
      <c r="AA334" s="99"/>
      <c r="AC334" s="99"/>
      <c r="AD334" s="99"/>
      <c r="AE334" s="99"/>
      <c r="AG334" s="99"/>
      <c r="AH334" s="99"/>
      <c r="AI334" s="99"/>
    </row>
    <row r="335">
      <c r="C335" s="414"/>
      <c r="D335" s="414"/>
      <c r="F335" s="414"/>
      <c r="H335" s="407"/>
      <c r="P335" s="407"/>
      <c r="Y335" s="99"/>
      <c r="Z335" s="99"/>
      <c r="AA335" s="99"/>
      <c r="AC335" s="99"/>
      <c r="AD335" s="99"/>
      <c r="AE335" s="99"/>
      <c r="AG335" s="99"/>
      <c r="AH335" s="99"/>
      <c r="AI335" s="99"/>
    </row>
    <row r="336">
      <c r="C336" s="414"/>
      <c r="D336" s="414"/>
      <c r="F336" s="414"/>
      <c r="H336" s="407"/>
      <c r="P336" s="407"/>
      <c r="Y336" s="99"/>
      <c r="Z336" s="99"/>
      <c r="AA336" s="99"/>
      <c r="AC336" s="99"/>
      <c r="AD336" s="99"/>
      <c r="AE336" s="99"/>
      <c r="AG336" s="99"/>
      <c r="AH336" s="99"/>
      <c r="AI336" s="99"/>
    </row>
    <row r="337">
      <c r="C337" s="414"/>
      <c r="D337" s="414"/>
      <c r="F337" s="414"/>
      <c r="H337" s="407"/>
      <c r="P337" s="407"/>
      <c r="Y337" s="99"/>
      <c r="Z337" s="99"/>
      <c r="AA337" s="99"/>
      <c r="AC337" s="99"/>
      <c r="AD337" s="99"/>
      <c r="AE337" s="99"/>
      <c r="AG337" s="99"/>
      <c r="AH337" s="99"/>
      <c r="AI337" s="99"/>
    </row>
    <row r="338">
      <c r="C338" s="414"/>
      <c r="D338" s="414"/>
      <c r="F338" s="414"/>
      <c r="H338" s="407"/>
      <c r="P338" s="407"/>
      <c r="Y338" s="99"/>
      <c r="Z338" s="99"/>
      <c r="AA338" s="99"/>
      <c r="AC338" s="99"/>
      <c r="AD338" s="99"/>
      <c r="AE338" s="99"/>
      <c r="AG338" s="99"/>
      <c r="AH338" s="99"/>
      <c r="AI338" s="99"/>
    </row>
    <row r="339">
      <c r="C339" s="414"/>
      <c r="D339" s="414"/>
      <c r="F339" s="414"/>
      <c r="H339" s="407"/>
      <c r="P339" s="407"/>
      <c r="Y339" s="99"/>
      <c r="Z339" s="99"/>
      <c r="AA339" s="99"/>
      <c r="AC339" s="99"/>
      <c r="AD339" s="99"/>
      <c r="AE339" s="99"/>
      <c r="AG339" s="99"/>
      <c r="AH339" s="99"/>
      <c r="AI339" s="99"/>
    </row>
    <row r="340">
      <c r="C340" s="414"/>
      <c r="D340" s="414"/>
      <c r="F340" s="414"/>
      <c r="H340" s="407"/>
      <c r="P340" s="407"/>
      <c r="Y340" s="99"/>
      <c r="Z340" s="99"/>
      <c r="AA340" s="99"/>
      <c r="AC340" s="99"/>
      <c r="AD340" s="99"/>
      <c r="AE340" s="99"/>
      <c r="AG340" s="99"/>
      <c r="AH340" s="99"/>
      <c r="AI340" s="99"/>
    </row>
    <row r="341">
      <c r="C341" s="414"/>
      <c r="D341" s="414"/>
      <c r="F341" s="414"/>
      <c r="H341" s="407"/>
      <c r="P341" s="407"/>
      <c r="Y341" s="99"/>
      <c r="Z341" s="99"/>
      <c r="AA341" s="99"/>
      <c r="AC341" s="99"/>
      <c r="AD341" s="99"/>
      <c r="AE341" s="99"/>
      <c r="AG341" s="99"/>
      <c r="AH341" s="99"/>
      <c r="AI341" s="99"/>
    </row>
    <row r="342">
      <c r="C342" s="414"/>
      <c r="D342" s="414"/>
      <c r="F342" s="414"/>
      <c r="H342" s="407"/>
      <c r="P342" s="407"/>
      <c r="Y342" s="99"/>
      <c r="Z342" s="99"/>
      <c r="AA342" s="99"/>
      <c r="AC342" s="99"/>
      <c r="AD342" s="99"/>
      <c r="AE342" s="99"/>
      <c r="AG342" s="99"/>
      <c r="AH342" s="99"/>
      <c r="AI342" s="99"/>
    </row>
    <row r="343">
      <c r="C343" s="414"/>
      <c r="D343" s="414"/>
      <c r="F343" s="414"/>
      <c r="H343" s="407"/>
      <c r="P343" s="407"/>
      <c r="Y343" s="99"/>
      <c r="Z343" s="99"/>
      <c r="AA343" s="99"/>
      <c r="AC343" s="99"/>
      <c r="AD343" s="99"/>
      <c r="AE343" s="99"/>
      <c r="AG343" s="99"/>
      <c r="AH343" s="99"/>
      <c r="AI343" s="99"/>
    </row>
    <row r="344">
      <c r="C344" s="414"/>
      <c r="D344" s="414"/>
      <c r="F344" s="414"/>
      <c r="H344" s="407"/>
      <c r="P344" s="407"/>
      <c r="Y344" s="99"/>
      <c r="Z344" s="99"/>
      <c r="AA344" s="99"/>
      <c r="AC344" s="99"/>
      <c r="AD344" s="99"/>
      <c r="AE344" s="99"/>
      <c r="AG344" s="99"/>
      <c r="AH344" s="99"/>
      <c r="AI344" s="99"/>
    </row>
    <row r="345">
      <c r="C345" s="414"/>
      <c r="D345" s="414"/>
      <c r="F345" s="414"/>
      <c r="H345" s="407"/>
      <c r="P345" s="407"/>
      <c r="Y345" s="99"/>
      <c r="Z345" s="99"/>
      <c r="AA345" s="99"/>
      <c r="AC345" s="99"/>
      <c r="AD345" s="99"/>
      <c r="AE345" s="99"/>
      <c r="AG345" s="99"/>
      <c r="AH345" s="99"/>
      <c r="AI345" s="99"/>
    </row>
    <row r="346">
      <c r="C346" s="414"/>
      <c r="D346" s="414"/>
      <c r="F346" s="414"/>
      <c r="H346" s="407"/>
      <c r="P346" s="407"/>
      <c r="Y346" s="99"/>
      <c r="Z346" s="99"/>
      <c r="AA346" s="99"/>
      <c r="AC346" s="99"/>
      <c r="AD346" s="99"/>
      <c r="AE346" s="99"/>
      <c r="AG346" s="99"/>
      <c r="AH346" s="99"/>
      <c r="AI346" s="99"/>
    </row>
    <row r="347">
      <c r="C347" s="414"/>
      <c r="D347" s="414"/>
      <c r="F347" s="414"/>
      <c r="H347" s="407"/>
      <c r="P347" s="407"/>
      <c r="Y347" s="99"/>
      <c r="Z347" s="99"/>
      <c r="AA347" s="99"/>
      <c r="AC347" s="99"/>
      <c r="AD347" s="99"/>
      <c r="AE347" s="99"/>
      <c r="AG347" s="99"/>
      <c r="AH347" s="99"/>
      <c r="AI347" s="99"/>
    </row>
    <row r="348">
      <c r="C348" s="414"/>
      <c r="D348" s="414"/>
      <c r="F348" s="414"/>
      <c r="H348" s="407"/>
      <c r="P348" s="407"/>
      <c r="Y348" s="99"/>
      <c r="Z348" s="99"/>
      <c r="AA348" s="99"/>
      <c r="AC348" s="99"/>
      <c r="AD348" s="99"/>
      <c r="AE348" s="99"/>
      <c r="AG348" s="99"/>
      <c r="AH348" s="99"/>
      <c r="AI348" s="99"/>
    </row>
    <row r="349">
      <c r="C349" s="414"/>
      <c r="D349" s="414"/>
      <c r="F349" s="414"/>
      <c r="H349" s="407"/>
      <c r="P349" s="407"/>
      <c r="Y349" s="99"/>
      <c r="Z349" s="99"/>
      <c r="AA349" s="99"/>
      <c r="AC349" s="99"/>
      <c r="AD349" s="99"/>
      <c r="AE349" s="99"/>
      <c r="AG349" s="99"/>
      <c r="AH349" s="99"/>
      <c r="AI349" s="99"/>
    </row>
    <row r="350">
      <c r="C350" s="414"/>
      <c r="D350" s="414"/>
      <c r="F350" s="414"/>
      <c r="H350" s="407"/>
      <c r="P350" s="407"/>
      <c r="Y350" s="99"/>
      <c r="Z350" s="99"/>
      <c r="AA350" s="99"/>
      <c r="AC350" s="99"/>
      <c r="AD350" s="99"/>
      <c r="AE350" s="99"/>
      <c r="AG350" s="99"/>
      <c r="AH350" s="99"/>
      <c r="AI350" s="99"/>
    </row>
    <row r="351">
      <c r="C351" s="414"/>
      <c r="D351" s="414"/>
      <c r="F351" s="414"/>
      <c r="H351" s="407"/>
      <c r="P351" s="407"/>
      <c r="Y351" s="99"/>
      <c r="Z351" s="99"/>
      <c r="AA351" s="99"/>
      <c r="AC351" s="99"/>
      <c r="AD351" s="99"/>
      <c r="AE351" s="99"/>
      <c r="AG351" s="99"/>
      <c r="AH351" s="99"/>
      <c r="AI351" s="99"/>
    </row>
    <row r="352">
      <c r="C352" s="414"/>
      <c r="D352" s="414"/>
      <c r="F352" s="414"/>
      <c r="H352" s="407"/>
      <c r="P352" s="407"/>
      <c r="Y352" s="99"/>
      <c r="Z352" s="99"/>
      <c r="AA352" s="99"/>
      <c r="AC352" s="99"/>
      <c r="AD352" s="99"/>
      <c r="AE352" s="99"/>
      <c r="AG352" s="99"/>
      <c r="AH352" s="99"/>
      <c r="AI352" s="99"/>
    </row>
    <row r="353">
      <c r="C353" s="414"/>
      <c r="D353" s="414"/>
      <c r="F353" s="414"/>
      <c r="H353" s="407"/>
      <c r="P353" s="407"/>
      <c r="Y353" s="99"/>
      <c r="Z353" s="99"/>
      <c r="AA353" s="99"/>
      <c r="AC353" s="99"/>
      <c r="AD353" s="99"/>
      <c r="AE353" s="99"/>
      <c r="AG353" s="99"/>
      <c r="AH353" s="99"/>
      <c r="AI353" s="99"/>
    </row>
    <row r="354">
      <c r="C354" s="414"/>
      <c r="D354" s="414"/>
      <c r="F354" s="414"/>
      <c r="H354" s="407"/>
      <c r="P354" s="407"/>
      <c r="Y354" s="99"/>
      <c r="Z354" s="99"/>
      <c r="AA354" s="99"/>
      <c r="AC354" s="99"/>
      <c r="AD354" s="99"/>
      <c r="AE354" s="99"/>
      <c r="AG354" s="99"/>
      <c r="AH354" s="99"/>
      <c r="AI354" s="99"/>
    </row>
    <row r="355">
      <c r="C355" s="414"/>
      <c r="D355" s="414"/>
      <c r="F355" s="414"/>
      <c r="H355" s="407"/>
      <c r="P355" s="407"/>
      <c r="Y355" s="99"/>
      <c r="Z355" s="99"/>
      <c r="AA355" s="99"/>
      <c r="AC355" s="99"/>
      <c r="AD355" s="99"/>
      <c r="AE355" s="99"/>
      <c r="AG355" s="99"/>
      <c r="AH355" s="99"/>
      <c r="AI355" s="99"/>
    </row>
    <row r="356">
      <c r="C356" s="414"/>
      <c r="D356" s="414"/>
      <c r="F356" s="414"/>
      <c r="H356" s="407"/>
      <c r="P356" s="407"/>
      <c r="Y356" s="99"/>
      <c r="Z356" s="99"/>
      <c r="AA356" s="99"/>
      <c r="AC356" s="99"/>
      <c r="AD356" s="99"/>
      <c r="AE356" s="99"/>
      <c r="AG356" s="99"/>
      <c r="AH356" s="99"/>
      <c r="AI356" s="99"/>
    </row>
    <row r="357">
      <c r="C357" s="414"/>
      <c r="D357" s="414"/>
      <c r="F357" s="414"/>
      <c r="H357" s="407"/>
      <c r="P357" s="407"/>
      <c r="Y357" s="99"/>
      <c r="Z357" s="99"/>
      <c r="AA357" s="99"/>
      <c r="AC357" s="99"/>
      <c r="AD357" s="99"/>
      <c r="AE357" s="99"/>
      <c r="AG357" s="99"/>
      <c r="AH357" s="99"/>
      <c r="AI357" s="99"/>
    </row>
    <row r="358">
      <c r="C358" s="414"/>
      <c r="D358" s="414"/>
      <c r="F358" s="414"/>
      <c r="H358" s="407"/>
      <c r="P358" s="407"/>
      <c r="Y358" s="99"/>
      <c r="Z358" s="99"/>
      <c r="AA358" s="99"/>
      <c r="AC358" s="99"/>
      <c r="AD358" s="99"/>
      <c r="AE358" s="99"/>
      <c r="AG358" s="99"/>
      <c r="AH358" s="99"/>
      <c r="AI358" s="99"/>
    </row>
    <row r="359">
      <c r="C359" s="414"/>
      <c r="D359" s="414"/>
      <c r="F359" s="414"/>
      <c r="H359" s="407"/>
      <c r="P359" s="407"/>
      <c r="Y359" s="99"/>
      <c r="Z359" s="99"/>
      <c r="AA359" s="99"/>
      <c r="AC359" s="99"/>
      <c r="AD359" s="99"/>
      <c r="AE359" s="99"/>
      <c r="AG359" s="99"/>
      <c r="AH359" s="99"/>
      <c r="AI359" s="99"/>
    </row>
    <row r="360">
      <c r="C360" s="414"/>
      <c r="D360" s="414"/>
      <c r="F360" s="414"/>
      <c r="H360" s="407"/>
      <c r="P360" s="407"/>
      <c r="Y360" s="99"/>
      <c r="Z360" s="99"/>
      <c r="AA360" s="99"/>
      <c r="AC360" s="99"/>
      <c r="AD360" s="99"/>
      <c r="AE360" s="99"/>
      <c r="AG360" s="99"/>
      <c r="AH360" s="99"/>
      <c r="AI360" s="99"/>
    </row>
    <row r="361">
      <c r="C361" s="414"/>
      <c r="D361" s="414"/>
      <c r="F361" s="414"/>
      <c r="H361" s="407"/>
      <c r="P361" s="407"/>
      <c r="Y361" s="99"/>
      <c r="Z361" s="99"/>
      <c r="AA361" s="99"/>
      <c r="AC361" s="99"/>
      <c r="AD361" s="99"/>
      <c r="AE361" s="99"/>
      <c r="AG361" s="99"/>
      <c r="AH361" s="99"/>
      <c r="AI361" s="99"/>
    </row>
    <row r="362">
      <c r="C362" s="414"/>
      <c r="D362" s="414"/>
      <c r="F362" s="414"/>
      <c r="H362" s="407"/>
      <c r="P362" s="407"/>
      <c r="Y362" s="99"/>
      <c r="Z362" s="99"/>
      <c r="AA362" s="99"/>
      <c r="AC362" s="99"/>
      <c r="AD362" s="99"/>
      <c r="AE362" s="99"/>
      <c r="AG362" s="99"/>
      <c r="AH362" s="99"/>
      <c r="AI362" s="99"/>
    </row>
    <row r="363">
      <c r="C363" s="414"/>
      <c r="D363" s="414"/>
      <c r="F363" s="414"/>
      <c r="H363" s="407"/>
      <c r="P363" s="407"/>
      <c r="Y363" s="99"/>
      <c r="Z363" s="99"/>
      <c r="AA363" s="99"/>
      <c r="AC363" s="99"/>
      <c r="AD363" s="99"/>
      <c r="AE363" s="99"/>
      <c r="AG363" s="99"/>
      <c r="AH363" s="99"/>
      <c r="AI363" s="99"/>
    </row>
    <row r="364">
      <c r="C364" s="414"/>
      <c r="D364" s="414"/>
      <c r="F364" s="414"/>
      <c r="H364" s="407"/>
      <c r="P364" s="407"/>
      <c r="Y364" s="99"/>
      <c r="Z364" s="99"/>
      <c r="AA364" s="99"/>
      <c r="AC364" s="99"/>
      <c r="AD364" s="99"/>
      <c r="AE364" s="99"/>
      <c r="AG364" s="99"/>
      <c r="AH364" s="99"/>
      <c r="AI364" s="99"/>
    </row>
    <row r="365">
      <c r="C365" s="414"/>
      <c r="D365" s="414"/>
      <c r="F365" s="414"/>
      <c r="H365" s="407"/>
      <c r="P365" s="407"/>
      <c r="Y365" s="99"/>
      <c r="Z365" s="99"/>
      <c r="AA365" s="99"/>
      <c r="AC365" s="99"/>
      <c r="AD365" s="99"/>
      <c r="AE365" s="99"/>
      <c r="AG365" s="99"/>
      <c r="AH365" s="99"/>
      <c r="AI365" s="99"/>
    </row>
    <row r="366">
      <c r="C366" s="414"/>
      <c r="D366" s="414"/>
      <c r="F366" s="414"/>
      <c r="H366" s="407"/>
      <c r="P366" s="407"/>
      <c r="Y366" s="99"/>
      <c r="Z366" s="99"/>
      <c r="AA366" s="99"/>
      <c r="AC366" s="99"/>
      <c r="AD366" s="99"/>
      <c r="AE366" s="99"/>
      <c r="AG366" s="99"/>
      <c r="AH366" s="99"/>
      <c r="AI366" s="99"/>
    </row>
    <row r="367">
      <c r="C367" s="414"/>
      <c r="D367" s="414"/>
      <c r="F367" s="414"/>
      <c r="H367" s="407"/>
      <c r="P367" s="407"/>
      <c r="Y367" s="99"/>
      <c r="Z367" s="99"/>
      <c r="AA367" s="99"/>
      <c r="AC367" s="99"/>
      <c r="AD367" s="99"/>
      <c r="AE367" s="99"/>
      <c r="AG367" s="99"/>
      <c r="AH367" s="99"/>
      <c r="AI367" s="99"/>
    </row>
    <row r="368">
      <c r="C368" s="414"/>
      <c r="D368" s="414"/>
      <c r="F368" s="414"/>
      <c r="H368" s="407"/>
      <c r="P368" s="407"/>
      <c r="Y368" s="99"/>
      <c r="Z368" s="99"/>
      <c r="AA368" s="99"/>
      <c r="AC368" s="99"/>
      <c r="AD368" s="99"/>
      <c r="AE368" s="99"/>
      <c r="AG368" s="99"/>
      <c r="AH368" s="99"/>
      <c r="AI368" s="99"/>
    </row>
    <row r="369">
      <c r="C369" s="414"/>
      <c r="D369" s="414"/>
      <c r="F369" s="414"/>
      <c r="H369" s="407"/>
      <c r="P369" s="407"/>
      <c r="Y369" s="99"/>
      <c r="Z369" s="99"/>
      <c r="AA369" s="99"/>
      <c r="AC369" s="99"/>
      <c r="AD369" s="99"/>
      <c r="AE369" s="99"/>
      <c r="AG369" s="99"/>
      <c r="AH369" s="99"/>
      <c r="AI369" s="99"/>
    </row>
    <row r="370">
      <c r="C370" s="414"/>
      <c r="D370" s="414"/>
      <c r="F370" s="414"/>
      <c r="H370" s="407"/>
      <c r="P370" s="407"/>
      <c r="Y370" s="99"/>
      <c r="Z370" s="99"/>
      <c r="AA370" s="99"/>
      <c r="AC370" s="99"/>
      <c r="AD370" s="99"/>
      <c r="AE370" s="99"/>
      <c r="AG370" s="99"/>
      <c r="AH370" s="99"/>
      <c r="AI370" s="99"/>
    </row>
    <row r="371">
      <c r="C371" s="414"/>
      <c r="D371" s="414"/>
      <c r="F371" s="414"/>
      <c r="H371" s="407"/>
      <c r="P371" s="407"/>
      <c r="Y371" s="99"/>
      <c r="Z371" s="99"/>
      <c r="AA371" s="99"/>
      <c r="AC371" s="99"/>
      <c r="AD371" s="99"/>
      <c r="AE371" s="99"/>
      <c r="AG371" s="99"/>
      <c r="AH371" s="99"/>
      <c r="AI371" s="99"/>
    </row>
    <row r="372">
      <c r="C372" s="414"/>
      <c r="D372" s="414"/>
      <c r="F372" s="414"/>
      <c r="H372" s="407"/>
      <c r="P372" s="407"/>
      <c r="Y372" s="99"/>
      <c r="Z372" s="99"/>
      <c r="AA372" s="99"/>
      <c r="AC372" s="99"/>
      <c r="AD372" s="99"/>
      <c r="AE372" s="99"/>
      <c r="AG372" s="99"/>
      <c r="AH372" s="99"/>
      <c r="AI372" s="99"/>
    </row>
    <row r="373">
      <c r="C373" s="414"/>
      <c r="D373" s="414"/>
      <c r="F373" s="414"/>
      <c r="H373" s="407"/>
      <c r="P373" s="407"/>
      <c r="Y373" s="99"/>
      <c r="Z373" s="99"/>
      <c r="AA373" s="99"/>
      <c r="AC373" s="99"/>
      <c r="AD373" s="99"/>
      <c r="AE373" s="99"/>
      <c r="AG373" s="99"/>
      <c r="AH373" s="99"/>
      <c r="AI373" s="99"/>
    </row>
    <row r="374">
      <c r="C374" s="414"/>
      <c r="D374" s="414"/>
      <c r="F374" s="414"/>
      <c r="H374" s="407"/>
      <c r="P374" s="407"/>
      <c r="Y374" s="99"/>
      <c r="Z374" s="99"/>
      <c r="AA374" s="99"/>
      <c r="AC374" s="99"/>
      <c r="AD374" s="99"/>
      <c r="AE374" s="99"/>
      <c r="AG374" s="99"/>
      <c r="AH374" s="99"/>
      <c r="AI374" s="99"/>
    </row>
    <row r="375">
      <c r="C375" s="414"/>
      <c r="D375" s="414"/>
      <c r="F375" s="414"/>
      <c r="H375" s="407"/>
      <c r="P375" s="407"/>
      <c r="Y375" s="99"/>
      <c r="Z375" s="99"/>
      <c r="AA375" s="99"/>
      <c r="AC375" s="99"/>
      <c r="AD375" s="99"/>
      <c r="AE375" s="99"/>
      <c r="AG375" s="99"/>
      <c r="AH375" s="99"/>
      <c r="AI375" s="99"/>
    </row>
    <row r="376">
      <c r="C376" s="414"/>
      <c r="D376" s="414"/>
      <c r="F376" s="414"/>
      <c r="H376" s="407"/>
      <c r="P376" s="407"/>
      <c r="Y376" s="99"/>
      <c r="Z376" s="99"/>
      <c r="AA376" s="99"/>
      <c r="AC376" s="99"/>
      <c r="AD376" s="99"/>
      <c r="AE376" s="99"/>
      <c r="AG376" s="99"/>
      <c r="AH376" s="99"/>
      <c r="AI376" s="99"/>
    </row>
    <row r="377">
      <c r="C377" s="414"/>
      <c r="D377" s="414"/>
      <c r="F377" s="414"/>
      <c r="H377" s="407"/>
      <c r="P377" s="407"/>
      <c r="Y377" s="99"/>
      <c r="Z377" s="99"/>
      <c r="AA377" s="99"/>
      <c r="AC377" s="99"/>
      <c r="AD377" s="99"/>
      <c r="AE377" s="99"/>
      <c r="AG377" s="99"/>
      <c r="AH377" s="99"/>
      <c r="AI377" s="99"/>
    </row>
    <row r="378">
      <c r="C378" s="414"/>
      <c r="D378" s="414"/>
      <c r="F378" s="414"/>
      <c r="H378" s="407"/>
      <c r="P378" s="407"/>
      <c r="Y378" s="99"/>
      <c r="Z378" s="99"/>
      <c r="AA378" s="99"/>
      <c r="AC378" s="99"/>
      <c r="AD378" s="99"/>
      <c r="AE378" s="99"/>
      <c r="AG378" s="99"/>
      <c r="AH378" s="99"/>
      <c r="AI378" s="99"/>
    </row>
    <row r="379">
      <c r="C379" s="414"/>
      <c r="D379" s="414"/>
      <c r="F379" s="414"/>
      <c r="H379" s="407"/>
      <c r="P379" s="407"/>
      <c r="Y379" s="99"/>
      <c r="Z379" s="99"/>
      <c r="AA379" s="99"/>
      <c r="AC379" s="99"/>
      <c r="AD379" s="99"/>
      <c r="AE379" s="99"/>
      <c r="AG379" s="99"/>
      <c r="AH379" s="99"/>
      <c r="AI379" s="99"/>
    </row>
    <row r="380">
      <c r="C380" s="414"/>
      <c r="D380" s="414"/>
      <c r="F380" s="414"/>
      <c r="H380" s="407"/>
      <c r="P380" s="407"/>
      <c r="Y380" s="99"/>
      <c r="Z380" s="99"/>
      <c r="AA380" s="99"/>
      <c r="AC380" s="99"/>
      <c r="AD380" s="99"/>
      <c r="AE380" s="99"/>
      <c r="AG380" s="99"/>
      <c r="AH380" s="99"/>
      <c r="AI380" s="99"/>
    </row>
    <row r="381">
      <c r="C381" s="414"/>
      <c r="D381" s="414"/>
      <c r="F381" s="414"/>
      <c r="H381" s="407"/>
      <c r="P381" s="407"/>
      <c r="Y381" s="99"/>
      <c r="Z381" s="99"/>
      <c r="AA381" s="99"/>
      <c r="AC381" s="99"/>
      <c r="AD381" s="99"/>
      <c r="AE381" s="99"/>
      <c r="AG381" s="99"/>
      <c r="AH381" s="99"/>
      <c r="AI381" s="99"/>
    </row>
    <row r="382">
      <c r="C382" s="414"/>
      <c r="D382" s="414"/>
      <c r="F382" s="414"/>
      <c r="H382" s="407"/>
      <c r="P382" s="407"/>
      <c r="Y382" s="99"/>
      <c r="Z382" s="99"/>
      <c r="AA382" s="99"/>
      <c r="AC382" s="99"/>
      <c r="AD382" s="99"/>
      <c r="AE382" s="99"/>
      <c r="AG382" s="99"/>
      <c r="AH382" s="99"/>
      <c r="AI382" s="99"/>
    </row>
    <row r="383">
      <c r="C383" s="414"/>
      <c r="D383" s="414"/>
      <c r="F383" s="414"/>
      <c r="H383" s="407"/>
      <c r="P383" s="407"/>
      <c r="Y383" s="99"/>
      <c r="Z383" s="99"/>
      <c r="AA383" s="99"/>
      <c r="AC383" s="99"/>
      <c r="AD383" s="99"/>
      <c r="AE383" s="99"/>
      <c r="AG383" s="99"/>
      <c r="AH383" s="99"/>
      <c r="AI383" s="99"/>
    </row>
    <row r="384">
      <c r="C384" s="414"/>
      <c r="D384" s="414"/>
      <c r="F384" s="414"/>
      <c r="H384" s="407"/>
      <c r="P384" s="407"/>
      <c r="Y384" s="99"/>
      <c r="Z384" s="99"/>
      <c r="AA384" s="99"/>
      <c r="AC384" s="99"/>
      <c r="AD384" s="99"/>
      <c r="AE384" s="99"/>
      <c r="AG384" s="99"/>
      <c r="AH384" s="99"/>
      <c r="AI384" s="99"/>
    </row>
    <row r="385">
      <c r="C385" s="414"/>
      <c r="D385" s="414"/>
      <c r="F385" s="414"/>
      <c r="H385" s="407"/>
      <c r="P385" s="407"/>
      <c r="Y385" s="99"/>
      <c r="Z385" s="99"/>
      <c r="AA385" s="99"/>
      <c r="AC385" s="99"/>
      <c r="AD385" s="99"/>
      <c r="AE385" s="99"/>
      <c r="AG385" s="99"/>
      <c r="AH385" s="99"/>
      <c r="AI385" s="99"/>
    </row>
    <row r="386">
      <c r="C386" s="414"/>
      <c r="D386" s="414"/>
      <c r="F386" s="414"/>
      <c r="H386" s="407"/>
      <c r="P386" s="407"/>
      <c r="Y386" s="99"/>
      <c r="Z386" s="99"/>
      <c r="AA386" s="99"/>
      <c r="AC386" s="99"/>
      <c r="AD386" s="99"/>
      <c r="AE386" s="99"/>
      <c r="AG386" s="99"/>
      <c r="AH386" s="99"/>
      <c r="AI386" s="99"/>
    </row>
    <row r="387">
      <c r="C387" s="414"/>
      <c r="D387" s="414"/>
      <c r="F387" s="414"/>
      <c r="H387" s="407"/>
      <c r="P387" s="407"/>
      <c r="Y387" s="99"/>
      <c r="Z387" s="99"/>
      <c r="AA387" s="99"/>
      <c r="AC387" s="99"/>
      <c r="AD387" s="99"/>
      <c r="AE387" s="99"/>
      <c r="AG387" s="99"/>
      <c r="AH387" s="99"/>
      <c r="AI387" s="99"/>
    </row>
    <row r="388">
      <c r="C388" s="414"/>
      <c r="D388" s="414"/>
      <c r="F388" s="414"/>
      <c r="H388" s="407"/>
      <c r="P388" s="407"/>
      <c r="Y388" s="99"/>
      <c r="Z388" s="99"/>
      <c r="AA388" s="99"/>
      <c r="AC388" s="99"/>
      <c r="AD388" s="99"/>
      <c r="AE388" s="99"/>
      <c r="AG388" s="99"/>
      <c r="AH388" s="99"/>
      <c r="AI388" s="99"/>
    </row>
    <row r="389">
      <c r="C389" s="414"/>
      <c r="D389" s="414"/>
      <c r="F389" s="414"/>
      <c r="H389" s="407"/>
      <c r="P389" s="407"/>
      <c r="Y389" s="99"/>
      <c r="Z389" s="99"/>
      <c r="AA389" s="99"/>
      <c r="AC389" s="99"/>
      <c r="AD389" s="99"/>
      <c r="AE389" s="99"/>
      <c r="AG389" s="99"/>
      <c r="AH389" s="99"/>
      <c r="AI389" s="99"/>
    </row>
    <row r="390">
      <c r="C390" s="414"/>
      <c r="D390" s="414"/>
      <c r="F390" s="414"/>
      <c r="H390" s="407"/>
      <c r="P390" s="407"/>
      <c r="Y390" s="99"/>
      <c r="Z390" s="99"/>
      <c r="AA390" s="99"/>
      <c r="AC390" s="99"/>
      <c r="AD390" s="99"/>
      <c r="AE390" s="99"/>
      <c r="AG390" s="99"/>
      <c r="AH390" s="99"/>
      <c r="AI390" s="99"/>
    </row>
    <row r="391">
      <c r="C391" s="414"/>
      <c r="D391" s="414"/>
      <c r="F391" s="414"/>
      <c r="H391" s="407"/>
      <c r="P391" s="407"/>
      <c r="Y391" s="99"/>
      <c r="Z391" s="99"/>
      <c r="AA391" s="99"/>
      <c r="AC391" s="99"/>
      <c r="AD391" s="99"/>
      <c r="AE391" s="99"/>
      <c r="AG391" s="99"/>
      <c r="AH391" s="99"/>
      <c r="AI391" s="99"/>
    </row>
    <row r="392">
      <c r="C392" s="414"/>
      <c r="D392" s="414"/>
      <c r="F392" s="414"/>
      <c r="H392" s="407"/>
      <c r="P392" s="407"/>
      <c r="Y392" s="99"/>
      <c r="Z392" s="99"/>
      <c r="AA392" s="99"/>
      <c r="AC392" s="99"/>
      <c r="AD392" s="99"/>
      <c r="AE392" s="99"/>
      <c r="AG392" s="99"/>
      <c r="AH392" s="99"/>
      <c r="AI392" s="99"/>
    </row>
    <row r="393">
      <c r="C393" s="414"/>
      <c r="D393" s="414"/>
      <c r="F393" s="414"/>
      <c r="H393" s="407"/>
      <c r="P393" s="407"/>
      <c r="Y393" s="99"/>
      <c r="Z393" s="99"/>
      <c r="AA393" s="99"/>
      <c r="AC393" s="99"/>
      <c r="AD393" s="99"/>
      <c r="AE393" s="99"/>
      <c r="AG393" s="99"/>
      <c r="AH393" s="99"/>
      <c r="AI393" s="99"/>
    </row>
    <row r="394">
      <c r="C394" s="414"/>
      <c r="D394" s="414"/>
      <c r="F394" s="414"/>
      <c r="H394" s="407"/>
      <c r="P394" s="407"/>
      <c r="Y394" s="99"/>
      <c r="Z394" s="99"/>
      <c r="AA394" s="99"/>
      <c r="AC394" s="99"/>
      <c r="AD394" s="99"/>
      <c r="AE394" s="99"/>
      <c r="AG394" s="99"/>
      <c r="AH394" s="99"/>
      <c r="AI394" s="99"/>
    </row>
    <row r="395">
      <c r="C395" s="414"/>
      <c r="D395" s="414"/>
      <c r="F395" s="414"/>
      <c r="H395" s="407"/>
      <c r="P395" s="407"/>
      <c r="Y395" s="99"/>
      <c r="Z395" s="99"/>
      <c r="AA395" s="99"/>
      <c r="AC395" s="99"/>
      <c r="AD395" s="99"/>
      <c r="AE395" s="99"/>
      <c r="AG395" s="99"/>
      <c r="AH395" s="99"/>
      <c r="AI395" s="99"/>
    </row>
    <row r="396">
      <c r="C396" s="414"/>
      <c r="D396" s="414"/>
      <c r="F396" s="414"/>
      <c r="H396" s="407"/>
      <c r="P396" s="407"/>
      <c r="Y396" s="99"/>
      <c r="Z396" s="99"/>
      <c r="AA396" s="99"/>
      <c r="AC396" s="99"/>
      <c r="AD396" s="99"/>
      <c r="AE396" s="99"/>
      <c r="AG396" s="99"/>
      <c r="AH396" s="99"/>
      <c r="AI396" s="99"/>
    </row>
    <row r="397">
      <c r="C397" s="414"/>
      <c r="D397" s="414"/>
      <c r="F397" s="414"/>
      <c r="H397" s="407"/>
      <c r="P397" s="407"/>
      <c r="Y397" s="99"/>
      <c r="Z397" s="99"/>
      <c r="AA397" s="99"/>
      <c r="AC397" s="99"/>
      <c r="AD397" s="99"/>
      <c r="AE397" s="99"/>
      <c r="AG397" s="99"/>
      <c r="AH397" s="99"/>
      <c r="AI397" s="99"/>
    </row>
    <row r="398">
      <c r="C398" s="414"/>
      <c r="D398" s="414"/>
      <c r="F398" s="414"/>
      <c r="H398" s="407"/>
      <c r="P398" s="407"/>
      <c r="Y398" s="99"/>
      <c r="Z398" s="99"/>
      <c r="AA398" s="99"/>
      <c r="AC398" s="99"/>
      <c r="AD398" s="99"/>
      <c r="AE398" s="99"/>
      <c r="AG398" s="99"/>
      <c r="AH398" s="99"/>
      <c r="AI398" s="99"/>
    </row>
    <row r="399">
      <c r="C399" s="414"/>
      <c r="D399" s="414"/>
      <c r="F399" s="414"/>
      <c r="H399" s="407"/>
      <c r="P399" s="407"/>
      <c r="Y399" s="99"/>
      <c r="Z399" s="99"/>
      <c r="AA399" s="99"/>
      <c r="AC399" s="99"/>
      <c r="AD399" s="99"/>
      <c r="AE399" s="99"/>
      <c r="AG399" s="99"/>
      <c r="AH399" s="99"/>
      <c r="AI399" s="99"/>
    </row>
    <row r="400">
      <c r="C400" s="414"/>
      <c r="D400" s="414"/>
      <c r="F400" s="414"/>
      <c r="H400" s="407"/>
      <c r="P400" s="407"/>
      <c r="Y400" s="99"/>
      <c r="Z400" s="99"/>
      <c r="AA400" s="99"/>
      <c r="AC400" s="99"/>
      <c r="AD400" s="99"/>
      <c r="AE400" s="99"/>
      <c r="AG400" s="99"/>
      <c r="AH400" s="99"/>
      <c r="AI400" s="99"/>
    </row>
    <row r="401">
      <c r="C401" s="414"/>
      <c r="D401" s="414"/>
      <c r="F401" s="414"/>
      <c r="H401" s="407"/>
      <c r="P401" s="407"/>
      <c r="Y401" s="99"/>
      <c r="Z401" s="99"/>
      <c r="AA401" s="99"/>
      <c r="AC401" s="99"/>
      <c r="AD401" s="99"/>
      <c r="AE401" s="99"/>
      <c r="AG401" s="99"/>
      <c r="AH401" s="99"/>
      <c r="AI401" s="99"/>
    </row>
    <row r="402">
      <c r="C402" s="414"/>
      <c r="D402" s="414"/>
      <c r="F402" s="414"/>
      <c r="H402" s="407"/>
      <c r="P402" s="407"/>
      <c r="Y402" s="99"/>
      <c r="Z402" s="99"/>
      <c r="AA402" s="99"/>
      <c r="AC402" s="99"/>
      <c r="AD402" s="99"/>
      <c r="AE402" s="99"/>
      <c r="AG402" s="99"/>
      <c r="AH402" s="99"/>
      <c r="AI402" s="99"/>
    </row>
    <row r="403">
      <c r="C403" s="414"/>
      <c r="D403" s="414"/>
      <c r="F403" s="414"/>
      <c r="H403" s="407"/>
      <c r="P403" s="407"/>
      <c r="Y403" s="99"/>
      <c r="Z403" s="99"/>
      <c r="AA403" s="99"/>
      <c r="AC403" s="99"/>
      <c r="AD403" s="99"/>
      <c r="AE403" s="99"/>
      <c r="AG403" s="99"/>
      <c r="AH403" s="99"/>
      <c r="AI403" s="99"/>
    </row>
    <row r="404">
      <c r="C404" s="414"/>
      <c r="D404" s="414"/>
      <c r="F404" s="414"/>
      <c r="H404" s="407"/>
      <c r="P404" s="407"/>
      <c r="Y404" s="99"/>
      <c r="Z404" s="99"/>
      <c r="AA404" s="99"/>
      <c r="AC404" s="99"/>
      <c r="AD404" s="99"/>
      <c r="AE404" s="99"/>
      <c r="AG404" s="99"/>
      <c r="AH404" s="99"/>
      <c r="AI404" s="99"/>
    </row>
    <row r="405">
      <c r="C405" s="414"/>
      <c r="D405" s="414"/>
      <c r="F405" s="414"/>
      <c r="H405" s="407"/>
      <c r="P405" s="407"/>
      <c r="Y405" s="99"/>
      <c r="Z405" s="99"/>
      <c r="AA405" s="99"/>
      <c r="AC405" s="99"/>
      <c r="AD405" s="99"/>
      <c r="AE405" s="99"/>
      <c r="AG405" s="99"/>
      <c r="AH405" s="99"/>
      <c r="AI405" s="99"/>
    </row>
    <row r="406">
      <c r="C406" s="414"/>
      <c r="D406" s="414"/>
      <c r="F406" s="414"/>
      <c r="H406" s="407"/>
      <c r="P406" s="407"/>
      <c r="Y406" s="99"/>
      <c r="Z406" s="99"/>
      <c r="AA406" s="99"/>
      <c r="AC406" s="99"/>
      <c r="AD406" s="99"/>
      <c r="AE406" s="99"/>
      <c r="AG406" s="99"/>
      <c r="AH406" s="99"/>
      <c r="AI406" s="99"/>
    </row>
    <row r="407">
      <c r="C407" s="414"/>
      <c r="D407" s="414"/>
      <c r="F407" s="414"/>
      <c r="H407" s="407"/>
      <c r="P407" s="407"/>
      <c r="Y407" s="99"/>
      <c r="Z407" s="99"/>
      <c r="AA407" s="99"/>
      <c r="AC407" s="99"/>
      <c r="AD407" s="99"/>
      <c r="AE407" s="99"/>
      <c r="AG407" s="99"/>
      <c r="AH407" s="99"/>
      <c r="AI407" s="99"/>
    </row>
    <row r="408">
      <c r="C408" s="414"/>
      <c r="D408" s="414"/>
      <c r="F408" s="414"/>
      <c r="H408" s="407"/>
      <c r="P408" s="407"/>
      <c r="Y408" s="99"/>
      <c r="Z408" s="99"/>
      <c r="AA408" s="99"/>
      <c r="AC408" s="99"/>
      <c r="AD408" s="99"/>
      <c r="AE408" s="99"/>
      <c r="AG408" s="99"/>
      <c r="AH408" s="99"/>
      <c r="AI408" s="99"/>
    </row>
    <row r="409">
      <c r="C409" s="414"/>
      <c r="D409" s="414"/>
      <c r="F409" s="414"/>
      <c r="H409" s="407"/>
      <c r="P409" s="407"/>
      <c r="Y409" s="99"/>
      <c r="Z409" s="99"/>
      <c r="AA409" s="99"/>
      <c r="AC409" s="99"/>
      <c r="AD409" s="99"/>
      <c r="AE409" s="99"/>
      <c r="AG409" s="99"/>
      <c r="AH409" s="99"/>
      <c r="AI409" s="99"/>
    </row>
    <row r="410">
      <c r="C410" s="414"/>
      <c r="D410" s="414"/>
      <c r="F410" s="414"/>
      <c r="H410" s="407"/>
      <c r="P410" s="407"/>
      <c r="Y410" s="99"/>
      <c r="Z410" s="99"/>
      <c r="AA410" s="99"/>
      <c r="AC410" s="99"/>
      <c r="AD410" s="99"/>
      <c r="AE410" s="99"/>
      <c r="AG410" s="99"/>
      <c r="AH410" s="99"/>
      <c r="AI410" s="99"/>
    </row>
    <row r="411">
      <c r="C411" s="414"/>
      <c r="D411" s="414"/>
      <c r="F411" s="414"/>
      <c r="H411" s="407"/>
      <c r="P411" s="407"/>
      <c r="Y411" s="99"/>
      <c r="Z411" s="99"/>
      <c r="AA411" s="99"/>
      <c r="AC411" s="99"/>
      <c r="AD411" s="99"/>
      <c r="AE411" s="99"/>
      <c r="AG411" s="99"/>
      <c r="AH411" s="99"/>
      <c r="AI411" s="99"/>
    </row>
    <row r="412">
      <c r="C412" s="414"/>
      <c r="D412" s="414"/>
      <c r="F412" s="414"/>
      <c r="H412" s="407"/>
      <c r="P412" s="407"/>
      <c r="Y412" s="99"/>
      <c r="Z412" s="99"/>
      <c r="AA412" s="99"/>
      <c r="AC412" s="99"/>
      <c r="AD412" s="99"/>
      <c r="AE412" s="99"/>
      <c r="AG412" s="99"/>
      <c r="AH412" s="99"/>
      <c r="AI412" s="99"/>
    </row>
    <row r="413">
      <c r="C413" s="414"/>
      <c r="D413" s="414"/>
      <c r="F413" s="414"/>
      <c r="H413" s="407"/>
      <c r="P413" s="407"/>
      <c r="Y413" s="99"/>
      <c r="Z413" s="99"/>
      <c r="AA413" s="99"/>
      <c r="AC413" s="99"/>
      <c r="AD413" s="99"/>
      <c r="AE413" s="99"/>
      <c r="AG413" s="99"/>
      <c r="AH413" s="99"/>
      <c r="AI413" s="99"/>
    </row>
    <row r="414">
      <c r="C414" s="414"/>
      <c r="D414" s="414"/>
      <c r="F414" s="414"/>
      <c r="H414" s="407"/>
      <c r="P414" s="407"/>
      <c r="Y414" s="99"/>
      <c r="Z414" s="99"/>
      <c r="AA414" s="99"/>
      <c r="AC414" s="99"/>
      <c r="AD414" s="99"/>
      <c r="AE414" s="99"/>
      <c r="AG414" s="99"/>
      <c r="AH414" s="99"/>
      <c r="AI414" s="99"/>
    </row>
    <row r="415">
      <c r="C415" s="414"/>
      <c r="D415" s="414"/>
      <c r="F415" s="414"/>
      <c r="H415" s="407"/>
      <c r="P415" s="407"/>
      <c r="Y415" s="99"/>
      <c r="Z415" s="99"/>
      <c r="AA415" s="99"/>
      <c r="AC415" s="99"/>
      <c r="AD415" s="99"/>
      <c r="AE415" s="99"/>
      <c r="AG415" s="99"/>
      <c r="AH415" s="99"/>
      <c r="AI415" s="99"/>
    </row>
    <row r="416">
      <c r="C416" s="414"/>
      <c r="D416" s="414"/>
      <c r="F416" s="414"/>
      <c r="H416" s="407"/>
      <c r="P416" s="407"/>
      <c r="Y416" s="99"/>
      <c r="Z416" s="99"/>
      <c r="AA416" s="99"/>
      <c r="AC416" s="99"/>
      <c r="AD416" s="99"/>
      <c r="AE416" s="99"/>
      <c r="AG416" s="99"/>
      <c r="AH416" s="99"/>
      <c r="AI416" s="99"/>
    </row>
    <row r="417">
      <c r="C417" s="414"/>
      <c r="D417" s="414"/>
      <c r="F417" s="414"/>
      <c r="H417" s="407"/>
      <c r="P417" s="407"/>
      <c r="Y417" s="99"/>
      <c r="Z417" s="99"/>
      <c r="AA417" s="99"/>
      <c r="AC417" s="99"/>
      <c r="AD417" s="99"/>
      <c r="AE417" s="99"/>
      <c r="AG417" s="99"/>
      <c r="AH417" s="99"/>
      <c r="AI417" s="99"/>
    </row>
    <row r="418">
      <c r="C418" s="414"/>
      <c r="D418" s="414"/>
      <c r="F418" s="414"/>
      <c r="H418" s="407"/>
      <c r="P418" s="407"/>
      <c r="Y418" s="99"/>
      <c r="Z418" s="99"/>
      <c r="AA418" s="99"/>
      <c r="AC418" s="99"/>
      <c r="AD418" s="99"/>
      <c r="AE418" s="99"/>
      <c r="AG418" s="99"/>
      <c r="AH418" s="99"/>
      <c r="AI418" s="99"/>
    </row>
    <row r="419">
      <c r="C419" s="414"/>
      <c r="D419" s="414"/>
      <c r="F419" s="414"/>
      <c r="H419" s="407"/>
      <c r="P419" s="407"/>
      <c r="Y419" s="99"/>
      <c r="Z419" s="99"/>
      <c r="AA419" s="99"/>
      <c r="AC419" s="99"/>
      <c r="AD419" s="99"/>
      <c r="AE419" s="99"/>
      <c r="AG419" s="99"/>
      <c r="AH419" s="99"/>
      <c r="AI419" s="99"/>
    </row>
    <row r="420">
      <c r="C420" s="414"/>
      <c r="D420" s="414"/>
      <c r="F420" s="414"/>
      <c r="H420" s="407"/>
      <c r="P420" s="407"/>
      <c r="Y420" s="99"/>
      <c r="Z420" s="99"/>
      <c r="AA420" s="99"/>
      <c r="AC420" s="99"/>
      <c r="AD420" s="99"/>
      <c r="AE420" s="99"/>
      <c r="AG420" s="99"/>
      <c r="AH420" s="99"/>
      <c r="AI420" s="99"/>
    </row>
    <row r="421">
      <c r="C421" s="414"/>
      <c r="D421" s="414"/>
      <c r="F421" s="414"/>
      <c r="H421" s="407"/>
      <c r="P421" s="407"/>
      <c r="Y421" s="99"/>
      <c r="Z421" s="99"/>
      <c r="AA421" s="99"/>
      <c r="AC421" s="99"/>
      <c r="AD421" s="99"/>
      <c r="AE421" s="99"/>
      <c r="AG421" s="99"/>
      <c r="AH421" s="99"/>
      <c r="AI421" s="99"/>
    </row>
    <row r="422">
      <c r="C422" s="414"/>
      <c r="D422" s="414"/>
      <c r="F422" s="414"/>
      <c r="H422" s="407"/>
      <c r="P422" s="407"/>
      <c r="Y422" s="99"/>
      <c r="Z422" s="99"/>
      <c r="AA422" s="99"/>
      <c r="AC422" s="99"/>
      <c r="AD422" s="99"/>
      <c r="AE422" s="99"/>
      <c r="AG422" s="99"/>
      <c r="AH422" s="99"/>
      <c r="AI422" s="99"/>
    </row>
    <row r="423">
      <c r="C423" s="414"/>
      <c r="D423" s="414"/>
      <c r="F423" s="414"/>
      <c r="H423" s="407"/>
      <c r="P423" s="407"/>
      <c r="Y423" s="99"/>
      <c r="Z423" s="99"/>
      <c r="AA423" s="99"/>
      <c r="AC423" s="99"/>
      <c r="AD423" s="99"/>
      <c r="AE423" s="99"/>
      <c r="AG423" s="99"/>
      <c r="AH423" s="99"/>
      <c r="AI423" s="99"/>
    </row>
    <row r="424">
      <c r="C424" s="414"/>
      <c r="D424" s="414"/>
      <c r="F424" s="414"/>
      <c r="H424" s="407"/>
      <c r="P424" s="407"/>
      <c r="Y424" s="99"/>
      <c r="Z424" s="99"/>
      <c r="AA424" s="99"/>
      <c r="AC424" s="99"/>
      <c r="AD424" s="99"/>
      <c r="AE424" s="99"/>
      <c r="AG424" s="99"/>
      <c r="AH424" s="99"/>
      <c r="AI424" s="99"/>
    </row>
    <row r="425">
      <c r="C425" s="414"/>
      <c r="D425" s="414"/>
      <c r="F425" s="414"/>
      <c r="H425" s="407"/>
      <c r="P425" s="407"/>
      <c r="Y425" s="99"/>
      <c r="Z425" s="99"/>
      <c r="AA425" s="99"/>
      <c r="AC425" s="99"/>
      <c r="AD425" s="99"/>
      <c r="AE425" s="99"/>
      <c r="AG425" s="99"/>
      <c r="AH425" s="99"/>
      <c r="AI425" s="99"/>
    </row>
    <row r="426">
      <c r="C426" s="414"/>
      <c r="D426" s="414"/>
      <c r="F426" s="414"/>
      <c r="H426" s="407"/>
      <c r="P426" s="407"/>
      <c r="Y426" s="99"/>
      <c r="Z426" s="99"/>
      <c r="AA426" s="99"/>
      <c r="AC426" s="99"/>
      <c r="AD426" s="99"/>
      <c r="AE426" s="99"/>
      <c r="AG426" s="99"/>
      <c r="AH426" s="99"/>
      <c r="AI426" s="99"/>
    </row>
    <row r="427">
      <c r="C427" s="414"/>
      <c r="D427" s="414"/>
      <c r="F427" s="414"/>
      <c r="H427" s="407"/>
      <c r="P427" s="407"/>
      <c r="Y427" s="99"/>
      <c r="Z427" s="99"/>
      <c r="AA427" s="99"/>
      <c r="AC427" s="99"/>
      <c r="AD427" s="99"/>
      <c r="AE427" s="99"/>
      <c r="AG427" s="99"/>
      <c r="AH427" s="99"/>
      <c r="AI427" s="99"/>
    </row>
    <row r="428">
      <c r="C428" s="414"/>
      <c r="D428" s="414"/>
      <c r="F428" s="414"/>
      <c r="H428" s="407"/>
      <c r="P428" s="407"/>
      <c r="Y428" s="99"/>
      <c r="Z428" s="99"/>
      <c r="AA428" s="99"/>
      <c r="AC428" s="99"/>
      <c r="AD428" s="99"/>
      <c r="AE428" s="99"/>
      <c r="AG428" s="99"/>
      <c r="AH428" s="99"/>
      <c r="AI428" s="99"/>
    </row>
    <row r="429">
      <c r="C429" s="414"/>
      <c r="D429" s="414"/>
      <c r="F429" s="414"/>
      <c r="H429" s="407"/>
      <c r="P429" s="407"/>
      <c r="Y429" s="99"/>
      <c r="Z429" s="99"/>
      <c r="AA429" s="99"/>
      <c r="AC429" s="99"/>
      <c r="AD429" s="99"/>
      <c r="AE429" s="99"/>
      <c r="AG429" s="99"/>
      <c r="AH429" s="99"/>
      <c r="AI429" s="99"/>
    </row>
    <row r="430">
      <c r="C430" s="414"/>
      <c r="D430" s="414"/>
      <c r="F430" s="414"/>
      <c r="H430" s="407"/>
      <c r="P430" s="407"/>
      <c r="Y430" s="99"/>
      <c r="Z430" s="99"/>
      <c r="AA430" s="99"/>
      <c r="AC430" s="99"/>
      <c r="AD430" s="99"/>
      <c r="AE430" s="99"/>
      <c r="AG430" s="99"/>
      <c r="AH430" s="99"/>
      <c r="AI430" s="99"/>
    </row>
    <row r="431">
      <c r="C431" s="414"/>
      <c r="D431" s="414"/>
      <c r="F431" s="414"/>
      <c r="H431" s="407"/>
      <c r="P431" s="407"/>
      <c r="Y431" s="99"/>
      <c r="Z431" s="99"/>
      <c r="AA431" s="99"/>
      <c r="AC431" s="99"/>
      <c r="AD431" s="99"/>
      <c r="AE431" s="99"/>
      <c r="AG431" s="99"/>
      <c r="AH431" s="99"/>
      <c r="AI431" s="99"/>
    </row>
    <row r="432">
      <c r="C432" s="414"/>
      <c r="D432" s="414"/>
      <c r="F432" s="414"/>
      <c r="H432" s="407"/>
      <c r="P432" s="407"/>
      <c r="Y432" s="99"/>
      <c r="Z432" s="99"/>
      <c r="AA432" s="99"/>
      <c r="AC432" s="99"/>
      <c r="AD432" s="99"/>
      <c r="AE432" s="99"/>
      <c r="AG432" s="99"/>
      <c r="AH432" s="99"/>
      <c r="AI432" s="99"/>
    </row>
    <row r="433">
      <c r="C433" s="414"/>
      <c r="D433" s="414"/>
      <c r="F433" s="414"/>
      <c r="H433" s="407"/>
      <c r="P433" s="407"/>
      <c r="Y433" s="99"/>
      <c r="Z433" s="99"/>
      <c r="AA433" s="99"/>
      <c r="AC433" s="99"/>
      <c r="AD433" s="99"/>
      <c r="AE433" s="99"/>
      <c r="AG433" s="99"/>
      <c r="AH433" s="99"/>
      <c r="AI433" s="99"/>
    </row>
    <row r="434">
      <c r="C434" s="414"/>
      <c r="D434" s="414"/>
      <c r="F434" s="414"/>
      <c r="H434" s="407"/>
      <c r="P434" s="407"/>
      <c r="Y434" s="99"/>
      <c r="Z434" s="99"/>
      <c r="AA434" s="99"/>
      <c r="AC434" s="99"/>
      <c r="AD434" s="99"/>
      <c r="AE434" s="99"/>
      <c r="AG434" s="99"/>
      <c r="AH434" s="99"/>
      <c r="AI434" s="99"/>
    </row>
    <row r="435">
      <c r="C435" s="414"/>
      <c r="D435" s="414"/>
      <c r="F435" s="414"/>
      <c r="H435" s="407"/>
      <c r="P435" s="407"/>
      <c r="Y435" s="99"/>
      <c r="Z435" s="99"/>
      <c r="AA435" s="99"/>
      <c r="AC435" s="99"/>
      <c r="AD435" s="99"/>
      <c r="AE435" s="99"/>
      <c r="AG435" s="99"/>
      <c r="AH435" s="99"/>
      <c r="AI435" s="99"/>
    </row>
    <row r="436">
      <c r="C436" s="414"/>
      <c r="D436" s="414"/>
      <c r="F436" s="414"/>
      <c r="H436" s="407"/>
      <c r="P436" s="407"/>
      <c r="Y436" s="99"/>
      <c r="Z436" s="99"/>
      <c r="AA436" s="99"/>
      <c r="AC436" s="99"/>
      <c r="AD436" s="99"/>
      <c r="AE436" s="99"/>
      <c r="AG436" s="99"/>
      <c r="AH436" s="99"/>
      <c r="AI436" s="99"/>
    </row>
    <row r="437">
      <c r="C437" s="414"/>
      <c r="D437" s="414"/>
      <c r="F437" s="414"/>
      <c r="H437" s="407"/>
      <c r="P437" s="407"/>
      <c r="Y437" s="99"/>
      <c r="Z437" s="99"/>
      <c r="AA437" s="99"/>
      <c r="AC437" s="99"/>
      <c r="AD437" s="99"/>
      <c r="AE437" s="99"/>
      <c r="AG437" s="99"/>
      <c r="AH437" s="99"/>
      <c r="AI437" s="99"/>
    </row>
    <row r="438">
      <c r="C438" s="414"/>
      <c r="D438" s="414"/>
      <c r="F438" s="414"/>
      <c r="H438" s="407"/>
      <c r="P438" s="407"/>
      <c r="Y438" s="99"/>
      <c r="Z438" s="99"/>
      <c r="AA438" s="99"/>
      <c r="AC438" s="99"/>
      <c r="AD438" s="99"/>
      <c r="AE438" s="99"/>
      <c r="AG438" s="99"/>
      <c r="AH438" s="99"/>
      <c r="AI438" s="99"/>
    </row>
    <row r="439">
      <c r="C439" s="414"/>
      <c r="D439" s="414"/>
      <c r="F439" s="414"/>
      <c r="H439" s="407"/>
      <c r="P439" s="407"/>
      <c r="Y439" s="99"/>
      <c r="Z439" s="99"/>
      <c r="AA439" s="99"/>
      <c r="AC439" s="99"/>
      <c r="AD439" s="99"/>
      <c r="AE439" s="99"/>
      <c r="AG439" s="99"/>
      <c r="AH439" s="99"/>
      <c r="AI439" s="99"/>
    </row>
    <row r="440">
      <c r="C440" s="414"/>
      <c r="D440" s="414"/>
      <c r="F440" s="414"/>
      <c r="H440" s="407"/>
      <c r="P440" s="407"/>
      <c r="Y440" s="99"/>
      <c r="Z440" s="99"/>
      <c r="AA440" s="99"/>
      <c r="AC440" s="99"/>
      <c r="AD440" s="99"/>
      <c r="AE440" s="99"/>
      <c r="AG440" s="99"/>
      <c r="AH440" s="99"/>
      <c r="AI440" s="99"/>
    </row>
    <row r="441">
      <c r="C441" s="414"/>
      <c r="D441" s="414"/>
      <c r="F441" s="414"/>
      <c r="H441" s="407"/>
      <c r="P441" s="407"/>
      <c r="Y441" s="99"/>
      <c r="Z441" s="99"/>
      <c r="AA441" s="99"/>
      <c r="AC441" s="99"/>
      <c r="AD441" s="99"/>
      <c r="AE441" s="99"/>
      <c r="AG441" s="99"/>
      <c r="AH441" s="99"/>
      <c r="AI441" s="99"/>
    </row>
    <row r="442">
      <c r="C442" s="414"/>
      <c r="D442" s="414"/>
      <c r="F442" s="414"/>
      <c r="H442" s="407"/>
      <c r="P442" s="407"/>
      <c r="Y442" s="99"/>
      <c r="Z442" s="99"/>
      <c r="AA442" s="99"/>
      <c r="AC442" s="99"/>
      <c r="AD442" s="99"/>
      <c r="AE442" s="99"/>
      <c r="AG442" s="99"/>
      <c r="AH442" s="99"/>
      <c r="AI442" s="99"/>
    </row>
    <row r="443">
      <c r="C443" s="414"/>
      <c r="D443" s="414"/>
      <c r="F443" s="414"/>
      <c r="H443" s="407"/>
      <c r="P443" s="407"/>
      <c r="Y443" s="99"/>
      <c r="Z443" s="99"/>
      <c r="AA443" s="99"/>
      <c r="AC443" s="99"/>
      <c r="AD443" s="99"/>
      <c r="AE443" s="99"/>
      <c r="AG443" s="99"/>
      <c r="AH443" s="99"/>
      <c r="AI443" s="99"/>
    </row>
    <row r="444">
      <c r="C444" s="414"/>
      <c r="D444" s="414"/>
      <c r="F444" s="414"/>
      <c r="H444" s="407"/>
      <c r="P444" s="407"/>
      <c r="Y444" s="99"/>
      <c r="Z444" s="99"/>
      <c r="AA444" s="99"/>
      <c r="AC444" s="99"/>
      <c r="AD444" s="99"/>
      <c r="AE444" s="99"/>
      <c r="AG444" s="99"/>
      <c r="AH444" s="99"/>
      <c r="AI444" s="99"/>
    </row>
    <row r="445">
      <c r="C445" s="414"/>
      <c r="D445" s="414"/>
      <c r="F445" s="414"/>
      <c r="H445" s="407"/>
      <c r="P445" s="407"/>
      <c r="Y445" s="99"/>
      <c r="Z445" s="99"/>
      <c r="AA445" s="99"/>
      <c r="AC445" s="99"/>
      <c r="AD445" s="99"/>
      <c r="AE445" s="99"/>
      <c r="AG445" s="99"/>
      <c r="AH445" s="99"/>
      <c r="AI445" s="99"/>
    </row>
    <row r="446">
      <c r="C446" s="414"/>
      <c r="D446" s="414"/>
      <c r="F446" s="414"/>
      <c r="H446" s="407"/>
      <c r="P446" s="407"/>
      <c r="Y446" s="99"/>
      <c r="Z446" s="99"/>
      <c r="AA446" s="99"/>
      <c r="AC446" s="99"/>
      <c r="AD446" s="99"/>
      <c r="AE446" s="99"/>
      <c r="AG446" s="99"/>
      <c r="AH446" s="99"/>
      <c r="AI446" s="99"/>
    </row>
    <row r="447">
      <c r="C447" s="414"/>
      <c r="D447" s="414"/>
      <c r="F447" s="414"/>
      <c r="H447" s="407"/>
      <c r="P447" s="407"/>
      <c r="Y447" s="99"/>
      <c r="Z447" s="99"/>
      <c r="AA447" s="99"/>
      <c r="AC447" s="99"/>
      <c r="AD447" s="99"/>
      <c r="AE447" s="99"/>
      <c r="AG447" s="99"/>
      <c r="AH447" s="99"/>
      <c r="AI447" s="99"/>
    </row>
    <row r="448">
      <c r="C448" s="414"/>
      <c r="D448" s="414"/>
      <c r="F448" s="414"/>
      <c r="H448" s="407"/>
      <c r="P448" s="407"/>
      <c r="Y448" s="99"/>
      <c r="Z448" s="99"/>
      <c r="AA448" s="99"/>
      <c r="AC448" s="99"/>
      <c r="AD448" s="99"/>
      <c r="AE448" s="99"/>
      <c r="AG448" s="99"/>
      <c r="AH448" s="99"/>
      <c r="AI448" s="99"/>
    </row>
    <row r="449">
      <c r="C449" s="414"/>
      <c r="D449" s="414"/>
      <c r="F449" s="414"/>
      <c r="H449" s="407"/>
      <c r="P449" s="407"/>
      <c r="Y449" s="99"/>
      <c r="Z449" s="99"/>
      <c r="AA449" s="99"/>
      <c r="AC449" s="99"/>
      <c r="AD449" s="99"/>
      <c r="AE449" s="99"/>
      <c r="AG449" s="99"/>
      <c r="AH449" s="99"/>
      <c r="AI449" s="99"/>
    </row>
    <row r="450">
      <c r="C450" s="414"/>
      <c r="D450" s="414"/>
      <c r="F450" s="414"/>
      <c r="H450" s="407"/>
      <c r="P450" s="407"/>
      <c r="Y450" s="99"/>
      <c r="Z450" s="99"/>
      <c r="AA450" s="99"/>
      <c r="AC450" s="99"/>
      <c r="AD450" s="99"/>
      <c r="AE450" s="99"/>
      <c r="AG450" s="99"/>
      <c r="AH450" s="99"/>
      <c r="AI450" s="99"/>
    </row>
    <row r="451">
      <c r="C451" s="414"/>
      <c r="D451" s="414"/>
      <c r="F451" s="414"/>
      <c r="H451" s="407"/>
      <c r="P451" s="407"/>
      <c r="Y451" s="99"/>
      <c r="Z451" s="99"/>
      <c r="AA451" s="99"/>
      <c r="AC451" s="99"/>
      <c r="AD451" s="99"/>
      <c r="AE451" s="99"/>
      <c r="AG451" s="99"/>
      <c r="AH451" s="99"/>
      <c r="AI451" s="99"/>
    </row>
    <row r="452">
      <c r="C452" s="414"/>
      <c r="D452" s="414"/>
      <c r="F452" s="414"/>
      <c r="H452" s="407"/>
      <c r="P452" s="407"/>
      <c r="Y452" s="99"/>
      <c r="Z452" s="99"/>
      <c r="AA452" s="99"/>
      <c r="AC452" s="99"/>
      <c r="AD452" s="99"/>
      <c r="AE452" s="99"/>
      <c r="AG452" s="99"/>
      <c r="AH452" s="99"/>
      <c r="AI452" s="99"/>
    </row>
    <row r="453">
      <c r="C453" s="414"/>
      <c r="D453" s="414"/>
      <c r="F453" s="414"/>
      <c r="H453" s="407"/>
      <c r="P453" s="407"/>
      <c r="Y453" s="99"/>
      <c r="Z453" s="99"/>
      <c r="AA453" s="99"/>
      <c r="AC453" s="99"/>
      <c r="AD453" s="99"/>
      <c r="AE453" s="99"/>
      <c r="AG453" s="99"/>
      <c r="AH453" s="99"/>
      <c r="AI453" s="99"/>
    </row>
    <row r="454">
      <c r="C454" s="414"/>
      <c r="D454" s="414"/>
      <c r="F454" s="414"/>
      <c r="H454" s="407"/>
      <c r="P454" s="407"/>
      <c r="Y454" s="99"/>
      <c r="Z454" s="99"/>
      <c r="AA454" s="99"/>
      <c r="AC454" s="99"/>
      <c r="AD454" s="99"/>
      <c r="AE454" s="99"/>
      <c r="AG454" s="99"/>
      <c r="AH454" s="99"/>
      <c r="AI454" s="99"/>
    </row>
    <row r="455">
      <c r="C455" s="414"/>
      <c r="D455" s="414"/>
      <c r="F455" s="414"/>
      <c r="H455" s="407"/>
      <c r="P455" s="407"/>
      <c r="Y455" s="99"/>
      <c r="Z455" s="99"/>
      <c r="AA455" s="99"/>
      <c r="AC455" s="99"/>
      <c r="AD455" s="99"/>
      <c r="AE455" s="99"/>
      <c r="AG455" s="99"/>
      <c r="AH455" s="99"/>
      <c r="AI455" s="99"/>
    </row>
    <row r="456">
      <c r="C456" s="414"/>
      <c r="D456" s="414"/>
      <c r="F456" s="414"/>
      <c r="H456" s="407"/>
      <c r="P456" s="407"/>
      <c r="Y456" s="99"/>
      <c r="Z456" s="99"/>
      <c r="AA456" s="99"/>
      <c r="AC456" s="99"/>
      <c r="AD456" s="99"/>
      <c r="AE456" s="99"/>
      <c r="AG456" s="99"/>
      <c r="AH456" s="99"/>
      <c r="AI456" s="99"/>
    </row>
    <row r="457">
      <c r="C457" s="414"/>
      <c r="D457" s="414"/>
      <c r="F457" s="414"/>
      <c r="H457" s="407"/>
      <c r="P457" s="407"/>
      <c r="Y457" s="99"/>
      <c r="Z457" s="99"/>
      <c r="AA457" s="99"/>
      <c r="AC457" s="99"/>
      <c r="AD457" s="99"/>
      <c r="AE457" s="99"/>
      <c r="AG457" s="99"/>
      <c r="AH457" s="99"/>
      <c r="AI457" s="99"/>
    </row>
    <row r="458">
      <c r="C458" s="414"/>
      <c r="D458" s="414"/>
      <c r="F458" s="414"/>
      <c r="H458" s="407"/>
      <c r="P458" s="407"/>
      <c r="Y458" s="99"/>
      <c r="Z458" s="99"/>
      <c r="AA458" s="99"/>
      <c r="AC458" s="99"/>
      <c r="AD458" s="99"/>
      <c r="AE458" s="99"/>
      <c r="AG458" s="99"/>
      <c r="AH458" s="99"/>
      <c r="AI458" s="99"/>
    </row>
    <row r="459">
      <c r="C459" s="414"/>
      <c r="D459" s="414"/>
      <c r="F459" s="414"/>
      <c r="H459" s="407"/>
      <c r="P459" s="407"/>
      <c r="Y459" s="99"/>
      <c r="Z459" s="99"/>
      <c r="AA459" s="99"/>
      <c r="AC459" s="99"/>
      <c r="AD459" s="99"/>
      <c r="AE459" s="99"/>
      <c r="AG459" s="99"/>
      <c r="AH459" s="99"/>
      <c r="AI459" s="99"/>
    </row>
    <row r="460">
      <c r="C460" s="414"/>
      <c r="D460" s="414"/>
      <c r="F460" s="414"/>
      <c r="H460" s="407"/>
      <c r="P460" s="407"/>
      <c r="Y460" s="99"/>
      <c r="Z460" s="99"/>
      <c r="AA460" s="99"/>
      <c r="AC460" s="99"/>
      <c r="AD460" s="99"/>
      <c r="AE460" s="99"/>
      <c r="AG460" s="99"/>
      <c r="AH460" s="99"/>
      <c r="AI460" s="99"/>
    </row>
    <row r="461">
      <c r="C461" s="414"/>
      <c r="D461" s="414"/>
      <c r="F461" s="414"/>
      <c r="H461" s="407"/>
      <c r="P461" s="407"/>
      <c r="Y461" s="99"/>
      <c r="Z461" s="99"/>
      <c r="AA461" s="99"/>
      <c r="AC461" s="99"/>
      <c r="AD461" s="99"/>
      <c r="AE461" s="99"/>
      <c r="AG461" s="99"/>
      <c r="AH461" s="99"/>
      <c r="AI461" s="99"/>
    </row>
    <row r="462">
      <c r="C462" s="414"/>
      <c r="D462" s="414"/>
      <c r="F462" s="414"/>
      <c r="H462" s="407"/>
      <c r="P462" s="407"/>
      <c r="Y462" s="99"/>
      <c r="Z462" s="99"/>
      <c r="AA462" s="99"/>
      <c r="AC462" s="99"/>
      <c r="AD462" s="99"/>
      <c r="AE462" s="99"/>
      <c r="AG462" s="99"/>
      <c r="AH462" s="99"/>
      <c r="AI462" s="99"/>
    </row>
    <row r="463">
      <c r="C463" s="414"/>
      <c r="D463" s="414"/>
      <c r="F463" s="414"/>
      <c r="H463" s="407"/>
      <c r="P463" s="407"/>
      <c r="Y463" s="99"/>
      <c r="Z463" s="99"/>
      <c r="AA463" s="99"/>
      <c r="AC463" s="99"/>
      <c r="AD463" s="99"/>
      <c r="AE463" s="99"/>
      <c r="AG463" s="99"/>
      <c r="AH463" s="99"/>
      <c r="AI463" s="99"/>
    </row>
    <row r="464">
      <c r="C464" s="414"/>
      <c r="D464" s="414"/>
      <c r="F464" s="414"/>
      <c r="H464" s="407"/>
      <c r="P464" s="407"/>
      <c r="Y464" s="99"/>
      <c r="Z464" s="99"/>
      <c r="AA464" s="99"/>
      <c r="AC464" s="99"/>
      <c r="AD464" s="99"/>
      <c r="AE464" s="99"/>
      <c r="AG464" s="99"/>
      <c r="AH464" s="99"/>
      <c r="AI464" s="99"/>
    </row>
    <row r="465">
      <c r="C465" s="414"/>
      <c r="D465" s="414"/>
      <c r="F465" s="414"/>
      <c r="H465" s="407"/>
      <c r="P465" s="407"/>
      <c r="Y465" s="99"/>
      <c r="Z465" s="99"/>
      <c r="AA465" s="99"/>
      <c r="AC465" s="99"/>
      <c r="AD465" s="99"/>
      <c r="AE465" s="99"/>
      <c r="AG465" s="99"/>
      <c r="AH465" s="99"/>
      <c r="AI465" s="99"/>
    </row>
    <row r="466">
      <c r="C466" s="414"/>
      <c r="D466" s="414"/>
      <c r="F466" s="414"/>
      <c r="H466" s="407"/>
      <c r="P466" s="407"/>
      <c r="Y466" s="99"/>
      <c r="Z466" s="99"/>
      <c r="AA466" s="99"/>
      <c r="AC466" s="99"/>
      <c r="AD466" s="99"/>
      <c r="AE466" s="99"/>
      <c r="AG466" s="99"/>
      <c r="AH466" s="99"/>
      <c r="AI466" s="99"/>
    </row>
    <row r="467">
      <c r="C467" s="414"/>
      <c r="D467" s="414"/>
      <c r="F467" s="414"/>
      <c r="H467" s="407"/>
      <c r="P467" s="407"/>
      <c r="Y467" s="99"/>
      <c r="Z467" s="99"/>
      <c r="AA467" s="99"/>
      <c r="AC467" s="99"/>
      <c r="AD467" s="99"/>
      <c r="AE467" s="99"/>
      <c r="AG467" s="99"/>
      <c r="AH467" s="99"/>
      <c r="AI467" s="99"/>
    </row>
    <row r="468">
      <c r="C468" s="414"/>
      <c r="D468" s="414"/>
      <c r="F468" s="414"/>
      <c r="H468" s="407"/>
      <c r="P468" s="407"/>
      <c r="Y468" s="99"/>
      <c r="Z468" s="99"/>
      <c r="AA468" s="99"/>
      <c r="AC468" s="99"/>
      <c r="AD468" s="99"/>
      <c r="AE468" s="99"/>
      <c r="AG468" s="99"/>
      <c r="AH468" s="99"/>
      <c r="AI468" s="99"/>
    </row>
    <row r="469">
      <c r="C469" s="414"/>
      <c r="D469" s="414"/>
      <c r="F469" s="414"/>
      <c r="H469" s="407"/>
      <c r="P469" s="407"/>
      <c r="Y469" s="99"/>
      <c r="Z469" s="99"/>
      <c r="AA469" s="99"/>
      <c r="AC469" s="99"/>
      <c r="AD469" s="99"/>
      <c r="AE469" s="99"/>
      <c r="AG469" s="99"/>
      <c r="AH469" s="99"/>
      <c r="AI469" s="99"/>
    </row>
    <row r="470">
      <c r="C470" s="414"/>
      <c r="D470" s="414"/>
      <c r="F470" s="414"/>
      <c r="H470" s="407"/>
      <c r="P470" s="407"/>
      <c r="Y470" s="99"/>
      <c r="Z470" s="99"/>
      <c r="AA470" s="99"/>
      <c r="AC470" s="99"/>
      <c r="AD470" s="99"/>
      <c r="AE470" s="99"/>
      <c r="AG470" s="99"/>
      <c r="AH470" s="99"/>
      <c r="AI470" s="99"/>
    </row>
    <row r="471">
      <c r="C471" s="414"/>
      <c r="D471" s="414"/>
      <c r="F471" s="414"/>
      <c r="H471" s="407"/>
      <c r="P471" s="407"/>
      <c r="Y471" s="99"/>
      <c r="Z471" s="99"/>
      <c r="AA471" s="99"/>
      <c r="AC471" s="99"/>
      <c r="AD471" s="99"/>
      <c r="AE471" s="99"/>
      <c r="AG471" s="99"/>
      <c r="AH471" s="99"/>
      <c r="AI471" s="99"/>
    </row>
    <row r="472">
      <c r="C472" s="414"/>
      <c r="D472" s="414"/>
      <c r="F472" s="414"/>
      <c r="H472" s="407"/>
      <c r="P472" s="407"/>
      <c r="Y472" s="99"/>
      <c r="Z472" s="99"/>
      <c r="AA472" s="99"/>
      <c r="AC472" s="99"/>
      <c r="AD472" s="99"/>
      <c r="AE472" s="99"/>
      <c r="AG472" s="99"/>
      <c r="AH472" s="99"/>
      <c r="AI472" s="99"/>
    </row>
    <row r="473">
      <c r="C473" s="414"/>
      <c r="D473" s="414"/>
      <c r="F473" s="414"/>
      <c r="H473" s="407"/>
      <c r="P473" s="407"/>
      <c r="Y473" s="99"/>
      <c r="Z473" s="99"/>
      <c r="AA473" s="99"/>
      <c r="AC473" s="99"/>
      <c r="AD473" s="99"/>
      <c r="AE473" s="99"/>
      <c r="AG473" s="99"/>
      <c r="AH473" s="99"/>
      <c r="AI473" s="99"/>
    </row>
    <row r="474">
      <c r="C474" s="414"/>
      <c r="D474" s="414"/>
      <c r="F474" s="414"/>
      <c r="H474" s="407"/>
      <c r="P474" s="407"/>
      <c r="Y474" s="99"/>
      <c r="Z474" s="99"/>
      <c r="AA474" s="99"/>
      <c r="AC474" s="99"/>
      <c r="AD474" s="99"/>
      <c r="AE474" s="99"/>
      <c r="AG474" s="99"/>
      <c r="AH474" s="99"/>
      <c r="AI474" s="99"/>
    </row>
    <row r="475">
      <c r="C475" s="414"/>
      <c r="D475" s="414"/>
      <c r="F475" s="414"/>
      <c r="H475" s="407"/>
      <c r="P475" s="407"/>
      <c r="Y475" s="99"/>
      <c r="Z475" s="99"/>
      <c r="AA475" s="99"/>
      <c r="AC475" s="99"/>
      <c r="AD475" s="99"/>
      <c r="AE475" s="99"/>
      <c r="AG475" s="99"/>
      <c r="AH475" s="99"/>
      <c r="AI475" s="99"/>
    </row>
    <row r="476">
      <c r="C476" s="414"/>
      <c r="D476" s="414"/>
      <c r="F476" s="414"/>
      <c r="H476" s="407"/>
      <c r="P476" s="407"/>
      <c r="Y476" s="99"/>
      <c r="Z476" s="99"/>
      <c r="AA476" s="99"/>
      <c r="AC476" s="99"/>
      <c r="AD476" s="99"/>
      <c r="AE476" s="99"/>
      <c r="AG476" s="99"/>
      <c r="AH476" s="99"/>
      <c r="AI476" s="99"/>
    </row>
    <row r="477">
      <c r="C477" s="414"/>
      <c r="D477" s="414"/>
      <c r="F477" s="414"/>
      <c r="H477" s="407"/>
      <c r="P477" s="407"/>
      <c r="Y477" s="99"/>
      <c r="Z477" s="99"/>
      <c r="AA477" s="99"/>
      <c r="AC477" s="99"/>
      <c r="AD477" s="99"/>
      <c r="AE477" s="99"/>
      <c r="AG477" s="99"/>
      <c r="AH477" s="99"/>
      <c r="AI477" s="99"/>
    </row>
    <row r="478">
      <c r="C478" s="414"/>
      <c r="D478" s="414"/>
      <c r="F478" s="414"/>
      <c r="H478" s="407"/>
      <c r="P478" s="407"/>
      <c r="Y478" s="99"/>
      <c r="Z478" s="99"/>
      <c r="AA478" s="99"/>
      <c r="AC478" s="99"/>
      <c r="AD478" s="99"/>
      <c r="AE478" s="99"/>
      <c r="AG478" s="99"/>
      <c r="AH478" s="99"/>
      <c r="AI478" s="99"/>
    </row>
    <row r="479">
      <c r="C479" s="414"/>
      <c r="D479" s="414"/>
      <c r="F479" s="414"/>
      <c r="H479" s="407"/>
      <c r="P479" s="407"/>
      <c r="Y479" s="99"/>
      <c r="Z479" s="99"/>
      <c r="AA479" s="99"/>
      <c r="AC479" s="99"/>
      <c r="AD479" s="99"/>
      <c r="AE479" s="99"/>
      <c r="AG479" s="99"/>
      <c r="AH479" s="99"/>
      <c r="AI479" s="99"/>
    </row>
    <row r="480">
      <c r="C480" s="414"/>
      <c r="D480" s="414"/>
      <c r="F480" s="414"/>
      <c r="H480" s="407"/>
      <c r="P480" s="407"/>
      <c r="Y480" s="99"/>
      <c r="Z480" s="99"/>
      <c r="AA480" s="99"/>
      <c r="AC480" s="99"/>
      <c r="AD480" s="99"/>
      <c r="AE480" s="99"/>
      <c r="AG480" s="99"/>
      <c r="AH480" s="99"/>
      <c r="AI480" s="99"/>
    </row>
    <row r="481">
      <c r="C481" s="414"/>
      <c r="D481" s="414"/>
      <c r="F481" s="414"/>
      <c r="H481" s="407"/>
      <c r="P481" s="407"/>
      <c r="Y481" s="99"/>
      <c r="Z481" s="99"/>
      <c r="AA481" s="99"/>
      <c r="AC481" s="99"/>
      <c r="AD481" s="99"/>
      <c r="AE481" s="99"/>
      <c r="AG481" s="99"/>
      <c r="AH481" s="99"/>
      <c r="AI481" s="99"/>
    </row>
    <row r="482">
      <c r="C482" s="414"/>
      <c r="D482" s="414"/>
      <c r="F482" s="414"/>
      <c r="H482" s="407"/>
      <c r="P482" s="407"/>
      <c r="Y482" s="99"/>
      <c r="Z482" s="99"/>
      <c r="AA482" s="99"/>
      <c r="AC482" s="99"/>
      <c r="AD482" s="99"/>
      <c r="AE482" s="99"/>
      <c r="AG482" s="99"/>
      <c r="AH482" s="99"/>
      <c r="AI482" s="99"/>
    </row>
    <row r="483">
      <c r="C483" s="414"/>
      <c r="D483" s="414"/>
      <c r="F483" s="414"/>
      <c r="H483" s="407"/>
      <c r="P483" s="407"/>
      <c r="Y483" s="99"/>
      <c r="Z483" s="99"/>
      <c r="AA483" s="99"/>
      <c r="AC483" s="99"/>
      <c r="AD483" s="99"/>
      <c r="AE483" s="99"/>
      <c r="AG483" s="99"/>
      <c r="AH483" s="99"/>
      <c r="AI483" s="99"/>
    </row>
    <row r="484">
      <c r="C484" s="414"/>
      <c r="D484" s="414"/>
      <c r="F484" s="414"/>
      <c r="H484" s="407"/>
      <c r="P484" s="407"/>
      <c r="Y484" s="99"/>
      <c r="Z484" s="99"/>
      <c r="AA484" s="99"/>
      <c r="AC484" s="99"/>
      <c r="AD484" s="99"/>
      <c r="AE484" s="99"/>
      <c r="AG484" s="99"/>
      <c r="AH484" s="99"/>
      <c r="AI484" s="99"/>
    </row>
    <row r="485">
      <c r="C485" s="414"/>
      <c r="D485" s="414"/>
      <c r="F485" s="414"/>
      <c r="H485" s="407"/>
      <c r="P485" s="407"/>
      <c r="Y485" s="99"/>
      <c r="Z485" s="99"/>
      <c r="AA485" s="99"/>
      <c r="AC485" s="99"/>
      <c r="AD485" s="99"/>
      <c r="AE485" s="99"/>
      <c r="AG485" s="99"/>
      <c r="AH485" s="99"/>
      <c r="AI485" s="99"/>
    </row>
    <row r="486">
      <c r="C486" s="414"/>
      <c r="D486" s="414"/>
      <c r="F486" s="414"/>
      <c r="H486" s="407"/>
      <c r="P486" s="407"/>
      <c r="Y486" s="99"/>
      <c r="Z486" s="99"/>
      <c r="AA486" s="99"/>
      <c r="AC486" s="99"/>
      <c r="AD486" s="99"/>
      <c r="AE486" s="99"/>
      <c r="AG486" s="99"/>
      <c r="AH486" s="99"/>
      <c r="AI486" s="99"/>
    </row>
    <row r="487">
      <c r="C487" s="414"/>
      <c r="D487" s="414"/>
      <c r="F487" s="414"/>
      <c r="H487" s="407"/>
      <c r="P487" s="407"/>
      <c r="Y487" s="99"/>
      <c r="Z487" s="99"/>
      <c r="AA487" s="99"/>
      <c r="AC487" s="99"/>
      <c r="AD487" s="99"/>
      <c r="AE487" s="99"/>
      <c r="AG487" s="99"/>
      <c r="AH487" s="99"/>
      <c r="AI487" s="99"/>
    </row>
    <row r="488">
      <c r="C488" s="414"/>
      <c r="D488" s="414"/>
      <c r="F488" s="414"/>
      <c r="H488" s="407"/>
      <c r="P488" s="407"/>
      <c r="Y488" s="99"/>
      <c r="Z488" s="99"/>
      <c r="AA488" s="99"/>
      <c r="AC488" s="99"/>
      <c r="AD488" s="99"/>
      <c r="AE488" s="99"/>
      <c r="AG488" s="99"/>
      <c r="AH488" s="99"/>
      <c r="AI488" s="99"/>
    </row>
    <row r="489">
      <c r="C489" s="414"/>
      <c r="D489" s="414"/>
      <c r="F489" s="414"/>
      <c r="H489" s="407"/>
      <c r="P489" s="407"/>
      <c r="Y489" s="99"/>
      <c r="Z489" s="99"/>
      <c r="AA489" s="99"/>
      <c r="AC489" s="99"/>
      <c r="AD489" s="99"/>
      <c r="AE489" s="99"/>
      <c r="AG489" s="99"/>
      <c r="AH489" s="99"/>
      <c r="AI489" s="99"/>
    </row>
    <row r="490">
      <c r="C490" s="414"/>
      <c r="D490" s="414"/>
      <c r="F490" s="414"/>
      <c r="H490" s="407"/>
      <c r="P490" s="407"/>
      <c r="Y490" s="99"/>
      <c r="Z490" s="99"/>
      <c r="AA490" s="99"/>
      <c r="AC490" s="99"/>
      <c r="AD490" s="99"/>
      <c r="AE490" s="99"/>
      <c r="AG490" s="99"/>
      <c r="AH490" s="99"/>
      <c r="AI490" s="99"/>
    </row>
    <row r="491">
      <c r="C491" s="414"/>
      <c r="D491" s="414"/>
      <c r="F491" s="414"/>
      <c r="H491" s="407"/>
      <c r="P491" s="407"/>
      <c r="Y491" s="99"/>
      <c r="Z491" s="99"/>
      <c r="AA491" s="99"/>
      <c r="AC491" s="99"/>
      <c r="AD491" s="99"/>
      <c r="AE491" s="99"/>
      <c r="AG491" s="99"/>
      <c r="AH491" s="99"/>
      <c r="AI491" s="99"/>
    </row>
    <row r="492">
      <c r="C492" s="414"/>
      <c r="D492" s="414"/>
      <c r="F492" s="414"/>
      <c r="H492" s="407"/>
      <c r="P492" s="407"/>
      <c r="Y492" s="99"/>
      <c r="Z492" s="99"/>
      <c r="AA492" s="99"/>
      <c r="AC492" s="99"/>
      <c r="AD492" s="99"/>
      <c r="AE492" s="99"/>
      <c r="AG492" s="99"/>
      <c r="AH492" s="99"/>
      <c r="AI492" s="99"/>
    </row>
    <row r="493">
      <c r="C493" s="414"/>
      <c r="D493" s="414"/>
      <c r="F493" s="414"/>
      <c r="H493" s="407"/>
      <c r="P493" s="407"/>
      <c r="Y493" s="99"/>
      <c r="Z493" s="99"/>
      <c r="AA493" s="99"/>
      <c r="AC493" s="99"/>
      <c r="AD493" s="99"/>
      <c r="AE493" s="99"/>
      <c r="AG493" s="99"/>
      <c r="AH493" s="99"/>
      <c r="AI493" s="99"/>
    </row>
    <row r="494">
      <c r="C494" s="414"/>
      <c r="D494" s="414"/>
      <c r="F494" s="414"/>
      <c r="H494" s="407"/>
      <c r="P494" s="407"/>
      <c r="Y494" s="99"/>
      <c r="Z494" s="99"/>
      <c r="AA494" s="99"/>
      <c r="AC494" s="99"/>
      <c r="AD494" s="99"/>
      <c r="AE494" s="99"/>
      <c r="AG494" s="99"/>
      <c r="AH494" s="99"/>
      <c r="AI494" s="99"/>
    </row>
    <row r="495">
      <c r="C495" s="414"/>
      <c r="D495" s="414"/>
      <c r="F495" s="414"/>
      <c r="H495" s="407"/>
      <c r="P495" s="407"/>
      <c r="Y495" s="99"/>
      <c r="Z495" s="99"/>
      <c r="AA495" s="99"/>
      <c r="AC495" s="99"/>
      <c r="AD495" s="99"/>
      <c r="AE495" s="99"/>
      <c r="AG495" s="99"/>
      <c r="AH495" s="99"/>
      <c r="AI495" s="99"/>
    </row>
    <row r="496">
      <c r="C496" s="414"/>
      <c r="D496" s="414"/>
      <c r="F496" s="414"/>
      <c r="H496" s="407"/>
      <c r="P496" s="407"/>
      <c r="Y496" s="99"/>
      <c r="Z496" s="99"/>
      <c r="AA496" s="99"/>
      <c r="AC496" s="99"/>
      <c r="AD496" s="99"/>
      <c r="AE496" s="99"/>
      <c r="AG496" s="99"/>
      <c r="AH496" s="99"/>
      <c r="AI496" s="99"/>
    </row>
    <row r="497">
      <c r="C497" s="414"/>
      <c r="D497" s="414"/>
      <c r="F497" s="414"/>
      <c r="H497" s="407"/>
      <c r="P497" s="407"/>
      <c r="Y497" s="99"/>
      <c r="Z497" s="99"/>
      <c r="AA497" s="99"/>
      <c r="AC497" s="99"/>
      <c r="AD497" s="99"/>
      <c r="AE497" s="99"/>
      <c r="AG497" s="99"/>
      <c r="AH497" s="99"/>
      <c r="AI497" s="99"/>
    </row>
    <row r="498">
      <c r="C498" s="414"/>
      <c r="D498" s="414"/>
      <c r="F498" s="414"/>
      <c r="H498" s="407"/>
      <c r="P498" s="407"/>
      <c r="Y498" s="99"/>
      <c r="Z498" s="99"/>
      <c r="AA498" s="99"/>
      <c r="AC498" s="99"/>
      <c r="AD498" s="99"/>
      <c r="AE498" s="99"/>
      <c r="AG498" s="99"/>
      <c r="AH498" s="99"/>
      <c r="AI498" s="99"/>
    </row>
    <row r="499">
      <c r="C499" s="414"/>
      <c r="D499" s="414"/>
      <c r="F499" s="414"/>
      <c r="H499" s="407"/>
      <c r="P499" s="407"/>
      <c r="Y499" s="99"/>
      <c r="Z499" s="99"/>
      <c r="AA499" s="99"/>
      <c r="AC499" s="99"/>
      <c r="AD499" s="99"/>
      <c r="AE499" s="99"/>
      <c r="AG499" s="99"/>
      <c r="AH499" s="99"/>
      <c r="AI499" s="99"/>
    </row>
    <row r="500">
      <c r="C500" s="414"/>
      <c r="D500" s="414"/>
      <c r="F500" s="414"/>
      <c r="H500" s="407"/>
      <c r="P500" s="407"/>
      <c r="Y500" s="99"/>
      <c r="Z500" s="99"/>
      <c r="AA500" s="99"/>
      <c r="AC500" s="99"/>
      <c r="AD500" s="99"/>
      <c r="AE500" s="99"/>
      <c r="AG500" s="99"/>
      <c r="AH500" s="99"/>
      <c r="AI500" s="99"/>
    </row>
    <row r="501">
      <c r="C501" s="414"/>
      <c r="D501" s="414"/>
      <c r="F501" s="414"/>
      <c r="H501" s="407"/>
      <c r="P501" s="407"/>
      <c r="Y501" s="99"/>
      <c r="Z501" s="99"/>
      <c r="AA501" s="99"/>
      <c r="AC501" s="99"/>
      <c r="AD501" s="99"/>
      <c r="AE501" s="99"/>
      <c r="AG501" s="99"/>
      <c r="AH501" s="99"/>
      <c r="AI501" s="99"/>
    </row>
    <row r="502">
      <c r="C502" s="414"/>
      <c r="D502" s="414"/>
      <c r="F502" s="414"/>
      <c r="H502" s="407"/>
      <c r="P502" s="407"/>
      <c r="Y502" s="99"/>
      <c r="Z502" s="99"/>
      <c r="AA502" s="99"/>
      <c r="AC502" s="99"/>
      <c r="AD502" s="99"/>
      <c r="AE502" s="99"/>
      <c r="AG502" s="99"/>
      <c r="AH502" s="99"/>
      <c r="AI502" s="99"/>
    </row>
    <row r="503">
      <c r="C503" s="414"/>
      <c r="D503" s="414"/>
      <c r="F503" s="414"/>
      <c r="H503" s="407"/>
      <c r="P503" s="407"/>
      <c r="Y503" s="99"/>
      <c r="Z503" s="99"/>
      <c r="AA503" s="99"/>
      <c r="AC503" s="99"/>
      <c r="AD503" s="99"/>
      <c r="AE503" s="99"/>
      <c r="AG503" s="99"/>
      <c r="AH503" s="99"/>
      <c r="AI503" s="99"/>
    </row>
    <row r="504">
      <c r="C504" s="414"/>
      <c r="D504" s="414"/>
      <c r="F504" s="414"/>
      <c r="H504" s="407"/>
      <c r="P504" s="407"/>
      <c r="Y504" s="99"/>
      <c r="Z504" s="99"/>
      <c r="AA504" s="99"/>
      <c r="AC504" s="99"/>
      <c r="AD504" s="99"/>
      <c r="AE504" s="99"/>
      <c r="AG504" s="99"/>
      <c r="AH504" s="99"/>
      <c r="AI504" s="99"/>
    </row>
    <row r="505">
      <c r="C505" s="414"/>
      <c r="D505" s="414"/>
      <c r="F505" s="414"/>
      <c r="H505" s="407"/>
      <c r="P505" s="407"/>
      <c r="Y505" s="99"/>
      <c r="Z505" s="99"/>
      <c r="AA505" s="99"/>
      <c r="AC505" s="99"/>
      <c r="AD505" s="99"/>
      <c r="AE505" s="99"/>
      <c r="AG505" s="99"/>
      <c r="AH505" s="99"/>
      <c r="AI505" s="99"/>
    </row>
    <row r="506">
      <c r="C506" s="414"/>
      <c r="D506" s="414"/>
      <c r="F506" s="414"/>
      <c r="H506" s="407"/>
      <c r="P506" s="407"/>
      <c r="Y506" s="99"/>
      <c r="Z506" s="99"/>
      <c r="AA506" s="99"/>
      <c r="AC506" s="99"/>
      <c r="AD506" s="99"/>
      <c r="AE506" s="99"/>
      <c r="AG506" s="99"/>
      <c r="AH506" s="99"/>
      <c r="AI506" s="99"/>
    </row>
    <row r="507">
      <c r="C507" s="414"/>
      <c r="D507" s="414"/>
      <c r="F507" s="414"/>
      <c r="H507" s="407"/>
      <c r="P507" s="407"/>
      <c r="Y507" s="99"/>
      <c r="Z507" s="99"/>
      <c r="AA507" s="99"/>
      <c r="AC507" s="99"/>
      <c r="AD507" s="99"/>
      <c r="AE507" s="99"/>
      <c r="AG507" s="99"/>
      <c r="AH507" s="99"/>
      <c r="AI507" s="99"/>
    </row>
    <row r="508">
      <c r="C508" s="414"/>
      <c r="D508" s="414"/>
      <c r="F508" s="414"/>
      <c r="H508" s="407"/>
      <c r="P508" s="407"/>
      <c r="Y508" s="99"/>
      <c r="Z508" s="99"/>
      <c r="AA508" s="99"/>
      <c r="AC508" s="99"/>
      <c r="AD508" s="99"/>
      <c r="AE508" s="99"/>
      <c r="AG508" s="99"/>
      <c r="AH508" s="99"/>
      <c r="AI508" s="99"/>
    </row>
    <row r="509">
      <c r="C509" s="414"/>
      <c r="D509" s="414"/>
      <c r="F509" s="414"/>
      <c r="H509" s="407"/>
      <c r="P509" s="407"/>
      <c r="Y509" s="99"/>
      <c r="Z509" s="99"/>
      <c r="AA509" s="99"/>
      <c r="AC509" s="99"/>
      <c r="AD509" s="99"/>
      <c r="AE509" s="99"/>
      <c r="AG509" s="99"/>
      <c r="AH509" s="99"/>
      <c r="AI509" s="99"/>
    </row>
    <row r="510">
      <c r="C510" s="414"/>
      <c r="D510" s="414"/>
      <c r="F510" s="414"/>
      <c r="H510" s="407"/>
      <c r="P510" s="407"/>
      <c r="Y510" s="99"/>
      <c r="Z510" s="99"/>
      <c r="AA510" s="99"/>
      <c r="AC510" s="99"/>
      <c r="AD510" s="99"/>
      <c r="AE510" s="99"/>
      <c r="AG510" s="99"/>
      <c r="AH510" s="99"/>
      <c r="AI510" s="99"/>
    </row>
    <row r="511">
      <c r="C511" s="414"/>
      <c r="D511" s="414"/>
      <c r="F511" s="414"/>
      <c r="H511" s="407"/>
      <c r="P511" s="407"/>
      <c r="Y511" s="99"/>
      <c r="Z511" s="99"/>
      <c r="AA511" s="99"/>
      <c r="AC511" s="99"/>
      <c r="AD511" s="99"/>
      <c r="AE511" s="99"/>
      <c r="AG511" s="99"/>
      <c r="AH511" s="99"/>
      <c r="AI511" s="99"/>
    </row>
    <row r="512">
      <c r="C512" s="414"/>
      <c r="D512" s="414"/>
      <c r="F512" s="414"/>
      <c r="H512" s="407"/>
      <c r="P512" s="407"/>
      <c r="Y512" s="99"/>
      <c r="Z512" s="99"/>
      <c r="AA512" s="99"/>
      <c r="AC512" s="99"/>
      <c r="AD512" s="99"/>
      <c r="AE512" s="99"/>
      <c r="AG512" s="99"/>
      <c r="AH512" s="99"/>
      <c r="AI512" s="99"/>
    </row>
    <row r="513">
      <c r="C513" s="414"/>
      <c r="D513" s="414"/>
      <c r="F513" s="414"/>
      <c r="H513" s="407"/>
      <c r="P513" s="407"/>
      <c r="Y513" s="99"/>
      <c r="Z513" s="99"/>
      <c r="AA513" s="99"/>
      <c r="AC513" s="99"/>
      <c r="AD513" s="99"/>
      <c r="AE513" s="99"/>
      <c r="AG513" s="99"/>
      <c r="AH513" s="99"/>
      <c r="AI513" s="99"/>
    </row>
    <row r="514">
      <c r="C514" s="414"/>
      <c r="D514" s="414"/>
      <c r="F514" s="414"/>
      <c r="H514" s="407"/>
      <c r="P514" s="407"/>
      <c r="Y514" s="99"/>
      <c r="Z514" s="99"/>
      <c r="AA514" s="99"/>
      <c r="AC514" s="99"/>
      <c r="AD514" s="99"/>
      <c r="AE514" s="99"/>
      <c r="AG514" s="99"/>
      <c r="AH514" s="99"/>
      <c r="AI514" s="99"/>
    </row>
    <row r="515">
      <c r="C515" s="414"/>
      <c r="D515" s="414"/>
      <c r="F515" s="414"/>
      <c r="H515" s="407"/>
      <c r="P515" s="407"/>
      <c r="Y515" s="99"/>
      <c r="Z515" s="99"/>
      <c r="AA515" s="99"/>
      <c r="AC515" s="99"/>
      <c r="AD515" s="99"/>
      <c r="AE515" s="99"/>
      <c r="AG515" s="99"/>
      <c r="AH515" s="99"/>
      <c r="AI515" s="99"/>
    </row>
    <row r="516">
      <c r="C516" s="414"/>
      <c r="D516" s="414"/>
      <c r="F516" s="414"/>
      <c r="H516" s="407"/>
      <c r="P516" s="407"/>
      <c r="Y516" s="99"/>
      <c r="Z516" s="99"/>
      <c r="AA516" s="99"/>
      <c r="AC516" s="99"/>
      <c r="AD516" s="99"/>
      <c r="AE516" s="99"/>
      <c r="AG516" s="99"/>
      <c r="AH516" s="99"/>
      <c r="AI516" s="99"/>
    </row>
    <row r="517">
      <c r="C517" s="414"/>
      <c r="D517" s="414"/>
      <c r="F517" s="414"/>
      <c r="H517" s="407"/>
      <c r="P517" s="407"/>
      <c r="Y517" s="99"/>
      <c r="Z517" s="99"/>
      <c r="AA517" s="99"/>
      <c r="AC517" s="99"/>
      <c r="AD517" s="99"/>
      <c r="AE517" s="99"/>
      <c r="AG517" s="99"/>
      <c r="AH517" s="99"/>
      <c r="AI517" s="99"/>
    </row>
    <row r="518">
      <c r="C518" s="414"/>
      <c r="D518" s="414"/>
      <c r="F518" s="414"/>
      <c r="H518" s="407"/>
      <c r="P518" s="407"/>
      <c r="Y518" s="99"/>
      <c r="Z518" s="99"/>
      <c r="AA518" s="99"/>
      <c r="AC518" s="99"/>
      <c r="AD518" s="99"/>
      <c r="AE518" s="99"/>
      <c r="AG518" s="99"/>
      <c r="AH518" s="99"/>
      <c r="AI518" s="99"/>
    </row>
    <row r="519">
      <c r="C519" s="414"/>
      <c r="D519" s="414"/>
      <c r="F519" s="414"/>
      <c r="H519" s="407"/>
      <c r="P519" s="407"/>
      <c r="Y519" s="99"/>
      <c r="Z519" s="99"/>
      <c r="AA519" s="99"/>
      <c r="AC519" s="99"/>
      <c r="AD519" s="99"/>
      <c r="AE519" s="99"/>
      <c r="AG519" s="99"/>
      <c r="AH519" s="99"/>
      <c r="AI519" s="99"/>
    </row>
    <row r="520">
      <c r="C520" s="414"/>
      <c r="D520" s="414"/>
      <c r="F520" s="414"/>
      <c r="H520" s="407"/>
      <c r="P520" s="407"/>
      <c r="Y520" s="99"/>
      <c r="Z520" s="99"/>
      <c r="AA520" s="99"/>
      <c r="AC520" s="99"/>
      <c r="AD520" s="99"/>
      <c r="AE520" s="99"/>
      <c r="AG520" s="99"/>
      <c r="AH520" s="99"/>
      <c r="AI520" s="99"/>
    </row>
    <row r="521">
      <c r="C521" s="414"/>
      <c r="D521" s="414"/>
      <c r="F521" s="414"/>
      <c r="H521" s="407"/>
      <c r="P521" s="407"/>
      <c r="Y521" s="99"/>
      <c r="Z521" s="99"/>
      <c r="AA521" s="99"/>
      <c r="AC521" s="99"/>
      <c r="AD521" s="99"/>
      <c r="AE521" s="99"/>
      <c r="AG521" s="99"/>
      <c r="AH521" s="99"/>
      <c r="AI521" s="99"/>
    </row>
    <row r="522">
      <c r="C522" s="414"/>
      <c r="D522" s="414"/>
      <c r="F522" s="414"/>
      <c r="H522" s="407"/>
      <c r="P522" s="407"/>
      <c r="Y522" s="99"/>
      <c r="Z522" s="99"/>
      <c r="AA522" s="99"/>
      <c r="AC522" s="99"/>
      <c r="AD522" s="99"/>
      <c r="AE522" s="99"/>
      <c r="AG522" s="99"/>
      <c r="AH522" s="99"/>
      <c r="AI522" s="99"/>
    </row>
    <row r="523">
      <c r="C523" s="414"/>
      <c r="D523" s="414"/>
      <c r="F523" s="414"/>
      <c r="H523" s="407"/>
      <c r="P523" s="407"/>
      <c r="Y523" s="99"/>
      <c r="Z523" s="99"/>
      <c r="AA523" s="99"/>
      <c r="AC523" s="99"/>
      <c r="AD523" s="99"/>
      <c r="AE523" s="99"/>
      <c r="AG523" s="99"/>
      <c r="AH523" s="99"/>
      <c r="AI523" s="99"/>
    </row>
    <row r="524">
      <c r="C524" s="414"/>
      <c r="D524" s="414"/>
      <c r="F524" s="414"/>
      <c r="H524" s="407"/>
      <c r="P524" s="407"/>
      <c r="Y524" s="99"/>
      <c r="Z524" s="99"/>
      <c r="AA524" s="99"/>
      <c r="AC524" s="99"/>
      <c r="AD524" s="99"/>
      <c r="AE524" s="99"/>
      <c r="AG524" s="99"/>
      <c r="AH524" s="99"/>
      <c r="AI524" s="99"/>
    </row>
    <row r="525">
      <c r="C525" s="414"/>
      <c r="D525" s="414"/>
      <c r="F525" s="414"/>
      <c r="H525" s="407"/>
      <c r="P525" s="407"/>
      <c r="Y525" s="99"/>
      <c r="Z525" s="99"/>
      <c r="AA525" s="99"/>
      <c r="AC525" s="99"/>
      <c r="AD525" s="99"/>
      <c r="AE525" s="99"/>
      <c r="AG525" s="99"/>
      <c r="AH525" s="99"/>
      <c r="AI525" s="99"/>
    </row>
    <row r="526">
      <c r="C526" s="414"/>
      <c r="D526" s="414"/>
      <c r="F526" s="414"/>
      <c r="H526" s="407"/>
      <c r="P526" s="407"/>
      <c r="Y526" s="99"/>
      <c r="Z526" s="99"/>
      <c r="AA526" s="99"/>
      <c r="AC526" s="99"/>
      <c r="AD526" s="99"/>
      <c r="AE526" s="99"/>
      <c r="AG526" s="99"/>
      <c r="AH526" s="99"/>
      <c r="AI526" s="99"/>
    </row>
    <row r="527">
      <c r="C527" s="414"/>
      <c r="D527" s="414"/>
      <c r="F527" s="414"/>
      <c r="H527" s="407"/>
      <c r="P527" s="407"/>
      <c r="Y527" s="99"/>
      <c r="Z527" s="99"/>
      <c r="AA527" s="99"/>
      <c r="AC527" s="99"/>
      <c r="AD527" s="99"/>
      <c r="AE527" s="99"/>
      <c r="AG527" s="99"/>
      <c r="AH527" s="99"/>
      <c r="AI527" s="99"/>
    </row>
    <row r="528">
      <c r="C528" s="414"/>
      <c r="D528" s="414"/>
      <c r="F528" s="414"/>
      <c r="H528" s="407"/>
      <c r="P528" s="407"/>
      <c r="Y528" s="99"/>
      <c r="Z528" s="99"/>
      <c r="AA528" s="99"/>
      <c r="AC528" s="99"/>
      <c r="AD528" s="99"/>
      <c r="AE528" s="99"/>
      <c r="AG528" s="99"/>
      <c r="AH528" s="99"/>
      <c r="AI528" s="99"/>
    </row>
    <row r="529">
      <c r="C529" s="414"/>
      <c r="D529" s="414"/>
      <c r="F529" s="414"/>
      <c r="H529" s="407"/>
      <c r="P529" s="407"/>
      <c r="Y529" s="99"/>
      <c r="Z529" s="99"/>
      <c r="AA529" s="99"/>
      <c r="AC529" s="99"/>
      <c r="AD529" s="99"/>
      <c r="AE529" s="99"/>
      <c r="AG529" s="99"/>
      <c r="AH529" s="99"/>
      <c r="AI529" s="99"/>
    </row>
    <row r="530">
      <c r="C530" s="414"/>
      <c r="D530" s="414"/>
      <c r="F530" s="414"/>
      <c r="H530" s="407"/>
      <c r="P530" s="407"/>
      <c r="Y530" s="99"/>
      <c r="Z530" s="99"/>
      <c r="AA530" s="99"/>
      <c r="AC530" s="99"/>
      <c r="AD530" s="99"/>
      <c r="AE530" s="99"/>
      <c r="AG530" s="99"/>
      <c r="AH530" s="99"/>
      <c r="AI530" s="99"/>
    </row>
    <row r="531">
      <c r="C531" s="414"/>
      <c r="D531" s="414"/>
      <c r="F531" s="414"/>
      <c r="H531" s="407"/>
      <c r="P531" s="407"/>
      <c r="Y531" s="99"/>
      <c r="Z531" s="99"/>
      <c r="AA531" s="99"/>
      <c r="AC531" s="99"/>
      <c r="AD531" s="99"/>
      <c r="AE531" s="99"/>
      <c r="AG531" s="99"/>
      <c r="AH531" s="99"/>
      <c r="AI531" s="99"/>
    </row>
    <row r="532">
      <c r="C532" s="414"/>
      <c r="D532" s="414"/>
      <c r="F532" s="414"/>
      <c r="H532" s="407"/>
      <c r="P532" s="407"/>
      <c r="Y532" s="99"/>
      <c r="Z532" s="99"/>
      <c r="AA532" s="99"/>
      <c r="AC532" s="99"/>
      <c r="AD532" s="99"/>
      <c r="AE532" s="99"/>
      <c r="AG532" s="99"/>
      <c r="AH532" s="99"/>
      <c r="AI532" s="99"/>
    </row>
    <row r="533">
      <c r="C533" s="414"/>
      <c r="D533" s="414"/>
      <c r="F533" s="414"/>
      <c r="H533" s="407"/>
      <c r="P533" s="407"/>
      <c r="Y533" s="99"/>
      <c r="Z533" s="99"/>
      <c r="AA533" s="99"/>
      <c r="AC533" s="99"/>
      <c r="AD533" s="99"/>
      <c r="AE533" s="99"/>
      <c r="AG533" s="99"/>
      <c r="AH533" s="99"/>
      <c r="AI533" s="99"/>
    </row>
    <row r="534">
      <c r="C534" s="414"/>
      <c r="D534" s="414"/>
      <c r="F534" s="414"/>
      <c r="H534" s="407"/>
      <c r="P534" s="407"/>
      <c r="Y534" s="99"/>
      <c r="Z534" s="99"/>
      <c r="AA534" s="99"/>
      <c r="AC534" s="99"/>
      <c r="AD534" s="99"/>
      <c r="AE534" s="99"/>
      <c r="AG534" s="99"/>
      <c r="AH534" s="99"/>
      <c r="AI534" s="99"/>
    </row>
    <row r="535">
      <c r="C535" s="414"/>
      <c r="D535" s="414"/>
      <c r="F535" s="414"/>
      <c r="H535" s="407"/>
      <c r="P535" s="407"/>
      <c r="Y535" s="99"/>
      <c r="Z535" s="99"/>
      <c r="AA535" s="99"/>
      <c r="AC535" s="99"/>
      <c r="AD535" s="99"/>
      <c r="AE535" s="99"/>
      <c r="AG535" s="99"/>
      <c r="AH535" s="99"/>
      <c r="AI535" s="99"/>
    </row>
    <row r="536">
      <c r="C536" s="414"/>
      <c r="D536" s="414"/>
      <c r="F536" s="414"/>
      <c r="H536" s="407"/>
      <c r="P536" s="407"/>
      <c r="Y536" s="99"/>
      <c r="Z536" s="99"/>
      <c r="AA536" s="99"/>
      <c r="AC536" s="99"/>
      <c r="AD536" s="99"/>
      <c r="AE536" s="99"/>
      <c r="AG536" s="99"/>
      <c r="AH536" s="99"/>
      <c r="AI536" s="99"/>
    </row>
    <row r="537">
      <c r="C537" s="414"/>
      <c r="D537" s="414"/>
      <c r="F537" s="414"/>
      <c r="H537" s="407"/>
      <c r="P537" s="407"/>
      <c r="Y537" s="99"/>
      <c r="Z537" s="99"/>
      <c r="AA537" s="99"/>
      <c r="AC537" s="99"/>
      <c r="AD537" s="99"/>
      <c r="AE537" s="99"/>
      <c r="AG537" s="99"/>
      <c r="AH537" s="99"/>
      <c r="AI537" s="99"/>
    </row>
    <row r="538">
      <c r="C538" s="414"/>
      <c r="D538" s="414"/>
      <c r="F538" s="414"/>
      <c r="H538" s="407"/>
      <c r="P538" s="407"/>
      <c r="Y538" s="99"/>
      <c r="Z538" s="99"/>
      <c r="AA538" s="99"/>
      <c r="AC538" s="99"/>
      <c r="AD538" s="99"/>
      <c r="AE538" s="99"/>
      <c r="AG538" s="99"/>
      <c r="AH538" s="99"/>
      <c r="AI538" s="99"/>
    </row>
    <row r="539">
      <c r="C539" s="414"/>
      <c r="D539" s="414"/>
      <c r="F539" s="414"/>
      <c r="H539" s="407"/>
      <c r="P539" s="407"/>
      <c r="Y539" s="99"/>
      <c r="Z539" s="99"/>
      <c r="AA539" s="99"/>
      <c r="AC539" s="99"/>
      <c r="AD539" s="99"/>
      <c r="AE539" s="99"/>
      <c r="AG539" s="99"/>
      <c r="AH539" s="99"/>
      <c r="AI539" s="99"/>
    </row>
    <row r="540">
      <c r="C540" s="414"/>
      <c r="D540" s="414"/>
      <c r="F540" s="414"/>
      <c r="H540" s="407"/>
      <c r="P540" s="407"/>
      <c r="Y540" s="99"/>
      <c r="Z540" s="99"/>
      <c r="AA540" s="99"/>
      <c r="AC540" s="99"/>
      <c r="AD540" s="99"/>
      <c r="AE540" s="99"/>
      <c r="AG540" s="99"/>
      <c r="AH540" s="99"/>
      <c r="AI540" s="99"/>
    </row>
    <row r="541">
      <c r="C541" s="414"/>
      <c r="D541" s="414"/>
      <c r="F541" s="414"/>
      <c r="H541" s="407"/>
      <c r="P541" s="407"/>
      <c r="Y541" s="99"/>
      <c r="Z541" s="99"/>
      <c r="AA541" s="99"/>
      <c r="AC541" s="99"/>
      <c r="AD541" s="99"/>
      <c r="AE541" s="99"/>
      <c r="AG541" s="99"/>
      <c r="AH541" s="99"/>
      <c r="AI541" s="99"/>
    </row>
    <row r="542">
      <c r="C542" s="414"/>
      <c r="D542" s="414"/>
      <c r="F542" s="414"/>
      <c r="H542" s="407"/>
      <c r="P542" s="407"/>
      <c r="Y542" s="99"/>
      <c r="Z542" s="99"/>
      <c r="AA542" s="99"/>
      <c r="AC542" s="99"/>
      <c r="AD542" s="99"/>
      <c r="AE542" s="99"/>
      <c r="AG542" s="99"/>
      <c r="AH542" s="99"/>
      <c r="AI542" s="99"/>
    </row>
    <row r="543">
      <c r="C543" s="414"/>
      <c r="D543" s="414"/>
      <c r="F543" s="414"/>
      <c r="H543" s="407"/>
      <c r="P543" s="407"/>
      <c r="Y543" s="99"/>
      <c r="Z543" s="99"/>
      <c r="AA543" s="99"/>
      <c r="AC543" s="99"/>
      <c r="AD543" s="99"/>
      <c r="AE543" s="99"/>
      <c r="AG543" s="99"/>
      <c r="AH543" s="99"/>
      <c r="AI543" s="99"/>
    </row>
    <row r="544">
      <c r="C544" s="414"/>
      <c r="D544" s="414"/>
      <c r="F544" s="414"/>
      <c r="H544" s="407"/>
      <c r="P544" s="407"/>
      <c r="Y544" s="99"/>
      <c r="Z544" s="99"/>
      <c r="AA544" s="99"/>
      <c r="AC544" s="99"/>
      <c r="AD544" s="99"/>
      <c r="AE544" s="99"/>
      <c r="AG544" s="99"/>
      <c r="AH544" s="99"/>
      <c r="AI544" s="99"/>
    </row>
    <row r="545">
      <c r="C545" s="414"/>
      <c r="D545" s="414"/>
      <c r="F545" s="414"/>
      <c r="H545" s="407"/>
      <c r="P545" s="407"/>
      <c r="Y545" s="99"/>
      <c r="Z545" s="99"/>
      <c r="AA545" s="99"/>
      <c r="AC545" s="99"/>
      <c r="AD545" s="99"/>
      <c r="AE545" s="99"/>
      <c r="AG545" s="99"/>
      <c r="AH545" s="99"/>
      <c r="AI545" s="99"/>
    </row>
    <row r="546">
      <c r="C546" s="414"/>
      <c r="D546" s="414"/>
      <c r="F546" s="414"/>
      <c r="H546" s="407"/>
      <c r="P546" s="407"/>
      <c r="Y546" s="99"/>
      <c r="Z546" s="99"/>
      <c r="AA546" s="99"/>
      <c r="AC546" s="99"/>
      <c r="AD546" s="99"/>
      <c r="AE546" s="99"/>
      <c r="AG546" s="99"/>
      <c r="AH546" s="99"/>
      <c r="AI546" s="99"/>
    </row>
    <row r="547">
      <c r="C547" s="414"/>
      <c r="D547" s="414"/>
      <c r="F547" s="414"/>
      <c r="H547" s="407"/>
      <c r="P547" s="407"/>
      <c r="Y547" s="99"/>
      <c r="Z547" s="99"/>
      <c r="AA547" s="99"/>
      <c r="AC547" s="99"/>
      <c r="AD547" s="99"/>
      <c r="AE547" s="99"/>
      <c r="AG547" s="99"/>
      <c r="AH547" s="99"/>
      <c r="AI547" s="99"/>
    </row>
    <row r="548">
      <c r="C548" s="414"/>
      <c r="D548" s="414"/>
      <c r="F548" s="414"/>
      <c r="H548" s="407"/>
      <c r="P548" s="407"/>
      <c r="Y548" s="99"/>
      <c r="Z548" s="99"/>
      <c r="AA548" s="99"/>
      <c r="AC548" s="99"/>
      <c r="AD548" s="99"/>
      <c r="AE548" s="99"/>
      <c r="AG548" s="99"/>
      <c r="AH548" s="99"/>
      <c r="AI548" s="99"/>
    </row>
    <row r="549">
      <c r="C549" s="414"/>
      <c r="D549" s="414"/>
      <c r="F549" s="414"/>
      <c r="H549" s="407"/>
      <c r="P549" s="407"/>
      <c r="Y549" s="99"/>
      <c r="Z549" s="99"/>
      <c r="AA549" s="99"/>
      <c r="AC549" s="99"/>
      <c r="AD549" s="99"/>
      <c r="AE549" s="99"/>
      <c r="AG549" s="99"/>
      <c r="AH549" s="99"/>
      <c r="AI549" s="99"/>
    </row>
    <row r="550">
      <c r="C550" s="414"/>
      <c r="D550" s="414"/>
      <c r="F550" s="414"/>
      <c r="H550" s="407"/>
      <c r="P550" s="407"/>
      <c r="Y550" s="99"/>
      <c r="Z550" s="99"/>
      <c r="AA550" s="99"/>
      <c r="AC550" s="99"/>
      <c r="AD550" s="99"/>
      <c r="AE550" s="99"/>
      <c r="AG550" s="99"/>
      <c r="AH550" s="99"/>
      <c r="AI550" s="99"/>
    </row>
    <row r="551">
      <c r="C551" s="414"/>
      <c r="D551" s="414"/>
      <c r="F551" s="414"/>
      <c r="H551" s="407"/>
      <c r="P551" s="407"/>
      <c r="Y551" s="99"/>
      <c r="Z551" s="99"/>
      <c r="AA551" s="99"/>
      <c r="AC551" s="99"/>
      <c r="AD551" s="99"/>
      <c r="AE551" s="99"/>
      <c r="AG551" s="99"/>
      <c r="AH551" s="99"/>
      <c r="AI551" s="99"/>
    </row>
    <row r="552">
      <c r="C552" s="414"/>
      <c r="D552" s="414"/>
      <c r="F552" s="414"/>
      <c r="H552" s="407"/>
      <c r="P552" s="407"/>
      <c r="Y552" s="99"/>
      <c r="Z552" s="99"/>
      <c r="AA552" s="99"/>
      <c r="AC552" s="99"/>
      <c r="AD552" s="99"/>
      <c r="AE552" s="99"/>
      <c r="AG552" s="99"/>
      <c r="AH552" s="99"/>
      <c r="AI552" s="99"/>
    </row>
    <row r="553">
      <c r="C553" s="414"/>
      <c r="D553" s="414"/>
      <c r="F553" s="414"/>
      <c r="H553" s="407"/>
      <c r="P553" s="407"/>
      <c r="Y553" s="99"/>
      <c r="Z553" s="99"/>
      <c r="AA553" s="99"/>
      <c r="AC553" s="99"/>
      <c r="AD553" s="99"/>
      <c r="AE553" s="99"/>
      <c r="AG553" s="99"/>
      <c r="AH553" s="99"/>
      <c r="AI553" s="99"/>
    </row>
    <row r="554">
      <c r="C554" s="414"/>
      <c r="D554" s="414"/>
      <c r="F554" s="414"/>
      <c r="H554" s="407"/>
      <c r="P554" s="407"/>
      <c r="Y554" s="99"/>
      <c r="Z554" s="99"/>
      <c r="AA554" s="99"/>
      <c r="AC554" s="99"/>
      <c r="AD554" s="99"/>
      <c r="AE554" s="99"/>
      <c r="AG554" s="99"/>
      <c r="AH554" s="99"/>
      <c r="AI554" s="99"/>
    </row>
    <row r="555">
      <c r="C555" s="414"/>
      <c r="D555" s="414"/>
      <c r="F555" s="414"/>
      <c r="H555" s="407"/>
      <c r="P555" s="407"/>
      <c r="Y555" s="99"/>
      <c r="Z555" s="99"/>
      <c r="AA555" s="99"/>
      <c r="AC555" s="99"/>
      <c r="AD555" s="99"/>
      <c r="AE555" s="99"/>
      <c r="AG555" s="99"/>
      <c r="AH555" s="99"/>
      <c r="AI555" s="99"/>
    </row>
    <row r="556">
      <c r="C556" s="414"/>
      <c r="D556" s="414"/>
      <c r="F556" s="414"/>
      <c r="H556" s="407"/>
      <c r="P556" s="407"/>
      <c r="Y556" s="99"/>
      <c r="Z556" s="99"/>
      <c r="AA556" s="99"/>
      <c r="AC556" s="99"/>
      <c r="AD556" s="99"/>
      <c r="AE556" s="99"/>
      <c r="AG556" s="99"/>
      <c r="AH556" s="99"/>
      <c r="AI556" s="99"/>
    </row>
    <row r="557">
      <c r="C557" s="414"/>
      <c r="D557" s="414"/>
      <c r="F557" s="414"/>
      <c r="H557" s="407"/>
      <c r="P557" s="407"/>
      <c r="Y557" s="99"/>
      <c r="Z557" s="99"/>
      <c r="AA557" s="99"/>
      <c r="AC557" s="99"/>
      <c r="AD557" s="99"/>
      <c r="AE557" s="99"/>
      <c r="AG557" s="99"/>
      <c r="AH557" s="99"/>
      <c r="AI557" s="99"/>
    </row>
    <row r="558">
      <c r="C558" s="414"/>
      <c r="D558" s="414"/>
      <c r="F558" s="414"/>
      <c r="H558" s="407"/>
      <c r="P558" s="407"/>
      <c r="Y558" s="99"/>
      <c r="Z558" s="99"/>
      <c r="AA558" s="99"/>
      <c r="AC558" s="99"/>
      <c r="AD558" s="99"/>
      <c r="AE558" s="99"/>
      <c r="AG558" s="99"/>
      <c r="AH558" s="99"/>
      <c r="AI558" s="99"/>
    </row>
    <row r="559">
      <c r="C559" s="414"/>
      <c r="D559" s="414"/>
      <c r="F559" s="414"/>
      <c r="H559" s="407"/>
      <c r="P559" s="407"/>
      <c r="Y559" s="99"/>
      <c r="Z559" s="99"/>
      <c r="AA559" s="99"/>
      <c r="AC559" s="99"/>
      <c r="AD559" s="99"/>
      <c r="AE559" s="99"/>
      <c r="AG559" s="99"/>
      <c r="AH559" s="99"/>
      <c r="AI559" s="99"/>
    </row>
    <row r="560">
      <c r="C560" s="414"/>
      <c r="D560" s="414"/>
      <c r="F560" s="414"/>
      <c r="H560" s="407"/>
      <c r="P560" s="407"/>
      <c r="Y560" s="99"/>
      <c r="Z560" s="99"/>
      <c r="AA560" s="99"/>
      <c r="AC560" s="99"/>
      <c r="AD560" s="99"/>
      <c r="AE560" s="99"/>
      <c r="AG560" s="99"/>
      <c r="AH560" s="99"/>
      <c r="AI560" s="99"/>
    </row>
    <row r="561">
      <c r="C561" s="414"/>
      <c r="D561" s="414"/>
      <c r="F561" s="414"/>
      <c r="H561" s="407"/>
      <c r="P561" s="407"/>
      <c r="Y561" s="99"/>
      <c r="Z561" s="99"/>
      <c r="AA561" s="99"/>
      <c r="AC561" s="99"/>
      <c r="AD561" s="99"/>
      <c r="AE561" s="99"/>
      <c r="AG561" s="99"/>
      <c r="AH561" s="99"/>
      <c r="AI561" s="99"/>
    </row>
    <row r="562">
      <c r="C562" s="414"/>
      <c r="D562" s="414"/>
      <c r="F562" s="414"/>
      <c r="H562" s="407"/>
      <c r="P562" s="407"/>
      <c r="Y562" s="99"/>
      <c r="Z562" s="99"/>
      <c r="AA562" s="99"/>
      <c r="AC562" s="99"/>
      <c r="AD562" s="99"/>
      <c r="AE562" s="99"/>
      <c r="AG562" s="99"/>
      <c r="AH562" s="99"/>
      <c r="AI562" s="99"/>
    </row>
    <row r="563">
      <c r="C563" s="414"/>
      <c r="D563" s="414"/>
      <c r="F563" s="414"/>
      <c r="H563" s="407"/>
      <c r="P563" s="407"/>
      <c r="Y563" s="99"/>
      <c r="Z563" s="99"/>
      <c r="AA563" s="99"/>
      <c r="AC563" s="99"/>
      <c r="AD563" s="99"/>
      <c r="AE563" s="99"/>
      <c r="AG563" s="99"/>
      <c r="AH563" s="99"/>
      <c r="AI563" s="99"/>
    </row>
    <row r="564">
      <c r="C564" s="414"/>
      <c r="D564" s="414"/>
      <c r="F564" s="414"/>
      <c r="H564" s="407"/>
      <c r="P564" s="407"/>
      <c r="Y564" s="99"/>
      <c r="Z564" s="99"/>
      <c r="AA564" s="99"/>
      <c r="AC564" s="99"/>
      <c r="AD564" s="99"/>
      <c r="AE564" s="99"/>
      <c r="AG564" s="99"/>
      <c r="AH564" s="99"/>
      <c r="AI564" s="99"/>
    </row>
    <row r="565">
      <c r="C565" s="414"/>
      <c r="D565" s="414"/>
      <c r="F565" s="414"/>
      <c r="H565" s="407"/>
      <c r="P565" s="407"/>
      <c r="Y565" s="99"/>
      <c r="Z565" s="99"/>
      <c r="AA565" s="99"/>
      <c r="AC565" s="99"/>
      <c r="AD565" s="99"/>
      <c r="AE565" s="99"/>
      <c r="AG565" s="99"/>
      <c r="AH565" s="99"/>
      <c r="AI565" s="99"/>
    </row>
    <row r="566">
      <c r="C566" s="414"/>
      <c r="D566" s="414"/>
      <c r="F566" s="414"/>
      <c r="H566" s="407"/>
      <c r="P566" s="407"/>
      <c r="Y566" s="99"/>
      <c r="Z566" s="99"/>
      <c r="AA566" s="99"/>
      <c r="AC566" s="99"/>
      <c r="AD566" s="99"/>
      <c r="AE566" s="99"/>
      <c r="AG566" s="99"/>
      <c r="AH566" s="99"/>
      <c r="AI566" s="99"/>
    </row>
    <row r="567">
      <c r="C567" s="414"/>
      <c r="D567" s="414"/>
      <c r="F567" s="414"/>
      <c r="H567" s="407"/>
      <c r="P567" s="407"/>
      <c r="Y567" s="99"/>
      <c r="Z567" s="99"/>
      <c r="AA567" s="99"/>
      <c r="AC567" s="99"/>
      <c r="AD567" s="99"/>
      <c r="AE567" s="99"/>
      <c r="AG567" s="99"/>
      <c r="AH567" s="99"/>
      <c r="AI567" s="99"/>
    </row>
    <row r="568">
      <c r="C568" s="414"/>
      <c r="D568" s="414"/>
      <c r="F568" s="414"/>
      <c r="H568" s="407"/>
      <c r="P568" s="407"/>
      <c r="Y568" s="99"/>
      <c r="Z568" s="99"/>
      <c r="AA568" s="99"/>
      <c r="AC568" s="99"/>
      <c r="AD568" s="99"/>
      <c r="AE568" s="99"/>
      <c r="AG568" s="99"/>
      <c r="AH568" s="99"/>
      <c r="AI568" s="99"/>
    </row>
    <row r="569">
      <c r="C569" s="414"/>
      <c r="D569" s="414"/>
      <c r="F569" s="414"/>
      <c r="H569" s="407"/>
      <c r="P569" s="407"/>
      <c r="Y569" s="99"/>
      <c r="Z569" s="99"/>
      <c r="AA569" s="99"/>
      <c r="AC569" s="99"/>
      <c r="AD569" s="99"/>
      <c r="AE569" s="99"/>
      <c r="AG569" s="99"/>
      <c r="AH569" s="99"/>
      <c r="AI569" s="99"/>
    </row>
    <row r="570">
      <c r="C570" s="414"/>
      <c r="D570" s="414"/>
      <c r="F570" s="414"/>
      <c r="H570" s="407"/>
      <c r="P570" s="407"/>
      <c r="Y570" s="99"/>
      <c r="Z570" s="99"/>
      <c r="AA570" s="99"/>
      <c r="AC570" s="99"/>
      <c r="AD570" s="99"/>
      <c r="AE570" s="99"/>
      <c r="AG570" s="99"/>
      <c r="AH570" s="99"/>
      <c r="AI570" s="99"/>
    </row>
    <row r="571">
      <c r="C571" s="414"/>
      <c r="D571" s="414"/>
      <c r="F571" s="414"/>
      <c r="H571" s="407"/>
      <c r="P571" s="407"/>
      <c r="Y571" s="99"/>
      <c r="Z571" s="99"/>
      <c r="AA571" s="99"/>
      <c r="AC571" s="99"/>
      <c r="AD571" s="99"/>
      <c r="AE571" s="99"/>
      <c r="AG571" s="99"/>
      <c r="AH571" s="99"/>
      <c r="AI571" s="99"/>
    </row>
    <row r="572">
      <c r="C572" s="414"/>
      <c r="D572" s="414"/>
      <c r="F572" s="414"/>
      <c r="H572" s="407"/>
      <c r="P572" s="407"/>
      <c r="Y572" s="99"/>
      <c r="Z572" s="99"/>
      <c r="AA572" s="99"/>
      <c r="AC572" s="99"/>
      <c r="AD572" s="99"/>
      <c r="AE572" s="99"/>
      <c r="AG572" s="99"/>
      <c r="AH572" s="99"/>
      <c r="AI572" s="99"/>
    </row>
    <row r="573">
      <c r="C573" s="414"/>
      <c r="D573" s="414"/>
      <c r="F573" s="414"/>
      <c r="H573" s="407"/>
      <c r="P573" s="407"/>
      <c r="Y573" s="99"/>
      <c r="Z573" s="99"/>
      <c r="AA573" s="99"/>
      <c r="AC573" s="99"/>
      <c r="AD573" s="99"/>
      <c r="AE573" s="99"/>
      <c r="AG573" s="99"/>
      <c r="AH573" s="99"/>
      <c r="AI573" s="99"/>
    </row>
    <row r="574">
      <c r="C574" s="414"/>
      <c r="D574" s="414"/>
      <c r="F574" s="414"/>
      <c r="H574" s="407"/>
      <c r="P574" s="407"/>
      <c r="Y574" s="99"/>
      <c r="Z574" s="99"/>
      <c r="AA574" s="99"/>
      <c r="AC574" s="99"/>
      <c r="AD574" s="99"/>
      <c r="AE574" s="99"/>
      <c r="AG574" s="99"/>
      <c r="AH574" s="99"/>
      <c r="AI574" s="99"/>
    </row>
    <row r="575">
      <c r="C575" s="414"/>
      <c r="D575" s="414"/>
      <c r="F575" s="414"/>
      <c r="H575" s="407"/>
      <c r="P575" s="407"/>
      <c r="Y575" s="99"/>
      <c r="Z575" s="99"/>
      <c r="AA575" s="99"/>
      <c r="AC575" s="99"/>
      <c r="AD575" s="99"/>
      <c r="AE575" s="99"/>
      <c r="AG575" s="99"/>
      <c r="AH575" s="99"/>
      <c r="AI575" s="99"/>
    </row>
    <row r="576">
      <c r="C576" s="414"/>
      <c r="D576" s="414"/>
      <c r="F576" s="414"/>
      <c r="H576" s="407"/>
      <c r="P576" s="407"/>
      <c r="Y576" s="99"/>
      <c r="Z576" s="99"/>
      <c r="AA576" s="99"/>
      <c r="AC576" s="99"/>
      <c r="AD576" s="99"/>
      <c r="AE576" s="99"/>
      <c r="AG576" s="99"/>
      <c r="AH576" s="99"/>
      <c r="AI576" s="99"/>
    </row>
    <row r="577">
      <c r="C577" s="414"/>
      <c r="D577" s="414"/>
      <c r="F577" s="414"/>
      <c r="H577" s="407"/>
      <c r="P577" s="407"/>
      <c r="Y577" s="99"/>
      <c r="Z577" s="99"/>
      <c r="AA577" s="99"/>
      <c r="AC577" s="99"/>
      <c r="AD577" s="99"/>
      <c r="AE577" s="99"/>
      <c r="AG577" s="99"/>
      <c r="AH577" s="99"/>
      <c r="AI577" s="99"/>
    </row>
    <row r="578">
      <c r="C578" s="414"/>
      <c r="D578" s="414"/>
      <c r="F578" s="414"/>
      <c r="H578" s="407"/>
      <c r="P578" s="407"/>
      <c r="Y578" s="99"/>
      <c r="Z578" s="99"/>
      <c r="AA578" s="99"/>
      <c r="AC578" s="99"/>
      <c r="AD578" s="99"/>
      <c r="AE578" s="99"/>
      <c r="AG578" s="99"/>
      <c r="AH578" s="99"/>
      <c r="AI578" s="99"/>
    </row>
    <row r="579">
      <c r="C579" s="414"/>
      <c r="D579" s="414"/>
      <c r="F579" s="414"/>
      <c r="H579" s="407"/>
      <c r="P579" s="407"/>
      <c r="Y579" s="99"/>
      <c r="Z579" s="99"/>
      <c r="AA579" s="99"/>
      <c r="AC579" s="99"/>
      <c r="AD579" s="99"/>
      <c r="AE579" s="99"/>
      <c r="AG579" s="99"/>
      <c r="AH579" s="99"/>
      <c r="AI579" s="99"/>
    </row>
    <row r="580">
      <c r="C580" s="414"/>
      <c r="D580" s="414"/>
      <c r="F580" s="414"/>
      <c r="H580" s="407"/>
      <c r="P580" s="407"/>
      <c r="Y580" s="99"/>
      <c r="Z580" s="99"/>
      <c r="AA580" s="99"/>
      <c r="AC580" s="99"/>
      <c r="AD580" s="99"/>
      <c r="AE580" s="99"/>
      <c r="AG580" s="99"/>
      <c r="AH580" s="99"/>
      <c r="AI580" s="99"/>
    </row>
    <row r="581">
      <c r="C581" s="414"/>
      <c r="D581" s="414"/>
      <c r="F581" s="414"/>
      <c r="H581" s="407"/>
      <c r="P581" s="407"/>
      <c r="Y581" s="99"/>
      <c r="Z581" s="99"/>
      <c r="AA581" s="99"/>
      <c r="AC581" s="99"/>
      <c r="AD581" s="99"/>
      <c r="AE581" s="99"/>
      <c r="AG581" s="99"/>
      <c r="AH581" s="99"/>
      <c r="AI581" s="99"/>
    </row>
    <row r="582">
      <c r="C582" s="414"/>
      <c r="D582" s="414"/>
      <c r="F582" s="414"/>
      <c r="H582" s="407"/>
      <c r="P582" s="407"/>
      <c r="Y582" s="99"/>
      <c r="Z582" s="99"/>
      <c r="AA582" s="99"/>
      <c r="AC582" s="99"/>
      <c r="AD582" s="99"/>
      <c r="AE582" s="99"/>
      <c r="AG582" s="99"/>
      <c r="AH582" s="99"/>
      <c r="AI582" s="99"/>
    </row>
    <row r="583">
      <c r="C583" s="414"/>
      <c r="D583" s="414"/>
      <c r="F583" s="414"/>
      <c r="H583" s="407"/>
      <c r="P583" s="407"/>
      <c r="Y583" s="99"/>
      <c r="Z583" s="99"/>
      <c r="AA583" s="99"/>
      <c r="AC583" s="99"/>
      <c r="AD583" s="99"/>
      <c r="AE583" s="99"/>
      <c r="AG583" s="99"/>
      <c r="AH583" s="99"/>
      <c r="AI583" s="99"/>
    </row>
    <row r="584">
      <c r="C584" s="414"/>
      <c r="D584" s="414"/>
      <c r="F584" s="414"/>
      <c r="H584" s="407"/>
      <c r="P584" s="407"/>
      <c r="Y584" s="99"/>
      <c r="Z584" s="99"/>
      <c r="AA584" s="99"/>
      <c r="AC584" s="99"/>
      <c r="AD584" s="99"/>
      <c r="AE584" s="99"/>
      <c r="AG584" s="99"/>
      <c r="AH584" s="99"/>
      <c r="AI584" s="99"/>
    </row>
    <row r="585">
      <c r="C585" s="414"/>
      <c r="D585" s="414"/>
      <c r="F585" s="414"/>
      <c r="H585" s="407"/>
      <c r="P585" s="407"/>
      <c r="Y585" s="99"/>
      <c r="Z585" s="99"/>
      <c r="AA585" s="99"/>
      <c r="AC585" s="99"/>
      <c r="AD585" s="99"/>
      <c r="AE585" s="99"/>
      <c r="AG585" s="99"/>
      <c r="AH585" s="99"/>
      <c r="AI585" s="99"/>
    </row>
    <row r="586">
      <c r="C586" s="414"/>
      <c r="D586" s="414"/>
      <c r="F586" s="414"/>
      <c r="H586" s="407"/>
      <c r="P586" s="407"/>
      <c r="Y586" s="99"/>
      <c r="Z586" s="99"/>
      <c r="AA586" s="99"/>
      <c r="AC586" s="99"/>
      <c r="AD586" s="99"/>
      <c r="AE586" s="99"/>
      <c r="AG586" s="99"/>
      <c r="AH586" s="99"/>
      <c r="AI586" s="99"/>
    </row>
    <row r="587">
      <c r="C587" s="414"/>
      <c r="D587" s="414"/>
      <c r="F587" s="414"/>
      <c r="H587" s="407"/>
      <c r="P587" s="407"/>
      <c r="Y587" s="99"/>
      <c r="Z587" s="99"/>
      <c r="AA587" s="99"/>
      <c r="AC587" s="99"/>
      <c r="AD587" s="99"/>
      <c r="AE587" s="99"/>
      <c r="AG587" s="99"/>
      <c r="AH587" s="99"/>
      <c r="AI587" s="99"/>
    </row>
    <row r="588">
      <c r="C588" s="414"/>
      <c r="D588" s="414"/>
      <c r="F588" s="414"/>
      <c r="H588" s="407"/>
      <c r="P588" s="407"/>
      <c r="Y588" s="99"/>
      <c r="Z588" s="99"/>
      <c r="AA588" s="99"/>
      <c r="AC588" s="99"/>
      <c r="AD588" s="99"/>
      <c r="AE588" s="99"/>
      <c r="AG588" s="99"/>
      <c r="AH588" s="99"/>
      <c r="AI588" s="99"/>
    </row>
    <row r="589">
      <c r="C589" s="414"/>
      <c r="D589" s="414"/>
      <c r="F589" s="414"/>
      <c r="H589" s="407"/>
      <c r="P589" s="407"/>
      <c r="Y589" s="99"/>
      <c r="Z589" s="99"/>
      <c r="AA589" s="99"/>
      <c r="AC589" s="99"/>
      <c r="AD589" s="99"/>
      <c r="AE589" s="99"/>
      <c r="AG589" s="99"/>
      <c r="AH589" s="99"/>
      <c r="AI589" s="99"/>
    </row>
    <row r="590">
      <c r="C590" s="414"/>
      <c r="D590" s="414"/>
      <c r="F590" s="414"/>
      <c r="H590" s="407"/>
      <c r="P590" s="407"/>
      <c r="Y590" s="99"/>
      <c r="Z590" s="99"/>
      <c r="AA590" s="99"/>
      <c r="AC590" s="99"/>
      <c r="AD590" s="99"/>
      <c r="AE590" s="99"/>
      <c r="AG590" s="99"/>
      <c r="AH590" s="99"/>
      <c r="AI590" s="99"/>
    </row>
    <row r="591">
      <c r="C591" s="414"/>
      <c r="D591" s="414"/>
      <c r="F591" s="414"/>
      <c r="H591" s="407"/>
      <c r="P591" s="407"/>
      <c r="Y591" s="99"/>
      <c r="Z591" s="99"/>
      <c r="AA591" s="99"/>
      <c r="AC591" s="99"/>
      <c r="AD591" s="99"/>
      <c r="AE591" s="99"/>
      <c r="AG591" s="99"/>
      <c r="AH591" s="99"/>
      <c r="AI591" s="99"/>
    </row>
    <row r="592">
      <c r="C592" s="414"/>
      <c r="D592" s="414"/>
      <c r="F592" s="414"/>
      <c r="H592" s="407"/>
      <c r="P592" s="407"/>
      <c r="Y592" s="99"/>
      <c r="Z592" s="99"/>
      <c r="AA592" s="99"/>
      <c r="AC592" s="99"/>
      <c r="AD592" s="99"/>
      <c r="AE592" s="99"/>
      <c r="AG592" s="99"/>
      <c r="AH592" s="99"/>
      <c r="AI592" s="99"/>
    </row>
    <row r="593">
      <c r="C593" s="414"/>
      <c r="D593" s="414"/>
      <c r="F593" s="414"/>
      <c r="H593" s="407"/>
      <c r="P593" s="407"/>
      <c r="Y593" s="99"/>
      <c r="Z593" s="99"/>
      <c r="AA593" s="99"/>
      <c r="AC593" s="99"/>
      <c r="AD593" s="99"/>
      <c r="AE593" s="99"/>
      <c r="AG593" s="99"/>
      <c r="AH593" s="99"/>
      <c r="AI593" s="99"/>
    </row>
    <row r="594">
      <c r="C594" s="414"/>
      <c r="D594" s="414"/>
      <c r="F594" s="414"/>
      <c r="H594" s="407"/>
      <c r="P594" s="407"/>
      <c r="Y594" s="99"/>
      <c r="Z594" s="99"/>
      <c r="AA594" s="99"/>
      <c r="AC594" s="99"/>
      <c r="AD594" s="99"/>
      <c r="AE594" s="99"/>
      <c r="AG594" s="99"/>
      <c r="AH594" s="99"/>
      <c r="AI594" s="99"/>
    </row>
    <row r="595">
      <c r="C595" s="414"/>
      <c r="D595" s="414"/>
      <c r="F595" s="414"/>
      <c r="H595" s="407"/>
      <c r="P595" s="407"/>
      <c r="Y595" s="99"/>
      <c r="Z595" s="99"/>
      <c r="AA595" s="99"/>
      <c r="AC595" s="99"/>
      <c r="AD595" s="99"/>
      <c r="AE595" s="99"/>
      <c r="AG595" s="99"/>
      <c r="AH595" s="99"/>
      <c r="AI595" s="99"/>
    </row>
    <row r="596">
      <c r="C596" s="414"/>
      <c r="D596" s="414"/>
      <c r="F596" s="414"/>
      <c r="H596" s="407"/>
      <c r="P596" s="407"/>
      <c r="Y596" s="99"/>
      <c r="Z596" s="99"/>
      <c r="AA596" s="99"/>
      <c r="AC596" s="99"/>
      <c r="AD596" s="99"/>
      <c r="AE596" s="99"/>
      <c r="AG596" s="99"/>
      <c r="AH596" s="99"/>
      <c r="AI596" s="99"/>
    </row>
    <row r="597">
      <c r="C597" s="414"/>
      <c r="D597" s="414"/>
      <c r="F597" s="414"/>
      <c r="H597" s="407"/>
      <c r="P597" s="407"/>
      <c r="Y597" s="99"/>
      <c r="Z597" s="99"/>
      <c r="AA597" s="99"/>
      <c r="AC597" s="99"/>
      <c r="AD597" s="99"/>
      <c r="AE597" s="99"/>
      <c r="AG597" s="99"/>
      <c r="AH597" s="99"/>
      <c r="AI597" s="99"/>
    </row>
    <row r="598">
      <c r="C598" s="414"/>
      <c r="D598" s="414"/>
      <c r="F598" s="414"/>
      <c r="H598" s="407"/>
      <c r="P598" s="407"/>
      <c r="Y598" s="99"/>
      <c r="Z598" s="99"/>
      <c r="AA598" s="99"/>
      <c r="AC598" s="99"/>
      <c r="AD598" s="99"/>
      <c r="AE598" s="99"/>
      <c r="AG598" s="99"/>
      <c r="AH598" s="99"/>
      <c r="AI598" s="99"/>
    </row>
    <row r="599">
      <c r="C599" s="414"/>
      <c r="D599" s="414"/>
      <c r="F599" s="414"/>
      <c r="H599" s="407"/>
      <c r="P599" s="407"/>
      <c r="Y599" s="99"/>
      <c r="Z599" s="99"/>
      <c r="AA599" s="99"/>
      <c r="AC599" s="99"/>
      <c r="AD599" s="99"/>
      <c r="AE599" s="99"/>
      <c r="AG599" s="99"/>
      <c r="AH599" s="99"/>
      <c r="AI599" s="99"/>
    </row>
    <row r="600">
      <c r="C600" s="414"/>
      <c r="D600" s="414"/>
      <c r="F600" s="414"/>
      <c r="H600" s="407"/>
      <c r="P600" s="407"/>
      <c r="Y600" s="99"/>
      <c r="Z600" s="99"/>
      <c r="AA600" s="99"/>
      <c r="AC600" s="99"/>
      <c r="AD600" s="99"/>
      <c r="AE600" s="99"/>
      <c r="AG600" s="99"/>
      <c r="AH600" s="99"/>
      <c r="AI600" s="99"/>
    </row>
    <row r="601">
      <c r="C601" s="414"/>
      <c r="D601" s="414"/>
      <c r="F601" s="414"/>
      <c r="H601" s="407"/>
      <c r="P601" s="407"/>
      <c r="Y601" s="99"/>
      <c r="Z601" s="99"/>
      <c r="AA601" s="99"/>
      <c r="AC601" s="99"/>
      <c r="AD601" s="99"/>
      <c r="AE601" s="99"/>
      <c r="AG601" s="99"/>
      <c r="AH601" s="99"/>
      <c r="AI601" s="99"/>
    </row>
    <row r="602">
      <c r="C602" s="414"/>
      <c r="D602" s="414"/>
      <c r="F602" s="414"/>
      <c r="H602" s="407"/>
      <c r="P602" s="407"/>
      <c r="Y602" s="99"/>
      <c r="Z602" s="99"/>
      <c r="AA602" s="99"/>
      <c r="AC602" s="99"/>
      <c r="AD602" s="99"/>
      <c r="AE602" s="99"/>
      <c r="AG602" s="99"/>
      <c r="AH602" s="99"/>
      <c r="AI602" s="99"/>
    </row>
    <row r="603">
      <c r="C603" s="414"/>
      <c r="D603" s="414"/>
      <c r="F603" s="414"/>
      <c r="H603" s="407"/>
      <c r="P603" s="407"/>
      <c r="Y603" s="99"/>
      <c r="Z603" s="99"/>
      <c r="AA603" s="99"/>
      <c r="AC603" s="99"/>
      <c r="AD603" s="99"/>
      <c r="AE603" s="99"/>
      <c r="AG603" s="99"/>
      <c r="AH603" s="99"/>
      <c r="AI603" s="99"/>
    </row>
    <row r="604">
      <c r="C604" s="414"/>
      <c r="D604" s="414"/>
      <c r="F604" s="414"/>
      <c r="H604" s="407"/>
      <c r="P604" s="407"/>
      <c r="Y604" s="99"/>
      <c r="Z604" s="99"/>
      <c r="AA604" s="99"/>
      <c r="AC604" s="99"/>
      <c r="AD604" s="99"/>
      <c r="AE604" s="99"/>
      <c r="AG604" s="99"/>
      <c r="AH604" s="99"/>
      <c r="AI604" s="99"/>
    </row>
    <row r="605">
      <c r="C605" s="414"/>
      <c r="D605" s="414"/>
      <c r="F605" s="414"/>
      <c r="H605" s="407"/>
      <c r="P605" s="407"/>
      <c r="Y605" s="99"/>
      <c r="Z605" s="99"/>
      <c r="AA605" s="99"/>
      <c r="AC605" s="99"/>
      <c r="AD605" s="99"/>
      <c r="AE605" s="99"/>
      <c r="AG605" s="99"/>
      <c r="AH605" s="99"/>
      <c r="AI605" s="99"/>
    </row>
    <row r="606">
      <c r="C606" s="414"/>
      <c r="D606" s="414"/>
      <c r="F606" s="414"/>
      <c r="H606" s="407"/>
      <c r="P606" s="407"/>
      <c r="Y606" s="99"/>
      <c r="Z606" s="99"/>
      <c r="AA606" s="99"/>
      <c r="AC606" s="99"/>
      <c r="AD606" s="99"/>
      <c r="AE606" s="99"/>
      <c r="AG606" s="99"/>
      <c r="AH606" s="99"/>
      <c r="AI606" s="99"/>
    </row>
    <row r="607">
      <c r="C607" s="414"/>
      <c r="D607" s="414"/>
      <c r="F607" s="414"/>
      <c r="H607" s="407"/>
      <c r="P607" s="407"/>
      <c r="Y607" s="99"/>
      <c r="Z607" s="99"/>
      <c r="AA607" s="99"/>
      <c r="AC607" s="99"/>
      <c r="AD607" s="99"/>
      <c r="AE607" s="99"/>
      <c r="AG607" s="99"/>
      <c r="AH607" s="99"/>
      <c r="AI607" s="99"/>
    </row>
    <row r="608">
      <c r="C608" s="414"/>
      <c r="D608" s="414"/>
      <c r="F608" s="414"/>
      <c r="H608" s="407"/>
      <c r="P608" s="407"/>
      <c r="Y608" s="99"/>
      <c r="Z608" s="99"/>
      <c r="AA608" s="99"/>
      <c r="AC608" s="99"/>
      <c r="AD608" s="99"/>
      <c r="AE608" s="99"/>
      <c r="AG608" s="99"/>
      <c r="AH608" s="99"/>
      <c r="AI608" s="99"/>
    </row>
    <row r="609">
      <c r="C609" s="414"/>
      <c r="D609" s="414"/>
      <c r="F609" s="414"/>
      <c r="H609" s="407"/>
      <c r="P609" s="407"/>
      <c r="Y609" s="99"/>
      <c r="Z609" s="99"/>
      <c r="AA609" s="99"/>
      <c r="AC609" s="99"/>
      <c r="AD609" s="99"/>
      <c r="AE609" s="99"/>
      <c r="AG609" s="99"/>
      <c r="AH609" s="99"/>
      <c r="AI609" s="99"/>
    </row>
    <row r="610">
      <c r="C610" s="414"/>
      <c r="D610" s="414"/>
      <c r="F610" s="414"/>
      <c r="H610" s="407"/>
      <c r="P610" s="407"/>
      <c r="Y610" s="99"/>
      <c r="Z610" s="99"/>
      <c r="AA610" s="99"/>
      <c r="AC610" s="99"/>
      <c r="AD610" s="99"/>
      <c r="AE610" s="99"/>
      <c r="AG610" s="99"/>
      <c r="AH610" s="99"/>
      <c r="AI610" s="99"/>
    </row>
    <row r="611">
      <c r="C611" s="414"/>
      <c r="D611" s="414"/>
      <c r="F611" s="414"/>
      <c r="H611" s="407"/>
      <c r="P611" s="407"/>
      <c r="Y611" s="99"/>
      <c r="Z611" s="99"/>
      <c r="AA611" s="99"/>
      <c r="AC611" s="99"/>
      <c r="AD611" s="99"/>
      <c r="AE611" s="99"/>
      <c r="AG611" s="99"/>
      <c r="AH611" s="99"/>
      <c r="AI611" s="99"/>
    </row>
    <row r="612">
      <c r="C612" s="414"/>
      <c r="D612" s="414"/>
      <c r="F612" s="414"/>
      <c r="H612" s="407"/>
      <c r="P612" s="407"/>
      <c r="Y612" s="99"/>
      <c r="Z612" s="99"/>
      <c r="AA612" s="99"/>
      <c r="AC612" s="99"/>
      <c r="AD612" s="99"/>
      <c r="AE612" s="99"/>
      <c r="AG612" s="99"/>
      <c r="AH612" s="99"/>
      <c r="AI612" s="99"/>
    </row>
    <row r="613">
      <c r="C613" s="414"/>
      <c r="D613" s="414"/>
      <c r="F613" s="414"/>
      <c r="H613" s="407"/>
      <c r="P613" s="407"/>
      <c r="Y613" s="99"/>
      <c r="Z613" s="99"/>
      <c r="AA613" s="99"/>
      <c r="AC613" s="99"/>
      <c r="AD613" s="99"/>
      <c r="AE613" s="99"/>
      <c r="AG613" s="99"/>
      <c r="AH613" s="99"/>
      <c r="AI613" s="99"/>
    </row>
    <row r="614">
      <c r="C614" s="414"/>
      <c r="D614" s="414"/>
      <c r="F614" s="414"/>
      <c r="H614" s="407"/>
      <c r="P614" s="407"/>
      <c r="Y614" s="99"/>
      <c r="Z614" s="99"/>
      <c r="AA614" s="99"/>
      <c r="AC614" s="99"/>
      <c r="AD614" s="99"/>
      <c r="AE614" s="99"/>
      <c r="AG614" s="99"/>
      <c r="AH614" s="99"/>
      <c r="AI614" s="99"/>
    </row>
    <row r="615">
      <c r="C615" s="414"/>
      <c r="D615" s="414"/>
      <c r="F615" s="414"/>
      <c r="H615" s="407"/>
      <c r="P615" s="407"/>
      <c r="Y615" s="99"/>
      <c r="Z615" s="99"/>
      <c r="AA615" s="99"/>
      <c r="AC615" s="99"/>
      <c r="AD615" s="99"/>
      <c r="AE615" s="99"/>
      <c r="AG615" s="99"/>
      <c r="AH615" s="99"/>
      <c r="AI615" s="99"/>
    </row>
    <row r="616">
      <c r="C616" s="414"/>
      <c r="D616" s="414"/>
      <c r="F616" s="414"/>
      <c r="H616" s="407"/>
      <c r="P616" s="407"/>
      <c r="Y616" s="99"/>
      <c r="Z616" s="99"/>
      <c r="AA616" s="99"/>
      <c r="AC616" s="99"/>
      <c r="AD616" s="99"/>
      <c r="AE616" s="99"/>
      <c r="AG616" s="99"/>
      <c r="AH616" s="99"/>
      <c r="AI616" s="99"/>
    </row>
    <row r="617">
      <c r="C617" s="414"/>
      <c r="D617" s="414"/>
      <c r="F617" s="414"/>
      <c r="H617" s="407"/>
      <c r="P617" s="407"/>
      <c r="Y617" s="99"/>
      <c r="Z617" s="99"/>
      <c r="AA617" s="99"/>
      <c r="AC617" s="99"/>
      <c r="AD617" s="99"/>
      <c r="AE617" s="99"/>
      <c r="AG617" s="99"/>
      <c r="AH617" s="99"/>
      <c r="AI617" s="99"/>
    </row>
    <row r="618">
      <c r="C618" s="414"/>
      <c r="D618" s="414"/>
      <c r="F618" s="414"/>
      <c r="H618" s="407"/>
      <c r="P618" s="407"/>
      <c r="Y618" s="99"/>
      <c r="Z618" s="99"/>
      <c r="AA618" s="99"/>
      <c r="AC618" s="99"/>
      <c r="AD618" s="99"/>
      <c r="AE618" s="99"/>
      <c r="AG618" s="99"/>
      <c r="AH618" s="99"/>
      <c r="AI618" s="99"/>
    </row>
    <row r="619">
      <c r="C619" s="414"/>
      <c r="D619" s="414"/>
      <c r="F619" s="414"/>
      <c r="H619" s="407"/>
      <c r="P619" s="407"/>
      <c r="Y619" s="99"/>
      <c r="Z619" s="99"/>
      <c r="AA619" s="99"/>
      <c r="AC619" s="99"/>
      <c r="AD619" s="99"/>
      <c r="AE619" s="99"/>
      <c r="AG619" s="99"/>
      <c r="AH619" s="99"/>
      <c r="AI619" s="99"/>
    </row>
    <row r="620">
      <c r="C620" s="414"/>
      <c r="D620" s="414"/>
      <c r="F620" s="414"/>
      <c r="H620" s="407"/>
      <c r="P620" s="407"/>
      <c r="Y620" s="99"/>
      <c r="Z620" s="99"/>
      <c r="AA620" s="99"/>
      <c r="AC620" s="99"/>
      <c r="AD620" s="99"/>
      <c r="AE620" s="99"/>
      <c r="AG620" s="99"/>
      <c r="AH620" s="99"/>
      <c r="AI620" s="99"/>
    </row>
    <row r="621">
      <c r="C621" s="414"/>
      <c r="D621" s="414"/>
      <c r="F621" s="414"/>
      <c r="H621" s="407"/>
      <c r="P621" s="407"/>
      <c r="Y621" s="99"/>
      <c r="Z621" s="99"/>
      <c r="AA621" s="99"/>
      <c r="AC621" s="99"/>
      <c r="AD621" s="99"/>
      <c r="AE621" s="99"/>
      <c r="AG621" s="99"/>
      <c r="AH621" s="99"/>
      <c r="AI621" s="99"/>
    </row>
    <row r="622">
      <c r="C622" s="414"/>
      <c r="D622" s="414"/>
      <c r="F622" s="414"/>
      <c r="H622" s="407"/>
      <c r="P622" s="407"/>
      <c r="Y622" s="99"/>
      <c r="Z622" s="99"/>
      <c r="AA622" s="99"/>
      <c r="AC622" s="99"/>
      <c r="AD622" s="99"/>
      <c r="AE622" s="99"/>
      <c r="AG622" s="99"/>
      <c r="AH622" s="99"/>
      <c r="AI622" s="99"/>
    </row>
    <row r="623">
      <c r="C623" s="414"/>
      <c r="D623" s="414"/>
      <c r="F623" s="414"/>
      <c r="H623" s="407"/>
      <c r="P623" s="407"/>
      <c r="Y623" s="99"/>
      <c r="Z623" s="99"/>
      <c r="AA623" s="99"/>
      <c r="AC623" s="99"/>
      <c r="AD623" s="99"/>
      <c r="AE623" s="99"/>
      <c r="AG623" s="99"/>
      <c r="AH623" s="99"/>
      <c r="AI623" s="99"/>
    </row>
    <row r="624">
      <c r="C624" s="414"/>
      <c r="D624" s="414"/>
      <c r="F624" s="414"/>
      <c r="H624" s="407"/>
      <c r="P624" s="407"/>
      <c r="Y624" s="99"/>
      <c r="Z624" s="99"/>
      <c r="AA624" s="99"/>
      <c r="AC624" s="99"/>
      <c r="AD624" s="99"/>
      <c r="AE624" s="99"/>
      <c r="AG624" s="99"/>
      <c r="AH624" s="99"/>
      <c r="AI624" s="99"/>
    </row>
    <row r="625">
      <c r="C625" s="414"/>
      <c r="D625" s="414"/>
      <c r="F625" s="414"/>
      <c r="H625" s="407"/>
      <c r="P625" s="407"/>
      <c r="Y625" s="99"/>
      <c r="Z625" s="99"/>
      <c r="AA625" s="99"/>
      <c r="AC625" s="99"/>
      <c r="AD625" s="99"/>
      <c r="AE625" s="99"/>
      <c r="AG625" s="99"/>
      <c r="AH625" s="99"/>
      <c r="AI625" s="99"/>
    </row>
    <row r="626">
      <c r="C626" s="414"/>
      <c r="D626" s="414"/>
      <c r="F626" s="414"/>
      <c r="H626" s="407"/>
      <c r="P626" s="407"/>
      <c r="Y626" s="99"/>
      <c r="Z626" s="99"/>
      <c r="AA626" s="99"/>
      <c r="AC626" s="99"/>
      <c r="AD626" s="99"/>
      <c r="AE626" s="99"/>
      <c r="AG626" s="99"/>
      <c r="AH626" s="99"/>
      <c r="AI626" s="99"/>
    </row>
    <row r="627">
      <c r="C627" s="414"/>
      <c r="D627" s="414"/>
      <c r="F627" s="414"/>
      <c r="H627" s="407"/>
      <c r="P627" s="407"/>
      <c r="Y627" s="99"/>
      <c r="Z627" s="99"/>
      <c r="AA627" s="99"/>
      <c r="AC627" s="99"/>
      <c r="AD627" s="99"/>
      <c r="AE627" s="99"/>
      <c r="AG627" s="99"/>
      <c r="AH627" s="99"/>
      <c r="AI627" s="99"/>
    </row>
    <row r="628">
      <c r="C628" s="414"/>
      <c r="D628" s="414"/>
      <c r="F628" s="414"/>
      <c r="H628" s="407"/>
      <c r="P628" s="407"/>
      <c r="Y628" s="99"/>
      <c r="Z628" s="99"/>
      <c r="AA628" s="99"/>
      <c r="AC628" s="99"/>
      <c r="AD628" s="99"/>
      <c r="AE628" s="99"/>
      <c r="AG628" s="99"/>
      <c r="AH628" s="99"/>
      <c r="AI628" s="99"/>
    </row>
    <row r="629">
      <c r="C629" s="414"/>
      <c r="D629" s="414"/>
      <c r="F629" s="414"/>
      <c r="H629" s="407"/>
      <c r="P629" s="407"/>
      <c r="Y629" s="99"/>
      <c r="Z629" s="99"/>
      <c r="AA629" s="99"/>
      <c r="AC629" s="99"/>
      <c r="AD629" s="99"/>
      <c r="AE629" s="99"/>
      <c r="AG629" s="99"/>
      <c r="AH629" s="99"/>
      <c r="AI629" s="99"/>
    </row>
    <row r="630">
      <c r="C630" s="414"/>
      <c r="D630" s="414"/>
      <c r="F630" s="414"/>
      <c r="H630" s="407"/>
      <c r="P630" s="407"/>
      <c r="Y630" s="99"/>
      <c r="Z630" s="99"/>
      <c r="AA630" s="99"/>
      <c r="AC630" s="99"/>
      <c r="AD630" s="99"/>
      <c r="AE630" s="99"/>
      <c r="AG630" s="99"/>
      <c r="AH630" s="99"/>
      <c r="AI630" s="99"/>
    </row>
    <row r="631">
      <c r="C631" s="414"/>
      <c r="D631" s="414"/>
      <c r="F631" s="414"/>
      <c r="H631" s="407"/>
      <c r="P631" s="407"/>
      <c r="Y631" s="99"/>
      <c r="Z631" s="99"/>
      <c r="AA631" s="99"/>
      <c r="AC631" s="99"/>
      <c r="AD631" s="99"/>
      <c r="AE631" s="99"/>
      <c r="AG631" s="99"/>
      <c r="AH631" s="99"/>
      <c r="AI631" s="99"/>
    </row>
    <row r="632">
      <c r="C632" s="414"/>
      <c r="D632" s="414"/>
      <c r="F632" s="414"/>
      <c r="H632" s="407"/>
      <c r="P632" s="407"/>
      <c r="Y632" s="99"/>
      <c r="Z632" s="99"/>
      <c r="AA632" s="99"/>
      <c r="AC632" s="99"/>
      <c r="AD632" s="99"/>
      <c r="AE632" s="99"/>
      <c r="AG632" s="99"/>
      <c r="AH632" s="99"/>
      <c r="AI632" s="99"/>
    </row>
    <row r="633">
      <c r="C633" s="414"/>
      <c r="D633" s="414"/>
      <c r="F633" s="414"/>
      <c r="H633" s="407"/>
      <c r="P633" s="407"/>
      <c r="Y633" s="99"/>
      <c r="Z633" s="99"/>
      <c r="AA633" s="99"/>
      <c r="AC633" s="99"/>
      <c r="AD633" s="99"/>
      <c r="AE633" s="99"/>
      <c r="AG633" s="99"/>
      <c r="AH633" s="99"/>
      <c r="AI633" s="99"/>
    </row>
    <row r="634">
      <c r="C634" s="414"/>
      <c r="D634" s="414"/>
      <c r="F634" s="414"/>
      <c r="H634" s="407"/>
      <c r="P634" s="407"/>
      <c r="Y634" s="99"/>
      <c r="Z634" s="99"/>
      <c r="AA634" s="99"/>
      <c r="AC634" s="99"/>
      <c r="AD634" s="99"/>
      <c r="AE634" s="99"/>
      <c r="AG634" s="99"/>
      <c r="AH634" s="99"/>
      <c r="AI634" s="99"/>
    </row>
    <row r="635">
      <c r="C635" s="414"/>
      <c r="D635" s="414"/>
      <c r="F635" s="414"/>
      <c r="H635" s="407"/>
      <c r="P635" s="407"/>
      <c r="Y635" s="99"/>
      <c r="Z635" s="99"/>
      <c r="AA635" s="99"/>
      <c r="AC635" s="99"/>
      <c r="AD635" s="99"/>
      <c r="AE635" s="99"/>
      <c r="AG635" s="99"/>
      <c r="AH635" s="99"/>
      <c r="AI635" s="99"/>
    </row>
    <row r="636">
      <c r="C636" s="414"/>
      <c r="D636" s="414"/>
      <c r="F636" s="414"/>
      <c r="H636" s="407"/>
      <c r="P636" s="407"/>
      <c r="Y636" s="99"/>
      <c r="Z636" s="99"/>
      <c r="AA636" s="99"/>
      <c r="AC636" s="99"/>
      <c r="AD636" s="99"/>
      <c r="AE636" s="99"/>
      <c r="AG636" s="99"/>
      <c r="AH636" s="99"/>
      <c r="AI636" s="99"/>
    </row>
    <row r="637">
      <c r="C637" s="414"/>
      <c r="D637" s="414"/>
      <c r="F637" s="414"/>
      <c r="H637" s="407"/>
      <c r="P637" s="407"/>
      <c r="Y637" s="99"/>
      <c r="Z637" s="99"/>
      <c r="AA637" s="99"/>
      <c r="AC637" s="99"/>
      <c r="AD637" s="99"/>
      <c r="AE637" s="99"/>
      <c r="AG637" s="99"/>
      <c r="AH637" s="99"/>
      <c r="AI637" s="99"/>
    </row>
    <row r="638">
      <c r="C638" s="414"/>
      <c r="D638" s="414"/>
      <c r="F638" s="414"/>
      <c r="H638" s="407"/>
      <c r="P638" s="407"/>
      <c r="Y638" s="99"/>
      <c r="Z638" s="99"/>
      <c r="AA638" s="99"/>
      <c r="AC638" s="99"/>
      <c r="AD638" s="99"/>
      <c r="AE638" s="99"/>
      <c r="AG638" s="99"/>
      <c r="AH638" s="99"/>
      <c r="AI638" s="99"/>
    </row>
    <row r="639">
      <c r="C639" s="414"/>
      <c r="D639" s="414"/>
      <c r="F639" s="414"/>
      <c r="H639" s="407"/>
      <c r="P639" s="407"/>
      <c r="Y639" s="99"/>
      <c r="Z639" s="99"/>
      <c r="AA639" s="99"/>
      <c r="AC639" s="99"/>
      <c r="AD639" s="99"/>
      <c r="AE639" s="99"/>
      <c r="AG639" s="99"/>
      <c r="AH639" s="99"/>
      <c r="AI639" s="99"/>
    </row>
    <row r="640">
      <c r="C640" s="414"/>
      <c r="D640" s="414"/>
      <c r="F640" s="414"/>
      <c r="H640" s="407"/>
      <c r="P640" s="407"/>
      <c r="Y640" s="99"/>
      <c r="Z640" s="99"/>
      <c r="AA640" s="99"/>
      <c r="AC640" s="99"/>
      <c r="AD640" s="99"/>
      <c r="AE640" s="99"/>
      <c r="AG640" s="99"/>
      <c r="AH640" s="99"/>
      <c r="AI640" s="99"/>
    </row>
    <row r="641">
      <c r="C641" s="414"/>
      <c r="D641" s="414"/>
      <c r="F641" s="414"/>
      <c r="H641" s="407"/>
      <c r="P641" s="407"/>
      <c r="Y641" s="99"/>
      <c r="Z641" s="99"/>
      <c r="AA641" s="99"/>
      <c r="AC641" s="99"/>
      <c r="AD641" s="99"/>
      <c r="AE641" s="99"/>
      <c r="AG641" s="99"/>
      <c r="AH641" s="99"/>
      <c r="AI641" s="99"/>
    </row>
    <row r="642">
      <c r="C642" s="414"/>
      <c r="D642" s="414"/>
      <c r="F642" s="414"/>
      <c r="H642" s="407"/>
      <c r="P642" s="407"/>
      <c r="Y642" s="99"/>
      <c r="Z642" s="99"/>
      <c r="AA642" s="99"/>
      <c r="AC642" s="99"/>
      <c r="AD642" s="99"/>
      <c r="AE642" s="99"/>
      <c r="AG642" s="99"/>
      <c r="AH642" s="99"/>
      <c r="AI642" s="99"/>
    </row>
    <row r="643">
      <c r="C643" s="414"/>
      <c r="D643" s="414"/>
      <c r="F643" s="414"/>
      <c r="H643" s="407"/>
      <c r="P643" s="407"/>
      <c r="Y643" s="99"/>
      <c r="Z643" s="99"/>
      <c r="AA643" s="99"/>
      <c r="AC643" s="99"/>
      <c r="AD643" s="99"/>
      <c r="AE643" s="99"/>
      <c r="AG643" s="99"/>
      <c r="AH643" s="99"/>
      <c r="AI643" s="99"/>
    </row>
    <row r="644">
      <c r="C644" s="414"/>
      <c r="D644" s="414"/>
      <c r="F644" s="414"/>
      <c r="H644" s="407"/>
      <c r="P644" s="407"/>
      <c r="Y644" s="99"/>
      <c r="Z644" s="99"/>
      <c r="AA644" s="99"/>
      <c r="AC644" s="99"/>
      <c r="AD644" s="99"/>
      <c r="AE644" s="99"/>
      <c r="AG644" s="99"/>
      <c r="AH644" s="99"/>
      <c r="AI644" s="99"/>
    </row>
    <row r="645">
      <c r="C645" s="414"/>
      <c r="D645" s="414"/>
      <c r="F645" s="414"/>
      <c r="H645" s="407"/>
      <c r="P645" s="407"/>
      <c r="Y645" s="99"/>
      <c r="Z645" s="99"/>
      <c r="AA645" s="99"/>
      <c r="AC645" s="99"/>
      <c r="AD645" s="99"/>
      <c r="AE645" s="99"/>
      <c r="AG645" s="99"/>
      <c r="AH645" s="99"/>
      <c r="AI645" s="99"/>
    </row>
    <row r="646">
      <c r="C646" s="414"/>
      <c r="D646" s="414"/>
      <c r="F646" s="414"/>
      <c r="H646" s="407"/>
      <c r="P646" s="407"/>
      <c r="Y646" s="99"/>
      <c r="Z646" s="99"/>
      <c r="AA646" s="99"/>
      <c r="AC646" s="99"/>
      <c r="AD646" s="99"/>
      <c r="AE646" s="99"/>
      <c r="AG646" s="99"/>
      <c r="AH646" s="99"/>
      <c r="AI646" s="99"/>
    </row>
    <row r="647">
      <c r="C647" s="414"/>
      <c r="D647" s="414"/>
      <c r="F647" s="414"/>
      <c r="H647" s="407"/>
      <c r="P647" s="407"/>
      <c r="Y647" s="99"/>
      <c r="Z647" s="99"/>
      <c r="AA647" s="99"/>
      <c r="AC647" s="99"/>
      <c r="AD647" s="99"/>
      <c r="AE647" s="99"/>
      <c r="AG647" s="99"/>
      <c r="AH647" s="99"/>
      <c r="AI647" s="99"/>
    </row>
    <row r="648">
      <c r="C648" s="414"/>
      <c r="D648" s="414"/>
      <c r="F648" s="414"/>
      <c r="H648" s="407"/>
      <c r="P648" s="407"/>
      <c r="Y648" s="99"/>
      <c r="Z648" s="99"/>
      <c r="AA648" s="99"/>
      <c r="AC648" s="99"/>
      <c r="AD648" s="99"/>
      <c r="AE648" s="99"/>
      <c r="AG648" s="99"/>
      <c r="AH648" s="99"/>
      <c r="AI648" s="99"/>
    </row>
    <row r="649">
      <c r="C649" s="414"/>
      <c r="D649" s="414"/>
      <c r="F649" s="414"/>
      <c r="H649" s="407"/>
      <c r="P649" s="407"/>
      <c r="Y649" s="99"/>
      <c r="Z649" s="99"/>
      <c r="AA649" s="99"/>
      <c r="AC649" s="99"/>
      <c r="AD649" s="99"/>
      <c r="AE649" s="99"/>
      <c r="AG649" s="99"/>
      <c r="AH649" s="99"/>
      <c r="AI649" s="99"/>
    </row>
    <row r="650">
      <c r="C650" s="414"/>
      <c r="D650" s="414"/>
      <c r="F650" s="414"/>
      <c r="H650" s="407"/>
      <c r="P650" s="407"/>
      <c r="Y650" s="99"/>
      <c r="Z650" s="99"/>
      <c r="AA650" s="99"/>
      <c r="AC650" s="99"/>
      <c r="AD650" s="99"/>
      <c r="AE650" s="99"/>
      <c r="AG650" s="99"/>
      <c r="AH650" s="99"/>
      <c r="AI650" s="99"/>
    </row>
    <row r="651">
      <c r="C651" s="414"/>
      <c r="D651" s="414"/>
      <c r="F651" s="414"/>
      <c r="H651" s="407"/>
      <c r="P651" s="407"/>
      <c r="Y651" s="99"/>
      <c r="Z651" s="99"/>
      <c r="AA651" s="99"/>
      <c r="AC651" s="99"/>
      <c r="AD651" s="99"/>
      <c r="AE651" s="99"/>
      <c r="AG651" s="99"/>
      <c r="AH651" s="99"/>
      <c r="AI651" s="99"/>
    </row>
    <row r="652">
      <c r="C652" s="414"/>
      <c r="D652" s="414"/>
      <c r="F652" s="414"/>
      <c r="H652" s="407"/>
      <c r="P652" s="407"/>
      <c r="Y652" s="99"/>
      <c r="Z652" s="99"/>
      <c r="AA652" s="99"/>
      <c r="AC652" s="99"/>
      <c r="AD652" s="99"/>
      <c r="AE652" s="99"/>
      <c r="AG652" s="99"/>
      <c r="AH652" s="99"/>
      <c r="AI652" s="99"/>
    </row>
    <row r="653">
      <c r="C653" s="414"/>
      <c r="D653" s="414"/>
      <c r="F653" s="414"/>
      <c r="H653" s="407"/>
      <c r="P653" s="407"/>
      <c r="Y653" s="99"/>
      <c r="Z653" s="99"/>
      <c r="AA653" s="99"/>
      <c r="AC653" s="99"/>
      <c r="AD653" s="99"/>
      <c r="AE653" s="99"/>
      <c r="AG653" s="99"/>
      <c r="AH653" s="99"/>
      <c r="AI653" s="99"/>
    </row>
    <row r="654">
      <c r="C654" s="414"/>
      <c r="D654" s="414"/>
      <c r="F654" s="414"/>
      <c r="H654" s="407"/>
      <c r="P654" s="407"/>
      <c r="Y654" s="99"/>
      <c r="Z654" s="99"/>
      <c r="AA654" s="99"/>
      <c r="AC654" s="99"/>
      <c r="AD654" s="99"/>
      <c r="AE654" s="99"/>
      <c r="AG654" s="99"/>
      <c r="AH654" s="99"/>
      <c r="AI654" s="99"/>
    </row>
    <row r="655">
      <c r="C655" s="414"/>
      <c r="D655" s="414"/>
      <c r="F655" s="414"/>
      <c r="H655" s="407"/>
      <c r="P655" s="407"/>
      <c r="Y655" s="99"/>
      <c r="Z655" s="99"/>
      <c r="AA655" s="99"/>
      <c r="AC655" s="99"/>
      <c r="AD655" s="99"/>
      <c r="AE655" s="99"/>
      <c r="AG655" s="99"/>
      <c r="AH655" s="99"/>
      <c r="AI655" s="99"/>
    </row>
    <row r="656">
      <c r="C656" s="414"/>
      <c r="D656" s="414"/>
      <c r="F656" s="414"/>
      <c r="H656" s="407"/>
      <c r="P656" s="407"/>
      <c r="Y656" s="99"/>
      <c r="Z656" s="99"/>
      <c r="AA656" s="99"/>
      <c r="AC656" s="99"/>
      <c r="AD656" s="99"/>
      <c r="AE656" s="99"/>
      <c r="AG656" s="99"/>
      <c r="AH656" s="99"/>
      <c r="AI656" s="99"/>
    </row>
    <row r="657">
      <c r="C657" s="414"/>
      <c r="D657" s="414"/>
      <c r="F657" s="414"/>
      <c r="H657" s="407"/>
      <c r="P657" s="407"/>
      <c r="Y657" s="99"/>
      <c r="Z657" s="99"/>
      <c r="AA657" s="99"/>
      <c r="AC657" s="99"/>
      <c r="AD657" s="99"/>
      <c r="AE657" s="99"/>
      <c r="AG657" s="99"/>
      <c r="AH657" s="99"/>
      <c r="AI657" s="99"/>
    </row>
    <row r="658">
      <c r="C658" s="414"/>
      <c r="D658" s="414"/>
      <c r="F658" s="414"/>
      <c r="H658" s="407"/>
      <c r="P658" s="407"/>
      <c r="Y658" s="99"/>
      <c r="Z658" s="99"/>
      <c r="AA658" s="99"/>
      <c r="AC658" s="99"/>
      <c r="AD658" s="99"/>
      <c r="AE658" s="99"/>
      <c r="AG658" s="99"/>
      <c r="AH658" s="99"/>
      <c r="AI658" s="99"/>
    </row>
    <row r="659">
      <c r="C659" s="414"/>
      <c r="D659" s="414"/>
      <c r="F659" s="414"/>
      <c r="H659" s="407"/>
      <c r="P659" s="407"/>
      <c r="Y659" s="99"/>
      <c r="Z659" s="99"/>
      <c r="AA659" s="99"/>
      <c r="AC659" s="99"/>
      <c r="AD659" s="99"/>
      <c r="AE659" s="99"/>
      <c r="AG659" s="99"/>
      <c r="AH659" s="99"/>
      <c r="AI659" s="99"/>
    </row>
    <row r="660">
      <c r="C660" s="414"/>
      <c r="D660" s="414"/>
      <c r="F660" s="414"/>
      <c r="H660" s="407"/>
      <c r="P660" s="407"/>
      <c r="Y660" s="99"/>
      <c r="Z660" s="99"/>
      <c r="AA660" s="99"/>
      <c r="AC660" s="99"/>
      <c r="AD660" s="99"/>
      <c r="AE660" s="99"/>
      <c r="AG660" s="99"/>
      <c r="AH660" s="99"/>
      <c r="AI660" s="99"/>
    </row>
    <row r="661">
      <c r="C661" s="414"/>
      <c r="D661" s="414"/>
      <c r="F661" s="414"/>
      <c r="H661" s="407"/>
      <c r="P661" s="407"/>
      <c r="Y661" s="99"/>
      <c r="Z661" s="99"/>
      <c r="AA661" s="99"/>
      <c r="AC661" s="99"/>
      <c r="AD661" s="99"/>
      <c r="AE661" s="99"/>
      <c r="AG661" s="99"/>
      <c r="AH661" s="99"/>
      <c r="AI661" s="99"/>
    </row>
    <row r="662">
      <c r="C662" s="414"/>
      <c r="D662" s="414"/>
      <c r="F662" s="414"/>
      <c r="H662" s="407"/>
      <c r="P662" s="407"/>
      <c r="Y662" s="99"/>
      <c r="Z662" s="99"/>
      <c r="AA662" s="99"/>
      <c r="AC662" s="99"/>
      <c r="AD662" s="99"/>
      <c r="AE662" s="99"/>
      <c r="AG662" s="99"/>
      <c r="AH662" s="99"/>
      <c r="AI662" s="99"/>
    </row>
    <row r="663">
      <c r="C663" s="414"/>
      <c r="D663" s="414"/>
      <c r="F663" s="414"/>
      <c r="H663" s="407"/>
      <c r="P663" s="407"/>
      <c r="Y663" s="99"/>
      <c r="Z663" s="99"/>
      <c r="AA663" s="99"/>
      <c r="AC663" s="99"/>
      <c r="AD663" s="99"/>
      <c r="AE663" s="99"/>
      <c r="AG663" s="99"/>
      <c r="AH663" s="99"/>
      <c r="AI663" s="99"/>
    </row>
    <row r="664">
      <c r="C664" s="414"/>
      <c r="D664" s="414"/>
      <c r="F664" s="414"/>
      <c r="H664" s="407"/>
      <c r="P664" s="407"/>
      <c r="Y664" s="99"/>
      <c r="Z664" s="99"/>
      <c r="AA664" s="99"/>
      <c r="AC664" s="99"/>
      <c r="AD664" s="99"/>
      <c r="AE664" s="99"/>
      <c r="AG664" s="99"/>
      <c r="AH664" s="99"/>
      <c r="AI664" s="99"/>
    </row>
    <row r="665">
      <c r="C665" s="414"/>
      <c r="D665" s="414"/>
      <c r="F665" s="414"/>
      <c r="H665" s="407"/>
      <c r="P665" s="407"/>
      <c r="Y665" s="99"/>
      <c r="Z665" s="99"/>
      <c r="AA665" s="99"/>
      <c r="AC665" s="99"/>
      <c r="AD665" s="99"/>
      <c r="AE665" s="99"/>
      <c r="AG665" s="99"/>
      <c r="AH665" s="99"/>
      <c r="AI665" s="99"/>
    </row>
    <row r="666">
      <c r="C666" s="414"/>
      <c r="D666" s="414"/>
      <c r="F666" s="414"/>
      <c r="H666" s="407"/>
      <c r="P666" s="407"/>
      <c r="Y666" s="99"/>
      <c r="Z666" s="99"/>
      <c r="AA666" s="99"/>
      <c r="AC666" s="99"/>
      <c r="AD666" s="99"/>
      <c r="AE666" s="99"/>
      <c r="AG666" s="99"/>
      <c r="AH666" s="99"/>
      <c r="AI666" s="99"/>
    </row>
    <row r="667">
      <c r="C667" s="414"/>
      <c r="D667" s="414"/>
      <c r="F667" s="414"/>
      <c r="H667" s="407"/>
      <c r="P667" s="407"/>
      <c r="Y667" s="99"/>
      <c r="Z667" s="99"/>
      <c r="AA667" s="99"/>
      <c r="AC667" s="99"/>
      <c r="AD667" s="99"/>
      <c r="AE667" s="99"/>
      <c r="AG667" s="99"/>
      <c r="AH667" s="99"/>
      <c r="AI667" s="99"/>
    </row>
    <row r="668">
      <c r="C668" s="414"/>
      <c r="D668" s="414"/>
      <c r="F668" s="414"/>
      <c r="H668" s="407"/>
      <c r="P668" s="407"/>
      <c r="Y668" s="99"/>
      <c r="Z668" s="99"/>
      <c r="AA668" s="99"/>
      <c r="AC668" s="99"/>
      <c r="AD668" s="99"/>
      <c r="AE668" s="99"/>
      <c r="AG668" s="99"/>
      <c r="AH668" s="99"/>
      <c r="AI668" s="99"/>
    </row>
    <row r="669">
      <c r="C669" s="414"/>
      <c r="D669" s="414"/>
      <c r="F669" s="414"/>
      <c r="H669" s="407"/>
      <c r="P669" s="407"/>
      <c r="Y669" s="99"/>
      <c r="Z669" s="99"/>
      <c r="AA669" s="99"/>
      <c r="AC669" s="99"/>
      <c r="AD669" s="99"/>
      <c r="AE669" s="99"/>
      <c r="AG669" s="99"/>
      <c r="AH669" s="99"/>
      <c r="AI669" s="99"/>
    </row>
    <row r="670">
      <c r="C670" s="414"/>
      <c r="D670" s="414"/>
      <c r="F670" s="414"/>
      <c r="H670" s="407"/>
      <c r="P670" s="407"/>
      <c r="Y670" s="99"/>
      <c r="Z670" s="99"/>
      <c r="AA670" s="99"/>
      <c r="AC670" s="99"/>
      <c r="AD670" s="99"/>
      <c r="AE670" s="99"/>
      <c r="AG670" s="99"/>
      <c r="AH670" s="99"/>
      <c r="AI670" s="99"/>
    </row>
    <row r="671">
      <c r="C671" s="414"/>
      <c r="D671" s="414"/>
      <c r="F671" s="414"/>
      <c r="H671" s="407"/>
      <c r="P671" s="407"/>
      <c r="Y671" s="99"/>
      <c r="Z671" s="99"/>
      <c r="AA671" s="99"/>
      <c r="AC671" s="99"/>
      <c r="AD671" s="99"/>
      <c r="AE671" s="99"/>
      <c r="AG671" s="99"/>
      <c r="AH671" s="99"/>
      <c r="AI671" s="99"/>
    </row>
    <row r="672">
      <c r="C672" s="414"/>
      <c r="D672" s="414"/>
      <c r="F672" s="414"/>
      <c r="H672" s="407"/>
      <c r="P672" s="407"/>
      <c r="Y672" s="99"/>
      <c r="Z672" s="99"/>
      <c r="AA672" s="99"/>
      <c r="AC672" s="99"/>
      <c r="AD672" s="99"/>
      <c r="AE672" s="99"/>
      <c r="AG672" s="99"/>
      <c r="AH672" s="99"/>
      <c r="AI672" s="99"/>
    </row>
    <row r="673">
      <c r="C673" s="414"/>
      <c r="D673" s="414"/>
      <c r="F673" s="414"/>
      <c r="H673" s="407"/>
      <c r="P673" s="407"/>
      <c r="Y673" s="99"/>
      <c r="Z673" s="99"/>
      <c r="AA673" s="99"/>
      <c r="AC673" s="99"/>
      <c r="AD673" s="99"/>
      <c r="AE673" s="99"/>
      <c r="AG673" s="99"/>
      <c r="AH673" s="99"/>
      <c r="AI673" s="99"/>
    </row>
    <row r="674">
      <c r="C674" s="414"/>
      <c r="D674" s="414"/>
      <c r="F674" s="414"/>
      <c r="H674" s="407"/>
      <c r="P674" s="407"/>
      <c r="Y674" s="99"/>
      <c r="Z674" s="99"/>
      <c r="AA674" s="99"/>
      <c r="AC674" s="99"/>
      <c r="AD674" s="99"/>
      <c r="AE674" s="99"/>
      <c r="AG674" s="99"/>
      <c r="AH674" s="99"/>
      <c r="AI674" s="99"/>
    </row>
    <row r="675">
      <c r="C675" s="414"/>
      <c r="D675" s="414"/>
      <c r="F675" s="414"/>
      <c r="H675" s="407"/>
      <c r="P675" s="407"/>
      <c r="Y675" s="99"/>
      <c r="Z675" s="99"/>
      <c r="AA675" s="99"/>
      <c r="AC675" s="99"/>
      <c r="AD675" s="99"/>
      <c r="AE675" s="99"/>
      <c r="AG675" s="99"/>
      <c r="AH675" s="99"/>
      <c r="AI675" s="99"/>
    </row>
    <row r="676">
      <c r="C676" s="414"/>
      <c r="D676" s="414"/>
      <c r="F676" s="414"/>
      <c r="H676" s="407"/>
      <c r="P676" s="407"/>
      <c r="Y676" s="99"/>
      <c r="Z676" s="99"/>
      <c r="AA676" s="99"/>
      <c r="AC676" s="99"/>
      <c r="AD676" s="99"/>
      <c r="AE676" s="99"/>
      <c r="AG676" s="99"/>
      <c r="AH676" s="99"/>
      <c r="AI676" s="99"/>
    </row>
    <row r="677">
      <c r="C677" s="414"/>
      <c r="D677" s="414"/>
      <c r="F677" s="414"/>
      <c r="H677" s="407"/>
      <c r="P677" s="407"/>
      <c r="Y677" s="99"/>
      <c r="Z677" s="99"/>
      <c r="AA677" s="99"/>
      <c r="AC677" s="99"/>
      <c r="AD677" s="99"/>
      <c r="AE677" s="99"/>
      <c r="AG677" s="99"/>
      <c r="AH677" s="99"/>
      <c r="AI677" s="99"/>
    </row>
    <row r="678">
      <c r="C678" s="414"/>
      <c r="D678" s="414"/>
      <c r="F678" s="414"/>
      <c r="H678" s="407"/>
      <c r="P678" s="407"/>
      <c r="Y678" s="99"/>
      <c r="Z678" s="99"/>
      <c r="AA678" s="99"/>
      <c r="AC678" s="99"/>
      <c r="AD678" s="99"/>
      <c r="AE678" s="99"/>
      <c r="AG678" s="99"/>
      <c r="AH678" s="99"/>
      <c r="AI678" s="99"/>
    </row>
    <row r="679">
      <c r="C679" s="414"/>
      <c r="D679" s="414"/>
      <c r="F679" s="414"/>
      <c r="H679" s="407"/>
      <c r="P679" s="407"/>
      <c r="Y679" s="99"/>
      <c r="Z679" s="99"/>
      <c r="AA679" s="99"/>
      <c r="AC679" s="99"/>
      <c r="AD679" s="99"/>
      <c r="AE679" s="99"/>
      <c r="AG679" s="99"/>
      <c r="AH679" s="99"/>
      <c r="AI679" s="99"/>
    </row>
    <row r="680">
      <c r="C680" s="414"/>
      <c r="D680" s="414"/>
      <c r="F680" s="414"/>
      <c r="H680" s="407"/>
      <c r="P680" s="407"/>
      <c r="Y680" s="99"/>
      <c r="Z680" s="99"/>
      <c r="AA680" s="99"/>
      <c r="AC680" s="99"/>
      <c r="AD680" s="99"/>
      <c r="AE680" s="99"/>
      <c r="AG680" s="99"/>
      <c r="AH680" s="99"/>
      <c r="AI680" s="99"/>
    </row>
    <row r="681">
      <c r="C681" s="414"/>
      <c r="D681" s="414"/>
      <c r="F681" s="414"/>
      <c r="H681" s="407"/>
      <c r="P681" s="407"/>
      <c r="Y681" s="99"/>
      <c r="Z681" s="99"/>
      <c r="AA681" s="99"/>
      <c r="AC681" s="99"/>
      <c r="AD681" s="99"/>
      <c r="AE681" s="99"/>
      <c r="AG681" s="99"/>
      <c r="AH681" s="99"/>
      <c r="AI681" s="99"/>
    </row>
    <row r="682">
      <c r="C682" s="414"/>
      <c r="D682" s="414"/>
      <c r="F682" s="414"/>
      <c r="H682" s="407"/>
      <c r="P682" s="407"/>
      <c r="Y682" s="99"/>
      <c r="Z682" s="99"/>
      <c r="AA682" s="99"/>
      <c r="AC682" s="99"/>
      <c r="AD682" s="99"/>
      <c r="AE682" s="99"/>
      <c r="AG682" s="99"/>
      <c r="AH682" s="99"/>
      <c r="AI682" s="99"/>
    </row>
    <row r="683">
      <c r="C683" s="414"/>
      <c r="D683" s="414"/>
      <c r="F683" s="414"/>
      <c r="H683" s="407"/>
      <c r="P683" s="407"/>
      <c r="Y683" s="99"/>
      <c r="Z683" s="99"/>
      <c r="AA683" s="99"/>
      <c r="AC683" s="99"/>
      <c r="AD683" s="99"/>
      <c r="AE683" s="99"/>
      <c r="AG683" s="99"/>
      <c r="AH683" s="99"/>
      <c r="AI683" s="99"/>
    </row>
    <row r="684">
      <c r="C684" s="414"/>
      <c r="D684" s="414"/>
      <c r="F684" s="414"/>
      <c r="H684" s="407"/>
      <c r="P684" s="407"/>
      <c r="Y684" s="99"/>
      <c r="Z684" s="99"/>
      <c r="AA684" s="99"/>
      <c r="AC684" s="99"/>
      <c r="AD684" s="99"/>
      <c r="AE684" s="99"/>
      <c r="AG684" s="99"/>
      <c r="AH684" s="99"/>
      <c r="AI684" s="99"/>
    </row>
    <row r="685">
      <c r="C685" s="414"/>
      <c r="D685" s="414"/>
      <c r="F685" s="414"/>
      <c r="H685" s="407"/>
      <c r="P685" s="407"/>
      <c r="Y685" s="99"/>
      <c r="Z685" s="99"/>
      <c r="AA685" s="99"/>
      <c r="AC685" s="99"/>
      <c r="AD685" s="99"/>
      <c r="AE685" s="99"/>
      <c r="AG685" s="99"/>
      <c r="AH685" s="99"/>
      <c r="AI685" s="99"/>
    </row>
    <row r="686">
      <c r="C686" s="414"/>
      <c r="D686" s="414"/>
      <c r="F686" s="414"/>
      <c r="H686" s="407"/>
      <c r="P686" s="407"/>
      <c r="Y686" s="99"/>
      <c r="Z686" s="99"/>
      <c r="AA686" s="99"/>
      <c r="AC686" s="99"/>
      <c r="AD686" s="99"/>
      <c r="AE686" s="99"/>
      <c r="AG686" s="99"/>
      <c r="AH686" s="99"/>
      <c r="AI686" s="99"/>
    </row>
    <row r="687">
      <c r="C687" s="414"/>
      <c r="D687" s="414"/>
      <c r="F687" s="414"/>
      <c r="H687" s="407"/>
      <c r="P687" s="407"/>
      <c r="Y687" s="99"/>
      <c r="Z687" s="99"/>
      <c r="AA687" s="99"/>
      <c r="AC687" s="99"/>
      <c r="AD687" s="99"/>
      <c r="AE687" s="99"/>
      <c r="AG687" s="99"/>
      <c r="AH687" s="99"/>
      <c r="AI687" s="99"/>
    </row>
    <row r="688">
      <c r="C688" s="414"/>
      <c r="D688" s="414"/>
      <c r="F688" s="414"/>
      <c r="H688" s="407"/>
      <c r="P688" s="407"/>
      <c r="Y688" s="99"/>
      <c r="Z688" s="99"/>
      <c r="AA688" s="99"/>
      <c r="AC688" s="99"/>
      <c r="AD688" s="99"/>
      <c r="AE688" s="99"/>
      <c r="AG688" s="99"/>
      <c r="AH688" s="99"/>
      <c r="AI688" s="99"/>
    </row>
    <row r="689">
      <c r="C689" s="414"/>
      <c r="D689" s="414"/>
      <c r="F689" s="414"/>
      <c r="H689" s="407"/>
      <c r="P689" s="407"/>
      <c r="Y689" s="99"/>
      <c r="Z689" s="99"/>
      <c r="AA689" s="99"/>
      <c r="AC689" s="99"/>
      <c r="AD689" s="99"/>
      <c r="AE689" s="99"/>
      <c r="AG689" s="99"/>
      <c r="AH689" s="99"/>
      <c r="AI689" s="99"/>
    </row>
    <row r="690">
      <c r="C690" s="414"/>
      <c r="D690" s="414"/>
      <c r="F690" s="414"/>
      <c r="H690" s="407"/>
      <c r="P690" s="407"/>
      <c r="Y690" s="99"/>
      <c r="Z690" s="99"/>
      <c r="AA690" s="99"/>
      <c r="AC690" s="99"/>
      <c r="AD690" s="99"/>
      <c r="AE690" s="99"/>
      <c r="AG690" s="99"/>
      <c r="AH690" s="99"/>
      <c r="AI690" s="99"/>
    </row>
    <row r="691">
      <c r="C691" s="414"/>
      <c r="D691" s="414"/>
      <c r="F691" s="414"/>
      <c r="H691" s="407"/>
      <c r="P691" s="407"/>
      <c r="Y691" s="99"/>
      <c r="Z691" s="99"/>
      <c r="AA691" s="99"/>
      <c r="AC691" s="99"/>
      <c r="AD691" s="99"/>
      <c r="AE691" s="99"/>
      <c r="AG691" s="99"/>
      <c r="AH691" s="99"/>
      <c r="AI691" s="99"/>
    </row>
    <row r="692">
      <c r="C692" s="414"/>
      <c r="D692" s="414"/>
      <c r="F692" s="414"/>
      <c r="H692" s="407"/>
      <c r="P692" s="407"/>
      <c r="Y692" s="99"/>
      <c r="Z692" s="99"/>
      <c r="AA692" s="99"/>
      <c r="AC692" s="99"/>
      <c r="AD692" s="99"/>
      <c r="AE692" s="99"/>
      <c r="AG692" s="99"/>
      <c r="AH692" s="99"/>
      <c r="AI692" s="99"/>
    </row>
    <row r="693">
      <c r="C693" s="414"/>
      <c r="D693" s="414"/>
      <c r="F693" s="414"/>
      <c r="H693" s="407"/>
      <c r="P693" s="407"/>
      <c r="Y693" s="99"/>
      <c r="Z693" s="99"/>
      <c r="AA693" s="99"/>
      <c r="AC693" s="99"/>
      <c r="AD693" s="99"/>
      <c r="AE693" s="99"/>
      <c r="AG693" s="99"/>
      <c r="AH693" s="99"/>
      <c r="AI693" s="99"/>
    </row>
    <row r="694">
      <c r="C694" s="414"/>
      <c r="D694" s="414"/>
      <c r="F694" s="414"/>
      <c r="H694" s="407"/>
      <c r="P694" s="407"/>
      <c r="Y694" s="99"/>
      <c r="Z694" s="99"/>
      <c r="AA694" s="99"/>
      <c r="AC694" s="99"/>
      <c r="AD694" s="99"/>
      <c r="AE694" s="99"/>
      <c r="AG694" s="99"/>
      <c r="AH694" s="99"/>
      <c r="AI694" s="99"/>
    </row>
    <row r="695">
      <c r="C695" s="414"/>
      <c r="D695" s="414"/>
      <c r="F695" s="414"/>
      <c r="H695" s="407"/>
      <c r="P695" s="407"/>
      <c r="Y695" s="99"/>
      <c r="Z695" s="99"/>
      <c r="AA695" s="99"/>
      <c r="AC695" s="99"/>
      <c r="AD695" s="99"/>
      <c r="AE695" s="99"/>
      <c r="AG695" s="99"/>
      <c r="AH695" s="99"/>
      <c r="AI695" s="99"/>
    </row>
    <row r="696">
      <c r="C696" s="414"/>
      <c r="D696" s="414"/>
      <c r="F696" s="414"/>
      <c r="H696" s="407"/>
      <c r="P696" s="407"/>
      <c r="Y696" s="99"/>
      <c r="Z696" s="99"/>
      <c r="AA696" s="99"/>
      <c r="AC696" s="99"/>
      <c r="AD696" s="99"/>
      <c r="AE696" s="99"/>
      <c r="AG696" s="99"/>
      <c r="AH696" s="99"/>
      <c r="AI696" s="99"/>
    </row>
    <row r="697">
      <c r="C697" s="414"/>
      <c r="D697" s="414"/>
      <c r="F697" s="414"/>
      <c r="H697" s="407"/>
      <c r="P697" s="407"/>
      <c r="Y697" s="99"/>
      <c r="Z697" s="99"/>
      <c r="AA697" s="99"/>
      <c r="AC697" s="99"/>
      <c r="AD697" s="99"/>
      <c r="AE697" s="99"/>
      <c r="AG697" s="99"/>
      <c r="AH697" s="99"/>
      <c r="AI697" s="99"/>
    </row>
    <row r="698">
      <c r="C698" s="414"/>
      <c r="D698" s="414"/>
      <c r="F698" s="414"/>
      <c r="H698" s="407"/>
      <c r="P698" s="407"/>
      <c r="Y698" s="99"/>
      <c r="Z698" s="99"/>
      <c r="AA698" s="99"/>
      <c r="AC698" s="99"/>
      <c r="AD698" s="99"/>
      <c r="AE698" s="99"/>
      <c r="AG698" s="99"/>
      <c r="AH698" s="99"/>
      <c r="AI698" s="99"/>
    </row>
    <row r="699">
      <c r="C699" s="414"/>
      <c r="D699" s="414"/>
      <c r="F699" s="414"/>
      <c r="H699" s="407"/>
      <c r="P699" s="407"/>
      <c r="Y699" s="99"/>
      <c r="Z699" s="99"/>
      <c r="AA699" s="99"/>
      <c r="AC699" s="99"/>
      <c r="AD699" s="99"/>
      <c r="AE699" s="99"/>
      <c r="AG699" s="99"/>
      <c r="AH699" s="99"/>
      <c r="AI699" s="99"/>
    </row>
    <row r="700">
      <c r="C700" s="414"/>
      <c r="D700" s="414"/>
      <c r="F700" s="414"/>
      <c r="H700" s="407"/>
      <c r="P700" s="407"/>
      <c r="Y700" s="99"/>
      <c r="Z700" s="99"/>
      <c r="AA700" s="99"/>
      <c r="AC700" s="99"/>
      <c r="AD700" s="99"/>
      <c r="AE700" s="99"/>
      <c r="AG700" s="99"/>
      <c r="AH700" s="99"/>
      <c r="AI700" s="99"/>
    </row>
    <row r="701">
      <c r="C701" s="414"/>
      <c r="D701" s="414"/>
      <c r="F701" s="414"/>
      <c r="H701" s="407"/>
      <c r="P701" s="407"/>
      <c r="Y701" s="99"/>
      <c r="Z701" s="99"/>
      <c r="AA701" s="99"/>
      <c r="AC701" s="99"/>
      <c r="AD701" s="99"/>
      <c r="AE701" s="99"/>
      <c r="AG701" s="99"/>
      <c r="AH701" s="99"/>
      <c r="AI701" s="99"/>
    </row>
    <row r="702">
      <c r="C702" s="414"/>
      <c r="D702" s="414"/>
      <c r="F702" s="414"/>
      <c r="H702" s="407"/>
      <c r="P702" s="407"/>
      <c r="Y702" s="99"/>
      <c r="Z702" s="99"/>
      <c r="AA702" s="99"/>
      <c r="AC702" s="99"/>
      <c r="AD702" s="99"/>
      <c r="AE702" s="99"/>
      <c r="AG702" s="99"/>
      <c r="AH702" s="99"/>
      <c r="AI702" s="99"/>
    </row>
    <row r="703">
      <c r="C703" s="414"/>
      <c r="D703" s="414"/>
      <c r="F703" s="414"/>
      <c r="H703" s="407"/>
      <c r="P703" s="407"/>
      <c r="Y703" s="99"/>
      <c r="Z703" s="99"/>
      <c r="AA703" s="99"/>
      <c r="AC703" s="99"/>
      <c r="AD703" s="99"/>
      <c r="AE703" s="99"/>
      <c r="AG703" s="99"/>
      <c r="AH703" s="99"/>
      <c r="AI703" s="99"/>
    </row>
    <row r="704">
      <c r="C704" s="414"/>
      <c r="D704" s="414"/>
      <c r="F704" s="414"/>
      <c r="H704" s="407"/>
      <c r="P704" s="407"/>
      <c r="Y704" s="99"/>
      <c r="Z704" s="99"/>
      <c r="AA704" s="99"/>
      <c r="AC704" s="99"/>
      <c r="AD704" s="99"/>
      <c r="AE704" s="99"/>
      <c r="AG704" s="99"/>
      <c r="AH704" s="99"/>
      <c r="AI704" s="99"/>
    </row>
    <row r="705">
      <c r="C705" s="414"/>
      <c r="D705" s="414"/>
      <c r="F705" s="414"/>
      <c r="H705" s="407"/>
      <c r="P705" s="407"/>
      <c r="Y705" s="99"/>
      <c r="Z705" s="99"/>
      <c r="AA705" s="99"/>
      <c r="AC705" s="99"/>
      <c r="AD705" s="99"/>
      <c r="AE705" s="99"/>
      <c r="AG705" s="99"/>
      <c r="AH705" s="99"/>
      <c r="AI705" s="99"/>
    </row>
    <row r="706">
      <c r="C706" s="414"/>
      <c r="D706" s="414"/>
      <c r="F706" s="414"/>
      <c r="H706" s="407"/>
      <c r="P706" s="407"/>
      <c r="Y706" s="99"/>
      <c r="Z706" s="99"/>
      <c r="AA706" s="99"/>
      <c r="AC706" s="99"/>
      <c r="AD706" s="99"/>
      <c r="AE706" s="99"/>
      <c r="AG706" s="99"/>
      <c r="AH706" s="99"/>
      <c r="AI706" s="99"/>
    </row>
    <row r="707">
      <c r="C707" s="414"/>
      <c r="D707" s="414"/>
      <c r="F707" s="414"/>
      <c r="H707" s="407"/>
      <c r="P707" s="407"/>
      <c r="Y707" s="99"/>
      <c r="Z707" s="99"/>
      <c r="AA707" s="99"/>
      <c r="AC707" s="99"/>
      <c r="AD707" s="99"/>
      <c r="AE707" s="99"/>
      <c r="AG707" s="99"/>
      <c r="AH707" s="99"/>
      <c r="AI707" s="99"/>
    </row>
    <row r="708">
      <c r="C708" s="414"/>
      <c r="D708" s="414"/>
      <c r="F708" s="414"/>
      <c r="H708" s="407"/>
      <c r="P708" s="407"/>
      <c r="Y708" s="99"/>
      <c r="Z708" s="99"/>
      <c r="AA708" s="99"/>
      <c r="AC708" s="99"/>
      <c r="AD708" s="99"/>
      <c r="AE708" s="99"/>
      <c r="AG708" s="99"/>
      <c r="AH708" s="99"/>
      <c r="AI708" s="99"/>
    </row>
    <row r="709">
      <c r="C709" s="414"/>
      <c r="D709" s="414"/>
      <c r="F709" s="414"/>
      <c r="H709" s="407"/>
      <c r="P709" s="407"/>
      <c r="Y709" s="99"/>
      <c r="Z709" s="99"/>
      <c r="AA709" s="99"/>
      <c r="AC709" s="99"/>
      <c r="AD709" s="99"/>
      <c r="AE709" s="99"/>
      <c r="AG709" s="99"/>
      <c r="AH709" s="99"/>
      <c r="AI709" s="99"/>
    </row>
    <row r="710">
      <c r="C710" s="414"/>
      <c r="D710" s="414"/>
      <c r="F710" s="414"/>
      <c r="H710" s="407"/>
      <c r="P710" s="407"/>
      <c r="Y710" s="99"/>
      <c r="Z710" s="99"/>
      <c r="AA710" s="99"/>
      <c r="AC710" s="99"/>
      <c r="AD710" s="99"/>
      <c r="AE710" s="99"/>
      <c r="AG710" s="99"/>
      <c r="AH710" s="99"/>
      <c r="AI710" s="99"/>
    </row>
    <row r="711">
      <c r="C711" s="414"/>
      <c r="D711" s="414"/>
      <c r="F711" s="414"/>
      <c r="H711" s="407"/>
      <c r="P711" s="407"/>
      <c r="Y711" s="99"/>
      <c r="Z711" s="99"/>
      <c r="AA711" s="99"/>
      <c r="AC711" s="99"/>
      <c r="AD711" s="99"/>
      <c r="AE711" s="99"/>
      <c r="AG711" s="99"/>
      <c r="AH711" s="99"/>
      <c r="AI711" s="99"/>
    </row>
    <row r="712">
      <c r="C712" s="414"/>
      <c r="D712" s="414"/>
      <c r="F712" s="414"/>
      <c r="H712" s="407"/>
      <c r="P712" s="407"/>
      <c r="Y712" s="99"/>
      <c r="Z712" s="99"/>
      <c r="AA712" s="99"/>
      <c r="AC712" s="99"/>
      <c r="AD712" s="99"/>
      <c r="AE712" s="99"/>
      <c r="AG712" s="99"/>
      <c r="AH712" s="99"/>
      <c r="AI712" s="99"/>
    </row>
    <row r="713">
      <c r="C713" s="414"/>
      <c r="D713" s="414"/>
      <c r="F713" s="414"/>
      <c r="H713" s="407"/>
      <c r="P713" s="407"/>
      <c r="Y713" s="99"/>
      <c r="Z713" s="99"/>
      <c r="AA713" s="99"/>
      <c r="AC713" s="99"/>
      <c r="AD713" s="99"/>
      <c r="AE713" s="99"/>
      <c r="AG713" s="99"/>
      <c r="AH713" s="99"/>
      <c r="AI713" s="99"/>
    </row>
    <row r="714">
      <c r="C714" s="414"/>
      <c r="D714" s="414"/>
      <c r="F714" s="414"/>
      <c r="H714" s="407"/>
      <c r="P714" s="407"/>
      <c r="Y714" s="99"/>
      <c r="Z714" s="99"/>
      <c r="AA714" s="99"/>
      <c r="AC714" s="99"/>
      <c r="AD714" s="99"/>
      <c r="AE714" s="99"/>
      <c r="AG714" s="99"/>
      <c r="AH714" s="99"/>
      <c r="AI714" s="99"/>
    </row>
    <row r="715">
      <c r="C715" s="414"/>
      <c r="D715" s="414"/>
      <c r="F715" s="414"/>
      <c r="H715" s="407"/>
      <c r="P715" s="407"/>
      <c r="Y715" s="99"/>
      <c r="Z715" s="99"/>
      <c r="AA715" s="99"/>
      <c r="AC715" s="99"/>
      <c r="AD715" s="99"/>
      <c r="AE715" s="99"/>
      <c r="AG715" s="99"/>
      <c r="AH715" s="99"/>
      <c r="AI715" s="99"/>
    </row>
    <row r="716">
      <c r="C716" s="414"/>
      <c r="D716" s="414"/>
      <c r="F716" s="414"/>
      <c r="H716" s="407"/>
      <c r="P716" s="407"/>
      <c r="Y716" s="99"/>
      <c r="Z716" s="99"/>
      <c r="AA716" s="99"/>
      <c r="AC716" s="99"/>
      <c r="AD716" s="99"/>
      <c r="AE716" s="99"/>
      <c r="AG716" s="99"/>
      <c r="AH716" s="99"/>
      <c r="AI716" s="99"/>
    </row>
    <row r="717">
      <c r="C717" s="414"/>
      <c r="D717" s="414"/>
      <c r="F717" s="414"/>
      <c r="H717" s="407"/>
      <c r="P717" s="407"/>
      <c r="Y717" s="99"/>
      <c r="Z717" s="99"/>
      <c r="AA717" s="99"/>
      <c r="AC717" s="99"/>
      <c r="AD717" s="99"/>
      <c r="AE717" s="99"/>
      <c r="AG717" s="99"/>
      <c r="AH717" s="99"/>
      <c r="AI717" s="99"/>
    </row>
    <row r="718">
      <c r="C718" s="414"/>
      <c r="D718" s="414"/>
      <c r="F718" s="414"/>
      <c r="H718" s="407"/>
      <c r="P718" s="407"/>
      <c r="Y718" s="99"/>
      <c r="Z718" s="99"/>
      <c r="AA718" s="99"/>
      <c r="AC718" s="99"/>
      <c r="AD718" s="99"/>
      <c r="AE718" s="99"/>
      <c r="AG718" s="99"/>
      <c r="AH718" s="99"/>
      <c r="AI718" s="99"/>
    </row>
    <row r="719">
      <c r="C719" s="414"/>
      <c r="D719" s="414"/>
      <c r="F719" s="414"/>
      <c r="H719" s="407"/>
      <c r="P719" s="407"/>
      <c r="Y719" s="99"/>
      <c r="Z719" s="99"/>
      <c r="AA719" s="99"/>
      <c r="AC719" s="99"/>
      <c r="AD719" s="99"/>
      <c r="AE719" s="99"/>
      <c r="AG719" s="99"/>
      <c r="AH719" s="99"/>
      <c r="AI719" s="99"/>
    </row>
    <row r="720">
      <c r="C720" s="414"/>
      <c r="D720" s="414"/>
      <c r="F720" s="414"/>
      <c r="H720" s="407"/>
      <c r="P720" s="407"/>
      <c r="Y720" s="99"/>
      <c r="Z720" s="99"/>
      <c r="AA720" s="99"/>
      <c r="AC720" s="99"/>
      <c r="AD720" s="99"/>
      <c r="AE720" s="99"/>
      <c r="AG720" s="99"/>
      <c r="AH720" s="99"/>
      <c r="AI720" s="99"/>
    </row>
    <row r="721">
      <c r="C721" s="414"/>
      <c r="D721" s="414"/>
      <c r="F721" s="414"/>
      <c r="H721" s="407"/>
      <c r="P721" s="407"/>
      <c r="Y721" s="99"/>
      <c r="Z721" s="99"/>
      <c r="AA721" s="99"/>
      <c r="AC721" s="99"/>
      <c r="AD721" s="99"/>
      <c r="AE721" s="99"/>
      <c r="AG721" s="99"/>
      <c r="AH721" s="99"/>
      <c r="AI721" s="99"/>
    </row>
    <row r="722">
      <c r="C722" s="414"/>
      <c r="D722" s="414"/>
      <c r="F722" s="414"/>
      <c r="H722" s="407"/>
      <c r="P722" s="407"/>
      <c r="Y722" s="99"/>
      <c r="Z722" s="99"/>
      <c r="AA722" s="99"/>
      <c r="AC722" s="99"/>
      <c r="AD722" s="99"/>
      <c r="AE722" s="99"/>
      <c r="AG722" s="99"/>
      <c r="AH722" s="99"/>
      <c r="AI722" s="99"/>
    </row>
    <row r="723">
      <c r="C723" s="414"/>
      <c r="D723" s="414"/>
      <c r="F723" s="414"/>
      <c r="H723" s="407"/>
      <c r="P723" s="407"/>
      <c r="Y723" s="99"/>
      <c r="Z723" s="99"/>
      <c r="AA723" s="99"/>
      <c r="AC723" s="99"/>
      <c r="AD723" s="99"/>
      <c r="AE723" s="99"/>
      <c r="AG723" s="99"/>
      <c r="AH723" s="99"/>
      <c r="AI723" s="99"/>
    </row>
    <row r="724">
      <c r="C724" s="414"/>
      <c r="D724" s="414"/>
      <c r="F724" s="414"/>
      <c r="H724" s="407"/>
      <c r="P724" s="407"/>
      <c r="Y724" s="99"/>
      <c r="Z724" s="99"/>
      <c r="AA724" s="99"/>
      <c r="AC724" s="99"/>
      <c r="AD724" s="99"/>
      <c r="AE724" s="99"/>
      <c r="AG724" s="99"/>
      <c r="AH724" s="99"/>
      <c r="AI724" s="99"/>
    </row>
    <row r="725">
      <c r="C725" s="414"/>
      <c r="D725" s="414"/>
      <c r="F725" s="414"/>
      <c r="H725" s="407"/>
      <c r="P725" s="407"/>
      <c r="Y725" s="99"/>
      <c r="Z725" s="99"/>
      <c r="AA725" s="99"/>
      <c r="AC725" s="99"/>
      <c r="AD725" s="99"/>
      <c r="AE725" s="99"/>
      <c r="AG725" s="99"/>
      <c r="AH725" s="99"/>
      <c r="AI725" s="99"/>
    </row>
    <row r="726">
      <c r="C726" s="414"/>
      <c r="D726" s="414"/>
      <c r="F726" s="414"/>
      <c r="H726" s="407"/>
      <c r="P726" s="407"/>
      <c r="Y726" s="99"/>
      <c r="Z726" s="99"/>
      <c r="AA726" s="99"/>
      <c r="AC726" s="99"/>
      <c r="AD726" s="99"/>
      <c r="AE726" s="99"/>
      <c r="AG726" s="99"/>
      <c r="AH726" s="99"/>
      <c r="AI726" s="99"/>
    </row>
    <row r="727">
      <c r="C727" s="414"/>
      <c r="D727" s="414"/>
      <c r="F727" s="414"/>
      <c r="H727" s="407"/>
      <c r="P727" s="407"/>
      <c r="Y727" s="99"/>
      <c r="Z727" s="99"/>
      <c r="AA727" s="99"/>
      <c r="AC727" s="99"/>
      <c r="AD727" s="99"/>
      <c r="AE727" s="99"/>
      <c r="AG727" s="99"/>
      <c r="AH727" s="99"/>
      <c r="AI727" s="99"/>
    </row>
    <row r="728">
      <c r="C728" s="414"/>
      <c r="D728" s="414"/>
      <c r="F728" s="414"/>
      <c r="H728" s="407"/>
      <c r="P728" s="407"/>
      <c r="Y728" s="99"/>
      <c r="Z728" s="99"/>
      <c r="AA728" s="99"/>
      <c r="AC728" s="99"/>
      <c r="AD728" s="99"/>
      <c r="AE728" s="99"/>
      <c r="AG728" s="99"/>
      <c r="AH728" s="99"/>
      <c r="AI728" s="99"/>
    </row>
    <row r="729">
      <c r="C729" s="414"/>
      <c r="D729" s="414"/>
      <c r="F729" s="414"/>
      <c r="H729" s="407"/>
      <c r="P729" s="407"/>
      <c r="Y729" s="99"/>
      <c r="Z729" s="99"/>
      <c r="AA729" s="99"/>
      <c r="AC729" s="99"/>
      <c r="AD729" s="99"/>
      <c r="AE729" s="99"/>
      <c r="AG729" s="99"/>
      <c r="AH729" s="99"/>
      <c r="AI729" s="99"/>
    </row>
    <row r="730">
      <c r="C730" s="414"/>
      <c r="D730" s="414"/>
      <c r="F730" s="414"/>
      <c r="H730" s="407"/>
      <c r="P730" s="407"/>
      <c r="Y730" s="99"/>
      <c r="Z730" s="99"/>
      <c r="AA730" s="99"/>
      <c r="AC730" s="99"/>
      <c r="AD730" s="99"/>
      <c r="AE730" s="99"/>
      <c r="AG730" s="99"/>
      <c r="AH730" s="99"/>
      <c r="AI730" s="99"/>
    </row>
    <row r="731">
      <c r="C731" s="414"/>
      <c r="D731" s="414"/>
      <c r="F731" s="414"/>
      <c r="H731" s="407"/>
      <c r="P731" s="407"/>
      <c r="Y731" s="99"/>
      <c r="Z731" s="99"/>
      <c r="AA731" s="99"/>
      <c r="AC731" s="99"/>
      <c r="AD731" s="99"/>
      <c r="AE731" s="99"/>
      <c r="AG731" s="99"/>
      <c r="AH731" s="99"/>
      <c r="AI731" s="99"/>
    </row>
    <row r="732">
      <c r="C732" s="414"/>
      <c r="D732" s="414"/>
      <c r="F732" s="414"/>
      <c r="H732" s="407"/>
      <c r="P732" s="407"/>
      <c r="Y732" s="99"/>
      <c r="Z732" s="99"/>
      <c r="AA732" s="99"/>
      <c r="AC732" s="99"/>
      <c r="AD732" s="99"/>
      <c r="AE732" s="99"/>
      <c r="AG732" s="99"/>
      <c r="AH732" s="99"/>
      <c r="AI732" s="99"/>
    </row>
    <row r="733">
      <c r="C733" s="414"/>
      <c r="D733" s="414"/>
      <c r="F733" s="414"/>
      <c r="H733" s="407"/>
      <c r="P733" s="407"/>
      <c r="Y733" s="99"/>
      <c r="Z733" s="99"/>
      <c r="AA733" s="99"/>
      <c r="AC733" s="99"/>
      <c r="AD733" s="99"/>
      <c r="AE733" s="99"/>
      <c r="AG733" s="99"/>
      <c r="AH733" s="99"/>
      <c r="AI733" s="99"/>
    </row>
    <row r="734">
      <c r="C734" s="414"/>
      <c r="D734" s="414"/>
      <c r="F734" s="414"/>
      <c r="H734" s="407"/>
      <c r="P734" s="407"/>
      <c r="Y734" s="99"/>
      <c r="Z734" s="99"/>
      <c r="AA734" s="99"/>
      <c r="AC734" s="99"/>
      <c r="AD734" s="99"/>
      <c r="AE734" s="99"/>
      <c r="AG734" s="99"/>
      <c r="AH734" s="99"/>
      <c r="AI734" s="99"/>
    </row>
    <row r="735">
      <c r="C735" s="414"/>
      <c r="D735" s="414"/>
      <c r="F735" s="414"/>
      <c r="H735" s="407"/>
      <c r="P735" s="407"/>
      <c r="Y735" s="99"/>
      <c r="Z735" s="99"/>
      <c r="AA735" s="99"/>
      <c r="AC735" s="99"/>
      <c r="AD735" s="99"/>
      <c r="AE735" s="99"/>
      <c r="AG735" s="99"/>
      <c r="AH735" s="99"/>
      <c r="AI735" s="99"/>
    </row>
    <row r="736">
      <c r="C736" s="414"/>
      <c r="D736" s="414"/>
      <c r="F736" s="414"/>
      <c r="H736" s="407"/>
      <c r="P736" s="407"/>
      <c r="Y736" s="99"/>
      <c r="Z736" s="99"/>
      <c r="AA736" s="99"/>
      <c r="AC736" s="99"/>
      <c r="AD736" s="99"/>
      <c r="AE736" s="99"/>
      <c r="AG736" s="99"/>
      <c r="AH736" s="99"/>
      <c r="AI736" s="99"/>
    </row>
    <row r="737">
      <c r="C737" s="414"/>
      <c r="D737" s="414"/>
      <c r="F737" s="414"/>
      <c r="H737" s="407"/>
      <c r="P737" s="407"/>
      <c r="Y737" s="99"/>
      <c r="Z737" s="99"/>
      <c r="AA737" s="99"/>
      <c r="AC737" s="99"/>
      <c r="AD737" s="99"/>
      <c r="AE737" s="99"/>
      <c r="AG737" s="99"/>
      <c r="AH737" s="99"/>
      <c r="AI737" s="99"/>
    </row>
    <row r="738">
      <c r="C738" s="414"/>
      <c r="D738" s="414"/>
      <c r="F738" s="414"/>
      <c r="H738" s="407"/>
      <c r="P738" s="407"/>
      <c r="Y738" s="99"/>
      <c r="Z738" s="99"/>
      <c r="AA738" s="99"/>
      <c r="AC738" s="99"/>
      <c r="AD738" s="99"/>
      <c r="AE738" s="99"/>
      <c r="AG738" s="99"/>
      <c r="AH738" s="99"/>
      <c r="AI738" s="99"/>
    </row>
    <row r="739">
      <c r="C739" s="414"/>
      <c r="D739" s="414"/>
      <c r="F739" s="414"/>
      <c r="H739" s="407"/>
      <c r="P739" s="407"/>
      <c r="Y739" s="99"/>
      <c r="Z739" s="99"/>
      <c r="AA739" s="99"/>
      <c r="AC739" s="99"/>
      <c r="AD739" s="99"/>
      <c r="AE739" s="99"/>
      <c r="AG739" s="99"/>
      <c r="AH739" s="99"/>
      <c r="AI739" s="99"/>
    </row>
    <row r="740">
      <c r="C740" s="414"/>
      <c r="D740" s="414"/>
      <c r="F740" s="414"/>
      <c r="H740" s="407"/>
      <c r="P740" s="407"/>
      <c r="Y740" s="99"/>
      <c r="Z740" s="99"/>
      <c r="AA740" s="99"/>
      <c r="AC740" s="99"/>
      <c r="AD740" s="99"/>
      <c r="AE740" s="99"/>
      <c r="AG740" s="99"/>
      <c r="AH740" s="99"/>
      <c r="AI740" s="99"/>
    </row>
    <row r="741">
      <c r="C741" s="414"/>
      <c r="D741" s="414"/>
      <c r="F741" s="414"/>
      <c r="H741" s="407"/>
      <c r="P741" s="407"/>
      <c r="Y741" s="99"/>
      <c r="Z741" s="99"/>
      <c r="AA741" s="99"/>
      <c r="AC741" s="99"/>
      <c r="AD741" s="99"/>
      <c r="AE741" s="99"/>
      <c r="AG741" s="99"/>
      <c r="AH741" s="99"/>
      <c r="AI741" s="99"/>
    </row>
    <row r="742">
      <c r="C742" s="414"/>
      <c r="D742" s="414"/>
      <c r="F742" s="414"/>
      <c r="H742" s="407"/>
      <c r="P742" s="407"/>
      <c r="Y742" s="99"/>
      <c r="Z742" s="99"/>
      <c r="AA742" s="99"/>
      <c r="AC742" s="99"/>
      <c r="AD742" s="99"/>
      <c r="AE742" s="99"/>
      <c r="AG742" s="99"/>
      <c r="AH742" s="99"/>
      <c r="AI742" s="99"/>
    </row>
    <row r="743">
      <c r="C743" s="414"/>
      <c r="D743" s="414"/>
      <c r="F743" s="414"/>
      <c r="H743" s="407"/>
      <c r="P743" s="407"/>
      <c r="Y743" s="99"/>
      <c r="Z743" s="99"/>
      <c r="AA743" s="99"/>
      <c r="AC743" s="99"/>
      <c r="AD743" s="99"/>
      <c r="AE743" s="99"/>
      <c r="AG743" s="99"/>
      <c r="AH743" s="99"/>
      <c r="AI743" s="99"/>
    </row>
    <row r="744">
      <c r="C744" s="414"/>
      <c r="D744" s="414"/>
      <c r="F744" s="414"/>
      <c r="H744" s="407"/>
      <c r="P744" s="407"/>
      <c r="Y744" s="99"/>
      <c r="Z744" s="99"/>
      <c r="AA744" s="99"/>
      <c r="AC744" s="99"/>
      <c r="AD744" s="99"/>
      <c r="AE744" s="99"/>
      <c r="AG744" s="99"/>
      <c r="AH744" s="99"/>
      <c r="AI744" s="99"/>
    </row>
    <row r="745">
      <c r="C745" s="414"/>
      <c r="D745" s="414"/>
      <c r="F745" s="414"/>
      <c r="H745" s="407"/>
      <c r="P745" s="407"/>
      <c r="Y745" s="99"/>
      <c r="Z745" s="99"/>
      <c r="AA745" s="99"/>
      <c r="AC745" s="99"/>
      <c r="AD745" s="99"/>
      <c r="AE745" s="99"/>
      <c r="AG745" s="99"/>
      <c r="AH745" s="99"/>
      <c r="AI745" s="99"/>
    </row>
    <row r="746">
      <c r="C746" s="414"/>
      <c r="D746" s="414"/>
      <c r="F746" s="414"/>
      <c r="H746" s="407"/>
      <c r="P746" s="407"/>
      <c r="Y746" s="99"/>
      <c r="Z746" s="99"/>
      <c r="AA746" s="99"/>
      <c r="AC746" s="99"/>
      <c r="AD746" s="99"/>
      <c r="AE746" s="99"/>
      <c r="AG746" s="99"/>
      <c r="AH746" s="99"/>
      <c r="AI746" s="99"/>
    </row>
    <row r="747">
      <c r="C747" s="414"/>
      <c r="D747" s="414"/>
      <c r="F747" s="414"/>
      <c r="H747" s="407"/>
      <c r="P747" s="407"/>
      <c r="Y747" s="99"/>
      <c r="Z747" s="99"/>
      <c r="AA747" s="99"/>
      <c r="AC747" s="99"/>
      <c r="AD747" s="99"/>
      <c r="AE747" s="99"/>
      <c r="AG747" s="99"/>
      <c r="AH747" s="99"/>
      <c r="AI747" s="99"/>
    </row>
    <row r="748">
      <c r="C748" s="414"/>
      <c r="D748" s="414"/>
      <c r="F748" s="414"/>
      <c r="H748" s="407"/>
      <c r="P748" s="407"/>
      <c r="Y748" s="99"/>
      <c r="Z748" s="99"/>
      <c r="AA748" s="99"/>
      <c r="AC748" s="99"/>
      <c r="AD748" s="99"/>
      <c r="AE748" s="99"/>
      <c r="AG748" s="99"/>
      <c r="AH748" s="99"/>
      <c r="AI748" s="99"/>
    </row>
    <row r="749">
      <c r="C749" s="414"/>
      <c r="D749" s="414"/>
      <c r="F749" s="414"/>
      <c r="H749" s="407"/>
      <c r="P749" s="407"/>
      <c r="Y749" s="99"/>
      <c r="Z749" s="99"/>
      <c r="AA749" s="99"/>
      <c r="AC749" s="99"/>
      <c r="AD749" s="99"/>
      <c r="AE749" s="99"/>
      <c r="AG749" s="99"/>
      <c r="AH749" s="99"/>
      <c r="AI749" s="99"/>
    </row>
    <row r="750">
      <c r="C750" s="414"/>
      <c r="D750" s="414"/>
      <c r="F750" s="414"/>
      <c r="H750" s="407"/>
      <c r="P750" s="407"/>
      <c r="Y750" s="99"/>
      <c r="Z750" s="99"/>
      <c r="AA750" s="99"/>
      <c r="AC750" s="99"/>
      <c r="AD750" s="99"/>
      <c r="AE750" s="99"/>
      <c r="AG750" s="99"/>
      <c r="AH750" s="99"/>
      <c r="AI750" s="99"/>
    </row>
    <row r="751">
      <c r="C751" s="414"/>
      <c r="D751" s="414"/>
      <c r="F751" s="414"/>
      <c r="H751" s="407"/>
      <c r="P751" s="407"/>
      <c r="Y751" s="99"/>
      <c r="Z751" s="99"/>
      <c r="AA751" s="99"/>
      <c r="AC751" s="99"/>
      <c r="AD751" s="99"/>
      <c r="AE751" s="99"/>
      <c r="AG751" s="99"/>
      <c r="AH751" s="99"/>
      <c r="AI751" s="99"/>
    </row>
    <row r="752">
      <c r="C752" s="414"/>
      <c r="D752" s="414"/>
      <c r="F752" s="414"/>
      <c r="H752" s="407"/>
      <c r="P752" s="407"/>
      <c r="Y752" s="99"/>
      <c r="Z752" s="99"/>
      <c r="AA752" s="99"/>
      <c r="AC752" s="99"/>
      <c r="AD752" s="99"/>
      <c r="AE752" s="99"/>
      <c r="AG752" s="99"/>
      <c r="AH752" s="99"/>
      <c r="AI752" s="99"/>
    </row>
    <row r="753">
      <c r="C753" s="414"/>
      <c r="D753" s="414"/>
      <c r="F753" s="414"/>
      <c r="H753" s="407"/>
      <c r="P753" s="407"/>
      <c r="Y753" s="99"/>
      <c r="Z753" s="99"/>
      <c r="AA753" s="99"/>
      <c r="AC753" s="99"/>
      <c r="AD753" s="99"/>
      <c r="AE753" s="99"/>
      <c r="AG753" s="99"/>
      <c r="AH753" s="99"/>
      <c r="AI753" s="99"/>
    </row>
    <row r="754">
      <c r="C754" s="414"/>
      <c r="D754" s="414"/>
      <c r="F754" s="414"/>
      <c r="H754" s="407"/>
      <c r="P754" s="407"/>
      <c r="Y754" s="99"/>
      <c r="Z754" s="99"/>
      <c r="AA754" s="99"/>
      <c r="AC754" s="99"/>
      <c r="AD754" s="99"/>
      <c r="AE754" s="99"/>
      <c r="AG754" s="99"/>
      <c r="AH754" s="99"/>
      <c r="AI754" s="99"/>
    </row>
    <row r="755">
      <c r="C755" s="414"/>
      <c r="D755" s="414"/>
      <c r="F755" s="414"/>
      <c r="H755" s="407"/>
      <c r="P755" s="407"/>
      <c r="Y755" s="99"/>
      <c r="Z755" s="99"/>
      <c r="AA755" s="99"/>
      <c r="AC755" s="99"/>
      <c r="AD755" s="99"/>
      <c r="AE755" s="99"/>
      <c r="AG755" s="99"/>
      <c r="AH755" s="99"/>
      <c r="AI755" s="99"/>
    </row>
    <row r="756">
      <c r="C756" s="414"/>
      <c r="D756" s="414"/>
      <c r="F756" s="414"/>
      <c r="H756" s="407"/>
      <c r="P756" s="407"/>
      <c r="Y756" s="99"/>
      <c r="Z756" s="99"/>
      <c r="AA756" s="99"/>
      <c r="AC756" s="99"/>
      <c r="AD756" s="99"/>
      <c r="AE756" s="99"/>
      <c r="AG756" s="99"/>
      <c r="AH756" s="99"/>
      <c r="AI756" s="99"/>
    </row>
    <row r="757">
      <c r="C757" s="414"/>
      <c r="D757" s="414"/>
      <c r="F757" s="414"/>
      <c r="H757" s="407"/>
      <c r="P757" s="407"/>
      <c r="Y757" s="99"/>
      <c r="Z757" s="99"/>
      <c r="AA757" s="99"/>
      <c r="AC757" s="99"/>
      <c r="AD757" s="99"/>
      <c r="AE757" s="99"/>
      <c r="AG757" s="99"/>
      <c r="AH757" s="99"/>
      <c r="AI757" s="99"/>
    </row>
    <row r="758">
      <c r="C758" s="414"/>
      <c r="D758" s="414"/>
      <c r="F758" s="414"/>
      <c r="H758" s="407"/>
      <c r="P758" s="407"/>
      <c r="Y758" s="99"/>
      <c r="Z758" s="99"/>
      <c r="AA758" s="99"/>
      <c r="AC758" s="99"/>
      <c r="AD758" s="99"/>
      <c r="AE758" s="99"/>
      <c r="AG758" s="99"/>
      <c r="AH758" s="99"/>
      <c r="AI758" s="99"/>
    </row>
    <row r="759">
      <c r="C759" s="414"/>
      <c r="D759" s="414"/>
      <c r="F759" s="414"/>
      <c r="H759" s="407"/>
      <c r="P759" s="407"/>
      <c r="Y759" s="99"/>
      <c r="Z759" s="99"/>
      <c r="AA759" s="99"/>
      <c r="AC759" s="99"/>
      <c r="AD759" s="99"/>
      <c r="AE759" s="99"/>
      <c r="AG759" s="99"/>
      <c r="AH759" s="99"/>
      <c r="AI759" s="99"/>
    </row>
    <row r="760">
      <c r="C760" s="414"/>
      <c r="D760" s="414"/>
      <c r="F760" s="414"/>
      <c r="H760" s="407"/>
      <c r="P760" s="407"/>
      <c r="Y760" s="99"/>
      <c r="Z760" s="99"/>
      <c r="AA760" s="99"/>
      <c r="AC760" s="99"/>
      <c r="AD760" s="99"/>
      <c r="AE760" s="99"/>
      <c r="AG760" s="99"/>
      <c r="AH760" s="99"/>
      <c r="AI760" s="99"/>
    </row>
    <row r="761">
      <c r="C761" s="414"/>
      <c r="D761" s="414"/>
      <c r="F761" s="414"/>
      <c r="H761" s="407"/>
      <c r="P761" s="407"/>
      <c r="Y761" s="99"/>
      <c r="Z761" s="99"/>
      <c r="AA761" s="99"/>
      <c r="AC761" s="99"/>
      <c r="AD761" s="99"/>
      <c r="AE761" s="99"/>
      <c r="AG761" s="99"/>
      <c r="AH761" s="99"/>
      <c r="AI761" s="99"/>
    </row>
    <row r="762">
      <c r="C762" s="414"/>
      <c r="D762" s="414"/>
      <c r="F762" s="414"/>
      <c r="H762" s="407"/>
      <c r="P762" s="407"/>
      <c r="Y762" s="99"/>
      <c r="Z762" s="99"/>
      <c r="AA762" s="99"/>
      <c r="AC762" s="99"/>
      <c r="AD762" s="99"/>
      <c r="AE762" s="99"/>
      <c r="AG762" s="99"/>
      <c r="AH762" s="99"/>
      <c r="AI762" s="99"/>
    </row>
    <row r="763">
      <c r="C763" s="414"/>
      <c r="D763" s="414"/>
      <c r="F763" s="414"/>
      <c r="H763" s="407"/>
      <c r="P763" s="407"/>
      <c r="Y763" s="99"/>
      <c r="Z763" s="99"/>
      <c r="AA763" s="99"/>
      <c r="AC763" s="99"/>
      <c r="AD763" s="99"/>
      <c r="AE763" s="99"/>
      <c r="AG763" s="99"/>
      <c r="AH763" s="99"/>
      <c r="AI763" s="99"/>
    </row>
    <row r="764">
      <c r="C764" s="414"/>
      <c r="D764" s="414"/>
      <c r="F764" s="414"/>
      <c r="H764" s="407"/>
      <c r="P764" s="407"/>
      <c r="Y764" s="99"/>
      <c r="Z764" s="99"/>
      <c r="AA764" s="99"/>
      <c r="AC764" s="99"/>
      <c r="AD764" s="99"/>
      <c r="AE764" s="99"/>
      <c r="AG764" s="99"/>
      <c r="AH764" s="99"/>
      <c r="AI764" s="99"/>
    </row>
    <row r="765">
      <c r="C765" s="414"/>
      <c r="D765" s="414"/>
      <c r="F765" s="414"/>
      <c r="H765" s="407"/>
      <c r="P765" s="407"/>
      <c r="Y765" s="99"/>
      <c r="Z765" s="99"/>
      <c r="AA765" s="99"/>
      <c r="AC765" s="99"/>
      <c r="AD765" s="99"/>
      <c r="AE765" s="99"/>
      <c r="AG765" s="99"/>
      <c r="AH765" s="99"/>
      <c r="AI765" s="99"/>
    </row>
    <row r="766">
      <c r="C766" s="414"/>
      <c r="D766" s="414"/>
      <c r="F766" s="414"/>
      <c r="H766" s="407"/>
      <c r="P766" s="407"/>
      <c r="Y766" s="99"/>
      <c r="Z766" s="99"/>
      <c r="AA766" s="99"/>
      <c r="AC766" s="99"/>
      <c r="AD766" s="99"/>
      <c r="AE766" s="99"/>
      <c r="AG766" s="99"/>
      <c r="AH766" s="99"/>
      <c r="AI766" s="99"/>
    </row>
    <row r="767">
      <c r="C767" s="414"/>
      <c r="D767" s="414"/>
      <c r="F767" s="414"/>
      <c r="H767" s="407"/>
      <c r="P767" s="407"/>
      <c r="Y767" s="99"/>
      <c r="Z767" s="99"/>
      <c r="AA767" s="99"/>
      <c r="AC767" s="99"/>
      <c r="AD767" s="99"/>
      <c r="AE767" s="99"/>
      <c r="AG767" s="99"/>
      <c r="AH767" s="99"/>
      <c r="AI767" s="99"/>
    </row>
    <row r="768">
      <c r="C768" s="414"/>
      <c r="D768" s="414"/>
      <c r="F768" s="414"/>
      <c r="H768" s="407"/>
      <c r="P768" s="407"/>
      <c r="Y768" s="99"/>
      <c r="Z768" s="99"/>
      <c r="AA768" s="99"/>
      <c r="AC768" s="99"/>
      <c r="AD768" s="99"/>
      <c r="AE768" s="99"/>
      <c r="AG768" s="99"/>
      <c r="AH768" s="99"/>
      <c r="AI768" s="99"/>
    </row>
    <row r="769">
      <c r="C769" s="414"/>
      <c r="D769" s="414"/>
      <c r="F769" s="414"/>
      <c r="H769" s="407"/>
      <c r="P769" s="407"/>
      <c r="Y769" s="99"/>
      <c r="Z769" s="99"/>
      <c r="AA769" s="99"/>
      <c r="AC769" s="99"/>
      <c r="AD769" s="99"/>
      <c r="AE769" s="99"/>
      <c r="AG769" s="99"/>
      <c r="AH769" s="99"/>
      <c r="AI769" s="99"/>
    </row>
    <row r="770">
      <c r="C770" s="414"/>
      <c r="D770" s="414"/>
      <c r="F770" s="414"/>
      <c r="H770" s="407"/>
      <c r="P770" s="407"/>
      <c r="Y770" s="99"/>
      <c r="Z770" s="99"/>
      <c r="AA770" s="99"/>
      <c r="AC770" s="99"/>
      <c r="AD770" s="99"/>
      <c r="AE770" s="99"/>
      <c r="AG770" s="99"/>
      <c r="AH770" s="99"/>
      <c r="AI770" s="99"/>
    </row>
    <row r="771">
      <c r="C771" s="414"/>
      <c r="D771" s="414"/>
      <c r="F771" s="414"/>
      <c r="H771" s="407"/>
      <c r="P771" s="407"/>
      <c r="Y771" s="99"/>
      <c r="Z771" s="99"/>
      <c r="AA771" s="99"/>
      <c r="AC771" s="99"/>
      <c r="AD771" s="99"/>
      <c r="AE771" s="99"/>
      <c r="AG771" s="99"/>
      <c r="AH771" s="99"/>
      <c r="AI771" s="99"/>
    </row>
    <row r="772">
      <c r="C772" s="414"/>
      <c r="D772" s="414"/>
      <c r="F772" s="414"/>
      <c r="H772" s="407"/>
      <c r="P772" s="407"/>
      <c r="Y772" s="99"/>
      <c r="Z772" s="99"/>
      <c r="AA772" s="99"/>
      <c r="AC772" s="99"/>
      <c r="AD772" s="99"/>
      <c r="AE772" s="99"/>
      <c r="AG772" s="99"/>
      <c r="AH772" s="99"/>
      <c r="AI772" s="99"/>
    </row>
    <row r="773">
      <c r="C773" s="414"/>
      <c r="D773" s="414"/>
      <c r="F773" s="414"/>
      <c r="H773" s="407"/>
      <c r="P773" s="407"/>
      <c r="Y773" s="99"/>
      <c r="Z773" s="99"/>
      <c r="AA773" s="99"/>
      <c r="AC773" s="99"/>
      <c r="AD773" s="99"/>
      <c r="AE773" s="99"/>
      <c r="AG773" s="99"/>
      <c r="AH773" s="99"/>
      <c r="AI773" s="99"/>
    </row>
    <row r="774">
      <c r="C774" s="414"/>
      <c r="D774" s="414"/>
      <c r="F774" s="414"/>
      <c r="H774" s="407"/>
      <c r="P774" s="407"/>
      <c r="Y774" s="99"/>
      <c r="Z774" s="99"/>
      <c r="AA774" s="99"/>
      <c r="AC774" s="99"/>
      <c r="AD774" s="99"/>
      <c r="AE774" s="99"/>
      <c r="AG774" s="99"/>
      <c r="AH774" s="99"/>
      <c r="AI774" s="99"/>
    </row>
    <row r="775">
      <c r="C775" s="414"/>
      <c r="D775" s="414"/>
      <c r="F775" s="414"/>
      <c r="H775" s="407"/>
      <c r="P775" s="407"/>
      <c r="Y775" s="99"/>
      <c r="Z775" s="99"/>
      <c r="AA775" s="99"/>
      <c r="AC775" s="99"/>
      <c r="AD775" s="99"/>
      <c r="AE775" s="99"/>
      <c r="AG775" s="99"/>
      <c r="AH775" s="99"/>
      <c r="AI775" s="99"/>
    </row>
    <row r="776">
      <c r="C776" s="414"/>
      <c r="D776" s="414"/>
      <c r="F776" s="414"/>
      <c r="H776" s="407"/>
      <c r="P776" s="407"/>
      <c r="Y776" s="99"/>
      <c r="Z776" s="99"/>
      <c r="AA776" s="99"/>
      <c r="AC776" s="99"/>
      <c r="AD776" s="99"/>
      <c r="AE776" s="99"/>
      <c r="AG776" s="99"/>
      <c r="AH776" s="99"/>
      <c r="AI776" s="99"/>
    </row>
    <row r="777">
      <c r="C777" s="414"/>
      <c r="D777" s="414"/>
      <c r="F777" s="414"/>
      <c r="H777" s="407"/>
      <c r="P777" s="407"/>
      <c r="Y777" s="99"/>
      <c r="Z777" s="99"/>
      <c r="AA777" s="99"/>
      <c r="AC777" s="99"/>
      <c r="AD777" s="99"/>
      <c r="AE777" s="99"/>
      <c r="AG777" s="99"/>
      <c r="AH777" s="99"/>
      <c r="AI777" s="99"/>
    </row>
    <row r="778">
      <c r="C778" s="414"/>
      <c r="D778" s="414"/>
      <c r="F778" s="414"/>
      <c r="H778" s="407"/>
      <c r="P778" s="407"/>
      <c r="Y778" s="99"/>
      <c r="Z778" s="99"/>
      <c r="AA778" s="99"/>
      <c r="AC778" s="99"/>
      <c r="AD778" s="99"/>
      <c r="AE778" s="99"/>
      <c r="AG778" s="99"/>
      <c r="AH778" s="99"/>
      <c r="AI778" s="99"/>
    </row>
    <row r="779">
      <c r="C779" s="414"/>
      <c r="D779" s="414"/>
      <c r="F779" s="414"/>
      <c r="H779" s="407"/>
      <c r="P779" s="407"/>
      <c r="Y779" s="99"/>
      <c r="Z779" s="99"/>
      <c r="AA779" s="99"/>
      <c r="AC779" s="99"/>
      <c r="AD779" s="99"/>
      <c r="AE779" s="99"/>
      <c r="AG779" s="99"/>
      <c r="AH779" s="99"/>
      <c r="AI779" s="99"/>
    </row>
    <row r="780">
      <c r="C780" s="414"/>
      <c r="D780" s="414"/>
      <c r="F780" s="414"/>
      <c r="H780" s="407"/>
      <c r="P780" s="407"/>
      <c r="Y780" s="99"/>
      <c r="Z780" s="99"/>
      <c r="AA780" s="99"/>
      <c r="AC780" s="99"/>
      <c r="AD780" s="99"/>
      <c r="AE780" s="99"/>
      <c r="AG780" s="99"/>
      <c r="AH780" s="99"/>
      <c r="AI780" s="99"/>
    </row>
    <row r="781">
      <c r="C781" s="414"/>
      <c r="D781" s="414"/>
      <c r="F781" s="414"/>
      <c r="H781" s="407"/>
      <c r="P781" s="407"/>
      <c r="Y781" s="99"/>
      <c r="Z781" s="99"/>
      <c r="AA781" s="99"/>
      <c r="AC781" s="99"/>
      <c r="AD781" s="99"/>
      <c r="AE781" s="99"/>
      <c r="AG781" s="99"/>
      <c r="AH781" s="99"/>
      <c r="AI781" s="99"/>
    </row>
    <row r="782">
      <c r="C782" s="414"/>
      <c r="D782" s="414"/>
      <c r="F782" s="414"/>
      <c r="H782" s="407"/>
      <c r="P782" s="407"/>
      <c r="Y782" s="99"/>
      <c r="Z782" s="99"/>
      <c r="AA782" s="99"/>
      <c r="AC782" s="99"/>
      <c r="AD782" s="99"/>
      <c r="AE782" s="99"/>
      <c r="AG782" s="99"/>
      <c r="AH782" s="99"/>
      <c r="AI782" s="99"/>
    </row>
    <row r="783">
      <c r="C783" s="414"/>
      <c r="D783" s="414"/>
      <c r="F783" s="414"/>
      <c r="H783" s="407"/>
      <c r="P783" s="407"/>
      <c r="Y783" s="99"/>
      <c r="Z783" s="99"/>
      <c r="AA783" s="99"/>
      <c r="AC783" s="99"/>
      <c r="AD783" s="99"/>
      <c r="AE783" s="99"/>
      <c r="AG783" s="99"/>
      <c r="AH783" s="99"/>
      <c r="AI783" s="99"/>
    </row>
    <row r="784">
      <c r="C784" s="414"/>
      <c r="D784" s="414"/>
      <c r="F784" s="414"/>
      <c r="H784" s="407"/>
      <c r="P784" s="407"/>
      <c r="Y784" s="99"/>
      <c r="Z784" s="99"/>
      <c r="AA784" s="99"/>
      <c r="AC784" s="99"/>
      <c r="AD784" s="99"/>
      <c r="AE784" s="99"/>
      <c r="AG784" s="99"/>
      <c r="AH784" s="99"/>
      <c r="AI784" s="99"/>
    </row>
    <row r="785">
      <c r="C785" s="414"/>
      <c r="D785" s="414"/>
      <c r="F785" s="414"/>
      <c r="H785" s="407"/>
      <c r="P785" s="407"/>
      <c r="Y785" s="99"/>
      <c r="Z785" s="99"/>
      <c r="AA785" s="99"/>
      <c r="AC785" s="99"/>
      <c r="AD785" s="99"/>
      <c r="AE785" s="99"/>
      <c r="AG785" s="99"/>
      <c r="AH785" s="99"/>
      <c r="AI785" s="99"/>
    </row>
    <row r="786">
      <c r="C786" s="414"/>
      <c r="D786" s="414"/>
      <c r="F786" s="414"/>
      <c r="H786" s="407"/>
      <c r="P786" s="407"/>
      <c r="Y786" s="99"/>
      <c r="Z786" s="99"/>
      <c r="AA786" s="99"/>
      <c r="AC786" s="99"/>
      <c r="AD786" s="99"/>
      <c r="AE786" s="99"/>
      <c r="AG786" s="99"/>
      <c r="AH786" s="99"/>
      <c r="AI786" s="99"/>
    </row>
    <row r="787">
      <c r="C787" s="414"/>
      <c r="D787" s="414"/>
      <c r="F787" s="414"/>
      <c r="H787" s="407"/>
      <c r="P787" s="407"/>
      <c r="Y787" s="99"/>
      <c r="Z787" s="99"/>
      <c r="AA787" s="99"/>
      <c r="AC787" s="99"/>
      <c r="AD787" s="99"/>
      <c r="AE787" s="99"/>
      <c r="AG787" s="99"/>
      <c r="AH787" s="99"/>
      <c r="AI787" s="99"/>
    </row>
    <row r="788">
      <c r="C788" s="414"/>
      <c r="D788" s="414"/>
      <c r="F788" s="414"/>
      <c r="H788" s="407"/>
      <c r="P788" s="407"/>
      <c r="Y788" s="99"/>
      <c r="Z788" s="99"/>
      <c r="AA788" s="99"/>
      <c r="AC788" s="99"/>
      <c r="AD788" s="99"/>
      <c r="AE788" s="99"/>
      <c r="AG788" s="99"/>
      <c r="AH788" s="99"/>
      <c r="AI788" s="99"/>
    </row>
    <row r="789">
      <c r="C789" s="414"/>
      <c r="D789" s="414"/>
      <c r="F789" s="414"/>
      <c r="H789" s="407"/>
      <c r="P789" s="407"/>
      <c r="Y789" s="99"/>
      <c r="Z789" s="99"/>
      <c r="AA789" s="99"/>
      <c r="AC789" s="99"/>
      <c r="AD789" s="99"/>
      <c r="AE789" s="99"/>
      <c r="AG789" s="99"/>
      <c r="AH789" s="99"/>
      <c r="AI789" s="99"/>
    </row>
    <row r="790">
      <c r="C790" s="414"/>
      <c r="D790" s="414"/>
      <c r="F790" s="414"/>
      <c r="H790" s="407"/>
      <c r="P790" s="407"/>
      <c r="Y790" s="99"/>
      <c r="Z790" s="99"/>
      <c r="AA790" s="99"/>
      <c r="AC790" s="99"/>
      <c r="AD790" s="99"/>
      <c r="AE790" s="99"/>
      <c r="AG790" s="99"/>
      <c r="AH790" s="99"/>
      <c r="AI790" s="99"/>
    </row>
    <row r="791">
      <c r="C791" s="414"/>
      <c r="D791" s="414"/>
      <c r="F791" s="414"/>
      <c r="H791" s="407"/>
      <c r="P791" s="407"/>
      <c r="Y791" s="99"/>
      <c r="Z791" s="99"/>
      <c r="AA791" s="99"/>
      <c r="AC791" s="99"/>
      <c r="AD791" s="99"/>
      <c r="AE791" s="99"/>
      <c r="AG791" s="99"/>
      <c r="AH791" s="99"/>
      <c r="AI791" s="99"/>
    </row>
    <row r="792">
      <c r="C792" s="414"/>
      <c r="D792" s="414"/>
      <c r="F792" s="414"/>
      <c r="H792" s="407"/>
      <c r="P792" s="407"/>
      <c r="Y792" s="99"/>
      <c r="Z792" s="99"/>
      <c r="AA792" s="99"/>
      <c r="AC792" s="99"/>
      <c r="AD792" s="99"/>
      <c r="AE792" s="99"/>
      <c r="AG792" s="99"/>
      <c r="AH792" s="99"/>
      <c r="AI792" s="99"/>
    </row>
    <row r="793">
      <c r="C793" s="414"/>
      <c r="D793" s="414"/>
      <c r="F793" s="414"/>
      <c r="H793" s="407"/>
      <c r="P793" s="407"/>
      <c r="Y793" s="99"/>
      <c r="Z793" s="99"/>
      <c r="AA793" s="99"/>
      <c r="AC793" s="99"/>
      <c r="AD793" s="99"/>
      <c r="AE793" s="99"/>
      <c r="AG793" s="99"/>
      <c r="AH793" s="99"/>
      <c r="AI793" s="99"/>
    </row>
    <row r="794">
      <c r="C794" s="414"/>
      <c r="D794" s="414"/>
      <c r="F794" s="414"/>
      <c r="H794" s="407"/>
      <c r="P794" s="407"/>
      <c r="Y794" s="99"/>
      <c r="Z794" s="99"/>
      <c r="AA794" s="99"/>
      <c r="AC794" s="99"/>
      <c r="AD794" s="99"/>
      <c r="AE794" s="99"/>
      <c r="AG794" s="99"/>
      <c r="AH794" s="99"/>
      <c r="AI794" s="99"/>
    </row>
    <row r="795">
      <c r="C795" s="414"/>
      <c r="D795" s="414"/>
      <c r="F795" s="414"/>
      <c r="H795" s="407"/>
      <c r="P795" s="407"/>
      <c r="Y795" s="99"/>
      <c r="Z795" s="99"/>
      <c r="AA795" s="99"/>
      <c r="AC795" s="99"/>
      <c r="AD795" s="99"/>
      <c r="AE795" s="99"/>
      <c r="AG795" s="99"/>
      <c r="AH795" s="99"/>
      <c r="AI795" s="99"/>
    </row>
    <row r="796">
      <c r="C796" s="414"/>
      <c r="D796" s="414"/>
      <c r="F796" s="414"/>
      <c r="H796" s="407"/>
      <c r="P796" s="407"/>
      <c r="Y796" s="99"/>
      <c r="Z796" s="99"/>
      <c r="AA796" s="99"/>
      <c r="AC796" s="99"/>
      <c r="AD796" s="99"/>
      <c r="AE796" s="99"/>
      <c r="AG796" s="99"/>
      <c r="AH796" s="99"/>
      <c r="AI796" s="99"/>
    </row>
    <row r="797">
      <c r="C797" s="414"/>
      <c r="D797" s="414"/>
      <c r="F797" s="414"/>
      <c r="H797" s="407"/>
      <c r="P797" s="407"/>
      <c r="Y797" s="99"/>
      <c r="Z797" s="99"/>
      <c r="AA797" s="99"/>
      <c r="AC797" s="99"/>
      <c r="AD797" s="99"/>
      <c r="AE797" s="99"/>
      <c r="AG797" s="99"/>
      <c r="AH797" s="99"/>
      <c r="AI797" s="99"/>
    </row>
    <row r="798">
      <c r="C798" s="414"/>
      <c r="D798" s="414"/>
      <c r="F798" s="414"/>
      <c r="H798" s="407"/>
      <c r="P798" s="407"/>
      <c r="Y798" s="99"/>
      <c r="Z798" s="99"/>
      <c r="AA798" s="99"/>
      <c r="AC798" s="99"/>
      <c r="AD798" s="99"/>
      <c r="AE798" s="99"/>
      <c r="AG798" s="99"/>
      <c r="AH798" s="99"/>
      <c r="AI798" s="99"/>
    </row>
    <row r="799">
      <c r="C799" s="414"/>
      <c r="D799" s="414"/>
      <c r="F799" s="414"/>
      <c r="H799" s="407"/>
      <c r="P799" s="407"/>
      <c r="Y799" s="99"/>
      <c r="Z799" s="99"/>
      <c r="AA799" s="99"/>
      <c r="AC799" s="99"/>
      <c r="AD799" s="99"/>
      <c r="AE799" s="99"/>
      <c r="AG799" s="99"/>
      <c r="AH799" s="99"/>
      <c r="AI799" s="99"/>
    </row>
    <row r="800">
      <c r="C800" s="414"/>
      <c r="D800" s="414"/>
      <c r="F800" s="414"/>
      <c r="H800" s="407"/>
      <c r="P800" s="407"/>
      <c r="Y800" s="99"/>
      <c r="Z800" s="99"/>
      <c r="AA800" s="99"/>
      <c r="AC800" s="99"/>
      <c r="AD800" s="99"/>
      <c r="AE800" s="99"/>
      <c r="AG800" s="99"/>
      <c r="AH800" s="99"/>
      <c r="AI800" s="99"/>
    </row>
    <row r="801">
      <c r="C801" s="414"/>
      <c r="D801" s="414"/>
      <c r="F801" s="414"/>
      <c r="H801" s="407"/>
      <c r="P801" s="407"/>
      <c r="Y801" s="99"/>
      <c r="Z801" s="99"/>
      <c r="AA801" s="99"/>
      <c r="AC801" s="99"/>
      <c r="AD801" s="99"/>
      <c r="AE801" s="99"/>
      <c r="AG801" s="99"/>
      <c r="AH801" s="99"/>
      <c r="AI801" s="99"/>
    </row>
    <row r="802">
      <c r="C802" s="414"/>
      <c r="D802" s="414"/>
      <c r="F802" s="414"/>
      <c r="H802" s="407"/>
      <c r="P802" s="407"/>
      <c r="Y802" s="99"/>
      <c r="Z802" s="99"/>
      <c r="AA802" s="99"/>
      <c r="AC802" s="99"/>
      <c r="AD802" s="99"/>
      <c r="AE802" s="99"/>
      <c r="AG802" s="99"/>
      <c r="AH802" s="99"/>
      <c r="AI802" s="99"/>
    </row>
    <row r="803">
      <c r="C803" s="414"/>
      <c r="D803" s="414"/>
      <c r="F803" s="414"/>
      <c r="H803" s="407"/>
      <c r="P803" s="407"/>
      <c r="Y803" s="99"/>
      <c r="Z803" s="99"/>
      <c r="AA803" s="99"/>
      <c r="AC803" s="99"/>
      <c r="AD803" s="99"/>
      <c r="AE803" s="99"/>
      <c r="AG803" s="99"/>
      <c r="AH803" s="99"/>
      <c r="AI803" s="99"/>
    </row>
    <row r="804">
      <c r="C804" s="414"/>
      <c r="D804" s="414"/>
      <c r="F804" s="414"/>
      <c r="H804" s="407"/>
      <c r="P804" s="407"/>
      <c r="Y804" s="99"/>
      <c r="Z804" s="99"/>
      <c r="AA804" s="99"/>
      <c r="AC804" s="99"/>
      <c r="AD804" s="99"/>
      <c r="AE804" s="99"/>
      <c r="AG804" s="99"/>
      <c r="AH804" s="99"/>
      <c r="AI804" s="99"/>
    </row>
    <row r="805">
      <c r="C805" s="414"/>
      <c r="D805" s="414"/>
      <c r="F805" s="414"/>
      <c r="H805" s="407"/>
      <c r="P805" s="407"/>
      <c r="Y805" s="99"/>
      <c r="Z805" s="99"/>
      <c r="AA805" s="99"/>
      <c r="AC805" s="99"/>
      <c r="AD805" s="99"/>
      <c r="AE805" s="99"/>
      <c r="AG805" s="99"/>
      <c r="AH805" s="99"/>
      <c r="AI805" s="99"/>
    </row>
    <row r="806">
      <c r="C806" s="414"/>
      <c r="D806" s="414"/>
      <c r="F806" s="414"/>
      <c r="H806" s="407"/>
      <c r="P806" s="407"/>
      <c r="Y806" s="99"/>
      <c r="Z806" s="99"/>
      <c r="AA806" s="99"/>
      <c r="AC806" s="99"/>
      <c r="AD806" s="99"/>
      <c r="AE806" s="99"/>
      <c r="AG806" s="99"/>
      <c r="AH806" s="99"/>
      <c r="AI806" s="99"/>
    </row>
    <row r="807">
      <c r="C807" s="414"/>
      <c r="D807" s="414"/>
      <c r="F807" s="414"/>
      <c r="H807" s="407"/>
      <c r="P807" s="407"/>
      <c r="Y807" s="99"/>
      <c r="Z807" s="99"/>
      <c r="AA807" s="99"/>
      <c r="AC807" s="99"/>
      <c r="AD807" s="99"/>
      <c r="AE807" s="99"/>
      <c r="AG807" s="99"/>
      <c r="AH807" s="99"/>
      <c r="AI807" s="99"/>
    </row>
    <row r="808">
      <c r="C808" s="414"/>
      <c r="D808" s="414"/>
      <c r="F808" s="414"/>
      <c r="H808" s="407"/>
      <c r="P808" s="407"/>
      <c r="Y808" s="99"/>
      <c r="Z808" s="99"/>
      <c r="AA808" s="99"/>
      <c r="AC808" s="99"/>
      <c r="AD808" s="99"/>
      <c r="AE808" s="99"/>
      <c r="AG808" s="99"/>
      <c r="AH808" s="99"/>
      <c r="AI808" s="99"/>
    </row>
    <row r="809">
      <c r="C809" s="414"/>
      <c r="D809" s="414"/>
      <c r="F809" s="414"/>
      <c r="H809" s="407"/>
      <c r="P809" s="407"/>
      <c r="Y809" s="99"/>
      <c r="Z809" s="99"/>
      <c r="AA809" s="99"/>
      <c r="AC809" s="99"/>
      <c r="AD809" s="99"/>
      <c r="AE809" s="99"/>
      <c r="AG809" s="99"/>
      <c r="AH809" s="99"/>
      <c r="AI809" s="99"/>
    </row>
    <row r="810">
      <c r="C810" s="414"/>
      <c r="D810" s="414"/>
      <c r="F810" s="414"/>
      <c r="H810" s="407"/>
      <c r="P810" s="407"/>
      <c r="Y810" s="99"/>
      <c r="Z810" s="99"/>
      <c r="AA810" s="99"/>
      <c r="AC810" s="99"/>
      <c r="AD810" s="99"/>
      <c r="AE810" s="99"/>
      <c r="AG810" s="99"/>
      <c r="AH810" s="99"/>
      <c r="AI810" s="99"/>
    </row>
    <row r="811">
      <c r="C811" s="414"/>
      <c r="D811" s="414"/>
      <c r="F811" s="414"/>
      <c r="H811" s="407"/>
      <c r="P811" s="407"/>
      <c r="Y811" s="99"/>
      <c r="Z811" s="99"/>
      <c r="AA811" s="99"/>
      <c r="AC811" s="99"/>
      <c r="AD811" s="99"/>
      <c r="AE811" s="99"/>
      <c r="AG811" s="99"/>
      <c r="AH811" s="99"/>
      <c r="AI811" s="99"/>
    </row>
    <row r="812">
      <c r="C812" s="414"/>
      <c r="D812" s="414"/>
      <c r="F812" s="414"/>
      <c r="H812" s="407"/>
      <c r="P812" s="407"/>
      <c r="Y812" s="99"/>
      <c r="Z812" s="99"/>
      <c r="AA812" s="99"/>
      <c r="AC812" s="99"/>
      <c r="AD812" s="99"/>
      <c r="AE812" s="99"/>
      <c r="AG812" s="99"/>
      <c r="AH812" s="99"/>
      <c r="AI812" s="99"/>
    </row>
    <row r="813">
      <c r="C813" s="414"/>
      <c r="D813" s="414"/>
      <c r="F813" s="414"/>
      <c r="H813" s="407"/>
      <c r="P813" s="407"/>
      <c r="Y813" s="99"/>
      <c r="Z813" s="99"/>
      <c r="AA813" s="99"/>
      <c r="AC813" s="99"/>
      <c r="AD813" s="99"/>
      <c r="AE813" s="99"/>
      <c r="AG813" s="99"/>
      <c r="AH813" s="99"/>
      <c r="AI813" s="99"/>
    </row>
    <row r="814">
      <c r="C814" s="414"/>
      <c r="D814" s="414"/>
      <c r="F814" s="414"/>
      <c r="H814" s="407"/>
      <c r="P814" s="407"/>
      <c r="Y814" s="99"/>
      <c r="Z814" s="99"/>
      <c r="AA814" s="99"/>
      <c r="AC814" s="99"/>
      <c r="AD814" s="99"/>
      <c r="AE814" s="99"/>
      <c r="AG814" s="99"/>
      <c r="AH814" s="99"/>
      <c r="AI814" s="99"/>
    </row>
    <row r="815">
      <c r="C815" s="414"/>
      <c r="D815" s="414"/>
      <c r="F815" s="414"/>
      <c r="H815" s="407"/>
      <c r="P815" s="407"/>
      <c r="Y815" s="99"/>
      <c r="Z815" s="99"/>
      <c r="AA815" s="99"/>
      <c r="AC815" s="99"/>
      <c r="AD815" s="99"/>
      <c r="AE815" s="99"/>
      <c r="AG815" s="99"/>
      <c r="AH815" s="99"/>
      <c r="AI815" s="99"/>
    </row>
    <row r="816">
      <c r="C816" s="414"/>
      <c r="D816" s="414"/>
      <c r="F816" s="414"/>
      <c r="H816" s="407"/>
      <c r="P816" s="407"/>
      <c r="Y816" s="99"/>
      <c r="Z816" s="99"/>
      <c r="AA816" s="99"/>
      <c r="AC816" s="99"/>
      <c r="AD816" s="99"/>
      <c r="AE816" s="99"/>
      <c r="AG816" s="99"/>
      <c r="AH816" s="99"/>
      <c r="AI816" s="99"/>
    </row>
    <row r="817">
      <c r="C817" s="414"/>
      <c r="D817" s="414"/>
      <c r="F817" s="414"/>
      <c r="H817" s="407"/>
      <c r="P817" s="407"/>
      <c r="Y817" s="99"/>
      <c r="Z817" s="99"/>
      <c r="AA817" s="99"/>
      <c r="AC817" s="99"/>
      <c r="AD817" s="99"/>
      <c r="AE817" s="99"/>
      <c r="AG817" s="99"/>
      <c r="AH817" s="99"/>
      <c r="AI817" s="99"/>
    </row>
    <row r="818">
      <c r="C818" s="414"/>
      <c r="D818" s="414"/>
      <c r="F818" s="414"/>
      <c r="H818" s="407"/>
      <c r="P818" s="407"/>
      <c r="Y818" s="99"/>
      <c r="Z818" s="99"/>
      <c r="AA818" s="99"/>
      <c r="AC818" s="99"/>
      <c r="AD818" s="99"/>
      <c r="AE818" s="99"/>
      <c r="AG818" s="99"/>
      <c r="AH818" s="99"/>
      <c r="AI818" s="99"/>
    </row>
    <row r="819">
      <c r="C819" s="414"/>
      <c r="D819" s="414"/>
      <c r="F819" s="414"/>
      <c r="H819" s="407"/>
      <c r="P819" s="407"/>
      <c r="Y819" s="99"/>
      <c r="Z819" s="99"/>
      <c r="AA819" s="99"/>
      <c r="AC819" s="99"/>
      <c r="AD819" s="99"/>
      <c r="AE819" s="99"/>
      <c r="AG819" s="99"/>
      <c r="AH819" s="99"/>
      <c r="AI819" s="99"/>
    </row>
    <row r="820">
      <c r="C820" s="414"/>
      <c r="D820" s="414"/>
      <c r="F820" s="414"/>
      <c r="H820" s="407"/>
      <c r="P820" s="407"/>
      <c r="Y820" s="99"/>
      <c r="Z820" s="99"/>
      <c r="AA820" s="99"/>
      <c r="AC820" s="99"/>
      <c r="AD820" s="99"/>
      <c r="AE820" s="99"/>
      <c r="AG820" s="99"/>
      <c r="AH820" s="99"/>
      <c r="AI820" s="99"/>
    </row>
    <row r="821">
      <c r="C821" s="414"/>
      <c r="D821" s="414"/>
      <c r="F821" s="414"/>
      <c r="H821" s="407"/>
      <c r="P821" s="407"/>
      <c r="Y821" s="99"/>
      <c r="Z821" s="99"/>
      <c r="AA821" s="99"/>
      <c r="AC821" s="99"/>
      <c r="AD821" s="99"/>
      <c r="AE821" s="99"/>
      <c r="AG821" s="99"/>
      <c r="AH821" s="99"/>
      <c r="AI821" s="99"/>
    </row>
    <row r="822">
      <c r="C822" s="414"/>
      <c r="D822" s="414"/>
      <c r="F822" s="414"/>
      <c r="H822" s="407"/>
      <c r="P822" s="407"/>
      <c r="Y822" s="99"/>
      <c r="Z822" s="99"/>
      <c r="AA822" s="99"/>
      <c r="AC822" s="99"/>
      <c r="AD822" s="99"/>
      <c r="AE822" s="99"/>
      <c r="AG822" s="99"/>
      <c r="AH822" s="99"/>
      <c r="AI822" s="99"/>
    </row>
    <row r="823">
      <c r="C823" s="414"/>
      <c r="D823" s="414"/>
      <c r="F823" s="414"/>
      <c r="H823" s="407"/>
      <c r="P823" s="407"/>
      <c r="Y823" s="99"/>
      <c r="Z823" s="99"/>
      <c r="AA823" s="99"/>
      <c r="AC823" s="99"/>
      <c r="AD823" s="99"/>
      <c r="AE823" s="99"/>
      <c r="AG823" s="99"/>
      <c r="AH823" s="99"/>
      <c r="AI823" s="99"/>
    </row>
    <row r="824">
      <c r="C824" s="414"/>
      <c r="D824" s="414"/>
      <c r="F824" s="414"/>
      <c r="H824" s="407"/>
      <c r="P824" s="407"/>
      <c r="Y824" s="99"/>
      <c r="Z824" s="99"/>
      <c r="AA824" s="99"/>
      <c r="AC824" s="99"/>
      <c r="AD824" s="99"/>
      <c r="AE824" s="99"/>
      <c r="AG824" s="99"/>
      <c r="AH824" s="99"/>
      <c r="AI824" s="99"/>
    </row>
    <row r="825">
      <c r="C825" s="414"/>
      <c r="D825" s="414"/>
      <c r="F825" s="414"/>
      <c r="H825" s="407"/>
      <c r="P825" s="407"/>
      <c r="Y825" s="99"/>
      <c r="Z825" s="99"/>
      <c r="AA825" s="99"/>
      <c r="AC825" s="99"/>
      <c r="AD825" s="99"/>
      <c r="AE825" s="99"/>
      <c r="AG825" s="99"/>
      <c r="AH825" s="99"/>
      <c r="AI825" s="99"/>
    </row>
    <row r="826">
      <c r="C826" s="414"/>
      <c r="D826" s="414"/>
      <c r="F826" s="414"/>
      <c r="H826" s="407"/>
      <c r="P826" s="407"/>
      <c r="Y826" s="99"/>
      <c r="Z826" s="99"/>
      <c r="AA826" s="99"/>
      <c r="AC826" s="99"/>
      <c r="AD826" s="99"/>
      <c r="AE826" s="99"/>
      <c r="AG826" s="99"/>
      <c r="AH826" s="99"/>
      <c r="AI826" s="99"/>
    </row>
    <row r="827">
      <c r="C827" s="414"/>
      <c r="D827" s="414"/>
      <c r="F827" s="414"/>
      <c r="H827" s="407"/>
      <c r="P827" s="407"/>
      <c r="Y827" s="99"/>
      <c r="Z827" s="99"/>
      <c r="AA827" s="99"/>
      <c r="AC827" s="99"/>
      <c r="AD827" s="99"/>
      <c r="AE827" s="99"/>
      <c r="AG827" s="99"/>
      <c r="AH827" s="99"/>
      <c r="AI827" s="99"/>
    </row>
    <row r="828">
      <c r="C828" s="414"/>
      <c r="D828" s="414"/>
      <c r="F828" s="414"/>
      <c r="H828" s="407"/>
      <c r="P828" s="407"/>
      <c r="Y828" s="99"/>
      <c r="Z828" s="99"/>
      <c r="AA828" s="99"/>
      <c r="AC828" s="99"/>
      <c r="AD828" s="99"/>
      <c r="AE828" s="99"/>
      <c r="AG828" s="99"/>
      <c r="AH828" s="99"/>
      <c r="AI828" s="99"/>
    </row>
    <row r="829">
      <c r="C829" s="414"/>
      <c r="D829" s="414"/>
      <c r="F829" s="414"/>
      <c r="H829" s="407"/>
      <c r="P829" s="407"/>
      <c r="Y829" s="99"/>
      <c r="Z829" s="99"/>
      <c r="AA829" s="99"/>
      <c r="AC829" s="99"/>
      <c r="AD829" s="99"/>
      <c r="AE829" s="99"/>
      <c r="AG829" s="99"/>
      <c r="AH829" s="99"/>
      <c r="AI829" s="99"/>
    </row>
    <row r="830">
      <c r="C830" s="414"/>
      <c r="D830" s="414"/>
      <c r="F830" s="414"/>
      <c r="H830" s="407"/>
      <c r="P830" s="407"/>
      <c r="Y830" s="99"/>
      <c r="Z830" s="99"/>
      <c r="AA830" s="99"/>
      <c r="AC830" s="99"/>
      <c r="AD830" s="99"/>
      <c r="AE830" s="99"/>
      <c r="AG830" s="99"/>
      <c r="AH830" s="99"/>
      <c r="AI830" s="99"/>
    </row>
    <row r="831">
      <c r="C831" s="414"/>
      <c r="D831" s="414"/>
      <c r="F831" s="414"/>
      <c r="H831" s="407"/>
      <c r="P831" s="407"/>
      <c r="Y831" s="99"/>
      <c r="Z831" s="99"/>
      <c r="AA831" s="99"/>
      <c r="AC831" s="99"/>
      <c r="AD831" s="99"/>
      <c r="AE831" s="99"/>
      <c r="AG831" s="99"/>
      <c r="AH831" s="99"/>
      <c r="AI831" s="99"/>
    </row>
    <row r="832">
      <c r="C832" s="414"/>
      <c r="D832" s="414"/>
      <c r="F832" s="414"/>
      <c r="H832" s="407"/>
      <c r="P832" s="407"/>
      <c r="Y832" s="99"/>
      <c r="Z832" s="99"/>
      <c r="AA832" s="99"/>
      <c r="AC832" s="99"/>
      <c r="AD832" s="99"/>
      <c r="AE832" s="99"/>
      <c r="AG832" s="99"/>
      <c r="AH832" s="99"/>
      <c r="AI832" s="99"/>
    </row>
    <row r="833">
      <c r="C833" s="414"/>
      <c r="D833" s="414"/>
      <c r="F833" s="414"/>
      <c r="H833" s="407"/>
      <c r="P833" s="407"/>
      <c r="Y833" s="99"/>
      <c r="Z833" s="99"/>
      <c r="AA833" s="99"/>
      <c r="AC833" s="99"/>
      <c r="AD833" s="99"/>
      <c r="AE833" s="99"/>
      <c r="AG833" s="99"/>
      <c r="AH833" s="99"/>
      <c r="AI833" s="99"/>
    </row>
    <row r="834">
      <c r="C834" s="414"/>
      <c r="D834" s="414"/>
      <c r="F834" s="414"/>
      <c r="H834" s="407"/>
      <c r="P834" s="407"/>
      <c r="Y834" s="99"/>
      <c r="Z834" s="99"/>
      <c r="AA834" s="99"/>
      <c r="AC834" s="99"/>
      <c r="AD834" s="99"/>
      <c r="AE834" s="99"/>
      <c r="AG834" s="99"/>
      <c r="AH834" s="99"/>
      <c r="AI834" s="99"/>
    </row>
    <row r="835">
      <c r="C835" s="414"/>
      <c r="D835" s="414"/>
      <c r="F835" s="414"/>
      <c r="H835" s="407"/>
      <c r="P835" s="407"/>
      <c r="Y835" s="99"/>
      <c r="Z835" s="99"/>
      <c r="AA835" s="99"/>
      <c r="AC835" s="99"/>
      <c r="AD835" s="99"/>
      <c r="AE835" s="99"/>
      <c r="AG835" s="99"/>
      <c r="AH835" s="99"/>
      <c r="AI835" s="99"/>
    </row>
    <row r="836">
      <c r="C836" s="414"/>
      <c r="D836" s="414"/>
      <c r="F836" s="414"/>
      <c r="H836" s="407"/>
      <c r="P836" s="407"/>
      <c r="Y836" s="99"/>
      <c r="Z836" s="99"/>
      <c r="AA836" s="99"/>
      <c r="AC836" s="99"/>
      <c r="AD836" s="99"/>
      <c r="AE836" s="99"/>
      <c r="AG836" s="99"/>
      <c r="AH836" s="99"/>
      <c r="AI836" s="99"/>
    </row>
    <row r="837">
      <c r="C837" s="414"/>
      <c r="D837" s="414"/>
      <c r="F837" s="414"/>
      <c r="H837" s="407"/>
      <c r="P837" s="407"/>
      <c r="Y837" s="99"/>
      <c r="Z837" s="99"/>
      <c r="AA837" s="99"/>
      <c r="AC837" s="99"/>
      <c r="AD837" s="99"/>
      <c r="AE837" s="99"/>
      <c r="AG837" s="99"/>
      <c r="AH837" s="99"/>
      <c r="AI837" s="99"/>
    </row>
    <row r="838">
      <c r="C838" s="414"/>
      <c r="D838" s="414"/>
      <c r="F838" s="414"/>
      <c r="H838" s="407"/>
      <c r="P838" s="407"/>
      <c r="Y838" s="99"/>
      <c r="Z838" s="99"/>
      <c r="AA838" s="99"/>
      <c r="AC838" s="99"/>
      <c r="AD838" s="99"/>
      <c r="AE838" s="99"/>
      <c r="AG838" s="99"/>
      <c r="AH838" s="99"/>
      <c r="AI838" s="99"/>
    </row>
    <row r="839">
      <c r="C839" s="414"/>
      <c r="D839" s="414"/>
      <c r="F839" s="414"/>
      <c r="H839" s="407"/>
      <c r="P839" s="407"/>
      <c r="Y839" s="99"/>
      <c r="Z839" s="99"/>
      <c r="AA839" s="99"/>
      <c r="AC839" s="99"/>
      <c r="AD839" s="99"/>
      <c r="AE839" s="99"/>
      <c r="AG839" s="99"/>
      <c r="AH839" s="99"/>
      <c r="AI839" s="99"/>
    </row>
    <row r="840">
      <c r="C840" s="414"/>
      <c r="D840" s="414"/>
      <c r="F840" s="414"/>
      <c r="H840" s="407"/>
      <c r="P840" s="407"/>
      <c r="Y840" s="99"/>
      <c r="Z840" s="99"/>
      <c r="AA840" s="99"/>
      <c r="AC840" s="99"/>
      <c r="AD840" s="99"/>
      <c r="AE840" s="99"/>
      <c r="AG840" s="99"/>
      <c r="AH840" s="99"/>
      <c r="AI840" s="99"/>
    </row>
    <row r="841">
      <c r="C841" s="414"/>
      <c r="D841" s="414"/>
      <c r="F841" s="414"/>
      <c r="H841" s="407"/>
      <c r="P841" s="407"/>
      <c r="Y841" s="99"/>
      <c r="Z841" s="99"/>
      <c r="AA841" s="99"/>
      <c r="AC841" s="99"/>
      <c r="AD841" s="99"/>
      <c r="AE841" s="99"/>
      <c r="AG841" s="99"/>
      <c r="AH841" s="99"/>
      <c r="AI841" s="99"/>
    </row>
    <row r="842">
      <c r="C842" s="414"/>
      <c r="D842" s="414"/>
      <c r="F842" s="414"/>
      <c r="H842" s="407"/>
      <c r="P842" s="407"/>
      <c r="Y842" s="99"/>
      <c r="Z842" s="99"/>
      <c r="AA842" s="99"/>
      <c r="AC842" s="99"/>
      <c r="AD842" s="99"/>
      <c r="AE842" s="99"/>
      <c r="AG842" s="99"/>
      <c r="AH842" s="99"/>
      <c r="AI842" s="99"/>
    </row>
    <row r="843">
      <c r="C843" s="414"/>
      <c r="D843" s="414"/>
      <c r="F843" s="414"/>
      <c r="H843" s="407"/>
      <c r="P843" s="407"/>
      <c r="Y843" s="99"/>
      <c r="Z843" s="99"/>
      <c r="AA843" s="99"/>
      <c r="AC843" s="99"/>
      <c r="AD843" s="99"/>
      <c r="AE843" s="99"/>
      <c r="AG843" s="99"/>
      <c r="AH843" s="99"/>
      <c r="AI843" s="99"/>
    </row>
    <row r="844">
      <c r="C844" s="414"/>
      <c r="D844" s="414"/>
      <c r="F844" s="414"/>
      <c r="H844" s="407"/>
      <c r="P844" s="407"/>
      <c r="Y844" s="99"/>
      <c r="Z844" s="99"/>
      <c r="AA844" s="99"/>
      <c r="AC844" s="99"/>
      <c r="AD844" s="99"/>
      <c r="AE844" s="99"/>
      <c r="AG844" s="99"/>
      <c r="AH844" s="99"/>
      <c r="AI844" s="99"/>
    </row>
    <row r="845">
      <c r="C845" s="414"/>
      <c r="D845" s="414"/>
      <c r="F845" s="414"/>
      <c r="H845" s="407"/>
      <c r="P845" s="407"/>
      <c r="Y845" s="99"/>
      <c r="Z845" s="99"/>
      <c r="AA845" s="99"/>
      <c r="AC845" s="99"/>
      <c r="AD845" s="99"/>
      <c r="AE845" s="99"/>
      <c r="AG845" s="99"/>
      <c r="AH845" s="99"/>
      <c r="AI845" s="99"/>
    </row>
    <row r="846">
      <c r="C846" s="414"/>
      <c r="D846" s="414"/>
      <c r="F846" s="414"/>
      <c r="H846" s="407"/>
      <c r="P846" s="407"/>
      <c r="Y846" s="99"/>
      <c r="Z846" s="99"/>
      <c r="AA846" s="99"/>
      <c r="AC846" s="99"/>
      <c r="AD846" s="99"/>
      <c r="AE846" s="99"/>
      <c r="AG846" s="99"/>
      <c r="AH846" s="99"/>
      <c r="AI846" s="99"/>
    </row>
    <row r="847">
      <c r="C847" s="414"/>
      <c r="D847" s="414"/>
      <c r="F847" s="414"/>
      <c r="H847" s="407"/>
      <c r="P847" s="407"/>
      <c r="Y847" s="99"/>
      <c r="Z847" s="99"/>
      <c r="AA847" s="99"/>
      <c r="AC847" s="99"/>
      <c r="AD847" s="99"/>
      <c r="AE847" s="99"/>
      <c r="AG847" s="99"/>
      <c r="AH847" s="99"/>
      <c r="AI847" s="99"/>
    </row>
    <row r="848">
      <c r="C848" s="414"/>
      <c r="D848" s="414"/>
      <c r="F848" s="414"/>
      <c r="H848" s="407"/>
      <c r="P848" s="407"/>
      <c r="Y848" s="99"/>
      <c r="Z848" s="99"/>
      <c r="AA848" s="99"/>
      <c r="AC848" s="99"/>
      <c r="AD848" s="99"/>
      <c r="AE848" s="99"/>
      <c r="AG848" s="99"/>
      <c r="AH848" s="99"/>
      <c r="AI848" s="99"/>
    </row>
    <row r="849">
      <c r="C849" s="414"/>
      <c r="D849" s="414"/>
      <c r="F849" s="414"/>
      <c r="H849" s="407"/>
      <c r="P849" s="407"/>
      <c r="Y849" s="99"/>
      <c r="Z849" s="99"/>
      <c r="AA849" s="99"/>
      <c r="AC849" s="99"/>
      <c r="AD849" s="99"/>
      <c r="AE849" s="99"/>
      <c r="AG849" s="99"/>
      <c r="AH849" s="99"/>
      <c r="AI849" s="99"/>
    </row>
    <row r="850">
      <c r="C850" s="414"/>
      <c r="D850" s="414"/>
      <c r="F850" s="414"/>
      <c r="H850" s="407"/>
      <c r="P850" s="407"/>
      <c r="Y850" s="99"/>
      <c r="Z850" s="99"/>
      <c r="AA850" s="99"/>
      <c r="AC850" s="99"/>
      <c r="AD850" s="99"/>
      <c r="AE850" s="99"/>
      <c r="AG850" s="99"/>
      <c r="AH850" s="99"/>
      <c r="AI850" s="99"/>
    </row>
    <row r="851">
      <c r="C851" s="414"/>
      <c r="D851" s="414"/>
      <c r="F851" s="414"/>
      <c r="H851" s="407"/>
      <c r="P851" s="407"/>
      <c r="Y851" s="99"/>
      <c r="Z851" s="99"/>
      <c r="AA851" s="99"/>
      <c r="AC851" s="99"/>
      <c r="AD851" s="99"/>
      <c r="AE851" s="99"/>
      <c r="AG851" s="99"/>
      <c r="AH851" s="99"/>
      <c r="AI851" s="99"/>
    </row>
    <row r="852">
      <c r="C852" s="414"/>
      <c r="D852" s="414"/>
      <c r="F852" s="414"/>
      <c r="H852" s="407"/>
      <c r="P852" s="407"/>
      <c r="Y852" s="99"/>
      <c r="Z852" s="99"/>
      <c r="AA852" s="99"/>
      <c r="AC852" s="99"/>
      <c r="AD852" s="99"/>
      <c r="AE852" s="99"/>
      <c r="AG852" s="99"/>
      <c r="AH852" s="99"/>
      <c r="AI852" s="99"/>
    </row>
    <row r="853">
      <c r="C853" s="414"/>
      <c r="D853" s="414"/>
      <c r="F853" s="414"/>
      <c r="H853" s="407"/>
      <c r="P853" s="407"/>
      <c r="Y853" s="99"/>
      <c r="Z853" s="99"/>
      <c r="AA853" s="99"/>
      <c r="AC853" s="99"/>
      <c r="AD853" s="99"/>
      <c r="AE853" s="99"/>
      <c r="AG853" s="99"/>
      <c r="AH853" s="99"/>
      <c r="AI853" s="99"/>
    </row>
    <row r="854">
      <c r="C854" s="414"/>
      <c r="D854" s="414"/>
      <c r="F854" s="414"/>
      <c r="H854" s="407"/>
      <c r="P854" s="407"/>
      <c r="Y854" s="99"/>
      <c r="Z854" s="99"/>
      <c r="AA854" s="99"/>
      <c r="AC854" s="99"/>
      <c r="AD854" s="99"/>
      <c r="AE854" s="99"/>
      <c r="AG854" s="99"/>
      <c r="AH854" s="99"/>
      <c r="AI854" s="99"/>
    </row>
    <row r="855">
      <c r="C855" s="414"/>
      <c r="D855" s="414"/>
      <c r="F855" s="414"/>
      <c r="H855" s="407"/>
      <c r="P855" s="407"/>
      <c r="Y855" s="99"/>
      <c r="Z855" s="99"/>
      <c r="AA855" s="99"/>
      <c r="AC855" s="99"/>
      <c r="AD855" s="99"/>
      <c r="AE855" s="99"/>
      <c r="AG855" s="99"/>
      <c r="AH855" s="99"/>
      <c r="AI855" s="99"/>
    </row>
    <row r="856">
      <c r="C856" s="414"/>
      <c r="D856" s="414"/>
      <c r="F856" s="414"/>
      <c r="H856" s="407"/>
      <c r="P856" s="407"/>
      <c r="Y856" s="99"/>
      <c r="Z856" s="99"/>
      <c r="AA856" s="99"/>
      <c r="AC856" s="99"/>
      <c r="AD856" s="99"/>
      <c r="AE856" s="99"/>
      <c r="AG856" s="99"/>
      <c r="AH856" s="99"/>
      <c r="AI856" s="99"/>
    </row>
    <row r="857">
      <c r="C857" s="414"/>
      <c r="D857" s="414"/>
      <c r="F857" s="414"/>
      <c r="H857" s="407"/>
      <c r="P857" s="407"/>
      <c r="Y857" s="99"/>
      <c r="Z857" s="99"/>
      <c r="AA857" s="99"/>
      <c r="AC857" s="99"/>
      <c r="AD857" s="99"/>
      <c r="AE857" s="99"/>
      <c r="AG857" s="99"/>
      <c r="AH857" s="99"/>
      <c r="AI857" s="99"/>
    </row>
    <row r="858">
      <c r="C858" s="414"/>
      <c r="D858" s="414"/>
      <c r="F858" s="414"/>
      <c r="H858" s="407"/>
      <c r="P858" s="407"/>
      <c r="Y858" s="99"/>
      <c r="Z858" s="99"/>
      <c r="AA858" s="99"/>
      <c r="AC858" s="99"/>
      <c r="AD858" s="99"/>
      <c r="AE858" s="99"/>
      <c r="AG858" s="99"/>
      <c r="AH858" s="99"/>
      <c r="AI858" s="99"/>
    </row>
    <row r="859">
      <c r="C859" s="414"/>
      <c r="D859" s="414"/>
      <c r="F859" s="414"/>
      <c r="H859" s="407"/>
      <c r="P859" s="407"/>
      <c r="Y859" s="99"/>
      <c r="Z859" s="99"/>
      <c r="AA859" s="99"/>
      <c r="AC859" s="99"/>
      <c r="AD859" s="99"/>
      <c r="AE859" s="99"/>
      <c r="AG859" s="99"/>
      <c r="AH859" s="99"/>
      <c r="AI859" s="99"/>
    </row>
    <row r="860">
      <c r="C860" s="414"/>
      <c r="D860" s="414"/>
      <c r="F860" s="414"/>
      <c r="H860" s="407"/>
      <c r="P860" s="407"/>
      <c r="Y860" s="99"/>
      <c r="Z860" s="99"/>
      <c r="AA860" s="99"/>
      <c r="AC860" s="99"/>
      <c r="AD860" s="99"/>
      <c r="AE860" s="99"/>
      <c r="AG860" s="99"/>
      <c r="AH860" s="99"/>
      <c r="AI860" s="99"/>
    </row>
    <row r="861">
      <c r="C861" s="414"/>
      <c r="D861" s="414"/>
      <c r="F861" s="414"/>
      <c r="H861" s="407"/>
      <c r="P861" s="407"/>
      <c r="Y861" s="99"/>
      <c r="Z861" s="99"/>
      <c r="AA861" s="99"/>
      <c r="AC861" s="99"/>
      <c r="AD861" s="99"/>
      <c r="AE861" s="99"/>
      <c r="AG861" s="99"/>
      <c r="AH861" s="99"/>
      <c r="AI861" s="99"/>
    </row>
    <row r="862">
      <c r="C862" s="414"/>
      <c r="D862" s="414"/>
      <c r="F862" s="414"/>
      <c r="H862" s="407"/>
      <c r="P862" s="407"/>
      <c r="Y862" s="99"/>
      <c r="Z862" s="99"/>
      <c r="AA862" s="99"/>
      <c r="AC862" s="99"/>
      <c r="AD862" s="99"/>
      <c r="AE862" s="99"/>
      <c r="AG862" s="99"/>
      <c r="AH862" s="99"/>
      <c r="AI862" s="99"/>
    </row>
    <row r="863">
      <c r="C863" s="414"/>
      <c r="D863" s="414"/>
      <c r="F863" s="414"/>
      <c r="H863" s="407"/>
      <c r="P863" s="407"/>
      <c r="Y863" s="99"/>
      <c r="Z863" s="99"/>
      <c r="AA863" s="99"/>
      <c r="AC863" s="99"/>
      <c r="AD863" s="99"/>
      <c r="AE863" s="99"/>
      <c r="AG863" s="99"/>
      <c r="AH863" s="99"/>
      <c r="AI863" s="99"/>
    </row>
    <row r="864">
      <c r="C864" s="414"/>
      <c r="D864" s="414"/>
      <c r="F864" s="414"/>
      <c r="H864" s="407"/>
      <c r="P864" s="407"/>
      <c r="Y864" s="99"/>
      <c r="Z864" s="99"/>
      <c r="AA864" s="99"/>
      <c r="AC864" s="99"/>
      <c r="AD864" s="99"/>
      <c r="AE864" s="99"/>
      <c r="AG864" s="99"/>
      <c r="AH864" s="99"/>
      <c r="AI864" s="99"/>
    </row>
    <row r="865">
      <c r="C865" s="414"/>
      <c r="D865" s="414"/>
      <c r="F865" s="414"/>
      <c r="H865" s="407"/>
      <c r="P865" s="407"/>
      <c r="Y865" s="99"/>
      <c r="Z865" s="99"/>
      <c r="AA865" s="99"/>
      <c r="AC865" s="99"/>
      <c r="AD865" s="99"/>
      <c r="AE865" s="99"/>
      <c r="AG865" s="99"/>
      <c r="AH865" s="99"/>
      <c r="AI865" s="99"/>
    </row>
    <row r="866">
      <c r="C866" s="414"/>
      <c r="D866" s="414"/>
      <c r="F866" s="414"/>
      <c r="H866" s="407"/>
      <c r="P866" s="407"/>
      <c r="Y866" s="99"/>
      <c r="Z866" s="99"/>
      <c r="AA866" s="99"/>
      <c r="AC866" s="99"/>
      <c r="AD866" s="99"/>
      <c r="AE866" s="99"/>
      <c r="AG866" s="99"/>
      <c r="AH866" s="99"/>
      <c r="AI866" s="99"/>
    </row>
    <row r="867">
      <c r="C867" s="414"/>
      <c r="D867" s="414"/>
      <c r="F867" s="414"/>
      <c r="H867" s="407"/>
      <c r="P867" s="407"/>
      <c r="Y867" s="99"/>
      <c r="Z867" s="99"/>
      <c r="AA867" s="99"/>
      <c r="AC867" s="99"/>
      <c r="AD867" s="99"/>
      <c r="AE867" s="99"/>
      <c r="AG867" s="99"/>
      <c r="AH867" s="99"/>
      <c r="AI867" s="99"/>
    </row>
    <row r="868">
      <c r="C868" s="414"/>
      <c r="D868" s="414"/>
      <c r="F868" s="414"/>
      <c r="H868" s="407"/>
      <c r="P868" s="407"/>
      <c r="Y868" s="99"/>
      <c r="Z868" s="99"/>
      <c r="AA868" s="99"/>
      <c r="AC868" s="99"/>
      <c r="AD868" s="99"/>
      <c r="AE868" s="99"/>
      <c r="AG868" s="99"/>
      <c r="AH868" s="99"/>
      <c r="AI868" s="99"/>
    </row>
    <row r="869">
      <c r="C869" s="414"/>
      <c r="D869" s="414"/>
      <c r="F869" s="414"/>
      <c r="H869" s="407"/>
      <c r="P869" s="407"/>
      <c r="Y869" s="99"/>
      <c r="Z869" s="99"/>
      <c r="AA869" s="99"/>
      <c r="AC869" s="99"/>
      <c r="AD869" s="99"/>
      <c r="AE869" s="99"/>
      <c r="AG869" s="99"/>
      <c r="AH869" s="99"/>
      <c r="AI869" s="99"/>
    </row>
    <row r="870">
      <c r="C870" s="414"/>
      <c r="D870" s="414"/>
      <c r="F870" s="414"/>
      <c r="H870" s="407"/>
      <c r="P870" s="407"/>
      <c r="Y870" s="99"/>
      <c r="Z870" s="99"/>
      <c r="AA870" s="99"/>
      <c r="AC870" s="99"/>
      <c r="AD870" s="99"/>
      <c r="AE870" s="99"/>
      <c r="AG870" s="99"/>
      <c r="AH870" s="99"/>
      <c r="AI870" s="99"/>
    </row>
    <row r="871">
      <c r="C871" s="414"/>
      <c r="D871" s="414"/>
      <c r="F871" s="414"/>
      <c r="H871" s="407"/>
      <c r="P871" s="407"/>
      <c r="Y871" s="99"/>
      <c r="Z871" s="99"/>
      <c r="AA871" s="99"/>
      <c r="AC871" s="99"/>
      <c r="AD871" s="99"/>
      <c r="AE871" s="99"/>
      <c r="AG871" s="99"/>
      <c r="AH871" s="99"/>
      <c r="AI871" s="99"/>
    </row>
    <row r="872">
      <c r="C872" s="414"/>
      <c r="D872" s="414"/>
      <c r="F872" s="414"/>
      <c r="H872" s="407"/>
      <c r="P872" s="407"/>
      <c r="Y872" s="99"/>
      <c r="Z872" s="99"/>
      <c r="AA872" s="99"/>
      <c r="AC872" s="99"/>
      <c r="AD872" s="99"/>
      <c r="AE872" s="99"/>
      <c r="AG872" s="99"/>
      <c r="AH872" s="99"/>
      <c r="AI872" s="99"/>
    </row>
    <row r="873">
      <c r="C873" s="414"/>
      <c r="D873" s="414"/>
      <c r="F873" s="414"/>
      <c r="H873" s="407"/>
      <c r="P873" s="407"/>
      <c r="Y873" s="99"/>
      <c r="Z873" s="99"/>
      <c r="AA873" s="99"/>
      <c r="AC873" s="99"/>
      <c r="AD873" s="99"/>
      <c r="AE873" s="99"/>
      <c r="AG873" s="99"/>
      <c r="AH873" s="99"/>
      <c r="AI873" s="99"/>
    </row>
    <row r="874">
      <c r="C874" s="414"/>
      <c r="D874" s="414"/>
      <c r="F874" s="414"/>
      <c r="H874" s="407"/>
      <c r="P874" s="407"/>
      <c r="Y874" s="99"/>
      <c r="Z874" s="99"/>
      <c r="AA874" s="99"/>
      <c r="AC874" s="99"/>
      <c r="AD874" s="99"/>
      <c r="AE874" s="99"/>
      <c r="AG874" s="99"/>
      <c r="AH874" s="99"/>
      <c r="AI874" s="99"/>
    </row>
    <row r="875">
      <c r="C875" s="414"/>
      <c r="D875" s="414"/>
      <c r="F875" s="414"/>
      <c r="H875" s="407"/>
      <c r="P875" s="407"/>
      <c r="Y875" s="99"/>
      <c r="Z875" s="99"/>
      <c r="AA875" s="99"/>
      <c r="AC875" s="99"/>
      <c r="AD875" s="99"/>
      <c r="AE875" s="99"/>
      <c r="AG875" s="99"/>
      <c r="AH875" s="99"/>
      <c r="AI875" s="99"/>
    </row>
    <row r="876">
      <c r="C876" s="414"/>
      <c r="D876" s="414"/>
      <c r="F876" s="414"/>
      <c r="H876" s="407"/>
      <c r="P876" s="407"/>
      <c r="Y876" s="99"/>
      <c r="Z876" s="99"/>
      <c r="AA876" s="99"/>
      <c r="AC876" s="99"/>
      <c r="AD876" s="99"/>
      <c r="AE876" s="99"/>
      <c r="AG876" s="99"/>
      <c r="AH876" s="99"/>
      <c r="AI876" s="99"/>
    </row>
    <row r="877">
      <c r="C877" s="414"/>
      <c r="D877" s="414"/>
      <c r="F877" s="414"/>
      <c r="H877" s="407"/>
      <c r="P877" s="407"/>
      <c r="Y877" s="99"/>
      <c r="Z877" s="99"/>
      <c r="AA877" s="99"/>
      <c r="AC877" s="99"/>
      <c r="AD877" s="99"/>
      <c r="AE877" s="99"/>
      <c r="AG877" s="99"/>
      <c r="AH877" s="99"/>
      <c r="AI877" s="99"/>
    </row>
    <row r="878">
      <c r="C878" s="414"/>
      <c r="D878" s="414"/>
      <c r="F878" s="414"/>
      <c r="H878" s="407"/>
      <c r="P878" s="407"/>
      <c r="Y878" s="99"/>
      <c r="Z878" s="99"/>
      <c r="AA878" s="99"/>
      <c r="AC878" s="99"/>
      <c r="AD878" s="99"/>
      <c r="AE878" s="99"/>
      <c r="AG878" s="99"/>
      <c r="AH878" s="99"/>
      <c r="AI878" s="99"/>
    </row>
    <row r="879">
      <c r="C879" s="414"/>
      <c r="D879" s="414"/>
      <c r="F879" s="414"/>
      <c r="H879" s="407"/>
      <c r="P879" s="407"/>
      <c r="Y879" s="99"/>
      <c r="Z879" s="99"/>
      <c r="AA879" s="99"/>
      <c r="AC879" s="99"/>
      <c r="AD879" s="99"/>
      <c r="AE879" s="99"/>
      <c r="AG879" s="99"/>
      <c r="AH879" s="99"/>
      <c r="AI879" s="99"/>
    </row>
    <row r="880">
      <c r="C880" s="414"/>
      <c r="D880" s="414"/>
      <c r="F880" s="414"/>
      <c r="H880" s="407"/>
      <c r="P880" s="407"/>
      <c r="Y880" s="99"/>
      <c r="Z880" s="99"/>
      <c r="AA880" s="99"/>
      <c r="AC880" s="99"/>
      <c r="AD880" s="99"/>
      <c r="AE880" s="99"/>
      <c r="AG880" s="99"/>
      <c r="AH880" s="99"/>
      <c r="AI880" s="99"/>
    </row>
    <row r="881">
      <c r="C881" s="414"/>
      <c r="D881" s="414"/>
      <c r="F881" s="414"/>
      <c r="H881" s="407"/>
      <c r="P881" s="407"/>
      <c r="Y881" s="99"/>
      <c r="Z881" s="99"/>
      <c r="AA881" s="99"/>
      <c r="AC881" s="99"/>
      <c r="AD881" s="99"/>
      <c r="AE881" s="99"/>
      <c r="AG881" s="99"/>
      <c r="AH881" s="99"/>
      <c r="AI881" s="99"/>
    </row>
    <row r="882">
      <c r="C882" s="414"/>
      <c r="D882" s="414"/>
      <c r="F882" s="414"/>
      <c r="H882" s="407"/>
      <c r="P882" s="407"/>
      <c r="Y882" s="99"/>
      <c r="Z882" s="99"/>
      <c r="AA882" s="99"/>
      <c r="AC882" s="99"/>
      <c r="AD882" s="99"/>
      <c r="AE882" s="99"/>
      <c r="AG882" s="99"/>
      <c r="AH882" s="99"/>
      <c r="AI882" s="99"/>
    </row>
    <row r="883">
      <c r="C883" s="414"/>
      <c r="D883" s="414"/>
      <c r="F883" s="414"/>
      <c r="H883" s="407"/>
      <c r="P883" s="407"/>
      <c r="Y883" s="99"/>
      <c r="Z883" s="99"/>
      <c r="AA883" s="99"/>
      <c r="AC883" s="99"/>
      <c r="AD883" s="99"/>
      <c r="AE883" s="99"/>
      <c r="AG883" s="99"/>
      <c r="AH883" s="99"/>
      <c r="AI883" s="99"/>
    </row>
    <row r="884">
      <c r="C884" s="414"/>
      <c r="D884" s="414"/>
      <c r="F884" s="414"/>
      <c r="H884" s="407"/>
      <c r="P884" s="407"/>
      <c r="Y884" s="99"/>
      <c r="Z884" s="99"/>
      <c r="AA884" s="99"/>
      <c r="AC884" s="99"/>
      <c r="AD884" s="99"/>
      <c r="AE884" s="99"/>
      <c r="AG884" s="99"/>
      <c r="AH884" s="99"/>
      <c r="AI884" s="99"/>
    </row>
    <row r="885">
      <c r="C885" s="414"/>
      <c r="D885" s="414"/>
      <c r="F885" s="414"/>
      <c r="H885" s="407"/>
      <c r="P885" s="407"/>
      <c r="Y885" s="99"/>
      <c r="Z885" s="99"/>
      <c r="AA885" s="99"/>
      <c r="AC885" s="99"/>
      <c r="AD885" s="99"/>
      <c r="AE885" s="99"/>
      <c r="AG885" s="99"/>
      <c r="AH885" s="99"/>
      <c r="AI885" s="99"/>
    </row>
    <row r="886">
      <c r="C886" s="414"/>
      <c r="D886" s="414"/>
      <c r="F886" s="414"/>
      <c r="H886" s="407"/>
      <c r="P886" s="407"/>
      <c r="Y886" s="99"/>
      <c r="Z886" s="99"/>
      <c r="AA886" s="99"/>
      <c r="AC886" s="99"/>
      <c r="AD886" s="99"/>
      <c r="AE886" s="99"/>
      <c r="AG886" s="99"/>
      <c r="AH886" s="99"/>
      <c r="AI886" s="99"/>
    </row>
    <row r="887">
      <c r="C887" s="414"/>
      <c r="D887" s="414"/>
      <c r="F887" s="414"/>
      <c r="H887" s="407"/>
      <c r="P887" s="407"/>
      <c r="Y887" s="99"/>
      <c r="Z887" s="99"/>
      <c r="AA887" s="99"/>
      <c r="AC887" s="99"/>
      <c r="AD887" s="99"/>
      <c r="AE887" s="99"/>
      <c r="AG887" s="99"/>
      <c r="AH887" s="99"/>
      <c r="AI887" s="99"/>
    </row>
    <row r="888">
      <c r="C888" s="414"/>
      <c r="D888" s="414"/>
      <c r="F888" s="414"/>
      <c r="H888" s="407"/>
      <c r="P888" s="407"/>
      <c r="Y888" s="99"/>
      <c r="Z888" s="99"/>
      <c r="AA888" s="99"/>
      <c r="AC888" s="99"/>
      <c r="AD888" s="99"/>
      <c r="AE888" s="99"/>
      <c r="AG888" s="99"/>
      <c r="AH888" s="99"/>
      <c r="AI888" s="99"/>
    </row>
    <row r="889">
      <c r="C889" s="414"/>
      <c r="D889" s="414"/>
      <c r="F889" s="414"/>
      <c r="H889" s="407"/>
      <c r="P889" s="407"/>
      <c r="Y889" s="99"/>
      <c r="Z889" s="99"/>
      <c r="AA889" s="99"/>
      <c r="AC889" s="99"/>
      <c r="AD889" s="99"/>
      <c r="AE889" s="99"/>
      <c r="AG889" s="99"/>
      <c r="AH889" s="99"/>
      <c r="AI889" s="99"/>
    </row>
    <row r="890">
      <c r="C890" s="414"/>
      <c r="D890" s="414"/>
      <c r="F890" s="414"/>
      <c r="H890" s="407"/>
      <c r="P890" s="407"/>
      <c r="Y890" s="99"/>
      <c r="Z890" s="99"/>
      <c r="AA890" s="99"/>
      <c r="AC890" s="99"/>
      <c r="AD890" s="99"/>
      <c r="AE890" s="99"/>
      <c r="AG890" s="99"/>
      <c r="AH890" s="99"/>
      <c r="AI890" s="99"/>
    </row>
    <row r="891">
      <c r="C891" s="414"/>
      <c r="D891" s="414"/>
      <c r="F891" s="414"/>
      <c r="H891" s="407"/>
      <c r="P891" s="407"/>
      <c r="Y891" s="99"/>
      <c r="Z891" s="99"/>
      <c r="AA891" s="99"/>
      <c r="AC891" s="99"/>
      <c r="AD891" s="99"/>
      <c r="AE891" s="99"/>
      <c r="AG891" s="99"/>
      <c r="AH891" s="99"/>
      <c r="AI891" s="99"/>
    </row>
    <row r="892">
      <c r="C892" s="414"/>
      <c r="D892" s="414"/>
      <c r="F892" s="414"/>
      <c r="H892" s="407"/>
      <c r="P892" s="407"/>
      <c r="Y892" s="99"/>
      <c r="Z892" s="99"/>
      <c r="AA892" s="99"/>
      <c r="AC892" s="99"/>
      <c r="AD892" s="99"/>
      <c r="AE892" s="99"/>
      <c r="AG892" s="99"/>
      <c r="AH892" s="99"/>
      <c r="AI892" s="99"/>
    </row>
    <row r="893">
      <c r="C893" s="414"/>
      <c r="D893" s="414"/>
      <c r="F893" s="414"/>
      <c r="H893" s="407"/>
      <c r="P893" s="407"/>
      <c r="Y893" s="99"/>
      <c r="Z893" s="99"/>
      <c r="AA893" s="99"/>
      <c r="AC893" s="99"/>
      <c r="AD893" s="99"/>
      <c r="AE893" s="99"/>
      <c r="AG893" s="99"/>
      <c r="AH893" s="99"/>
      <c r="AI893" s="99"/>
    </row>
    <row r="894">
      <c r="C894" s="414"/>
      <c r="D894" s="414"/>
      <c r="F894" s="414"/>
      <c r="H894" s="407"/>
      <c r="P894" s="407"/>
      <c r="Y894" s="99"/>
      <c r="Z894" s="99"/>
      <c r="AA894" s="99"/>
      <c r="AC894" s="99"/>
      <c r="AD894" s="99"/>
      <c r="AE894" s="99"/>
      <c r="AG894" s="99"/>
      <c r="AH894" s="99"/>
      <c r="AI894" s="99"/>
    </row>
    <row r="895">
      <c r="C895" s="414"/>
      <c r="D895" s="414"/>
      <c r="F895" s="414"/>
      <c r="H895" s="407"/>
      <c r="P895" s="407"/>
      <c r="Y895" s="99"/>
      <c r="Z895" s="99"/>
      <c r="AA895" s="99"/>
      <c r="AC895" s="99"/>
      <c r="AD895" s="99"/>
      <c r="AE895" s="99"/>
      <c r="AG895" s="99"/>
      <c r="AH895" s="99"/>
      <c r="AI895" s="99"/>
    </row>
    <row r="896">
      <c r="C896" s="414"/>
      <c r="D896" s="414"/>
      <c r="F896" s="414"/>
      <c r="H896" s="407"/>
      <c r="P896" s="407"/>
      <c r="Y896" s="99"/>
      <c r="Z896" s="99"/>
      <c r="AA896" s="99"/>
      <c r="AC896" s="99"/>
      <c r="AD896" s="99"/>
      <c r="AE896" s="99"/>
      <c r="AG896" s="99"/>
      <c r="AH896" s="99"/>
      <c r="AI896" s="99"/>
    </row>
    <row r="897">
      <c r="C897" s="414"/>
      <c r="D897" s="414"/>
      <c r="F897" s="414"/>
      <c r="H897" s="407"/>
      <c r="P897" s="407"/>
      <c r="Y897" s="99"/>
      <c r="Z897" s="99"/>
      <c r="AA897" s="99"/>
      <c r="AC897" s="99"/>
      <c r="AD897" s="99"/>
      <c r="AE897" s="99"/>
      <c r="AG897" s="99"/>
      <c r="AH897" s="99"/>
      <c r="AI897" s="99"/>
    </row>
    <row r="898">
      <c r="C898" s="414"/>
      <c r="D898" s="414"/>
      <c r="F898" s="414"/>
      <c r="H898" s="407"/>
      <c r="P898" s="407"/>
      <c r="Y898" s="99"/>
      <c r="Z898" s="99"/>
      <c r="AA898" s="99"/>
      <c r="AC898" s="99"/>
      <c r="AD898" s="99"/>
      <c r="AE898" s="99"/>
      <c r="AG898" s="99"/>
      <c r="AH898" s="99"/>
      <c r="AI898" s="99"/>
    </row>
    <row r="899">
      <c r="C899" s="414"/>
      <c r="D899" s="414"/>
      <c r="F899" s="414"/>
      <c r="H899" s="407"/>
      <c r="P899" s="407"/>
      <c r="Y899" s="99"/>
      <c r="Z899" s="99"/>
      <c r="AA899" s="99"/>
      <c r="AC899" s="99"/>
      <c r="AD899" s="99"/>
      <c r="AE899" s="99"/>
      <c r="AG899" s="99"/>
      <c r="AH899" s="99"/>
      <c r="AI899" s="99"/>
    </row>
    <row r="900">
      <c r="C900" s="414"/>
      <c r="D900" s="414"/>
      <c r="F900" s="414"/>
      <c r="H900" s="407"/>
      <c r="P900" s="407"/>
      <c r="Y900" s="99"/>
      <c r="Z900" s="99"/>
      <c r="AA900" s="99"/>
      <c r="AC900" s="99"/>
      <c r="AD900" s="99"/>
      <c r="AE900" s="99"/>
      <c r="AG900" s="99"/>
      <c r="AH900" s="99"/>
      <c r="AI900" s="99"/>
    </row>
    <row r="901">
      <c r="C901" s="414"/>
      <c r="D901" s="414"/>
      <c r="F901" s="414"/>
      <c r="H901" s="407"/>
      <c r="P901" s="407"/>
      <c r="Y901" s="99"/>
      <c r="Z901" s="99"/>
      <c r="AA901" s="99"/>
      <c r="AC901" s="99"/>
      <c r="AD901" s="99"/>
      <c r="AE901" s="99"/>
      <c r="AG901" s="99"/>
      <c r="AH901" s="99"/>
      <c r="AI901" s="99"/>
    </row>
    <row r="902">
      <c r="C902" s="414"/>
      <c r="D902" s="414"/>
      <c r="F902" s="414"/>
      <c r="H902" s="407"/>
      <c r="P902" s="407"/>
      <c r="Y902" s="99"/>
      <c r="Z902" s="99"/>
      <c r="AA902" s="99"/>
      <c r="AC902" s="99"/>
      <c r="AD902" s="99"/>
      <c r="AE902" s="99"/>
      <c r="AG902" s="99"/>
      <c r="AH902" s="99"/>
      <c r="AI902" s="99"/>
    </row>
    <row r="903">
      <c r="C903" s="414"/>
      <c r="D903" s="414"/>
      <c r="F903" s="414"/>
      <c r="H903" s="407"/>
      <c r="P903" s="407"/>
      <c r="Y903" s="99"/>
      <c r="Z903" s="99"/>
      <c r="AA903" s="99"/>
      <c r="AC903" s="99"/>
      <c r="AD903" s="99"/>
      <c r="AE903" s="99"/>
      <c r="AG903" s="99"/>
      <c r="AH903" s="99"/>
      <c r="AI903" s="99"/>
    </row>
    <row r="904">
      <c r="C904" s="414"/>
      <c r="D904" s="414"/>
      <c r="F904" s="414"/>
      <c r="H904" s="407"/>
      <c r="P904" s="407"/>
      <c r="Y904" s="99"/>
      <c r="Z904" s="99"/>
      <c r="AA904" s="99"/>
      <c r="AC904" s="99"/>
      <c r="AD904" s="99"/>
      <c r="AE904" s="99"/>
      <c r="AG904" s="99"/>
      <c r="AH904" s="99"/>
      <c r="AI904" s="99"/>
    </row>
    <row r="905">
      <c r="C905" s="414"/>
      <c r="D905" s="414"/>
      <c r="F905" s="414"/>
      <c r="H905" s="407"/>
      <c r="P905" s="407"/>
      <c r="Y905" s="99"/>
      <c r="Z905" s="99"/>
      <c r="AA905" s="99"/>
      <c r="AC905" s="99"/>
      <c r="AD905" s="99"/>
      <c r="AE905" s="99"/>
      <c r="AG905" s="99"/>
      <c r="AH905" s="99"/>
      <c r="AI905" s="99"/>
    </row>
    <row r="906">
      <c r="C906" s="414"/>
      <c r="D906" s="414"/>
      <c r="F906" s="414"/>
      <c r="H906" s="407"/>
      <c r="P906" s="407"/>
      <c r="Y906" s="99"/>
      <c r="Z906" s="99"/>
      <c r="AA906" s="99"/>
      <c r="AC906" s="99"/>
      <c r="AD906" s="99"/>
      <c r="AE906" s="99"/>
      <c r="AG906" s="99"/>
      <c r="AH906" s="99"/>
      <c r="AI906" s="99"/>
    </row>
    <row r="907">
      <c r="C907" s="414"/>
      <c r="D907" s="414"/>
      <c r="F907" s="414"/>
      <c r="H907" s="407"/>
      <c r="P907" s="407"/>
      <c r="Y907" s="99"/>
      <c r="Z907" s="99"/>
      <c r="AA907" s="99"/>
      <c r="AC907" s="99"/>
      <c r="AD907" s="99"/>
      <c r="AE907" s="99"/>
      <c r="AG907" s="99"/>
      <c r="AH907" s="99"/>
      <c r="AI907" s="99"/>
    </row>
    <row r="908">
      <c r="C908" s="414"/>
      <c r="D908" s="414"/>
      <c r="F908" s="414"/>
      <c r="H908" s="407"/>
      <c r="P908" s="407"/>
      <c r="Y908" s="99"/>
      <c r="Z908" s="99"/>
      <c r="AA908" s="99"/>
      <c r="AC908" s="99"/>
      <c r="AD908" s="99"/>
      <c r="AE908" s="99"/>
      <c r="AG908" s="99"/>
      <c r="AH908" s="99"/>
      <c r="AI908" s="99"/>
    </row>
    <row r="909">
      <c r="C909" s="414"/>
      <c r="D909" s="414"/>
      <c r="F909" s="414"/>
      <c r="H909" s="407"/>
      <c r="P909" s="407"/>
      <c r="Y909" s="99"/>
      <c r="Z909" s="99"/>
      <c r="AA909" s="99"/>
      <c r="AC909" s="99"/>
      <c r="AD909" s="99"/>
      <c r="AE909" s="99"/>
      <c r="AG909" s="99"/>
      <c r="AH909" s="99"/>
      <c r="AI909" s="99"/>
    </row>
    <row r="910">
      <c r="C910" s="414"/>
      <c r="D910" s="414"/>
      <c r="F910" s="414"/>
      <c r="H910" s="407"/>
      <c r="P910" s="407"/>
      <c r="Y910" s="99"/>
      <c r="Z910" s="99"/>
      <c r="AA910" s="99"/>
      <c r="AC910" s="99"/>
      <c r="AD910" s="99"/>
      <c r="AE910" s="99"/>
      <c r="AG910" s="99"/>
      <c r="AH910" s="99"/>
      <c r="AI910" s="99"/>
    </row>
    <row r="911">
      <c r="C911" s="414"/>
      <c r="D911" s="414"/>
      <c r="F911" s="414"/>
      <c r="H911" s="407"/>
      <c r="P911" s="407"/>
      <c r="Y911" s="99"/>
      <c r="Z911" s="99"/>
      <c r="AA911" s="99"/>
      <c r="AC911" s="99"/>
      <c r="AD911" s="99"/>
      <c r="AE911" s="99"/>
      <c r="AG911" s="99"/>
      <c r="AH911" s="99"/>
      <c r="AI911" s="99"/>
    </row>
    <row r="912">
      <c r="C912" s="414"/>
      <c r="D912" s="414"/>
      <c r="F912" s="414"/>
      <c r="H912" s="407"/>
      <c r="P912" s="407"/>
      <c r="Y912" s="99"/>
      <c r="Z912" s="99"/>
      <c r="AA912" s="99"/>
      <c r="AC912" s="99"/>
      <c r="AD912" s="99"/>
      <c r="AE912" s="99"/>
      <c r="AG912" s="99"/>
      <c r="AH912" s="99"/>
      <c r="AI912" s="99"/>
    </row>
    <row r="913">
      <c r="C913" s="414"/>
      <c r="D913" s="414"/>
      <c r="F913" s="414"/>
      <c r="H913" s="407"/>
      <c r="P913" s="407"/>
      <c r="Y913" s="99"/>
      <c r="Z913" s="99"/>
      <c r="AA913" s="99"/>
      <c r="AC913" s="99"/>
      <c r="AD913" s="99"/>
      <c r="AE913" s="99"/>
      <c r="AG913" s="99"/>
      <c r="AH913" s="99"/>
      <c r="AI913" s="99"/>
    </row>
    <row r="914">
      <c r="C914" s="414"/>
      <c r="D914" s="414"/>
      <c r="F914" s="414"/>
      <c r="H914" s="407"/>
      <c r="P914" s="407"/>
      <c r="Y914" s="99"/>
      <c r="Z914" s="99"/>
      <c r="AA914" s="99"/>
      <c r="AC914" s="99"/>
      <c r="AD914" s="99"/>
      <c r="AE914" s="99"/>
      <c r="AG914" s="99"/>
      <c r="AH914" s="99"/>
      <c r="AI914" s="99"/>
    </row>
    <row r="915">
      <c r="C915" s="414"/>
      <c r="D915" s="414"/>
      <c r="F915" s="414"/>
      <c r="H915" s="407"/>
      <c r="P915" s="407"/>
      <c r="Y915" s="99"/>
      <c r="Z915" s="99"/>
      <c r="AA915" s="99"/>
      <c r="AC915" s="99"/>
      <c r="AD915" s="99"/>
      <c r="AE915" s="99"/>
      <c r="AG915" s="99"/>
      <c r="AH915" s="99"/>
      <c r="AI915" s="99"/>
    </row>
    <row r="916">
      <c r="C916" s="414"/>
      <c r="D916" s="414"/>
      <c r="F916" s="414"/>
      <c r="H916" s="407"/>
      <c r="P916" s="407"/>
      <c r="Y916" s="99"/>
      <c r="Z916" s="99"/>
      <c r="AA916" s="99"/>
      <c r="AC916" s="99"/>
      <c r="AD916" s="99"/>
      <c r="AE916" s="99"/>
      <c r="AG916" s="99"/>
      <c r="AH916" s="99"/>
      <c r="AI916" s="99"/>
    </row>
    <row r="917">
      <c r="C917" s="414"/>
      <c r="D917" s="414"/>
      <c r="F917" s="414"/>
      <c r="H917" s="407"/>
      <c r="P917" s="407"/>
      <c r="Y917" s="99"/>
      <c r="Z917" s="99"/>
      <c r="AA917" s="99"/>
      <c r="AC917" s="99"/>
      <c r="AD917" s="99"/>
      <c r="AE917" s="99"/>
      <c r="AG917" s="99"/>
      <c r="AH917" s="99"/>
      <c r="AI917" s="99"/>
    </row>
    <row r="918">
      <c r="C918" s="414"/>
      <c r="D918" s="414"/>
      <c r="F918" s="414"/>
      <c r="H918" s="407"/>
      <c r="P918" s="407"/>
      <c r="Y918" s="99"/>
      <c r="Z918" s="99"/>
      <c r="AA918" s="99"/>
      <c r="AC918" s="99"/>
      <c r="AD918" s="99"/>
      <c r="AE918" s="99"/>
      <c r="AG918" s="99"/>
      <c r="AH918" s="99"/>
      <c r="AI918" s="99"/>
    </row>
    <row r="919">
      <c r="C919" s="414"/>
      <c r="D919" s="414"/>
      <c r="F919" s="414"/>
      <c r="H919" s="407"/>
      <c r="P919" s="407"/>
      <c r="Y919" s="99"/>
      <c r="Z919" s="99"/>
      <c r="AA919" s="99"/>
      <c r="AC919" s="99"/>
      <c r="AD919" s="99"/>
      <c r="AE919" s="99"/>
      <c r="AG919" s="99"/>
      <c r="AH919" s="99"/>
      <c r="AI919" s="99"/>
    </row>
    <row r="920">
      <c r="C920" s="414"/>
      <c r="D920" s="414"/>
      <c r="F920" s="414"/>
      <c r="H920" s="407"/>
      <c r="P920" s="407"/>
      <c r="Y920" s="99"/>
      <c r="Z920" s="99"/>
      <c r="AA920" s="99"/>
      <c r="AC920" s="99"/>
      <c r="AD920" s="99"/>
      <c r="AE920" s="99"/>
      <c r="AG920" s="99"/>
      <c r="AH920" s="99"/>
      <c r="AI920" s="99"/>
    </row>
    <row r="921">
      <c r="C921" s="414"/>
      <c r="D921" s="414"/>
      <c r="F921" s="414"/>
      <c r="H921" s="407"/>
      <c r="P921" s="407"/>
      <c r="Y921" s="99"/>
      <c r="Z921" s="99"/>
      <c r="AA921" s="99"/>
      <c r="AC921" s="99"/>
      <c r="AD921" s="99"/>
      <c r="AE921" s="99"/>
      <c r="AG921" s="99"/>
      <c r="AH921" s="99"/>
      <c r="AI921" s="99"/>
    </row>
    <row r="922">
      <c r="C922" s="414"/>
      <c r="D922" s="414"/>
      <c r="F922" s="414"/>
      <c r="H922" s="407"/>
      <c r="P922" s="407"/>
      <c r="Y922" s="99"/>
      <c r="Z922" s="99"/>
      <c r="AA922" s="99"/>
      <c r="AC922" s="99"/>
      <c r="AD922" s="99"/>
      <c r="AE922" s="99"/>
      <c r="AG922" s="99"/>
      <c r="AH922" s="99"/>
      <c r="AI922" s="99"/>
    </row>
    <row r="923">
      <c r="C923" s="414"/>
      <c r="D923" s="414"/>
      <c r="F923" s="414"/>
      <c r="H923" s="407"/>
      <c r="P923" s="407"/>
      <c r="Y923" s="99"/>
      <c r="Z923" s="99"/>
      <c r="AA923" s="99"/>
      <c r="AC923" s="99"/>
      <c r="AD923" s="99"/>
      <c r="AE923" s="99"/>
      <c r="AG923" s="99"/>
      <c r="AH923" s="99"/>
      <c r="AI923" s="99"/>
    </row>
    <row r="924">
      <c r="C924" s="414"/>
      <c r="D924" s="414"/>
      <c r="F924" s="414"/>
      <c r="H924" s="407"/>
      <c r="P924" s="407"/>
      <c r="Y924" s="99"/>
      <c r="Z924" s="99"/>
      <c r="AA924" s="99"/>
      <c r="AC924" s="99"/>
      <c r="AD924" s="99"/>
      <c r="AE924" s="99"/>
      <c r="AG924" s="99"/>
      <c r="AH924" s="99"/>
      <c r="AI924" s="99"/>
    </row>
    <row r="925">
      <c r="C925" s="414"/>
      <c r="D925" s="414"/>
      <c r="F925" s="414"/>
      <c r="H925" s="407"/>
      <c r="P925" s="407"/>
      <c r="Y925" s="99"/>
      <c r="Z925" s="99"/>
      <c r="AA925" s="99"/>
      <c r="AC925" s="99"/>
      <c r="AD925" s="99"/>
      <c r="AE925" s="99"/>
      <c r="AG925" s="99"/>
      <c r="AH925" s="99"/>
      <c r="AI925" s="99"/>
    </row>
    <row r="926">
      <c r="C926" s="414"/>
      <c r="D926" s="414"/>
      <c r="F926" s="414"/>
      <c r="H926" s="407"/>
      <c r="P926" s="407"/>
      <c r="Y926" s="99"/>
      <c r="Z926" s="99"/>
      <c r="AA926" s="99"/>
      <c r="AC926" s="99"/>
      <c r="AD926" s="99"/>
      <c r="AE926" s="99"/>
      <c r="AG926" s="99"/>
      <c r="AH926" s="99"/>
      <c r="AI926" s="99"/>
    </row>
    <row r="927">
      <c r="C927" s="414"/>
      <c r="D927" s="414"/>
      <c r="F927" s="414"/>
      <c r="H927" s="407"/>
      <c r="P927" s="407"/>
      <c r="Y927" s="99"/>
      <c r="Z927" s="99"/>
      <c r="AA927" s="99"/>
      <c r="AC927" s="99"/>
      <c r="AD927" s="99"/>
      <c r="AE927" s="99"/>
      <c r="AG927" s="99"/>
      <c r="AH927" s="99"/>
      <c r="AI927" s="99"/>
    </row>
    <row r="928">
      <c r="C928" s="414"/>
      <c r="D928" s="414"/>
      <c r="F928" s="414"/>
      <c r="H928" s="407"/>
      <c r="P928" s="407"/>
      <c r="Y928" s="99"/>
      <c r="Z928" s="99"/>
      <c r="AA928" s="99"/>
      <c r="AC928" s="99"/>
      <c r="AD928" s="99"/>
      <c r="AE928" s="99"/>
      <c r="AG928" s="99"/>
      <c r="AH928" s="99"/>
      <c r="AI928" s="99"/>
    </row>
    <row r="929">
      <c r="C929" s="414"/>
      <c r="D929" s="414"/>
      <c r="F929" s="414"/>
      <c r="H929" s="407"/>
      <c r="P929" s="407"/>
      <c r="Y929" s="99"/>
      <c r="Z929" s="99"/>
      <c r="AA929" s="99"/>
      <c r="AC929" s="99"/>
      <c r="AD929" s="99"/>
      <c r="AE929" s="99"/>
      <c r="AG929" s="99"/>
      <c r="AH929" s="99"/>
      <c r="AI929" s="99"/>
    </row>
    <row r="930">
      <c r="C930" s="414"/>
      <c r="D930" s="414"/>
      <c r="F930" s="414"/>
      <c r="H930" s="407"/>
      <c r="P930" s="407"/>
      <c r="Y930" s="99"/>
      <c r="Z930" s="99"/>
      <c r="AA930" s="99"/>
      <c r="AC930" s="99"/>
      <c r="AD930" s="99"/>
      <c r="AE930" s="99"/>
      <c r="AG930" s="99"/>
      <c r="AH930" s="99"/>
      <c r="AI930" s="99"/>
    </row>
    <row r="931">
      <c r="C931" s="414"/>
      <c r="D931" s="414"/>
      <c r="F931" s="414"/>
      <c r="H931" s="407"/>
      <c r="P931" s="407"/>
      <c r="Y931" s="99"/>
      <c r="Z931" s="99"/>
      <c r="AA931" s="99"/>
      <c r="AC931" s="99"/>
      <c r="AD931" s="99"/>
      <c r="AE931" s="99"/>
      <c r="AG931" s="99"/>
      <c r="AH931" s="99"/>
      <c r="AI931" s="99"/>
    </row>
    <row r="932">
      <c r="C932" s="414"/>
      <c r="D932" s="414"/>
      <c r="F932" s="414"/>
      <c r="H932" s="407"/>
      <c r="P932" s="407"/>
      <c r="Y932" s="99"/>
      <c r="Z932" s="99"/>
      <c r="AA932" s="99"/>
      <c r="AC932" s="99"/>
      <c r="AD932" s="99"/>
      <c r="AE932" s="99"/>
      <c r="AG932" s="99"/>
      <c r="AH932" s="99"/>
      <c r="AI932" s="99"/>
    </row>
    <row r="933">
      <c r="C933" s="414"/>
      <c r="D933" s="414"/>
      <c r="F933" s="414"/>
      <c r="H933" s="407"/>
      <c r="P933" s="407"/>
      <c r="Y933" s="99"/>
      <c r="Z933" s="99"/>
      <c r="AA933" s="99"/>
      <c r="AC933" s="99"/>
      <c r="AD933" s="99"/>
      <c r="AE933" s="99"/>
      <c r="AG933" s="99"/>
      <c r="AH933" s="99"/>
      <c r="AI933" s="99"/>
    </row>
    <row r="934">
      <c r="C934" s="414"/>
      <c r="D934" s="414"/>
      <c r="F934" s="414"/>
      <c r="H934" s="407"/>
      <c r="P934" s="407"/>
      <c r="Y934" s="99"/>
      <c r="Z934" s="99"/>
      <c r="AA934" s="99"/>
      <c r="AC934" s="99"/>
      <c r="AD934" s="99"/>
      <c r="AE934" s="99"/>
      <c r="AG934" s="99"/>
      <c r="AH934" s="99"/>
      <c r="AI934" s="99"/>
    </row>
    <row r="935">
      <c r="C935" s="414"/>
      <c r="D935" s="414"/>
      <c r="F935" s="414"/>
      <c r="H935" s="407"/>
      <c r="P935" s="407"/>
      <c r="Y935" s="99"/>
      <c r="Z935" s="99"/>
      <c r="AA935" s="99"/>
      <c r="AC935" s="99"/>
      <c r="AD935" s="99"/>
      <c r="AE935" s="99"/>
      <c r="AG935" s="99"/>
      <c r="AH935" s="99"/>
      <c r="AI935" s="99"/>
    </row>
    <row r="936">
      <c r="C936" s="414"/>
      <c r="D936" s="414"/>
      <c r="F936" s="414"/>
      <c r="H936" s="407"/>
      <c r="P936" s="407"/>
      <c r="Y936" s="99"/>
      <c r="Z936" s="99"/>
      <c r="AA936" s="99"/>
      <c r="AC936" s="99"/>
      <c r="AD936" s="99"/>
      <c r="AE936" s="99"/>
      <c r="AG936" s="99"/>
      <c r="AH936" s="99"/>
      <c r="AI936" s="99"/>
    </row>
    <row r="937">
      <c r="C937" s="414"/>
      <c r="D937" s="414"/>
      <c r="F937" s="414"/>
      <c r="H937" s="407"/>
      <c r="P937" s="407"/>
      <c r="Y937" s="99"/>
      <c r="Z937" s="99"/>
      <c r="AA937" s="99"/>
      <c r="AC937" s="99"/>
      <c r="AD937" s="99"/>
      <c r="AE937" s="99"/>
      <c r="AG937" s="99"/>
      <c r="AH937" s="99"/>
      <c r="AI937" s="99"/>
    </row>
    <row r="938">
      <c r="C938" s="414"/>
      <c r="D938" s="414"/>
      <c r="F938" s="414"/>
      <c r="H938" s="407"/>
      <c r="P938" s="407"/>
      <c r="Y938" s="99"/>
      <c r="Z938" s="99"/>
      <c r="AA938" s="99"/>
      <c r="AC938" s="99"/>
      <c r="AD938" s="99"/>
      <c r="AE938" s="99"/>
      <c r="AG938" s="99"/>
      <c r="AH938" s="99"/>
      <c r="AI938" s="99"/>
    </row>
    <row r="939">
      <c r="C939" s="414"/>
      <c r="D939" s="414"/>
      <c r="F939" s="414"/>
      <c r="H939" s="407"/>
      <c r="P939" s="407"/>
      <c r="Y939" s="99"/>
      <c r="Z939" s="99"/>
      <c r="AA939" s="99"/>
      <c r="AC939" s="99"/>
      <c r="AD939" s="99"/>
      <c r="AE939" s="99"/>
      <c r="AG939" s="99"/>
      <c r="AH939" s="99"/>
      <c r="AI939" s="99"/>
    </row>
    <row r="940">
      <c r="C940" s="414"/>
      <c r="D940" s="414"/>
      <c r="F940" s="414"/>
      <c r="H940" s="407"/>
      <c r="P940" s="407"/>
      <c r="Y940" s="99"/>
      <c r="Z940" s="99"/>
      <c r="AA940" s="99"/>
      <c r="AC940" s="99"/>
      <c r="AD940" s="99"/>
      <c r="AE940" s="99"/>
      <c r="AG940" s="99"/>
      <c r="AH940" s="99"/>
      <c r="AI940" s="99"/>
    </row>
    <row r="941">
      <c r="C941" s="414"/>
      <c r="D941" s="414"/>
      <c r="F941" s="414"/>
      <c r="H941" s="407"/>
      <c r="P941" s="407"/>
      <c r="Y941" s="99"/>
      <c r="Z941" s="99"/>
      <c r="AA941" s="99"/>
      <c r="AC941" s="99"/>
      <c r="AD941" s="99"/>
      <c r="AE941" s="99"/>
      <c r="AG941" s="99"/>
      <c r="AH941" s="99"/>
      <c r="AI941" s="99"/>
    </row>
    <row r="942">
      <c r="C942" s="414"/>
      <c r="D942" s="414"/>
      <c r="F942" s="414"/>
      <c r="H942" s="407"/>
      <c r="P942" s="407"/>
      <c r="Y942" s="99"/>
      <c r="Z942" s="99"/>
      <c r="AA942" s="99"/>
      <c r="AC942" s="99"/>
      <c r="AD942" s="99"/>
      <c r="AE942" s="99"/>
      <c r="AG942" s="99"/>
      <c r="AH942" s="99"/>
      <c r="AI942" s="99"/>
    </row>
    <row r="943">
      <c r="C943" s="414"/>
      <c r="D943" s="414"/>
      <c r="F943" s="414"/>
      <c r="H943" s="407"/>
      <c r="P943" s="407"/>
      <c r="Y943" s="99"/>
      <c r="Z943" s="99"/>
      <c r="AA943" s="99"/>
      <c r="AC943" s="99"/>
      <c r="AD943" s="99"/>
      <c r="AE943" s="99"/>
      <c r="AG943" s="99"/>
      <c r="AH943" s="99"/>
      <c r="AI943" s="99"/>
    </row>
    <row r="944">
      <c r="C944" s="414"/>
      <c r="D944" s="414"/>
      <c r="F944" s="414"/>
      <c r="H944" s="407"/>
      <c r="P944" s="407"/>
      <c r="Y944" s="99"/>
      <c r="Z944" s="99"/>
      <c r="AA944" s="99"/>
      <c r="AC944" s="99"/>
      <c r="AD944" s="99"/>
      <c r="AE944" s="99"/>
      <c r="AG944" s="99"/>
      <c r="AH944" s="99"/>
      <c r="AI944" s="99"/>
    </row>
    <row r="945">
      <c r="C945" s="414"/>
      <c r="D945" s="414"/>
      <c r="F945" s="414"/>
      <c r="H945" s="407"/>
      <c r="P945" s="407"/>
      <c r="Y945" s="99"/>
      <c r="Z945" s="99"/>
      <c r="AA945" s="99"/>
      <c r="AC945" s="99"/>
      <c r="AD945" s="99"/>
      <c r="AE945" s="99"/>
      <c r="AG945" s="99"/>
      <c r="AH945" s="99"/>
      <c r="AI945" s="99"/>
    </row>
    <row r="946">
      <c r="C946" s="414"/>
      <c r="D946" s="414"/>
      <c r="F946" s="414"/>
      <c r="H946" s="407"/>
      <c r="P946" s="407"/>
      <c r="Y946" s="99"/>
      <c r="Z946" s="99"/>
      <c r="AA946" s="99"/>
      <c r="AC946" s="99"/>
      <c r="AD946" s="99"/>
      <c r="AE946" s="99"/>
      <c r="AG946" s="99"/>
      <c r="AH946" s="99"/>
      <c r="AI946" s="99"/>
    </row>
    <row r="947">
      <c r="C947" s="414"/>
      <c r="D947" s="414"/>
      <c r="F947" s="414"/>
      <c r="H947" s="407"/>
      <c r="P947" s="407"/>
      <c r="Y947" s="99"/>
      <c r="Z947" s="99"/>
      <c r="AA947" s="99"/>
      <c r="AC947" s="99"/>
      <c r="AD947" s="99"/>
      <c r="AE947" s="99"/>
      <c r="AG947" s="99"/>
      <c r="AH947" s="99"/>
      <c r="AI947" s="99"/>
    </row>
    <row r="948">
      <c r="C948" s="414"/>
      <c r="D948" s="414"/>
      <c r="F948" s="414"/>
      <c r="H948" s="407"/>
      <c r="P948" s="407"/>
      <c r="Y948" s="99"/>
      <c r="Z948" s="99"/>
      <c r="AA948" s="99"/>
      <c r="AC948" s="99"/>
      <c r="AD948" s="99"/>
      <c r="AE948" s="99"/>
      <c r="AG948" s="99"/>
      <c r="AH948" s="99"/>
      <c r="AI948" s="99"/>
    </row>
    <row r="949">
      <c r="C949" s="414"/>
      <c r="D949" s="414"/>
      <c r="F949" s="414"/>
      <c r="H949" s="407"/>
      <c r="P949" s="407"/>
      <c r="Y949" s="99"/>
      <c r="Z949" s="99"/>
      <c r="AA949" s="99"/>
      <c r="AC949" s="99"/>
      <c r="AD949" s="99"/>
      <c r="AE949" s="99"/>
      <c r="AG949" s="99"/>
      <c r="AH949" s="99"/>
      <c r="AI949" s="99"/>
    </row>
    <row r="950">
      <c r="C950" s="414"/>
      <c r="D950" s="414"/>
      <c r="F950" s="414"/>
      <c r="H950" s="407"/>
      <c r="P950" s="407"/>
      <c r="Y950" s="99"/>
      <c r="Z950" s="99"/>
      <c r="AA950" s="99"/>
      <c r="AC950" s="99"/>
      <c r="AD950" s="99"/>
      <c r="AE950" s="99"/>
      <c r="AG950" s="99"/>
      <c r="AH950" s="99"/>
      <c r="AI950" s="99"/>
    </row>
    <row r="951">
      <c r="C951" s="414"/>
      <c r="D951" s="414"/>
      <c r="F951" s="414"/>
      <c r="H951" s="407"/>
      <c r="P951" s="407"/>
      <c r="Y951" s="99"/>
      <c r="Z951" s="99"/>
      <c r="AA951" s="99"/>
      <c r="AC951" s="99"/>
      <c r="AD951" s="99"/>
      <c r="AE951" s="99"/>
      <c r="AG951" s="99"/>
      <c r="AH951" s="99"/>
      <c r="AI951" s="99"/>
    </row>
    <row r="952">
      <c r="C952" s="414"/>
      <c r="D952" s="414"/>
      <c r="F952" s="414"/>
      <c r="H952" s="407"/>
      <c r="P952" s="407"/>
      <c r="Y952" s="99"/>
      <c r="Z952" s="99"/>
      <c r="AA952" s="99"/>
      <c r="AC952" s="99"/>
      <c r="AD952" s="99"/>
      <c r="AE952" s="99"/>
      <c r="AG952" s="99"/>
      <c r="AH952" s="99"/>
      <c r="AI952" s="99"/>
    </row>
    <row r="953">
      <c r="C953" s="414"/>
      <c r="D953" s="414"/>
      <c r="F953" s="414"/>
      <c r="H953" s="407"/>
      <c r="P953" s="407"/>
      <c r="Y953" s="99"/>
      <c r="Z953" s="99"/>
      <c r="AA953" s="99"/>
      <c r="AC953" s="99"/>
      <c r="AD953" s="99"/>
      <c r="AE953" s="99"/>
      <c r="AG953" s="99"/>
      <c r="AH953" s="99"/>
      <c r="AI953" s="99"/>
    </row>
    <row r="954">
      <c r="C954" s="414"/>
      <c r="D954" s="414"/>
      <c r="F954" s="414"/>
      <c r="H954" s="407"/>
      <c r="P954" s="407"/>
      <c r="Y954" s="99"/>
      <c r="Z954" s="99"/>
      <c r="AA954" s="99"/>
      <c r="AC954" s="99"/>
      <c r="AD954" s="99"/>
      <c r="AE954" s="99"/>
      <c r="AG954" s="99"/>
      <c r="AH954" s="99"/>
      <c r="AI954" s="99"/>
    </row>
    <row r="955">
      <c r="C955" s="414"/>
      <c r="D955" s="414"/>
      <c r="F955" s="414"/>
      <c r="H955" s="407"/>
      <c r="P955" s="407"/>
      <c r="Y955" s="99"/>
      <c r="Z955" s="99"/>
      <c r="AA955" s="99"/>
      <c r="AC955" s="99"/>
      <c r="AD955" s="99"/>
      <c r="AE955" s="99"/>
      <c r="AG955" s="99"/>
      <c r="AH955" s="99"/>
      <c r="AI955" s="99"/>
    </row>
    <row r="956">
      <c r="C956" s="414"/>
      <c r="D956" s="414"/>
      <c r="F956" s="414"/>
      <c r="H956" s="407"/>
      <c r="P956" s="407"/>
      <c r="Y956" s="99"/>
      <c r="Z956" s="99"/>
      <c r="AA956" s="99"/>
      <c r="AC956" s="99"/>
      <c r="AD956" s="99"/>
      <c r="AE956" s="99"/>
      <c r="AG956" s="99"/>
      <c r="AH956" s="99"/>
      <c r="AI956" s="99"/>
    </row>
    <row r="957">
      <c r="C957" s="414"/>
      <c r="D957" s="414"/>
      <c r="F957" s="414"/>
      <c r="H957" s="407"/>
      <c r="P957" s="407"/>
      <c r="Y957" s="99"/>
      <c r="Z957" s="99"/>
      <c r="AA957" s="99"/>
      <c r="AC957" s="99"/>
      <c r="AD957" s="99"/>
      <c r="AE957" s="99"/>
      <c r="AG957" s="99"/>
      <c r="AH957" s="99"/>
      <c r="AI957" s="99"/>
    </row>
    <row r="958">
      <c r="C958" s="414"/>
      <c r="D958" s="414"/>
      <c r="F958" s="414"/>
      <c r="H958" s="407"/>
      <c r="P958" s="407"/>
      <c r="Y958" s="99"/>
      <c r="Z958" s="99"/>
      <c r="AA958" s="99"/>
      <c r="AC958" s="99"/>
      <c r="AD958" s="99"/>
      <c r="AE958" s="99"/>
      <c r="AG958" s="99"/>
      <c r="AH958" s="99"/>
      <c r="AI958" s="99"/>
    </row>
    <row r="959">
      <c r="C959" s="414"/>
      <c r="D959" s="414"/>
      <c r="F959" s="414"/>
      <c r="H959" s="407"/>
      <c r="P959" s="407"/>
      <c r="Y959" s="99"/>
      <c r="Z959" s="99"/>
      <c r="AA959" s="99"/>
      <c r="AC959" s="99"/>
      <c r="AD959" s="99"/>
      <c r="AE959" s="99"/>
      <c r="AG959" s="99"/>
      <c r="AH959" s="99"/>
      <c r="AI959" s="99"/>
    </row>
    <row r="960">
      <c r="C960" s="414"/>
      <c r="D960" s="414"/>
      <c r="F960" s="414"/>
      <c r="H960" s="407"/>
      <c r="P960" s="407"/>
      <c r="Y960" s="99"/>
      <c r="Z960" s="99"/>
      <c r="AA960" s="99"/>
      <c r="AC960" s="99"/>
      <c r="AD960" s="99"/>
      <c r="AE960" s="99"/>
      <c r="AG960" s="99"/>
      <c r="AH960" s="99"/>
      <c r="AI960" s="99"/>
    </row>
    <row r="961">
      <c r="C961" s="414"/>
      <c r="D961" s="414"/>
      <c r="F961" s="414"/>
      <c r="H961" s="407"/>
      <c r="P961" s="407"/>
      <c r="Y961" s="99"/>
      <c r="Z961" s="99"/>
      <c r="AA961" s="99"/>
      <c r="AC961" s="99"/>
      <c r="AD961" s="99"/>
      <c r="AE961" s="99"/>
      <c r="AG961" s="99"/>
      <c r="AH961" s="99"/>
      <c r="AI961" s="99"/>
    </row>
    <row r="962">
      <c r="C962" s="414"/>
      <c r="D962" s="414"/>
      <c r="F962" s="414"/>
      <c r="H962" s="407"/>
      <c r="P962" s="407"/>
      <c r="Y962" s="99"/>
      <c r="Z962" s="99"/>
      <c r="AA962" s="99"/>
      <c r="AC962" s="99"/>
      <c r="AD962" s="99"/>
      <c r="AE962" s="99"/>
      <c r="AG962" s="99"/>
      <c r="AH962" s="99"/>
      <c r="AI962" s="99"/>
    </row>
    <row r="963">
      <c r="C963" s="414"/>
      <c r="D963" s="414"/>
      <c r="F963" s="414"/>
      <c r="H963" s="407"/>
      <c r="P963" s="407"/>
      <c r="Y963" s="99"/>
      <c r="Z963" s="99"/>
      <c r="AA963" s="99"/>
      <c r="AC963" s="99"/>
      <c r="AD963" s="99"/>
      <c r="AE963" s="99"/>
      <c r="AG963" s="99"/>
      <c r="AH963" s="99"/>
      <c r="AI963" s="99"/>
    </row>
    <row r="964">
      <c r="C964" s="414"/>
      <c r="D964" s="414"/>
      <c r="F964" s="414"/>
      <c r="H964" s="407"/>
      <c r="P964" s="407"/>
      <c r="Y964" s="99"/>
      <c r="Z964" s="99"/>
      <c r="AA964" s="99"/>
      <c r="AC964" s="99"/>
      <c r="AD964" s="99"/>
      <c r="AE964" s="99"/>
      <c r="AG964" s="99"/>
      <c r="AH964" s="99"/>
      <c r="AI964" s="99"/>
    </row>
    <row r="965">
      <c r="C965" s="414"/>
      <c r="D965" s="414"/>
      <c r="F965" s="414"/>
      <c r="H965" s="407"/>
      <c r="P965" s="407"/>
      <c r="Y965" s="99"/>
      <c r="Z965" s="99"/>
      <c r="AA965" s="99"/>
      <c r="AC965" s="99"/>
      <c r="AD965" s="99"/>
      <c r="AE965" s="99"/>
      <c r="AG965" s="99"/>
      <c r="AH965" s="99"/>
      <c r="AI965" s="99"/>
    </row>
    <row r="966">
      <c r="C966" s="414"/>
      <c r="D966" s="414"/>
      <c r="F966" s="414"/>
      <c r="H966" s="407"/>
      <c r="P966" s="407"/>
      <c r="Y966" s="99"/>
      <c r="Z966" s="99"/>
      <c r="AA966" s="99"/>
      <c r="AC966" s="99"/>
      <c r="AD966" s="99"/>
      <c r="AE966" s="99"/>
      <c r="AG966" s="99"/>
      <c r="AH966" s="99"/>
      <c r="AI966" s="99"/>
    </row>
    <row r="967">
      <c r="C967" s="414"/>
      <c r="D967" s="414"/>
      <c r="F967" s="414"/>
      <c r="H967" s="407"/>
      <c r="P967" s="407"/>
      <c r="Y967" s="99"/>
      <c r="Z967" s="99"/>
      <c r="AA967" s="99"/>
      <c r="AC967" s="99"/>
      <c r="AD967" s="99"/>
      <c r="AE967" s="99"/>
      <c r="AG967" s="99"/>
      <c r="AH967" s="99"/>
      <c r="AI967" s="99"/>
    </row>
    <row r="968">
      <c r="C968" s="414"/>
      <c r="D968" s="414"/>
      <c r="F968" s="414"/>
      <c r="H968" s="407"/>
      <c r="P968" s="407"/>
      <c r="Y968" s="99"/>
      <c r="Z968" s="99"/>
      <c r="AA968" s="99"/>
      <c r="AC968" s="99"/>
      <c r="AD968" s="99"/>
      <c r="AE968" s="99"/>
      <c r="AG968" s="99"/>
      <c r="AH968" s="99"/>
      <c r="AI968" s="99"/>
    </row>
    <row r="969">
      <c r="C969" s="414"/>
      <c r="D969" s="414"/>
      <c r="F969" s="414"/>
      <c r="H969" s="407"/>
      <c r="P969" s="407"/>
      <c r="Y969" s="99"/>
      <c r="Z969" s="99"/>
      <c r="AA969" s="99"/>
      <c r="AC969" s="99"/>
      <c r="AD969" s="99"/>
      <c r="AE969" s="99"/>
      <c r="AG969" s="99"/>
      <c r="AH969" s="99"/>
      <c r="AI969" s="99"/>
    </row>
    <row r="970">
      <c r="C970" s="414"/>
      <c r="D970" s="414"/>
      <c r="F970" s="414"/>
      <c r="H970" s="407"/>
      <c r="P970" s="407"/>
      <c r="Y970" s="99"/>
      <c r="Z970" s="99"/>
      <c r="AA970" s="99"/>
      <c r="AC970" s="99"/>
      <c r="AD970" s="99"/>
      <c r="AE970" s="99"/>
      <c r="AG970" s="99"/>
      <c r="AH970" s="99"/>
      <c r="AI970" s="99"/>
    </row>
    <row r="971">
      <c r="C971" s="414"/>
      <c r="D971" s="414"/>
      <c r="F971" s="414"/>
      <c r="H971" s="407"/>
      <c r="P971" s="407"/>
      <c r="Y971" s="99"/>
      <c r="Z971" s="99"/>
      <c r="AA971" s="99"/>
      <c r="AC971" s="99"/>
      <c r="AD971" s="99"/>
      <c r="AE971" s="99"/>
      <c r="AG971" s="99"/>
      <c r="AH971" s="99"/>
      <c r="AI971" s="99"/>
    </row>
    <row r="972">
      <c r="C972" s="414"/>
      <c r="D972" s="414"/>
      <c r="F972" s="414"/>
      <c r="H972" s="407"/>
      <c r="P972" s="407"/>
      <c r="Y972" s="99"/>
      <c r="Z972" s="99"/>
      <c r="AA972" s="99"/>
      <c r="AC972" s="99"/>
      <c r="AD972" s="99"/>
      <c r="AE972" s="99"/>
      <c r="AG972" s="99"/>
      <c r="AH972" s="99"/>
      <c r="AI972" s="99"/>
    </row>
    <row r="973">
      <c r="C973" s="414"/>
      <c r="D973" s="414"/>
      <c r="F973" s="414"/>
      <c r="H973" s="407"/>
      <c r="P973" s="407"/>
      <c r="Y973" s="99"/>
      <c r="Z973" s="99"/>
      <c r="AA973" s="99"/>
      <c r="AC973" s="99"/>
      <c r="AD973" s="99"/>
      <c r="AE973" s="99"/>
      <c r="AG973" s="99"/>
      <c r="AH973" s="99"/>
      <c r="AI973" s="99"/>
    </row>
    <row r="974">
      <c r="C974" s="414"/>
      <c r="D974" s="414"/>
      <c r="F974" s="414"/>
      <c r="H974" s="407"/>
      <c r="P974" s="407"/>
      <c r="Y974" s="99"/>
      <c r="Z974" s="99"/>
      <c r="AA974" s="99"/>
      <c r="AC974" s="99"/>
      <c r="AD974" s="99"/>
      <c r="AE974" s="99"/>
      <c r="AG974" s="99"/>
      <c r="AH974" s="99"/>
      <c r="AI974" s="99"/>
    </row>
    <row r="975">
      <c r="C975" s="414"/>
      <c r="D975" s="414"/>
      <c r="F975" s="414"/>
      <c r="H975" s="407"/>
      <c r="P975" s="407"/>
      <c r="Y975" s="99"/>
      <c r="Z975" s="99"/>
      <c r="AA975" s="99"/>
      <c r="AC975" s="99"/>
      <c r="AD975" s="99"/>
      <c r="AE975" s="99"/>
      <c r="AG975" s="99"/>
      <c r="AH975" s="99"/>
      <c r="AI975" s="99"/>
    </row>
    <row r="976">
      <c r="C976" s="414"/>
      <c r="D976" s="414"/>
      <c r="F976" s="414"/>
      <c r="H976" s="407"/>
      <c r="P976" s="407"/>
      <c r="Y976" s="99"/>
      <c r="Z976" s="99"/>
      <c r="AA976" s="99"/>
      <c r="AC976" s="99"/>
      <c r="AD976" s="99"/>
      <c r="AE976" s="99"/>
      <c r="AG976" s="99"/>
      <c r="AH976" s="99"/>
      <c r="AI976" s="99"/>
    </row>
    <row r="977">
      <c r="C977" s="414"/>
      <c r="D977" s="414"/>
      <c r="F977" s="414"/>
      <c r="H977" s="407"/>
      <c r="P977" s="407"/>
      <c r="Y977" s="99"/>
      <c r="Z977" s="99"/>
      <c r="AA977" s="99"/>
      <c r="AC977" s="99"/>
      <c r="AD977" s="99"/>
      <c r="AE977" s="99"/>
      <c r="AG977" s="99"/>
      <c r="AH977" s="99"/>
      <c r="AI977" s="99"/>
    </row>
    <row r="978">
      <c r="C978" s="414"/>
      <c r="D978" s="414"/>
      <c r="F978" s="414"/>
      <c r="H978" s="407"/>
      <c r="P978" s="407"/>
      <c r="Y978" s="99"/>
      <c r="Z978" s="99"/>
      <c r="AA978" s="99"/>
      <c r="AC978" s="99"/>
      <c r="AD978" s="99"/>
      <c r="AE978" s="99"/>
      <c r="AG978" s="99"/>
      <c r="AH978" s="99"/>
      <c r="AI978" s="99"/>
    </row>
    <row r="979">
      <c r="C979" s="414"/>
      <c r="D979" s="414"/>
      <c r="F979" s="414"/>
      <c r="H979" s="407"/>
      <c r="P979" s="407"/>
      <c r="Y979" s="99"/>
      <c r="Z979" s="99"/>
      <c r="AA979" s="99"/>
      <c r="AC979" s="99"/>
      <c r="AD979" s="99"/>
      <c r="AE979" s="99"/>
      <c r="AG979" s="99"/>
      <c r="AH979" s="99"/>
      <c r="AI979" s="99"/>
    </row>
    <row r="980">
      <c r="C980" s="414"/>
      <c r="D980" s="414"/>
      <c r="F980" s="414"/>
      <c r="H980" s="407"/>
      <c r="P980" s="407"/>
      <c r="Y980" s="99"/>
      <c r="Z980" s="99"/>
      <c r="AA980" s="99"/>
      <c r="AC980" s="99"/>
      <c r="AD980" s="99"/>
      <c r="AE980" s="99"/>
      <c r="AG980" s="99"/>
      <c r="AH980" s="99"/>
      <c r="AI980" s="99"/>
    </row>
    <row r="981">
      <c r="C981" s="414"/>
      <c r="D981" s="414"/>
      <c r="F981" s="414"/>
      <c r="H981" s="407"/>
      <c r="P981" s="407"/>
      <c r="Y981" s="99"/>
      <c r="Z981" s="99"/>
      <c r="AA981" s="99"/>
      <c r="AC981" s="99"/>
      <c r="AD981" s="99"/>
      <c r="AE981" s="99"/>
      <c r="AG981" s="99"/>
      <c r="AH981" s="99"/>
      <c r="AI981" s="99"/>
    </row>
    <row r="982">
      <c r="C982" s="414"/>
      <c r="D982" s="414"/>
      <c r="F982" s="414"/>
      <c r="H982" s="407"/>
      <c r="P982" s="407"/>
      <c r="Y982" s="99"/>
      <c r="Z982" s="99"/>
      <c r="AA982" s="99"/>
      <c r="AC982" s="99"/>
      <c r="AD982" s="99"/>
      <c r="AE982" s="99"/>
      <c r="AG982" s="99"/>
      <c r="AH982" s="99"/>
      <c r="AI982" s="99"/>
    </row>
    <row r="983">
      <c r="C983" s="414"/>
      <c r="D983" s="414"/>
      <c r="F983" s="414"/>
      <c r="H983" s="407"/>
      <c r="P983" s="407"/>
      <c r="Y983" s="99"/>
      <c r="Z983" s="99"/>
      <c r="AA983" s="99"/>
      <c r="AC983" s="99"/>
      <c r="AD983" s="99"/>
      <c r="AE983" s="99"/>
      <c r="AG983" s="99"/>
      <c r="AH983" s="99"/>
      <c r="AI983" s="99"/>
    </row>
    <row r="984">
      <c r="C984" s="414"/>
      <c r="D984" s="414"/>
      <c r="F984" s="414"/>
      <c r="H984" s="407"/>
      <c r="P984" s="407"/>
      <c r="Y984" s="99"/>
      <c r="Z984" s="99"/>
      <c r="AA984" s="99"/>
      <c r="AC984" s="99"/>
      <c r="AD984" s="99"/>
      <c r="AE984" s="99"/>
      <c r="AG984" s="99"/>
      <c r="AH984" s="99"/>
      <c r="AI984" s="99"/>
    </row>
    <row r="985">
      <c r="C985" s="414"/>
      <c r="D985" s="414"/>
      <c r="F985" s="414"/>
      <c r="H985" s="407"/>
      <c r="P985" s="407"/>
      <c r="Y985" s="99"/>
      <c r="Z985" s="99"/>
      <c r="AA985" s="99"/>
      <c r="AC985" s="99"/>
      <c r="AD985" s="99"/>
      <c r="AE985" s="99"/>
      <c r="AG985" s="99"/>
      <c r="AH985" s="99"/>
      <c r="AI985" s="99"/>
    </row>
    <row r="986">
      <c r="C986" s="414"/>
      <c r="D986" s="414"/>
      <c r="F986" s="414"/>
      <c r="H986" s="407"/>
      <c r="P986" s="407"/>
      <c r="Y986" s="99"/>
      <c r="Z986" s="99"/>
      <c r="AA986" s="99"/>
      <c r="AC986" s="99"/>
      <c r="AD986" s="99"/>
      <c r="AE986" s="99"/>
      <c r="AG986" s="99"/>
      <c r="AH986" s="99"/>
      <c r="AI986" s="99"/>
    </row>
    <row r="987">
      <c r="C987" s="414"/>
      <c r="D987" s="414"/>
      <c r="F987" s="414"/>
      <c r="H987" s="407"/>
      <c r="P987" s="407"/>
      <c r="Y987" s="99"/>
      <c r="Z987" s="99"/>
      <c r="AA987" s="99"/>
      <c r="AC987" s="99"/>
      <c r="AD987" s="99"/>
      <c r="AE987" s="99"/>
      <c r="AG987" s="99"/>
      <c r="AH987" s="99"/>
      <c r="AI987" s="99"/>
    </row>
    <row r="988">
      <c r="C988" s="414"/>
      <c r="D988" s="414"/>
      <c r="F988" s="414"/>
      <c r="H988" s="407"/>
      <c r="P988" s="407"/>
      <c r="Y988" s="99"/>
      <c r="Z988" s="99"/>
      <c r="AA988" s="99"/>
      <c r="AC988" s="99"/>
      <c r="AD988" s="99"/>
      <c r="AE988" s="99"/>
      <c r="AG988" s="99"/>
      <c r="AH988" s="99"/>
      <c r="AI988" s="99"/>
    </row>
    <row r="989">
      <c r="C989" s="414"/>
      <c r="D989" s="414"/>
      <c r="F989" s="414"/>
      <c r="H989" s="407"/>
      <c r="P989" s="407"/>
      <c r="Y989" s="99"/>
      <c r="Z989" s="99"/>
      <c r="AA989" s="99"/>
      <c r="AC989" s="99"/>
      <c r="AD989" s="99"/>
      <c r="AE989" s="99"/>
      <c r="AG989" s="99"/>
      <c r="AH989" s="99"/>
      <c r="AI989" s="99"/>
    </row>
    <row r="990">
      <c r="C990" s="414"/>
      <c r="D990" s="414"/>
      <c r="F990" s="414"/>
      <c r="H990" s="407"/>
      <c r="P990" s="407"/>
      <c r="Y990" s="99"/>
      <c r="Z990" s="99"/>
      <c r="AA990" s="99"/>
      <c r="AC990" s="99"/>
      <c r="AD990" s="99"/>
      <c r="AE990" s="99"/>
      <c r="AG990" s="99"/>
      <c r="AH990" s="99"/>
      <c r="AI990" s="99"/>
    </row>
    <row r="991">
      <c r="C991" s="414"/>
      <c r="D991" s="414"/>
      <c r="F991" s="414"/>
      <c r="H991" s="407"/>
      <c r="P991" s="407"/>
      <c r="Y991" s="99"/>
      <c r="Z991" s="99"/>
      <c r="AA991" s="99"/>
      <c r="AC991" s="99"/>
      <c r="AD991" s="99"/>
      <c r="AE991" s="99"/>
      <c r="AG991" s="99"/>
      <c r="AH991" s="99"/>
      <c r="AI991" s="99"/>
    </row>
    <row r="992">
      <c r="C992" s="414"/>
      <c r="D992" s="414"/>
      <c r="F992" s="414"/>
      <c r="H992" s="407"/>
      <c r="P992" s="407"/>
      <c r="Y992" s="99"/>
      <c r="Z992" s="99"/>
      <c r="AA992" s="99"/>
      <c r="AC992" s="99"/>
      <c r="AD992" s="99"/>
      <c r="AE992" s="99"/>
      <c r="AG992" s="99"/>
      <c r="AH992" s="99"/>
      <c r="AI992" s="99"/>
    </row>
    <row r="993">
      <c r="C993" s="414"/>
      <c r="D993" s="414"/>
      <c r="F993" s="414"/>
      <c r="H993" s="407"/>
      <c r="P993" s="407"/>
      <c r="Y993" s="99"/>
      <c r="Z993" s="99"/>
      <c r="AA993" s="99"/>
      <c r="AC993" s="99"/>
      <c r="AD993" s="99"/>
      <c r="AE993" s="99"/>
      <c r="AG993" s="99"/>
      <c r="AH993" s="99"/>
      <c r="AI993" s="99"/>
    </row>
    <row r="994">
      <c r="C994" s="414"/>
      <c r="D994" s="414"/>
      <c r="F994" s="414"/>
      <c r="H994" s="407"/>
      <c r="P994" s="407"/>
      <c r="Y994" s="99"/>
      <c r="Z994" s="99"/>
      <c r="AA994" s="99"/>
      <c r="AC994" s="99"/>
      <c r="AD994" s="99"/>
      <c r="AE994" s="99"/>
      <c r="AG994" s="99"/>
      <c r="AH994" s="99"/>
      <c r="AI994" s="99"/>
    </row>
    <row r="995">
      <c r="C995" s="414"/>
      <c r="D995" s="414"/>
      <c r="F995" s="414"/>
      <c r="H995" s="407"/>
      <c r="P995" s="407"/>
      <c r="Y995" s="99"/>
      <c r="Z995" s="99"/>
      <c r="AA995" s="99"/>
      <c r="AC995" s="99"/>
      <c r="AD995" s="99"/>
      <c r="AE995" s="99"/>
      <c r="AG995" s="99"/>
      <c r="AH995" s="99"/>
      <c r="AI995" s="99"/>
    </row>
    <row r="996">
      <c r="C996" s="414"/>
      <c r="D996" s="414"/>
      <c r="F996" s="414"/>
      <c r="H996" s="407"/>
      <c r="P996" s="407"/>
      <c r="Y996" s="99"/>
      <c r="Z996" s="99"/>
      <c r="AA996" s="99"/>
      <c r="AC996" s="99"/>
      <c r="AD996" s="99"/>
      <c r="AE996" s="99"/>
      <c r="AG996" s="99"/>
      <c r="AH996" s="99"/>
      <c r="AI996" s="99"/>
    </row>
    <row r="997">
      <c r="C997" s="414"/>
      <c r="D997" s="414"/>
      <c r="F997" s="414"/>
      <c r="H997" s="407"/>
      <c r="P997" s="407"/>
      <c r="Y997" s="99"/>
      <c r="Z997" s="99"/>
      <c r="AA997" s="99"/>
      <c r="AG997" s="99"/>
      <c r="AH997" s="99"/>
      <c r="AI997" s="99"/>
    </row>
    <row r="998">
      <c r="C998" s="414"/>
      <c r="D998" s="414"/>
      <c r="F998" s="414"/>
      <c r="H998" s="407"/>
      <c r="P998" s="407"/>
      <c r="Y998" s="99"/>
      <c r="Z998" s="99"/>
      <c r="AA998" s="99"/>
      <c r="AG998" s="99"/>
      <c r="AH998" s="99"/>
      <c r="AI998" s="99"/>
    </row>
    <row r="999">
      <c r="C999" s="414"/>
      <c r="D999" s="414"/>
      <c r="F999" s="414"/>
      <c r="H999" s="407"/>
      <c r="P999" s="407"/>
      <c r="Y999" s="99"/>
      <c r="Z999" s="99"/>
      <c r="AA999" s="99"/>
      <c r="AH999" s="99"/>
      <c r="AI999" s="99"/>
    </row>
    <row r="1000">
      <c r="C1000" s="414"/>
      <c r="D1000" s="414"/>
      <c r="F1000" s="414"/>
      <c r="H1000" s="407"/>
      <c r="P1000" s="407"/>
      <c r="Y1000" s="99"/>
      <c r="Z1000" s="99"/>
      <c r="AA1000" s="99"/>
      <c r="AH1000" s="99"/>
      <c r="AI1000" s="99"/>
    </row>
    <row r="1001">
      <c r="C1001" s="414"/>
      <c r="D1001" s="414"/>
      <c r="F1001" s="414"/>
      <c r="H1001" s="407"/>
      <c r="P1001" s="407"/>
      <c r="Y1001" s="99"/>
      <c r="Z1001" s="99"/>
      <c r="AA1001" s="99"/>
      <c r="AH1001" s="99"/>
      <c r="AI1001" s="99"/>
    </row>
    <row r="1002">
      <c r="C1002" s="414"/>
      <c r="D1002" s="414"/>
      <c r="F1002" s="414"/>
      <c r="H1002" s="407"/>
      <c r="P1002" s="407"/>
      <c r="Y1002" s="99"/>
      <c r="Z1002" s="99"/>
      <c r="AA1002" s="99"/>
      <c r="AH1002" s="99"/>
      <c r="AI1002" s="99"/>
    </row>
    <row r="1003">
      <c r="C1003" s="414"/>
      <c r="D1003" s="414"/>
      <c r="F1003" s="414"/>
      <c r="H1003" s="407"/>
      <c r="P1003" s="407"/>
      <c r="Y1003" s="99"/>
      <c r="Z1003" s="99"/>
      <c r="AA1003" s="99"/>
      <c r="AH1003" s="99"/>
      <c r="AI1003" s="99"/>
    </row>
    <row r="1004">
      <c r="C1004" s="414"/>
      <c r="D1004" s="414"/>
      <c r="F1004" s="414"/>
      <c r="H1004" s="407"/>
      <c r="P1004" s="407"/>
      <c r="AH1004" s="99"/>
      <c r="AI1004" s="99"/>
    </row>
    <row r="1005">
      <c r="C1005" s="414"/>
      <c r="D1005" s="414"/>
      <c r="F1005" s="414"/>
      <c r="H1005" s="407"/>
      <c r="P1005" s="407"/>
    </row>
    <row r="1006">
      <c r="C1006" s="414"/>
      <c r="D1006" s="414"/>
      <c r="F1006" s="414"/>
      <c r="H1006" s="122"/>
      <c r="P1006" s="122"/>
    </row>
  </sheetData>
  <autoFilter ref="$A$1:$C$1"/>
  <mergeCells count="198">
    <mergeCell ref="AG22:AI22"/>
    <mergeCell ref="AE23:AE24"/>
    <mergeCell ref="AE72:AE73"/>
    <mergeCell ref="AE78:AE79"/>
    <mergeCell ref="AC96:AE96"/>
    <mergeCell ref="AC97:AE98"/>
    <mergeCell ref="AC1:AE1"/>
    <mergeCell ref="AF1:AF1006"/>
    <mergeCell ref="AG1:AI1"/>
    <mergeCell ref="AJ1:AJ1006"/>
    <mergeCell ref="AE3:AE4"/>
    <mergeCell ref="AE5:AE6"/>
    <mergeCell ref="AE7:AE8"/>
    <mergeCell ref="AE41:AE42"/>
    <mergeCell ref="AE43:AE44"/>
    <mergeCell ref="AE45:AE47"/>
    <mergeCell ref="AE48:AE49"/>
    <mergeCell ref="AE50:AE51"/>
    <mergeCell ref="AE52:AE53"/>
    <mergeCell ref="AE54:AE55"/>
    <mergeCell ref="AE56:AE57"/>
    <mergeCell ref="AE58:AE59"/>
    <mergeCell ref="AE60:AE62"/>
    <mergeCell ref="AE64:AE65"/>
    <mergeCell ref="AE66:AE67"/>
    <mergeCell ref="AE68:AE69"/>
    <mergeCell ref="AE70:AE71"/>
    <mergeCell ref="W3:W4"/>
    <mergeCell ref="S5:S6"/>
    <mergeCell ref="T5:T6"/>
    <mergeCell ref="U5:U6"/>
    <mergeCell ref="V5:V6"/>
    <mergeCell ref="W5:W6"/>
    <mergeCell ref="U7:U8"/>
    <mergeCell ref="V7:V8"/>
    <mergeCell ref="T9:T10"/>
    <mergeCell ref="U9:U10"/>
    <mergeCell ref="V9:V10"/>
    <mergeCell ref="W9:W10"/>
    <mergeCell ref="S11:S12"/>
    <mergeCell ref="T11:T12"/>
    <mergeCell ref="U11:U12"/>
    <mergeCell ref="V11:V12"/>
    <mergeCell ref="AA12:AA13"/>
    <mergeCell ref="S13:S18"/>
    <mergeCell ref="S3:S4"/>
    <mergeCell ref="T3:T4"/>
    <mergeCell ref="U3:U4"/>
    <mergeCell ref="V3:V4"/>
    <mergeCell ref="E4:E5"/>
    <mergeCell ref="F4:F5"/>
    <mergeCell ref="S7:S8"/>
    <mergeCell ref="T7:T8"/>
    <mergeCell ref="T13:T18"/>
    <mergeCell ref="U13:U18"/>
    <mergeCell ref="V13:V18"/>
    <mergeCell ref="W13:W18"/>
    <mergeCell ref="D8:D9"/>
    <mergeCell ref="E8:E9"/>
    <mergeCell ref="F8:F9"/>
    <mergeCell ref="G8:G9"/>
    <mergeCell ref="K14:K15"/>
    <mergeCell ref="L14:L15"/>
    <mergeCell ref="M14:M15"/>
    <mergeCell ref="N14:N15"/>
    <mergeCell ref="O14:O15"/>
    <mergeCell ref="AE9:AE10"/>
    <mergeCell ref="AE11:AE12"/>
    <mergeCell ref="AA14:AA15"/>
    <mergeCell ref="W7:W8"/>
    <mergeCell ref="K9:K12"/>
    <mergeCell ref="L9:L12"/>
    <mergeCell ref="M9:M12"/>
    <mergeCell ref="N9:N12"/>
    <mergeCell ref="O9:O12"/>
    <mergeCell ref="S9:S10"/>
    <mergeCell ref="W11:W12"/>
    <mergeCell ref="U28:U32"/>
    <mergeCell ref="V28:V32"/>
    <mergeCell ref="W28:W32"/>
    <mergeCell ref="AA32:AA33"/>
    <mergeCell ref="Y34:AA34"/>
    <mergeCell ref="S35:S38"/>
    <mergeCell ref="T35:T38"/>
    <mergeCell ref="U35:U38"/>
    <mergeCell ref="V35:V38"/>
    <mergeCell ref="W35:W38"/>
    <mergeCell ref="Y36:AA37"/>
    <mergeCell ref="S44:S49"/>
    <mergeCell ref="T44:T49"/>
    <mergeCell ref="U44:U49"/>
    <mergeCell ref="V44:V49"/>
    <mergeCell ref="W44:W49"/>
    <mergeCell ref="Q50:W50"/>
    <mergeCell ref="H1:H1006"/>
    <mergeCell ref="I1:O1"/>
    <mergeCell ref="P1:P1006"/>
    <mergeCell ref="Q1:W1"/>
    <mergeCell ref="X1:X1006"/>
    <mergeCell ref="Y1:AA1"/>
    <mergeCell ref="AB1:AB1006"/>
    <mergeCell ref="AA16:AA17"/>
    <mergeCell ref="K17:K18"/>
    <mergeCell ref="L17:L18"/>
    <mergeCell ref="M17:M18"/>
    <mergeCell ref="N17:N18"/>
    <mergeCell ref="O17:O18"/>
    <mergeCell ref="Y19:AA19"/>
    <mergeCell ref="AA21:AA22"/>
    <mergeCell ref="I22:O22"/>
    <mergeCell ref="AA23:AA24"/>
    <mergeCell ref="S25:S27"/>
    <mergeCell ref="T25:T27"/>
    <mergeCell ref="U25:U27"/>
    <mergeCell ref="V25:V27"/>
    <mergeCell ref="W25:W27"/>
    <mergeCell ref="AA27:AA28"/>
    <mergeCell ref="S28:S32"/>
    <mergeCell ref="T28:T32"/>
    <mergeCell ref="AE13:AE14"/>
    <mergeCell ref="AE15:AE16"/>
    <mergeCell ref="AE17:AE18"/>
    <mergeCell ref="AE19:AE20"/>
    <mergeCell ref="AE21:AE22"/>
    <mergeCell ref="AG21:AH21"/>
    <mergeCell ref="AE25:AE26"/>
    <mergeCell ref="AE27:AE28"/>
    <mergeCell ref="AE29:AE30"/>
    <mergeCell ref="AE31:AE32"/>
    <mergeCell ref="AE33:AE34"/>
    <mergeCell ref="AE35:AE36"/>
    <mergeCell ref="AE37:AE38"/>
    <mergeCell ref="AE39:AE40"/>
    <mergeCell ref="E44:E48"/>
    <mergeCell ref="F44:F48"/>
    <mergeCell ref="C41:C42"/>
    <mergeCell ref="D41:D42"/>
    <mergeCell ref="E41:E42"/>
    <mergeCell ref="F41:F42"/>
    <mergeCell ref="G41:G42"/>
    <mergeCell ref="D44:D48"/>
    <mergeCell ref="G44:G48"/>
    <mergeCell ref="D62:D67"/>
    <mergeCell ref="E62:E67"/>
    <mergeCell ref="C68:C77"/>
    <mergeCell ref="D68:D77"/>
    <mergeCell ref="E68:E77"/>
    <mergeCell ref="F68:F77"/>
    <mergeCell ref="G68:G77"/>
    <mergeCell ref="A78:G78"/>
    <mergeCell ref="F62:F67"/>
    <mergeCell ref="G62:G67"/>
    <mergeCell ref="C44:C48"/>
    <mergeCell ref="C51:C54"/>
    <mergeCell ref="D51:D54"/>
    <mergeCell ref="E51:E54"/>
    <mergeCell ref="F51:F54"/>
    <mergeCell ref="G51:G54"/>
    <mergeCell ref="C62:C67"/>
    <mergeCell ref="C2:C3"/>
    <mergeCell ref="D2:D3"/>
    <mergeCell ref="E2:E3"/>
    <mergeCell ref="F2:F3"/>
    <mergeCell ref="G2:G3"/>
    <mergeCell ref="D4:D5"/>
    <mergeCell ref="G4:G5"/>
    <mergeCell ref="C4:C5"/>
    <mergeCell ref="C6:C7"/>
    <mergeCell ref="D6:D7"/>
    <mergeCell ref="E6:E7"/>
    <mergeCell ref="F6:F7"/>
    <mergeCell ref="G6:G7"/>
    <mergeCell ref="C8:C9"/>
    <mergeCell ref="E15:E20"/>
    <mergeCell ref="F15:F20"/>
    <mergeCell ref="C12:C13"/>
    <mergeCell ref="D12:D13"/>
    <mergeCell ref="E12:E13"/>
    <mergeCell ref="F12:F13"/>
    <mergeCell ref="G12:G13"/>
    <mergeCell ref="D15:D20"/>
    <mergeCell ref="G15:G20"/>
    <mergeCell ref="F34:F35"/>
    <mergeCell ref="G34:G35"/>
    <mergeCell ref="C15:C20"/>
    <mergeCell ref="C29:C32"/>
    <mergeCell ref="D29:D32"/>
    <mergeCell ref="E29:E32"/>
    <mergeCell ref="F29:F32"/>
    <mergeCell ref="G29:G32"/>
    <mergeCell ref="C34:C35"/>
    <mergeCell ref="D34:D35"/>
    <mergeCell ref="E34:E35"/>
    <mergeCell ref="C38:C40"/>
    <mergeCell ref="D38:D40"/>
    <mergeCell ref="E38:E40"/>
    <mergeCell ref="F38:F40"/>
    <mergeCell ref="G38:G40"/>
  </mergeCells>
  <conditionalFormatting sqref="B24:B27 B43:B54 B62:B74 AD78 AD93:AD95">
    <cfRule type="containsBlanks" dxfId="0" priority="1">
      <formula>LEN(TRIM(B24))=0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9.29"/>
    <col customWidth="1" hidden="1" min="3" max="3" width="15.14"/>
    <col customWidth="1" hidden="1" min="4" max="4" width="12.14"/>
    <col customWidth="1" hidden="1" min="5" max="5" width="12.29"/>
    <col customWidth="1" hidden="1" min="6" max="6" width="11.29"/>
    <col customWidth="1" min="7" max="7" width="19.29"/>
  </cols>
  <sheetData>
    <row r="1">
      <c r="A1" s="474" t="s">
        <v>2</v>
      </c>
      <c r="B1" s="474" t="s">
        <v>1</v>
      </c>
      <c r="C1" s="474" t="s">
        <v>10</v>
      </c>
      <c r="D1" s="474" t="s">
        <v>2212</v>
      </c>
      <c r="E1" s="474" t="s">
        <v>2213</v>
      </c>
      <c r="F1" s="474" t="s">
        <v>1751</v>
      </c>
      <c r="G1" s="474" t="s">
        <v>2214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>
      <c r="A2" s="27" t="s">
        <v>464</v>
      </c>
      <c r="B2" s="29" t="s">
        <v>463</v>
      </c>
      <c r="C2" s="27" t="s">
        <v>179</v>
      </c>
      <c r="D2" s="27" t="s">
        <v>1895</v>
      </c>
      <c r="E2" s="27">
        <v>1.0</v>
      </c>
      <c r="F2" s="27" t="s">
        <v>2363</v>
      </c>
      <c r="G2" s="27" t="str">
        <f t="shared" ref="G2:G4" si="1">F2&amp;"-"&amp;D2&amp;"/"&amp;E2</f>
        <v>DML2-SL11/1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>
      <c r="A3" s="27" t="s">
        <v>2364</v>
      </c>
      <c r="B3" s="549" t="s">
        <v>2365</v>
      </c>
      <c r="C3" s="550" t="s">
        <v>1977</v>
      </c>
      <c r="D3" s="550" t="s">
        <v>1594</v>
      </c>
      <c r="E3" s="550">
        <v>1.0</v>
      </c>
      <c r="F3" s="550" t="s">
        <v>2366</v>
      </c>
      <c r="G3" s="27" t="str">
        <f t="shared" si="1"/>
        <v>DBL1-SM22/1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</row>
    <row r="4">
      <c r="A4" s="27" t="s">
        <v>479</v>
      </c>
      <c r="B4" s="549" t="s">
        <v>478</v>
      </c>
      <c r="C4" s="550" t="s">
        <v>2367</v>
      </c>
      <c r="D4" s="550" t="s">
        <v>2068</v>
      </c>
      <c r="E4" s="550">
        <v>1.0</v>
      </c>
      <c r="F4" s="550" t="s">
        <v>2366</v>
      </c>
      <c r="G4" s="27" t="str">
        <f t="shared" si="1"/>
        <v>DBL1-NE1/1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</row>
    <row r="5">
      <c r="A5" s="93"/>
      <c r="B5" s="11"/>
      <c r="C5" s="260"/>
      <c r="D5" s="93"/>
      <c r="E5" s="260"/>
      <c r="F5" s="260"/>
      <c r="G5" s="93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>
      <c r="A8" s="115" t="s">
        <v>471</v>
      </c>
      <c r="B8" s="412" t="s">
        <v>470</v>
      </c>
      <c r="E8" s="99"/>
      <c r="F8" s="99"/>
      <c r="G8" s="551" t="s">
        <v>2066</v>
      </c>
      <c r="H8" s="552">
        <v>1.0</v>
      </c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>
      <c r="A9" s="553" t="s">
        <v>1125</v>
      </c>
      <c r="B9" s="554" t="s">
        <v>1124</v>
      </c>
      <c r="C9" s="555"/>
      <c r="D9" s="555"/>
      <c r="E9" s="555"/>
      <c r="F9" s="555"/>
      <c r="G9" s="551" t="s">
        <v>2106</v>
      </c>
      <c r="H9" s="346">
        <v>1.0</v>
      </c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>
      <c r="A10" s="553" t="s">
        <v>1420</v>
      </c>
      <c r="B10" s="554" t="s">
        <v>1419</v>
      </c>
      <c r="C10" s="555"/>
      <c r="D10" s="555"/>
      <c r="E10" s="555"/>
      <c r="F10" s="555"/>
      <c r="G10" s="551" t="s">
        <v>2202</v>
      </c>
      <c r="H10" s="554">
        <v>10.0</v>
      </c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>
      <c r="A11" s="556" t="s">
        <v>483</v>
      </c>
      <c r="B11" s="557" t="s">
        <v>482</v>
      </c>
      <c r="C11" s="558"/>
      <c r="D11" s="558"/>
      <c r="E11" s="558"/>
      <c r="F11" s="558"/>
      <c r="G11" s="559" t="s">
        <v>2066</v>
      </c>
      <c r="H11" s="560">
        <v>1.0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>
      <c r="A12" s="561" t="s">
        <v>1995</v>
      </c>
      <c r="B12" s="562" t="s">
        <v>1994</v>
      </c>
      <c r="C12" s="276"/>
      <c r="D12" s="276"/>
      <c r="E12" s="276"/>
      <c r="F12" s="276"/>
      <c r="G12" s="559" t="s">
        <v>2066</v>
      </c>
      <c r="H12" s="560">
        <v>1.0</v>
      </c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>
      <c r="A13" s="563" t="s">
        <v>1997</v>
      </c>
      <c r="B13" s="564" t="s">
        <v>1996</v>
      </c>
      <c r="C13" s="565"/>
      <c r="D13" s="565"/>
      <c r="E13" s="565"/>
      <c r="F13" s="565"/>
      <c r="G13" s="559" t="s">
        <v>2154</v>
      </c>
      <c r="H13" s="566">
        <v>1.0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</row>
    <row r="19"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</row>
    <row r="20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</row>
    <row r="21">
      <c r="A21" s="99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</row>
    <row r="22">
      <c r="A22" s="99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>
      <c r="A30" s="99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>
      <c r="A31" s="99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>
      <c r="A32" s="99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>
      <c r="A33" s="99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</row>
    <row r="93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</row>
    <row r="937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</row>
    <row r="938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</row>
    <row r="939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</row>
    <row r="940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</row>
    <row r="941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</row>
    <row r="942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</row>
    <row r="943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</row>
    <row r="944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</row>
    <row r="945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</row>
    <row r="94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</row>
    <row r="947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</row>
    <row r="948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</row>
    <row r="949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</row>
    <row r="950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</row>
    <row r="951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</row>
    <row r="952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</row>
    <row r="953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</row>
    <row r="954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</row>
    <row r="955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</row>
    <row r="95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</row>
    <row r="957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</row>
    <row r="958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</row>
    <row r="959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</row>
    <row r="960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</row>
    <row r="961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</row>
    <row r="962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</row>
    <row r="963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</row>
    <row r="964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</row>
    <row r="965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</row>
    <row r="96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</row>
    <row r="967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</row>
    <row r="968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</row>
    <row r="969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</row>
    <row r="970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</row>
    <row r="971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</row>
    <row r="972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</row>
    <row r="973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</row>
    <row r="974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</row>
    <row r="975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</row>
    <row r="97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</row>
    <row r="977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</row>
    <row r="978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</row>
    <row r="979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</row>
    <row r="980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</row>
    <row r="981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</row>
    <row r="982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</row>
    <row r="983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</row>
    <row r="984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</row>
    <row r="985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</row>
    <row r="98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</row>
    <row r="987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</row>
    <row r="988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</row>
    <row r="989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</row>
    <row r="990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</row>
    <row r="991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</row>
    <row r="992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</row>
    <row r="993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</row>
    <row r="994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</row>
    <row r="995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</row>
    <row r="99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</row>
    <row r="997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</row>
    <row r="999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</cols>
  <sheetData>
    <row r="1">
      <c r="A1" s="556" t="s">
        <v>345</v>
      </c>
      <c r="B1" s="557" t="s">
        <v>344</v>
      </c>
      <c r="C1" s="560"/>
      <c r="D1" s="560"/>
      <c r="E1" s="560"/>
      <c r="F1" s="560"/>
      <c r="G1" s="559" t="s">
        <v>2050</v>
      </c>
      <c r="H1" s="560">
        <v>2.0</v>
      </c>
    </row>
    <row r="2">
      <c r="A2" s="556" t="s">
        <v>351</v>
      </c>
      <c r="B2" s="557" t="s">
        <v>350</v>
      </c>
      <c r="C2" s="560"/>
      <c r="D2" s="560"/>
      <c r="E2" s="560"/>
      <c r="F2" s="560"/>
      <c r="G2" s="559" t="s">
        <v>2051</v>
      </c>
      <c r="H2" s="560">
        <v>2.0</v>
      </c>
    </row>
    <row r="3">
      <c r="A3" s="556" t="s">
        <v>356</v>
      </c>
      <c r="B3" s="557" t="s">
        <v>355</v>
      </c>
      <c r="C3" s="560"/>
      <c r="D3" s="560"/>
      <c r="E3" s="560"/>
      <c r="F3" s="560"/>
      <c r="G3" s="559" t="s">
        <v>2050</v>
      </c>
      <c r="H3" s="560">
        <v>1.0</v>
      </c>
    </row>
    <row r="4">
      <c r="A4" s="556" t="s">
        <v>360</v>
      </c>
      <c r="B4" s="557" t="s">
        <v>359</v>
      </c>
      <c r="C4" s="560"/>
      <c r="D4" s="560"/>
      <c r="E4" s="560"/>
      <c r="F4" s="560"/>
      <c r="G4" s="559" t="s">
        <v>2050</v>
      </c>
      <c r="H4" s="560">
        <v>1.0</v>
      </c>
    </row>
    <row r="5">
      <c r="A5" s="556" t="s">
        <v>364</v>
      </c>
      <c r="B5" s="557" t="s">
        <v>363</v>
      </c>
      <c r="C5" s="560"/>
      <c r="D5" s="560"/>
      <c r="E5" s="560"/>
      <c r="F5" s="560"/>
      <c r="G5" s="559" t="s">
        <v>2050</v>
      </c>
      <c r="H5" s="560">
        <v>1.0</v>
      </c>
    </row>
    <row r="6">
      <c r="A6" s="556" t="s">
        <v>368</v>
      </c>
      <c r="B6" s="557" t="s">
        <v>367</v>
      </c>
      <c r="C6" s="560"/>
      <c r="D6" s="560"/>
      <c r="E6" s="560"/>
      <c r="F6" s="560"/>
      <c r="G6" s="559" t="s">
        <v>2051</v>
      </c>
      <c r="H6" s="560">
        <v>20.0</v>
      </c>
    </row>
    <row r="7">
      <c r="A7" s="556" t="s">
        <v>372</v>
      </c>
      <c r="B7" s="557" t="s">
        <v>371</v>
      </c>
      <c r="C7" s="560"/>
      <c r="D7" s="560"/>
      <c r="E7" s="560"/>
      <c r="F7" s="560"/>
      <c r="G7" s="559" t="s">
        <v>2053</v>
      </c>
      <c r="H7" s="560">
        <v>2.0</v>
      </c>
    </row>
    <row r="8">
      <c r="A8" s="556" t="s">
        <v>375</v>
      </c>
      <c r="B8" s="557" t="s">
        <v>374</v>
      </c>
      <c r="C8" s="560"/>
      <c r="D8" s="560"/>
      <c r="E8" s="560"/>
      <c r="F8" s="560"/>
      <c r="G8" s="559" t="s">
        <v>2053</v>
      </c>
      <c r="H8" s="560">
        <v>5.0</v>
      </c>
    </row>
    <row r="9">
      <c r="A9" s="556" t="s">
        <v>379</v>
      </c>
      <c r="B9" s="557" t="s">
        <v>378</v>
      </c>
      <c r="C9" s="560"/>
      <c r="D9" s="560"/>
      <c r="E9" s="560"/>
      <c r="F9" s="560"/>
      <c r="G9" s="559" t="s">
        <v>2050</v>
      </c>
      <c r="H9" s="560">
        <v>2.0</v>
      </c>
    </row>
    <row r="10">
      <c r="A10" s="556" t="s">
        <v>382</v>
      </c>
      <c r="B10" s="557" t="s">
        <v>381</v>
      </c>
      <c r="C10" s="560"/>
      <c r="D10" s="560"/>
      <c r="E10" s="560"/>
      <c r="F10" s="560"/>
      <c r="G10" s="559" t="s">
        <v>2051</v>
      </c>
      <c r="H10" s="560">
        <v>10.0</v>
      </c>
    </row>
    <row r="11">
      <c r="A11" s="556" t="s">
        <v>1926</v>
      </c>
      <c r="B11" s="557" t="s">
        <v>385</v>
      </c>
      <c r="C11" s="557"/>
      <c r="D11" s="557"/>
      <c r="E11" s="557"/>
      <c r="F11" s="557"/>
      <c r="G11" s="559" t="s">
        <v>2050</v>
      </c>
      <c r="H11" s="557">
        <v>1.0</v>
      </c>
    </row>
    <row r="12">
      <c r="A12" s="556" t="s">
        <v>1031</v>
      </c>
      <c r="B12" s="557" t="s">
        <v>1030</v>
      </c>
      <c r="C12" s="558"/>
      <c r="D12" s="558"/>
      <c r="E12" s="558"/>
      <c r="F12" s="558"/>
      <c r="G12" s="559" t="s">
        <v>2050</v>
      </c>
      <c r="H12" s="557">
        <v>1.0</v>
      </c>
    </row>
    <row r="13">
      <c r="A13" s="556" t="s">
        <v>1036</v>
      </c>
      <c r="B13" s="557" t="s">
        <v>1035</v>
      </c>
      <c r="C13" s="558"/>
      <c r="D13" s="558"/>
      <c r="E13" s="558"/>
      <c r="F13" s="558"/>
      <c r="G13" s="559" t="s">
        <v>2050</v>
      </c>
      <c r="H13" s="560">
        <v>2.0</v>
      </c>
    </row>
    <row r="14">
      <c r="A14" s="556" t="s">
        <v>1039</v>
      </c>
      <c r="B14" s="557" t="s">
        <v>1038</v>
      </c>
      <c r="C14" s="558"/>
      <c r="D14" s="558"/>
      <c r="E14" s="558"/>
      <c r="F14" s="558"/>
      <c r="G14" s="559" t="s">
        <v>2050</v>
      </c>
      <c r="H14" s="560">
        <v>1.0</v>
      </c>
    </row>
    <row r="15">
      <c r="A15" s="556" t="s">
        <v>1043</v>
      </c>
      <c r="B15" s="557" t="s">
        <v>1042</v>
      </c>
      <c r="C15" s="558"/>
      <c r="D15" s="558"/>
      <c r="E15" s="558"/>
      <c r="F15" s="558"/>
      <c r="G15" s="559" t="s">
        <v>2050</v>
      </c>
      <c r="H15" s="560">
        <v>1.0</v>
      </c>
    </row>
    <row r="16">
      <c r="A16" s="556" t="s">
        <v>1047</v>
      </c>
      <c r="B16" s="557" t="s">
        <v>1046</v>
      </c>
      <c r="C16" s="558"/>
      <c r="D16" s="558"/>
      <c r="E16" s="558"/>
      <c r="F16" s="558"/>
      <c r="G16" s="559" t="s">
        <v>2050</v>
      </c>
      <c r="H16" s="560">
        <v>1.0</v>
      </c>
    </row>
    <row r="17">
      <c r="A17" s="556" t="s">
        <v>1051</v>
      </c>
      <c r="B17" s="557" t="s">
        <v>1050</v>
      </c>
      <c r="C17" s="558"/>
      <c r="D17" s="558"/>
      <c r="E17" s="558"/>
      <c r="F17" s="558"/>
      <c r="G17" s="559" t="s">
        <v>2050</v>
      </c>
      <c r="H17" s="560">
        <v>1.0</v>
      </c>
    </row>
    <row r="18">
      <c r="A18" s="556" t="s">
        <v>1055</v>
      </c>
      <c r="B18" s="557" t="s">
        <v>1054</v>
      </c>
      <c r="C18" s="558"/>
      <c r="D18" s="558"/>
      <c r="E18" s="558"/>
      <c r="F18" s="558"/>
      <c r="G18" s="559" t="s">
        <v>2050</v>
      </c>
      <c r="H18" s="560">
        <v>1.0</v>
      </c>
    </row>
    <row r="19">
      <c r="A19" s="556" t="s">
        <v>1059</v>
      </c>
      <c r="B19" s="557" t="s">
        <v>1058</v>
      </c>
      <c r="C19" s="558"/>
      <c r="D19" s="558"/>
      <c r="E19" s="558"/>
      <c r="F19" s="558"/>
      <c r="G19" s="559" t="s">
        <v>2050</v>
      </c>
      <c r="H19" s="560">
        <v>1.0</v>
      </c>
    </row>
    <row r="20">
      <c r="A20" s="556" t="s">
        <v>1067</v>
      </c>
      <c r="B20" s="557" t="s">
        <v>1066</v>
      </c>
      <c r="C20" s="558"/>
      <c r="D20" s="558"/>
      <c r="E20" s="558"/>
      <c r="F20" s="558"/>
      <c r="G20" s="559" t="s">
        <v>2050</v>
      </c>
      <c r="H20" s="560">
        <v>1.0</v>
      </c>
    </row>
    <row r="21">
      <c r="A21" s="567" t="s">
        <v>1071</v>
      </c>
      <c r="B21" s="568" t="s">
        <v>1070</v>
      </c>
      <c r="C21" s="569"/>
      <c r="D21" s="569"/>
      <c r="E21" s="569"/>
      <c r="F21" s="569"/>
      <c r="G21" s="559" t="s">
        <v>2209</v>
      </c>
      <c r="H21" s="566">
        <v>10.0</v>
      </c>
    </row>
    <row r="22">
      <c r="A22" s="556" t="s">
        <v>1075</v>
      </c>
      <c r="B22" s="557" t="s">
        <v>1074</v>
      </c>
      <c r="C22" s="558"/>
      <c r="D22" s="558"/>
      <c r="E22" s="558"/>
      <c r="F22" s="558"/>
      <c r="G22" s="559" t="s">
        <v>2050</v>
      </c>
      <c r="H22" s="560">
        <v>4.0</v>
      </c>
    </row>
    <row r="23">
      <c r="A23" s="556" t="s">
        <v>1086</v>
      </c>
      <c r="B23" s="557" t="s">
        <v>1085</v>
      </c>
      <c r="C23" s="558"/>
      <c r="D23" s="558"/>
      <c r="E23" s="558"/>
      <c r="F23" s="558"/>
      <c r="G23" s="559" t="s">
        <v>2050</v>
      </c>
      <c r="H23" s="560">
        <v>2.0</v>
      </c>
    </row>
    <row r="24">
      <c r="A24" s="556" t="s">
        <v>1090</v>
      </c>
      <c r="B24" s="557" t="s">
        <v>1089</v>
      </c>
      <c r="C24" s="558"/>
      <c r="D24" s="558"/>
      <c r="E24" s="558"/>
      <c r="F24" s="558"/>
      <c r="G24" s="559" t="s">
        <v>2050</v>
      </c>
      <c r="H24" s="560">
        <v>2.0</v>
      </c>
    </row>
    <row r="25">
      <c r="A25" s="556" t="s">
        <v>1094</v>
      </c>
      <c r="B25" s="557" t="s">
        <v>1093</v>
      </c>
      <c r="C25" s="558"/>
      <c r="D25" s="558"/>
      <c r="E25" s="558"/>
      <c r="F25" s="558"/>
      <c r="G25" s="559" t="s">
        <v>2050</v>
      </c>
      <c r="H25" s="560">
        <v>2.0</v>
      </c>
    </row>
    <row r="26">
      <c r="A26" s="556" t="s">
        <v>1098</v>
      </c>
      <c r="B26" s="557" t="s">
        <v>1097</v>
      </c>
      <c r="C26" s="558"/>
      <c r="D26" s="558"/>
      <c r="E26" s="558"/>
      <c r="F26" s="558"/>
      <c r="G26" s="559" t="s">
        <v>2051</v>
      </c>
      <c r="H26" s="560">
        <v>25.0</v>
      </c>
    </row>
    <row r="27">
      <c r="A27" s="556" t="s">
        <v>1101</v>
      </c>
      <c r="B27" s="557" t="s">
        <v>1100</v>
      </c>
      <c r="C27" s="558"/>
      <c r="D27" s="558"/>
      <c r="E27" s="558"/>
      <c r="F27" s="558"/>
      <c r="G27" s="559" t="s">
        <v>2050</v>
      </c>
      <c r="H27" s="560">
        <v>1.0</v>
      </c>
    </row>
    <row r="28">
      <c r="A28" s="556" t="s">
        <v>1104</v>
      </c>
      <c r="B28" s="557" t="s">
        <v>1103</v>
      </c>
      <c r="C28" s="558"/>
      <c r="D28" s="558"/>
      <c r="E28" s="558"/>
      <c r="F28" s="558"/>
      <c r="G28" s="559" t="s">
        <v>2050</v>
      </c>
      <c r="H28" s="560" t="s">
        <v>56</v>
      </c>
    </row>
    <row r="29">
      <c r="A29" s="570" t="s">
        <v>1107</v>
      </c>
      <c r="B29" s="557" t="s">
        <v>1106</v>
      </c>
      <c r="C29" s="558"/>
      <c r="D29" s="558"/>
      <c r="E29" s="558"/>
      <c r="F29" s="558"/>
      <c r="G29" s="559" t="s">
        <v>2050</v>
      </c>
      <c r="H29" s="560" t="s">
        <v>56</v>
      </c>
    </row>
    <row r="30">
      <c r="A30" s="570" t="s">
        <v>1110</v>
      </c>
      <c r="B30" s="557" t="s">
        <v>1109</v>
      </c>
      <c r="C30" s="558"/>
      <c r="D30" s="558"/>
      <c r="E30" s="558"/>
      <c r="F30" s="558"/>
      <c r="G30" s="559" t="s">
        <v>2050</v>
      </c>
      <c r="H30" s="560" t="s">
        <v>56</v>
      </c>
    </row>
    <row r="31">
      <c r="A31" s="556" t="s">
        <v>1114</v>
      </c>
      <c r="B31" s="557" t="s">
        <v>1113</v>
      </c>
      <c r="C31" s="558"/>
      <c r="D31" s="558"/>
      <c r="E31" s="558"/>
      <c r="F31" s="558"/>
      <c r="G31" s="559" t="s">
        <v>2050</v>
      </c>
      <c r="H31" s="560" t="s">
        <v>56</v>
      </c>
    </row>
    <row r="32">
      <c r="A32" s="556" t="s">
        <v>1117</v>
      </c>
      <c r="B32" s="557" t="s">
        <v>1116</v>
      </c>
      <c r="C32" s="558"/>
      <c r="D32" s="558"/>
      <c r="E32" s="558"/>
      <c r="F32" s="558"/>
      <c r="G32" s="559" t="s">
        <v>2050</v>
      </c>
      <c r="H32" s="560" t="s">
        <v>56</v>
      </c>
    </row>
    <row r="33">
      <c r="A33" s="556" t="s">
        <v>1121</v>
      </c>
      <c r="B33" s="557" t="s">
        <v>1120</v>
      </c>
      <c r="C33" s="558"/>
      <c r="D33" s="558"/>
      <c r="E33" s="558"/>
      <c r="F33" s="558"/>
      <c r="G33" s="559" t="s">
        <v>2050</v>
      </c>
      <c r="H33" s="560">
        <v>1.0</v>
      </c>
    </row>
    <row r="34">
      <c r="A34" s="556" t="s">
        <v>1128</v>
      </c>
      <c r="B34" s="557" t="s">
        <v>1127</v>
      </c>
      <c r="C34" s="558"/>
      <c r="D34" s="558"/>
      <c r="E34" s="558"/>
      <c r="F34" s="558"/>
      <c r="G34" s="559" t="s">
        <v>2050</v>
      </c>
      <c r="H34" s="560">
        <v>1.0</v>
      </c>
    </row>
    <row r="35">
      <c r="A35" s="567" t="s">
        <v>1278</v>
      </c>
      <c r="B35" s="568" t="s">
        <v>1277</v>
      </c>
      <c r="C35" s="569"/>
      <c r="D35" s="569"/>
      <c r="E35" s="569"/>
      <c r="F35" s="569"/>
      <c r="G35" s="559" t="s">
        <v>2050</v>
      </c>
      <c r="H35" s="568">
        <v>1.0</v>
      </c>
    </row>
    <row r="36">
      <c r="A36" s="567" t="s">
        <v>1318</v>
      </c>
      <c r="B36" s="568" t="s">
        <v>1317</v>
      </c>
      <c r="C36" s="569"/>
      <c r="D36" s="569"/>
      <c r="E36" s="569"/>
      <c r="F36" s="569"/>
      <c r="G36" s="559" t="s">
        <v>2050</v>
      </c>
      <c r="H36" s="566">
        <v>2.0</v>
      </c>
    </row>
    <row r="37">
      <c r="A37" s="556" t="s">
        <v>1325</v>
      </c>
      <c r="B37" s="557" t="s">
        <v>1324</v>
      </c>
      <c r="C37" s="558"/>
      <c r="D37" s="558"/>
      <c r="E37" s="558"/>
      <c r="F37" s="558"/>
      <c r="G37" s="559" t="s">
        <v>2050</v>
      </c>
      <c r="H37" s="560">
        <v>1.0</v>
      </c>
    </row>
    <row r="38">
      <c r="A38" s="567" t="s">
        <v>1399</v>
      </c>
      <c r="B38" s="568" t="s">
        <v>1398</v>
      </c>
      <c r="C38" s="569"/>
      <c r="D38" s="569"/>
      <c r="E38" s="569"/>
      <c r="F38" s="569"/>
      <c r="G38" s="559" t="s">
        <v>2136</v>
      </c>
      <c r="H38" s="568">
        <v>1.0</v>
      </c>
    </row>
    <row r="39">
      <c r="A39" s="556" t="s">
        <v>1404</v>
      </c>
      <c r="B39" s="557" t="s">
        <v>1403</v>
      </c>
      <c r="C39" s="558"/>
      <c r="D39" s="558"/>
      <c r="E39" s="558"/>
      <c r="F39" s="558"/>
      <c r="G39" s="559" t="s">
        <v>2136</v>
      </c>
      <c r="H39" s="557">
        <v>1.0</v>
      </c>
    </row>
    <row r="40">
      <c r="A40" s="567" t="s">
        <v>1407</v>
      </c>
      <c r="B40" s="568" t="s">
        <v>1406</v>
      </c>
      <c r="C40" s="569"/>
      <c r="D40" s="569"/>
      <c r="E40" s="569"/>
      <c r="F40" s="569"/>
      <c r="G40" s="559" t="s">
        <v>2136</v>
      </c>
      <c r="H40" s="568">
        <v>2.0</v>
      </c>
    </row>
    <row r="41">
      <c r="A41" s="556" t="s">
        <v>1416</v>
      </c>
      <c r="B41" s="557" t="s">
        <v>1415</v>
      </c>
      <c r="C41" s="558"/>
      <c r="D41" s="558"/>
      <c r="E41" s="558"/>
      <c r="F41" s="558"/>
      <c r="G41" s="559" t="s">
        <v>2136</v>
      </c>
      <c r="H41" s="557">
        <v>1.0</v>
      </c>
    </row>
    <row r="42">
      <c r="A42" s="115" t="s">
        <v>1136</v>
      </c>
      <c r="B42" s="412" t="s">
        <v>1135</v>
      </c>
      <c r="C42" s="413"/>
      <c r="D42" s="413"/>
      <c r="E42" s="413"/>
      <c r="F42" s="413"/>
      <c r="G42" s="551" t="s">
        <v>2050</v>
      </c>
      <c r="H42" s="259">
        <v>1.0</v>
      </c>
    </row>
    <row r="43">
      <c r="A43" s="115" t="s">
        <v>1144</v>
      </c>
      <c r="B43" s="412" t="s">
        <v>1143</v>
      </c>
      <c r="C43" s="413"/>
      <c r="D43" s="413"/>
      <c r="E43" s="413"/>
      <c r="F43" s="413"/>
      <c r="G43" s="571" t="s">
        <v>2050</v>
      </c>
      <c r="H43" s="259">
        <v>1.0</v>
      </c>
    </row>
    <row r="44">
      <c r="A44" s="115" t="s">
        <v>1148</v>
      </c>
      <c r="B44" s="412" t="s">
        <v>1147</v>
      </c>
      <c r="C44" s="413"/>
      <c r="D44" s="413"/>
      <c r="E44" s="413"/>
      <c r="F44" s="413"/>
      <c r="G44" s="551" t="s">
        <v>2108</v>
      </c>
      <c r="H44" s="259">
        <v>2.0</v>
      </c>
    </row>
    <row r="45">
      <c r="A45" s="115" t="s">
        <v>1151</v>
      </c>
      <c r="B45" s="412" t="s">
        <v>1150</v>
      </c>
      <c r="C45" s="413"/>
      <c r="D45" s="413"/>
      <c r="E45" s="413"/>
      <c r="F45" s="413"/>
      <c r="G45" s="551" t="s">
        <v>2109</v>
      </c>
      <c r="H45" s="259">
        <v>10.0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74" t="s">
        <v>2</v>
      </c>
      <c r="B1" s="474" t="s">
        <v>1</v>
      </c>
      <c r="C1" s="474" t="s">
        <v>10</v>
      </c>
      <c r="D1" s="474" t="s">
        <v>2212</v>
      </c>
      <c r="E1" s="474" t="s">
        <v>2213</v>
      </c>
      <c r="F1" s="474" t="s">
        <v>1751</v>
      </c>
      <c r="G1" s="474" t="s">
        <v>2214</v>
      </c>
    </row>
    <row r="2">
      <c r="A2" s="572" t="s">
        <v>171</v>
      </c>
      <c r="B2" s="573" t="s">
        <v>170</v>
      </c>
      <c r="C2" s="572" t="s">
        <v>1904</v>
      </c>
      <c r="D2" s="572" t="s">
        <v>2008</v>
      </c>
      <c r="E2" s="572">
        <v>1.0</v>
      </c>
      <c r="F2" s="572" t="s">
        <v>2368</v>
      </c>
      <c r="G2" s="572" t="str">
        <f t="shared" ref="G2:G6" si="1">F2&amp;"-"&amp;D2&amp;"/"&amp;E2</f>
        <v>MC2-SM44/1</v>
      </c>
    </row>
    <row r="3">
      <c r="A3" s="572" t="s">
        <v>2369</v>
      </c>
      <c r="B3" s="30" t="s">
        <v>965</v>
      </c>
      <c r="C3" s="574" t="s">
        <v>2338</v>
      </c>
      <c r="D3" s="574" t="s">
        <v>1960</v>
      </c>
      <c r="E3" s="574">
        <v>1.0</v>
      </c>
      <c r="F3" s="574" t="s">
        <v>2370</v>
      </c>
      <c r="G3" s="572" t="str">
        <f t="shared" si="1"/>
        <v>MWB-NV/1</v>
      </c>
    </row>
    <row r="4">
      <c r="A4" s="572" t="s">
        <v>2371</v>
      </c>
      <c r="B4" s="30" t="s">
        <v>2372</v>
      </c>
      <c r="C4" s="574" t="s">
        <v>1902</v>
      </c>
      <c r="D4" s="574" t="s">
        <v>1902</v>
      </c>
      <c r="E4" s="574">
        <v>1.0</v>
      </c>
      <c r="F4" s="574" t="s">
        <v>2025</v>
      </c>
      <c r="G4" s="572" t="str">
        <f t="shared" si="1"/>
        <v>MC4-KW222/1</v>
      </c>
    </row>
    <row r="5">
      <c r="A5" s="574" t="s">
        <v>1180</v>
      </c>
      <c r="B5" s="575" t="s">
        <v>1179</v>
      </c>
      <c r="C5" s="575" t="s">
        <v>249</v>
      </c>
      <c r="D5" s="575" t="s">
        <v>2012</v>
      </c>
      <c r="E5" s="575">
        <v>1.0</v>
      </c>
      <c r="F5" s="575" t="s">
        <v>2368</v>
      </c>
      <c r="G5" s="572" t="str">
        <f t="shared" si="1"/>
        <v>MC2-SL22/1</v>
      </c>
    </row>
    <row r="6">
      <c r="A6" s="99" t="s">
        <v>2373</v>
      </c>
      <c r="C6" s="32" t="s">
        <v>2374</v>
      </c>
      <c r="D6" s="32" t="s">
        <v>1594</v>
      </c>
      <c r="E6" s="32">
        <v>1.0</v>
      </c>
      <c r="F6" s="32" t="s">
        <v>2375</v>
      </c>
      <c r="G6" s="572" t="str">
        <f t="shared" si="1"/>
        <v>ML1-SM22/1</v>
      </c>
    </row>
    <row r="10">
      <c r="A10" s="93" t="s">
        <v>140</v>
      </c>
      <c r="B10" s="11" t="s">
        <v>139</v>
      </c>
      <c r="C10" s="576"/>
      <c r="D10" s="576"/>
      <c r="E10" s="576"/>
      <c r="F10" s="576"/>
      <c r="G10" s="11" t="s">
        <v>2025</v>
      </c>
      <c r="H10" s="449">
        <v>1.0</v>
      </c>
    </row>
    <row r="11">
      <c r="A11" s="556" t="s">
        <v>155</v>
      </c>
      <c r="B11" s="557" t="s">
        <v>154</v>
      </c>
      <c r="C11" s="576"/>
      <c r="D11" s="576"/>
      <c r="E11" s="576"/>
      <c r="F11" s="576"/>
      <c r="G11" s="577" t="s">
        <v>2028</v>
      </c>
      <c r="H11" s="560">
        <v>1.0</v>
      </c>
    </row>
    <row r="12">
      <c r="A12" s="556" t="s">
        <v>159</v>
      </c>
      <c r="B12" s="557" t="s">
        <v>158</v>
      </c>
      <c r="C12" s="576"/>
      <c r="D12" s="576"/>
      <c r="E12" s="576"/>
      <c r="F12" s="576"/>
      <c r="G12" s="577" t="s">
        <v>2029</v>
      </c>
      <c r="H12" s="560">
        <v>1.0</v>
      </c>
    </row>
    <row r="13">
      <c r="A13" s="556" t="s">
        <v>163</v>
      </c>
      <c r="B13" s="557" t="s">
        <v>162</v>
      </c>
      <c r="C13" s="576"/>
      <c r="D13" s="576"/>
      <c r="E13" s="576"/>
      <c r="F13" s="576"/>
      <c r="G13" s="577" t="s">
        <v>2030</v>
      </c>
      <c r="H13" s="560">
        <v>1.0</v>
      </c>
    </row>
    <row r="14">
      <c r="A14" s="556" t="s">
        <v>167</v>
      </c>
      <c r="B14" s="557" t="s">
        <v>166</v>
      </c>
      <c r="C14" s="576"/>
      <c r="D14" s="576"/>
      <c r="E14" s="576"/>
      <c r="F14" s="576"/>
      <c r="G14" s="577" t="s">
        <v>2031</v>
      </c>
      <c r="H14" s="560">
        <v>1.0</v>
      </c>
    </row>
    <row r="15">
      <c r="A15" s="454" t="s">
        <v>970</v>
      </c>
      <c r="B15" s="455" t="s">
        <v>969</v>
      </c>
      <c r="C15" s="578"/>
      <c r="D15" s="578"/>
      <c r="E15" s="578"/>
      <c r="F15" s="578"/>
      <c r="G15" s="579" t="s">
        <v>2095</v>
      </c>
      <c r="H15" s="434">
        <v>1.0</v>
      </c>
    </row>
    <row r="16">
      <c r="A16" s="449" t="s">
        <v>974</v>
      </c>
      <c r="B16" s="449" t="s">
        <v>973</v>
      </c>
      <c r="C16" s="576"/>
      <c r="D16" s="576"/>
      <c r="E16" s="576"/>
      <c r="F16" s="576"/>
      <c r="G16" s="449" t="s">
        <v>2096</v>
      </c>
      <c r="H16" s="449">
        <v>1.0</v>
      </c>
    </row>
    <row r="17">
      <c r="A17" s="449" t="s">
        <v>977</v>
      </c>
      <c r="B17" s="449" t="s">
        <v>976</v>
      </c>
      <c r="C17" s="576"/>
      <c r="D17" s="576"/>
      <c r="E17" s="576"/>
      <c r="F17" s="576"/>
      <c r="G17" s="449" t="s">
        <v>2095</v>
      </c>
      <c r="H17" s="449">
        <v>1.0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7" width="21.43"/>
    <col customWidth="1" min="8" max="8" width="33.29"/>
  </cols>
  <sheetData>
    <row r="1">
      <c r="A1" s="580" t="s">
        <v>2215</v>
      </c>
      <c r="B1" s="39"/>
      <c r="C1" s="39"/>
      <c r="D1" s="39"/>
      <c r="E1" s="39"/>
      <c r="F1" s="39"/>
      <c r="G1" s="40"/>
      <c r="H1" s="581"/>
      <c r="I1" s="581"/>
      <c r="J1" s="581"/>
      <c r="K1" s="581"/>
      <c r="L1" s="581"/>
      <c r="M1" s="581"/>
      <c r="N1" s="581"/>
      <c r="O1" s="581"/>
      <c r="P1" s="581"/>
      <c r="Q1" s="581"/>
      <c r="R1" s="581"/>
      <c r="S1" s="581"/>
      <c r="T1" s="581"/>
      <c r="U1" s="581"/>
      <c r="V1" s="581"/>
      <c r="W1" s="581"/>
      <c r="X1" s="581"/>
      <c r="Y1" s="581"/>
    </row>
    <row r="2">
      <c r="A2" s="582" t="s">
        <v>2</v>
      </c>
      <c r="B2" s="582" t="s">
        <v>1</v>
      </c>
      <c r="C2" s="582" t="s">
        <v>10</v>
      </c>
      <c r="D2" s="582" t="s">
        <v>2212</v>
      </c>
      <c r="E2" s="582" t="s">
        <v>2213</v>
      </c>
      <c r="F2" s="582" t="s">
        <v>1751</v>
      </c>
      <c r="G2" s="582" t="s">
        <v>2214</v>
      </c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581"/>
      <c r="S2" s="581"/>
      <c r="T2" s="581"/>
      <c r="U2" s="581"/>
      <c r="V2" s="581"/>
      <c r="W2" s="581"/>
      <c r="X2" s="581"/>
      <c r="Y2" s="581"/>
    </row>
    <row r="3">
      <c r="A3" s="572" t="s">
        <v>115</v>
      </c>
      <c r="B3" s="573" t="s">
        <v>114</v>
      </c>
      <c r="C3" s="583" t="s">
        <v>179</v>
      </c>
      <c r="D3" s="583" t="s">
        <v>1895</v>
      </c>
      <c r="E3" s="583">
        <v>1.0</v>
      </c>
      <c r="F3" s="583" t="s">
        <v>2376</v>
      </c>
      <c r="G3" s="583" t="str">
        <f t="shared" ref="G3:G4" si="1">F3&amp;"-"&amp;D3&amp;"/"&amp;E3</f>
        <v>CMR2-SL11/1</v>
      </c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  <c r="V3" s="581"/>
      <c r="W3" s="581"/>
      <c r="X3" s="581"/>
      <c r="Y3" s="581"/>
    </row>
    <row r="4">
      <c r="A4" s="584" t="s">
        <v>105</v>
      </c>
      <c r="B4" s="573" t="s">
        <v>104</v>
      </c>
      <c r="C4" s="575" t="s">
        <v>179</v>
      </c>
      <c r="D4" s="583" t="s">
        <v>1895</v>
      </c>
      <c r="E4" s="575">
        <v>2.0</v>
      </c>
      <c r="F4" s="583" t="s">
        <v>2376</v>
      </c>
      <c r="G4" s="583" t="str">
        <f t="shared" si="1"/>
        <v>CMR2-SL11/2</v>
      </c>
      <c r="H4" s="581"/>
      <c r="I4" s="581"/>
      <c r="J4" s="581"/>
      <c r="K4" s="581"/>
      <c r="L4" s="581"/>
      <c r="M4" s="581"/>
      <c r="N4" s="581"/>
      <c r="O4" s="581"/>
      <c r="P4" s="581"/>
      <c r="Q4" s="581"/>
      <c r="R4" s="581"/>
      <c r="S4" s="581"/>
      <c r="T4" s="581"/>
      <c r="U4" s="581"/>
      <c r="V4" s="581"/>
      <c r="W4" s="581"/>
      <c r="X4" s="581"/>
      <c r="Y4" s="581"/>
    </row>
    <row r="5">
      <c r="A5" s="93"/>
      <c r="B5" s="11"/>
      <c r="C5" s="585"/>
      <c r="D5" s="586"/>
      <c r="E5" s="585"/>
      <c r="F5" s="586"/>
      <c r="G5" s="586"/>
      <c r="H5" s="581"/>
      <c r="I5" s="581"/>
      <c r="J5" s="581"/>
      <c r="K5" s="581"/>
      <c r="L5" s="581"/>
      <c r="M5" s="581"/>
      <c r="N5" s="581"/>
      <c r="O5" s="581"/>
      <c r="P5" s="581"/>
      <c r="Q5" s="581"/>
      <c r="R5" s="581"/>
      <c r="S5" s="581"/>
      <c r="T5" s="581"/>
      <c r="U5" s="581"/>
      <c r="V5" s="581"/>
      <c r="W5" s="581"/>
      <c r="X5" s="581"/>
      <c r="Y5" s="581"/>
    </row>
    <row r="6">
      <c r="A6" s="581"/>
      <c r="B6" s="581"/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1"/>
      <c r="N6" s="581"/>
      <c r="O6" s="581"/>
      <c r="P6" s="581"/>
      <c r="Q6" s="581"/>
      <c r="R6" s="581"/>
      <c r="S6" s="581"/>
      <c r="T6" s="581"/>
      <c r="U6" s="581"/>
      <c r="V6" s="581"/>
      <c r="W6" s="581"/>
      <c r="X6" s="581"/>
      <c r="Y6" s="581"/>
    </row>
    <row r="7">
      <c r="A7" s="587" t="s">
        <v>2377</v>
      </c>
      <c r="H7" s="581"/>
      <c r="I7" s="581"/>
      <c r="J7" s="581"/>
      <c r="K7" s="581"/>
      <c r="L7" s="581"/>
      <c r="M7" s="581"/>
      <c r="N7" s="581"/>
      <c r="O7" s="581"/>
      <c r="P7" s="581"/>
      <c r="Q7" s="581"/>
      <c r="R7" s="581"/>
      <c r="S7" s="581"/>
      <c r="T7" s="581"/>
      <c r="U7" s="581"/>
      <c r="V7" s="581"/>
      <c r="W7" s="581"/>
      <c r="X7" s="581"/>
      <c r="Y7" s="581"/>
    </row>
    <row r="8">
      <c r="A8" s="582" t="s">
        <v>2</v>
      </c>
      <c r="B8" s="582" t="s">
        <v>1</v>
      </c>
      <c r="C8" s="582" t="s">
        <v>10</v>
      </c>
      <c r="D8" s="582" t="s">
        <v>2212</v>
      </c>
      <c r="E8" s="582" t="s">
        <v>2213</v>
      </c>
      <c r="F8" s="582" t="s">
        <v>1751</v>
      </c>
      <c r="G8" s="582" t="s">
        <v>2214</v>
      </c>
      <c r="H8" s="581"/>
      <c r="I8" s="581"/>
      <c r="J8" s="581"/>
      <c r="K8" s="581"/>
      <c r="L8" s="581"/>
      <c r="M8" s="581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</row>
    <row r="9">
      <c r="A9" s="572" t="s">
        <v>2378</v>
      </c>
      <c r="B9" s="573" t="s">
        <v>2379</v>
      </c>
      <c r="C9" s="583" t="s">
        <v>249</v>
      </c>
      <c r="D9" s="583" t="s">
        <v>2012</v>
      </c>
      <c r="E9" s="583">
        <v>1.0</v>
      </c>
      <c r="F9" s="583" t="s">
        <v>2380</v>
      </c>
      <c r="G9" s="583" t="str">
        <f t="shared" ref="G9:G13" si="2">F9&amp;"-"&amp;D9&amp;"/"&amp;E9</f>
        <v>CML2-SL22/1</v>
      </c>
      <c r="H9" s="581"/>
      <c r="I9" s="581"/>
      <c r="J9" s="581"/>
      <c r="K9" s="581"/>
      <c r="L9" s="581"/>
      <c r="M9" s="581"/>
      <c r="N9" s="581"/>
      <c r="O9" s="581"/>
      <c r="P9" s="581"/>
      <c r="Q9" s="581"/>
      <c r="R9" s="581"/>
      <c r="S9" s="581"/>
      <c r="T9" s="581"/>
      <c r="U9" s="581"/>
      <c r="V9" s="581"/>
      <c r="W9" s="581"/>
      <c r="X9" s="581"/>
      <c r="Y9" s="581"/>
    </row>
    <row r="10">
      <c r="A10" s="584" t="s">
        <v>2381</v>
      </c>
      <c r="B10" s="573" t="s">
        <v>2382</v>
      </c>
      <c r="C10" s="583" t="s">
        <v>249</v>
      </c>
      <c r="D10" s="583" t="s">
        <v>2012</v>
      </c>
      <c r="E10" s="575">
        <v>2.0</v>
      </c>
      <c r="F10" s="583" t="s">
        <v>2380</v>
      </c>
      <c r="G10" s="583" t="str">
        <f t="shared" si="2"/>
        <v>CML2-SL22/2</v>
      </c>
      <c r="H10" s="581"/>
      <c r="I10" s="581"/>
      <c r="J10" s="581"/>
      <c r="K10" s="581"/>
      <c r="L10" s="581"/>
      <c r="M10" s="581"/>
      <c r="N10" s="581"/>
      <c r="O10" s="581"/>
      <c r="P10" s="581"/>
      <c r="Q10" s="581"/>
      <c r="R10" s="581"/>
      <c r="S10" s="581"/>
      <c r="T10" s="581"/>
      <c r="U10" s="581"/>
      <c r="V10" s="581"/>
      <c r="W10" s="581"/>
      <c r="X10" s="581"/>
      <c r="Y10" s="581"/>
    </row>
    <row r="11">
      <c r="A11" s="588" t="s">
        <v>2383</v>
      </c>
      <c r="B11" s="575" t="s">
        <v>2384</v>
      </c>
      <c r="C11" s="589" t="s">
        <v>249</v>
      </c>
      <c r="D11" s="589" t="s">
        <v>2012</v>
      </c>
      <c r="E11" s="575">
        <v>3.0</v>
      </c>
      <c r="F11" s="589" t="s">
        <v>2385</v>
      </c>
      <c r="G11" s="583" t="str">
        <f t="shared" si="2"/>
        <v>CBL1-SL22/3</v>
      </c>
      <c r="H11" s="581"/>
      <c r="I11" s="581"/>
      <c r="J11" s="581"/>
      <c r="K11" s="581"/>
      <c r="L11" s="581"/>
      <c r="M11" s="581"/>
      <c r="N11" s="581"/>
      <c r="O11" s="581"/>
      <c r="P11" s="581"/>
      <c r="Q11" s="581"/>
      <c r="R11" s="581"/>
      <c r="S11" s="581"/>
      <c r="T11" s="581"/>
      <c r="U11" s="581"/>
      <c r="V11" s="581"/>
      <c r="W11" s="581"/>
      <c r="X11" s="581"/>
      <c r="Y11" s="581"/>
    </row>
    <row r="12">
      <c r="A12" s="27" t="s">
        <v>2386</v>
      </c>
      <c r="B12" s="26" t="s">
        <v>2387</v>
      </c>
      <c r="C12" s="589" t="s">
        <v>249</v>
      </c>
      <c r="D12" s="589" t="s">
        <v>2012</v>
      </c>
      <c r="E12" s="575">
        <v>4.0</v>
      </c>
      <c r="F12" s="583" t="s">
        <v>2376</v>
      </c>
      <c r="G12" s="583" t="str">
        <f t="shared" si="2"/>
        <v>CMR2-SL22/4</v>
      </c>
      <c r="H12" s="581" t="s">
        <v>2388</v>
      </c>
      <c r="I12" s="581"/>
      <c r="J12" s="581"/>
      <c r="K12" s="581"/>
      <c r="L12" s="581"/>
      <c r="M12" s="581"/>
      <c r="N12" s="581"/>
      <c r="O12" s="581"/>
      <c r="P12" s="581"/>
      <c r="Q12" s="581"/>
      <c r="R12" s="581"/>
      <c r="S12" s="581"/>
      <c r="T12" s="581"/>
      <c r="U12" s="581"/>
      <c r="V12" s="581"/>
      <c r="W12" s="581"/>
      <c r="X12" s="581"/>
      <c r="Y12" s="581"/>
    </row>
    <row r="13">
      <c r="A13" s="575" t="s">
        <v>2389</v>
      </c>
      <c r="B13" s="575" t="s">
        <v>2390</v>
      </c>
      <c r="C13" s="589" t="s">
        <v>249</v>
      </c>
      <c r="D13" s="589" t="s">
        <v>2012</v>
      </c>
      <c r="E13" s="575">
        <v>5.0</v>
      </c>
      <c r="F13" s="583" t="s">
        <v>2201</v>
      </c>
      <c r="G13" s="583" t="str">
        <f t="shared" si="2"/>
        <v>CML1-SL22/5</v>
      </c>
      <c r="H13" s="581"/>
      <c r="I13" s="581"/>
      <c r="J13" s="581"/>
      <c r="K13" s="581"/>
      <c r="L13" s="581"/>
      <c r="M13" s="581"/>
      <c r="N13" s="581"/>
      <c r="O13" s="581"/>
      <c r="P13" s="581"/>
      <c r="Q13" s="581"/>
      <c r="R13" s="581"/>
      <c r="S13" s="581"/>
      <c r="T13" s="581"/>
      <c r="U13" s="581"/>
      <c r="V13" s="581"/>
      <c r="W13" s="581"/>
      <c r="X13" s="581"/>
      <c r="Y13" s="581"/>
    </row>
    <row r="14">
      <c r="A14" s="37"/>
      <c r="B14" s="12"/>
      <c r="C14" s="590"/>
      <c r="D14" s="590"/>
      <c r="E14" s="581"/>
      <c r="F14" s="581"/>
      <c r="G14" s="581"/>
      <c r="H14" s="581"/>
      <c r="I14" s="581"/>
      <c r="J14" s="581"/>
      <c r="K14" s="581"/>
      <c r="L14" s="581"/>
      <c r="M14" s="581"/>
      <c r="N14" s="581"/>
      <c r="O14" s="581"/>
      <c r="P14" s="581"/>
      <c r="Q14" s="581"/>
      <c r="R14" s="581"/>
      <c r="S14" s="581"/>
      <c r="T14" s="581"/>
      <c r="U14" s="581"/>
      <c r="V14" s="581"/>
      <c r="W14" s="581"/>
      <c r="X14" s="581"/>
      <c r="Y14" s="581"/>
    </row>
    <row r="15">
      <c r="A15" s="581"/>
      <c r="B15" s="581"/>
      <c r="C15" s="581"/>
      <c r="D15" s="581"/>
      <c r="E15" s="581"/>
      <c r="F15" s="581"/>
      <c r="G15" s="581"/>
      <c r="H15" s="581"/>
      <c r="I15" s="581"/>
      <c r="J15" s="581"/>
      <c r="K15" s="581"/>
      <c r="L15" s="581"/>
      <c r="M15" s="581"/>
      <c r="N15" s="581"/>
      <c r="O15" s="581"/>
      <c r="P15" s="581"/>
      <c r="Q15" s="581"/>
      <c r="R15" s="581"/>
      <c r="S15" s="581"/>
      <c r="T15" s="581"/>
      <c r="U15" s="581"/>
      <c r="V15" s="581"/>
      <c r="W15" s="581"/>
      <c r="X15" s="581"/>
      <c r="Y15" s="581"/>
    </row>
    <row r="16">
      <c r="A16" s="587" t="s">
        <v>2391</v>
      </c>
      <c r="H16" s="581"/>
      <c r="I16" s="581"/>
      <c r="J16" s="581"/>
      <c r="K16" s="581"/>
      <c r="L16" s="581"/>
      <c r="M16" s="581"/>
      <c r="N16" s="581"/>
      <c r="O16" s="581"/>
      <c r="P16" s="581"/>
      <c r="Q16" s="581"/>
      <c r="R16" s="581"/>
      <c r="S16" s="581"/>
      <c r="T16" s="581"/>
      <c r="U16" s="581"/>
      <c r="V16" s="581"/>
      <c r="W16" s="581"/>
      <c r="X16" s="581"/>
      <c r="Y16" s="581"/>
    </row>
    <row r="17">
      <c r="A17" s="582" t="s">
        <v>2</v>
      </c>
      <c r="B17" s="582" t="s">
        <v>1</v>
      </c>
      <c r="C17" s="582" t="s">
        <v>10</v>
      </c>
      <c r="D17" s="582" t="s">
        <v>2212</v>
      </c>
      <c r="E17" s="582" t="s">
        <v>2213</v>
      </c>
      <c r="F17" s="582" t="s">
        <v>1751</v>
      </c>
      <c r="G17" s="582" t="s">
        <v>2214</v>
      </c>
      <c r="H17" s="581"/>
      <c r="I17" s="581"/>
      <c r="J17" s="581"/>
      <c r="K17" s="581"/>
      <c r="L17" s="581"/>
      <c r="M17" s="581"/>
      <c r="N17" s="581"/>
      <c r="O17" s="581"/>
      <c r="P17" s="581"/>
      <c r="Q17" s="581"/>
      <c r="R17" s="581"/>
      <c r="S17" s="581"/>
      <c r="T17" s="581"/>
      <c r="U17" s="581"/>
      <c r="V17" s="581"/>
      <c r="W17" s="581"/>
      <c r="X17" s="581"/>
      <c r="Y17" s="581"/>
    </row>
    <row r="18">
      <c r="A18" s="572" t="s">
        <v>2392</v>
      </c>
      <c r="B18" s="573" t="s">
        <v>2393</v>
      </c>
      <c r="C18" s="575" t="s">
        <v>2391</v>
      </c>
      <c r="D18" s="583" t="s">
        <v>2008</v>
      </c>
      <c r="E18" s="583">
        <v>1.0</v>
      </c>
      <c r="F18" s="583" t="s">
        <v>2201</v>
      </c>
      <c r="G18" s="583" t="str">
        <f t="shared" ref="G18:G19" si="3">F18&amp;"-"&amp;D18&amp;"/"&amp;E18</f>
        <v>CML1-SM44/1</v>
      </c>
      <c r="H18" s="581"/>
      <c r="I18" s="581"/>
      <c r="J18" s="581"/>
      <c r="K18" s="581"/>
      <c r="L18" s="581"/>
      <c r="M18" s="581"/>
      <c r="N18" s="581"/>
      <c r="O18" s="581"/>
      <c r="P18" s="581"/>
      <c r="Q18" s="581"/>
      <c r="R18" s="581"/>
      <c r="S18" s="581"/>
      <c r="T18" s="581"/>
      <c r="U18" s="581"/>
      <c r="V18" s="581"/>
      <c r="W18" s="581"/>
      <c r="X18" s="581"/>
      <c r="Y18" s="581"/>
    </row>
    <row r="19">
      <c r="A19" s="575" t="s">
        <v>2394</v>
      </c>
      <c r="B19" s="575" t="s">
        <v>2395</v>
      </c>
      <c r="C19" s="575" t="s">
        <v>2391</v>
      </c>
      <c r="D19" s="583" t="s">
        <v>2008</v>
      </c>
      <c r="E19" s="583">
        <v>2.0</v>
      </c>
      <c r="F19" s="583" t="s">
        <v>2396</v>
      </c>
      <c r="G19" s="583" t="str">
        <f t="shared" si="3"/>
        <v>CBR1-SM44/2</v>
      </c>
      <c r="H19" s="581"/>
      <c r="I19" s="581"/>
      <c r="J19" s="581"/>
      <c r="K19" s="581"/>
      <c r="L19" s="581"/>
      <c r="M19" s="581"/>
      <c r="N19" s="581"/>
      <c r="O19" s="581"/>
      <c r="P19" s="581"/>
      <c r="Q19" s="581"/>
      <c r="R19" s="581"/>
      <c r="S19" s="581"/>
      <c r="T19" s="581"/>
      <c r="U19" s="581"/>
      <c r="V19" s="581"/>
      <c r="W19" s="581"/>
      <c r="X19" s="581"/>
      <c r="Y19" s="581"/>
    </row>
    <row r="20">
      <c r="C20" s="581"/>
      <c r="D20" s="581"/>
      <c r="E20" s="581"/>
      <c r="F20" s="581"/>
      <c r="G20" s="581"/>
      <c r="H20" s="581"/>
      <c r="I20" s="581"/>
      <c r="J20" s="581"/>
      <c r="K20" s="581"/>
      <c r="L20" s="581"/>
      <c r="M20" s="581"/>
      <c r="N20" s="581"/>
      <c r="O20" s="581"/>
      <c r="P20" s="581"/>
      <c r="Q20" s="581"/>
      <c r="R20" s="581"/>
      <c r="S20" s="581"/>
      <c r="T20" s="581"/>
      <c r="U20" s="581"/>
      <c r="V20" s="581"/>
      <c r="W20" s="581"/>
      <c r="X20" s="581"/>
      <c r="Y20" s="581"/>
    </row>
    <row r="21">
      <c r="A21" s="581"/>
      <c r="B21" s="581"/>
      <c r="C21" s="581"/>
      <c r="D21" s="581"/>
      <c r="E21" s="581"/>
      <c r="F21" s="581"/>
      <c r="G21" s="581"/>
      <c r="H21" s="581"/>
      <c r="I21" s="591"/>
      <c r="J21" s="592"/>
      <c r="K21" s="581"/>
      <c r="L21" s="581"/>
      <c r="M21" s="581"/>
      <c r="N21" s="581"/>
      <c r="O21" s="581"/>
      <c r="P21" s="581"/>
      <c r="Q21" s="581"/>
      <c r="R21" s="581"/>
      <c r="S21" s="581"/>
      <c r="T21" s="581"/>
      <c r="U21" s="581"/>
      <c r="V21" s="581"/>
      <c r="W21" s="581"/>
      <c r="X21" s="581"/>
      <c r="Y21" s="581"/>
    </row>
    <row r="22">
      <c r="A22" s="587" t="s">
        <v>2374</v>
      </c>
      <c r="H22" s="581"/>
      <c r="I22" s="581"/>
      <c r="J22" s="581"/>
      <c r="K22" s="581"/>
      <c r="L22" s="581"/>
      <c r="M22" s="581"/>
      <c r="N22" s="581"/>
      <c r="O22" s="581"/>
      <c r="P22" s="581"/>
      <c r="Q22" s="581"/>
      <c r="R22" s="581"/>
      <c r="S22" s="581"/>
      <c r="T22" s="581"/>
      <c r="U22" s="581"/>
      <c r="V22" s="581"/>
      <c r="W22" s="581"/>
      <c r="X22" s="581"/>
      <c r="Y22" s="581"/>
    </row>
    <row r="23">
      <c r="A23" s="582" t="s">
        <v>2</v>
      </c>
      <c r="B23" s="582" t="s">
        <v>1</v>
      </c>
      <c r="C23" s="582" t="s">
        <v>10</v>
      </c>
      <c r="D23" s="582" t="s">
        <v>2212</v>
      </c>
      <c r="E23" s="582" t="s">
        <v>2213</v>
      </c>
      <c r="F23" s="582" t="s">
        <v>1751</v>
      </c>
      <c r="G23" s="582" t="s">
        <v>2214</v>
      </c>
      <c r="H23" s="593"/>
      <c r="I23" s="591"/>
      <c r="J23" s="581"/>
      <c r="K23" s="581"/>
      <c r="L23" s="581"/>
      <c r="M23" s="581"/>
      <c r="N23" s="581"/>
      <c r="O23" s="581"/>
      <c r="P23" s="581"/>
      <c r="Q23" s="581"/>
      <c r="R23" s="581"/>
      <c r="S23" s="581"/>
      <c r="T23" s="581"/>
      <c r="U23" s="581"/>
      <c r="V23" s="581"/>
      <c r="W23" s="581"/>
      <c r="X23" s="581"/>
      <c r="Y23" s="581"/>
    </row>
    <row r="24">
      <c r="A24" s="572" t="s">
        <v>2397</v>
      </c>
      <c r="B24" s="573" t="s">
        <v>2398</v>
      </c>
      <c r="C24" s="575" t="s">
        <v>1977</v>
      </c>
      <c r="D24" s="583" t="s">
        <v>1594</v>
      </c>
      <c r="E24" s="583">
        <v>1.0</v>
      </c>
      <c r="F24" s="583" t="s">
        <v>2101</v>
      </c>
      <c r="G24" s="583" t="str">
        <f t="shared" ref="G24:G29" si="4">F24&amp;"-"&amp;D24&amp;"/"&amp;E24</f>
        <v>CMR1-SM22/1</v>
      </c>
      <c r="H24" s="593"/>
      <c r="I24" s="591"/>
      <c r="J24" s="581"/>
      <c r="K24" s="581"/>
      <c r="L24" s="581"/>
      <c r="M24" s="581"/>
      <c r="N24" s="581"/>
      <c r="O24" s="581"/>
      <c r="P24" s="581"/>
      <c r="Q24" s="581"/>
      <c r="R24" s="581"/>
      <c r="S24" s="581"/>
      <c r="T24" s="581"/>
      <c r="U24" s="581"/>
      <c r="V24" s="581"/>
      <c r="W24" s="581"/>
      <c r="X24" s="581"/>
      <c r="Y24" s="581"/>
    </row>
    <row r="25">
      <c r="A25" s="584" t="s">
        <v>2399</v>
      </c>
      <c r="B25" s="573" t="s">
        <v>2400</v>
      </c>
      <c r="C25" s="575" t="s">
        <v>1977</v>
      </c>
      <c r="D25" s="583" t="s">
        <v>1594</v>
      </c>
      <c r="E25" s="575">
        <v>2.0</v>
      </c>
      <c r="F25" s="583" t="s">
        <v>2151</v>
      </c>
      <c r="G25" s="583" t="str">
        <f t="shared" si="4"/>
        <v>CBL2-SM22/2</v>
      </c>
      <c r="H25" s="593"/>
      <c r="I25" s="591"/>
      <c r="J25" s="581"/>
      <c r="K25" s="581"/>
      <c r="L25" s="581"/>
      <c r="M25" s="581"/>
      <c r="N25" s="581"/>
      <c r="O25" s="581"/>
      <c r="P25" s="581"/>
      <c r="Q25" s="581"/>
      <c r="R25" s="581"/>
      <c r="S25" s="581"/>
      <c r="T25" s="581"/>
      <c r="U25" s="581"/>
      <c r="V25" s="581"/>
      <c r="W25" s="581"/>
      <c r="X25" s="581"/>
      <c r="Y25" s="581"/>
    </row>
    <row r="26">
      <c r="A26" s="27" t="s">
        <v>2401</v>
      </c>
      <c r="B26" s="26" t="s">
        <v>2402</v>
      </c>
      <c r="C26" s="594" t="s">
        <v>1977</v>
      </c>
      <c r="D26" s="589" t="s">
        <v>1594</v>
      </c>
      <c r="E26" s="583">
        <v>3.0</v>
      </c>
      <c r="F26" s="583" t="s">
        <v>2101</v>
      </c>
      <c r="G26" s="583" t="str">
        <f t="shared" si="4"/>
        <v>CMR1-SM22/3</v>
      </c>
      <c r="H26" s="595" t="s">
        <v>2403</v>
      </c>
      <c r="I26" s="591"/>
      <c r="J26" s="581"/>
      <c r="K26" s="581"/>
      <c r="L26" s="581"/>
      <c r="M26" s="581"/>
      <c r="N26" s="581"/>
      <c r="O26" s="581"/>
      <c r="P26" s="581"/>
      <c r="Q26" s="581"/>
      <c r="R26" s="581"/>
      <c r="S26" s="581"/>
      <c r="T26" s="581"/>
      <c r="U26" s="581"/>
      <c r="V26" s="581"/>
      <c r="W26" s="581"/>
      <c r="X26" s="581"/>
      <c r="Y26" s="581"/>
    </row>
    <row r="27">
      <c r="A27" s="27" t="s">
        <v>2404</v>
      </c>
      <c r="B27" s="26" t="s">
        <v>2405</v>
      </c>
      <c r="C27" s="596" t="s">
        <v>1977</v>
      </c>
      <c r="D27" s="597" t="s">
        <v>1594</v>
      </c>
      <c r="E27" s="575">
        <v>4.0</v>
      </c>
      <c r="F27" s="575" t="s">
        <v>2151</v>
      </c>
      <c r="G27" s="583" t="str">
        <f t="shared" si="4"/>
        <v>CBL2-SM22/4</v>
      </c>
      <c r="H27" s="595"/>
      <c r="I27" s="591"/>
      <c r="J27" s="581"/>
      <c r="K27" s="581"/>
      <c r="L27" s="581"/>
      <c r="M27" s="581"/>
      <c r="N27" s="581"/>
      <c r="O27" s="581"/>
      <c r="P27" s="581"/>
      <c r="Q27" s="581"/>
      <c r="R27" s="581"/>
      <c r="S27" s="581"/>
      <c r="T27" s="581"/>
      <c r="U27" s="581"/>
      <c r="V27" s="581"/>
      <c r="W27" s="581"/>
      <c r="X27" s="581"/>
      <c r="Y27" s="581"/>
    </row>
    <row r="28">
      <c r="A28" s="27" t="s">
        <v>1078</v>
      </c>
      <c r="B28" s="26" t="s">
        <v>1077</v>
      </c>
      <c r="C28" s="594" t="s">
        <v>1977</v>
      </c>
      <c r="D28" s="589" t="s">
        <v>1594</v>
      </c>
      <c r="E28" s="575">
        <v>5.0</v>
      </c>
      <c r="F28" s="589" t="s">
        <v>2380</v>
      </c>
      <c r="G28" s="583" t="str">
        <f t="shared" si="4"/>
        <v>CML2-SM22/5</v>
      </c>
      <c r="H28" s="595"/>
      <c r="I28" s="591"/>
      <c r="J28" s="581"/>
      <c r="K28" s="581"/>
      <c r="L28" s="581"/>
      <c r="M28" s="581"/>
      <c r="N28" s="581"/>
      <c r="O28" s="581"/>
      <c r="P28" s="581"/>
      <c r="Q28" s="581"/>
      <c r="R28" s="581"/>
      <c r="S28" s="581"/>
      <c r="T28" s="581"/>
      <c r="U28" s="581"/>
      <c r="V28" s="581"/>
      <c r="W28" s="581"/>
      <c r="X28" s="581"/>
      <c r="Y28" s="581"/>
    </row>
    <row r="29">
      <c r="A29" s="584" t="s">
        <v>2406</v>
      </c>
      <c r="B29" s="573" t="s">
        <v>2407</v>
      </c>
      <c r="C29" s="594" t="s">
        <v>1977</v>
      </c>
      <c r="D29" s="589" t="s">
        <v>1594</v>
      </c>
      <c r="E29" s="575">
        <v>6.0</v>
      </c>
      <c r="F29" s="589" t="s">
        <v>2201</v>
      </c>
      <c r="G29" s="583" t="str">
        <f t="shared" si="4"/>
        <v>CML1-SM22/6</v>
      </c>
      <c r="H29" s="595"/>
      <c r="I29" s="591"/>
      <c r="J29" s="581"/>
      <c r="K29" s="581"/>
      <c r="L29" s="581"/>
      <c r="M29" s="581"/>
      <c r="N29" s="581"/>
      <c r="O29" s="581"/>
      <c r="P29" s="581"/>
      <c r="Q29" s="581"/>
      <c r="R29" s="581"/>
      <c r="S29" s="581"/>
      <c r="T29" s="581"/>
      <c r="U29" s="581"/>
      <c r="V29" s="581"/>
      <c r="W29" s="581"/>
      <c r="X29" s="581"/>
      <c r="Y29" s="581"/>
    </row>
    <row r="30">
      <c r="A30" s="581"/>
      <c r="B30" s="581"/>
      <c r="C30" s="581"/>
      <c r="D30" s="581"/>
      <c r="E30" s="581"/>
      <c r="F30" s="581"/>
      <c r="G30" s="581"/>
      <c r="H30" s="593"/>
      <c r="I30" s="591"/>
      <c r="J30" s="581"/>
      <c r="K30" s="581"/>
      <c r="L30" s="581"/>
      <c r="M30" s="581"/>
      <c r="N30" s="581"/>
      <c r="O30" s="581"/>
      <c r="P30" s="581"/>
      <c r="Q30" s="581"/>
      <c r="R30" s="581"/>
      <c r="S30" s="581"/>
      <c r="T30" s="581"/>
      <c r="U30" s="581"/>
      <c r="V30" s="581"/>
      <c r="W30" s="581"/>
      <c r="X30" s="581"/>
      <c r="Y30" s="581"/>
    </row>
    <row r="31">
      <c r="A31" s="587" t="s">
        <v>1902</v>
      </c>
      <c r="H31" s="581"/>
      <c r="I31" s="581"/>
      <c r="J31" s="581"/>
      <c r="K31" s="581"/>
      <c r="L31" s="581"/>
      <c r="M31" s="581"/>
      <c r="N31" s="581"/>
      <c r="O31" s="581"/>
      <c r="P31" s="581"/>
      <c r="Q31" s="581"/>
      <c r="R31" s="581"/>
      <c r="S31" s="581"/>
      <c r="T31" s="581"/>
      <c r="U31" s="581"/>
      <c r="V31" s="581"/>
      <c r="W31" s="581"/>
      <c r="X31" s="581"/>
      <c r="Y31" s="581"/>
    </row>
    <row r="32">
      <c r="A32" s="582" t="s">
        <v>2</v>
      </c>
      <c r="B32" s="582" t="s">
        <v>1</v>
      </c>
      <c r="C32" s="582" t="s">
        <v>10</v>
      </c>
      <c r="D32" s="582" t="s">
        <v>2212</v>
      </c>
      <c r="E32" s="582" t="s">
        <v>2213</v>
      </c>
      <c r="F32" s="582" t="s">
        <v>1751</v>
      </c>
      <c r="G32" s="582" t="s">
        <v>2214</v>
      </c>
      <c r="H32" s="593"/>
      <c r="I32" s="591"/>
      <c r="J32" s="581"/>
      <c r="K32" s="581"/>
      <c r="L32" s="581"/>
      <c r="M32" s="581"/>
      <c r="N32" s="581"/>
      <c r="O32" s="581"/>
      <c r="P32" s="581"/>
      <c r="Q32" s="581"/>
      <c r="R32" s="581"/>
      <c r="S32" s="581"/>
      <c r="T32" s="581"/>
      <c r="U32" s="581"/>
      <c r="V32" s="581"/>
      <c r="W32" s="581"/>
      <c r="X32" s="581"/>
      <c r="Y32" s="581"/>
    </row>
    <row r="33">
      <c r="A33" s="572" t="s">
        <v>2408</v>
      </c>
      <c r="B33" s="573" t="s">
        <v>2409</v>
      </c>
      <c r="C33" s="575" t="s">
        <v>2410</v>
      </c>
      <c r="D33" s="583" t="s">
        <v>1902</v>
      </c>
      <c r="E33" s="583">
        <v>1.0</v>
      </c>
      <c r="F33" s="583" t="s">
        <v>2201</v>
      </c>
      <c r="G33" s="583" t="str">
        <f t="shared" ref="G33:G35" si="5">F33&amp;"-"&amp;D33&amp;"/"&amp;E33</f>
        <v>CML1-KW222/1</v>
      </c>
      <c r="H33" s="593"/>
      <c r="I33" s="591"/>
      <c r="J33" s="581"/>
      <c r="K33" s="581"/>
      <c r="L33" s="581"/>
      <c r="M33" s="581"/>
      <c r="N33" s="581"/>
      <c r="O33" s="581"/>
      <c r="P33" s="581"/>
      <c r="Q33" s="581"/>
      <c r="R33" s="581"/>
      <c r="S33" s="581"/>
      <c r="T33" s="581"/>
      <c r="U33" s="581"/>
      <c r="V33" s="581"/>
      <c r="W33" s="581"/>
      <c r="X33" s="581"/>
      <c r="Y33" s="581"/>
    </row>
    <row r="34">
      <c r="A34" s="575" t="s">
        <v>2411</v>
      </c>
      <c r="B34" s="575" t="s">
        <v>2412</v>
      </c>
      <c r="C34" s="575" t="s">
        <v>2410</v>
      </c>
      <c r="D34" s="583" t="s">
        <v>1902</v>
      </c>
      <c r="E34" s="583">
        <v>2.0</v>
      </c>
      <c r="F34" s="583" t="s">
        <v>2396</v>
      </c>
      <c r="G34" s="583" t="str">
        <f t="shared" si="5"/>
        <v>CBR1-KW222/2</v>
      </c>
      <c r="H34" s="581"/>
      <c r="I34" s="595"/>
      <c r="J34" s="591"/>
      <c r="K34" s="581"/>
      <c r="L34" s="581"/>
      <c r="M34" s="581"/>
      <c r="N34" s="581"/>
      <c r="O34" s="581"/>
      <c r="P34" s="581"/>
      <c r="Q34" s="581"/>
      <c r="R34" s="581"/>
      <c r="S34" s="581"/>
      <c r="T34" s="581"/>
      <c r="U34" s="581"/>
      <c r="V34" s="581"/>
      <c r="W34" s="581"/>
      <c r="X34" s="581"/>
      <c r="Y34" s="581"/>
    </row>
    <row r="35">
      <c r="A35" s="575" t="s">
        <v>2413</v>
      </c>
      <c r="B35" s="575" t="s">
        <v>2414</v>
      </c>
      <c r="C35" s="575" t="s">
        <v>2410</v>
      </c>
      <c r="D35" s="583" t="s">
        <v>1902</v>
      </c>
      <c r="E35" s="575">
        <v>3.0</v>
      </c>
      <c r="F35" s="583" t="s">
        <v>2101</v>
      </c>
      <c r="G35" s="583" t="str">
        <f t="shared" si="5"/>
        <v>CMR1-KW222/3</v>
      </c>
      <c r="H35" s="581"/>
      <c r="I35" s="595"/>
      <c r="J35" s="591"/>
      <c r="K35" s="591"/>
      <c r="L35" s="581"/>
      <c r="M35" s="581"/>
      <c r="N35" s="581"/>
      <c r="O35" s="581"/>
      <c r="P35" s="581"/>
      <c r="Q35" s="581"/>
      <c r="R35" s="581"/>
      <c r="S35" s="581"/>
      <c r="T35" s="581"/>
      <c r="U35" s="581"/>
      <c r="V35" s="581"/>
      <c r="W35" s="581"/>
      <c r="X35" s="581"/>
      <c r="Y35" s="581"/>
    </row>
    <row r="36">
      <c r="A36" s="581"/>
      <c r="B36" s="581"/>
      <c r="C36" s="581"/>
      <c r="D36" s="581"/>
      <c r="E36" s="581"/>
      <c r="F36" s="581"/>
      <c r="G36" s="581"/>
      <c r="H36" s="581"/>
      <c r="I36" s="595"/>
      <c r="J36" s="591"/>
      <c r="K36" s="591"/>
      <c r="L36" s="581"/>
      <c r="M36" s="581"/>
      <c r="N36" s="581"/>
      <c r="O36" s="581"/>
      <c r="P36" s="581"/>
      <c r="Q36" s="581"/>
      <c r="R36" s="581"/>
      <c r="S36" s="581"/>
      <c r="T36" s="581"/>
      <c r="U36" s="581"/>
      <c r="V36" s="581"/>
      <c r="W36" s="581"/>
      <c r="X36" s="581"/>
      <c r="Y36" s="581"/>
    </row>
    <row r="37">
      <c r="A37" s="581"/>
      <c r="B37" s="581"/>
      <c r="C37" s="581"/>
      <c r="D37" s="581"/>
      <c r="E37" s="581"/>
      <c r="F37" s="581"/>
      <c r="G37" s="581"/>
      <c r="H37" s="581"/>
      <c r="I37" s="595"/>
      <c r="J37" s="591"/>
      <c r="K37" s="581"/>
      <c r="L37" s="581"/>
      <c r="M37" s="581"/>
      <c r="N37" s="581"/>
      <c r="O37" s="581"/>
      <c r="P37" s="581"/>
      <c r="Q37" s="581"/>
      <c r="R37" s="581"/>
      <c r="S37" s="581"/>
      <c r="T37" s="581"/>
      <c r="U37" s="581"/>
      <c r="V37" s="581"/>
      <c r="W37" s="581"/>
      <c r="X37" s="581"/>
      <c r="Y37" s="581"/>
    </row>
    <row r="38">
      <c r="A38" s="581"/>
      <c r="B38" s="581"/>
      <c r="D38" s="581"/>
      <c r="E38" s="12"/>
      <c r="F38" s="581"/>
      <c r="G38" s="581"/>
      <c r="H38" s="581"/>
      <c r="I38" s="581"/>
      <c r="J38" s="581"/>
      <c r="K38" s="581"/>
      <c r="L38" s="581"/>
      <c r="M38" s="581"/>
      <c r="N38" s="581"/>
      <c r="O38" s="581"/>
      <c r="P38" s="581"/>
      <c r="Q38" s="581"/>
      <c r="R38" s="581"/>
      <c r="S38" s="581"/>
      <c r="T38" s="581"/>
      <c r="U38" s="581"/>
      <c r="V38" s="581"/>
      <c r="W38" s="581"/>
      <c r="X38" s="581"/>
      <c r="Y38" s="581"/>
    </row>
    <row r="39">
      <c r="A39" s="598" t="s">
        <v>123</v>
      </c>
      <c r="B39" s="599" t="s">
        <v>122</v>
      </c>
      <c r="C39" s="600"/>
      <c r="D39" s="600"/>
      <c r="E39" s="599"/>
      <c r="F39" s="600"/>
      <c r="G39" s="599" t="s">
        <v>2023</v>
      </c>
      <c r="H39" s="581"/>
      <c r="I39" s="581"/>
      <c r="J39" s="581"/>
      <c r="K39" s="581"/>
      <c r="L39" s="581"/>
      <c r="M39" s="581"/>
      <c r="N39" s="581"/>
      <c r="O39" s="581"/>
      <c r="P39" s="581"/>
      <c r="Q39" s="581"/>
      <c r="R39" s="581"/>
      <c r="S39" s="581"/>
      <c r="T39" s="581"/>
      <c r="U39" s="581"/>
      <c r="V39" s="581"/>
      <c r="W39" s="581"/>
      <c r="X39" s="581"/>
      <c r="Y39" s="581"/>
    </row>
    <row r="40">
      <c r="A40" s="581"/>
      <c r="B40" s="581"/>
      <c r="C40" s="581"/>
      <c r="D40" s="581"/>
      <c r="E40" s="581"/>
      <c r="F40" s="581"/>
      <c r="G40" s="581"/>
      <c r="H40" s="581"/>
      <c r="I40" s="581"/>
      <c r="J40" s="581"/>
      <c r="K40" s="581"/>
      <c r="L40" s="581"/>
      <c r="M40" s="581"/>
      <c r="N40" s="581"/>
      <c r="O40" s="581"/>
      <c r="P40" s="581"/>
      <c r="Q40" s="581"/>
      <c r="R40" s="581"/>
      <c r="S40" s="581"/>
      <c r="T40" s="581"/>
      <c r="U40" s="581"/>
      <c r="V40" s="581"/>
      <c r="W40" s="581"/>
      <c r="X40" s="581"/>
      <c r="Y40" s="581"/>
    </row>
    <row r="41">
      <c r="A41" s="581"/>
      <c r="B41" s="581"/>
      <c r="C41" s="581"/>
      <c r="D41" s="581"/>
      <c r="E41" s="581"/>
      <c r="F41" s="581"/>
      <c r="G41" s="581"/>
      <c r="H41" s="581"/>
      <c r="I41" s="581"/>
      <c r="J41" s="581"/>
      <c r="K41" s="581"/>
      <c r="L41" s="581"/>
      <c r="M41" s="581"/>
      <c r="N41" s="581"/>
      <c r="O41" s="581"/>
      <c r="P41" s="581"/>
      <c r="Q41" s="581"/>
      <c r="R41" s="581"/>
      <c r="S41" s="581"/>
      <c r="T41" s="581"/>
      <c r="U41" s="581"/>
      <c r="V41" s="581"/>
      <c r="W41" s="581"/>
      <c r="X41" s="581"/>
      <c r="Y41" s="581"/>
    </row>
    <row r="42">
      <c r="A42" s="587" t="s">
        <v>2415</v>
      </c>
      <c r="H42" s="581"/>
      <c r="I42" s="581"/>
      <c r="J42" s="581"/>
      <c r="K42" s="581"/>
      <c r="L42" s="581"/>
      <c r="M42" s="581"/>
      <c r="N42" s="581"/>
      <c r="O42" s="581"/>
      <c r="P42" s="581"/>
      <c r="Q42" s="581"/>
      <c r="R42" s="581"/>
      <c r="S42" s="581"/>
      <c r="T42" s="581"/>
      <c r="U42" s="581"/>
      <c r="V42" s="581"/>
      <c r="W42" s="581"/>
      <c r="X42" s="581"/>
      <c r="Y42" s="581"/>
    </row>
    <row r="43">
      <c r="A43" s="601" t="s">
        <v>27</v>
      </c>
      <c r="B43" s="601" t="s">
        <v>26</v>
      </c>
      <c r="C43" s="601"/>
      <c r="D43" s="601"/>
      <c r="G43" s="601" t="s">
        <v>2007</v>
      </c>
      <c r="H43" s="601">
        <v>2.0</v>
      </c>
      <c r="I43" s="581"/>
      <c r="J43" s="581"/>
      <c r="K43" s="581"/>
      <c r="L43" s="581"/>
      <c r="M43" s="581"/>
      <c r="N43" s="581"/>
      <c r="O43" s="581"/>
      <c r="P43" s="581"/>
      <c r="Q43" s="581"/>
      <c r="R43" s="581"/>
      <c r="S43" s="581"/>
      <c r="T43" s="581"/>
      <c r="U43" s="581"/>
      <c r="V43" s="581"/>
      <c r="W43" s="581"/>
      <c r="X43" s="581"/>
      <c r="Y43" s="581"/>
    </row>
    <row r="44">
      <c r="A44" s="601" t="s">
        <v>71</v>
      </c>
      <c r="B44" s="601" t="s">
        <v>70</v>
      </c>
      <c r="C44" s="601"/>
      <c r="D44" s="601"/>
      <c r="G44" s="601" t="s">
        <v>1984</v>
      </c>
      <c r="H44" s="601">
        <v>25.0</v>
      </c>
      <c r="I44" s="581"/>
      <c r="J44" s="581"/>
      <c r="K44" s="581"/>
      <c r="L44" s="581"/>
      <c r="M44" s="581"/>
      <c r="N44" s="581"/>
      <c r="O44" s="581"/>
      <c r="P44" s="581"/>
      <c r="Q44" s="581"/>
      <c r="R44" s="581"/>
      <c r="S44" s="581"/>
      <c r="T44" s="581"/>
      <c r="U44" s="581"/>
      <c r="V44" s="581"/>
      <c r="W44" s="581"/>
      <c r="X44" s="581"/>
      <c r="Y44" s="581"/>
    </row>
    <row r="45">
      <c r="A45" s="601" t="s">
        <v>352</v>
      </c>
      <c r="B45" s="601" t="s">
        <v>80</v>
      </c>
      <c r="C45" s="601"/>
      <c r="D45" s="601"/>
      <c r="G45" s="601" t="s">
        <v>1984</v>
      </c>
      <c r="H45" s="601">
        <v>5.0</v>
      </c>
      <c r="I45" s="581"/>
      <c r="J45" s="581"/>
      <c r="K45" s="581"/>
      <c r="L45" s="581"/>
      <c r="M45" s="581"/>
      <c r="N45" s="581"/>
      <c r="O45" s="581"/>
      <c r="P45" s="581"/>
      <c r="Q45" s="581"/>
      <c r="R45" s="581"/>
      <c r="S45" s="581"/>
      <c r="T45" s="581"/>
      <c r="U45" s="581"/>
      <c r="V45" s="581"/>
      <c r="W45" s="581"/>
      <c r="X45" s="581"/>
      <c r="Y45" s="581"/>
    </row>
    <row r="46">
      <c r="A46" s="601" t="s">
        <v>127</v>
      </c>
      <c r="B46" s="601" t="s">
        <v>126</v>
      </c>
      <c r="C46" s="601"/>
      <c r="D46" s="601"/>
      <c r="G46" s="601" t="s">
        <v>1900</v>
      </c>
      <c r="H46" s="601">
        <v>5.0</v>
      </c>
      <c r="I46" s="581"/>
      <c r="J46" s="581"/>
      <c r="K46" s="581"/>
      <c r="L46" s="581"/>
      <c r="M46" s="581"/>
      <c r="N46" s="581"/>
      <c r="O46" s="581"/>
      <c r="P46" s="581"/>
      <c r="Q46" s="581"/>
      <c r="R46" s="581"/>
      <c r="S46" s="581"/>
      <c r="T46" s="581"/>
      <c r="U46" s="581"/>
      <c r="V46" s="581"/>
      <c r="W46" s="581"/>
      <c r="X46" s="581"/>
      <c r="Y46" s="581"/>
    </row>
    <row r="47">
      <c r="A47" s="553" t="s">
        <v>1132</v>
      </c>
      <c r="B47" s="554" t="s">
        <v>1131</v>
      </c>
      <c r="C47" s="555"/>
      <c r="D47" s="555"/>
      <c r="E47" s="555"/>
      <c r="F47" s="555"/>
      <c r="G47" s="551" t="s">
        <v>2201</v>
      </c>
      <c r="H47" s="346">
        <v>1.0</v>
      </c>
      <c r="I47" s="581"/>
      <c r="J47" s="581"/>
      <c r="K47" s="581"/>
      <c r="L47" s="581"/>
      <c r="M47" s="581"/>
      <c r="N47" s="581"/>
      <c r="O47" s="581"/>
      <c r="P47" s="581"/>
      <c r="Q47" s="581"/>
      <c r="R47" s="581"/>
      <c r="S47" s="581"/>
      <c r="T47" s="581"/>
      <c r="U47" s="581"/>
      <c r="V47" s="581"/>
      <c r="W47" s="581"/>
      <c r="X47" s="581"/>
      <c r="Y47" s="581"/>
    </row>
    <row r="48">
      <c r="A48" s="115" t="s">
        <v>1604</v>
      </c>
      <c r="B48" s="412" t="s">
        <v>1603</v>
      </c>
      <c r="C48" s="413"/>
      <c r="D48" s="413"/>
      <c r="E48" s="413"/>
      <c r="F48" s="413"/>
      <c r="G48" s="551" t="s">
        <v>2385</v>
      </c>
      <c r="H48" s="412">
        <v>1.0</v>
      </c>
      <c r="I48" s="581"/>
      <c r="J48" s="581"/>
      <c r="K48" s="581"/>
      <c r="L48" s="581"/>
      <c r="M48" s="581"/>
      <c r="N48" s="581"/>
      <c r="O48" s="581"/>
      <c r="P48" s="581"/>
      <c r="Q48" s="581"/>
      <c r="R48" s="581"/>
      <c r="S48" s="581"/>
      <c r="T48" s="581"/>
      <c r="U48" s="581"/>
      <c r="V48" s="581"/>
      <c r="W48" s="581"/>
      <c r="X48" s="581"/>
      <c r="Y48" s="581"/>
    </row>
    <row r="49">
      <c r="A49" s="115" t="s">
        <v>1608</v>
      </c>
      <c r="B49" s="412" t="s">
        <v>1607</v>
      </c>
      <c r="C49" s="413"/>
      <c r="D49" s="413"/>
      <c r="E49" s="413"/>
      <c r="F49" s="413"/>
      <c r="G49" s="551" t="s">
        <v>2385</v>
      </c>
      <c r="H49" s="412">
        <v>2.0</v>
      </c>
      <c r="I49" s="581"/>
      <c r="J49" s="581"/>
      <c r="K49" s="581"/>
      <c r="L49" s="581"/>
      <c r="M49" s="581"/>
      <c r="N49" s="581"/>
      <c r="O49" s="581"/>
      <c r="P49" s="581"/>
      <c r="Q49" s="581"/>
      <c r="R49" s="581"/>
      <c r="S49" s="581"/>
      <c r="T49" s="581"/>
      <c r="U49" s="581"/>
      <c r="V49" s="581"/>
      <c r="W49" s="581"/>
      <c r="X49" s="581"/>
      <c r="Y49" s="581"/>
    </row>
    <row r="50">
      <c r="A50" s="115" t="s">
        <v>1611</v>
      </c>
      <c r="B50" s="412" t="s">
        <v>1610</v>
      </c>
      <c r="C50" s="413"/>
      <c r="D50" s="413"/>
      <c r="E50" s="413"/>
      <c r="F50" s="413"/>
      <c r="G50" s="551" t="s">
        <v>2385</v>
      </c>
      <c r="H50" s="412">
        <v>5.0</v>
      </c>
      <c r="I50" s="581"/>
      <c r="J50" s="581"/>
      <c r="K50" s="581"/>
      <c r="L50" s="581"/>
      <c r="M50" s="581"/>
      <c r="N50" s="581"/>
      <c r="O50" s="581"/>
      <c r="P50" s="581"/>
      <c r="Q50" s="581"/>
      <c r="R50" s="581"/>
      <c r="S50" s="581"/>
      <c r="T50" s="581"/>
      <c r="U50" s="581"/>
      <c r="V50" s="581"/>
      <c r="W50" s="581"/>
      <c r="X50" s="581"/>
      <c r="Y50" s="581"/>
    </row>
    <row r="51">
      <c r="A51" s="115" t="s">
        <v>1615</v>
      </c>
      <c r="B51" s="412" t="s">
        <v>1614</v>
      </c>
      <c r="C51" s="413"/>
      <c r="D51" s="413"/>
      <c r="E51" s="413"/>
      <c r="F51" s="413"/>
      <c r="G51" s="551" t="s">
        <v>2385</v>
      </c>
      <c r="H51" s="412">
        <v>5.0</v>
      </c>
      <c r="I51" s="581"/>
      <c r="J51" s="581"/>
      <c r="K51" s="581"/>
      <c r="L51" s="581"/>
      <c r="M51" s="581"/>
      <c r="N51" s="581"/>
      <c r="O51" s="581"/>
      <c r="P51" s="581"/>
      <c r="Q51" s="581"/>
      <c r="R51" s="581"/>
      <c r="S51" s="581"/>
      <c r="T51" s="581"/>
      <c r="U51" s="581"/>
      <c r="V51" s="581"/>
      <c r="W51" s="581"/>
      <c r="X51" s="581"/>
      <c r="Y51" s="581"/>
    </row>
    <row r="52">
      <c r="A52" s="553" t="s">
        <v>1982</v>
      </c>
      <c r="B52" s="554" t="s">
        <v>1433</v>
      </c>
      <c r="C52" s="555"/>
      <c r="D52" s="555"/>
      <c r="E52" s="555"/>
      <c r="F52" s="555"/>
      <c r="G52" s="551" t="s">
        <v>2007</v>
      </c>
      <c r="H52" s="346">
        <v>1.0</v>
      </c>
      <c r="I52" s="581"/>
      <c r="J52" s="581"/>
      <c r="K52" s="581"/>
      <c r="L52" s="581"/>
      <c r="M52" s="581"/>
      <c r="N52" s="581"/>
      <c r="O52" s="581"/>
      <c r="P52" s="581"/>
      <c r="Q52" s="581"/>
      <c r="R52" s="581"/>
      <c r="S52" s="581"/>
      <c r="T52" s="581"/>
      <c r="U52" s="581"/>
      <c r="V52" s="581"/>
      <c r="W52" s="581"/>
      <c r="X52" s="581"/>
      <c r="Y52" s="581"/>
    </row>
    <row r="53">
      <c r="A53" s="115" t="s">
        <v>1439</v>
      </c>
      <c r="B53" s="412" t="s">
        <v>1438</v>
      </c>
      <c r="C53" s="413"/>
      <c r="D53" s="413"/>
      <c r="E53" s="413"/>
      <c r="F53" s="413"/>
      <c r="G53" s="551" t="s">
        <v>2140</v>
      </c>
      <c r="H53" s="259">
        <v>5.0</v>
      </c>
      <c r="I53" s="581"/>
      <c r="J53" s="581"/>
      <c r="K53" s="581"/>
      <c r="L53" s="581"/>
      <c r="M53" s="581"/>
      <c r="N53" s="581"/>
      <c r="O53" s="581"/>
      <c r="P53" s="581"/>
      <c r="Q53" s="581"/>
      <c r="R53" s="581"/>
      <c r="S53" s="581"/>
      <c r="T53" s="581"/>
      <c r="U53" s="581"/>
      <c r="V53" s="581"/>
      <c r="W53" s="581"/>
      <c r="X53" s="581"/>
      <c r="Y53" s="581"/>
    </row>
    <row r="54">
      <c r="A54" s="115" t="s">
        <v>1454</v>
      </c>
      <c r="B54" s="412" t="s">
        <v>1453</v>
      </c>
      <c r="C54" s="413"/>
      <c r="D54" s="413"/>
      <c r="E54" s="413"/>
      <c r="F54" s="413"/>
      <c r="G54" s="551" t="s">
        <v>2141</v>
      </c>
      <c r="H54" s="259">
        <v>50.0</v>
      </c>
      <c r="I54" s="581"/>
      <c r="J54" s="581"/>
      <c r="K54" s="581"/>
      <c r="L54" s="581"/>
      <c r="M54" s="581"/>
      <c r="N54" s="581"/>
      <c r="O54" s="581"/>
      <c r="P54" s="581"/>
      <c r="Q54" s="581"/>
      <c r="R54" s="581"/>
      <c r="S54" s="581"/>
      <c r="T54" s="581"/>
      <c r="U54" s="581"/>
      <c r="V54" s="581"/>
      <c r="W54" s="581"/>
      <c r="X54" s="581"/>
      <c r="Y54" s="581"/>
    </row>
    <row r="55">
      <c r="A55" s="115" t="s">
        <v>1458</v>
      </c>
      <c r="B55" s="412" t="s">
        <v>1457</v>
      </c>
      <c r="C55" s="413"/>
      <c r="D55" s="413"/>
      <c r="E55" s="413"/>
      <c r="F55" s="413"/>
      <c r="G55" s="551" t="s">
        <v>2142</v>
      </c>
      <c r="H55" s="259">
        <v>10.0</v>
      </c>
      <c r="I55" s="581"/>
      <c r="J55" s="581"/>
      <c r="K55" s="581"/>
      <c r="L55" s="581"/>
      <c r="M55" s="581"/>
      <c r="N55" s="581"/>
      <c r="O55" s="581"/>
      <c r="P55" s="581"/>
      <c r="Q55" s="581"/>
      <c r="R55" s="581"/>
      <c r="S55" s="581"/>
      <c r="T55" s="581"/>
      <c r="U55" s="581"/>
      <c r="V55" s="581"/>
      <c r="W55" s="581"/>
      <c r="X55" s="581"/>
      <c r="Y55" s="581"/>
    </row>
    <row r="56">
      <c r="A56" s="115" t="s">
        <v>1446</v>
      </c>
      <c r="B56" s="412" t="s">
        <v>1445</v>
      </c>
      <c r="C56" s="413"/>
      <c r="D56" s="413"/>
      <c r="E56" s="413"/>
      <c r="F56" s="413"/>
      <c r="G56" s="551" t="s">
        <v>2143</v>
      </c>
      <c r="H56" s="259">
        <v>5.0</v>
      </c>
      <c r="I56" s="581"/>
      <c r="J56" s="581"/>
      <c r="K56" s="581"/>
      <c r="L56" s="581"/>
      <c r="M56" s="581"/>
      <c r="N56" s="581"/>
      <c r="O56" s="581"/>
      <c r="P56" s="581"/>
      <c r="Q56" s="581"/>
      <c r="R56" s="581"/>
      <c r="S56" s="581"/>
      <c r="T56" s="581"/>
      <c r="U56" s="581"/>
      <c r="V56" s="581"/>
      <c r="W56" s="581"/>
      <c r="X56" s="581"/>
      <c r="Y56" s="581"/>
    </row>
    <row r="57">
      <c r="A57" s="115" t="s">
        <v>1450</v>
      </c>
      <c r="B57" s="412" t="s">
        <v>1449</v>
      </c>
      <c r="C57" s="413"/>
      <c r="D57" s="413"/>
      <c r="E57" s="413"/>
      <c r="F57" s="413"/>
      <c r="G57" s="551" t="s">
        <v>2143</v>
      </c>
      <c r="H57" s="259">
        <v>5.0</v>
      </c>
      <c r="I57" s="581"/>
      <c r="J57" s="581"/>
      <c r="K57" s="581"/>
      <c r="L57" s="581"/>
      <c r="M57" s="581"/>
      <c r="N57" s="581"/>
      <c r="O57" s="581"/>
      <c r="P57" s="581"/>
      <c r="Q57" s="581"/>
      <c r="R57" s="581"/>
      <c r="S57" s="581"/>
      <c r="T57" s="581"/>
      <c r="U57" s="581"/>
      <c r="V57" s="581"/>
      <c r="W57" s="581"/>
      <c r="X57" s="581"/>
      <c r="Y57" s="581"/>
    </row>
    <row r="58">
      <c r="A58" s="115" t="s">
        <v>1461</v>
      </c>
      <c r="B58" s="412" t="s">
        <v>1460</v>
      </c>
      <c r="C58" s="413"/>
      <c r="D58" s="413"/>
      <c r="E58" s="413"/>
      <c r="F58" s="413"/>
      <c r="G58" s="551" t="s">
        <v>1984</v>
      </c>
      <c r="H58" s="259">
        <v>1.0</v>
      </c>
      <c r="I58" s="581"/>
      <c r="J58" s="581"/>
      <c r="K58" s="581"/>
      <c r="L58" s="581"/>
      <c r="M58" s="581"/>
      <c r="N58" s="581"/>
      <c r="O58" s="581"/>
      <c r="P58" s="581"/>
      <c r="Q58" s="581"/>
      <c r="R58" s="581"/>
      <c r="S58" s="581"/>
      <c r="T58" s="581"/>
      <c r="U58" s="581"/>
      <c r="V58" s="581"/>
      <c r="W58" s="581"/>
      <c r="X58" s="581"/>
      <c r="Y58" s="581"/>
    </row>
    <row r="59">
      <c r="A59" s="115" t="s">
        <v>1466</v>
      </c>
      <c r="B59" s="412" t="s">
        <v>1465</v>
      </c>
      <c r="C59" s="413"/>
      <c r="D59" s="413"/>
      <c r="E59" s="413"/>
      <c r="F59" s="413"/>
      <c r="G59" s="551" t="s">
        <v>2142</v>
      </c>
      <c r="H59" s="259">
        <v>10.0</v>
      </c>
      <c r="I59" s="581"/>
      <c r="J59" s="581"/>
      <c r="K59" s="581"/>
      <c r="L59" s="581"/>
      <c r="M59" s="581"/>
      <c r="N59" s="581"/>
      <c r="O59" s="581"/>
      <c r="P59" s="581"/>
      <c r="Q59" s="581"/>
      <c r="R59" s="581"/>
      <c r="S59" s="581"/>
      <c r="T59" s="581"/>
      <c r="U59" s="581"/>
      <c r="V59" s="581"/>
      <c r="W59" s="581"/>
      <c r="X59" s="581"/>
      <c r="Y59" s="581"/>
    </row>
    <row r="60">
      <c r="A60" s="115" t="s">
        <v>1470</v>
      </c>
      <c r="B60" s="412" t="s">
        <v>1469</v>
      </c>
      <c r="C60" s="413"/>
      <c r="D60" s="413"/>
      <c r="E60" s="413"/>
      <c r="F60" s="413"/>
      <c r="G60" s="551" t="s">
        <v>2007</v>
      </c>
      <c r="H60" s="259">
        <v>1.0</v>
      </c>
      <c r="I60" s="581"/>
      <c r="J60" s="581"/>
      <c r="K60" s="581"/>
      <c r="L60" s="581"/>
      <c r="M60" s="581"/>
      <c r="N60" s="581"/>
      <c r="O60" s="581"/>
      <c r="P60" s="581"/>
      <c r="Q60" s="581"/>
      <c r="R60" s="581"/>
      <c r="S60" s="581"/>
      <c r="T60" s="581"/>
      <c r="U60" s="581"/>
      <c r="V60" s="581"/>
      <c r="W60" s="581"/>
      <c r="X60" s="581"/>
      <c r="Y60" s="581"/>
    </row>
    <row r="61">
      <c r="A61" s="581"/>
      <c r="B61" s="581"/>
      <c r="C61" s="581"/>
      <c r="D61" s="581"/>
      <c r="E61" s="581"/>
      <c r="F61" s="581"/>
      <c r="G61" s="581"/>
      <c r="H61" s="581"/>
      <c r="I61" s="581"/>
      <c r="J61" s="581"/>
      <c r="K61" s="581"/>
      <c r="L61" s="581"/>
      <c r="M61" s="581"/>
      <c r="N61" s="581"/>
      <c r="O61" s="581"/>
      <c r="P61" s="581"/>
      <c r="Q61" s="581"/>
      <c r="R61" s="581"/>
      <c r="S61" s="581"/>
      <c r="T61" s="581"/>
      <c r="U61" s="581"/>
      <c r="V61" s="581"/>
      <c r="W61" s="581"/>
      <c r="X61" s="581"/>
      <c r="Y61" s="581"/>
    </row>
    <row r="62">
      <c r="A62" s="581"/>
      <c r="B62" s="581"/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1"/>
      <c r="N62" s="581"/>
      <c r="O62" s="581"/>
      <c r="P62" s="581"/>
      <c r="Q62" s="581"/>
      <c r="R62" s="581"/>
      <c r="S62" s="581"/>
      <c r="T62" s="581"/>
      <c r="U62" s="581"/>
      <c r="V62" s="581"/>
      <c r="W62" s="581"/>
      <c r="X62" s="581"/>
      <c r="Y62" s="581"/>
    </row>
    <row r="63">
      <c r="A63" s="581"/>
      <c r="B63" s="581"/>
      <c r="C63" s="581"/>
      <c r="D63" s="581"/>
      <c r="E63" s="581"/>
      <c r="F63" s="581"/>
      <c r="G63" s="581"/>
      <c r="H63" s="581"/>
      <c r="I63" s="581"/>
      <c r="J63" s="581"/>
      <c r="K63" s="581"/>
      <c r="L63" s="581"/>
      <c r="M63" s="581"/>
      <c r="N63" s="581"/>
      <c r="O63" s="581"/>
      <c r="P63" s="581"/>
      <c r="Q63" s="581"/>
      <c r="R63" s="581"/>
      <c r="S63" s="581"/>
      <c r="T63" s="581"/>
      <c r="U63" s="581"/>
      <c r="V63" s="581"/>
      <c r="W63" s="581"/>
      <c r="X63" s="581"/>
      <c r="Y63" s="581"/>
    </row>
    <row r="64">
      <c r="A64" s="581"/>
      <c r="B64" s="581"/>
      <c r="C64" s="581"/>
      <c r="D64" s="581"/>
      <c r="E64" s="581"/>
      <c r="F64" s="581"/>
      <c r="G64" s="581"/>
      <c r="H64" s="581"/>
      <c r="I64" s="581"/>
      <c r="J64" s="581"/>
      <c r="K64" s="581"/>
      <c r="L64" s="581"/>
      <c r="M64" s="581"/>
      <c r="N64" s="581"/>
      <c r="O64" s="581"/>
      <c r="P64" s="581"/>
      <c r="Q64" s="581"/>
      <c r="R64" s="581"/>
      <c r="S64" s="581"/>
      <c r="T64" s="581"/>
      <c r="U64" s="581"/>
      <c r="V64" s="581"/>
      <c r="W64" s="581"/>
      <c r="X64" s="581"/>
      <c r="Y64" s="581"/>
    </row>
    <row r="65">
      <c r="A65" s="581"/>
      <c r="B65" s="581"/>
      <c r="C65" s="581"/>
      <c r="D65" s="581"/>
      <c r="E65" s="581"/>
      <c r="F65" s="581"/>
      <c r="G65" s="581"/>
      <c r="H65" s="581"/>
      <c r="I65" s="581"/>
      <c r="J65" s="581"/>
      <c r="K65" s="581"/>
      <c r="L65" s="581"/>
      <c r="M65" s="581"/>
      <c r="N65" s="581"/>
      <c r="O65" s="581"/>
      <c r="P65" s="581"/>
      <c r="Q65" s="581"/>
      <c r="R65" s="581"/>
      <c r="S65" s="581"/>
      <c r="T65" s="581"/>
      <c r="U65" s="581"/>
      <c r="V65" s="581"/>
      <c r="W65" s="581"/>
      <c r="X65" s="581"/>
      <c r="Y65" s="581"/>
    </row>
    <row r="66">
      <c r="A66" s="581"/>
      <c r="B66" s="581"/>
      <c r="C66" s="581"/>
      <c r="D66" s="581"/>
      <c r="E66" s="581"/>
      <c r="F66" s="581"/>
      <c r="G66" s="581"/>
      <c r="H66" s="581"/>
      <c r="I66" s="581"/>
      <c r="J66" s="581"/>
      <c r="K66" s="581"/>
      <c r="L66" s="581"/>
      <c r="M66" s="581"/>
      <c r="N66" s="581"/>
      <c r="O66" s="581"/>
      <c r="P66" s="581"/>
      <c r="Q66" s="581"/>
      <c r="R66" s="581"/>
      <c r="S66" s="581"/>
      <c r="T66" s="581"/>
      <c r="U66" s="581"/>
      <c r="V66" s="581"/>
      <c r="W66" s="581"/>
      <c r="X66" s="581"/>
      <c r="Y66" s="581"/>
    </row>
    <row r="67">
      <c r="A67" s="581"/>
      <c r="B67" s="581"/>
      <c r="C67" s="581"/>
      <c r="D67" s="581"/>
      <c r="E67" s="581"/>
      <c r="F67" s="581"/>
      <c r="G67" s="581"/>
      <c r="H67" s="581"/>
      <c r="I67" s="581"/>
      <c r="J67" s="581"/>
      <c r="K67" s="581"/>
      <c r="L67" s="581"/>
      <c r="M67" s="581"/>
      <c r="N67" s="581"/>
      <c r="O67" s="581"/>
      <c r="P67" s="581"/>
      <c r="Q67" s="581"/>
      <c r="R67" s="581"/>
      <c r="S67" s="581"/>
      <c r="T67" s="581"/>
      <c r="U67" s="581"/>
      <c r="V67" s="581"/>
      <c r="W67" s="581"/>
      <c r="X67" s="581"/>
      <c r="Y67" s="581"/>
    </row>
    <row r="68">
      <c r="A68" s="581"/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1"/>
      <c r="Q68" s="581"/>
      <c r="R68" s="581"/>
      <c r="S68" s="581"/>
      <c r="T68" s="581"/>
      <c r="U68" s="581"/>
      <c r="V68" s="581"/>
      <c r="W68" s="581"/>
      <c r="X68" s="581"/>
      <c r="Y68" s="581"/>
    </row>
    <row r="69">
      <c r="A69" s="581"/>
      <c r="B69" s="581"/>
      <c r="C69" s="581"/>
      <c r="D69" s="581"/>
      <c r="E69" s="581"/>
      <c r="F69" s="581"/>
      <c r="G69" s="581"/>
      <c r="H69" s="581"/>
      <c r="I69" s="581"/>
      <c r="J69" s="581"/>
      <c r="K69" s="581"/>
      <c r="L69" s="581"/>
      <c r="M69" s="581"/>
      <c r="N69" s="581"/>
      <c r="O69" s="581"/>
      <c r="P69" s="581"/>
      <c r="Q69" s="581"/>
      <c r="R69" s="581"/>
      <c r="S69" s="581"/>
      <c r="T69" s="581"/>
      <c r="U69" s="581"/>
      <c r="V69" s="581"/>
      <c r="W69" s="581"/>
      <c r="X69" s="581"/>
      <c r="Y69" s="581"/>
    </row>
    <row r="70">
      <c r="A70" s="581"/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1"/>
      <c r="Q70" s="581"/>
      <c r="R70" s="581"/>
      <c r="S70" s="581"/>
      <c r="T70" s="581"/>
      <c r="U70" s="581"/>
      <c r="V70" s="581"/>
      <c r="W70" s="581"/>
      <c r="X70" s="581"/>
      <c r="Y70" s="581"/>
    </row>
    <row r="71">
      <c r="A71" s="581"/>
      <c r="B71" s="581"/>
      <c r="C71" s="581"/>
      <c r="D71" s="581"/>
      <c r="E71" s="581"/>
      <c r="F71" s="581"/>
      <c r="G71" s="581"/>
      <c r="H71" s="581"/>
      <c r="I71" s="581"/>
      <c r="J71" s="581"/>
      <c r="K71" s="581"/>
      <c r="L71" s="581"/>
      <c r="M71" s="581"/>
      <c r="N71" s="581"/>
      <c r="O71" s="581"/>
      <c r="P71" s="581"/>
      <c r="Q71" s="581"/>
      <c r="R71" s="581"/>
      <c r="S71" s="581"/>
      <c r="T71" s="581"/>
      <c r="U71" s="581"/>
      <c r="V71" s="581"/>
      <c r="W71" s="581"/>
      <c r="X71" s="581"/>
      <c r="Y71" s="581"/>
    </row>
    <row r="72">
      <c r="A72" s="581"/>
      <c r="B72" s="581"/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1"/>
      <c r="Q72" s="581"/>
      <c r="R72" s="581"/>
      <c r="S72" s="581"/>
      <c r="T72" s="581"/>
      <c r="U72" s="581"/>
      <c r="V72" s="581"/>
      <c r="W72" s="581"/>
      <c r="X72" s="581"/>
      <c r="Y72" s="581"/>
    </row>
    <row r="73">
      <c r="A73" s="581"/>
      <c r="B73" s="581"/>
      <c r="C73" s="581"/>
      <c r="D73" s="581"/>
      <c r="E73" s="581"/>
      <c r="F73" s="581"/>
      <c r="G73" s="581"/>
      <c r="H73" s="581"/>
      <c r="I73" s="581"/>
      <c r="J73" s="581"/>
      <c r="K73" s="581"/>
      <c r="L73" s="581"/>
      <c r="M73" s="581"/>
      <c r="N73" s="581"/>
      <c r="O73" s="581"/>
      <c r="P73" s="581"/>
      <c r="Q73" s="581"/>
      <c r="R73" s="581"/>
      <c r="S73" s="581"/>
      <c r="T73" s="581"/>
      <c r="U73" s="581"/>
      <c r="V73" s="581"/>
      <c r="W73" s="581"/>
      <c r="X73" s="581"/>
      <c r="Y73" s="581"/>
    </row>
    <row r="74">
      <c r="A74" s="581"/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1"/>
      <c r="M74" s="581"/>
      <c r="N74" s="581"/>
      <c r="O74" s="581"/>
      <c r="P74" s="581"/>
      <c r="Q74" s="581"/>
      <c r="R74" s="581"/>
      <c r="S74" s="581"/>
      <c r="T74" s="581"/>
      <c r="U74" s="581"/>
      <c r="V74" s="581"/>
      <c r="W74" s="581"/>
      <c r="X74" s="581"/>
      <c r="Y74" s="581"/>
    </row>
    <row r="75">
      <c r="A75" s="581"/>
      <c r="B75" s="581"/>
      <c r="C75" s="581"/>
      <c r="D75" s="581"/>
      <c r="E75" s="581"/>
      <c r="F75" s="581"/>
      <c r="G75" s="581"/>
      <c r="H75" s="581"/>
      <c r="I75" s="581"/>
      <c r="J75" s="581"/>
      <c r="K75" s="581"/>
      <c r="L75" s="581"/>
      <c r="M75" s="581"/>
      <c r="N75" s="581"/>
      <c r="O75" s="581"/>
      <c r="P75" s="581"/>
      <c r="Q75" s="581"/>
      <c r="R75" s="581"/>
      <c r="S75" s="581"/>
      <c r="T75" s="581"/>
      <c r="U75" s="581"/>
      <c r="V75" s="581"/>
      <c r="W75" s="581"/>
      <c r="X75" s="581"/>
      <c r="Y75" s="581"/>
    </row>
    <row r="76">
      <c r="A76" s="581"/>
      <c r="B76" s="581"/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1"/>
      <c r="Q76" s="581"/>
      <c r="R76" s="581"/>
      <c r="S76" s="581"/>
      <c r="T76" s="581"/>
      <c r="U76" s="581"/>
      <c r="V76" s="581"/>
      <c r="W76" s="581"/>
      <c r="X76" s="581"/>
      <c r="Y76" s="581"/>
    </row>
    <row r="77">
      <c r="A77" s="581"/>
      <c r="B77" s="581"/>
      <c r="C77" s="581"/>
      <c r="D77" s="581"/>
      <c r="E77" s="581"/>
      <c r="F77" s="581"/>
      <c r="G77" s="581"/>
      <c r="H77" s="581"/>
      <c r="I77" s="581"/>
      <c r="J77" s="581"/>
      <c r="K77" s="581"/>
      <c r="L77" s="581"/>
      <c r="M77" s="581"/>
      <c r="N77" s="581"/>
      <c r="O77" s="581"/>
      <c r="P77" s="581"/>
      <c r="Q77" s="581"/>
      <c r="R77" s="581"/>
      <c r="S77" s="581"/>
      <c r="T77" s="581"/>
      <c r="U77" s="581"/>
      <c r="V77" s="581"/>
      <c r="W77" s="581"/>
      <c r="X77" s="581"/>
      <c r="Y77" s="581"/>
    </row>
    <row r="78">
      <c r="A78" s="581"/>
      <c r="B78" s="581"/>
      <c r="C78" s="581"/>
      <c r="D78" s="581"/>
      <c r="E78" s="581"/>
      <c r="F78" s="581"/>
      <c r="G78" s="581"/>
      <c r="H78" s="581"/>
      <c r="I78" s="581"/>
      <c r="J78" s="581"/>
      <c r="K78" s="581"/>
      <c r="L78" s="581"/>
      <c r="M78" s="581"/>
      <c r="N78" s="581"/>
      <c r="O78" s="581"/>
      <c r="P78" s="581"/>
      <c r="Q78" s="581"/>
      <c r="R78" s="581"/>
      <c r="S78" s="581"/>
      <c r="T78" s="581"/>
      <c r="U78" s="581"/>
      <c r="V78" s="581"/>
      <c r="W78" s="581"/>
      <c r="X78" s="581"/>
      <c r="Y78" s="581"/>
    </row>
    <row r="79">
      <c r="A79" s="581"/>
      <c r="B79" s="581"/>
      <c r="C79" s="581"/>
      <c r="D79" s="581"/>
      <c r="E79" s="581"/>
      <c r="F79" s="581"/>
      <c r="G79" s="581"/>
      <c r="H79" s="581"/>
      <c r="I79" s="581"/>
      <c r="J79" s="581"/>
      <c r="K79" s="581"/>
      <c r="L79" s="581"/>
      <c r="M79" s="581"/>
      <c r="N79" s="581"/>
      <c r="O79" s="581"/>
      <c r="P79" s="581"/>
      <c r="Q79" s="581"/>
      <c r="R79" s="581"/>
      <c r="S79" s="581"/>
      <c r="T79" s="581"/>
      <c r="U79" s="581"/>
      <c r="V79" s="581"/>
      <c r="W79" s="581"/>
      <c r="X79" s="581"/>
      <c r="Y79" s="581"/>
    </row>
    <row r="80">
      <c r="A80" s="581"/>
      <c r="B80" s="581"/>
      <c r="C80" s="581"/>
      <c r="D80" s="581"/>
      <c r="E80" s="581"/>
      <c r="F80" s="581"/>
      <c r="G80" s="581"/>
      <c r="H80" s="581"/>
      <c r="I80" s="581"/>
      <c r="J80" s="581"/>
      <c r="K80" s="581"/>
      <c r="L80" s="581"/>
      <c r="M80" s="581"/>
      <c r="N80" s="581"/>
      <c r="O80" s="581"/>
      <c r="P80" s="581"/>
      <c r="Q80" s="581"/>
      <c r="R80" s="581"/>
      <c r="S80" s="581"/>
      <c r="T80" s="581"/>
      <c r="U80" s="581"/>
      <c r="V80" s="581"/>
      <c r="W80" s="581"/>
      <c r="X80" s="581"/>
      <c r="Y80" s="581"/>
    </row>
    <row r="81">
      <c r="A81" s="581"/>
      <c r="B81" s="581"/>
      <c r="C81" s="581"/>
      <c r="D81" s="581"/>
      <c r="E81" s="581"/>
      <c r="F81" s="581"/>
      <c r="G81" s="581"/>
      <c r="H81" s="581"/>
      <c r="I81" s="581"/>
      <c r="J81" s="581"/>
      <c r="K81" s="581"/>
      <c r="L81" s="581"/>
      <c r="M81" s="581"/>
      <c r="N81" s="581"/>
      <c r="O81" s="581"/>
      <c r="P81" s="581"/>
      <c r="Q81" s="581"/>
      <c r="R81" s="581"/>
      <c r="S81" s="581"/>
      <c r="T81" s="581"/>
      <c r="U81" s="581"/>
      <c r="V81" s="581"/>
      <c r="W81" s="581"/>
      <c r="X81" s="581"/>
      <c r="Y81" s="581"/>
    </row>
    <row r="82">
      <c r="A82" s="581"/>
      <c r="B82" s="581"/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1"/>
      <c r="N82" s="581"/>
      <c r="O82" s="581"/>
      <c r="P82" s="581"/>
      <c r="Q82" s="581"/>
      <c r="R82" s="581"/>
      <c r="S82" s="581"/>
      <c r="T82" s="581"/>
      <c r="U82" s="581"/>
      <c r="V82" s="581"/>
      <c r="W82" s="581"/>
      <c r="X82" s="581"/>
      <c r="Y82" s="581"/>
    </row>
    <row r="83">
      <c r="A83" s="581"/>
      <c r="B83" s="581"/>
      <c r="C83" s="581"/>
      <c r="D83" s="581"/>
      <c r="E83" s="581"/>
      <c r="F83" s="581"/>
      <c r="G83" s="581"/>
      <c r="H83" s="581"/>
      <c r="I83" s="581"/>
      <c r="J83" s="581"/>
      <c r="K83" s="581"/>
      <c r="L83" s="581"/>
      <c r="M83" s="581"/>
      <c r="N83" s="581"/>
      <c r="O83" s="581"/>
      <c r="P83" s="581"/>
      <c r="Q83" s="581"/>
      <c r="R83" s="581"/>
      <c r="S83" s="581"/>
      <c r="T83" s="581"/>
      <c r="U83" s="581"/>
      <c r="V83" s="581"/>
      <c r="W83" s="581"/>
      <c r="X83" s="581"/>
      <c r="Y83" s="581"/>
    </row>
    <row r="84">
      <c r="A84" s="581"/>
      <c r="B84" s="581"/>
      <c r="C84" s="581"/>
      <c r="D84" s="581"/>
      <c r="E84" s="581"/>
      <c r="F84" s="581"/>
      <c r="G84" s="581"/>
      <c r="H84" s="581"/>
      <c r="I84" s="581"/>
      <c r="J84" s="581"/>
      <c r="K84" s="581"/>
      <c r="L84" s="581"/>
      <c r="M84" s="581"/>
      <c r="N84" s="581"/>
      <c r="O84" s="581"/>
      <c r="P84" s="581"/>
      <c r="Q84" s="581"/>
      <c r="R84" s="581"/>
      <c r="S84" s="581"/>
      <c r="T84" s="581"/>
      <c r="U84" s="581"/>
      <c r="V84" s="581"/>
      <c r="W84" s="581"/>
      <c r="X84" s="581"/>
      <c r="Y84" s="581"/>
    </row>
    <row r="85">
      <c r="A85" s="581"/>
      <c r="B85" s="581"/>
      <c r="C85" s="581"/>
      <c r="D85" s="581"/>
      <c r="E85" s="581"/>
      <c r="F85" s="581"/>
      <c r="G85" s="581"/>
      <c r="H85" s="581"/>
      <c r="I85" s="581"/>
      <c r="J85" s="581"/>
      <c r="K85" s="581"/>
      <c r="L85" s="581"/>
      <c r="M85" s="581"/>
      <c r="N85" s="581"/>
      <c r="O85" s="581"/>
      <c r="P85" s="581"/>
      <c r="Q85" s="581"/>
      <c r="R85" s="581"/>
      <c r="S85" s="581"/>
      <c r="T85" s="581"/>
      <c r="U85" s="581"/>
      <c r="V85" s="581"/>
      <c r="W85" s="581"/>
      <c r="X85" s="581"/>
      <c r="Y85" s="581"/>
    </row>
    <row r="86">
      <c r="A86" s="581"/>
      <c r="B86" s="581"/>
      <c r="C86" s="581"/>
      <c r="D86" s="581"/>
      <c r="E86" s="581"/>
      <c r="F86" s="581"/>
      <c r="G86" s="581"/>
      <c r="H86" s="581"/>
      <c r="I86" s="581"/>
      <c r="J86" s="581"/>
      <c r="K86" s="581"/>
      <c r="L86" s="581"/>
      <c r="M86" s="581"/>
      <c r="N86" s="581"/>
      <c r="O86" s="581"/>
      <c r="P86" s="581"/>
      <c r="Q86" s="581"/>
      <c r="R86" s="581"/>
      <c r="S86" s="581"/>
      <c r="T86" s="581"/>
      <c r="U86" s="581"/>
      <c r="V86" s="581"/>
      <c r="W86" s="581"/>
      <c r="X86" s="581"/>
      <c r="Y86" s="581"/>
    </row>
    <row r="87">
      <c r="A87" s="581"/>
      <c r="B87" s="581"/>
      <c r="C87" s="581"/>
      <c r="D87" s="581"/>
      <c r="E87" s="581"/>
      <c r="F87" s="581"/>
      <c r="G87" s="581"/>
      <c r="H87" s="581"/>
      <c r="I87" s="581"/>
      <c r="J87" s="581"/>
      <c r="K87" s="581"/>
      <c r="L87" s="581"/>
      <c r="M87" s="581"/>
      <c r="N87" s="581"/>
      <c r="O87" s="581"/>
      <c r="P87" s="581"/>
      <c r="Q87" s="581"/>
      <c r="R87" s="581"/>
      <c r="S87" s="581"/>
      <c r="T87" s="581"/>
      <c r="U87" s="581"/>
      <c r="V87" s="581"/>
      <c r="W87" s="581"/>
      <c r="X87" s="581"/>
      <c r="Y87" s="581"/>
    </row>
    <row r="88">
      <c r="A88" s="581"/>
      <c r="B88" s="581"/>
      <c r="C88" s="581"/>
      <c r="D88" s="581"/>
      <c r="E88" s="581"/>
      <c r="F88" s="581"/>
      <c r="G88" s="581"/>
      <c r="H88" s="581"/>
      <c r="I88" s="581"/>
      <c r="J88" s="581"/>
      <c r="K88" s="581"/>
      <c r="L88" s="581"/>
      <c r="M88" s="581"/>
      <c r="N88" s="581"/>
      <c r="O88" s="581"/>
      <c r="P88" s="581"/>
      <c r="Q88" s="581"/>
      <c r="R88" s="581"/>
      <c r="S88" s="581"/>
      <c r="T88" s="581"/>
      <c r="U88" s="581"/>
      <c r="V88" s="581"/>
      <c r="W88" s="581"/>
      <c r="X88" s="581"/>
      <c r="Y88" s="581"/>
    </row>
    <row r="89">
      <c r="A89" s="581"/>
      <c r="B89" s="581"/>
      <c r="C89" s="581"/>
      <c r="D89" s="581"/>
      <c r="E89" s="581"/>
      <c r="F89" s="581"/>
      <c r="G89" s="581"/>
      <c r="H89" s="581"/>
      <c r="I89" s="581"/>
      <c r="J89" s="581"/>
      <c r="K89" s="581"/>
      <c r="L89" s="581"/>
      <c r="M89" s="581"/>
      <c r="N89" s="581"/>
      <c r="O89" s="581"/>
      <c r="P89" s="581"/>
      <c r="Q89" s="581"/>
      <c r="R89" s="581"/>
      <c r="S89" s="581"/>
      <c r="T89" s="581"/>
      <c r="U89" s="581"/>
      <c r="V89" s="581"/>
      <c r="W89" s="581"/>
      <c r="X89" s="581"/>
      <c r="Y89" s="581"/>
    </row>
    <row r="90">
      <c r="A90" s="581"/>
      <c r="B90" s="581"/>
      <c r="C90" s="581"/>
      <c r="D90" s="581"/>
      <c r="E90" s="581"/>
      <c r="F90" s="581"/>
      <c r="G90" s="581"/>
      <c r="H90" s="581"/>
      <c r="I90" s="581"/>
      <c r="J90" s="581"/>
      <c r="K90" s="581"/>
      <c r="L90" s="581"/>
      <c r="M90" s="581"/>
      <c r="N90" s="581"/>
      <c r="O90" s="581"/>
      <c r="P90" s="581"/>
      <c r="Q90" s="581"/>
      <c r="R90" s="581"/>
      <c r="S90" s="581"/>
      <c r="T90" s="581"/>
      <c r="U90" s="581"/>
      <c r="V90" s="581"/>
      <c r="W90" s="581"/>
      <c r="X90" s="581"/>
      <c r="Y90" s="581"/>
    </row>
    <row r="91">
      <c r="A91" s="581"/>
      <c r="B91" s="581"/>
      <c r="C91" s="581"/>
      <c r="D91" s="581"/>
      <c r="E91" s="581"/>
      <c r="F91" s="581"/>
      <c r="G91" s="581"/>
      <c r="H91" s="581"/>
      <c r="I91" s="581"/>
      <c r="J91" s="581"/>
      <c r="K91" s="581"/>
      <c r="L91" s="581"/>
      <c r="M91" s="581"/>
      <c r="N91" s="581"/>
      <c r="O91" s="581"/>
      <c r="P91" s="581"/>
      <c r="Q91" s="581"/>
      <c r="R91" s="581"/>
      <c r="S91" s="581"/>
      <c r="T91" s="581"/>
      <c r="U91" s="581"/>
      <c r="V91" s="581"/>
      <c r="W91" s="581"/>
      <c r="X91" s="581"/>
      <c r="Y91" s="581"/>
    </row>
    <row r="92">
      <c r="A92" s="581"/>
      <c r="B92" s="581"/>
      <c r="C92" s="581"/>
      <c r="D92" s="581"/>
      <c r="E92" s="581"/>
      <c r="F92" s="581"/>
      <c r="G92" s="581"/>
      <c r="H92" s="581"/>
      <c r="I92" s="581"/>
      <c r="J92" s="581"/>
      <c r="K92" s="581"/>
      <c r="L92" s="581"/>
      <c r="M92" s="581"/>
      <c r="N92" s="581"/>
      <c r="O92" s="581"/>
      <c r="P92" s="581"/>
      <c r="Q92" s="581"/>
      <c r="R92" s="581"/>
      <c r="S92" s="581"/>
      <c r="T92" s="581"/>
      <c r="U92" s="581"/>
      <c r="V92" s="581"/>
      <c r="W92" s="581"/>
      <c r="X92" s="581"/>
      <c r="Y92" s="581"/>
    </row>
    <row r="93">
      <c r="A93" s="581"/>
      <c r="B93" s="581"/>
      <c r="C93" s="581"/>
      <c r="D93" s="581"/>
      <c r="E93" s="581"/>
      <c r="F93" s="581"/>
      <c r="G93" s="581"/>
      <c r="H93" s="581"/>
      <c r="I93" s="581"/>
      <c r="J93" s="581"/>
      <c r="K93" s="581"/>
      <c r="L93" s="581"/>
      <c r="M93" s="581"/>
      <c r="N93" s="581"/>
      <c r="O93" s="581"/>
      <c r="P93" s="581"/>
      <c r="Q93" s="581"/>
      <c r="R93" s="581"/>
      <c r="S93" s="581"/>
      <c r="T93" s="581"/>
      <c r="U93" s="581"/>
      <c r="V93" s="581"/>
      <c r="W93" s="581"/>
      <c r="X93" s="581"/>
      <c r="Y93" s="581"/>
    </row>
    <row r="94">
      <c r="A94" s="581"/>
      <c r="B94" s="581"/>
      <c r="C94" s="581"/>
      <c r="D94" s="581"/>
      <c r="E94" s="581"/>
      <c r="F94" s="581"/>
      <c r="G94" s="581"/>
      <c r="H94" s="581"/>
      <c r="I94" s="581"/>
      <c r="J94" s="581"/>
      <c r="K94" s="581"/>
      <c r="L94" s="581"/>
      <c r="M94" s="581"/>
      <c r="N94" s="581"/>
      <c r="O94" s="581"/>
      <c r="P94" s="581"/>
      <c r="Q94" s="581"/>
      <c r="R94" s="581"/>
      <c r="S94" s="581"/>
      <c r="T94" s="581"/>
      <c r="U94" s="581"/>
      <c r="V94" s="581"/>
      <c r="W94" s="581"/>
      <c r="X94" s="581"/>
      <c r="Y94" s="581"/>
    </row>
    <row r="95">
      <c r="A95" s="581"/>
      <c r="B95" s="581"/>
      <c r="C95" s="581"/>
      <c r="D95" s="581"/>
      <c r="E95" s="581"/>
      <c r="F95" s="581"/>
      <c r="G95" s="581"/>
      <c r="H95" s="581"/>
      <c r="I95" s="581"/>
      <c r="J95" s="581"/>
      <c r="K95" s="581"/>
      <c r="L95" s="581"/>
      <c r="M95" s="581"/>
      <c r="N95" s="581"/>
      <c r="O95" s="581"/>
      <c r="P95" s="581"/>
      <c r="Q95" s="581"/>
      <c r="R95" s="581"/>
      <c r="S95" s="581"/>
      <c r="T95" s="581"/>
      <c r="U95" s="581"/>
      <c r="V95" s="581"/>
      <c r="W95" s="581"/>
      <c r="X95" s="581"/>
      <c r="Y95" s="581"/>
    </row>
    <row r="96">
      <c r="A96" s="581"/>
      <c r="B96" s="581"/>
      <c r="C96" s="581"/>
      <c r="D96" s="581"/>
      <c r="E96" s="581"/>
      <c r="F96" s="581"/>
      <c r="G96" s="581"/>
      <c r="H96" s="581"/>
      <c r="I96" s="581"/>
      <c r="J96" s="581"/>
      <c r="K96" s="581"/>
      <c r="L96" s="581"/>
      <c r="M96" s="581"/>
      <c r="N96" s="581"/>
      <c r="O96" s="581"/>
      <c r="P96" s="581"/>
      <c r="Q96" s="581"/>
      <c r="R96" s="581"/>
      <c r="S96" s="581"/>
      <c r="T96" s="581"/>
      <c r="U96" s="581"/>
      <c r="V96" s="581"/>
      <c r="W96" s="581"/>
      <c r="X96" s="581"/>
      <c r="Y96" s="581"/>
    </row>
    <row r="97">
      <c r="A97" s="581"/>
      <c r="B97" s="581"/>
      <c r="C97" s="581"/>
      <c r="D97" s="581"/>
      <c r="E97" s="581"/>
      <c r="F97" s="581"/>
      <c r="G97" s="581"/>
      <c r="H97" s="581"/>
      <c r="I97" s="581"/>
      <c r="J97" s="581"/>
      <c r="K97" s="581"/>
      <c r="L97" s="581"/>
      <c r="M97" s="581"/>
      <c r="N97" s="581"/>
      <c r="O97" s="581"/>
      <c r="P97" s="581"/>
      <c r="Q97" s="581"/>
      <c r="R97" s="581"/>
      <c r="S97" s="581"/>
      <c r="T97" s="581"/>
      <c r="U97" s="581"/>
      <c r="V97" s="581"/>
      <c r="W97" s="581"/>
      <c r="X97" s="581"/>
      <c r="Y97" s="581"/>
    </row>
    <row r="98">
      <c r="A98" s="581"/>
      <c r="B98" s="581"/>
      <c r="C98" s="581"/>
      <c r="D98" s="581"/>
      <c r="E98" s="581"/>
      <c r="F98" s="581"/>
      <c r="G98" s="581"/>
      <c r="H98" s="581"/>
      <c r="I98" s="581"/>
      <c r="J98" s="581"/>
      <c r="K98" s="581"/>
      <c r="L98" s="581"/>
      <c r="M98" s="581"/>
      <c r="N98" s="581"/>
      <c r="O98" s="581"/>
      <c r="P98" s="581"/>
      <c r="Q98" s="581"/>
      <c r="R98" s="581"/>
      <c r="S98" s="581"/>
      <c r="T98" s="581"/>
      <c r="U98" s="581"/>
      <c r="V98" s="581"/>
      <c r="W98" s="581"/>
      <c r="X98" s="581"/>
      <c r="Y98" s="581"/>
    </row>
    <row r="99">
      <c r="A99" s="581"/>
      <c r="B99" s="581"/>
      <c r="C99" s="581"/>
      <c r="D99" s="581"/>
      <c r="E99" s="581"/>
      <c r="F99" s="581"/>
      <c r="G99" s="581"/>
      <c r="H99" s="581"/>
      <c r="I99" s="581"/>
      <c r="J99" s="581"/>
      <c r="K99" s="581"/>
      <c r="L99" s="581"/>
      <c r="M99" s="581"/>
      <c r="N99" s="581"/>
      <c r="O99" s="581"/>
      <c r="P99" s="581"/>
      <c r="Q99" s="581"/>
      <c r="R99" s="581"/>
      <c r="S99" s="581"/>
      <c r="T99" s="581"/>
      <c r="U99" s="581"/>
      <c r="V99" s="581"/>
      <c r="W99" s="581"/>
      <c r="X99" s="581"/>
      <c r="Y99" s="581"/>
    </row>
    <row r="100">
      <c r="A100" s="581"/>
      <c r="B100" s="581"/>
      <c r="C100" s="581"/>
      <c r="D100" s="581"/>
      <c r="E100" s="581"/>
      <c r="F100" s="581"/>
      <c r="G100" s="581"/>
      <c r="H100" s="581"/>
      <c r="I100" s="581"/>
      <c r="J100" s="581"/>
      <c r="K100" s="581"/>
      <c r="L100" s="581"/>
      <c r="M100" s="581"/>
      <c r="N100" s="581"/>
      <c r="O100" s="581"/>
      <c r="P100" s="581"/>
      <c r="Q100" s="581"/>
      <c r="R100" s="581"/>
      <c r="S100" s="581"/>
      <c r="T100" s="581"/>
      <c r="U100" s="581"/>
      <c r="V100" s="581"/>
      <c r="W100" s="581"/>
      <c r="X100" s="581"/>
      <c r="Y100" s="581"/>
    </row>
    <row r="101">
      <c r="A101" s="581"/>
      <c r="B101" s="581"/>
      <c r="C101" s="581"/>
      <c r="D101" s="581"/>
      <c r="E101" s="581"/>
      <c r="F101" s="581"/>
      <c r="G101" s="581"/>
      <c r="H101" s="581"/>
      <c r="I101" s="581"/>
      <c r="J101" s="581"/>
      <c r="K101" s="581"/>
      <c r="L101" s="581"/>
      <c r="M101" s="581"/>
      <c r="N101" s="581"/>
      <c r="O101" s="581"/>
      <c r="P101" s="581"/>
      <c r="Q101" s="581"/>
      <c r="R101" s="581"/>
      <c r="S101" s="581"/>
      <c r="T101" s="581"/>
      <c r="U101" s="581"/>
      <c r="V101" s="581"/>
      <c r="W101" s="581"/>
      <c r="X101" s="581"/>
      <c r="Y101" s="581"/>
    </row>
    <row r="102">
      <c r="A102" s="581"/>
      <c r="B102" s="581"/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1"/>
      <c r="N102" s="581"/>
      <c r="O102" s="581"/>
      <c r="P102" s="581"/>
      <c r="Q102" s="581"/>
      <c r="R102" s="581"/>
      <c r="S102" s="581"/>
      <c r="T102" s="581"/>
      <c r="U102" s="581"/>
      <c r="V102" s="581"/>
      <c r="W102" s="581"/>
      <c r="X102" s="581"/>
      <c r="Y102" s="581"/>
    </row>
    <row r="103">
      <c r="A103" s="581"/>
      <c r="B103" s="581"/>
      <c r="C103" s="581"/>
      <c r="D103" s="581"/>
      <c r="E103" s="581"/>
      <c r="F103" s="581"/>
      <c r="G103" s="581"/>
      <c r="H103" s="581"/>
      <c r="I103" s="581"/>
      <c r="J103" s="581"/>
      <c r="K103" s="581"/>
      <c r="L103" s="581"/>
      <c r="M103" s="581"/>
      <c r="N103" s="581"/>
      <c r="O103" s="581"/>
      <c r="P103" s="581"/>
      <c r="Q103" s="581"/>
      <c r="R103" s="581"/>
      <c r="S103" s="581"/>
      <c r="T103" s="581"/>
      <c r="U103" s="581"/>
      <c r="V103" s="581"/>
      <c r="W103" s="581"/>
      <c r="X103" s="581"/>
      <c r="Y103" s="581"/>
    </row>
    <row r="104">
      <c r="A104" s="581"/>
      <c r="B104" s="581"/>
      <c r="C104" s="581"/>
      <c r="D104" s="581"/>
      <c r="E104" s="581"/>
      <c r="F104" s="581"/>
      <c r="G104" s="581"/>
      <c r="H104" s="581"/>
      <c r="I104" s="581"/>
      <c r="J104" s="581"/>
      <c r="K104" s="581"/>
      <c r="L104" s="581"/>
      <c r="M104" s="581"/>
      <c r="N104" s="581"/>
      <c r="O104" s="581"/>
      <c r="P104" s="581"/>
      <c r="Q104" s="581"/>
      <c r="R104" s="581"/>
      <c r="S104" s="581"/>
      <c r="T104" s="581"/>
      <c r="U104" s="581"/>
      <c r="V104" s="581"/>
      <c r="W104" s="581"/>
      <c r="X104" s="581"/>
      <c r="Y104" s="581"/>
    </row>
    <row r="105">
      <c r="A105" s="581"/>
      <c r="B105" s="581"/>
      <c r="C105" s="581"/>
      <c r="D105" s="581"/>
      <c r="E105" s="581"/>
      <c r="F105" s="581"/>
      <c r="G105" s="581"/>
      <c r="H105" s="581"/>
      <c r="I105" s="581"/>
      <c r="J105" s="581"/>
      <c r="K105" s="581"/>
      <c r="L105" s="581"/>
      <c r="M105" s="581"/>
      <c r="N105" s="581"/>
      <c r="O105" s="581"/>
      <c r="P105" s="581"/>
      <c r="Q105" s="581"/>
      <c r="R105" s="581"/>
      <c r="S105" s="581"/>
      <c r="T105" s="581"/>
      <c r="U105" s="581"/>
      <c r="V105" s="581"/>
      <c r="W105" s="581"/>
      <c r="X105" s="581"/>
      <c r="Y105" s="581"/>
    </row>
    <row r="106">
      <c r="A106" s="581"/>
      <c r="B106" s="581"/>
      <c r="C106" s="581"/>
      <c r="D106" s="581"/>
      <c r="E106" s="581"/>
      <c r="F106" s="581"/>
      <c r="G106" s="581"/>
      <c r="H106" s="581"/>
      <c r="I106" s="581"/>
      <c r="J106" s="581"/>
      <c r="K106" s="581"/>
      <c r="L106" s="581"/>
      <c r="M106" s="581"/>
      <c r="N106" s="581"/>
      <c r="O106" s="581"/>
      <c r="P106" s="581"/>
      <c r="Q106" s="581"/>
      <c r="R106" s="581"/>
      <c r="S106" s="581"/>
      <c r="T106" s="581"/>
      <c r="U106" s="581"/>
      <c r="V106" s="581"/>
      <c r="W106" s="581"/>
      <c r="X106" s="581"/>
      <c r="Y106" s="581"/>
    </row>
    <row r="107">
      <c r="A107" s="581"/>
      <c r="B107" s="581"/>
      <c r="C107" s="581"/>
      <c r="D107" s="581"/>
      <c r="E107" s="581"/>
      <c r="F107" s="581"/>
      <c r="G107" s="581"/>
      <c r="H107" s="581"/>
      <c r="I107" s="581"/>
      <c r="J107" s="581"/>
      <c r="K107" s="581"/>
      <c r="L107" s="581"/>
      <c r="M107" s="581"/>
      <c r="N107" s="581"/>
      <c r="O107" s="581"/>
      <c r="P107" s="581"/>
      <c r="Q107" s="581"/>
      <c r="R107" s="581"/>
      <c r="S107" s="581"/>
      <c r="T107" s="581"/>
      <c r="U107" s="581"/>
      <c r="V107" s="581"/>
      <c r="W107" s="581"/>
      <c r="X107" s="581"/>
      <c r="Y107" s="581"/>
    </row>
    <row r="108">
      <c r="A108" s="581"/>
      <c r="B108" s="581"/>
      <c r="C108" s="581"/>
      <c r="D108" s="581"/>
      <c r="E108" s="581"/>
      <c r="F108" s="581"/>
      <c r="G108" s="581"/>
      <c r="H108" s="581"/>
      <c r="I108" s="581"/>
      <c r="J108" s="581"/>
      <c r="K108" s="581"/>
      <c r="L108" s="581"/>
      <c r="M108" s="581"/>
      <c r="N108" s="581"/>
      <c r="O108" s="581"/>
      <c r="P108" s="581"/>
      <c r="Q108" s="581"/>
      <c r="R108" s="581"/>
      <c r="S108" s="581"/>
      <c r="T108" s="581"/>
      <c r="U108" s="581"/>
      <c r="V108" s="581"/>
      <c r="W108" s="581"/>
      <c r="X108" s="581"/>
      <c r="Y108" s="581"/>
    </row>
    <row r="109">
      <c r="A109" s="581"/>
      <c r="B109" s="581"/>
      <c r="C109" s="581"/>
      <c r="D109" s="581"/>
      <c r="E109" s="581"/>
      <c r="F109" s="581"/>
      <c r="G109" s="581"/>
      <c r="H109" s="581"/>
      <c r="I109" s="581"/>
      <c r="J109" s="581"/>
      <c r="K109" s="581"/>
      <c r="L109" s="581"/>
      <c r="M109" s="581"/>
      <c r="N109" s="581"/>
      <c r="O109" s="581"/>
      <c r="P109" s="581"/>
      <c r="Q109" s="581"/>
      <c r="R109" s="581"/>
      <c r="S109" s="581"/>
      <c r="T109" s="581"/>
      <c r="U109" s="581"/>
      <c r="V109" s="581"/>
      <c r="W109" s="581"/>
      <c r="X109" s="581"/>
      <c r="Y109" s="581"/>
    </row>
    <row r="110">
      <c r="A110" s="581"/>
      <c r="B110" s="581"/>
      <c r="C110" s="581"/>
      <c r="D110" s="581"/>
      <c r="E110" s="581"/>
      <c r="F110" s="581"/>
      <c r="G110" s="581"/>
      <c r="H110" s="581"/>
      <c r="I110" s="581"/>
      <c r="J110" s="581"/>
      <c r="K110" s="581"/>
      <c r="L110" s="581"/>
      <c r="M110" s="581"/>
      <c r="N110" s="581"/>
      <c r="O110" s="581"/>
      <c r="P110" s="581"/>
      <c r="Q110" s="581"/>
      <c r="R110" s="581"/>
      <c r="S110" s="581"/>
      <c r="T110" s="581"/>
      <c r="U110" s="581"/>
      <c r="V110" s="581"/>
      <c r="W110" s="581"/>
      <c r="X110" s="581"/>
      <c r="Y110" s="581"/>
    </row>
    <row r="111">
      <c r="A111" s="581"/>
      <c r="B111" s="581"/>
      <c r="C111" s="581"/>
      <c r="D111" s="581"/>
      <c r="E111" s="581"/>
      <c r="F111" s="581"/>
      <c r="G111" s="581"/>
      <c r="H111" s="581"/>
      <c r="I111" s="581"/>
      <c r="J111" s="581"/>
      <c r="K111" s="581"/>
      <c r="L111" s="581"/>
      <c r="M111" s="581"/>
      <c r="N111" s="581"/>
      <c r="O111" s="581"/>
      <c r="P111" s="581"/>
      <c r="Q111" s="581"/>
      <c r="R111" s="581"/>
      <c r="S111" s="581"/>
      <c r="T111" s="581"/>
      <c r="U111" s="581"/>
      <c r="V111" s="581"/>
      <c r="W111" s="581"/>
      <c r="X111" s="581"/>
      <c r="Y111" s="581"/>
    </row>
    <row r="112">
      <c r="A112" s="581"/>
      <c r="B112" s="581"/>
      <c r="C112" s="581"/>
      <c r="D112" s="581"/>
      <c r="E112" s="581"/>
      <c r="F112" s="581"/>
      <c r="G112" s="581"/>
      <c r="H112" s="581"/>
      <c r="I112" s="581"/>
      <c r="J112" s="581"/>
      <c r="K112" s="581"/>
      <c r="L112" s="581"/>
      <c r="M112" s="581"/>
      <c r="N112" s="581"/>
      <c r="O112" s="581"/>
      <c r="P112" s="581"/>
      <c r="Q112" s="581"/>
      <c r="R112" s="581"/>
      <c r="S112" s="581"/>
      <c r="T112" s="581"/>
      <c r="U112" s="581"/>
      <c r="V112" s="581"/>
      <c r="W112" s="581"/>
      <c r="X112" s="581"/>
      <c r="Y112" s="581"/>
    </row>
    <row r="113">
      <c r="A113" s="581"/>
      <c r="B113" s="581"/>
      <c r="C113" s="581"/>
      <c r="D113" s="581"/>
      <c r="E113" s="581"/>
      <c r="F113" s="581"/>
      <c r="G113" s="581"/>
      <c r="H113" s="581"/>
      <c r="I113" s="581"/>
      <c r="J113" s="581"/>
      <c r="K113" s="581"/>
      <c r="L113" s="581"/>
      <c r="M113" s="581"/>
      <c r="N113" s="581"/>
      <c r="O113" s="581"/>
      <c r="P113" s="581"/>
      <c r="Q113" s="581"/>
      <c r="R113" s="581"/>
      <c r="S113" s="581"/>
      <c r="T113" s="581"/>
      <c r="U113" s="581"/>
      <c r="V113" s="581"/>
      <c r="W113" s="581"/>
      <c r="X113" s="581"/>
      <c r="Y113" s="581"/>
    </row>
    <row r="114">
      <c r="A114" s="581"/>
      <c r="B114" s="581"/>
      <c r="C114" s="581"/>
      <c r="D114" s="581"/>
      <c r="E114" s="581"/>
      <c r="F114" s="581"/>
      <c r="G114" s="581"/>
      <c r="H114" s="581"/>
      <c r="I114" s="581"/>
      <c r="J114" s="581"/>
      <c r="K114" s="581"/>
      <c r="L114" s="581"/>
      <c r="M114" s="581"/>
      <c r="N114" s="581"/>
      <c r="O114" s="581"/>
      <c r="P114" s="581"/>
      <c r="Q114" s="581"/>
      <c r="R114" s="581"/>
      <c r="S114" s="581"/>
      <c r="T114" s="581"/>
      <c r="U114" s="581"/>
      <c r="V114" s="581"/>
      <c r="W114" s="581"/>
      <c r="X114" s="581"/>
      <c r="Y114" s="581"/>
    </row>
    <row r="115">
      <c r="A115" s="581"/>
      <c r="B115" s="581"/>
      <c r="C115" s="581"/>
      <c r="D115" s="581"/>
      <c r="E115" s="581"/>
      <c r="F115" s="581"/>
      <c r="G115" s="581"/>
      <c r="H115" s="581"/>
      <c r="I115" s="581"/>
      <c r="J115" s="581"/>
      <c r="K115" s="581"/>
      <c r="L115" s="581"/>
      <c r="M115" s="581"/>
      <c r="N115" s="581"/>
      <c r="O115" s="581"/>
      <c r="P115" s="581"/>
      <c r="Q115" s="581"/>
      <c r="R115" s="581"/>
      <c r="S115" s="581"/>
      <c r="T115" s="581"/>
      <c r="U115" s="581"/>
      <c r="V115" s="581"/>
      <c r="W115" s="581"/>
      <c r="X115" s="581"/>
      <c r="Y115" s="581"/>
    </row>
    <row r="116">
      <c r="A116" s="581"/>
      <c r="B116" s="581"/>
      <c r="C116" s="581"/>
      <c r="D116" s="581"/>
      <c r="E116" s="581"/>
      <c r="F116" s="581"/>
      <c r="G116" s="581"/>
      <c r="H116" s="581"/>
      <c r="I116" s="581"/>
      <c r="J116" s="581"/>
      <c r="K116" s="581"/>
      <c r="L116" s="581"/>
      <c r="M116" s="581"/>
      <c r="N116" s="581"/>
      <c r="O116" s="581"/>
      <c r="P116" s="581"/>
      <c r="Q116" s="581"/>
      <c r="R116" s="581"/>
      <c r="S116" s="581"/>
      <c r="T116" s="581"/>
      <c r="U116" s="581"/>
      <c r="V116" s="581"/>
      <c r="W116" s="581"/>
      <c r="X116" s="581"/>
      <c r="Y116" s="581"/>
    </row>
    <row r="117">
      <c r="A117" s="581"/>
      <c r="B117" s="581"/>
      <c r="C117" s="581"/>
      <c r="D117" s="581"/>
      <c r="E117" s="581"/>
      <c r="F117" s="581"/>
      <c r="G117" s="581"/>
      <c r="H117" s="581"/>
      <c r="I117" s="581"/>
      <c r="J117" s="581"/>
      <c r="K117" s="581"/>
      <c r="L117" s="581"/>
      <c r="M117" s="581"/>
      <c r="N117" s="581"/>
      <c r="O117" s="581"/>
      <c r="P117" s="581"/>
      <c r="Q117" s="581"/>
      <c r="R117" s="581"/>
      <c r="S117" s="581"/>
      <c r="T117" s="581"/>
      <c r="U117" s="581"/>
      <c r="V117" s="581"/>
      <c r="W117" s="581"/>
      <c r="X117" s="581"/>
      <c r="Y117" s="581"/>
    </row>
    <row r="118">
      <c r="A118" s="581"/>
      <c r="B118" s="581"/>
      <c r="C118" s="581"/>
      <c r="D118" s="581"/>
      <c r="E118" s="581"/>
      <c r="F118" s="581"/>
      <c r="G118" s="581"/>
      <c r="H118" s="581"/>
      <c r="I118" s="581"/>
      <c r="J118" s="581"/>
      <c r="K118" s="581"/>
      <c r="L118" s="581"/>
      <c r="M118" s="581"/>
      <c r="N118" s="581"/>
      <c r="O118" s="581"/>
      <c r="P118" s="581"/>
      <c r="Q118" s="581"/>
      <c r="R118" s="581"/>
      <c r="S118" s="581"/>
      <c r="T118" s="581"/>
      <c r="U118" s="581"/>
      <c r="V118" s="581"/>
      <c r="W118" s="581"/>
      <c r="X118" s="581"/>
      <c r="Y118" s="581"/>
    </row>
    <row r="119">
      <c r="A119" s="581"/>
      <c r="B119" s="581"/>
      <c r="C119" s="581"/>
      <c r="D119" s="581"/>
      <c r="E119" s="581"/>
      <c r="F119" s="581"/>
      <c r="G119" s="581"/>
      <c r="H119" s="581"/>
      <c r="I119" s="581"/>
      <c r="J119" s="581"/>
      <c r="K119" s="581"/>
      <c r="L119" s="581"/>
      <c r="M119" s="581"/>
      <c r="N119" s="581"/>
      <c r="O119" s="581"/>
      <c r="P119" s="581"/>
      <c r="Q119" s="581"/>
      <c r="R119" s="581"/>
      <c r="S119" s="581"/>
      <c r="T119" s="581"/>
      <c r="U119" s="581"/>
      <c r="V119" s="581"/>
      <c r="W119" s="581"/>
      <c r="X119" s="581"/>
      <c r="Y119" s="581"/>
    </row>
    <row r="120">
      <c r="A120" s="581"/>
      <c r="B120" s="581"/>
      <c r="C120" s="581"/>
      <c r="D120" s="581"/>
      <c r="E120" s="581"/>
      <c r="F120" s="581"/>
      <c r="G120" s="581"/>
      <c r="H120" s="581"/>
      <c r="I120" s="581"/>
      <c r="J120" s="581"/>
      <c r="K120" s="581"/>
      <c r="L120" s="581"/>
      <c r="M120" s="581"/>
      <c r="N120" s="581"/>
      <c r="O120" s="581"/>
      <c r="P120" s="581"/>
      <c r="Q120" s="581"/>
      <c r="R120" s="581"/>
      <c r="S120" s="581"/>
      <c r="T120" s="581"/>
      <c r="U120" s="581"/>
      <c r="V120" s="581"/>
      <c r="W120" s="581"/>
      <c r="X120" s="581"/>
      <c r="Y120" s="581"/>
    </row>
    <row r="121">
      <c r="A121" s="581"/>
      <c r="B121" s="581"/>
      <c r="C121" s="581"/>
      <c r="D121" s="581"/>
      <c r="E121" s="581"/>
      <c r="F121" s="581"/>
      <c r="G121" s="581"/>
      <c r="H121" s="581"/>
      <c r="I121" s="581"/>
      <c r="J121" s="581"/>
      <c r="K121" s="581"/>
      <c r="L121" s="581"/>
      <c r="M121" s="581"/>
      <c r="N121" s="581"/>
      <c r="O121" s="581"/>
      <c r="P121" s="581"/>
      <c r="Q121" s="581"/>
      <c r="R121" s="581"/>
      <c r="S121" s="581"/>
      <c r="T121" s="581"/>
      <c r="U121" s="581"/>
      <c r="V121" s="581"/>
      <c r="W121" s="581"/>
      <c r="X121" s="581"/>
      <c r="Y121" s="581"/>
    </row>
    <row r="122">
      <c r="A122" s="581"/>
      <c r="B122" s="581"/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1"/>
      <c r="N122" s="581"/>
      <c r="O122" s="581"/>
      <c r="P122" s="581"/>
      <c r="Q122" s="581"/>
      <c r="R122" s="581"/>
      <c r="S122" s="581"/>
      <c r="T122" s="581"/>
      <c r="U122" s="581"/>
      <c r="V122" s="581"/>
      <c r="W122" s="581"/>
      <c r="X122" s="581"/>
      <c r="Y122" s="581"/>
    </row>
    <row r="123">
      <c r="A123" s="581"/>
      <c r="B123" s="581"/>
      <c r="C123" s="581"/>
      <c r="D123" s="581"/>
      <c r="E123" s="581"/>
      <c r="F123" s="581"/>
      <c r="G123" s="581"/>
      <c r="H123" s="581"/>
      <c r="I123" s="581"/>
      <c r="J123" s="581"/>
      <c r="K123" s="581"/>
      <c r="L123" s="581"/>
      <c r="M123" s="581"/>
      <c r="N123" s="581"/>
      <c r="O123" s="581"/>
      <c r="P123" s="581"/>
      <c r="Q123" s="581"/>
      <c r="R123" s="581"/>
      <c r="S123" s="581"/>
      <c r="T123" s="581"/>
      <c r="U123" s="581"/>
      <c r="V123" s="581"/>
      <c r="W123" s="581"/>
      <c r="X123" s="581"/>
      <c r="Y123" s="581"/>
    </row>
    <row r="124">
      <c r="A124" s="581"/>
      <c r="B124" s="581"/>
      <c r="C124" s="581"/>
      <c r="D124" s="581"/>
      <c r="E124" s="581"/>
      <c r="F124" s="581"/>
      <c r="G124" s="581"/>
      <c r="H124" s="581"/>
      <c r="I124" s="581"/>
      <c r="J124" s="581"/>
      <c r="K124" s="581"/>
      <c r="L124" s="581"/>
      <c r="M124" s="581"/>
      <c r="N124" s="581"/>
      <c r="O124" s="581"/>
      <c r="P124" s="581"/>
      <c r="Q124" s="581"/>
      <c r="R124" s="581"/>
      <c r="S124" s="581"/>
      <c r="T124" s="581"/>
      <c r="U124" s="581"/>
      <c r="V124" s="581"/>
      <c r="W124" s="581"/>
      <c r="X124" s="581"/>
      <c r="Y124" s="581"/>
    </row>
    <row r="125">
      <c r="A125" s="581"/>
      <c r="B125" s="581"/>
      <c r="C125" s="581"/>
      <c r="D125" s="581"/>
      <c r="E125" s="581"/>
      <c r="F125" s="581"/>
      <c r="G125" s="581"/>
      <c r="H125" s="581"/>
      <c r="I125" s="581"/>
      <c r="J125" s="581"/>
      <c r="K125" s="581"/>
      <c r="L125" s="581"/>
      <c r="M125" s="581"/>
      <c r="N125" s="581"/>
      <c r="O125" s="581"/>
      <c r="P125" s="581"/>
      <c r="Q125" s="581"/>
      <c r="R125" s="581"/>
      <c r="S125" s="581"/>
      <c r="T125" s="581"/>
      <c r="U125" s="581"/>
      <c r="V125" s="581"/>
      <c r="W125" s="581"/>
      <c r="X125" s="581"/>
      <c r="Y125" s="581"/>
    </row>
    <row r="126">
      <c r="A126" s="581"/>
      <c r="B126" s="581"/>
      <c r="C126" s="581"/>
      <c r="D126" s="581"/>
      <c r="E126" s="581"/>
      <c r="F126" s="581"/>
      <c r="G126" s="581"/>
      <c r="H126" s="581"/>
      <c r="I126" s="581"/>
      <c r="J126" s="581"/>
      <c r="K126" s="581"/>
      <c r="L126" s="581"/>
      <c r="M126" s="581"/>
      <c r="N126" s="581"/>
      <c r="O126" s="581"/>
      <c r="P126" s="581"/>
      <c r="Q126" s="581"/>
      <c r="R126" s="581"/>
      <c r="S126" s="581"/>
      <c r="T126" s="581"/>
      <c r="U126" s="581"/>
      <c r="V126" s="581"/>
      <c r="W126" s="581"/>
      <c r="X126" s="581"/>
      <c r="Y126" s="581"/>
    </row>
    <row r="127">
      <c r="A127" s="581"/>
      <c r="B127" s="581"/>
      <c r="C127" s="581"/>
      <c r="D127" s="581"/>
      <c r="E127" s="581"/>
      <c r="F127" s="581"/>
      <c r="G127" s="581"/>
      <c r="H127" s="581"/>
      <c r="I127" s="581"/>
      <c r="J127" s="581"/>
      <c r="K127" s="581"/>
      <c r="L127" s="581"/>
      <c r="M127" s="581"/>
      <c r="N127" s="581"/>
      <c r="O127" s="581"/>
      <c r="P127" s="581"/>
      <c r="Q127" s="581"/>
      <c r="R127" s="581"/>
      <c r="S127" s="581"/>
      <c r="T127" s="581"/>
      <c r="U127" s="581"/>
      <c r="V127" s="581"/>
      <c r="W127" s="581"/>
      <c r="X127" s="581"/>
      <c r="Y127" s="581"/>
    </row>
    <row r="128">
      <c r="A128" s="581"/>
      <c r="B128" s="581"/>
      <c r="C128" s="581"/>
      <c r="D128" s="581"/>
      <c r="E128" s="581"/>
      <c r="F128" s="581"/>
      <c r="G128" s="581"/>
      <c r="H128" s="581"/>
      <c r="I128" s="581"/>
      <c r="J128" s="581"/>
      <c r="K128" s="581"/>
      <c r="L128" s="581"/>
      <c r="M128" s="581"/>
      <c r="N128" s="581"/>
      <c r="O128" s="581"/>
      <c r="P128" s="581"/>
      <c r="Q128" s="581"/>
      <c r="R128" s="581"/>
      <c r="S128" s="581"/>
      <c r="T128" s="581"/>
      <c r="U128" s="581"/>
      <c r="V128" s="581"/>
      <c r="W128" s="581"/>
      <c r="X128" s="581"/>
      <c r="Y128" s="581"/>
    </row>
    <row r="129">
      <c r="A129" s="581"/>
      <c r="B129" s="581"/>
      <c r="C129" s="581"/>
      <c r="D129" s="581"/>
      <c r="E129" s="581"/>
      <c r="F129" s="581"/>
      <c r="G129" s="581"/>
      <c r="H129" s="581"/>
      <c r="I129" s="581"/>
      <c r="J129" s="581"/>
      <c r="K129" s="581"/>
      <c r="L129" s="581"/>
      <c r="M129" s="581"/>
      <c r="N129" s="581"/>
      <c r="O129" s="581"/>
      <c r="P129" s="581"/>
      <c r="Q129" s="581"/>
      <c r="R129" s="581"/>
      <c r="S129" s="581"/>
      <c r="T129" s="581"/>
      <c r="U129" s="581"/>
      <c r="V129" s="581"/>
      <c r="W129" s="581"/>
      <c r="X129" s="581"/>
      <c r="Y129" s="581"/>
    </row>
    <row r="130">
      <c r="A130" s="581"/>
      <c r="B130" s="581"/>
      <c r="C130" s="581"/>
      <c r="D130" s="581"/>
      <c r="E130" s="581"/>
      <c r="F130" s="581"/>
      <c r="G130" s="581"/>
      <c r="H130" s="581"/>
      <c r="I130" s="581"/>
      <c r="J130" s="581"/>
      <c r="K130" s="581"/>
      <c r="L130" s="581"/>
      <c r="M130" s="581"/>
      <c r="N130" s="581"/>
      <c r="O130" s="581"/>
      <c r="P130" s="581"/>
      <c r="Q130" s="581"/>
      <c r="R130" s="581"/>
      <c r="S130" s="581"/>
      <c r="T130" s="581"/>
      <c r="U130" s="581"/>
      <c r="V130" s="581"/>
      <c r="W130" s="581"/>
      <c r="X130" s="581"/>
      <c r="Y130" s="581"/>
    </row>
    <row r="131">
      <c r="A131" s="581"/>
      <c r="B131" s="581"/>
      <c r="C131" s="581"/>
      <c r="D131" s="581"/>
      <c r="E131" s="581"/>
      <c r="F131" s="581"/>
      <c r="G131" s="581"/>
      <c r="H131" s="581"/>
      <c r="I131" s="581"/>
      <c r="J131" s="581"/>
      <c r="K131" s="581"/>
      <c r="L131" s="581"/>
      <c r="M131" s="581"/>
      <c r="N131" s="581"/>
      <c r="O131" s="581"/>
      <c r="P131" s="581"/>
      <c r="Q131" s="581"/>
      <c r="R131" s="581"/>
      <c r="S131" s="581"/>
      <c r="T131" s="581"/>
      <c r="U131" s="581"/>
      <c r="V131" s="581"/>
      <c r="W131" s="581"/>
      <c r="X131" s="581"/>
      <c r="Y131" s="581"/>
    </row>
    <row r="132">
      <c r="A132" s="581"/>
      <c r="B132" s="581"/>
      <c r="C132" s="581"/>
      <c r="D132" s="581"/>
      <c r="E132" s="581"/>
      <c r="F132" s="581"/>
      <c r="G132" s="581"/>
      <c r="H132" s="581"/>
      <c r="I132" s="581"/>
      <c r="J132" s="581"/>
      <c r="K132" s="581"/>
      <c r="L132" s="581"/>
      <c r="M132" s="581"/>
      <c r="N132" s="581"/>
      <c r="O132" s="581"/>
      <c r="P132" s="581"/>
      <c r="Q132" s="581"/>
      <c r="R132" s="581"/>
      <c r="S132" s="581"/>
      <c r="T132" s="581"/>
      <c r="U132" s="581"/>
      <c r="V132" s="581"/>
      <c r="W132" s="581"/>
      <c r="X132" s="581"/>
      <c r="Y132" s="581"/>
    </row>
    <row r="133">
      <c r="A133" s="581"/>
      <c r="B133" s="581"/>
      <c r="C133" s="581"/>
      <c r="D133" s="581"/>
      <c r="E133" s="581"/>
      <c r="F133" s="581"/>
      <c r="G133" s="581"/>
      <c r="H133" s="581"/>
      <c r="I133" s="581"/>
      <c r="J133" s="581"/>
      <c r="K133" s="581"/>
      <c r="L133" s="581"/>
      <c r="M133" s="581"/>
      <c r="N133" s="581"/>
      <c r="O133" s="581"/>
      <c r="P133" s="581"/>
      <c r="Q133" s="581"/>
      <c r="R133" s="581"/>
      <c r="S133" s="581"/>
      <c r="T133" s="581"/>
      <c r="U133" s="581"/>
      <c r="V133" s="581"/>
      <c r="W133" s="581"/>
      <c r="X133" s="581"/>
      <c r="Y133" s="581"/>
    </row>
    <row r="134">
      <c r="A134" s="581"/>
      <c r="B134" s="581"/>
      <c r="C134" s="581"/>
      <c r="D134" s="581"/>
      <c r="E134" s="581"/>
      <c r="F134" s="581"/>
      <c r="G134" s="581"/>
      <c r="H134" s="581"/>
      <c r="I134" s="581"/>
      <c r="J134" s="581"/>
      <c r="K134" s="581"/>
      <c r="L134" s="581"/>
      <c r="M134" s="581"/>
      <c r="N134" s="581"/>
      <c r="O134" s="581"/>
      <c r="P134" s="581"/>
      <c r="Q134" s="581"/>
      <c r="R134" s="581"/>
      <c r="S134" s="581"/>
      <c r="T134" s="581"/>
      <c r="U134" s="581"/>
      <c r="V134" s="581"/>
      <c r="W134" s="581"/>
      <c r="X134" s="581"/>
      <c r="Y134" s="581"/>
    </row>
    <row r="135">
      <c r="A135" s="581"/>
      <c r="B135" s="581"/>
      <c r="C135" s="581"/>
      <c r="D135" s="581"/>
      <c r="E135" s="581"/>
      <c r="F135" s="581"/>
      <c r="G135" s="581"/>
      <c r="H135" s="581"/>
      <c r="I135" s="581"/>
      <c r="J135" s="581"/>
      <c r="K135" s="581"/>
      <c r="L135" s="581"/>
      <c r="M135" s="581"/>
      <c r="N135" s="581"/>
      <c r="O135" s="581"/>
      <c r="P135" s="581"/>
      <c r="Q135" s="581"/>
      <c r="R135" s="581"/>
      <c r="S135" s="581"/>
      <c r="T135" s="581"/>
      <c r="U135" s="581"/>
      <c r="V135" s="581"/>
      <c r="W135" s="581"/>
      <c r="X135" s="581"/>
      <c r="Y135" s="581"/>
    </row>
    <row r="136">
      <c r="A136" s="581"/>
      <c r="B136" s="581"/>
      <c r="C136" s="581"/>
      <c r="D136" s="581"/>
      <c r="E136" s="581"/>
      <c r="F136" s="581"/>
      <c r="G136" s="581"/>
      <c r="H136" s="581"/>
      <c r="I136" s="581"/>
      <c r="J136" s="581"/>
      <c r="K136" s="581"/>
      <c r="L136" s="581"/>
      <c r="M136" s="581"/>
      <c r="N136" s="581"/>
      <c r="O136" s="581"/>
      <c r="P136" s="581"/>
      <c r="Q136" s="581"/>
      <c r="R136" s="581"/>
      <c r="S136" s="581"/>
      <c r="T136" s="581"/>
      <c r="U136" s="581"/>
      <c r="V136" s="581"/>
      <c r="W136" s="581"/>
      <c r="X136" s="581"/>
      <c r="Y136" s="581"/>
    </row>
    <row r="137">
      <c r="A137" s="581"/>
      <c r="B137" s="581"/>
      <c r="C137" s="581"/>
      <c r="D137" s="581"/>
      <c r="E137" s="581"/>
      <c r="F137" s="581"/>
      <c r="G137" s="581"/>
      <c r="H137" s="581"/>
      <c r="I137" s="581"/>
      <c r="J137" s="581"/>
      <c r="K137" s="581"/>
      <c r="L137" s="581"/>
      <c r="M137" s="581"/>
      <c r="N137" s="581"/>
      <c r="O137" s="581"/>
      <c r="P137" s="581"/>
      <c r="Q137" s="581"/>
      <c r="R137" s="581"/>
      <c r="S137" s="581"/>
      <c r="T137" s="581"/>
      <c r="U137" s="581"/>
      <c r="V137" s="581"/>
      <c r="W137" s="581"/>
      <c r="X137" s="581"/>
      <c r="Y137" s="581"/>
    </row>
    <row r="138">
      <c r="A138" s="581"/>
      <c r="B138" s="581"/>
      <c r="C138" s="581"/>
      <c r="D138" s="581"/>
      <c r="E138" s="581"/>
      <c r="F138" s="581"/>
      <c r="G138" s="581"/>
      <c r="H138" s="581"/>
      <c r="I138" s="581"/>
      <c r="J138" s="581"/>
      <c r="K138" s="581"/>
      <c r="L138" s="581"/>
      <c r="M138" s="581"/>
      <c r="N138" s="581"/>
      <c r="O138" s="581"/>
      <c r="P138" s="581"/>
      <c r="Q138" s="581"/>
      <c r="R138" s="581"/>
      <c r="S138" s="581"/>
      <c r="T138" s="581"/>
      <c r="U138" s="581"/>
      <c r="V138" s="581"/>
      <c r="W138" s="581"/>
      <c r="X138" s="581"/>
      <c r="Y138" s="581"/>
    </row>
    <row r="139">
      <c r="A139" s="581"/>
      <c r="B139" s="581"/>
      <c r="C139" s="581"/>
      <c r="D139" s="581"/>
      <c r="E139" s="581"/>
      <c r="F139" s="581"/>
      <c r="G139" s="581"/>
      <c r="H139" s="581"/>
      <c r="I139" s="581"/>
      <c r="J139" s="581"/>
      <c r="K139" s="581"/>
      <c r="L139" s="581"/>
      <c r="M139" s="581"/>
      <c r="N139" s="581"/>
      <c r="O139" s="581"/>
      <c r="P139" s="581"/>
      <c r="Q139" s="581"/>
      <c r="R139" s="581"/>
      <c r="S139" s="581"/>
      <c r="T139" s="581"/>
      <c r="U139" s="581"/>
      <c r="V139" s="581"/>
      <c r="W139" s="581"/>
      <c r="X139" s="581"/>
      <c r="Y139" s="581"/>
    </row>
    <row r="140">
      <c r="A140" s="581"/>
      <c r="B140" s="581"/>
      <c r="C140" s="581"/>
      <c r="D140" s="581"/>
      <c r="E140" s="581"/>
      <c r="F140" s="581"/>
      <c r="G140" s="581"/>
      <c r="H140" s="581"/>
      <c r="I140" s="581"/>
      <c r="J140" s="581"/>
      <c r="K140" s="581"/>
      <c r="L140" s="581"/>
      <c r="M140" s="581"/>
      <c r="N140" s="581"/>
      <c r="O140" s="581"/>
      <c r="P140" s="581"/>
      <c r="Q140" s="581"/>
      <c r="R140" s="581"/>
      <c r="S140" s="581"/>
      <c r="T140" s="581"/>
      <c r="U140" s="581"/>
      <c r="V140" s="581"/>
      <c r="W140" s="581"/>
      <c r="X140" s="581"/>
      <c r="Y140" s="581"/>
    </row>
    <row r="141">
      <c r="A141" s="581"/>
      <c r="B141" s="581"/>
      <c r="C141" s="581"/>
      <c r="D141" s="581"/>
      <c r="E141" s="581"/>
      <c r="F141" s="581"/>
      <c r="G141" s="581"/>
      <c r="H141" s="581"/>
      <c r="I141" s="581"/>
      <c r="J141" s="581"/>
      <c r="K141" s="581"/>
      <c r="L141" s="581"/>
      <c r="M141" s="581"/>
      <c r="N141" s="581"/>
      <c r="O141" s="581"/>
      <c r="P141" s="581"/>
      <c r="Q141" s="581"/>
      <c r="R141" s="581"/>
      <c r="S141" s="581"/>
      <c r="T141" s="581"/>
      <c r="U141" s="581"/>
      <c r="V141" s="581"/>
      <c r="W141" s="581"/>
      <c r="X141" s="581"/>
      <c r="Y141" s="581"/>
    </row>
    <row r="142">
      <c r="A142" s="581"/>
      <c r="B142" s="581"/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1"/>
      <c r="N142" s="581"/>
      <c r="O142" s="581"/>
      <c r="P142" s="581"/>
      <c r="Q142" s="581"/>
      <c r="R142" s="581"/>
      <c r="S142" s="581"/>
      <c r="T142" s="581"/>
      <c r="U142" s="581"/>
      <c r="V142" s="581"/>
      <c r="W142" s="581"/>
      <c r="X142" s="581"/>
      <c r="Y142" s="581"/>
    </row>
    <row r="143">
      <c r="A143" s="581"/>
      <c r="B143" s="581"/>
      <c r="C143" s="581"/>
      <c r="D143" s="581"/>
      <c r="E143" s="581"/>
      <c r="F143" s="581"/>
      <c r="G143" s="581"/>
      <c r="H143" s="581"/>
      <c r="I143" s="581"/>
      <c r="J143" s="581"/>
      <c r="K143" s="581"/>
      <c r="L143" s="581"/>
      <c r="M143" s="581"/>
      <c r="N143" s="581"/>
      <c r="O143" s="581"/>
      <c r="P143" s="581"/>
      <c r="Q143" s="581"/>
      <c r="R143" s="581"/>
      <c r="S143" s="581"/>
      <c r="T143" s="581"/>
      <c r="U143" s="581"/>
      <c r="V143" s="581"/>
      <c r="W143" s="581"/>
      <c r="X143" s="581"/>
      <c r="Y143" s="581"/>
    </row>
    <row r="144">
      <c r="A144" s="581"/>
      <c r="B144" s="581"/>
      <c r="C144" s="581"/>
      <c r="D144" s="581"/>
      <c r="E144" s="581"/>
      <c r="F144" s="581"/>
      <c r="G144" s="581"/>
      <c r="H144" s="581"/>
      <c r="I144" s="581"/>
      <c r="J144" s="581"/>
      <c r="K144" s="581"/>
      <c r="L144" s="581"/>
      <c r="M144" s="581"/>
      <c r="N144" s="581"/>
      <c r="O144" s="581"/>
      <c r="P144" s="581"/>
      <c r="Q144" s="581"/>
      <c r="R144" s="581"/>
      <c r="S144" s="581"/>
      <c r="T144" s="581"/>
      <c r="U144" s="581"/>
      <c r="V144" s="581"/>
      <c r="W144" s="581"/>
      <c r="X144" s="581"/>
      <c r="Y144" s="581"/>
    </row>
    <row r="145">
      <c r="A145" s="581"/>
      <c r="B145" s="581"/>
      <c r="C145" s="581"/>
      <c r="D145" s="581"/>
      <c r="E145" s="581"/>
      <c r="F145" s="581"/>
      <c r="G145" s="581"/>
      <c r="H145" s="581"/>
      <c r="I145" s="581"/>
      <c r="J145" s="581"/>
      <c r="K145" s="581"/>
      <c r="L145" s="581"/>
      <c r="M145" s="581"/>
      <c r="N145" s="581"/>
      <c r="O145" s="581"/>
      <c r="P145" s="581"/>
      <c r="Q145" s="581"/>
      <c r="R145" s="581"/>
      <c r="S145" s="581"/>
      <c r="T145" s="581"/>
      <c r="U145" s="581"/>
      <c r="V145" s="581"/>
      <c r="W145" s="581"/>
      <c r="X145" s="581"/>
      <c r="Y145" s="581"/>
    </row>
    <row r="146">
      <c r="A146" s="581"/>
      <c r="B146" s="581"/>
      <c r="C146" s="581"/>
      <c r="D146" s="581"/>
      <c r="E146" s="581"/>
      <c r="F146" s="581"/>
      <c r="G146" s="581"/>
      <c r="H146" s="581"/>
      <c r="I146" s="581"/>
      <c r="J146" s="581"/>
      <c r="K146" s="581"/>
      <c r="L146" s="581"/>
      <c r="M146" s="581"/>
      <c r="N146" s="581"/>
      <c r="O146" s="581"/>
      <c r="P146" s="581"/>
      <c r="Q146" s="581"/>
      <c r="R146" s="581"/>
      <c r="S146" s="581"/>
      <c r="T146" s="581"/>
      <c r="U146" s="581"/>
      <c r="V146" s="581"/>
      <c r="W146" s="581"/>
      <c r="X146" s="581"/>
      <c r="Y146" s="581"/>
    </row>
    <row r="147">
      <c r="A147" s="581"/>
      <c r="B147" s="581"/>
      <c r="C147" s="581"/>
      <c r="D147" s="581"/>
      <c r="E147" s="581"/>
      <c r="F147" s="581"/>
      <c r="G147" s="581"/>
      <c r="H147" s="581"/>
      <c r="I147" s="581"/>
      <c r="J147" s="581"/>
      <c r="K147" s="581"/>
      <c r="L147" s="581"/>
      <c r="M147" s="581"/>
      <c r="N147" s="581"/>
      <c r="O147" s="581"/>
      <c r="P147" s="581"/>
      <c r="Q147" s="581"/>
      <c r="R147" s="581"/>
      <c r="S147" s="581"/>
      <c r="T147" s="581"/>
      <c r="U147" s="581"/>
      <c r="V147" s="581"/>
      <c r="W147" s="581"/>
      <c r="X147" s="581"/>
      <c r="Y147" s="581"/>
    </row>
    <row r="148">
      <c r="A148" s="581"/>
      <c r="B148" s="581"/>
      <c r="C148" s="581"/>
      <c r="D148" s="581"/>
      <c r="E148" s="581"/>
      <c r="F148" s="581"/>
      <c r="G148" s="581"/>
      <c r="H148" s="581"/>
      <c r="I148" s="581"/>
      <c r="J148" s="581"/>
      <c r="K148" s="581"/>
      <c r="L148" s="581"/>
      <c r="M148" s="581"/>
      <c r="N148" s="581"/>
      <c r="O148" s="581"/>
      <c r="P148" s="581"/>
      <c r="Q148" s="581"/>
      <c r="R148" s="581"/>
      <c r="S148" s="581"/>
      <c r="T148" s="581"/>
      <c r="U148" s="581"/>
      <c r="V148" s="581"/>
      <c r="W148" s="581"/>
      <c r="X148" s="581"/>
      <c r="Y148" s="581"/>
    </row>
    <row r="149">
      <c r="A149" s="581"/>
      <c r="B149" s="581"/>
      <c r="C149" s="581"/>
      <c r="D149" s="581"/>
      <c r="E149" s="581"/>
      <c r="F149" s="581"/>
      <c r="G149" s="581"/>
      <c r="H149" s="581"/>
      <c r="I149" s="581"/>
      <c r="J149" s="581"/>
      <c r="K149" s="581"/>
      <c r="L149" s="581"/>
      <c r="M149" s="581"/>
      <c r="N149" s="581"/>
      <c r="O149" s="581"/>
      <c r="P149" s="581"/>
      <c r="Q149" s="581"/>
      <c r="R149" s="581"/>
      <c r="S149" s="581"/>
      <c r="T149" s="581"/>
      <c r="U149" s="581"/>
      <c r="V149" s="581"/>
      <c r="W149" s="581"/>
      <c r="X149" s="581"/>
      <c r="Y149" s="581"/>
    </row>
    <row r="150">
      <c r="A150" s="581"/>
      <c r="B150" s="581"/>
      <c r="C150" s="581"/>
      <c r="D150" s="581"/>
      <c r="E150" s="581"/>
      <c r="F150" s="581"/>
      <c r="G150" s="581"/>
      <c r="H150" s="581"/>
      <c r="I150" s="581"/>
      <c r="J150" s="581"/>
      <c r="K150" s="581"/>
      <c r="L150" s="581"/>
      <c r="M150" s="581"/>
      <c r="N150" s="581"/>
      <c r="O150" s="581"/>
      <c r="P150" s="581"/>
      <c r="Q150" s="581"/>
      <c r="R150" s="581"/>
      <c r="S150" s="581"/>
      <c r="T150" s="581"/>
      <c r="U150" s="581"/>
      <c r="V150" s="581"/>
      <c r="W150" s="581"/>
      <c r="X150" s="581"/>
      <c r="Y150" s="581"/>
    </row>
    <row r="151">
      <c r="A151" s="581"/>
      <c r="B151" s="581"/>
      <c r="C151" s="581"/>
      <c r="D151" s="581"/>
      <c r="E151" s="581"/>
      <c r="F151" s="581"/>
      <c r="G151" s="581"/>
      <c r="H151" s="581"/>
      <c r="I151" s="581"/>
      <c r="J151" s="581"/>
      <c r="K151" s="581"/>
      <c r="L151" s="581"/>
      <c r="M151" s="581"/>
      <c r="N151" s="581"/>
      <c r="O151" s="581"/>
      <c r="P151" s="581"/>
      <c r="Q151" s="581"/>
      <c r="R151" s="581"/>
      <c r="S151" s="581"/>
      <c r="T151" s="581"/>
      <c r="U151" s="581"/>
      <c r="V151" s="581"/>
      <c r="W151" s="581"/>
      <c r="X151" s="581"/>
      <c r="Y151" s="581"/>
    </row>
    <row r="152">
      <c r="A152" s="581"/>
      <c r="B152" s="581"/>
      <c r="C152" s="581"/>
      <c r="D152" s="581"/>
      <c r="E152" s="581"/>
      <c r="F152" s="581"/>
      <c r="G152" s="581"/>
      <c r="H152" s="581"/>
      <c r="I152" s="581"/>
      <c r="J152" s="581"/>
      <c r="K152" s="581"/>
      <c r="L152" s="581"/>
      <c r="M152" s="581"/>
      <c r="N152" s="581"/>
      <c r="O152" s="581"/>
      <c r="P152" s="581"/>
      <c r="Q152" s="581"/>
      <c r="R152" s="581"/>
      <c r="S152" s="581"/>
      <c r="T152" s="581"/>
      <c r="U152" s="581"/>
      <c r="V152" s="581"/>
      <c r="W152" s="581"/>
      <c r="X152" s="581"/>
      <c r="Y152" s="581"/>
    </row>
    <row r="153">
      <c r="A153" s="581"/>
      <c r="B153" s="581"/>
      <c r="C153" s="581"/>
      <c r="D153" s="581"/>
      <c r="E153" s="581"/>
      <c r="F153" s="581"/>
      <c r="G153" s="581"/>
      <c r="H153" s="581"/>
      <c r="I153" s="581"/>
      <c r="J153" s="581"/>
      <c r="K153" s="581"/>
      <c r="L153" s="581"/>
      <c r="M153" s="581"/>
      <c r="N153" s="581"/>
      <c r="O153" s="581"/>
      <c r="P153" s="581"/>
      <c r="Q153" s="581"/>
      <c r="R153" s="581"/>
      <c r="S153" s="581"/>
      <c r="T153" s="581"/>
      <c r="U153" s="581"/>
      <c r="V153" s="581"/>
      <c r="W153" s="581"/>
      <c r="X153" s="581"/>
      <c r="Y153" s="581"/>
    </row>
    <row r="154">
      <c r="A154" s="581"/>
      <c r="B154" s="581"/>
      <c r="C154" s="581"/>
      <c r="D154" s="581"/>
      <c r="E154" s="581"/>
      <c r="F154" s="581"/>
      <c r="G154" s="581"/>
      <c r="H154" s="581"/>
      <c r="I154" s="581"/>
      <c r="J154" s="581"/>
      <c r="K154" s="581"/>
      <c r="L154" s="581"/>
      <c r="M154" s="581"/>
      <c r="N154" s="581"/>
      <c r="O154" s="581"/>
      <c r="P154" s="581"/>
      <c r="Q154" s="581"/>
      <c r="R154" s="581"/>
      <c r="S154" s="581"/>
      <c r="T154" s="581"/>
      <c r="U154" s="581"/>
      <c r="V154" s="581"/>
      <c r="W154" s="581"/>
      <c r="X154" s="581"/>
      <c r="Y154" s="581"/>
    </row>
    <row r="155">
      <c r="A155" s="581"/>
      <c r="B155" s="581"/>
      <c r="C155" s="581"/>
      <c r="D155" s="581"/>
      <c r="E155" s="581"/>
      <c r="F155" s="581"/>
      <c r="G155" s="581"/>
      <c r="H155" s="581"/>
      <c r="I155" s="581"/>
      <c r="J155" s="581"/>
      <c r="K155" s="581"/>
      <c r="L155" s="581"/>
      <c r="M155" s="581"/>
      <c r="N155" s="581"/>
      <c r="O155" s="581"/>
      <c r="P155" s="581"/>
      <c r="Q155" s="581"/>
      <c r="R155" s="581"/>
      <c r="S155" s="581"/>
      <c r="T155" s="581"/>
      <c r="U155" s="581"/>
      <c r="V155" s="581"/>
      <c r="W155" s="581"/>
      <c r="X155" s="581"/>
      <c r="Y155" s="581"/>
    </row>
    <row r="156">
      <c r="A156" s="581"/>
      <c r="B156" s="581"/>
      <c r="C156" s="581"/>
      <c r="D156" s="581"/>
      <c r="E156" s="581"/>
      <c r="F156" s="581"/>
      <c r="G156" s="581"/>
      <c r="H156" s="581"/>
      <c r="I156" s="581"/>
      <c r="J156" s="581"/>
      <c r="K156" s="581"/>
      <c r="L156" s="581"/>
      <c r="M156" s="581"/>
      <c r="N156" s="581"/>
      <c r="O156" s="581"/>
      <c r="P156" s="581"/>
      <c r="Q156" s="581"/>
      <c r="R156" s="581"/>
      <c r="S156" s="581"/>
      <c r="T156" s="581"/>
      <c r="U156" s="581"/>
      <c r="V156" s="581"/>
      <c r="W156" s="581"/>
      <c r="X156" s="581"/>
      <c r="Y156" s="581"/>
    </row>
    <row r="157">
      <c r="A157" s="581"/>
      <c r="B157" s="581"/>
      <c r="C157" s="581"/>
      <c r="D157" s="581"/>
      <c r="E157" s="581"/>
      <c r="F157" s="581"/>
      <c r="G157" s="581"/>
      <c r="H157" s="581"/>
      <c r="I157" s="581"/>
      <c r="J157" s="581"/>
      <c r="K157" s="581"/>
      <c r="L157" s="581"/>
      <c r="M157" s="581"/>
      <c r="N157" s="581"/>
      <c r="O157" s="581"/>
      <c r="P157" s="581"/>
      <c r="Q157" s="581"/>
      <c r="R157" s="581"/>
      <c r="S157" s="581"/>
      <c r="T157" s="581"/>
      <c r="U157" s="581"/>
      <c r="V157" s="581"/>
      <c r="W157" s="581"/>
      <c r="X157" s="581"/>
      <c r="Y157" s="581"/>
    </row>
    <row r="158">
      <c r="A158" s="581"/>
      <c r="B158" s="581"/>
      <c r="C158" s="581"/>
      <c r="D158" s="581"/>
      <c r="E158" s="581"/>
      <c r="F158" s="581"/>
      <c r="G158" s="581"/>
      <c r="H158" s="581"/>
      <c r="I158" s="581"/>
      <c r="J158" s="581"/>
      <c r="K158" s="581"/>
      <c r="L158" s="581"/>
      <c r="M158" s="581"/>
      <c r="N158" s="581"/>
      <c r="O158" s="581"/>
      <c r="P158" s="581"/>
      <c r="Q158" s="581"/>
      <c r="R158" s="581"/>
      <c r="S158" s="581"/>
      <c r="T158" s="581"/>
      <c r="U158" s="581"/>
      <c r="V158" s="581"/>
      <c r="W158" s="581"/>
      <c r="X158" s="581"/>
      <c r="Y158" s="581"/>
    </row>
    <row r="159">
      <c r="A159" s="581"/>
      <c r="B159" s="581"/>
      <c r="C159" s="581"/>
      <c r="D159" s="581"/>
      <c r="E159" s="581"/>
      <c r="F159" s="581"/>
      <c r="G159" s="581"/>
      <c r="H159" s="581"/>
      <c r="I159" s="581"/>
      <c r="J159" s="581"/>
      <c r="K159" s="581"/>
      <c r="L159" s="581"/>
      <c r="M159" s="581"/>
      <c r="N159" s="581"/>
      <c r="O159" s="581"/>
      <c r="P159" s="581"/>
      <c r="Q159" s="581"/>
      <c r="R159" s="581"/>
      <c r="S159" s="581"/>
      <c r="T159" s="581"/>
      <c r="U159" s="581"/>
      <c r="V159" s="581"/>
      <c r="W159" s="581"/>
      <c r="X159" s="581"/>
      <c r="Y159" s="581"/>
    </row>
    <row r="160">
      <c r="A160" s="581"/>
      <c r="B160" s="581"/>
      <c r="C160" s="581"/>
      <c r="D160" s="581"/>
      <c r="E160" s="581"/>
      <c r="F160" s="581"/>
      <c r="G160" s="581"/>
      <c r="H160" s="581"/>
      <c r="I160" s="581"/>
      <c r="J160" s="581"/>
      <c r="K160" s="581"/>
      <c r="L160" s="581"/>
      <c r="M160" s="581"/>
      <c r="N160" s="581"/>
      <c r="O160" s="581"/>
      <c r="P160" s="581"/>
      <c r="Q160" s="581"/>
      <c r="R160" s="581"/>
      <c r="S160" s="581"/>
      <c r="T160" s="581"/>
      <c r="U160" s="581"/>
      <c r="V160" s="581"/>
      <c r="W160" s="581"/>
      <c r="X160" s="581"/>
      <c r="Y160" s="581"/>
    </row>
    <row r="161">
      <c r="A161" s="581"/>
      <c r="B161" s="581"/>
      <c r="C161" s="581"/>
      <c r="D161" s="581"/>
      <c r="E161" s="581"/>
      <c r="F161" s="581"/>
      <c r="G161" s="581"/>
      <c r="H161" s="581"/>
      <c r="I161" s="581"/>
      <c r="J161" s="581"/>
      <c r="K161" s="581"/>
      <c r="L161" s="581"/>
      <c r="M161" s="581"/>
      <c r="N161" s="581"/>
      <c r="O161" s="581"/>
      <c r="P161" s="581"/>
      <c r="Q161" s="581"/>
      <c r="R161" s="581"/>
      <c r="S161" s="581"/>
      <c r="T161" s="581"/>
      <c r="U161" s="581"/>
      <c r="V161" s="581"/>
      <c r="W161" s="581"/>
      <c r="X161" s="581"/>
      <c r="Y161" s="581"/>
    </row>
    <row r="162">
      <c r="A162" s="581"/>
      <c r="B162" s="581"/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1"/>
      <c r="N162" s="581"/>
      <c r="O162" s="581"/>
      <c r="P162" s="581"/>
      <c r="Q162" s="581"/>
      <c r="R162" s="581"/>
      <c r="S162" s="581"/>
      <c r="T162" s="581"/>
      <c r="U162" s="581"/>
      <c r="V162" s="581"/>
      <c r="W162" s="581"/>
      <c r="X162" s="581"/>
      <c r="Y162" s="581"/>
    </row>
    <row r="163">
      <c r="A163" s="581"/>
      <c r="B163" s="581"/>
      <c r="C163" s="581"/>
      <c r="D163" s="581"/>
      <c r="E163" s="581"/>
      <c r="F163" s="581"/>
      <c r="G163" s="581"/>
      <c r="H163" s="581"/>
      <c r="I163" s="581"/>
      <c r="J163" s="581"/>
      <c r="K163" s="581"/>
      <c r="L163" s="581"/>
      <c r="M163" s="581"/>
      <c r="N163" s="581"/>
      <c r="O163" s="581"/>
      <c r="P163" s="581"/>
      <c r="Q163" s="581"/>
      <c r="R163" s="581"/>
      <c r="S163" s="581"/>
      <c r="T163" s="581"/>
      <c r="U163" s="581"/>
      <c r="V163" s="581"/>
      <c r="W163" s="581"/>
      <c r="X163" s="581"/>
      <c r="Y163" s="581"/>
    </row>
    <row r="164">
      <c r="A164" s="581"/>
      <c r="B164" s="581"/>
      <c r="C164" s="581"/>
      <c r="D164" s="581"/>
      <c r="E164" s="581"/>
      <c r="F164" s="581"/>
      <c r="G164" s="581"/>
      <c r="H164" s="581"/>
      <c r="I164" s="581"/>
      <c r="J164" s="581"/>
      <c r="K164" s="581"/>
      <c r="L164" s="581"/>
      <c r="M164" s="581"/>
      <c r="N164" s="581"/>
      <c r="O164" s="581"/>
      <c r="P164" s="581"/>
      <c r="Q164" s="581"/>
      <c r="R164" s="581"/>
      <c r="S164" s="581"/>
      <c r="T164" s="581"/>
      <c r="U164" s="581"/>
      <c r="V164" s="581"/>
      <c r="W164" s="581"/>
      <c r="X164" s="581"/>
      <c r="Y164" s="581"/>
    </row>
    <row r="165">
      <c r="A165" s="581"/>
      <c r="B165" s="581"/>
      <c r="C165" s="581"/>
      <c r="D165" s="581"/>
      <c r="E165" s="581"/>
      <c r="F165" s="581"/>
      <c r="G165" s="581"/>
      <c r="H165" s="581"/>
      <c r="I165" s="581"/>
      <c r="J165" s="581"/>
      <c r="K165" s="581"/>
      <c r="L165" s="581"/>
      <c r="M165" s="581"/>
      <c r="N165" s="581"/>
      <c r="O165" s="581"/>
      <c r="P165" s="581"/>
      <c r="Q165" s="581"/>
      <c r="R165" s="581"/>
      <c r="S165" s="581"/>
      <c r="T165" s="581"/>
      <c r="U165" s="581"/>
      <c r="V165" s="581"/>
      <c r="W165" s="581"/>
      <c r="X165" s="581"/>
      <c r="Y165" s="581"/>
    </row>
    <row r="166">
      <c r="A166" s="581"/>
      <c r="B166" s="581"/>
      <c r="C166" s="581"/>
      <c r="D166" s="581"/>
      <c r="E166" s="581"/>
      <c r="F166" s="581"/>
      <c r="G166" s="581"/>
      <c r="H166" s="581"/>
      <c r="I166" s="581"/>
      <c r="J166" s="581"/>
      <c r="K166" s="581"/>
      <c r="L166" s="581"/>
      <c r="M166" s="581"/>
      <c r="N166" s="581"/>
      <c r="O166" s="581"/>
      <c r="P166" s="581"/>
      <c r="Q166" s="581"/>
      <c r="R166" s="581"/>
      <c r="S166" s="581"/>
      <c r="T166" s="581"/>
      <c r="U166" s="581"/>
      <c r="V166" s="581"/>
      <c r="W166" s="581"/>
      <c r="X166" s="581"/>
      <c r="Y166" s="581"/>
    </row>
    <row r="167">
      <c r="A167" s="581"/>
      <c r="B167" s="581"/>
      <c r="C167" s="581"/>
      <c r="D167" s="581"/>
      <c r="E167" s="581"/>
      <c r="F167" s="581"/>
      <c r="G167" s="581"/>
      <c r="H167" s="581"/>
      <c r="I167" s="581"/>
      <c r="J167" s="581"/>
      <c r="K167" s="581"/>
      <c r="L167" s="581"/>
      <c r="M167" s="581"/>
      <c r="N167" s="581"/>
      <c r="O167" s="581"/>
      <c r="P167" s="581"/>
      <c r="Q167" s="581"/>
      <c r="R167" s="581"/>
      <c r="S167" s="581"/>
      <c r="T167" s="581"/>
      <c r="U167" s="581"/>
      <c r="V167" s="581"/>
      <c r="W167" s="581"/>
      <c r="X167" s="581"/>
      <c r="Y167" s="581"/>
    </row>
    <row r="168">
      <c r="A168" s="581"/>
      <c r="B168" s="581"/>
      <c r="C168" s="581"/>
      <c r="D168" s="581"/>
      <c r="E168" s="581"/>
      <c r="F168" s="581"/>
      <c r="G168" s="581"/>
      <c r="H168" s="581"/>
      <c r="I168" s="581"/>
      <c r="J168" s="581"/>
      <c r="K168" s="581"/>
      <c r="L168" s="581"/>
      <c r="M168" s="581"/>
      <c r="N168" s="581"/>
      <c r="O168" s="581"/>
      <c r="P168" s="581"/>
      <c r="Q168" s="581"/>
      <c r="R168" s="581"/>
      <c r="S168" s="581"/>
      <c r="T168" s="581"/>
      <c r="U168" s="581"/>
      <c r="V168" s="581"/>
      <c r="W168" s="581"/>
      <c r="X168" s="581"/>
      <c r="Y168" s="581"/>
    </row>
    <row r="169">
      <c r="A169" s="581"/>
      <c r="B169" s="581"/>
      <c r="C169" s="581"/>
      <c r="D169" s="581"/>
      <c r="E169" s="581"/>
      <c r="F169" s="581"/>
      <c r="G169" s="581"/>
      <c r="H169" s="581"/>
      <c r="I169" s="581"/>
      <c r="J169" s="581"/>
      <c r="K169" s="581"/>
      <c r="L169" s="581"/>
      <c r="M169" s="581"/>
      <c r="N169" s="581"/>
      <c r="O169" s="581"/>
      <c r="P169" s="581"/>
      <c r="Q169" s="581"/>
      <c r="R169" s="581"/>
      <c r="S169" s="581"/>
      <c r="T169" s="581"/>
      <c r="U169" s="581"/>
      <c r="V169" s="581"/>
      <c r="W169" s="581"/>
      <c r="X169" s="581"/>
      <c r="Y169" s="581"/>
    </row>
    <row r="170">
      <c r="A170" s="581"/>
      <c r="B170" s="581"/>
      <c r="C170" s="581"/>
      <c r="D170" s="581"/>
      <c r="E170" s="581"/>
      <c r="F170" s="581"/>
      <c r="G170" s="581"/>
      <c r="H170" s="581"/>
      <c r="I170" s="581"/>
      <c r="J170" s="581"/>
      <c r="K170" s="581"/>
      <c r="L170" s="581"/>
      <c r="M170" s="581"/>
      <c r="N170" s="581"/>
      <c r="O170" s="581"/>
      <c r="P170" s="581"/>
      <c r="Q170" s="581"/>
      <c r="R170" s="581"/>
      <c r="S170" s="581"/>
      <c r="T170" s="581"/>
      <c r="U170" s="581"/>
      <c r="V170" s="581"/>
      <c r="W170" s="581"/>
      <c r="X170" s="581"/>
      <c r="Y170" s="581"/>
    </row>
    <row r="171">
      <c r="A171" s="581"/>
      <c r="B171" s="581"/>
      <c r="C171" s="581"/>
      <c r="D171" s="581"/>
      <c r="E171" s="581"/>
      <c r="F171" s="581"/>
      <c r="G171" s="581"/>
      <c r="H171" s="581"/>
      <c r="I171" s="581"/>
      <c r="J171" s="581"/>
      <c r="K171" s="581"/>
      <c r="L171" s="581"/>
      <c r="M171" s="581"/>
      <c r="N171" s="581"/>
      <c r="O171" s="581"/>
      <c r="P171" s="581"/>
      <c r="Q171" s="581"/>
      <c r="R171" s="581"/>
      <c r="S171" s="581"/>
      <c r="T171" s="581"/>
      <c r="U171" s="581"/>
      <c r="V171" s="581"/>
      <c r="W171" s="581"/>
      <c r="X171" s="581"/>
      <c r="Y171" s="581"/>
    </row>
    <row r="172">
      <c r="A172" s="581"/>
      <c r="B172" s="581"/>
      <c r="C172" s="581"/>
      <c r="D172" s="581"/>
      <c r="E172" s="581"/>
      <c r="F172" s="581"/>
      <c r="G172" s="581"/>
      <c r="H172" s="581"/>
      <c r="I172" s="581"/>
      <c r="J172" s="581"/>
      <c r="K172" s="581"/>
      <c r="L172" s="581"/>
      <c r="M172" s="581"/>
      <c r="N172" s="581"/>
      <c r="O172" s="581"/>
      <c r="P172" s="581"/>
      <c r="Q172" s="581"/>
      <c r="R172" s="581"/>
      <c r="S172" s="581"/>
      <c r="T172" s="581"/>
      <c r="U172" s="581"/>
      <c r="V172" s="581"/>
      <c r="W172" s="581"/>
      <c r="X172" s="581"/>
      <c r="Y172" s="581"/>
    </row>
    <row r="173">
      <c r="A173" s="581"/>
      <c r="B173" s="581"/>
      <c r="C173" s="581"/>
      <c r="D173" s="581"/>
      <c r="E173" s="581"/>
      <c r="F173" s="581"/>
      <c r="G173" s="581"/>
      <c r="H173" s="581"/>
      <c r="I173" s="581"/>
      <c r="J173" s="581"/>
      <c r="K173" s="581"/>
      <c r="L173" s="581"/>
      <c r="M173" s="581"/>
      <c r="N173" s="581"/>
      <c r="O173" s="581"/>
      <c r="P173" s="581"/>
      <c r="Q173" s="581"/>
      <c r="R173" s="581"/>
      <c r="S173" s="581"/>
      <c r="T173" s="581"/>
      <c r="U173" s="581"/>
      <c r="V173" s="581"/>
      <c r="W173" s="581"/>
      <c r="X173" s="581"/>
      <c r="Y173" s="581"/>
    </row>
    <row r="174">
      <c r="A174" s="581"/>
      <c r="B174" s="581"/>
      <c r="C174" s="581"/>
      <c r="D174" s="581"/>
      <c r="E174" s="581"/>
      <c r="F174" s="581"/>
      <c r="G174" s="581"/>
      <c r="H174" s="581"/>
      <c r="I174" s="581"/>
      <c r="J174" s="581"/>
      <c r="K174" s="581"/>
      <c r="L174" s="581"/>
      <c r="M174" s="581"/>
      <c r="N174" s="581"/>
      <c r="O174" s="581"/>
      <c r="P174" s="581"/>
      <c r="Q174" s="581"/>
      <c r="R174" s="581"/>
      <c r="S174" s="581"/>
      <c r="T174" s="581"/>
      <c r="U174" s="581"/>
      <c r="V174" s="581"/>
      <c r="W174" s="581"/>
      <c r="X174" s="581"/>
      <c r="Y174" s="581"/>
    </row>
    <row r="175">
      <c r="A175" s="581"/>
      <c r="B175" s="581"/>
      <c r="C175" s="581"/>
      <c r="D175" s="581"/>
      <c r="E175" s="581"/>
      <c r="F175" s="581"/>
      <c r="G175" s="581"/>
      <c r="H175" s="581"/>
      <c r="I175" s="581"/>
      <c r="J175" s="581"/>
      <c r="K175" s="581"/>
      <c r="L175" s="581"/>
      <c r="M175" s="581"/>
      <c r="N175" s="581"/>
      <c r="O175" s="581"/>
      <c r="P175" s="581"/>
      <c r="Q175" s="581"/>
      <c r="R175" s="581"/>
      <c r="S175" s="581"/>
      <c r="T175" s="581"/>
      <c r="U175" s="581"/>
      <c r="V175" s="581"/>
      <c r="W175" s="581"/>
      <c r="X175" s="581"/>
      <c r="Y175" s="581"/>
    </row>
    <row r="176">
      <c r="A176" s="581"/>
      <c r="B176" s="581"/>
      <c r="C176" s="581"/>
      <c r="D176" s="581"/>
      <c r="E176" s="581"/>
      <c r="F176" s="581"/>
      <c r="G176" s="581"/>
      <c r="H176" s="581"/>
      <c r="I176" s="581"/>
      <c r="J176" s="581"/>
      <c r="K176" s="581"/>
      <c r="L176" s="581"/>
      <c r="M176" s="581"/>
      <c r="N176" s="581"/>
      <c r="O176" s="581"/>
      <c r="P176" s="581"/>
      <c r="Q176" s="581"/>
      <c r="R176" s="581"/>
      <c r="S176" s="581"/>
      <c r="T176" s="581"/>
      <c r="U176" s="581"/>
      <c r="V176" s="581"/>
      <c r="W176" s="581"/>
      <c r="X176" s="581"/>
      <c r="Y176" s="581"/>
    </row>
    <row r="177">
      <c r="A177" s="581"/>
      <c r="B177" s="581"/>
      <c r="C177" s="581"/>
      <c r="D177" s="581"/>
      <c r="E177" s="581"/>
      <c r="F177" s="581"/>
      <c r="G177" s="581"/>
      <c r="H177" s="581"/>
      <c r="I177" s="581"/>
      <c r="J177" s="581"/>
      <c r="K177" s="581"/>
      <c r="L177" s="581"/>
      <c r="M177" s="581"/>
      <c r="N177" s="581"/>
      <c r="O177" s="581"/>
      <c r="P177" s="581"/>
      <c r="Q177" s="581"/>
      <c r="R177" s="581"/>
      <c r="S177" s="581"/>
      <c r="T177" s="581"/>
      <c r="U177" s="581"/>
      <c r="V177" s="581"/>
      <c r="W177" s="581"/>
      <c r="X177" s="581"/>
      <c r="Y177" s="581"/>
    </row>
    <row r="178">
      <c r="A178" s="581"/>
      <c r="B178" s="581"/>
      <c r="C178" s="581"/>
      <c r="D178" s="581"/>
      <c r="E178" s="581"/>
      <c r="F178" s="581"/>
      <c r="G178" s="581"/>
      <c r="H178" s="581"/>
      <c r="I178" s="581"/>
      <c r="J178" s="581"/>
      <c r="K178" s="581"/>
      <c r="L178" s="581"/>
      <c r="M178" s="581"/>
      <c r="N178" s="581"/>
      <c r="O178" s="581"/>
      <c r="P178" s="581"/>
      <c r="Q178" s="581"/>
      <c r="R178" s="581"/>
      <c r="S178" s="581"/>
      <c r="T178" s="581"/>
      <c r="U178" s="581"/>
      <c r="V178" s="581"/>
      <c r="W178" s="581"/>
      <c r="X178" s="581"/>
      <c r="Y178" s="581"/>
    </row>
    <row r="179">
      <c r="A179" s="581"/>
      <c r="B179" s="581"/>
      <c r="C179" s="581"/>
      <c r="D179" s="581"/>
      <c r="E179" s="581"/>
      <c r="F179" s="581"/>
      <c r="G179" s="581"/>
      <c r="H179" s="581"/>
      <c r="I179" s="581"/>
      <c r="J179" s="581"/>
      <c r="K179" s="581"/>
      <c r="L179" s="581"/>
      <c r="M179" s="581"/>
      <c r="N179" s="581"/>
      <c r="O179" s="581"/>
      <c r="P179" s="581"/>
      <c r="Q179" s="581"/>
      <c r="R179" s="581"/>
      <c r="S179" s="581"/>
      <c r="T179" s="581"/>
      <c r="U179" s="581"/>
      <c r="V179" s="581"/>
      <c r="W179" s="581"/>
      <c r="X179" s="581"/>
      <c r="Y179" s="581"/>
    </row>
    <row r="180">
      <c r="A180" s="581"/>
      <c r="B180" s="581"/>
      <c r="C180" s="581"/>
      <c r="D180" s="581"/>
      <c r="E180" s="581"/>
      <c r="F180" s="581"/>
      <c r="G180" s="581"/>
      <c r="H180" s="581"/>
      <c r="I180" s="581"/>
      <c r="J180" s="581"/>
      <c r="K180" s="581"/>
      <c r="L180" s="581"/>
      <c r="M180" s="581"/>
      <c r="N180" s="581"/>
      <c r="O180" s="581"/>
      <c r="P180" s="581"/>
      <c r="Q180" s="581"/>
      <c r="R180" s="581"/>
      <c r="S180" s="581"/>
      <c r="T180" s="581"/>
      <c r="U180" s="581"/>
      <c r="V180" s="581"/>
      <c r="W180" s="581"/>
      <c r="X180" s="581"/>
      <c r="Y180" s="581"/>
    </row>
    <row r="181">
      <c r="A181" s="581"/>
      <c r="B181" s="581"/>
      <c r="C181" s="581"/>
      <c r="D181" s="581"/>
      <c r="E181" s="581"/>
      <c r="F181" s="581"/>
      <c r="G181" s="581"/>
      <c r="H181" s="581"/>
      <c r="I181" s="581"/>
      <c r="J181" s="581"/>
      <c r="K181" s="581"/>
      <c r="L181" s="581"/>
      <c r="M181" s="581"/>
      <c r="N181" s="581"/>
      <c r="O181" s="581"/>
      <c r="P181" s="581"/>
      <c r="Q181" s="581"/>
      <c r="R181" s="581"/>
      <c r="S181" s="581"/>
      <c r="T181" s="581"/>
      <c r="U181" s="581"/>
      <c r="V181" s="581"/>
      <c r="W181" s="581"/>
      <c r="X181" s="581"/>
      <c r="Y181" s="581"/>
    </row>
    <row r="182">
      <c r="A182" s="581"/>
      <c r="B182" s="581"/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1"/>
      <c r="N182" s="581"/>
      <c r="O182" s="581"/>
      <c r="P182" s="581"/>
      <c r="Q182" s="581"/>
      <c r="R182" s="581"/>
      <c r="S182" s="581"/>
      <c r="T182" s="581"/>
      <c r="U182" s="581"/>
      <c r="V182" s="581"/>
      <c r="W182" s="581"/>
      <c r="X182" s="581"/>
      <c r="Y182" s="581"/>
    </row>
    <row r="183">
      <c r="A183" s="581"/>
      <c r="B183" s="581"/>
      <c r="C183" s="581"/>
      <c r="D183" s="581"/>
      <c r="E183" s="581"/>
      <c r="F183" s="581"/>
      <c r="G183" s="581"/>
      <c r="H183" s="581"/>
      <c r="I183" s="581"/>
      <c r="J183" s="581"/>
      <c r="K183" s="581"/>
      <c r="L183" s="581"/>
      <c r="M183" s="581"/>
      <c r="N183" s="581"/>
      <c r="O183" s="581"/>
      <c r="P183" s="581"/>
      <c r="Q183" s="581"/>
      <c r="R183" s="581"/>
      <c r="S183" s="581"/>
      <c r="T183" s="581"/>
      <c r="U183" s="581"/>
      <c r="V183" s="581"/>
      <c r="W183" s="581"/>
      <c r="X183" s="581"/>
      <c r="Y183" s="581"/>
    </row>
    <row r="184">
      <c r="A184" s="581"/>
      <c r="B184" s="581"/>
      <c r="C184" s="581"/>
      <c r="D184" s="581"/>
      <c r="E184" s="581"/>
      <c r="F184" s="581"/>
      <c r="G184" s="581"/>
      <c r="H184" s="581"/>
      <c r="I184" s="581"/>
      <c r="J184" s="581"/>
      <c r="K184" s="581"/>
      <c r="L184" s="581"/>
      <c r="M184" s="581"/>
      <c r="N184" s="581"/>
      <c r="O184" s="581"/>
      <c r="P184" s="581"/>
      <c r="Q184" s="581"/>
      <c r="R184" s="581"/>
      <c r="S184" s="581"/>
      <c r="T184" s="581"/>
      <c r="U184" s="581"/>
      <c r="V184" s="581"/>
      <c r="W184" s="581"/>
      <c r="X184" s="581"/>
      <c r="Y184" s="581"/>
    </row>
    <row r="185">
      <c r="A185" s="581"/>
      <c r="B185" s="581"/>
      <c r="C185" s="581"/>
      <c r="D185" s="581"/>
      <c r="E185" s="581"/>
      <c r="F185" s="581"/>
      <c r="G185" s="581"/>
      <c r="H185" s="581"/>
      <c r="I185" s="581"/>
      <c r="J185" s="581"/>
      <c r="K185" s="581"/>
      <c r="L185" s="581"/>
      <c r="M185" s="581"/>
      <c r="N185" s="581"/>
      <c r="O185" s="581"/>
      <c r="P185" s="581"/>
      <c r="Q185" s="581"/>
      <c r="R185" s="581"/>
      <c r="S185" s="581"/>
      <c r="T185" s="581"/>
      <c r="U185" s="581"/>
      <c r="V185" s="581"/>
      <c r="W185" s="581"/>
      <c r="X185" s="581"/>
      <c r="Y185" s="581"/>
    </row>
    <row r="186">
      <c r="A186" s="581"/>
      <c r="B186" s="581"/>
      <c r="C186" s="581"/>
      <c r="D186" s="581"/>
      <c r="E186" s="581"/>
      <c r="F186" s="581"/>
      <c r="G186" s="581"/>
      <c r="H186" s="581"/>
      <c r="I186" s="581"/>
      <c r="J186" s="581"/>
      <c r="K186" s="581"/>
      <c r="L186" s="581"/>
      <c r="M186" s="581"/>
      <c r="N186" s="581"/>
      <c r="O186" s="581"/>
      <c r="P186" s="581"/>
      <c r="Q186" s="581"/>
      <c r="R186" s="581"/>
      <c r="S186" s="581"/>
      <c r="T186" s="581"/>
      <c r="U186" s="581"/>
      <c r="V186" s="581"/>
      <c r="W186" s="581"/>
      <c r="X186" s="581"/>
      <c r="Y186" s="581"/>
    </row>
    <row r="187">
      <c r="A187" s="581"/>
      <c r="B187" s="581"/>
      <c r="C187" s="581"/>
      <c r="D187" s="581"/>
      <c r="E187" s="581"/>
      <c r="F187" s="581"/>
      <c r="G187" s="581"/>
      <c r="H187" s="581"/>
      <c r="I187" s="581"/>
      <c r="J187" s="581"/>
      <c r="K187" s="581"/>
      <c r="L187" s="581"/>
      <c r="M187" s="581"/>
      <c r="N187" s="581"/>
      <c r="O187" s="581"/>
      <c r="P187" s="581"/>
      <c r="Q187" s="581"/>
      <c r="R187" s="581"/>
      <c r="S187" s="581"/>
      <c r="T187" s="581"/>
      <c r="U187" s="581"/>
      <c r="V187" s="581"/>
      <c r="W187" s="581"/>
      <c r="X187" s="581"/>
      <c r="Y187" s="581"/>
    </row>
    <row r="188">
      <c r="A188" s="581"/>
      <c r="B188" s="581"/>
      <c r="C188" s="581"/>
      <c r="D188" s="581"/>
      <c r="E188" s="581"/>
      <c r="F188" s="581"/>
      <c r="G188" s="581"/>
      <c r="H188" s="581"/>
      <c r="I188" s="581"/>
      <c r="J188" s="581"/>
      <c r="K188" s="581"/>
      <c r="L188" s="581"/>
      <c r="M188" s="581"/>
      <c r="N188" s="581"/>
      <c r="O188" s="581"/>
      <c r="P188" s="581"/>
      <c r="Q188" s="581"/>
      <c r="R188" s="581"/>
      <c r="S188" s="581"/>
      <c r="T188" s="581"/>
      <c r="U188" s="581"/>
      <c r="V188" s="581"/>
      <c r="W188" s="581"/>
      <c r="X188" s="581"/>
      <c r="Y188" s="581"/>
    </row>
    <row r="189">
      <c r="A189" s="581"/>
      <c r="B189" s="581"/>
      <c r="C189" s="581"/>
      <c r="D189" s="581"/>
      <c r="E189" s="581"/>
      <c r="F189" s="581"/>
      <c r="G189" s="581"/>
      <c r="H189" s="581"/>
      <c r="I189" s="581"/>
      <c r="J189" s="581"/>
      <c r="K189" s="581"/>
      <c r="L189" s="581"/>
      <c r="M189" s="581"/>
      <c r="N189" s="581"/>
      <c r="O189" s="581"/>
      <c r="P189" s="581"/>
      <c r="Q189" s="581"/>
      <c r="R189" s="581"/>
      <c r="S189" s="581"/>
      <c r="T189" s="581"/>
      <c r="U189" s="581"/>
      <c r="V189" s="581"/>
      <c r="W189" s="581"/>
      <c r="X189" s="581"/>
      <c r="Y189" s="581"/>
    </row>
    <row r="190">
      <c r="A190" s="581"/>
      <c r="B190" s="581"/>
      <c r="C190" s="581"/>
      <c r="D190" s="581"/>
      <c r="E190" s="581"/>
      <c r="F190" s="581"/>
      <c r="G190" s="581"/>
      <c r="H190" s="581"/>
      <c r="I190" s="581"/>
      <c r="J190" s="581"/>
      <c r="K190" s="581"/>
      <c r="L190" s="581"/>
      <c r="M190" s="581"/>
      <c r="N190" s="581"/>
      <c r="O190" s="581"/>
      <c r="P190" s="581"/>
      <c r="Q190" s="581"/>
      <c r="R190" s="581"/>
      <c r="S190" s="581"/>
      <c r="T190" s="581"/>
      <c r="U190" s="581"/>
      <c r="V190" s="581"/>
      <c r="W190" s="581"/>
      <c r="X190" s="581"/>
      <c r="Y190" s="581"/>
    </row>
    <row r="191">
      <c r="A191" s="581"/>
      <c r="B191" s="581"/>
      <c r="C191" s="581"/>
      <c r="D191" s="581"/>
      <c r="E191" s="581"/>
      <c r="F191" s="581"/>
      <c r="G191" s="581"/>
      <c r="H191" s="581"/>
      <c r="I191" s="581"/>
      <c r="J191" s="581"/>
      <c r="K191" s="581"/>
      <c r="L191" s="581"/>
      <c r="M191" s="581"/>
      <c r="N191" s="581"/>
      <c r="O191" s="581"/>
      <c r="P191" s="581"/>
      <c r="Q191" s="581"/>
      <c r="R191" s="581"/>
      <c r="S191" s="581"/>
      <c r="T191" s="581"/>
      <c r="U191" s="581"/>
      <c r="V191" s="581"/>
      <c r="W191" s="581"/>
      <c r="X191" s="581"/>
      <c r="Y191" s="581"/>
    </row>
    <row r="192">
      <c r="A192" s="581"/>
      <c r="B192" s="581"/>
      <c r="C192" s="581"/>
      <c r="D192" s="581"/>
      <c r="E192" s="581"/>
      <c r="F192" s="581"/>
      <c r="G192" s="581"/>
      <c r="H192" s="581"/>
      <c r="I192" s="581"/>
      <c r="J192" s="581"/>
      <c r="K192" s="581"/>
      <c r="L192" s="581"/>
      <c r="M192" s="581"/>
      <c r="N192" s="581"/>
      <c r="O192" s="581"/>
      <c r="P192" s="581"/>
      <c r="Q192" s="581"/>
      <c r="R192" s="581"/>
      <c r="S192" s="581"/>
      <c r="T192" s="581"/>
      <c r="U192" s="581"/>
      <c r="V192" s="581"/>
      <c r="W192" s="581"/>
      <c r="X192" s="581"/>
      <c r="Y192" s="581"/>
    </row>
    <row r="193">
      <c r="A193" s="581"/>
      <c r="B193" s="581"/>
      <c r="C193" s="581"/>
      <c r="D193" s="581"/>
      <c r="E193" s="581"/>
      <c r="F193" s="581"/>
      <c r="G193" s="581"/>
      <c r="H193" s="581"/>
      <c r="I193" s="581"/>
      <c r="J193" s="581"/>
      <c r="K193" s="581"/>
      <c r="L193" s="581"/>
      <c r="M193" s="581"/>
      <c r="N193" s="581"/>
      <c r="O193" s="581"/>
      <c r="P193" s="581"/>
      <c r="Q193" s="581"/>
      <c r="R193" s="581"/>
      <c r="S193" s="581"/>
      <c r="T193" s="581"/>
      <c r="U193" s="581"/>
      <c r="V193" s="581"/>
      <c r="W193" s="581"/>
      <c r="X193" s="581"/>
      <c r="Y193" s="581"/>
    </row>
    <row r="194">
      <c r="A194" s="581"/>
      <c r="B194" s="581"/>
      <c r="C194" s="581"/>
      <c r="D194" s="581"/>
      <c r="E194" s="581"/>
      <c r="F194" s="581"/>
      <c r="G194" s="581"/>
      <c r="H194" s="581"/>
      <c r="I194" s="581"/>
      <c r="J194" s="581"/>
      <c r="K194" s="581"/>
      <c r="L194" s="581"/>
      <c r="M194" s="581"/>
      <c r="N194" s="581"/>
      <c r="O194" s="581"/>
      <c r="P194" s="581"/>
      <c r="Q194" s="581"/>
      <c r="R194" s="581"/>
      <c r="S194" s="581"/>
      <c r="T194" s="581"/>
      <c r="U194" s="581"/>
      <c r="V194" s="581"/>
      <c r="W194" s="581"/>
      <c r="X194" s="581"/>
      <c r="Y194" s="581"/>
    </row>
    <row r="195">
      <c r="A195" s="581"/>
      <c r="B195" s="581"/>
      <c r="C195" s="581"/>
      <c r="D195" s="581"/>
      <c r="E195" s="581"/>
      <c r="F195" s="581"/>
      <c r="G195" s="581"/>
      <c r="H195" s="581"/>
      <c r="I195" s="581"/>
      <c r="J195" s="581"/>
      <c r="K195" s="581"/>
      <c r="L195" s="581"/>
      <c r="M195" s="581"/>
      <c r="N195" s="581"/>
      <c r="O195" s="581"/>
      <c r="P195" s="581"/>
      <c r="Q195" s="581"/>
      <c r="R195" s="581"/>
      <c r="S195" s="581"/>
      <c r="T195" s="581"/>
      <c r="U195" s="581"/>
      <c r="V195" s="581"/>
      <c r="W195" s="581"/>
      <c r="X195" s="581"/>
      <c r="Y195" s="581"/>
    </row>
    <row r="196">
      <c r="A196" s="581"/>
      <c r="B196" s="581"/>
      <c r="C196" s="581"/>
      <c r="D196" s="581"/>
      <c r="E196" s="581"/>
      <c r="F196" s="581"/>
      <c r="G196" s="581"/>
      <c r="H196" s="581"/>
      <c r="I196" s="581"/>
      <c r="J196" s="581"/>
      <c r="K196" s="581"/>
      <c r="L196" s="581"/>
      <c r="M196" s="581"/>
      <c r="N196" s="581"/>
      <c r="O196" s="581"/>
      <c r="P196" s="581"/>
      <c r="Q196" s="581"/>
      <c r="R196" s="581"/>
      <c r="S196" s="581"/>
      <c r="T196" s="581"/>
      <c r="U196" s="581"/>
      <c r="V196" s="581"/>
      <c r="W196" s="581"/>
      <c r="X196" s="581"/>
      <c r="Y196" s="581"/>
    </row>
    <row r="197">
      <c r="A197" s="581"/>
      <c r="B197" s="581"/>
      <c r="C197" s="581"/>
      <c r="D197" s="581"/>
      <c r="E197" s="581"/>
      <c r="F197" s="581"/>
      <c r="G197" s="581"/>
      <c r="H197" s="581"/>
      <c r="I197" s="581"/>
      <c r="J197" s="581"/>
      <c r="K197" s="581"/>
      <c r="L197" s="581"/>
      <c r="M197" s="581"/>
      <c r="N197" s="581"/>
      <c r="O197" s="581"/>
      <c r="P197" s="581"/>
      <c r="Q197" s="581"/>
      <c r="R197" s="581"/>
      <c r="S197" s="581"/>
      <c r="T197" s="581"/>
      <c r="U197" s="581"/>
      <c r="V197" s="581"/>
      <c r="W197" s="581"/>
      <c r="X197" s="581"/>
      <c r="Y197" s="581"/>
    </row>
    <row r="198">
      <c r="A198" s="581"/>
      <c r="B198" s="581"/>
      <c r="C198" s="581"/>
      <c r="D198" s="581"/>
      <c r="E198" s="581"/>
      <c r="F198" s="581"/>
      <c r="G198" s="581"/>
      <c r="H198" s="581"/>
      <c r="I198" s="581"/>
      <c r="J198" s="581"/>
      <c r="K198" s="581"/>
      <c r="L198" s="581"/>
      <c r="M198" s="581"/>
      <c r="N198" s="581"/>
      <c r="O198" s="581"/>
      <c r="P198" s="581"/>
      <c r="Q198" s="581"/>
      <c r="R198" s="581"/>
      <c r="S198" s="581"/>
      <c r="T198" s="581"/>
      <c r="U198" s="581"/>
      <c r="V198" s="581"/>
      <c r="W198" s="581"/>
      <c r="X198" s="581"/>
      <c r="Y198" s="581"/>
    </row>
    <row r="199">
      <c r="A199" s="581"/>
      <c r="B199" s="581"/>
      <c r="C199" s="581"/>
      <c r="D199" s="581"/>
      <c r="E199" s="581"/>
      <c r="F199" s="581"/>
      <c r="G199" s="581"/>
      <c r="H199" s="581"/>
      <c r="I199" s="581"/>
      <c r="J199" s="581"/>
      <c r="K199" s="581"/>
      <c r="L199" s="581"/>
      <c r="M199" s="581"/>
      <c r="N199" s="581"/>
      <c r="O199" s="581"/>
      <c r="P199" s="581"/>
      <c r="Q199" s="581"/>
      <c r="R199" s="581"/>
      <c r="S199" s="581"/>
      <c r="T199" s="581"/>
      <c r="U199" s="581"/>
      <c r="V199" s="581"/>
      <c r="W199" s="581"/>
      <c r="X199" s="581"/>
      <c r="Y199" s="581"/>
    </row>
    <row r="200">
      <c r="A200" s="581"/>
      <c r="B200" s="581"/>
      <c r="C200" s="581"/>
      <c r="D200" s="581"/>
      <c r="E200" s="581"/>
      <c r="F200" s="581"/>
      <c r="G200" s="581"/>
      <c r="H200" s="581"/>
      <c r="I200" s="581"/>
      <c r="J200" s="581"/>
      <c r="K200" s="581"/>
      <c r="L200" s="581"/>
      <c r="M200" s="581"/>
      <c r="N200" s="581"/>
      <c r="O200" s="581"/>
      <c r="P200" s="581"/>
      <c r="Q200" s="581"/>
      <c r="R200" s="581"/>
      <c r="S200" s="581"/>
      <c r="T200" s="581"/>
      <c r="U200" s="581"/>
      <c r="V200" s="581"/>
      <c r="W200" s="581"/>
      <c r="X200" s="581"/>
      <c r="Y200" s="581"/>
    </row>
    <row r="201">
      <c r="A201" s="581"/>
      <c r="B201" s="581"/>
      <c r="C201" s="581"/>
      <c r="D201" s="581"/>
      <c r="E201" s="581"/>
      <c r="F201" s="581"/>
      <c r="G201" s="581"/>
      <c r="H201" s="581"/>
      <c r="I201" s="581"/>
      <c r="J201" s="581"/>
      <c r="K201" s="581"/>
      <c r="L201" s="581"/>
      <c r="M201" s="581"/>
      <c r="N201" s="581"/>
      <c r="O201" s="581"/>
      <c r="P201" s="581"/>
      <c r="Q201" s="581"/>
      <c r="R201" s="581"/>
      <c r="S201" s="581"/>
      <c r="T201" s="581"/>
      <c r="U201" s="581"/>
      <c r="V201" s="581"/>
      <c r="W201" s="581"/>
      <c r="X201" s="581"/>
      <c r="Y201" s="581"/>
    </row>
    <row r="202">
      <c r="A202" s="581"/>
      <c r="B202" s="581"/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1"/>
      <c r="N202" s="581"/>
      <c r="O202" s="581"/>
      <c r="P202" s="581"/>
      <c r="Q202" s="581"/>
      <c r="R202" s="581"/>
      <c r="S202" s="581"/>
      <c r="T202" s="581"/>
      <c r="U202" s="581"/>
      <c r="V202" s="581"/>
      <c r="W202" s="581"/>
      <c r="X202" s="581"/>
      <c r="Y202" s="581"/>
    </row>
    <row r="203">
      <c r="A203" s="581"/>
      <c r="B203" s="581"/>
      <c r="C203" s="581"/>
      <c r="D203" s="581"/>
      <c r="E203" s="581"/>
      <c r="F203" s="581"/>
      <c r="G203" s="581"/>
      <c r="H203" s="581"/>
      <c r="I203" s="581"/>
      <c r="J203" s="581"/>
      <c r="K203" s="581"/>
      <c r="L203" s="581"/>
      <c r="M203" s="581"/>
      <c r="N203" s="581"/>
      <c r="O203" s="581"/>
      <c r="P203" s="581"/>
      <c r="Q203" s="581"/>
      <c r="R203" s="581"/>
      <c r="S203" s="581"/>
      <c r="T203" s="581"/>
      <c r="U203" s="581"/>
      <c r="V203" s="581"/>
      <c r="W203" s="581"/>
      <c r="X203" s="581"/>
      <c r="Y203" s="581"/>
    </row>
    <row r="204">
      <c r="A204" s="581"/>
      <c r="B204" s="581"/>
      <c r="C204" s="581"/>
      <c r="D204" s="581"/>
      <c r="E204" s="581"/>
      <c r="F204" s="581"/>
      <c r="G204" s="581"/>
      <c r="H204" s="581"/>
      <c r="I204" s="581"/>
      <c r="J204" s="581"/>
      <c r="K204" s="581"/>
      <c r="L204" s="581"/>
      <c r="M204" s="581"/>
      <c r="N204" s="581"/>
      <c r="O204" s="581"/>
      <c r="P204" s="581"/>
      <c r="Q204" s="581"/>
      <c r="R204" s="581"/>
      <c r="S204" s="581"/>
      <c r="T204" s="581"/>
      <c r="U204" s="581"/>
      <c r="V204" s="581"/>
      <c r="W204" s="581"/>
      <c r="X204" s="581"/>
      <c r="Y204" s="581"/>
    </row>
    <row r="205">
      <c r="A205" s="581"/>
      <c r="B205" s="581"/>
      <c r="C205" s="581"/>
      <c r="D205" s="581"/>
      <c r="E205" s="581"/>
      <c r="F205" s="581"/>
      <c r="G205" s="581"/>
      <c r="H205" s="581"/>
      <c r="I205" s="581"/>
      <c r="J205" s="581"/>
      <c r="K205" s="581"/>
      <c r="L205" s="581"/>
      <c r="M205" s="581"/>
      <c r="N205" s="581"/>
      <c r="O205" s="581"/>
      <c r="P205" s="581"/>
      <c r="Q205" s="581"/>
      <c r="R205" s="581"/>
      <c r="S205" s="581"/>
      <c r="T205" s="581"/>
      <c r="U205" s="581"/>
      <c r="V205" s="581"/>
      <c r="W205" s="581"/>
      <c r="X205" s="581"/>
      <c r="Y205" s="581"/>
    </row>
    <row r="206">
      <c r="A206" s="581"/>
      <c r="B206" s="581"/>
      <c r="C206" s="581"/>
      <c r="D206" s="581"/>
      <c r="E206" s="581"/>
      <c r="F206" s="581"/>
      <c r="G206" s="581"/>
      <c r="H206" s="581"/>
      <c r="I206" s="581"/>
      <c r="J206" s="581"/>
      <c r="K206" s="581"/>
      <c r="L206" s="581"/>
      <c r="M206" s="581"/>
      <c r="N206" s="581"/>
      <c r="O206" s="581"/>
      <c r="P206" s="581"/>
      <c r="Q206" s="581"/>
      <c r="R206" s="581"/>
      <c r="S206" s="581"/>
      <c r="T206" s="581"/>
      <c r="U206" s="581"/>
      <c r="V206" s="581"/>
      <c r="W206" s="581"/>
      <c r="X206" s="581"/>
      <c r="Y206" s="581"/>
    </row>
    <row r="207">
      <c r="A207" s="581"/>
      <c r="B207" s="581"/>
      <c r="C207" s="581"/>
      <c r="D207" s="581"/>
      <c r="E207" s="581"/>
      <c r="F207" s="581"/>
      <c r="G207" s="581"/>
      <c r="H207" s="581"/>
      <c r="I207" s="581"/>
      <c r="J207" s="581"/>
      <c r="K207" s="581"/>
      <c r="L207" s="581"/>
      <c r="M207" s="581"/>
      <c r="N207" s="581"/>
      <c r="O207" s="581"/>
      <c r="P207" s="581"/>
      <c r="Q207" s="581"/>
      <c r="R207" s="581"/>
      <c r="S207" s="581"/>
      <c r="T207" s="581"/>
      <c r="U207" s="581"/>
      <c r="V207" s="581"/>
      <c r="W207" s="581"/>
      <c r="X207" s="581"/>
      <c r="Y207" s="581"/>
    </row>
    <row r="208">
      <c r="A208" s="581"/>
      <c r="B208" s="581"/>
      <c r="C208" s="581"/>
      <c r="D208" s="581"/>
      <c r="E208" s="581"/>
      <c r="F208" s="581"/>
      <c r="G208" s="581"/>
      <c r="H208" s="581"/>
      <c r="I208" s="581"/>
      <c r="J208" s="581"/>
      <c r="K208" s="581"/>
      <c r="L208" s="581"/>
      <c r="M208" s="581"/>
      <c r="N208" s="581"/>
      <c r="O208" s="581"/>
      <c r="P208" s="581"/>
      <c r="Q208" s="581"/>
      <c r="R208" s="581"/>
      <c r="S208" s="581"/>
      <c r="T208" s="581"/>
      <c r="U208" s="581"/>
      <c r="V208" s="581"/>
      <c r="W208" s="581"/>
      <c r="X208" s="581"/>
      <c r="Y208" s="581"/>
    </row>
    <row r="209">
      <c r="A209" s="581"/>
      <c r="B209" s="581"/>
      <c r="C209" s="581"/>
      <c r="D209" s="581"/>
      <c r="E209" s="581"/>
      <c r="F209" s="581"/>
      <c r="G209" s="581"/>
      <c r="H209" s="581"/>
      <c r="I209" s="581"/>
      <c r="J209" s="581"/>
      <c r="K209" s="581"/>
      <c r="L209" s="581"/>
      <c r="M209" s="581"/>
      <c r="N209" s="581"/>
      <c r="O209" s="581"/>
      <c r="P209" s="581"/>
      <c r="Q209" s="581"/>
      <c r="R209" s="581"/>
      <c r="S209" s="581"/>
      <c r="T209" s="581"/>
      <c r="U209" s="581"/>
      <c r="V209" s="581"/>
      <c r="W209" s="581"/>
      <c r="X209" s="581"/>
      <c r="Y209" s="581"/>
    </row>
    <row r="210">
      <c r="A210" s="581"/>
      <c r="B210" s="581"/>
      <c r="C210" s="581"/>
      <c r="D210" s="581"/>
      <c r="E210" s="581"/>
      <c r="F210" s="581"/>
      <c r="G210" s="581"/>
      <c r="H210" s="581"/>
      <c r="I210" s="581"/>
      <c r="J210" s="581"/>
      <c r="K210" s="581"/>
      <c r="L210" s="581"/>
      <c r="M210" s="581"/>
      <c r="N210" s="581"/>
      <c r="O210" s="581"/>
      <c r="P210" s="581"/>
      <c r="Q210" s="581"/>
      <c r="R210" s="581"/>
      <c r="S210" s="581"/>
      <c r="T210" s="581"/>
      <c r="U210" s="581"/>
      <c r="V210" s="581"/>
      <c r="W210" s="581"/>
      <c r="X210" s="581"/>
      <c r="Y210" s="581"/>
    </row>
    <row r="211">
      <c r="A211" s="581"/>
      <c r="B211" s="581"/>
      <c r="C211" s="581"/>
      <c r="D211" s="581"/>
      <c r="E211" s="581"/>
      <c r="F211" s="581"/>
      <c r="G211" s="581"/>
      <c r="H211" s="581"/>
      <c r="I211" s="581"/>
      <c r="J211" s="581"/>
      <c r="K211" s="581"/>
      <c r="L211" s="581"/>
      <c r="M211" s="581"/>
      <c r="N211" s="581"/>
      <c r="O211" s="581"/>
      <c r="P211" s="581"/>
      <c r="Q211" s="581"/>
      <c r="R211" s="581"/>
      <c r="S211" s="581"/>
      <c r="T211" s="581"/>
      <c r="U211" s="581"/>
      <c r="V211" s="581"/>
      <c r="W211" s="581"/>
      <c r="X211" s="581"/>
      <c r="Y211" s="581"/>
    </row>
    <row r="212">
      <c r="A212" s="581"/>
      <c r="B212" s="581"/>
      <c r="C212" s="581"/>
      <c r="D212" s="581"/>
      <c r="E212" s="581"/>
      <c r="F212" s="581"/>
      <c r="G212" s="581"/>
      <c r="H212" s="581"/>
      <c r="I212" s="581"/>
      <c r="J212" s="581"/>
      <c r="K212" s="581"/>
      <c r="L212" s="581"/>
      <c r="M212" s="581"/>
      <c r="N212" s="581"/>
      <c r="O212" s="581"/>
      <c r="P212" s="581"/>
      <c r="Q212" s="581"/>
      <c r="R212" s="581"/>
      <c r="S212" s="581"/>
      <c r="T212" s="581"/>
      <c r="U212" s="581"/>
      <c r="V212" s="581"/>
      <c r="W212" s="581"/>
      <c r="X212" s="581"/>
      <c r="Y212" s="581"/>
    </row>
    <row r="213">
      <c r="A213" s="581"/>
      <c r="B213" s="581"/>
      <c r="C213" s="581"/>
      <c r="D213" s="581"/>
      <c r="E213" s="581"/>
      <c r="F213" s="581"/>
      <c r="G213" s="581"/>
      <c r="H213" s="581"/>
      <c r="I213" s="581"/>
      <c r="J213" s="581"/>
      <c r="K213" s="581"/>
      <c r="L213" s="581"/>
      <c r="M213" s="581"/>
      <c r="N213" s="581"/>
      <c r="O213" s="581"/>
      <c r="P213" s="581"/>
      <c r="Q213" s="581"/>
      <c r="R213" s="581"/>
      <c r="S213" s="581"/>
      <c r="T213" s="581"/>
      <c r="U213" s="581"/>
      <c r="V213" s="581"/>
      <c r="W213" s="581"/>
      <c r="X213" s="581"/>
      <c r="Y213" s="581"/>
    </row>
    <row r="214">
      <c r="A214" s="581"/>
      <c r="B214" s="581"/>
      <c r="C214" s="581"/>
      <c r="D214" s="581"/>
      <c r="E214" s="581"/>
      <c r="F214" s="581"/>
      <c r="G214" s="581"/>
      <c r="H214" s="581"/>
      <c r="I214" s="581"/>
      <c r="J214" s="581"/>
      <c r="K214" s="581"/>
      <c r="L214" s="581"/>
      <c r="M214" s="581"/>
      <c r="N214" s="581"/>
      <c r="O214" s="581"/>
      <c r="P214" s="581"/>
      <c r="Q214" s="581"/>
      <c r="R214" s="581"/>
      <c r="S214" s="581"/>
      <c r="T214" s="581"/>
      <c r="U214" s="581"/>
      <c r="V214" s="581"/>
      <c r="W214" s="581"/>
      <c r="X214" s="581"/>
      <c r="Y214" s="581"/>
    </row>
    <row r="215">
      <c r="A215" s="581"/>
      <c r="B215" s="581"/>
      <c r="C215" s="581"/>
      <c r="D215" s="581"/>
      <c r="E215" s="581"/>
      <c r="F215" s="581"/>
      <c r="G215" s="581"/>
      <c r="H215" s="581"/>
      <c r="I215" s="581"/>
      <c r="J215" s="581"/>
      <c r="K215" s="581"/>
      <c r="L215" s="581"/>
      <c r="M215" s="581"/>
      <c r="N215" s="581"/>
      <c r="O215" s="581"/>
      <c r="P215" s="581"/>
      <c r="Q215" s="581"/>
      <c r="R215" s="581"/>
      <c r="S215" s="581"/>
      <c r="T215" s="581"/>
      <c r="U215" s="581"/>
      <c r="V215" s="581"/>
      <c r="W215" s="581"/>
      <c r="X215" s="581"/>
      <c r="Y215" s="581"/>
    </row>
    <row r="216">
      <c r="A216" s="581"/>
      <c r="B216" s="581"/>
      <c r="C216" s="581"/>
      <c r="D216" s="581"/>
      <c r="E216" s="581"/>
      <c r="F216" s="581"/>
      <c r="G216" s="581"/>
      <c r="H216" s="581"/>
      <c r="I216" s="581"/>
      <c r="J216" s="581"/>
      <c r="K216" s="581"/>
      <c r="L216" s="581"/>
      <c r="M216" s="581"/>
      <c r="N216" s="581"/>
      <c r="O216" s="581"/>
      <c r="P216" s="581"/>
      <c r="Q216" s="581"/>
      <c r="R216" s="581"/>
      <c r="S216" s="581"/>
      <c r="T216" s="581"/>
      <c r="U216" s="581"/>
      <c r="V216" s="581"/>
      <c r="W216" s="581"/>
      <c r="X216" s="581"/>
      <c r="Y216" s="581"/>
    </row>
    <row r="217">
      <c r="A217" s="581"/>
      <c r="B217" s="581"/>
      <c r="C217" s="581"/>
      <c r="D217" s="581"/>
      <c r="E217" s="581"/>
      <c r="F217" s="581"/>
      <c r="G217" s="581"/>
      <c r="H217" s="581"/>
      <c r="I217" s="581"/>
      <c r="J217" s="581"/>
      <c r="K217" s="581"/>
      <c r="L217" s="581"/>
      <c r="M217" s="581"/>
      <c r="N217" s="581"/>
      <c r="O217" s="581"/>
      <c r="P217" s="581"/>
      <c r="Q217" s="581"/>
      <c r="R217" s="581"/>
      <c r="S217" s="581"/>
      <c r="T217" s="581"/>
      <c r="U217" s="581"/>
      <c r="V217" s="581"/>
      <c r="W217" s="581"/>
      <c r="X217" s="581"/>
      <c r="Y217" s="581"/>
    </row>
    <row r="218">
      <c r="A218" s="581"/>
      <c r="B218" s="581"/>
      <c r="C218" s="581"/>
      <c r="D218" s="581"/>
      <c r="E218" s="581"/>
      <c r="F218" s="581"/>
      <c r="G218" s="581"/>
      <c r="H218" s="581"/>
      <c r="I218" s="581"/>
      <c r="J218" s="581"/>
      <c r="K218" s="581"/>
      <c r="L218" s="581"/>
      <c r="M218" s="581"/>
      <c r="N218" s="581"/>
      <c r="O218" s="581"/>
      <c r="P218" s="581"/>
      <c r="Q218" s="581"/>
      <c r="R218" s="581"/>
      <c r="S218" s="581"/>
      <c r="T218" s="581"/>
      <c r="U218" s="581"/>
      <c r="V218" s="581"/>
      <c r="W218" s="581"/>
      <c r="X218" s="581"/>
      <c r="Y218" s="581"/>
    </row>
    <row r="219">
      <c r="A219" s="581"/>
      <c r="B219" s="581"/>
      <c r="C219" s="581"/>
      <c r="D219" s="581"/>
      <c r="E219" s="581"/>
      <c r="F219" s="581"/>
      <c r="G219" s="581"/>
      <c r="H219" s="581"/>
      <c r="I219" s="581"/>
      <c r="J219" s="581"/>
      <c r="K219" s="581"/>
      <c r="L219" s="581"/>
      <c r="M219" s="581"/>
      <c r="N219" s="581"/>
      <c r="O219" s="581"/>
      <c r="P219" s="581"/>
      <c r="Q219" s="581"/>
      <c r="R219" s="581"/>
      <c r="S219" s="581"/>
      <c r="T219" s="581"/>
      <c r="U219" s="581"/>
      <c r="V219" s="581"/>
      <c r="W219" s="581"/>
      <c r="X219" s="581"/>
      <c r="Y219" s="581"/>
    </row>
    <row r="220">
      <c r="A220" s="581"/>
      <c r="B220" s="581"/>
      <c r="C220" s="581"/>
      <c r="D220" s="581"/>
      <c r="E220" s="581"/>
      <c r="F220" s="581"/>
      <c r="G220" s="581"/>
      <c r="H220" s="581"/>
      <c r="I220" s="581"/>
      <c r="J220" s="581"/>
      <c r="K220" s="581"/>
      <c r="L220" s="581"/>
      <c r="M220" s="581"/>
      <c r="N220" s="581"/>
      <c r="O220" s="581"/>
      <c r="P220" s="581"/>
      <c r="Q220" s="581"/>
      <c r="R220" s="581"/>
      <c r="S220" s="581"/>
      <c r="T220" s="581"/>
      <c r="U220" s="581"/>
      <c r="V220" s="581"/>
      <c r="W220" s="581"/>
      <c r="X220" s="581"/>
      <c r="Y220" s="581"/>
    </row>
    <row r="221">
      <c r="A221" s="581"/>
      <c r="B221" s="581"/>
      <c r="C221" s="581"/>
      <c r="D221" s="581"/>
      <c r="E221" s="581"/>
      <c r="F221" s="581"/>
      <c r="G221" s="581"/>
      <c r="H221" s="581"/>
      <c r="I221" s="581"/>
      <c r="J221" s="581"/>
      <c r="K221" s="581"/>
      <c r="L221" s="581"/>
      <c r="M221" s="581"/>
      <c r="N221" s="581"/>
      <c r="O221" s="581"/>
      <c r="P221" s="581"/>
      <c r="Q221" s="581"/>
      <c r="R221" s="581"/>
      <c r="S221" s="581"/>
      <c r="T221" s="581"/>
      <c r="U221" s="581"/>
      <c r="V221" s="581"/>
      <c r="W221" s="581"/>
      <c r="X221" s="581"/>
      <c r="Y221" s="581"/>
    </row>
    <row r="222">
      <c r="A222" s="581"/>
      <c r="B222" s="581"/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1"/>
      <c r="N222" s="581"/>
      <c r="O222" s="581"/>
      <c r="P222" s="581"/>
      <c r="Q222" s="581"/>
      <c r="R222" s="581"/>
      <c r="S222" s="581"/>
      <c r="T222" s="581"/>
      <c r="U222" s="581"/>
      <c r="V222" s="581"/>
      <c r="W222" s="581"/>
      <c r="X222" s="581"/>
      <c r="Y222" s="581"/>
    </row>
    <row r="223">
      <c r="A223" s="581"/>
      <c r="B223" s="581"/>
      <c r="C223" s="581"/>
      <c r="D223" s="581"/>
      <c r="E223" s="581"/>
      <c r="F223" s="581"/>
      <c r="G223" s="581"/>
      <c r="H223" s="581"/>
      <c r="I223" s="581"/>
      <c r="J223" s="581"/>
      <c r="K223" s="581"/>
      <c r="L223" s="581"/>
      <c r="M223" s="581"/>
      <c r="N223" s="581"/>
      <c r="O223" s="581"/>
      <c r="P223" s="581"/>
      <c r="Q223" s="581"/>
      <c r="R223" s="581"/>
      <c r="S223" s="581"/>
      <c r="T223" s="581"/>
      <c r="U223" s="581"/>
      <c r="V223" s="581"/>
      <c r="W223" s="581"/>
      <c r="X223" s="581"/>
      <c r="Y223" s="581"/>
    </row>
    <row r="224">
      <c r="A224" s="581"/>
      <c r="B224" s="581"/>
      <c r="C224" s="581"/>
      <c r="D224" s="581"/>
      <c r="E224" s="581"/>
      <c r="F224" s="581"/>
      <c r="G224" s="581"/>
      <c r="H224" s="581"/>
      <c r="I224" s="581"/>
      <c r="J224" s="581"/>
      <c r="K224" s="581"/>
      <c r="L224" s="581"/>
      <c r="M224" s="581"/>
      <c r="N224" s="581"/>
      <c r="O224" s="581"/>
      <c r="P224" s="581"/>
      <c r="Q224" s="581"/>
      <c r="R224" s="581"/>
      <c r="S224" s="581"/>
      <c r="T224" s="581"/>
      <c r="U224" s="581"/>
      <c r="V224" s="581"/>
      <c r="W224" s="581"/>
      <c r="X224" s="581"/>
      <c r="Y224" s="581"/>
    </row>
    <row r="225">
      <c r="A225" s="581"/>
      <c r="B225" s="581"/>
      <c r="C225" s="581"/>
      <c r="D225" s="581"/>
      <c r="E225" s="581"/>
      <c r="F225" s="581"/>
      <c r="G225" s="581"/>
      <c r="H225" s="581"/>
      <c r="I225" s="581"/>
      <c r="J225" s="581"/>
      <c r="K225" s="581"/>
      <c r="L225" s="581"/>
      <c r="M225" s="581"/>
      <c r="N225" s="581"/>
      <c r="O225" s="581"/>
      <c r="P225" s="581"/>
      <c r="Q225" s="581"/>
      <c r="R225" s="581"/>
      <c r="S225" s="581"/>
      <c r="T225" s="581"/>
      <c r="U225" s="581"/>
      <c r="V225" s="581"/>
      <c r="W225" s="581"/>
      <c r="X225" s="581"/>
      <c r="Y225" s="581"/>
    </row>
    <row r="226">
      <c r="A226" s="581"/>
      <c r="B226" s="581"/>
      <c r="C226" s="581"/>
      <c r="D226" s="581"/>
      <c r="E226" s="581"/>
      <c r="F226" s="581"/>
      <c r="G226" s="581"/>
      <c r="H226" s="581"/>
      <c r="I226" s="581"/>
      <c r="J226" s="581"/>
      <c r="K226" s="581"/>
      <c r="L226" s="581"/>
      <c r="M226" s="581"/>
      <c r="N226" s="581"/>
      <c r="O226" s="581"/>
      <c r="P226" s="581"/>
      <c r="Q226" s="581"/>
      <c r="R226" s="581"/>
      <c r="S226" s="581"/>
      <c r="T226" s="581"/>
      <c r="U226" s="581"/>
      <c r="V226" s="581"/>
      <c r="W226" s="581"/>
      <c r="X226" s="581"/>
      <c r="Y226" s="581"/>
    </row>
    <row r="227">
      <c r="A227" s="581"/>
      <c r="B227" s="581"/>
      <c r="C227" s="581"/>
      <c r="D227" s="581"/>
      <c r="E227" s="581"/>
      <c r="F227" s="581"/>
      <c r="G227" s="581"/>
      <c r="H227" s="581"/>
      <c r="I227" s="581"/>
      <c r="J227" s="581"/>
      <c r="K227" s="581"/>
      <c r="L227" s="581"/>
      <c r="M227" s="581"/>
      <c r="N227" s="581"/>
      <c r="O227" s="581"/>
      <c r="P227" s="581"/>
      <c r="Q227" s="581"/>
      <c r="R227" s="581"/>
      <c r="S227" s="581"/>
      <c r="T227" s="581"/>
      <c r="U227" s="581"/>
      <c r="V227" s="581"/>
      <c r="W227" s="581"/>
      <c r="X227" s="581"/>
      <c r="Y227" s="581"/>
    </row>
    <row r="228">
      <c r="A228" s="581"/>
      <c r="B228" s="581"/>
      <c r="C228" s="581"/>
      <c r="D228" s="581"/>
      <c r="E228" s="581"/>
      <c r="F228" s="581"/>
      <c r="G228" s="581"/>
      <c r="H228" s="581"/>
      <c r="I228" s="581"/>
      <c r="J228" s="581"/>
      <c r="K228" s="581"/>
      <c r="L228" s="581"/>
      <c r="M228" s="581"/>
      <c r="N228" s="581"/>
      <c r="O228" s="581"/>
      <c r="P228" s="581"/>
      <c r="Q228" s="581"/>
      <c r="R228" s="581"/>
      <c r="S228" s="581"/>
      <c r="T228" s="581"/>
      <c r="U228" s="581"/>
      <c r="V228" s="581"/>
      <c r="W228" s="581"/>
      <c r="X228" s="581"/>
      <c r="Y228" s="581"/>
    </row>
    <row r="229">
      <c r="A229" s="581"/>
      <c r="B229" s="581"/>
      <c r="C229" s="581"/>
      <c r="D229" s="581"/>
      <c r="E229" s="581"/>
      <c r="F229" s="581"/>
      <c r="G229" s="581"/>
      <c r="H229" s="581"/>
      <c r="I229" s="581"/>
      <c r="J229" s="581"/>
      <c r="K229" s="581"/>
      <c r="L229" s="581"/>
      <c r="M229" s="581"/>
      <c r="N229" s="581"/>
      <c r="O229" s="581"/>
      <c r="P229" s="581"/>
      <c r="Q229" s="581"/>
      <c r="R229" s="581"/>
      <c r="S229" s="581"/>
      <c r="T229" s="581"/>
      <c r="U229" s="581"/>
      <c r="V229" s="581"/>
      <c r="W229" s="581"/>
      <c r="X229" s="581"/>
      <c r="Y229" s="581"/>
    </row>
    <row r="230">
      <c r="A230" s="581"/>
      <c r="B230" s="581"/>
      <c r="C230" s="581"/>
      <c r="D230" s="581"/>
      <c r="E230" s="581"/>
      <c r="F230" s="581"/>
      <c r="G230" s="581"/>
      <c r="H230" s="581"/>
      <c r="I230" s="581"/>
      <c r="J230" s="581"/>
      <c r="K230" s="581"/>
      <c r="L230" s="581"/>
      <c r="M230" s="581"/>
      <c r="N230" s="581"/>
      <c r="O230" s="581"/>
      <c r="P230" s="581"/>
      <c r="Q230" s="581"/>
      <c r="R230" s="581"/>
      <c r="S230" s="581"/>
      <c r="T230" s="581"/>
      <c r="U230" s="581"/>
      <c r="V230" s="581"/>
      <c r="W230" s="581"/>
      <c r="X230" s="581"/>
      <c r="Y230" s="581"/>
    </row>
    <row r="231">
      <c r="A231" s="581"/>
      <c r="B231" s="581"/>
      <c r="C231" s="581"/>
      <c r="D231" s="581"/>
      <c r="E231" s="581"/>
      <c r="F231" s="581"/>
      <c r="G231" s="581"/>
      <c r="H231" s="581"/>
      <c r="I231" s="581"/>
      <c r="J231" s="581"/>
      <c r="K231" s="581"/>
      <c r="L231" s="581"/>
      <c r="M231" s="581"/>
      <c r="N231" s="581"/>
      <c r="O231" s="581"/>
      <c r="P231" s="581"/>
      <c r="Q231" s="581"/>
      <c r="R231" s="581"/>
      <c r="S231" s="581"/>
      <c r="T231" s="581"/>
      <c r="U231" s="581"/>
      <c r="V231" s="581"/>
      <c r="W231" s="581"/>
      <c r="X231" s="581"/>
      <c r="Y231" s="581"/>
    </row>
    <row r="232">
      <c r="A232" s="581"/>
      <c r="B232" s="581"/>
      <c r="C232" s="581"/>
      <c r="D232" s="581"/>
      <c r="E232" s="581"/>
      <c r="F232" s="581"/>
      <c r="G232" s="581"/>
      <c r="H232" s="581"/>
      <c r="I232" s="581"/>
      <c r="J232" s="581"/>
      <c r="K232" s="581"/>
      <c r="L232" s="581"/>
      <c r="M232" s="581"/>
      <c r="N232" s="581"/>
      <c r="O232" s="581"/>
      <c r="P232" s="581"/>
      <c r="Q232" s="581"/>
      <c r="R232" s="581"/>
      <c r="S232" s="581"/>
      <c r="T232" s="581"/>
      <c r="U232" s="581"/>
      <c r="V232" s="581"/>
      <c r="W232" s="581"/>
      <c r="X232" s="581"/>
      <c r="Y232" s="581"/>
    </row>
    <row r="233">
      <c r="A233" s="581"/>
      <c r="B233" s="581"/>
      <c r="C233" s="581"/>
      <c r="D233" s="581"/>
      <c r="E233" s="581"/>
      <c r="F233" s="581"/>
      <c r="G233" s="581"/>
      <c r="H233" s="581"/>
      <c r="I233" s="581"/>
      <c r="J233" s="581"/>
      <c r="K233" s="581"/>
      <c r="L233" s="581"/>
      <c r="M233" s="581"/>
      <c r="N233" s="581"/>
      <c r="O233" s="581"/>
      <c r="P233" s="581"/>
      <c r="Q233" s="581"/>
      <c r="R233" s="581"/>
      <c r="S233" s="581"/>
      <c r="T233" s="581"/>
      <c r="U233" s="581"/>
      <c r="V233" s="581"/>
      <c r="W233" s="581"/>
      <c r="X233" s="581"/>
      <c r="Y233" s="581"/>
    </row>
    <row r="234">
      <c r="A234" s="581"/>
      <c r="B234" s="581"/>
      <c r="C234" s="581"/>
      <c r="D234" s="581"/>
      <c r="E234" s="581"/>
      <c r="F234" s="581"/>
      <c r="G234" s="581"/>
      <c r="H234" s="581"/>
      <c r="I234" s="581"/>
      <c r="J234" s="581"/>
      <c r="K234" s="581"/>
      <c r="L234" s="581"/>
      <c r="M234" s="581"/>
      <c r="N234" s="581"/>
      <c r="O234" s="581"/>
      <c r="P234" s="581"/>
      <c r="Q234" s="581"/>
      <c r="R234" s="581"/>
      <c r="S234" s="581"/>
      <c r="T234" s="581"/>
      <c r="U234" s="581"/>
      <c r="V234" s="581"/>
      <c r="W234" s="581"/>
      <c r="X234" s="581"/>
      <c r="Y234" s="581"/>
    </row>
    <row r="235">
      <c r="A235" s="581"/>
      <c r="B235" s="581"/>
      <c r="C235" s="581"/>
      <c r="D235" s="581"/>
      <c r="E235" s="581"/>
      <c r="F235" s="581"/>
      <c r="G235" s="581"/>
      <c r="H235" s="581"/>
      <c r="I235" s="581"/>
      <c r="J235" s="581"/>
      <c r="K235" s="581"/>
      <c r="L235" s="581"/>
      <c r="M235" s="581"/>
      <c r="N235" s="581"/>
      <c r="O235" s="581"/>
      <c r="P235" s="581"/>
      <c r="Q235" s="581"/>
      <c r="R235" s="581"/>
      <c r="S235" s="581"/>
      <c r="T235" s="581"/>
      <c r="U235" s="581"/>
      <c r="V235" s="581"/>
      <c r="W235" s="581"/>
      <c r="X235" s="581"/>
      <c r="Y235" s="581"/>
    </row>
    <row r="236">
      <c r="A236" s="581"/>
      <c r="B236" s="581"/>
      <c r="C236" s="581"/>
      <c r="D236" s="581"/>
      <c r="E236" s="581"/>
      <c r="F236" s="581"/>
      <c r="G236" s="581"/>
      <c r="H236" s="581"/>
      <c r="I236" s="581"/>
      <c r="J236" s="581"/>
      <c r="K236" s="581"/>
      <c r="L236" s="581"/>
      <c r="M236" s="581"/>
      <c r="N236" s="581"/>
      <c r="O236" s="581"/>
      <c r="P236" s="581"/>
      <c r="Q236" s="581"/>
      <c r="R236" s="581"/>
      <c r="S236" s="581"/>
      <c r="T236" s="581"/>
      <c r="U236" s="581"/>
      <c r="V236" s="581"/>
      <c r="W236" s="581"/>
      <c r="X236" s="581"/>
      <c r="Y236" s="581"/>
    </row>
    <row r="237">
      <c r="A237" s="581"/>
      <c r="B237" s="581"/>
      <c r="C237" s="581"/>
      <c r="D237" s="581"/>
      <c r="E237" s="581"/>
      <c r="F237" s="581"/>
      <c r="G237" s="581"/>
      <c r="H237" s="581"/>
      <c r="I237" s="581"/>
      <c r="J237" s="581"/>
      <c r="K237" s="581"/>
      <c r="L237" s="581"/>
      <c r="M237" s="581"/>
      <c r="N237" s="581"/>
      <c r="O237" s="581"/>
      <c r="P237" s="581"/>
      <c r="Q237" s="581"/>
      <c r="R237" s="581"/>
      <c r="S237" s="581"/>
      <c r="T237" s="581"/>
      <c r="U237" s="581"/>
      <c r="V237" s="581"/>
      <c r="W237" s="581"/>
      <c r="X237" s="581"/>
      <c r="Y237" s="581"/>
    </row>
    <row r="238">
      <c r="A238" s="581"/>
      <c r="B238" s="581"/>
      <c r="C238" s="581"/>
      <c r="D238" s="581"/>
      <c r="E238" s="581"/>
      <c r="F238" s="581"/>
      <c r="G238" s="581"/>
      <c r="H238" s="581"/>
      <c r="I238" s="581"/>
      <c r="J238" s="581"/>
      <c r="K238" s="581"/>
      <c r="L238" s="581"/>
      <c r="M238" s="581"/>
      <c r="N238" s="581"/>
      <c r="O238" s="581"/>
      <c r="P238" s="581"/>
      <c r="Q238" s="581"/>
      <c r="R238" s="581"/>
      <c r="S238" s="581"/>
      <c r="T238" s="581"/>
      <c r="U238" s="581"/>
      <c r="V238" s="581"/>
      <c r="W238" s="581"/>
      <c r="X238" s="581"/>
      <c r="Y238" s="581"/>
    </row>
    <row r="239">
      <c r="A239" s="581"/>
      <c r="B239" s="581"/>
      <c r="C239" s="581"/>
      <c r="D239" s="581"/>
      <c r="E239" s="581"/>
      <c r="F239" s="581"/>
      <c r="G239" s="581"/>
      <c r="H239" s="581"/>
      <c r="I239" s="581"/>
      <c r="J239" s="581"/>
      <c r="K239" s="581"/>
      <c r="L239" s="581"/>
      <c r="M239" s="581"/>
      <c r="N239" s="581"/>
      <c r="O239" s="581"/>
      <c r="P239" s="581"/>
      <c r="Q239" s="581"/>
      <c r="R239" s="581"/>
      <c r="S239" s="581"/>
      <c r="T239" s="581"/>
      <c r="U239" s="581"/>
      <c r="V239" s="581"/>
      <c r="W239" s="581"/>
      <c r="X239" s="581"/>
      <c r="Y239" s="581"/>
    </row>
    <row r="240">
      <c r="A240" s="581"/>
      <c r="B240" s="581"/>
      <c r="C240" s="581"/>
      <c r="D240" s="581"/>
      <c r="E240" s="581"/>
      <c r="F240" s="581"/>
      <c r="G240" s="581"/>
      <c r="H240" s="581"/>
      <c r="I240" s="581"/>
      <c r="J240" s="581"/>
      <c r="K240" s="581"/>
      <c r="L240" s="581"/>
      <c r="M240" s="581"/>
      <c r="N240" s="581"/>
      <c r="O240" s="581"/>
      <c r="P240" s="581"/>
      <c r="Q240" s="581"/>
      <c r="R240" s="581"/>
      <c r="S240" s="581"/>
      <c r="T240" s="581"/>
      <c r="U240" s="581"/>
      <c r="V240" s="581"/>
      <c r="W240" s="581"/>
      <c r="X240" s="581"/>
      <c r="Y240" s="581"/>
    </row>
    <row r="241">
      <c r="A241" s="581"/>
      <c r="B241" s="581"/>
      <c r="C241" s="581"/>
      <c r="D241" s="581"/>
      <c r="E241" s="581"/>
      <c r="F241" s="581"/>
      <c r="G241" s="581"/>
      <c r="H241" s="581"/>
      <c r="I241" s="581"/>
      <c r="J241" s="581"/>
      <c r="K241" s="581"/>
      <c r="L241" s="581"/>
      <c r="M241" s="581"/>
      <c r="N241" s="581"/>
      <c r="O241" s="581"/>
      <c r="P241" s="581"/>
      <c r="Q241" s="581"/>
      <c r="R241" s="581"/>
      <c r="S241" s="581"/>
      <c r="T241" s="581"/>
      <c r="U241" s="581"/>
      <c r="V241" s="581"/>
      <c r="W241" s="581"/>
      <c r="X241" s="581"/>
      <c r="Y241" s="581"/>
    </row>
    <row r="242">
      <c r="A242" s="581"/>
      <c r="B242" s="581"/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1"/>
      <c r="N242" s="581"/>
      <c r="O242" s="581"/>
      <c r="P242" s="581"/>
      <c r="Q242" s="581"/>
      <c r="R242" s="581"/>
      <c r="S242" s="581"/>
      <c r="T242" s="581"/>
      <c r="U242" s="581"/>
      <c r="V242" s="581"/>
      <c r="W242" s="581"/>
      <c r="X242" s="581"/>
      <c r="Y242" s="581"/>
    </row>
    <row r="243">
      <c r="A243" s="581"/>
      <c r="B243" s="581"/>
      <c r="C243" s="581"/>
      <c r="D243" s="581"/>
      <c r="E243" s="581"/>
      <c r="F243" s="581"/>
      <c r="G243" s="581"/>
      <c r="H243" s="581"/>
      <c r="I243" s="581"/>
      <c r="J243" s="581"/>
      <c r="K243" s="581"/>
      <c r="L243" s="581"/>
      <c r="M243" s="581"/>
      <c r="N243" s="581"/>
      <c r="O243" s="581"/>
      <c r="P243" s="581"/>
      <c r="Q243" s="581"/>
      <c r="R243" s="581"/>
      <c r="S243" s="581"/>
      <c r="T243" s="581"/>
      <c r="U243" s="581"/>
      <c r="V243" s="581"/>
      <c r="W243" s="581"/>
      <c r="X243" s="581"/>
      <c r="Y243" s="581"/>
    </row>
    <row r="244">
      <c r="A244" s="581"/>
      <c r="B244" s="581"/>
      <c r="C244" s="581"/>
      <c r="D244" s="581"/>
      <c r="E244" s="581"/>
      <c r="F244" s="581"/>
      <c r="G244" s="581"/>
      <c r="H244" s="581"/>
      <c r="I244" s="581"/>
      <c r="J244" s="581"/>
      <c r="K244" s="581"/>
      <c r="L244" s="581"/>
      <c r="M244" s="581"/>
      <c r="N244" s="581"/>
      <c r="O244" s="581"/>
      <c r="P244" s="581"/>
      <c r="Q244" s="581"/>
      <c r="R244" s="581"/>
      <c r="S244" s="581"/>
      <c r="T244" s="581"/>
      <c r="U244" s="581"/>
      <c r="V244" s="581"/>
      <c r="W244" s="581"/>
      <c r="X244" s="581"/>
      <c r="Y244" s="581"/>
    </row>
    <row r="245">
      <c r="A245" s="581"/>
      <c r="B245" s="581"/>
      <c r="C245" s="581"/>
      <c r="D245" s="581"/>
      <c r="E245" s="581"/>
      <c r="F245" s="581"/>
      <c r="G245" s="581"/>
      <c r="H245" s="581"/>
      <c r="I245" s="581"/>
      <c r="J245" s="581"/>
      <c r="K245" s="581"/>
      <c r="L245" s="581"/>
      <c r="M245" s="581"/>
      <c r="N245" s="581"/>
      <c r="O245" s="581"/>
      <c r="P245" s="581"/>
      <c r="Q245" s="581"/>
      <c r="R245" s="581"/>
      <c r="S245" s="581"/>
      <c r="T245" s="581"/>
      <c r="U245" s="581"/>
      <c r="V245" s="581"/>
      <c r="W245" s="581"/>
      <c r="X245" s="581"/>
      <c r="Y245" s="581"/>
    </row>
    <row r="246">
      <c r="A246" s="581"/>
      <c r="B246" s="581"/>
      <c r="C246" s="581"/>
      <c r="D246" s="581"/>
      <c r="E246" s="581"/>
      <c r="F246" s="581"/>
      <c r="G246" s="581"/>
      <c r="H246" s="581"/>
      <c r="I246" s="581"/>
      <c r="J246" s="581"/>
      <c r="K246" s="581"/>
      <c r="L246" s="581"/>
      <c r="M246" s="581"/>
      <c r="N246" s="581"/>
      <c r="O246" s="581"/>
      <c r="P246" s="581"/>
      <c r="Q246" s="581"/>
      <c r="R246" s="581"/>
      <c r="S246" s="581"/>
      <c r="T246" s="581"/>
      <c r="U246" s="581"/>
      <c r="V246" s="581"/>
      <c r="W246" s="581"/>
      <c r="X246" s="581"/>
      <c r="Y246" s="581"/>
    </row>
    <row r="247">
      <c r="A247" s="581"/>
      <c r="B247" s="581"/>
      <c r="C247" s="581"/>
      <c r="D247" s="581"/>
      <c r="E247" s="581"/>
      <c r="F247" s="581"/>
      <c r="G247" s="581"/>
      <c r="H247" s="581"/>
      <c r="I247" s="581"/>
      <c r="J247" s="581"/>
      <c r="K247" s="581"/>
      <c r="L247" s="581"/>
      <c r="M247" s="581"/>
      <c r="N247" s="581"/>
      <c r="O247" s="581"/>
      <c r="P247" s="581"/>
      <c r="Q247" s="581"/>
      <c r="R247" s="581"/>
      <c r="S247" s="581"/>
      <c r="T247" s="581"/>
      <c r="U247" s="581"/>
      <c r="V247" s="581"/>
      <c r="W247" s="581"/>
      <c r="X247" s="581"/>
      <c r="Y247" s="581"/>
    </row>
    <row r="248">
      <c r="A248" s="581"/>
      <c r="B248" s="581"/>
      <c r="C248" s="581"/>
      <c r="D248" s="581"/>
      <c r="E248" s="581"/>
      <c r="F248" s="581"/>
      <c r="G248" s="581"/>
      <c r="H248" s="581"/>
      <c r="I248" s="581"/>
      <c r="J248" s="581"/>
      <c r="K248" s="581"/>
      <c r="L248" s="581"/>
      <c r="M248" s="581"/>
      <c r="N248" s="581"/>
      <c r="O248" s="581"/>
      <c r="P248" s="581"/>
      <c r="Q248" s="581"/>
      <c r="R248" s="581"/>
      <c r="S248" s="581"/>
      <c r="T248" s="581"/>
      <c r="U248" s="581"/>
      <c r="V248" s="581"/>
      <c r="W248" s="581"/>
      <c r="X248" s="581"/>
      <c r="Y248" s="581"/>
    </row>
    <row r="249">
      <c r="A249" s="581"/>
      <c r="B249" s="581"/>
      <c r="C249" s="581"/>
      <c r="D249" s="581"/>
      <c r="E249" s="581"/>
      <c r="F249" s="581"/>
      <c r="G249" s="581"/>
      <c r="H249" s="581"/>
      <c r="I249" s="581"/>
      <c r="J249" s="581"/>
      <c r="K249" s="581"/>
      <c r="L249" s="581"/>
      <c r="M249" s="581"/>
      <c r="N249" s="581"/>
      <c r="O249" s="581"/>
      <c r="P249" s="581"/>
      <c r="Q249" s="581"/>
      <c r="R249" s="581"/>
      <c r="S249" s="581"/>
      <c r="T249" s="581"/>
      <c r="U249" s="581"/>
      <c r="V249" s="581"/>
      <c r="W249" s="581"/>
      <c r="X249" s="581"/>
      <c r="Y249" s="581"/>
    </row>
    <row r="250">
      <c r="A250" s="581"/>
      <c r="B250" s="581"/>
      <c r="C250" s="581"/>
      <c r="D250" s="581"/>
      <c r="E250" s="581"/>
      <c r="F250" s="581"/>
      <c r="G250" s="581"/>
      <c r="H250" s="581"/>
      <c r="I250" s="581"/>
      <c r="J250" s="581"/>
      <c r="K250" s="581"/>
      <c r="L250" s="581"/>
      <c r="M250" s="581"/>
      <c r="N250" s="581"/>
      <c r="O250" s="581"/>
      <c r="P250" s="581"/>
      <c r="Q250" s="581"/>
      <c r="R250" s="581"/>
      <c r="S250" s="581"/>
      <c r="T250" s="581"/>
      <c r="U250" s="581"/>
      <c r="V250" s="581"/>
      <c r="W250" s="581"/>
      <c r="X250" s="581"/>
      <c r="Y250" s="581"/>
    </row>
    <row r="251">
      <c r="A251" s="581"/>
      <c r="B251" s="581"/>
      <c r="C251" s="581"/>
      <c r="D251" s="581"/>
      <c r="E251" s="581"/>
      <c r="F251" s="581"/>
      <c r="G251" s="581"/>
      <c r="H251" s="581"/>
      <c r="I251" s="581"/>
      <c r="J251" s="581"/>
      <c r="K251" s="581"/>
      <c r="L251" s="581"/>
      <c r="M251" s="581"/>
      <c r="N251" s="581"/>
      <c r="O251" s="581"/>
      <c r="P251" s="581"/>
      <c r="Q251" s="581"/>
      <c r="R251" s="581"/>
      <c r="S251" s="581"/>
      <c r="T251" s="581"/>
      <c r="U251" s="581"/>
      <c r="V251" s="581"/>
      <c r="W251" s="581"/>
      <c r="X251" s="581"/>
      <c r="Y251" s="581"/>
    </row>
    <row r="252">
      <c r="A252" s="581"/>
      <c r="B252" s="581"/>
      <c r="C252" s="581"/>
      <c r="D252" s="581"/>
      <c r="E252" s="581"/>
      <c r="F252" s="581"/>
      <c r="G252" s="581"/>
      <c r="H252" s="581"/>
      <c r="I252" s="581"/>
      <c r="J252" s="581"/>
      <c r="K252" s="581"/>
      <c r="L252" s="581"/>
      <c r="M252" s="581"/>
      <c r="N252" s="581"/>
      <c r="O252" s="581"/>
      <c r="P252" s="581"/>
      <c r="Q252" s="581"/>
      <c r="R252" s="581"/>
      <c r="S252" s="581"/>
      <c r="T252" s="581"/>
      <c r="U252" s="581"/>
      <c r="V252" s="581"/>
      <c r="W252" s="581"/>
      <c r="X252" s="581"/>
      <c r="Y252" s="581"/>
    </row>
    <row r="253">
      <c r="A253" s="581"/>
      <c r="B253" s="581"/>
      <c r="C253" s="581"/>
      <c r="D253" s="581"/>
      <c r="E253" s="581"/>
      <c r="F253" s="581"/>
      <c r="G253" s="581"/>
      <c r="H253" s="581"/>
      <c r="I253" s="581"/>
      <c r="J253" s="581"/>
      <c r="K253" s="581"/>
      <c r="L253" s="581"/>
      <c r="M253" s="581"/>
      <c r="N253" s="581"/>
      <c r="O253" s="581"/>
      <c r="P253" s="581"/>
      <c r="Q253" s="581"/>
      <c r="R253" s="581"/>
      <c r="S253" s="581"/>
      <c r="T253" s="581"/>
      <c r="U253" s="581"/>
      <c r="V253" s="581"/>
      <c r="W253" s="581"/>
      <c r="X253" s="581"/>
      <c r="Y253" s="581"/>
    </row>
    <row r="254">
      <c r="A254" s="581"/>
      <c r="B254" s="581"/>
      <c r="C254" s="581"/>
      <c r="D254" s="581"/>
      <c r="E254" s="581"/>
      <c r="F254" s="581"/>
      <c r="G254" s="581"/>
      <c r="H254" s="581"/>
      <c r="I254" s="581"/>
      <c r="J254" s="581"/>
      <c r="K254" s="581"/>
      <c r="L254" s="581"/>
      <c r="M254" s="581"/>
      <c r="N254" s="581"/>
      <c r="O254" s="581"/>
      <c r="P254" s="581"/>
      <c r="Q254" s="581"/>
      <c r="R254" s="581"/>
      <c r="S254" s="581"/>
      <c r="T254" s="581"/>
      <c r="U254" s="581"/>
      <c r="V254" s="581"/>
      <c r="W254" s="581"/>
      <c r="X254" s="581"/>
      <c r="Y254" s="581"/>
    </row>
    <row r="255">
      <c r="A255" s="581"/>
      <c r="B255" s="581"/>
      <c r="C255" s="581"/>
      <c r="D255" s="581"/>
      <c r="E255" s="581"/>
      <c r="F255" s="581"/>
      <c r="G255" s="581"/>
      <c r="H255" s="581"/>
      <c r="I255" s="581"/>
      <c r="J255" s="581"/>
      <c r="K255" s="581"/>
      <c r="L255" s="581"/>
      <c r="M255" s="581"/>
      <c r="N255" s="581"/>
      <c r="O255" s="581"/>
      <c r="P255" s="581"/>
      <c r="Q255" s="581"/>
      <c r="R255" s="581"/>
      <c r="S255" s="581"/>
      <c r="T255" s="581"/>
      <c r="U255" s="581"/>
      <c r="V255" s="581"/>
      <c r="W255" s="581"/>
      <c r="X255" s="581"/>
      <c r="Y255" s="581"/>
    </row>
    <row r="256">
      <c r="A256" s="581"/>
      <c r="B256" s="581"/>
      <c r="C256" s="581"/>
      <c r="D256" s="581"/>
      <c r="E256" s="581"/>
      <c r="F256" s="581"/>
      <c r="G256" s="581"/>
      <c r="H256" s="581"/>
      <c r="I256" s="581"/>
      <c r="J256" s="581"/>
      <c r="K256" s="581"/>
      <c r="L256" s="581"/>
      <c r="M256" s="581"/>
      <c r="N256" s="581"/>
      <c r="O256" s="581"/>
      <c r="P256" s="581"/>
      <c r="Q256" s="581"/>
      <c r="R256" s="581"/>
      <c r="S256" s="581"/>
      <c r="T256" s="581"/>
      <c r="U256" s="581"/>
      <c r="V256" s="581"/>
      <c r="W256" s="581"/>
      <c r="X256" s="581"/>
      <c r="Y256" s="581"/>
    </row>
    <row r="257">
      <c r="A257" s="581"/>
      <c r="B257" s="581"/>
      <c r="C257" s="581"/>
      <c r="D257" s="581"/>
      <c r="E257" s="581"/>
      <c r="F257" s="581"/>
      <c r="G257" s="581"/>
      <c r="H257" s="581"/>
      <c r="I257" s="581"/>
      <c r="J257" s="581"/>
      <c r="K257" s="581"/>
      <c r="L257" s="581"/>
      <c r="M257" s="581"/>
      <c r="N257" s="581"/>
      <c r="O257" s="581"/>
      <c r="P257" s="581"/>
      <c r="Q257" s="581"/>
      <c r="R257" s="581"/>
      <c r="S257" s="581"/>
      <c r="T257" s="581"/>
      <c r="U257" s="581"/>
      <c r="V257" s="581"/>
      <c r="W257" s="581"/>
      <c r="X257" s="581"/>
      <c r="Y257" s="581"/>
    </row>
    <row r="258">
      <c r="A258" s="581"/>
      <c r="B258" s="581"/>
      <c r="C258" s="581"/>
      <c r="D258" s="581"/>
      <c r="E258" s="581"/>
      <c r="F258" s="581"/>
      <c r="G258" s="581"/>
      <c r="H258" s="581"/>
      <c r="I258" s="581"/>
      <c r="J258" s="581"/>
      <c r="K258" s="581"/>
      <c r="L258" s="581"/>
      <c r="M258" s="581"/>
      <c r="N258" s="581"/>
      <c r="O258" s="581"/>
      <c r="P258" s="581"/>
      <c r="Q258" s="581"/>
      <c r="R258" s="581"/>
      <c r="S258" s="581"/>
      <c r="T258" s="581"/>
      <c r="U258" s="581"/>
      <c r="V258" s="581"/>
      <c r="W258" s="581"/>
      <c r="X258" s="581"/>
      <c r="Y258" s="581"/>
    </row>
    <row r="259">
      <c r="A259" s="581"/>
      <c r="B259" s="581"/>
      <c r="C259" s="581"/>
      <c r="D259" s="581"/>
      <c r="E259" s="581"/>
      <c r="F259" s="581"/>
      <c r="G259" s="581"/>
      <c r="H259" s="581"/>
      <c r="I259" s="581"/>
      <c r="J259" s="581"/>
      <c r="K259" s="581"/>
      <c r="L259" s="581"/>
      <c r="M259" s="581"/>
      <c r="N259" s="581"/>
      <c r="O259" s="581"/>
      <c r="P259" s="581"/>
      <c r="Q259" s="581"/>
      <c r="R259" s="581"/>
      <c r="S259" s="581"/>
      <c r="T259" s="581"/>
      <c r="U259" s="581"/>
      <c r="V259" s="581"/>
      <c r="W259" s="581"/>
      <c r="X259" s="581"/>
      <c r="Y259" s="581"/>
    </row>
    <row r="260">
      <c r="A260" s="581"/>
      <c r="B260" s="581"/>
      <c r="C260" s="581"/>
      <c r="D260" s="581"/>
      <c r="E260" s="581"/>
      <c r="F260" s="581"/>
      <c r="G260" s="581"/>
      <c r="H260" s="581"/>
      <c r="I260" s="581"/>
      <c r="J260" s="581"/>
      <c r="K260" s="581"/>
      <c r="L260" s="581"/>
      <c r="M260" s="581"/>
      <c r="N260" s="581"/>
      <c r="O260" s="581"/>
      <c r="P260" s="581"/>
      <c r="Q260" s="581"/>
      <c r="R260" s="581"/>
      <c r="S260" s="581"/>
      <c r="T260" s="581"/>
      <c r="U260" s="581"/>
      <c r="V260" s="581"/>
      <c r="W260" s="581"/>
      <c r="X260" s="581"/>
      <c r="Y260" s="581"/>
    </row>
    <row r="261">
      <c r="A261" s="581"/>
      <c r="B261" s="581"/>
      <c r="C261" s="581"/>
      <c r="D261" s="581"/>
      <c r="E261" s="581"/>
      <c r="F261" s="581"/>
      <c r="G261" s="581"/>
      <c r="H261" s="581"/>
      <c r="I261" s="581"/>
      <c r="J261" s="581"/>
      <c r="K261" s="581"/>
      <c r="L261" s="581"/>
      <c r="M261" s="581"/>
      <c r="N261" s="581"/>
      <c r="O261" s="581"/>
      <c r="P261" s="581"/>
      <c r="Q261" s="581"/>
      <c r="R261" s="581"/>
      <c r="S261" s="581"/>
      <c r="T261" s="581"/>
      <c r="U261" s="581"/>
      <c r="V261" s="581"/>
      <c r="W261" s="581"/>
      <c r="X261" s="581"/>
      <c r="Y261" s="581"/>
    </row>
    <row r="262">
      <c r="A262" s="581"/>
      <c r="B262" s="581"/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1"/>
      <c r="N262" s="581"/>
      <c r="O262" s="581"/>
      <c r="P262" s="581"/>
      <c r="Q262" s="581"/>
      <c r="R262" s="581"/>
      <c r="S262" s="581"/>
      <c r="T262" s="581"/>
      <c r="U262" s="581"/>
      <c r="V262" s="581"/>
      <c r="W262" s="581"/>
      <c r="X262" s="581"/>
      <c r="Y262" s="581"/>
    </row>
    <row r="263">
      <c r="A263" s="581"/>
      <c r="B263" s="581"/>
      <c r="C263" s="581"/>
      <c r="D263" s="581"/>
      <c r="E263" s="581"/>
      <c r="F263" s="581"/>
      <c r="G263" s="581"/>
      <c r="H263" s="581"/>
      <c r="I263" s="581"/>
      <c r="J263" s="581"/>
      <c r="K263" s="581"/>
      <c r="L263" s="581"/>
      <c r="M263" s="581"/>
      <c r="N263" s="581"/>
      <c r="O263" s="581"/>
      <c r="P263" s="581"/>
      <c r="Q263" s="581"/>
      <c r="R263" s="581"/>
      <c r="S263" s="581"/>
      <c r="T263" s="581"/>
      <c r="U263" s="581"/>
      <c r="V263" s="581"/>
      <c r="W263" s="581"/>
      <c r="X263" s="581"/>
      <c r="Y263" s="581"/>
    </row>
    <row r="264">
      <c r="A264" s="581"/>
      <c r="B264" s="581"/>
      <c r="C264" s="581"/>
      <c r="D264" s="581"/>
      <c r="E264" s="581"/>
      <c r="F264" s="581"/>
      <c r="G264" s="581"/>
      <c r="H264" s="581"/>
      <c r="I264" s="581"/>
      <c r="J264" s="581"/>
      <c r="K264" s="581"/>
      <c r="L264" s="581"/>
      <c r="M264" s="581"/>
      <c r="N264" s="581"/>
      <c r="O264" s="581"/>
      <c r="P264" s="581"/>
      <c r="Q264" s="581"/>
      <c r="R264" s="581"/>
      <c r="S264" s="581"/>
      <c r="T264" s="581"/>
      <c r="U264" s="581"/>
      <c r="V264" s="581"/>
      <c r="W264" s="581"/>
      <c r="X264" s="581"/>
      <c r="Y264" s="581"/>
    </row>
    <row r="265">
      <c r="A265" s="581"/>
      <c r="B265" s="581"/>
      <c r="C265" s="581"/>
      <c r="D265" s="581"/>
      <c r="E265" s="581"/>
      <c r="F265" s="581"/>
      <c r="G265" s="581"/>
      <c r="H265" s="581"/>
      <c r="I265" s="581"/>
      <c r="J265" s="581"/>
      <c r="K265" s="581"/>
      <c r="L265" s="581"/>
      <c r="M265" s="581"/>
      <c r="N265" s="581"/>
      <c r="O265" s="581"/>
      <c r="P265" s="581"/>
      <c r="Q265" s="581"/>
      <c r="R265" s="581"/>
      <c r="S265" s="581"/>
      <c r="T265" s="581"/>
      <c r="U265" s="581"/>
      <c r="V265" s="581"/>
      <c r="W265" s="581"/>
      <c r="X265" s="581"/>
      <c r="Y265" s="581"/>
    </row>
    <row r="266">
      <c r="A266" s="581"/>
      <c r="B266" s="581"/>
      <c r="C266" s="581"/>
      <c r="D266" s="581"/>
      <c r="E266" s="581"/>
      <c r="F266" s="581"/>
      <c r="G266" s="581"/>
      <c r="H266" s="581"/>
      <c r="I266" s="581"/>
      <c r="J266" s="581"/>
      <c r="K266" s="581"/>
      <c r="L266" s="581"/>
      <c r="M266" s="581"/>
      <c r="N266" s="581"/>
      <c r="O266" s="581"/>
      <c r="P266" s="581"/>
      <c r="Q266" s="581"/>
      <c r="R266" s="581"/>
      <c r="S266" s="581"/>
      <c r="T266" s="581"/>
      <c r="U266" s="581"/>
      <c r="V266" s="581"/>
      <c r="W266" s="581"/>
      <c r="X266" s="581"/>
      <c r="Y266" s="581"/>
    </row>
    <row r="267">
      <c r="A267" s="581"/>
      <c r="B267" s="581"/>
      <c r="C267" s="581"/>
      <c r="D267" s="581"/>
      <c r="E267" s="581"/>
      <c r="F267" s="581"/>
      <c r="G267" s="581"/>
      <c r="H267" s="581"/>
      <c r="I267" s="581"/>
      <c r="J267" s="581"/>
      <c r="K267" s="581"/>
      <c r="L267" s="581"/>
      <c r="M267" s="581"/>
      <c r="N267" s="581"/>
      <c r="O267" s="581"/>
      <c r="P267" s="581"/>
      <c r="Q267" s="581"/>
      <c r="R267" s="581"/>
      <c r="S267" s="581"/>
      <c r="T267" s="581"/>
      <c r="U267" s="581"/>
      <c r="V267" s="581"/>
      <c r="W267" s="581"/>
      <c r="X267" s="581"/>
      <c r="Y267" s="581"/>
    </row>
    <row r="268">
      <c r="A268" s="581"/>
      <c r="B268" s="581"/>
      <c r="C268" s="581"/>
      <c r="D268" s="581"/>
      <c r="E268" s="581"/>
      <c r="F268" s="581"/>
      <c r="G268" s="581"/>
      <c r="H268" s="581"/>
      <c r="I268" s="581"/>
      <c r="J268" s="581"/>
      <c r="K268" s="581"/>
      <c r="L268" s="581"/>
      <c r="M268" s="581"/>
      <c r="N268" s="581"/>
      <c r="O268" s="581"/>
      <c r="P268" s="581"/>
      <c r="Q268" s="581"/>
      <c r="R268" s="581"/>
      <c r="S268" s="581"/>
      <c r="T268" s="581"/>
      <c r="U268" s="581"/>
      <c r="V268" s="581"/>
      <c r="W268" s="581"/>
      <c r="X268" s="581"/>
      <c r="Y268" s="581"/>
    </row>
    <row r="269">
      <c r="A269" s="581"/>
      <c r="B269" s="581"/>
      <c r="C269" s="581"/>
      <c r="D269" s="581"/>
      <c r="E269" s="581"/>
      <c r="F269" s="581"/>
      <c r="G269" s="581"/>
      <c r="H269" s="581"/>
      <c r="I269" s="581"/>
      <c r="J269" s="581"/>
      <c r="K269" s="581"/>
      <c r="L269" s="581"/>
      <c r="M269" s="581"/>
      <c r="N269" s="581"/>
      <c r="O269" s="581"/>
      <c r="P269" s="581"/>
      <c r="Q269" s="581"/>
      <c r="R269" s="581"/>
      <c r="S269" s="581"/>
      <c r="T269" s="581"/>
      <c r="U269" s="581"/>
      <c r="V269" s="581"/>
      <c r="W269" s="581"/>
      <c r="X269" s="581"/>
      <c r="Y269" s="581"/>
    </row>
    <row r="270">
      <c r="A270" s="581"/>
      <c r="B270" s="581"/>
      <c r="C270" s="581"/>
      <c r="D270" s="581"/>
      <c r="E270" s="581"/>
      <c r="F270" s="581"/>
      <c r="G270" s="581"/>
      <c r="H270" s="581"/>
      <c r="I270" s="581"/>
      <c r="J270" s="581"/>
      <c r="K270" s="581"/>
      <c r="L270" s="581"/>
      <c r="M270" s="581"/>
      <c r="N270" s="581"/>
      <c r="O270" s="581"/>
      <c r="P270" s="581"/>
      <c r="Q270" s="581"/>
      <c r="R270" s="581"/>
      <c r="S270" s="581"/>
      <c r="T270" s="581"/>
      <c r="U270" s="581"/>
      <c r="V270" s="581"/>
      <c r="W270" s="581"/>
      <c r="X270" s="581"/>
      <c r="Y270" s="581"/>
    </row>
    <row r="271">
      <c r="A271" s="581"/>
      <c r="B271" s="581"/>
      <c r="C271" s="581"/>
      <c r="D271" s="581"/>
      <c r="E271" s="581"/>
      <c r="F271" s="581"/>
      <c r="G271" s="581"/>
      <c r="H271" s="581"/>
      <c r="I271" s="581"/>
      <c r="J271" s="581"/>
      <c r="K271" s="581"/>
      <c r="L271" s="581"/>
      <c r="M271" s="581"/>
      <c r="N271" s="581"/>
      <c r="O271" s="581"/>
      <c r="P271" s="581"/>
      <c r="Q271" s="581"/>
      <c r="R271" s="581"/>
      <c r="S271" s="581"/>
      <c r="T271" s="581"/>
      <c r="U271" s="581"/>
      <c r="V271" s="581"/>
      <c r="W271" s="581"/>
      <c r="X271" s="581"/>
      <c r="Y271" s="581"/>
    </row>
    <row r="272">
      <c r="A272" s="581"/>
      <c r="B272" s="581"/>
      <c r="C272" s="581"/>
      <c r="D272" s="581"/>
      <c r="E272" s="581"/>
      <c r="F272" s="581"/>
      <c r="G272" s="581"/>
      <c r="H272" s="581"/>
      <c r="I272" s="581"/>
      <c r="J272" s="581"/>
      <c r="K272" s="581"/>
      <c r="L272" s="581"/>
      <c r="M272" s="581"/>
      <c r="N272" s="581"/>
      <c r="O272" s="581"/>
      <c r="P272" s="581"/>
      <c r="Q272" s="581"/>
      <c r="R272" s="581"/>
      <c r="S272" s="581"/>
      <c r="T272" s="581"/>
      <c r="U272" s="581"/>
      <c r="V272" s="581"/>
      <c r="W272" s="581"/>
      <c r="X272" s="581"/>
      <c r="Y272" s="581"/>
    </row>
    <row r="273">
      <c r="A273" s="581"/>
      <c r="B273" s="581"/>
      <c r="C273" s="581"/>
      <c r="D273" s="581"/>
      <c r="E273" s="581"/>
      <c r="F273" s="581"/>
      <c r="G273" s="581"/>
      <c r="H273" s="581"/>
      <c r="I273" s="581"/>
      <c r="J273" s="581"/>
      <c r="K273" s="581"/>
      <c r="L273" s="581"/>
      <c r="M273" s="581"/>
      <c r="N273" s="581"/>
      <c r="O273" s="581"/>
      <c r="P273" s="581"/>
      <c r="Q273" s="581"/>
      <c r="R273" s="581"/>
      <c r="S273" s="581"/>
      <c r="T273" s="581"/>
      <c r="U273" s="581"/>
      <c r="V273" s="581"/>
      <c r="W273" s="581"/>
      <c r="X273" s="581"/>
      <c r="Y273" s="581"/>
    </row>
    <row r="274">
      <c r="A274" s="581"/>
      <c r="B274" s="581"/>
      <c r="C274" s="581"/>
      <c r="D274" s="581"/>
      <c r="E274" s="581"/>
      <c r="F274" s="581"/>
      <c r="G274" s="581"/>
      <c r="H274" s="581"/>
      <c r="I274" s="581"/>
      <c r="J274" s="581"/>
      <c r="K274" s="581"/>
      <c r="L274" s="581"/>
      <c r="M274" s="581"/>
      <c r="N274" s="581"/>
      <c r="O274" s="581"/>
      <c r="P274" s="581"/>
      <c r="Q274" s="581"/>
      <c r="R274" s="581"/>
      <c r="S274" s="581"/>
      <c r="T274" s="581"/>
      <c r="U274" s="581"/>
      <c r="V274" s="581"/>
      <c r="W274" s="581"/>
      <c r="X274" s="581"/>
      <c r="Y274" s="581"/>
    </row>
    <row r="275">
      <c r="A275" s="581"/>
      <c r="B275" s="581"/>
      <c r="C275" s="581"/>
      <c r="D275" s="581"/>
      <c r="E275" s="581"/>
      <c r="F275" s="581"/>
      <c r="G275" s="581"/>
      <c r="H275" s="581"/>
      <c r="I275" s="581"/>
      <c r="J275" s="581"/>
      <c r="K275" s="581"/>
      <c r="L275" s="581"/>
      <c r="M275" s="581"/>
      <c r="N275" s="581"/>
      <c r="O275" s="581"/>
      <c r="P275" s="581"/>
      <c r="Q275" s="581"/>
      <c r="R275" s="581"/>
      <c r="S275" s="581"/>
      <c r="T275" s="581"/>
      <c r="U275" s="581"/>
      <c r="V275" s="581"/>
      <c r="W275" s="581"/>
      <c r="X275" s="581"/>
      <c r="Y275" s="581"/>
    </row>
    <row r="276">
      <c r="A276" s="581"/>
      <c r="B276" s="581"/>
      <c r="C276" s="581"/>
      <c r="D276" s="581"/>
      <c r="E276" s="581"/>
      <c r="F276" s="581"/>
      <c r="G276" s="581"/>
      <c r="H276" s="581"/>
      <c r="I276" s="581"/>
      <c r="J276" s="581"/>
      <c r="K276" s="581"/>
      <c r="L276" s="581"/>
      <c r="M276" s="581"/>
      <c r="N276" s="581"/>
      <c r="O276" s="581"/>
      <c r="P276" s="581"/>
      <c r="Q276" s="581"/>
      <c r="R276" s="581"/>
      <c r="S276" s="581"/>
      <c r="T276" s="581"/>
      <c r="U276" s="581"/>
      <c r="V276" s="581"/>
      <c r="W276" s="581"/>
      <c r="X276" s="581"/>
      <c r="Y276" s="581"/>
    </row>
    <row r="277">
      <c r="A277" s="581"/>
      <c r="B277" s="581"/>
      <c r="C277" s="581"/>
      <c r="D277" s="581"/>
      <c r="E277" s="581"/>
      <c r="F277" s="581"/>
      <c r="G277" s="581"/>
      <c r="H277" s="581"/>
      <c r="I277" s="581"/>
      <c r="J277" s="581"/>
      <c r="K277" s="581"/>
      <c r="L277" s="581"/>
      <c r="M277" s="581"/>
      <c r="N277" s="581"/>
      <c r="O277" s="581"/>
      <c r="P277" s="581"/>
      <c r="Q277" s="581"/>
      <c r="R277" s="581"/>
      <c r="S277" s="581"/>
      <c r="T277" s="581"/>
      <c r="U277" s="581"/>
      <c r="V277" s="581"/>
      <c r="W277" s="581"/>
      <c r="X277" s="581"/>
      <c r="Y277" s="581"/>
    </row>
    <row r="278">
      <c r="A278" s="581"/>
      <c r="B278" s="581"/>
      <c r="C278" s="581"/>
      <c r="D278" s="581"/>
      <c r="E278" s="581"/>
      <c r="F278" s="581"/>
      <c r="G278" s="581"/>
      <c r="H278" s="581"/>
      <c r="I278" s="581"/>
      <c r="J278" s="581"/>
      <c r="K278" s="581"/>
      <c r="L278" s="581"/>
      <c r="M278" s="581"/>
      <c r="N278" s="581"/>
      <c r="O278" s="581"/>
      <c r="P278" s="581"/>
      <c r="Q278" s="581"/>
      <c r="R278" s="581"/>
      <c r="S278" s="581"/>
      <c r="T278" s="581"/>
      <c r="U278" s="581"/>
      <c r="V278" s="581"/>
      <c r="W278" s="581"/>
      <c r="X278" s="581"/>
      <c r="Y278" s="581"/>
    </row>
    <row r="279">
      <c r="A279" s="581"/>
      <c r="B279" s="581"/>
      <c r="C279" s="581"/>
      <c r="D279" s="581"/>
      <c r="E279" s="581"/>
      <c r="F279" s="581"/>
      <c r="G279" s="581"/>
      <c r="H279" s="581"/>
      <c r="I279" s="581"/>
      <c r="J279" s="581"/>
      <c r="K279" s="581"/>
      <c r="L279" s="581"/>
      <c r="M279" s="581"/>
      <c r="N279" s="581"/>
      <c r="O279" s="581"/>
      <c r="P279" s="581"/>
      <c r="Q279" s="581"/>
      <c r="R279" s="581"/>
      <c r="S279" s="581"/>
      <c r="T279" s="581"/>
      <c r="U279" s="581"/>
      <c r="V279" s="581"/>
      <c r="W279" s="581"/>
      <c r="X279" s="581"/>
      <c r="Y279" s="581"/>
    </row>
    <row r="280">
      <c r="A280" s="581"/>
      <c r="B280" s="581"/>
      <c r="C280" s="581"/>
      <c r="D280" s="581"/>
      <c r="E280" s="581"/>
      <c r="F280" s="581"/>
      <c r="G280" s="581"/>
      <c r="H280" s="581"/>
      <c r="I280" s="581"/>
      <c r="J280" s="581"/>
      <c r="K280" s="581"/>
      <c r="L280" s="581"/>
      <c r="M280" s="581"/>
      <c r="N280" s="581"/>
      <c r="O280" s="581"/>
      <c r="P280" s="581"/>
      <c r="Q280" s="581"/>
      <c r="R280" s="581"/>
      <c r="S280" s="581"/>
      <c r="T280" s="581"/>
      <c r="U280" s="581"/>
      <c r="V280" s="581"/>
      <c r="W280" s="581"/>
      <c r="X280" s="581"/>
      <c r="Y280" s="581"/>
    </row>
    <row r="281">
      <c r="A281" s="581"/>
      <c r="B281" s="581"/>
      <c r="C281" s="581"/>
      <c r="D281" s="581"/>
      <c r="E281" s="581"/>
      <c r="F281" s="581"/>
      <c r="G281" s="581"/>
      <c r="H281" s="581"/>
      <c r="I281" s="581"/>
      <c r="J281" s="581"/>
      <c r="K281" s="581"/>
      <c r="L281" s="581"/>
      <c r="M281" s="581"/>
      <c r="N281" s="581"/>
      <c r="O281" s="581"/>
      <c r="P281" s="581"/>
      <c r="Q281" s="581"/>
      <c r="R281" s="581"/>
      <c r="S281" s="581"/>
      <c r="T281" s="581"/>
      <c r="U281" s="581"/>
      <c r="V281" s="581"/>
      <c r="W281" s="581"/>
      <c r="X281" s="581"/>
      <c r="Y281" s="581"/>
    </row>
    <row r="282">
      <c r="A282" s="581"/>
      <c r="B282" s="581"/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1"/>
      <c r="N282" s="581"/>
      <c r="O282" s="581"/>
      <c r="P282" s="581"/>
      <c r="Q282" s="581"/>
      <c r="R282" s="581"/>
      <c r="S282" s="581"/>
      <c r="T282" s="581"/>
      <c r="U282" s="581"/>
      <c r="V282" s="581"/>
      <c r="W282" s="581"/>
      <c r="X282" s="581"/>
      <c r="Y282" s="581"/>
    </row>
    <row r="283">
      <c r="A283" s="581"/>
      <c r="B283" s="581"/>
      <c r="C283" s="581"/>
      <c r="D283" s="581"/>
      <c r="E283" s="581"/>
      <c r="F283" s="581"/>
      <c r="G283" s="581"/>
      <c r="H283" s="581"/>
      <c r="I283" s="581"/>
      <c r="J283" s="581"/>
      <c r="K283" s="581"/>
      <c r="L283" s="581"/>
      <c r="M283" s="581"/>
      <c r="N283" s="581"/>
      <c r="O283" s="581"/>
      <c r="P283" s="581"/>
      <c r="Q283" s="581"/>
      <c r="R283" s="581"/>
      <c r="S283" s="581"/>
      <c r="T283" s="581"/>
      <c r="U283" s="581"/>
      <c r="V283" s="581"/>
      <c r="W283" s="581"/>
      <c r="X283" s="581"/>
      <c r="Y283" s="581"/>
    </row>
    <row r="284">
      <c r="A284" s="581"/>
      <c r="B284" s="581"/>
      <c r="C284" s="581"/>
      <c r="D284" s="581"/>
      <c r="E284" s="581"/>
      <c r="F284" s="581"/>
      <c r="G284" s="581"/>
      <c r="H284" s="581"/>
      <c r="I284" s="581"/>
      <c r="J284" s="581"/>
      <c r="K284" s="581"/>
      <c r="L284" s="581"/>
      <c r="M284" s="581"/>
      <c r="N284" s="581"/>
      <c r="O284" s="581"/>
      <c r="P284" s="581"/>
      <c r="Q284" s="581"/>
      <c r="R284" s="581"/>
      <c r="S284" s="581"/>
      <c r="T284" s="581"/>
      <c r="U284" s="581"/>
      <c r="V284" s="581"/>
      <c r="W284" s="581"/>
      <c r="X284" s="581"/>
      <c r="Y284" s="581"/>
    </row>
    <row r="285">
      <c r="A285" s="581"/>
      <c r="B285" s="581"/>
      <c r="C285" s="581"/>
      <c r="D285" s="581"/>
      <c r="E285" s="581"/>
      <c r="F285" s="581"/>
      <c r="G285" s="581"/>
      <c r="H285" s="581"/>
      <c r="I285" s="581"/>
      <c r="J285" s="581"/>
      <c r="K285" s="581"/>
      <c r="L285" s="581"/>
      <c r="M285" s="581"/>
      <c r="N285" s="581"/>
      <c r="O285" s="581"/>
      <c r="P285" s="581"/>
      <c r="Q285" s="581"/>
      <c r="R285" s="581"/>
      <c r="S285" s="581"/>
      <c r="T285" s="581"/>
      <c r="U285" s="581"/>
      <c r="V285" s="581"/>
      <c r="W285" s="581"/>
      <c r="X285" s="581"/>
      <c r="Y285" s="581"/>
    </row>
    <row r="286">
      <c r="A286" s="581"/>
      <c r="B286" s="581"/>
      <c r="C286" s="581"/>
      <c r="D286" s="581"/>
      <c r="E286" s="581"/>
      <c r="F286" s="581"/>
      <c r="G286" s="581"/>
      <c r="H286" s="581"/>
      <c r="I286" s="581"/>
      <c r="J286" s="581"/>
      <c r="K286" s="581"/>
      <c r="L286" s="581"/>
      <c r="M286" s="581"/>
      <c r="N286" s="581"/>
      <c r="O286" s="581"/>
      <c r="P286" s="581"/>
      <c r="Q286" s="581"/>
      <c r="R286" s="581"/>
      <c r="S286" s="581"/>
      <c r="T286" s="581"/>
      <c r="U286" s="581"/>
      <c r="V286" s="581"/>
      <c r="W286" s="581"/>
      <c r="X286" s="581"/>
      <c r="Y286" s="581"/>
    </row>
    <row r="287">
      <c r="A287" s="581"/>
      <c r="B287" s="581"/>
      <c r="C287" s="581"/>
      <c r="D287" s="581"/>
      <c r="E287" s="581"/>
      <c r="F287" s="581"/>
      <c r="G287" s="581"/>
      <c r="H287" s="581"/>
      <c r="I287" s="581"/>
      <c r="J287" s="581"/>
      <c r="K287" s="581"/>
      <c r="L287" s="581"/>
      <c r="M287" s="581"/>
      <c r="N287" s="581"/>
      <c r="O287" s="581"/>
      <c r="P287" s="581"/>
      <c r="Q287" s="581"/>
      <c r="R287" s="581"/>
      <c r="S287" s="581"/>
      <c r="T287" s="581"/>
      <c r="U287" s="581"/>
      <c r="V287" s="581"/>
      <c r="W287" s="581"/>
      <c r="X287" s="581"/>
      <c r="Y287" s="581"/>
    </row>
    <row r="288">
      <c r="A288" s="581"/>
      <c r="B288" s="581"/>
      <c r="C288" s="581"/>
      <c r="D288" s="581"/>
      <c r="E288" s="581"/>
      <c r="F288" s="581"/>
      <c r="G288" s="581"/>
      <c r="H288" s="581"/>
      <c r="I288" s="581"/>
      <c r="J288" s="581"/>
      <c r="K288" s="581"/>
      <c r="L288" s="581"/>
      <c r="M288" s="581"/>
      <c r="N288" s="581"/>
      <c r="O288" s="581"/>
      <c r="P288" s="581"/>
      <c r="Q288" s="581"/>
      <c r="R288" s="581"/>
      <c r="S288" s="581"/>
      <c r="T288" s="581"/>
      <c r="U288" s="581"/>
      <c r="V288" s="581"/>
      <c r="W288" s="581"/>
      <c r="X288" s="581"/>
      <c r="Y288" s="581"/>
    </row>
    <row r="289">
      <c r="A289" s="581"/>
      <c r="B289" s="581"/>
      <c r="C289" s="581"/>
      <c r="D289" s="581"/>
      <c r="E289" s="581"/>
      <c r="F289" s="581"/>
      <c r="G289" s="581"/>
      <c r="H289" s="581"/>
      <c r="I289" s="581"/>
      <c r="J289" s="581"/>
      <c r="K289" s="581"/>
      <c r="L289" s="581"/>
      <c r="M289" s="581"/>
      <c r="N289" s="581"/>
      <c r="O289" s="581"/>
      <c r="P289" s="581"/>
      <c r="Q289" s="581"/>
      <c r="R289" s="581"/>
      <c r="S289" s="581"/>
      <c r="T289" s="581"/>
      <c r="U289" s="581"/>
      <c r="V289" s="581"/>
      <c r="W289" s="581"/>
      <c r="X289" s="581"/>
      <c r="Y289" s="581"/>
    </row>
    <row r="290">
      <c r="A290" s="581"/>
      <c r="B290" s="581"/>
      <c r="C290" s="581"/>
      <c r="D290" s="581"/>
      <c r="E290" s="581"/>
      <c r="F290" s="581"/>
      <c r="G290" s="581"/>
      <c r="H290" s="581"/>
      <c r="I290" s="581"/>
      <c r="J290" s="581"/>
      <c r="K290" s="581"/>
      <c r="L290" s="581"/>
      <c r="M290" s="581"/>
      <c r="N290" s="581"/>
      <c r="O290" s="581"/>
      <c r="P290" s="581"/>
      <c r="Q290" s="581"/>
      <c r="R290" s="581"/>
      <c r="S290" s="581"/>
      <c r="T290" s="581"/>
      <c r="U290" s="581"/>
      <c r="V290" s="581"/>
      <c r="W290" s="581"/>
      <c r="X290" s="581"/>
      <c r="Y290" s="581"/>
    </row>
    <row r="291">
      <c r="A291" s="581"/>
      <c r="B291" s="581"/>
      <c r="C291" s="581"/>
      <c r="D291" s="581"/>
      <c r="E291" s="581"/>
      <c r="F291" s="581"/>
      <c r="G291" s="581"/>
      <c r="H291" s="581"/>
      <c r="I291" s="581"/>
      <c r="J291" s="581"/>
      <c r="K291" s="581"/>
      <c r="L291" s="581"/>
      <c r="M291" s="581"/>
      <c r="N291" s="581"/>
      <c r="O291" s="581"/>
      <c r="P291" s="581"/>
      <c r="Q291" s="581"/>
      <c r="R291" s="581"/>
      <c r="S291" s="581"/>
      <c r="T291" s="581"/>
      <c r="U291" s="581"/>
      <c r="V291" s="581"/>
      <c r="W291" s="581"/>
      <c r="X291" s="581"/>
      <c r="Y291" s="581"/>
    </row>
    <row r="292">
      <c r="A292" s="581"/>
      <c r="B292" s="581"/>
      <c r="C292" s="581"/>
      <c r="D292" s="581"/>
      <c r="E292" s="581"/>
      <c r="F292" s="581"/>
      <c r="G292" s="581"/>
      <c r="H292" s="581"/>
      <c r="I292" s="581"/>
      <c r="J292" s="581"/>
      <c r="K292" s="581"/>
      <c r="L292" s="581"/>
      <c r="M292" s="581"/>
      <c r="N292" s="581"/>
      <c r="O292" s="581"/>
      <c r="P292" s="581"/>
      <c r="Q292" s="581"/>
      <c r="R292" s="581"/>
      <c r="S292" s="581"/>
      <c r="T292" s="581"/>
      <c r="U292" s="581"/>
      <c r="V292" s="581"/>
      <c r="W292" s="581"/>
      <c r="X292" s="581"/>
      <c r="Y292" s="581"/>
    </row>
    <row r="293">
      <c r="A293" s="581"/>
      <c r="B293" s="581"/>
      <c r="C293" s="581"/>
      <c r="D293" s="581"/>
      <c r="E293" s="581"/>
      <c r="F293" s="581"/>
      <c r="G293" s="581"/>
      <c r="H293" s="581"/>
      <c r="I293" s="581"/>
      <c r="J293" s="581"/>
      <c r="K293" s="581"/>
      <c r="L293" s="581"/>
      <c r="M293" s="581"/>
      <c r="N293" s="581"/>
      <c r="O293" s="581"/>
      <c r="P293" s="581"/>
      <c r="Q293" s="581"/>
      <c r="R293" s="581"/>
      <c r="S293" s="581"/>
      <c r="T293" s="581"/>
      <c r="U293" s="581"/>
      <c r="V293" s="581"/>
      <c r="W293" s="581"/>
      <c r="X293" s="581"/>
      <c r="Y293" s="581"/>
    </row>
    <row r="294">
      <c r="A294" s="581"/>
      <c r="B294" s="581"/>
      <c r="C294" s="581"/>
      <c r="D294" s="581"/>
      <c r="E294" s="581"/>
      <c r="F294" s="581"/>
      <c r="G294" s="581"/>
      <c r="H294" s="581"/>
      <c r="I294" s="581"/>
      <c r="J294" s="581"/>
      <c r="K294" s="581"/>
      <c r="L294" s="581"/>
      <c r="M294" s="581"/>
      <c r="N294" s="581"/>
      <c r="O294" s="581"/>
      <c r="P294" s="581"/>
      <c r="Q294" s="581"/>
      <c r="R294" s="581"/>
      <c r="S294" s="581"/>
      <c r="T294" s="581"/>
      <c r="U294" s="581"/>
      <c r="V294" s="581"/>
      <c r="W294" s="581"/>
      <c r="X294" s="581"/>
      <c r="Y294" s="581"/>
    </row>
    <row r="295">
      <c r="A295" s="581"/>
      <c r="B295" s="581"/>
      <c r="C295" s="581"/>
      <c r="D295" s="581"/>
      <c r="E295" s="581"/>
      <c r="F295" s="581"/>
      <c r="G295" s="581"/>
      <c r="H295" s="581"/>
      <c r="I295" s="581"/>
      <c r="J295" s="581"/>
      <c r="K295" s="581"/>
      <c r="L295" s="581"/>
      <c r="M295" s="581"/>
      <c r="N295" s="581"/>
      <c r="O295" s="581"/>
      <c r="P295" s="581"/>
      <c r="Q295" s="581"/>
      <c r="R295" s="581"/>
      <c r="S295" s="581"/>
      <c r="T295" s="581"/>
      <c r="U295" s="581"/>
      <c r="V295" s="581"/>
      <c r="W295" s="581"/>
      <c r="X295" s="581"/>
      <c r="Y295" s="581"/>
    </row>
    <row r="296">
      <c r="A296" s="581"/>
      <c r="B296" s="581"/>
      <c r="C296" s="581"/>
      <c r="D296" s="581"/>
      <c r="E296" s="581"/>
      <c r="F296" s="581"/>
      <c r="G296" s="581"/>
      <c r="H296" s="581"/>
      <c r="I296" s="581"/>
      <c r="J296" s="581"/>
      <c r="K296" s="581"/>
      <c r="L296" s="581"/>
      <c r="M296" s="581"/>
      <c r="N296" s="581"/>
      <c r="O296" s="581"/>
      <c r="P296" s="581"/>
      <c r="Q296" s="581"/>
      <c r="R296" s="581"/>
      <c r="S296" s="581"/>
      <c r="T296" s="581"/>
      <c r="U296" s="581"/>
      <c r="V296" s="581"/>
      <c r="W296" s="581"/>
      <c r="X296" s="581"/>
      <c r="Y296" s="581"/>
    </row>
    <row r="297">
      <c r="A297" s="581"/>
      <c r="B297" s="581"/>
      <c r="C297" s="581"/>
      <c r="D297" s="581"/>
      <c r="E297" s="581"/>
      <c r="F297" s="581"/>
      <c r="G297" s="581"/>
      <c r="H297" s="581"/>
      <c r="I297" s="581"/>
      <c r="J297" s="581"/>
      <c r="K297" s="581"/>
      <c r="L297" s="581"/>
      <c r="M297" s="581"/>
      <c r="N297" s="581"/>
      <c r="O297" s="581"/>
      <c r="P297" s="581"/>
      <c r="Q297" s="581"/>
      <c r="R297" s="581"/>
      <c r="S297" s="581"/>
      <c r="T297" s="581"/>
      <c r="U297" s="581"/>
      <c r="V297" s="581"/>
      <c r="W297" s="581"/>
      <c r="X297" s="581"/>
      <c r="Y297" s="581"/>
    </row>
    <row r="298">
      <c r="A298" s="581"/>
      <c r="B298" s="581"/>
      <c r="C298" s="581"/>
      <c r="D298" s="581"/>
      <c r="E298" s="581"/>
      <c r="F298" s="581"/>
      <c r="G298" s="581"/>
      <c r="H298" s="581"/>
      <c r="I298" s="581"/>
      <c r="J298" s="581"/>
      <c r="K298" s="581"/>
      <c r="L298" s="581"/>
      <c r="M298" s="581"/>
      <c r="N298" s="581"/>
      <c r="O298" s="581"/>
      <c r="P298" s="581"/>
      <c r="Q298" s="581"/>
      <c r="R298" s="581"/>
      <c r="S298" s="581"/>
      <c r="T298" s="581"/>
      <c r="U298" s="581"/>
      <c r="V298" s="581"/>
      <c r="W298" s="581"/>
      <c r="X298" s="581"/>
      <c r="Y298" s="581"/>
    </row>
    <row r="299">
      <c r="A299" s="581"/>
      <c r="B299" s="581"/>
      <c r="C299" s="581"/>
      <c r="D299" s="581"/>
      <c r="E299" s="581"/>
      <c r="F299" s="581"/>
      <c r="G299" s="581"/>
      <c r="H299" s="581"/>
      <c r="I299" s="581"/>
      <c r="J299" s="581"/>
      <c r="K299" s="581"/>
      <c r="L299" s="581"/>
      <c r="M299" s="581"/>
      <c r="N299" s="581"/>
      <c r="O299" s="581"/>
      <c r="P299" s="581"/>
      <c r="Q299" s="581"/>
      <c r="R299" s="581"/>
      <c r="S299" s="581"/>
      <c r="T299" s="581"/>
      <c r="U299" s="581"/>
      <c r="V299" s="581"/>
      <c r="W299" s="581"/>
      <c r="X299" s="581"/>
      <c r="Y299" s="581"/>
    </row>
    <row r="300">
      <c r="A300" s="581"/>
      <c r="B300" s="581"/>
      <c r="C300" s="581"/>
      <c r="D300" s="581"/>
      <c r="E300" s="581"/>
      <c r="F300" s="581"/>
      <c r="G300" s="581"/>
      <c r="H300" s="581"/>
      <c r="I300" s="581"/>
      <c r="J300" s="581"/>
      <c r="K300" s="581"/>
      <c r="L300" s="581"/>
      <c r="M300" s="581"/>
      <c r="N300" s="581"/>
      <c r="O300" s="581"/>
      <c r="P300" s="581"/>
      <c r="Q300" s="581"/>
      <c r="R300" s="581"/>
      <c r="S300" s="581"/>
      <c r="T300" s="581"/>
      <c r="U300" s="581"/>
      <c r="V300" s="581"/>
      <c r="W300" s="581"/>
      <c r="X300" s="581"/>
      <c r="Y300" s="581"/>
    </row>
    <row r="301">
      <c r="A301" s="581"/>
      <c r="B301" s="581"/>
      <c r="C301" s="581"/>
      <c r="D301" s="581"/>
      <c r="E301" s="581"/>
      <c r="F301" s="581"/>
      <c r="G301" s="581"/>
      <c r="H301" s="581"/>
      <c r="I301" s="581"/>
      <c r="J301" s="581"/>
      <c r="K301" s="581"/>
      <c r="L301" s="581"/>
      <c r="M301" s="581"/>
      <c r="N301" s="581"/>
      <c r="O301" s="581"/>
      <c r="P301" s="581"/>
      <c r="Q301" s="581"/>
      <c r="R301" s="581"/>
      <c r="S301" s="581"/>
      <c r="T301" s="581"/>
      <c r="U301" s="581"/>
      <c r="V301" s="581"/>
      <c r="W301" s="581"/>
      <c r="X301" s="581"/>
      <c r="Y301" s="581"/>
    </row>
    <row r="302">
      <c r="A302" s="581"/>
      <c r="B302" s="581"/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1"/>
      <c r="N302" s="581"/>
      <c r="O302" s="581"/>
      <c r="P302" s="581"/>
      <c r="Q302" s="581"/>
      <c r="R302" s="581"/>
      <c r="S302" s="581"/>
      <c r="T302" s="581"/>
      <c r="U302" s="581"/>
      <c r="V302" s="581"/>
      <c r="W302" s="581"/>
      <c r="X302" s="581"/>
      <c r="Y302" s="581"/>
    </row>
    <row r="303">
      <c r="A303" s="581"/>
      <c r="B303" s="581"/>
      <c r="C303" s="581"/>
      <c r="D303" s="581"/>
      <c r="E303" s="581"/>
      <c r="F303" s="581"/>
      <c r="G303" s="581"/>
      <c r="H303" s="581"/>
      <c r="I303" s="581"/>
      <c r="J303" s="581"/>
      <c r="K303" s="581"/>
      <c r="L303" s="581"/>
      <c r="M303" s="581"/>
      <c r="N303" s="581"/>
      <c r="O303" s="581"/>
      <c r="P303" s="581"/>
      <c r="Q303" s="581"/>
      <c r="R303" s="581"/>
      <c r="S303" s="581"/>
      <c r="T303" s="581"/>
      <c r="U303" s="581"/>
      <c r="V303" s="581"/>
      <c r="W303" s="581"/>
      <c r="X303" s="581"/>
      <c r="Y303" s="581"/>
    </row>
    <row r="304">
      <c r="A304" s="581"/>
      <c r="B304" s="581"/>
      <c r="C304" s="581"/>
      <c r="D304" s="581"/>
      <c r="E304" s="581"/>
      <c r="F304" s="581"/>
      <c r="G304" s="581"/>
      <c r="H304" s="581"/>
      <c r="I304" s="581"/>
      <c r="J304" s="581"/>
      <c r="K304" s="581"/>
      <c r="L304" s="581"/>
      <c r="M304" s="581"/>
      <c r="N304" s="581"/>
      <c r="O304" s="581"/>
      <c r="P304" s="581"/>
      <c r="Q304" s="581"/>
      <c r="R304" s="581"/>
      <c r="S304" s="581"/>
      <c r="T304" s="581"/>
      <c r="U304" s="581"/>
      <c r="V304" s="581"/>
      <c r="W304" s="581"/>
      <c r="X304" s="581"/>
      <c r="Y304" s="581"/>
    </row>
    <row r="305">
      <c r="A305" s="581"/>
      <c r="B305" s="581"/>
      <c r="C305" s="581"/>
      <c r="D305" s="581"/>
      <c r="E305" s="581"/>
      <c r="F305" s="581"/>
      <c r="G305" s="581"/>
      <c r="H305" s="581"/>
      <c r="I305" s="581"/>
      <c r="J305" s="581"/>
      <c r="K305" s="581"/>
      <c r="L305" s="581"/>
      <c r="M305" s="581"/>
      <c r="N305" s="581"/>
      <c r="O305" s="581"/>
      <c r="P305" s="581"/>
      <c r="Q305" s="581"/>
      <c r="R305" s="581"/>
      <c r="S305" s="581"/>
      <c r="T305" s="581"/>
      <c r="U305" s="581"/>
      <c r="V305" s="581"/>
      <c r="W305" s="581"/>
      <c r="X305" s="581"/>
      <c r="Y305" s="581"/>
    </row>
    <row r="306">
      <c r="A306" s="581"/>
      <c r="B306" s="581"/>
      <c r="C306" s="581"/>
      <c r="D306" s="581"/>
      <c r="E306" s="581"/>
      <c r="F306" s="581"/>
      <c r="G306" s="581"/>
      <c r="H306" s="581"/>
      <c r="I306" s="581"/>
      <c r="J306" s="581"/>
      <c r="K306" s="581"/>
      <c r="L306" s="581"/>
      <c r="M306" s="581"/>
      <c r="N306" s="581"/>
      <c r="O306" s="581"/>
      <c r="P306" s="581"/>
      <c r="Q306" s="581"/>
      <c r="R306" s="581"/>
      <c r="S306" s="581"/>
      <c r="T306" s="581"/>
      <c r="U306" s="581"/>
      <c r="V306" s="581"/>
      <c r="W306" s="581"/>
      <c r="X306" s="581"/>
      <c r="Y306" s="581"/>
    </row>
    <row r="307">
      <c r="A307" s="581"/>
      <c r="B307" s="581"/>
      <c r="C307" s="581"/>
      <c r="D307" s="581"/>
      <c r="E307" s="581"/>
      <c r="F307" s="581"/>
      <c r="G307" s="581"/>
      <c r="H307" s="581"/>
      <c r="I307" s="581"/>
      <c r="J307" s="581"/>
      <c r="K307" s="581"/>
      <c r="L307" s="581"/>
      <c r="M307" s="581"/>
      <c r="N307" s="581"/>
      <c r="O307" s="581"/>
      <c r="P307" s="581"/>
      <c r="Q307" s="581"/>
      <c r="R307" s="581"/>
      <c r="S307" s="581"/>
      <c r="T307" s="581"/>
      <c r="U307" s="581"/>
      <c r="V307" s="581"/>
      <c r="W307" s="581"/>
      <c r="X307" s="581"/>
      <c r="Y307" s="581"/>
    </row>
    <row r="308">
      <c r="A308" s="581"/>
      <c r="B308" s="581"/>
      <c r="C308" s="581"/>
      <c r="D308" s="581"/>
      <c r="E308" s="581"/>
      <c r="F308" s="581"/>
      <c r="G308" s="581"/>
      <c r="H308" s="581"/>
      <c r="I308" s="581"/>
      <c r="J308" s="581"/>
      <c r="K308" s="581"/>
      <c r="L308" s="581"/>
      <c r="M308" s="581"/>
      <c r="N308" s="581"/>
      <c r="O308" s="581"/>
      <c r="P308" s="581"/>
      <c r="Q308" s="581"/>
      <c r="R308" s="581"/>
      <c r="S308" s="581"/>
      <c r="T308" s="581"/>
      <c r="U308" s="581"/>
      <c r="V308" s="581"/>
      <c r="W308" s="581"/>
      <c r="X308" s="581"/>
      <c r="Y308" s="581"/>
    </row>
    <row r="309">
      <c r="A309" s="581"/>
      <c r="B309" s="581"/>
      <c r="C309" s="581"/>
      <c r="D309" s="581"/>
      <c r="E309" s="581"/>
      <c r="F309" s="581"/>
      <c r="G309" s="581"/>
      <c r="H309" s="581"/>
      <c r="I309" s="581"/>
      <c r="J309" s="581"/>
      <c r="K309" s="581"/>
      <c r="L309" s="581"/>
      <c r="M309" s="581"/>
      <c r="N309" s="581"/>
      <c r="O309" s="581"/>
      <c r="P309" s="581"/>
      <c r="Q309" s="581"/>
      <c r="R309" s="581"/>
      <c r="S309" s="581"/>
      <c r="T309" s="581"/>
      <c r="U309" s="581"/>
      <c r="V309" s="581"/>
      <c r="W309" s="581"/>
      <c r="X309" s="581"/>
      <c r="Y309" s="581"/>
    </row>
    <row r="310">
      <c r="A310" s="581"/>
      <c r="B310" s="581"/>
      <c r="C310" s="581"/>
      <c r="D310" s="581"/>
      <c r="E310" s="581"/>
      <c r="F310" s="581"/>
      <c r="G310" s="581"/>
      <c r="H310" s="581"/>
      <c r="I310" s="581"/>
      <c r="J310" s="581"/>
      <c r="K310" s="581"/>
      <c r="L310" s="581"/>
      <c r="M310" s="581"/>
      <c r="N310" s="581"/>
      <c r="O310" s="581"/>
      <c r="P310" s="581"/>
      <c r="Q310" s="581"/>
      <c r="R310" s="581"/>
      <c r="S310" s="581"/>
      <c r="T310" s="581"/>
      <c r="U310" s="581"/>
      <c r="V310" s="581"/>
      <c r="W310" s="581"/>
      <c r="X310" s="581"/>
      <c r="Y310" s="581"/>
    </row>
    <row r="311">
      <c r="A311" s="581"/>
      <c r="B311" s="581"/>
      <c r="C311" s="581"/>
      <c r="D311" s="581"/>
      <c r="E311" s="581"/>
      <c r="F311" s="581"/>
      <c r="G311" s="581"/>
      <c r="H311" s="581"/>
      <c r="I311" s="581"/>
      <c r="J311" s="581"/>
      <c r="K311" s="581"/>
      <c r="L311" s="581"/>
      <c r="M311" s="581"/>
      <c r="N311" s="581"/>
      <c r="O311" s="581"/>
      <c r="P311" s="581"/>
      <c r="Q311" s="581"/>
      <c r="R311" s="581"/>
      <c r="S311" s="581"/>
      <c r="T311" s="581"/>
      <c r="U311" s="581"/>
      <c r="V311" s="581"/>
      <c r="W311" s="581"/>
      <c r="X311" s="581"/>
      <c r="Y311" s="581"/>
    </row>
    <row r="312">
      <c r="A312" s="581"/>
      <c r="B312" s="581"/>
      <c r="C312" s="581"/>
      <c r="D312" s="581"/>
      <c r="E312" s="581"/>
      <c r="F312" s="581"/>
      <c r="G312" s="581"/>
      <c r="H312" s="581"/>
      <c r="I312" s="581"/>
      <c r="J312" s="581"/>
      <c r="K312" s="581"/>
      <c r="L312" s="581"/>
      <c r="M312" s="581"/>
      <c r="N312" s="581"/>
      <c r="O312" s="581"/>
      <c r="P312" s="581"/>
      <c r="Q312" s="581"/>
      <c r="R312" s="581"/>
      <c r="S312" s="581"/>
      <c r="T312" s="581"/>
      <c r="U312" s="581"/>
      <c r="V312" s="581"/>
      <c r="W312" s="581"/>
      <c r="X312" s="581"/>
      <c r="Y312" s="581"/>
    </row>
    <row r="313">
      <c r="A313" s="581"/>
      <c r="B313" s="581"/>
      <c r="C313" s="581"/>
      <c r="D313" s="581"/>
      <c r="E313" s="581"/>
      <c r="F313" s="581"/>
      <c r="G313" s="581"/>
      <c r="H313" s="581"/>
      <c r="I313" s="581"/>
      <c r="J313" s="581"/>
      <c r="K313" s="581"/>
      <c r="L313" s="581"/>
      <c r="M313" s="581"/>
      <c r="N313" s="581"/>
      <c r="O313" s="581"/>
      <c r="P313" s="581"/>
      <c r="Q313" s="581"/>
      <c r="R313" s="581"/>
      <c r="S313" s="581"/>
      <c r="T313" s="581"/>
      <c r="U313" s="581"/>
      <c r="V313" s="581"/>
      <c r="W313" s="581"/>
      <c r="X313" s="581"/>
      <c r="Y313" s="581"/>
    </row>
    <row r="314">
      <c r="A314" s="581"/>
      <c r="B314" s="581"/>
      <c r="C314" s="581"/>
      <c r="D314" s="581"/>
      <c r="E314" s="581"/>
      <c r="F314" s="581"/>
      <c r="G314" s="581"/>
      <c r="H314" s="581"/>
      <c r="I314" s="581"/>
      <c r="J314" s="581"/>
      <c r="K314" s="581"/>
      <c r="L314" s="581"/>
      <c r="M314" s="581"/>
      <c r="N314" s="581"/>
      <c r="O314" s="581"/>
      <c r="P314" s="581"/>
      <c r="Q314" s="581"/>
      <c r="R314" s="581"/>
      <c r="S314" s="581"/>
      <c r="T314" s="581"/>
      <c r="U314" s="581"/>
      <c r="V314" s="581"/>
      <c r="W314" s="581"/>
      <c r="X314" s="581"/>
      <c r="Y314" s="581"/>
    </row>
    <row r="315">
      <c r="A315" s="581"/>
      <c r="B315" s="581"/>
      <c r="C315" s="581"/>
      <c r="D315" s="581"/>
      <c r="E315" s="581"/>
      <c r="F315" s="581"/>
      <c r="G315" s="581"/>
      <c r="H315" s="581"/>
      <c r="I315" s="581"/>
      <c r="J315" s="581"/>
      <c r="K315" s="581"/>
      <c r="L315" s="581"/>
      <c r="M315" s="581"/>
      <c r="N315" s="581"/>
      <c r="O315" s="581"/>
      <c r="P315" s="581"/>
      <c r="Q315" s="581"/>
      <c r="R315" s="581"/>
      <c r="S315" s="581"/>
      <c r="T315" s="581"/>
      <c r="U315" s="581"/>
      <c r="V315" s="581"/>
      <c r="W315" s="581"/>
      <c r="X315" s="581"/>
      <c r="Y315" s="581"/>
    </row>
    <row r="316">
      <c r="A316" s="581"/>
      <c r="B316" s="581"/>
      <c r="C316" s="581"/>
      <c r="D316" s="581"/>
      <c r="E316" s="581"/>
      <c r="F316" s="581"/>
      <c r="G316" s="581"/>
      <c r="H316" s="581"/>
      <c r="I316" s="581"/>
      <c r="J316" s="581"/>
      <c r="K316" s="581"/>
      <c r="L316" s="581"/>
      <c r="M316" s="581"/>
      <c r="N316" s="581"/>
      <c r="O316" s="581"/>
      <c r="P316" s="581"/>
      <c r="Q316" s="581"/>
      <c r="R316" s="581"/>
      <c r="S316" s="581"/>
      <c r="T316" s="581"/>
      <c r="U316" s="581"/>
      <c r="V316" s="581"/>
      <c r="W316" s="581"/>
      <c r="X316" s="581"/>
      <c r="Y316" s="581"/>
    </row>
    <row r="317">
      <c r="A317" s="581"/>
      <c r="B317" s="581"/>
      <c r="C317" s="581"/>
      <c r="D317" s="581"/>
      <c r="E317" s="581"/>
      <c r="F317" s="581"/>
      <c r="G317" s="581"/>
      <c r="H317" s="581"/>
      <c r="I317" s="581"/>
      <c r="J317" s="581"/>
      <c r="K317" s="581"/>
      <c r="L317" s="581"/>
      <c r="M317" s="581"/>
      <c r="N317" s="581"/>
      <c r="O317" s="581"/>
      <c r="P317" s="581"/>
      <c r="Q317" s="581"/>
      <c r="R317" s="581"/>
      <c r="S317" s="581"/>
      <c r="T317" s="581"/>
      <c r="U317" s="581"/>
      <c r="V317" s="581"/>
      <c r="W317" s="581"/>
      <c r="X317" s="581"/>
      <c r="Y317" s="581"/>
    </row>
    <row r="318">
      <c r="A318" s="581"/>
      <c r="B318" s="581"/>
      <c r="C318" s="581"/>
      <c r="D318" s="581"/>
      <c r="E318" s="581"/>
      <c r="F318" s="581"/>
      <c r="G318" s="581"/>
      <c r="H318" s="581"/>
      <c r="I318" s="581"/>
      <c r="J318" s="581"/>
      <c r="K318" s="581"/>
      <c r="L318" s="581"/>
      <c r="M318" s="581"/>
      <c r="N318" s="581"/>
      <c r="O318" s="581"/>
      <c r="P318" s="581"/>
      <c r="Q318" s="581"/>
      <c r="R318" s="581"/>
      <c r="S318" s="581"/>
      <c r="T318" s="581"/>
      <c r="U318" s="581"/>
      <c r="V318" s="581"/>
      <c r="W318" s="581"/>
      <c r="X318" s="581"/>
      <c r="Y318" s="581"/>
    </row>
    <row r="319">
      <c r="A319" s="581"/>
      <c r="B319" s="581"/>
      <c r="C319" s="581"/>
      <c r="D319" s="581"/>
      <c r="E319" s="581"/>
      <c r="F319" s="581"/>
      <c r="G319" s="581"/>
      <c r="H319" s="581"/>
      <c r="I319" s="581"/>
      <c r="J319" s="581"/>
      <c r="K319" s="581"/>
      <c r="L319" s="581"/>
      <c r="M319" s="581"/>
      <c r="N319" s="581"/>
      <c r="O319" s="581"/>
      <c r="P319" s="581"/>
      <c r="Q319" s="581"/>
      <c r="R319" s="581"/>
      <c r="S319" s="581"/>
      <c r="T319" s="581"/>
      <c r="U319" s="581"/>
      <c r="V319" s="581"/>
      <c r="W319" s="581"/>
      <c r="X319" s="581"/>
      <c r="Y319" s="581"/>
    </row>
    <row r="320">
      <c r="A320" s="581"/>
      <c r="B320" s="581"/>
      <c r="C320" s="581"/>
      <c r="D320" s="581"/>
      <c r="E320" s="581"/>
      <c r="F320" s="581"/>
      <c r="G320" s="581"/>
      <c r="H320" s="581"/>
      <c r="I320" s="581"/>
      <c r="J320" s="581"/>
      <c r="K320" s="581"/>
      <c r="L320" s="581"/>
      <c r="M320" s="581"/>
      <c r="N320" s="581"/>
      <c r="O320" s="581"/>
      <c r="P320" s="581"/>
      <c r="Q320" s="581"/>
      <c r="R320" s="581"/>
      <c r="S320" s="581"/>
      <c r="T320" s="581"/>
      <c r="U320" s="581"/>
      <c r="V320" s="581"/>
      <c r="W320" s="581"/>
      <c r="X320" s="581"/>
      <c r="Y320" s="581"/>
    </row>
    <row r="321">
      <c r="A321" s="581"/>
      <c r="B321" s="581"/>
      <c r="C321" s="581"/>
      <c r="D321" s="581"/>
      <c r="E321" s="581"/>
      <c r="F321" s="581"/>
      <c r="G321" s="581"/>
      <c r="H321" s="581"/>
      <c r="I321" s="581"/>
      <c r="J321" s="581"/>
      <c r="K321" s="581"/>
      <c r="L321" s="581"/>
      <c r="M321" s="581"/>
      <c r="N321" s="581"/>
      <c r="O321" s="581"/>
      <c r="P321" s="581"/>
      <c r="Q321" s="581"/>
      <c r="R321" s="581"/>
      <c r="S321" s="581"/>
      <c r="T321" s="581"/>
      <c r="U321" s="581"/>
      <c r="V321" s="581"/>
      <c r="W321" s="581"/>
      <c r="X321" s="581"/>
      <c r="Y321" s="581"/>
    </row>
    <row r="322">
      <c r="A322" s="581"/>
      <c r="B322" s="581"/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1"/>
      <c r="N322" s="581"/>
      <c r="O322" s="581"/>
      <c r="P322" s="581"/>
      <c r="Q322" s="581"/>
      <c r="R322" s="581"/>
      <c r="S322" s="581"/>
      <c r="T322" s="581"/>
      <c r="U322" s="581"/>
      <c r="V322" s="581"/>
      <c r="W322" s="581"/>
      <c r="X322" s="581"/>
      <c r="Y322" s="581"/>
    </row>
    <row r="323">
      <c r="A323" s="581"/>
      <c r="B323" s="581"/>
      <c r="C323" s="581"/>
      <c r="D323" s="581"/>
      <c r="E323" s="581"/>
      <c r="F323" s="581"/>
      <c r="G323" s="581"/>
      <c r="H323" s="581"/>
      <c r="I323" s="581"/>
      <c r="J323" s="581"/>
      <c r="K323" s="581"/>
      <c r="L323" s="581"/>
      <c r="M323" s="581"/>
      <c r="N323" s="581"/>
      <c r="O323" s="581"/>
      <c r="P323" s="581"/>
      <c r="Q323" s="581"/>
      <c r="R323" s="581"/>
      <c r="S323" s="581"/>
      <c r="T323" s="581"/>
      <c r="U323" s="581"/>
      <c r="V323" s="581"/>
      <c r="W323" s="581"/>
      <c r="X323" s="581"/>
      <c r="Y323" s="581"/>
    </row>
    <row r="324">
      <c r="A324" s="581"/>
      <c r="B324" s="581"/>
      <c r="C324" s="581"/>
      <c r="D324" s="581"/>
      <c r="E324" s="581"/>
      <c r="F324" s="581"/>
      <c r="G324" s="581"/>
      <c r="H324" s="581"/>
      <c r="I324" s="581"/>
      <c r="J324" s="581"/>
      <c r="K324" s="581"/>
      <c r="L324" s="581"/>
      <c r="M324" s="581"/>
      <c r="N324" s="581"/>
      <c r="O324" s="581"/>
      <c r="P324" s="581"/>
      <c r="Q324" s="581"/>
      <c r="R324" s="581"/>
      <c r="S324" s="581"/>
      <c r="T324" s="581"/>
      <c r="U324" s="581"/>
      <c r="V324" s="581"/>
      <c r="W324" s="581"/>
      <c r="X324" s="581"/>
      <c r="Y324" s="581"/>
    </row>
    <row r="325">
      <c r="A325" s="581"/>
      <c r="B325" s="581"/>
      <c r="C325" s="581"/>
      <c r="D325" s="581"/>
      <c r="E325" s="581"/>
      <c r="F325" s="581"/>
      <c r="G325" s="581"/>
      <c r="H325" s="581"/>
      <c r="I325" s="581"/>
      <c r="J325" s="581"/>
      <c r="K325" s="581"/>
      <c r="L325" s="581"/>
      <c r="M325" s="581"/>
      <c r="N325" s="581"/>
      <c r="O325" s="581"/>
      <c r="P325" s="581"/>
      <c r="Q325" s="581"/>
      <c r="R325" s="581"/>
      <c r="S325" s="581"/>
      <c r="T325" s="581"/>
      <c r="U325" s="581"/>
      <c r="V325" s="581"/>
      <c r="W325" s="581"/>
      <c r="X325" s="581"/>
      <c r="Y325" s="581"/>
    </row>
    <row r="326">
      <c r="A326" s="581"/>
      <c r="B326" s="581"/>
      <c r="C326" s="581"/>
      <c r="D326" s="581"/>
      <c r="E326" s="581"/>
      <c r="F326" s="581"/>
      <c r="G326" s="581"/>
      <c r="H326" s="581"/>
      <c r="I326" s="581"/>
      <c r="J326" s="581"/>
      <c r="K326" s="581"/>
      <c r="L326" s="581"/>
      <c r="M326" s="581"/>
      <c r="N326" s="581"/>
      <c r="O326" s="581"/>
      <c r="P326" s="581"/>
      <c r="Q326" s="581"/>
      <c r="R326" s="581"/>
      <c r="S326" s="581"/>
      <c r="T326" s="581"/>
      <c r="U326" s="581"/>
      <c r="V326" s="581"/>
      <c r="W326" s="581"/>
      <c r="X326" s="581"/>
      <c r="Y326" s="581"/>
    </row>
    <row r="327">
      <c r="A327" s="581"/>
      <c r="B327" s="581"/>
      <c r="C327" s="581"/>
      <c r="D327" s="581"/>
      <c r="E327" s="581"/>
      <c r="F327" s="581"/>
      <c r="G327" s="581"/>
      <c r="H327" s="581"/>
      <c r="I327" s="581"/>
      <c r="J327" s="581"/>
      <c r="K327" s="581"/>
      <c r="L327" s="581"/>
      <c r="M327" s="581"/>
      <c r="N327" s="581"/>
      <c r="O327" s="581"/>
      <c r="P327" s="581"/>
      <c r="Q327" s="581"/>
      <c r="R327" s="581"/>
      <c r="S327" s="581"/>
      <c r="T327" s="581"/>
      <c r="U327" s="581"/>
      <c r="V327" s="581"/>
      <c r="W327" s="581"/>
      <c r="X327" s="581"/>
      <c r="Y327" s="581"/>
    </row>
    <row r="328">
      <c r="A328" s="581"/>
      <c r="B328" s="581"/>
      <c r="C328" s="581"/>
      <c r="D328" s="581"/>
      <c r="E328" s="581"/>
      <c r="F328" s="581"/>
      <c r="G328" s="581"/>
      <c r="H328" s="581"/>
      <c r="I328" s="581"/>
      <c r="J328" s="581"/>
      <c r="K328" s="581"/>
      <c r="L328" s="581"/>
      <c r="M328" s="581"/>
      <c r="N328" s="581"/>
      <c r="O328" s="581"/>
      <c r="P328" s="581"/>
      <c r="Q328" s="581"/>
      <c r="R328" s="581"/>
      <c r="S328" s="581"/>
      <c r="T328" s="581"/>
      <c r="U328" s="581"/>
      <c r="V328" s="581"/>
      <c r="W328" s="581"/>
      <c r="X328" s="581"/>
      <c r="Y328" s="581"/>
    </row>
    <row r="329">
      <c r="A329" s="581"/>
      <c r="B329" s="581"/>
      <c r="C329" s="581"/>
      <c r="D329" s="581"/>
      <c r="E329" s="581"/>
      <c r="F329" s="581"/>
      <c r="G329" s="581"/>
      <c r="H329" s="581"/>
      <c r="I329" s="581"/>
      <c r="J329" s="581"/>
      <c r="K329" s="581"/>
      <c r="L329" s="581"/>
      <c r="M329" s="581"/>
      <c r="N329" s="581"/>
      <c r="O329" s="581"/>
      <c r="P329" s="581"/>
      <c r="Q329" s="581"/>
      <c r="R329" s="581"/>
      <c r="S329" s="581"/>
      <c r="T329" s="581"/>
      <c r="U329" s="581"/>
      <c r="V329" s="581"/>
      <c r="W329" s="581"/>
      <c r="X329" s="581"/>
      <c r="Y329" s="581"/>
    </row>
    <row r="330">
      <c r="A330" s="581"/>
      <c r="B330" s="581"/>
      <c r="C330" s="581"/>
      <c r="D330" s="581"/>
      <c r="E330" s="581"/>
      <c r="F330" s="581"/>
      <c r="G330" s="581"/>
      <c r="H330" s="581"/>
      <c r="I330" s="581"/>
      <c r="J330" s="581"/>
      <c r="K330" s="581"/>
      <c r="L330" s="581"/>
      <c r="M330" s="581"/>
      <c r="N330" s="581"/>
      <c r="O330" s="581"/>
      <c r="P330" s="581"/>
      <c r="Q330" s="581"/>
      <c r="R330" s="581"/>
      <c r="S330" s="581"/>
      <c r="T330" s="581"/>
      <c r="U330" s="581"/>
      <c r="V330" s="581"/>
      <c r="W330" s="581"/>
      <c r="X330" s="581"/>
      <c r="Y330" s="581"/>
    </row>
    <row r="331">
      <c r="A331" s="581"/>
      <c r="B331" s="581"/>
      <c r="C331" s="581"/>
      <c r="D331" s="581"/>
      <c r="E331" s="581"/>
      <c r="F331" s="581"/>
      <c r="G331" s="581"/>
      <c r="H331" s="581"/>
      <c r="I331" s="581"/>
      <c r="J331" s="581"/>
      <c r="K331" s="581"/>
      <c r="L331" s="581"/>
      <c r="M331" s="581"/>
      <c r="N331" s="581"/>
      <c r="O331" s="581"/>
      <c r="P331" s="581"/>
      <c r="Q331" s="581"/>
      <c r="R331" s="581"/>
      <c r="S331" s="581"/>
      <c r="T331" s="581"/>
      <c r="U331" s="581"/>
      <c r="V331" s="581"/>
      <c r="W331" s="581"/>
      <c r="X331" s="581"/>
      <c r="Y331" s="581"/>
    </row>
    <row r="332">
      <c r="A332" s="581"/>
      <c r="B332" s="581"/>
      <c r="C332" s="581"/>
      <c r="D332" s="581"/>
      <c r="E332" s="581"/>
      <c r="F332" s="581"/>
      <c r="G332" s="581"/>
      <c r="H332" s="581"/>
      <c r="I332" s="581"/>
      <c r="J332" s="581"/>
      <c r="K332" s="581"/>
      <c r="L332" s="581"/>
      <c r="M332" s="581"/>
      <c r="N332" s="581"/>
      <c r="O332" s="581"/>
      <c r="P332" s="581"/>
      <c r="Q332" s="581"/>
      <c r="R332" s="581"/>
      <c r="S332" s="581"/>
      <c r="T332" s="581"/>
      <c r="U332" s="581"/>
      <c r="V332" s="581"/>
      <c r="W332" s="581"/>
      <c r="X332" s="581"/>
      <c r="Y332" s="581"/>
    </row>
    <row r="333">
      <c r="A333" s="581"/>
      <c r="B333" s="581"/>
      <c r="C333" s="581"/>
      <c r="D333" s="581"/>
      <c r="E333" s="581"/>
      <c r="F333" s="581"/>
      <c r="G333" s="581"/>
      <c r="H333" s="581"/>
      <c r="I333" s="581"/>
      <c r="J333" s="581"/>
      <c r="K333" s="581"/>
      <c r="L333" s="581"/>
      <c r="M333" s="581"/>
      <c r="N333" s="581"/>
      <c r="O333" s="581"/>
      <c r="P333" s="581"/>
      <c r="Q333" s="581"/>
      <c r="R333" s="581"/>
      <c r="S333" s="581"/>
      <c r="T333" s="581"/>
      <c r="U333" s="581"/>
      <c r="V333" s="581"/>
      <c r="W333" s="581"/>
      <c r="X333" s="581"/>
      <c r="Y333" s="581"/>
    </row>
    <row r="334">
      <c r="A334" s="581"/>
      <c r="B334" s="581"/>
      <c r="C334" s="581"/>
      <c r="D334" s="581"/>
      <c r="E334" s="581"/>
      <c r="F334" s="581"/>
      <c r="G334" s="581"/>
      <c r="H334" s="581"/>
      <c r="I334" s="581"/>
      <c r="J334" s="581"/>
      <c r="K334" s="581"/>
      <c r="L334" s="581"/>
      <c r="M334" s="581"/>
      <c r="N334" s="581"/>
      <c r="O334" s="581"/>
      <c r="P334" s="581"/>
      <c r="Q334" s="581"/>
      <c r="R334" s="581"/>
      <c r="S334" s="581"/>
      <c r="T334" s="581"/>
      <c r="U334" s="581"/>
      <c r="V334" s="581"/>
      <c r="W334" s="581"/>
      <c r="X334" s="581"/>
      <c r="Y334" s="581"/>
    </row>
    <row r="335">
      <c r="A335" s="581"/>
      <c r="B335" s="581"/>
      <c r="C335" s="581"/>
      <c r="D335" s="581"/>
      <c r="E335" s="581"/>
      <c r="F335" s="581"/>
      <c r="G335" s="581"/>
      <c r="H335" s="581"/>
      <c r="I335" s="581"/>
      <c r="J335" s="581"/>
      <c r="K335" s="581"/>
      <c r="L335" s="581"/>
      <c r="M335" s="581"/>
      <c r="N335" s="581"/>
      <c r="O335" s="581"/>
      <c r="P335" s="581"/>
      <c r="Q335" s="581"/>
      <c r="R335" s="581"/>
      <c r="S335" s="581"/>
      <c r="T335" s="581"/>
      <c r="U335" s="581"/>
      <c r="V335" s="581"/>
      <c r="W335" s="581"/>
      <c r="X335" s="581"/>
      <c r="Y335" s="581"/>
    </row>
    <row r="336">
      <c r="A336" s="581"/>
      <c r="B336" s="581"/>
      <c r="C336" s="581"/>
      <c r="D336" s="581"/>
      <c r="E336" s="581"/>
      <c r="F336" s="581"/>
      <c r="G336" s="581"/>
      <c r="H336" s="581"/>
      <c r="I336" s="581"/>
      <c r="J336" s="581"/>
      <c r="K336" s="581"/>
      <c r="L336" s="581"/>
      <c r="M336" s="581"/>
      <c r="N336" s="581"/>
      <c r="O336" s="581"/>
      <c r="P336" s="581"/>
      <c r="Q336" s="581"/>
      <c r="R336" s="581"/>
      <c r="S336" s="581"/>
      <c r="T336" s="581"/>
      <c r="U336" s="581"/>
      <c r="V336" s="581"/>
      <c r="W336" s="581"/>
      <c r="X336" s="581"/>
      <c r="Y336" s="581"/>
    </row>
    <row r="337">
      <c r="A337" s="581"/>
      <c r="B337" s="581"/>
      <c r="C337" s="581"/>
      <c r="D337" s="581"/>
      <c r="E337" s="581"/>
      <c r="F337" s="581"/>
      <c r="G337" s="581"/>
      <c r="H337" s="581"/>
      <c r="I337" s="581"/>
      <c r="J337" s="581"/>
      <c r="K337" s="581"/>
      <c r="L337" s="581"/>
      <c r="M337" s="581"/>
      <c r="N337" s="581"/>
      <c r="O337" s="581"/>
      <c r="P337" s="581"/>
      <c r="Q337" s="581"/>
      <c r="R337" s="581"/>
      <c r="S337" s="581"/>
      <c r="T337" s="581"/>
      <c r="U337" s="581"/>
      <c r="V337" s="581"/>
      <c r="W337" s="581"/>
      <c r="X337" s="581"/>
      <c r="Y337" s="581"/>
    </row>
    <row r="338">
      <c r="A338" s="581"/>
      <c r="B338" s="581"/>
      <c r="C338" s="581"/>
      <c r="D338" s="581"/>
      <c r="E338" s="581"/>
      <c r="F338" s="581"/>
      <c r="G338" s="581"/>
      <c r="H338" s="581"/>
      <c r="I338" s="581"/>
      <c r="J338" s="581"/>
      <c r="K338" s="581"/>
      <c r="L338" s="581"/>
      <c r="M338" s="581"/>
      <c r="N338" s="581"/>
      <c r="O338" s="581"/>
      <c r="P338" s="581"/>
      <c r="Q338" s="581"/>
      <c r="R338" s="581"/>
      <c r="S338" s="581"/>
      <c r="T338" s="581"/>
      <c r="U338" s="581"/>
      <c r="V338" s="581"/>
      <c r="W338" s="581"/>
      <c r="X338" s="581"/>
      <c r="Y338" s="581"/>
    </row>
    <row r="339">
      <c r="A339" s="581"/>
      <c r="B339" s="581"/>
      <c r="C339" s="581"/>
      <c r="D339" s="581"/>
      <c r="E339" s="581"/>
      <c r="F339" s="581"/>
      <c r="G339" s="581"/>
      <c r="H339" s="581"/>
      <c r="I339" s="581"/>
      <c r="J339" s="581"/>
      <c r="K339" s="581"/>
      <c r="L339" s="581"/>
      <c r="M339" s="581"/>
      <c r="N339" s="581"/>
      <c r="O339" s="581"/>
      <c r="P339" s="581"/>
      <c r="Q339" s="581"/>
      <c r="R339" s="581"/>
      <c r="S339" s="581"/>
      <c r="T339" s="581"/>
      <c r="U339" s="581"/>
      <c r="V339" s="581"/>
      <c r="W339" s="581"/>
      <c r="X339" s="581"/>
      <c r="Y339" s="581"/>
    </row>
    <row r="340">
      <c r="A340" s="581"/>
      <c r="B340" s="581"/>
      <c r="C340" s="581"/>
      <c r="D340" s="581"/>
      <c r="E340" s="581"/>
      <c r="F340" s="581"/>
      <c r="G340" s="581"/>
      <c r="H340" s="581"/>
      <c r="I340" s="581"/>
      <c r="J340" s="581"/>
      <c r="K340" s="581"/>
      <c r="L340" s="581"/>
      <c r="M340" s="581"/>
      <c r="N340" s="581"/>
      <c r="O340" s="581"/>
      <c r="P340" s="581"/>
      <c r="Q340" s="581"/>
      <c r="R340" s="581"/>
      <c r="S340" s="581"/>
      <c r="T340" s="581"/>
      <c r="U340" s="581"/>
      <c r="V340" s="581"/>
      <c r="W340" s="581"/>
      <c r="X340" s="581"/>
      <c r="Y340" s="581"/>
    </row>
    <row r="341">
      <c r="A341" s="581"/>
      <c r="B341" s="581"/>
      <c r="C341" s="581"/>
      <c r="D341" s="581"/>
      <c r="E341" s="581"/>
      <c r="F341" s="581"/>
      <c r="G341" s="581"/>
      <c r="H341" s="581"/>
      <c r="I341" s="581"/>
      <c r="J341" s="581"/>
      <c r="K341" s="581"/>
      <c r="L341" s="581"/>
      <c r="M341" s="581"/>
      <c r="N341" s="581"/>
      <c r="O341" s="581"/>
      <c r="P341" s="581"/>
      <c r="Q341" s="581"/>
      <c r="R341" s="581"/>
      <c r="S341" s="581"/>
      <c r="T341" s="581"/>
      <c r="U341" s="581"/>
      <c r="V341" s="581"/>
      <c r="W341" s="581"/>
      <c r="X341" s="581"/>
      <c r="Y341" s="581"/>
    </row>
    <row r="342">
      <c r="A342" s="581"/>
      <c r="B342" s="581"/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1"/>
      <c r="N342" s="581"/>
      <c r="O342" s="581"/>
      <c r="P342" s="581"/>
      <c r="Q342" s="581"/>
      <c r="R342" s="581"/>
      <c r="S342" s="581"/>
      <c r="T342" s="581"/>
      <c r="U342" s="581"/>
      <c r="V342" s="581"/>
      <c r="W342" s="581"/>
      <c r="X342" s="581"/>
      <c r="Y342" s="581"/>
    </row>
    <row r="343">
      <c r="A343" s="581"/>
      <c r="B343" s="581"/>
      <c r="C343" s="581"/>
      <c r="D343" s="581"/>
      <c r="E343" s="581"/>
      <c r="F343" s="581"/>
      <c r="G343" s="581"/>
      <c r="H343" s="581"/>
      <c r="I343" s="581"/>
      <c r="J343" s="581"/>
      <c r="K343" s="581"/>
      <c r="L343" s="581"/>
      <c r="M343" s="581"/>
      <c r="N343" s="581"/>
      <c r="O343" s="581"/>
      <c r="P343" s="581"/>
      <c r="Q343" s="581"/>
      <c r="R343" s="581"/>
      <c r="S343" s="581"/>
      <c r="T343" s="581"/>
      <c r="U343" s="581"/>
      <c r="V343" s="581"/>
      <c r="W343" s="581"/>
      <c r="X343" s="581"/>
      <c r="Y343" s="581"/>
    </row>
    <row r="344">
      <c r="A344" s="581"/>
      <c r="B344" s="581"/>
      <c r="C344" s="581"/>
      <c r="D344" s="581"/>
      <c r="E344" s="581"/>
      <c r="F344" s="581"/>
      <c r="G344" s="581"/>
      <c r="H344" s="581"/>
      <c r="I344" s="581"/>
      <c r="J344" s="581"/>
      <c r="K344" s="581"/>
      <c r="L344" s="581"/>
      <c r="M344" s="581"/>
      <c r="N344" s="581"/>
      <c r="O344" s="581"/>
      <c r="P344" s="581"/>
      <c r="Q344" s="581"/>
      <c r="R344" s="581"/>
      <c r="S344" s="581"/>
      <c r="T344" s="581"/>
      <c r="U344" s="581"/>
      <c r="V344" s="581"/>
      <c r="W344" s="581"/>
      <c r="X344" s="581"/>
      <c r="Y344" s="581"/>
    </row>
    <row r="345">
      <c r="A345" s="581"/>
      <c r="B345" s="581"/>
      <c r="C345" s="581"/>
      <c r="D345" s="581"/>
      <c r="E345" s="581"/>
      <c r="F345" s="581"/>
      <c r="G345" s="581"/>
      <c r="H345" s="581"/>
      <c r="I345" s="581"/>
      <c r="J345" s="581"/>
      <c r="K345" s="581"/>
      <c r="L345" s="581"/>
      <c r="M345" s="581"/>
      <c r="N345" s="581"/>
      <c r="O345" s="581"/>
      <c r="P345" s="581"/>
      <c r="Q345" s="581"/>
      <c r="R345" s="581"/>
      <c r="S345" s="581"/>
      <c r="T345" s="581"/>
      <c r="U345" s="581"/>
      <c r="V345" s="581"/>
      <c r="W345" s="581"/>
      <c r="X345" s="581"/>
      <c r="Y345" s="581"/>
    </row>
    <row r="346">
      <c r="A346" s="581"/>
      <c r="B346" s="581"/>
      <c r="C346" s="581"/>
      <c r="D346" s="581"/>
      <c r="E346" s="581"/>
      <c r="F346" s="581"/>
      <c r="G346" s="581"/>
      <c r="H346" s="581"/>
      <c r="I346" s="581"/>
      <c r="J346" s="581"/>
      <c r="K346" s="581"/>
      <c r="L346" s="581"/>
      <c r="M346" s="581"/>
      <c r="N346" s="581"/>
      <c r="O346" s="581"/>
      <c r="P346" s="581"/>
      <c r="Q346" s="581"/>
      <c r="R346" s="581"/>
      <c r="S346" s="581"/>
      <c r="T346" s="581"/>
      <c r="U346" s="581"/>
      <c r="V346" s="581"/>
      <c r="W346" s="581"/>
      <c r="X346" s="581"/>
      <c r="Y346" s="581"/>
    </row>
    <row r="347">
      <c r="A347" s="581"/>
      <c r="B347" s="581"/>
      <c r="C347" s="581"/>
      <c r="D347" s="581"/>
      <c r="E347" s="581"/>
      <c r="F347" s="581"/>
      <c r="G347" s="581"/>
      <c r="H347" s="581"/>
      <c r="I347" s="581"/>
      <c r="J347" s="581"/>
      <c r="K347" s="581"/>
      <c r="L347" s="581"/>
      <c r="M347" s="581"/>
      <c r="N347" s="581"/>
      <c r="O347" s="581"/>
      <c r="P347" s="581"/>
      <c r="Q347" s="581"/>
      <c r="R347" s="581"/>
      <c r="S347" s="581"/>
      <c r="T347" s="581"/>
      <c r="U347" s="581"/>
      <c r="V347" s="581"/>
      <c r="W347" s="581"/>
      <c r="X347" s="581"/>
      <c r="Y347" s="581"/>
    </row>
    <row r="348">
      <c r="A348" s="581"/>
      <c r="B348" s="581"/>
      <c r="C348" s="581"/>
      <c r="D348" s="581"/>
      <c r="E348" s="581"/>
      <c r="F348" s="581"/>
      <c r="G348" s="581"/>
      <c r="H348" s="581"/>
      <c r="I348" s="581"/>
      <c r="J348" s="581"/>
      <c r="K348" s="581"/>
      <c r="L348" s="581"/>
      <c r="M348" s="581"/>
      <c r="N348" s="581"/>
      <c r="O348" s="581"/>
      <c r="P348" s="581"/>
      <c r="Q348" s="581"/>
      <c r="R348" s="581"/>
      <c r="S348" s="581"/>
      <c r="T348" s="581"/>
      <c r="U348" s="581"/>
      <c r="V348" s="581"/>
      <c r="W348" s="581"/>
      <c r="X348" s="581"/>
      <c r="Y348" s="581"/>
    </row>
    <row r="349">
      <c r="A349" s="581"/>
      <c r="B349" s="581"/>
      <c r="C349" s="581"/>
      <c r="D349" s="581"/>
      <c r="E349" s="581"/>
      <c r="F349" s="581"/>
      <c r="G349" s="581"/>
      <c r="H349" s="581"/>
      <c r="I349" s="581"/>
      <c r="J349" s="581"/>
      <c r="K349" s="581"/>
      <c r="L349" s="581"/>
      <c r="M349" s="581"/>
      <c r="N349" s="581"/>
      <c r="O349" s="581"/>
      <c r="P349" s="581"/>
      <c r="Q349" s="581"/>
      <c r="R349" s="581"/>
      <c r="S349" s="581"/>
      <c r="T349" s="581"/>
      <c r="U349" s="581"/>
      <c r="V349" s="581"/>
      <c r="W349" s="581"/>
      <c r="X349" s="581"/>
      <c r="Y349" s="581"/>
    </row>
    <row r="350">
      <c r="A350" s="581"/>
      <c r="B350" s="581"/>
      <c r="C350" s="581"/>
      <c r="D350" s="581"/>
      <c r="E350" s="581"/>
      <c r="F350" s="581"/>
      <c r="G350" s="581"/>
      <c r="H350" s="581"/>
      <c r="I350" s="581"/>
      <c r="J350" s="581"/>
      <c r="K350" s="581"/>
      <c r="L350" s="581"/>
      <c r="M350" s="581"/>
      <c r="N350" s="581"/>
      <c r="O350" s="581"/>
      <c r="P350" s="581"/>
      <c r="Q350" s="581"/>
      <c r="R350" s="581"/>
      <c r="S350" s="581"/>
      <c r="T350" s="581"/>
      <c r="U350" s="581"/>
      <c r="V350" s="581"/>
      <c r="W350" s="581"/>
      <c r="X350" s="581"/>
      <c r="Y350" s="581"/>
    </row>
    <row r="351">
      <c r="A351" s="581"/>
      <c r="B351" s="581"/>
      <c r="C351" s="581"/>
      <c r="D351" s="581"/>
      <c r="E351" s="581"/>
      <c r="F351" s="581"/>
      <c r="G351" s="581"/>
      <c r="H351" s="581"/>
      <c r="I351" s="581"/>
      <c r="J351" s="581"/>
      <c r="K351" s="581"/>
      <c r="L351" s="581"/>
      <c r="M351" s="581"/>
      <c r="N351" s="581"/>
      <c r="O351" s="581"/>
      <c r="P351" s="581"/>
      <c r="Q351" s="581"/>
      <c r="R351" s="581"/>
      <c r="S351" s="581"/>
      <c r="T351" s="581"/>
      <c r="U351" s="581"/>
      <c r="V351" s="581"/>
      <c r="W351" s="581"/>
      <c r="X351" s="581"/>
      <c r="Y351" s="581"/>
    </row>
    <row r="352">
      <c r="A352" s="581"/>
      <c r="B352" s="581"/>
      <c r="C352" s="581"/>
      <c r="D352" s="581"/>
      <c r="E352" s="581"/>
      <c r="F352" s="581"/>
      <c r="G352" s="581"/>
      <c r="H352" s="581"/>
      <c r="I352" s="581"/>
      <c r="J352" s="581"/>
      <c r="K352" s="581"/>
      <c r="L352" s="581"/>
      <c r="M352" s="581"/>
      <c r="N352" s="581"/>
      <c r="O352" s="581"/>
      <c r="P352" s="581"/>
      <c r="Q352" s="581"/>
      <c r="R352" s="581"/>
      <c r="S352" s="581"/>
      <c r="T352" s="581"/>
      <c r="U352" s="581"/>
      <c r="V352" s="581"/>
      <c r="W352" s="581"/>
      <c r="X352" s="581"/>
      <c r="Y352" s="581"/>
    </row>
    <row r="353">
      <c r="A353" s="581"/>
      <c r="B353" s="581"/>
      <c r="C353" s="581"/>
      <c r="D353" s="581"/>
      <c r="E353" s="581"/>
      <c r="F353" s="581"/>
      <c r="G353" s="581"/>
      <c r="H353" s="581"/>
      <c r="I353" s="581"/>
      <c r="J353" s="581"/>
      <c r="K353" s="581"/>
      <c r="L353" s="581"/>
      <c r="M353" s="581"/>
      <c r="N353" s="581"/>
      <c r="O353" s="581"/>
      <c r="P353" s="581"/>
      <c r="Q353" s="581"/>
      <c r="R353" s="581"/>
      <c r="S353" s="581"/>
      <c r="T353" s="581"/>
      <c r="U353" s="581"/>
      <c r="V353" s="581"/>
      <c r="W353" s="581"/>
      <c r="X353" s="581"/>
      <c r="Y353" s="581"/>
    </row>
    <row r="354">
      <c r="A354" s="581"/>
      <c r="B354" s="581"/>
      <c r="C354" s="581"/>
      <c r="D354" s="581"/>
      <c r="E354" s="581"/>
      <c r="F354" s="581"/>
      <c r="G354" s="581"/>
      <c r="H354" s="581"/>
      <c r="I354" s="581"/>
      <c r="J354" s="581"/>
      <c r="K354" s="581"/>
      <c r="L354" s="581"/>
      <c r="M354" s="581"/>
      <c r="N354" s="581"/>
      <c r="O354" s="581"/>
      <c r="P354" s="581"/>
      <c r="Q354" s="581"/>
      <c r="R354" s="581"/>
      <c r="S354" s="581"/>
      <c r="T354" s="581"/>
      <c r="U354" s="581"/>
      <c r="V354" s="581"/>
      <c r="W354" s="581"/>
      <c r="X354" s="581"/>
      <c r="Y354" s="581"/>
    </row>
    <row r="355">
      <c r="A355" s="581"/>
      <c r="B355" s="581"/>
      <c r="C355" s="581"/>
      <c r="D355" s="581"/>
      <c r="E355" s="581"/>
      <c r="F355" s="581"/>
      <c r="G355" s="581"/>
      <c r="H355" s="581"/>
      <c r="I355" s="581"/>
      <c r="J355" s="581"/>
      <c r="K355" s="581"/>
      <c r="L355" s="581"/>
      <c r="M355" s="581"/>
      <c r="N355" s="581"/>
      <c r="O355" s="581"/>
      <c r="P355" s="581"/>
      <c r="Q355" s="581"/>
      <c r="R355" s="581"/>
      <c r="S355" s="581"/>
      <c r="T355" s="581"/>
      <c r="U355" s="581"/>
      <c r="V355" s="581"/>
      <c r="W355" s="581"/>
      <c r="X355" s="581"/>
      <c r="Y355" s="581"/>
    </row>
    <row r="356">
      <c r="A356" s="581"/>
      <c r="B356" s="581"/>
      <c r="C356" s="581"/>
      <c r="D356" s="581"/>
      <c r="E356" s="581"/>
      <c r="F356" s="581"/>
      <c r="G356" s="581"/>
      <c r="H356" s="581"/>
      <c r="I356" s="581"/>
      <c r="J356" s="581"/>
      <c r="K356" s="581"/>
      <c r="L356" s="581"/>
      <c r="M356" s="581"/>
      <c r="N356" s="581"/>
      <c r="O356" s="581"/>
      <c r="P356" s="581"/>
      <c r="Q356" s="581"/>
      <c r="R356" s="581"/>
      <c r="S356" s="581"/>
      <c r="T356" s="581"/>
      <c r="U356" s="581"/>
      <c r="V356" s="581"/>
      <c r="W356" s="581"/>
      <c r="X356" s="581"/>
      <c r="Y356" s="581"/>
    </row>
    <row r="357">
      <c r="A357" s="581"/>
      <c r="B357" s="581"/>
      <c r="C357" s="581"/>
      <c r="D357" s="581"/>
      <c r="E357" s="581"/>
      <c r="F357" s="581"/>
      <c r="G357" s="581"/>
      <c r="H357" s="581"/>
      <c r="I357" s="581"/>
      <c r="J357" s="581"/>
      <c r="K357" s="581"/>
      <c r="L357" s="581"/>
      <c r="M357" s="581"/>
      <c r="N357" s="581"/>
      <c r="O357" s="581"/>
      <c r="P357" s="581"/>
      <c r="Q357" s="581"/>
      <c r="R357" s="581"/>
      <c r="S357" s="581"/>
      <c r="T357" s="581"/>
      <c r="U357" s="581"/>
      <c r="V357" s="581"/>
      <c r="W357" s="581"/>
      <c r="X357" s="581"/>
      <c r="Y357" s="581"/>
    </row>
    <row r="358">
      <c r="A358" s="581"/>
      <c r="B358" s="581"/>
      <c r="C358" s="581"/>
      <c r="D358" s="581"/>
      <c r="E358" s="581"/>
      <c r="F358" s="581"/>
      <c r="G358" s="581"/>
      <c r="H358" s="581"/>
      <c r="I358" s="581"/>
      <c r="J358" s="581"/>
      <c r="K358" s="581"/>
      <c r="L358" s="581"/>
      <c r="M358" s="581"/>
      <c r="N358" s="581"/>
      <c r="O358" s="581"/>
      <c r="P358" s="581"/>
      <c r="Q358" s="581"/>
      <c r="R358" s="581"/>
      <c r="S358" s="581"/>
      <c r="T358" s="581"/>
      <c r="U358" s="581"/>
      <c r="V358" s="581"/>
      <c r="W358" s="581"/>
      <c r="X358" s="581"/>
      <c r="Y358" s="581"/>
    </row>
    <row r="359">
      <c r="A359" s="581"/>
      <c r="B359" s="581"/>
      <c r="C359" s="581"/>
      <c r="D359" s="581"/>
      <c r="E359" s="581"/>
      <c r="F359" s="581"/>
      <c r="G359" s="581"/>
      <c r="H359" s="581"/>
      <c r="I359" s="581"/>
      <c r="J359" s="581"/>
      <c r="K359" s="581"/>
      <c r="L359" s="581"/>
      <c r="M359" s="581"/>
      <c r="N359" s="581"/>
      <c r="O359" s="581"/>
      <c r="P359" s="581"/>
      <c r="Q359" s="581"/>
      <c r="R359" s="581"/>
      <c r="S359" s="581"/>
      <c r="T359" s="581"/>
      <c r="U359" s="581"/>
      <c r="V359" s="581"/>
      <c r="W359" s="581"/>
      <c r="X359" s="581"/>
      <c r="Y359" s="581"/>
    </row>
    <row r="360">
      <c r="A360" s="581"/>
      <c r="B360" s="581"/>
      <c r="C360" s="581"/>
      <c r="D360" s="581"/>
      <c r="E360" s="581"/>
      <c r="F360" s="581"/>
      <c r="G360" s="581"/>
      <c r="H360" s="581"/>
      <c r="I360" s="581"/>
      <c r="J360" s="581"/>
      <c r="K360" s="581"/>
      <c r="L360" s="581"/>
      <c r="M360" s="581"/>
      <c r="N360" s="581"/>
      <c r="O360" s="581"/>
      <c r="P360" s="581"/>
      <c r="Q360" s="581"/>
      <c r="R360" s="581"/>
      <c r="S360" s="581"/>
      <c r="T360" s="581"/>
      <c r="U360" s="581"/>
      <c r="V360" s="581"/>
      <c r="W360" s="581"/>
      <c r="X360" s="581"/>
      <c r="Y360" s="581"/>
    </row>
    <row r="361">
      <c r="A361" s="581"/>
      <c r="B361" s="581"/>
      <c r="C361" s="581"/>
      <c r="D361" s="581"/>
      <c r="E361" s="581"/>
      <c r="F361" s="581"/>
      <c r="G361" s="581"/>
      <c r="H361" s="581"/>
      <c r="I361" s="581"/>
      <c r="J361" s="581"/>
      <c r="K361" s="581"/>
      <c r="L361" s="581"/>
      <c r="M361" s="581"/>
      <c r="N361" s="581"/>
      <c r="O361" s="581"/>
      <c r="P361" s="581"/>
      <c r="Q361" s="581"/>
      <c r="R361" s="581"/>
      <c r="S361" s="581"/>
      <c r="T361" s="581"/>
      <c r="U361" s="581"/>
      <c r="V361" s="581"/>
      <c r="W361" s="581"/>
      <c r="X361" s="581"/>
      <c r="Y361" s="581"/>
    </row>
    <row r="362">
      <c r="A362" s="581"/>
      <c r="B362" s="581"/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1"/>
      <c r="N362" s="581"/>
      <c r="O362" s="581"/>
      <c r="P362" s="581"/>
      <c r="Q362" s="581"/>
      <c r="R362" s="581"/>
      <c r="S362" s="581"/>
      <c r="T362" s="581"/>
      <c r="U362" s="581"/>
      <c r="V362" s="581"/>
      <c r="W362" s="581"/>
      <c r="X362" s="581"/>
      <c r="Y362" s="581"/>
    </row>
    <row r="363">
      <c r="A363" s="581"/>
      <c r="B363" s="581"/>
      <c r="C363" s="581"/>
      <c r="D363" s="581"/>
      <c r="E363" s="581"/>
      <c r="F363" s="581"/>
      <c r="G363" s="581"/>
      <c r="H363" s="581"/>
      <c r="I363" s="581"/>
      <c r="J363" s="581"/>
      <c r="K363" s="581"/>
      <c r="L363" s="581"/>
      <c r="M363" s="581"/>
      <c r="N363" s="581"/>
      <c r="O363" s="581"/>
      <c r="P363" s="581"/>
      <c r="Q363" s="581"/>
      <c r="R363" s="581"/>
      <c r="S363" s="581"/>
      <c r="T363" s="581"/>
      <c r="U363" s="581"/>
      <c r="V363" s="581"/>
      <c r="W363" s="581"/>
      <c r="X363" s="581"/>
      <c r="Y363" s="581"/>
    </row>
    <row r="364">
      <c r="A364" s="581"/>
      <c r="B364" s="581"/>
      <c r="C364" s="581"/>
      <c r="D364" s="581"/>
      <c r="E364" s="581"/>
      <c r="F364" s="581"/>
      <c r="G364" s="581"/>
      <c r="H364" s="581"/>
      <c r="I364" s="581"/>
      <c r="J364" s="581"/>
      <c r="K364" s="581"/>
      <c r="L364" s="581"/>
      <c r="M364" s="581"/>
      <c r="N364" s="581"/>
      <c r="O364" s="581"/>
      <c r="P364" s="581"/>
      <c r="Q364" s="581"/>
      <c r="R364" s="581"/>
      <c r="S364" s="581"/>
      <c r="T364" s="581"/>
      <c r="U364" s="581"/>
      <c r="V364" s="581"/>
      <c r="W364" s="581"/>
      <c r="X364" s="581"/>
      <c r="Y364" s="581"/>
    </row>
    <row r="365">
      <c r="A365" s="581"/>
      <c r="B365" s="581"/>
      <c r="C365" s="581"/>
      <c r="D365" s="581"/>
      <c r="E365" s="581"/>
      <c r="F365" s="581"/>
      <c r="G365" s="581"/>
      <c r="H365" s="581"/>
      <c r="I365" s="581"/>
      <c r="J365" s="581"/>
      <c r="K365" s="581"/>
      <c r="L365" s="581"/>
      <c r="M365" s="581"/>
      <c r="N365" s="581"/>
      <c r="O365" s="581"/>
      <c r="P365" s="581"/>
      <c r="Q365" s="581"/>
      <c r="R365" s="581"/>
      <c r="S365" s="581"/>
      <c r="T365" s="581"/>
      <c r="U365" s="581"/>
      <c r="V365" s="581"/>
      <c r="W365" s="581"/>
      <c r="X365" s="581"/>
      <c r="Y365" s="581"/>
    </row>
    <row r="366">
      <c r="A366" s="581"/>
      <c r="B366" s="581"/>
      <c r="C366" s="581"/>
      <c r="D366" s="581"/>
      <c r="E366" s="581"/>
      <c r="F366" s="581"/>
      <c r="G366" s="581"/>
      <c r="H366" s="581"/>
      <c r="I366" s="581"/>
      <c r="J366" s="581"/>
      <c r="K366" s="581"/>
      <c r="L366" s="581"/>
      <c r="M366" s="581"/>
      <c r="N366" s="581"/>
      <c r="O366" s="581"/>
      <c r="P366" s="581"/>
      <c r="Q366" s="581"/>
      <c r="R366" s="581"/>
      <c r="S366" s="581"/>
      <c r="T366" s="581"/>
      <c r="U366" s="581"/>
      <c r="V366" s="581"/>
      <c r="W366" s="581"/>
      <c r="X366" s="581"/>
      <c r="Y366" s="581"/>
    </row>
    <row r="367">
      <c r="A367" s="581"/>
      <c r="B367" s="581"/>
      <c r="C367" s="581"/>
      <c r="D367" s="581"/>
      <c r="E367" s="581"/>
      <c r="F367" s="581"/>
      <c r="G367" s="581"/>
      <c r="H367" s="581"/>
      <c r="I367" s="581"/>
      <c r="J367" s="581"/>
      <c r="K367" s="581"/>
      <c r="L367" s="581"/>
      <c r="M367" s="581"/>
      <c r="N367" s="581"/>
      <c r="O367" s="581"/>
      <c r="P367" s="581"/>
      <c r="Q367" s="581"/>
      <c r="R367" s="581"/>
      <c r="S367" s="581"/>
      <c r="T367" s="581"/>
      <c r="U367" s="581"/>
      <c r="V367" s="581"/>
      <c r="W367" s="581"/>
      <c r="X367" s="581"/>
      <c r="Y367" s="581"/>
    </row>
    <row r="368">
      <c r="A368" s="581"/>
      <c r="B368" s="581"/>
      <c r="C368" s="581"/>
      <c r="D368" s="581"/>
      <c r="E368" s="581"/>
      <c r="F368" s="581"/>
      <c r="G368" s="581"/>
      <c r="H368" s="581"/>
      <c r="I368" s="581"/>
      <c r="J368" s="581"/>
      <c r="K368" s="581"/>
      <c r="L368" s="581"/>
      <c r="M368" s="581"/>
      <c r="N368" s="581"/>
      <c r="O368" s="581"/>
      <c r="P368" s="581"/>
      <c r="Q368" s="581"/>
      <c r="R368" s="581"/>
      <c r="S368" s="581"/>
      <c r="T368" s="581"/>
      <c r="U368" s="581"/>
      <c r="V368" s="581"/>
      <c r="W368" s="581"/>
      <c r="X368" s="581"/>
      <c r="Y368" s="581"/>
    </row>
    <row r="369">
      <c r="A369" s="581"/>
      <c r="B369" s="581"/>
      <c r="C369" s="581"/>
      <c r="D369" s="581"/>
      <c r="E369" s="581"/>
      <c r="F369" s="581"/>
      <c r="G369" s="581"/>
      <c r="H369" s="581"/>
      <c r="I369" s="581"/>
      <c r="J369" s="581"/>
      <c r="K369" s="581"/>
      <c r="L369" s="581"/>
      <c r="M369" s="581"/>
      <c r="N369" s="581"/>
      <c r="O369" s="581"/>
      <c r="P369" s="581"/>
      <c r="Q369" s="581"/>
      <c r="R369" s="581"/>
      <c r="S369" s="581"/>
      <c r="T369" s="581"/>
      <c r="U369" s="581"/>
      <c r="V369" s="581"/>
      <c r="W369" s="581"/>
      <c r="X369" s="581"/>
      <c r="Y369" s="581"/>
    </row>
    <row r="370">
      <c r="A370" s="581"/>
      <c r="B370" s="581"/>
      <c r="C370" s="581"/>
      <c r="D370" s="581"/>
      <c r="E370" s="581"/>
      <c r="F370" s="581"/>
      <c r="G370" s="581"/>
      <c r="H370" s="581"/>
      <c r="I370" s="581"/>
      <c r="J370" s="581"/>
      <c r="K370" s="581"/>
      <c r="L370" s="581"/>
      <c r="M370" s="581"/>
      <c r="N370" s="581"/>
      <c r="O370" s="581"/>
      <c r="P370" s="581"/>
      <c r="Q370" s="581"/>
      <c r="R370" s="581"/>
      <c r="S370" s="581"/>
      <c r="T370" s="581"/>
      <c r="U370" s="581"/>
      <c r="V370" s="581"/>
      <c r="W370" s="581"/>
      <c r="X370" s="581"/>
      <c r="Y370" s="581"/>
    </row>
    <row r="371">
      <c r="A371" s="581"/>
      <c r="B371" s="581"/>
      <c r="C371" s="581"/>
      <c r="D371" s="581"/>
      <c r="E371" s="581"/>
      <c r="F371" s="581"/>
      <c r="G371" s="581"/>
      <c r="H371" s="581"/>
      <c r="I371" s="581"/>
      <c r="J371" s="581"/>
      <c r="K371" s="581"/>
      <c r="L371" s="581"/>
      <c r="M371" s="581"/>
      <c r="N371" s="581"/>
      <c r="O371" s="581"/>
      <c r="P371" s="581"/>
      <c r="Q371" s="581"/>
      <c r="R371" s="581"/>
      <c r="S371" s="581"/>
      <c r="T371" s="581"/>
      <c r="U371" s="581"/>
      <c r="V371" s="581"/>
      <c r="W371" s="581"/>
      <c r="X371" s="581"/>
      <c r="Y371" s="581"/>
    </row>
    <row r="372">
      <c r="A372" s="581"/>
      <c r="B372" s="581"/>
      <c r="C372" s="581"/>
      <c r="D372" s="581"/>
      <c r="E372" s="581"/>
      <c r="F372" s="581"/>
      <c r="G372" s="581"/>
      <c r="H372" s="581"/>
      <c r="I372" s="581"/>
      <c r="J372" s="581"/>
      <c r="K372" s="581"/>
      <c r="L372" s="581"/>
      <c r="M372" s="581"/>
      <c r="N372" s="581"/>
      <c r="O372" s="581"/>
      <c r="P372" s="581"/>
      <c r="Q372" s="581"/>
      <c r="R372" s="581"/>
      <c r="S372" s="581"/>
      <c r="T372" s="581"/>
      <c r="U372" s="581"/>
      <c r="V372" s="581"/>
      <c r="W372" s="581"/>
      <c r="X372" s="581"/>
      <c r="Y372" s="581"/>
    </row>
    <row r="373">
      <c r="A373" s="581"/>
      <c r="B373" s="581"/>
      <c r="C373" s="581"/>
      <c r="D373" s="581"/>
      <c r="E373" s="581"/>
      <c r="F373" s="581"/>
      <c r="G373" s="581"/>
      <c r="H373" s="581"/>
      <c r="I373" s="581"/>
      <c r="J373" s="581"/>
      <c r="K373" s="581"/>
      <c r="L373" s="581"/>
      <c r="M373" s="581"/>
      <c r="N373" s="581"/>
      <c r="O373" s="581"/>
      <c r="P373" s="581"/>
      <c r="Q373" s="581"/>
      <c r="R373" s="581"/>
      <c r="S373" s="581"/>
      <c r="T373" s="581"/>
      <c r="U373" s="581"/>
      <c r="V373" s="581"/>
      <c r="W373" s="581"/>
      <c r="X373" s="581"/>
      <c r="Y373" s="581"/>
    </row>
    <row r="374">
      <c r="A374" s="581"/>
      <c r="B374" s="581"/>
      <c r="C374" s="581"/>
      <c r="D374" s="581"/>
      <c r="E374" s="581"/>
      <c r="F374" s="581"/>
      <c r="G374" s="581"/>
      <c r="H374" s="581"/>
      <c r="I374" s="581"/>
      <c r="J374" s="581"/>
      <c r="K374" s="581"/>
      <c r="L374" s="581"/>
      <c r="M374" s="581"/>
      <c r="N374" s="581"/>
      <c r="O374" s="581"/>
      <c r="P374" s="581"/>
      <c r="Q374" s="581"/>
      <c r="R374" s="581"/>
      <c r="S374" s="581"/>
      <c r="T374" s="581"/>
      <c r="U374" s="581"/>
      <c r="V374" s="581"/>
      <c r="W374" s="581"/>
      <c r="X374" s="581"/>
      <c r="Y374" s="581"/>
    </row>
    <row r="375">
      <c r="A375" s="581"/>
      <c r="B375" s="581"/>
      <c r="C375" s="581"/>
      <c r="D375" s="581"/>
      <c r="E375" s="581"/>
      <c r="F375" s="581"/>
      <c r="G375" s="581"/>
      <c r="H375" s="581"/>
      <c r="I375" s="581"/>
      <c r="J375" s="581"/>
      <c r="K375" s="581"/>
      <c r="L375" s="581"/>
      <c r="M375" s="581"/>
      <c r="N375" s="581"/>
      <c r="O375" s="581"/>
      <c r="P375" s="581"/>
      <c r="Q375" s="581"/>
      <c r="R375" s="581"/>
      <c r="S375" s="581"/>
      <c r="T375" s="581"/>
      <c r="U375" s="581"/>
      <c r="V375" s="581"/>
      <c r="W375" s="581"/>
      <c r="X375" s="581"/>
      <c r="Y375" s="581"/>
    </row>
    <row r="376">
      <c r="A376" s="581"/>
      <c r="B376" s="581"/>
      <c r="C376" s="581"/>
      <c r="D376" s="581"/>
      <c r="E376" s="581"/>
      <c r="F376" s="581"/>
      <c r="G376" s="581"/>
      <c r="H376" s="581"/>
      <c r="I376" s="581"/>
      <c r="J376" s="581"/>
      <c r="K376" s="581"/>
      <c r="L376" s="581"/>
      <c r="M376" s="581"/>
      <c r="N376" s="581"/>
      <c r="O376" s="581"/>
      <c r="P376" s="581"/>
      <c r="Q376" s="581"/>
      <c r="R376" s="581"/>
      <c r="S376" s="581"/>
      <c r="T376" s="581"/>
      <c r="U376" s="581"/>
      <c r="V376" s="581"/>
      <c r="W376" s="581"/>
      <c r="X376" s="581"/>
      <c r="Y376" s="581"/>
    </row>
    <row r="377">
      <c r="A377" s="581"/>
      <c r="B377" s="581"/>
      <c r="C377" s="581"/>
      <c r="D377" s="581"/>
      <c r="E377" s="581"/>
      <c r="F377" s="581"/>
      <c r="G377" s="581"/>
      <c r="H377" s="581"/>
      <c r="I377" s="581"/>
      <c r="J377" s="581"/>
      <c r="K377" s="581"/>
      <c r="L377" s="581"/>
      <c r="M377" s="581"/>
      <c r="N377" s="581"/>
      <c r="O377" s="581"/>
      <c r="P377" s="581"/>
      <c r="Q377" s="581"/>
      <c r="R377" s="581"/>
      <c r="S377" s="581"/>
      <c r="T377" s="581"/>
      <c r="U377" s="581"/>
      <c r="V377" s="581"/>
      <c r="W377" s="581"/>
      <c r="X377" s="581"/>
      <c r="Y377" s="581"/>
    </row>
    <row r="378">
      <c r="A378" s="581"/>
      <c r="B378" s="581"/>
      <c r="C378" s="581"/>
      <c r="D378" s="581"/>
      <c r="E378" s="581"/>
      <c r="F378" s="581"/>
      <c r="G378" s="581"/>
      <c r="H378" s="581"/>
      <c r="I378" s="581"/>
      <c r="J378" s="581"/>
      <c r="K378" s="581"/>
      <c r="L378" s="581"/>
      <c r="M378" s="581"/>
      <c r="N378" s="581"/>
      <c r="O378" s="581"/>
      <c r="P378" s="581"/>
      <c r="Q378" s="581"/>
      <c r="R378" s="581"/>
      <c r="S378" s="581"/>
      <c r="T378" s="581"/>
      <c r="U378" s="581"/>
      <c r="V378" s="581"/>
      <c r="W378" s="581"/>
      <c r="X378" s="581"/>
      <c r="Y378" s="581"/>
    </row>
    <row r="379">
      <c r="A379" s="581"/>
      <c r="B379" s="581"/>
      <c r="C379" s="581"/>
      <c r="D379" s="581"/>
      <c r="E379" s="581"/>
      <c r="F379" s="581"/>
      <c r="G379" s="581"/>
      <c r="H379" s="581"/>
      <c r="I379" s="581"/>
      <c r="J379" s="581"/>
      <c r="K379" s="581"/>
      <c r="L379" s="581"/>
      <c r="M379" s="581"/>
      <c r="N379" s="581"/>
      <c r="O379" s="581"/>
      <c r="P379" s="581"/>
      <c r="Q379" s="581"/>
      <c r="R379" s="581"/>
      <c r="S379" s="581"/>
      <c r="T379" s="581"/>
      <c r="U379" s="581"/>
      <c r="V379" s="581"/>
      <c r="W379" s="581"/>
      <c r="X379" s="581"/>
      <c r="Y379" s="581"/>
    </row>
    <row r="380">
      <c r="A380" s="581"/>
      <c r="B380" s="581"/>
      <c r="C380" s="581"/>
      <c r="D380" s="581"/>
      <c r="E380" s="581"/>
      <c r="F380" s="581"/>
      <c r="G380" s="581"/>
      <c r="H380" s="581"/>
      <c r="I380" s="581"/>
      <c r="J380" s="581"/>
      <c r="K380" s="581"/>
      <c r="L380" s="581"/>
      <c r="M380" s="581"/>
      <c r="N380" s="581"/>
      <c r="O380" s="581"/>
      <c r="P380" s="581"/>
      <c r="Q380" s="581"/>
      <c r="R380" s="581"/>
      <c r="S380" s="581"/>
      <c r="T380" s="581"/>
      <c r="U380" s="581"/>
      <c r="V380" s="581"/>
      <c r="W380" s="581"/>
      <c r="X380" s="581"/>
      <c r="Y380" s="581"/>
    </row>
    <row r="381">
      <c r="A381" s="581"/>
      <c r="B381" s="581"/>
      <c r="C381" s="581"/>
      <c r="D381" s="581"/>
      <c r="E381" s="581"/>
      <c r="F381" s="581"/>
      <c r="G381" s="581"/>
      <c r="H381" s="581"/>
      <c r="I381" s="581"/>
      <c r="J381" s="581"/>
      <c r="K381" s="581"/>
      <c r="L381" s="581"/>
      <c r="M381" s="581"/>
      <c r="N381" s="581"/>
      <c r="O381" s="581"/>
      <c r="P381" s="581"/>
      <c r="Q381" s="581"/>
      <c r="R381" s="581"/>
      <c r="S381" s="581"/>
      <c r="T381" s="581"/>
      <c r="U381" s="581"/>
      <c r="V381" s="581"/>
      <c r="W381" s="581"/>
      <c r="X381" s="581"/>
      <c r="Y381" s="581"/>
    </row>
    <row r="382">
      <c r="A382" s="581"/>
      <c r="B382" s="581"/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1"/>
      <c r="N382" s="581"/>
      <c r="O382" s="581"/>
      <c r="P382" s="581"/>
      <c r="Q382" s="581"/>
      <c r="R382" s="581"/>
      <c r="S382" s="581"/>
      <c r="T382" s="581"/>
      <c r="U382" s="581"/>
      <c r="V382" s="581"/>
      <c r="W382" s="581"/>
      <c r="X382" s="581"/>
      <c r="Y382" s="581"/>
    </row>
    <row r="383">
      <c r="A383" s="581"/>
      <c r="B383" s="581"/>
      <c r="C383" s="581"/>
      <c r="D383" s="581"/>
      <c r="E383" s="581"/>
      <c r="F383" s="581"/>
      <c r="G383" s="581"/>
      <c r="H383" s="581"/>
      <c r="I383" s="581"/>
      <c r="J383" s="581"/>
      <c r="K383" s="581"/>
      <c r="L383" s="581"/>
      <c r="M383" s="581"/>
      <c r="N383" s="581"/>
      <c r="O383" s="581"/>
      <c r="P383" s="581"/>
      <c r="Q383" s="581"/>
      <c r="R383" s="581"/>
      <c r="S383" s="581"/>
      <c r="T383" s="581"/>
      <c r="U383" s="581"/>
      <c r="V383" s="581"/>
      <c r="W383" s="581"/>
      <c r="X383" s="581"/>
      <c r="Y383" s="581"/>
    </row>
    <row r="384">
      <c r="A384" s="581"/>
      <c r="B384" s="581"/>
      <c r="C384" s="581"/>
      <c r="D384" s="581"/>
      <c r="E384" s="581"/>
      <c r="F384" s="581"/>
      <c r="G384" s="581"/>
      <c r="H384" s="581"/>
      <c r="I384" s="581"/>
      <c r="J384" s="581"/>
      <c r="K384" s="581"/>
      <c r="L384" s="581"/>
      <c r="M384" s="581"/>
      <c r="N384" s="581"/>
      <c r="O384" s="581"/>
      <c r="P384" s="581"/>
      <c r="Q384" s="581"/>
      <c r="R384" s="581"/>
      <c r="S384" s="581"/>
      <c r="T384" s="581"/>
      <c r="U384" s="581"/>
      <c r="V384" s="581"/>
      <c r="W384" s="581"/>
      <c r="X384" s="581"/>
      <c r="Y384" s="581"/>
    </row>
    <row r="385">
      <c r="A385" s="581"/>
      <c r="B385" s="581"/>
      <c r="C385" s="581"/>
      <c r="D385" s="581"/>
      <c r="E385" s="581"/>
      <c r="F385" s="581"/>
      <c r="G385" s="581"/>
      <c r="H385" s="581"/>
      <c r="I385" s="581"/>
      <c r="J385" s="581"/>
      <c r="K385" s="581"/>
      <c r="L385" s="581"/>
      <c r="M385" s="581"/>
      <c r="N385" s="581"/>
      <c r="O385" s="581"/>
      <c r="P385" s="581"/>
      <c r="Q385" s="581"/>
      <c r="R385" s="581"/>
      <c r="S385" s="581"/>
      <c r="T385" s="581"/>
      <c r="U385" s="581"/>
      <c r="V385" s="581"/>
      <c r="W385" s="581"/>
      <c r="X385" s="581"/>
      <c r="Y385" s="581"/>
    </row>
    <row r="386">
      <c r="A386" s="581"/>
      <c r="B386" s="581"/>
      <c r="C386" s="581"/>
      <c r="D386" s="581"/>
      <c r="E386" s="581"/>
      <c r="F386" s="581"/>
      <c r="G386" s="581"/>
      <c r="H386" s="581"/>
      <c r="I386" s="581"/>
      <c r="J386" s="581"/>
      <c r="K386" s="581"/>
      <c r="L386" s="581"/>
      <c r="M386" s="581"/>
      <c r="N386" s="581"/>
      <c r="O386" s="581"/>
      <c r="P386" s="581"/>
      <c r="Q386" s="581"/>
      <c r="R386" s="581"/>
      <c r="S386" s="581"/>
      <c r="T386" s="581"/>
      <c r="U386" s="581"/>
      <c r="V386" s="581"/>
      <c r="W386" s="581"/>
      <c r="X386" s="581"/>
      <c r="Y386" s="581"/>
    </row>
    <row r="387">
      <c r="A387" s="581"/>
      <c r="B387" s="581"/>
      <c r="C387" s="581"/>
      <c r="D387" s="581"/>
      <c r="E387" s="581"/>
      <c r="F387" s="581"/>
      <c r="G387" s="581"/>
      <c r="H387" s="581"/>
      <c r="I387" s="581"/>
      <c r="J387" s="581"/>
      <c r="K387" s="581"/>
      <c r="L387" s="581"/>
      <c r="M387" s="581"/>
      <c r="N387" s="581"/>
      <c r="O387" s="581"/>
      <c r="P387" s="581"/>
      <c r="Q387" s="581"/>
      <c r="R387" s="581"/>
      <c r="S387" s="581"/>
      <c r="T387" s="581"/>
      <c r="U387" s="581"/>
      <c r="V387" s="581"/>
      <c r="W387" s="581"/>
      <c r="X387" s="581"/>
      <c r="Y387" s="581"/>
    </row>
    <row r="388">
      <c r="A388" s="581"/>
      <c r="B388" s="581"/>
      <c r="C388" s="581"/>
      <c r="D388" s="581"/>
      <c r="E388" s="581"/>
      <c r="F388" s="581"/>
      <c r="G388" s="581"/>
      <c r="H388" s="581"/>
      <c r="I388" s="581"/>
      <c r="J388" s="581"/>
      <c r="K388" s="581"/>
      <c r="L388" s="581"/>
      <c r="M388" s="581"/>
      <c r="N388" s="581"/>
      <c r="O388" s="581"/>
      <c r="P388" s="581"/>
      <c r="Q388" s="581"/>
      <c r="R388" s="581"/>
      <c r="S388" s="581"/>
      <c r="T388" s="581"/>
      <c r="U388" s="581"/>
      <c r="V388" s="581"/>
      <c r="W388" s="581"/>
      <c r="X388" s="581"/>
      <c r="Y388" s="581"/>
    </row>
    <row r="389">
      <c r="A389" s="581"/>
      <c r="B389" s="581"/>
      <c r="C389" s="581"/>
      <c r="D389" s="581"/>
      <c r="E389" s="581"/>
      <c r="F389" s="581"/>
      <c r="G389" s="581"/>
      <c r="H389" s="581"/>
      <c r="I389" s="581"/>
      <c r="J389" s="581"/>
      <c r="K389" s="581"/>
      <c r="L389" s="581"/>
      <c r="M389" s="581"/>
      <c r="N389" s="581"/>
      <c r="O389" s="581"/>
      <c r="P389" s="581"/>
      <c r="Q389" s="581"/>
      <c r="R389" s="581"/>
      <c r="S389" s="581"/>
      <c r="T389" s="581"/>
      <c r="U389" s="581"/>
      <c r="V389" s="581"/>
      <c r="W389" s="581"/>
      <c r="X389" s="581"/>
      <c r="Y389" s="581"/>
    </row>
    <row r="390">
      <c r="A390" s="581"/>
      <c r="B390" s="581"/>
      <c r="C390" s="581"/>
      <c r="D390" s="581"/>
      <c r="E390" s="581"/>
      <c r="F390" s="581"/>
      <c r="G390" s="581"/>
      <c r="H390" s="581"/>
      <c r="I390" s="581"/>
      <c r="J390" s="581"/>
      <c r="K390" s="581"/>
      <c r="L390" s="581"/>
      <c r="M390" s="581"/>
      <c r="N390" s="581"/>
      <c r="O390" s="581"/>
      <c r="P390" s="581"/>
      <c r="Q390" s="581"/>
      <c r="R390" s="581"/>
      <c r="S390" s="581"/>
      <c r="T390" s="581"/>
      <c r="U390" s="581"/>
      <c r="V390" s="581"/>
      <c r="W390" s="581"/>
      <c r="X390" s="581"/>
      <c r="Y390" s="581"/>
    </row>
    <row r="391">
      <c r="A391" s="581"/>
      <c r="B391" s="581"/>
      <c r="C391" s="581"/>
      <c r="D391" s="581"/>
      <c r="E391" s="581"/>
      <c r="F391" s="581"/>
      <c r="G391" s="581"/>
      <c r="H391" s="581"/>
      <c r="I391" s="581"/>
      <c r="J391" s="581"/>
      <c r="K391" s="581"/>
      <c r="L391" s="581"/>
      <c r="M391" s="581"/>
      <c r="N391" s="581"/>
      <c r="O391" s="581"/>
      <c r="P391" s="581"/>
      <c r="Q391" s="581"/>
      <c r="R391" s="581"/>
      <c r="S391" s="581"/>
      <c r="T391" s="581"/>
      <c r="U391" s="581"/>
      <c r="V391" s="581"/>
      <c r="W391" s="581"/>
      <c r="X391" s="581"/>
      <c r="Y391" s="581"/>
    </row>
    <row r="392">
      <c r="A392" s="581"/>
      <c r="B392" s="581"/>
      <c r="C392" s="581"/>
      <c r="D392" s="581"/>
      <c r="E392" s="581"/>
      <c r="F392" s="581"/>
      <c r="G392" s="581"/>
      <c r="H392" s="581"/>
      <c r="I392" s="581"/>
      <c r="J392" s="581"/>
      <c r="K392" s="581"/>
      <c r="L392" s="581"/>
      <c r="M392" s="581"/>
      <c r="N392" s="581"/>
      <c r="O392" s="581"/>
      <c r="P392" s="581"/>
      <c r="Q392" s="581"/>
      <c r="R392" s="581"/>
      <c r="S392" s="581"/>
      <c r="T392" s="581"/>
      <c r="U392" s="581"/>
      <c r="V392" s="581"/>
      <c r="W392" s="581"/>
      <c r="X392" s="581"/>
      <c r="Y392" s="581"/>
    </row>
    <row r="393">
      <c r="A393" s="581"/>
      <c r="B393" s="581"/>
      <c r="C393" s="581"/>
      <c r="D393" s="581"/>
      <c r="E393" s="581"/>
      <c r="F393" s="581"/>
      <c r="G393" s="581"/>
      <c r="H393" s="581"/>
      <c r="I393" s="581"/>
      <c r="J393" s="581"/>
      <c r="K393" s="581"/>
      <c r="L393" s="581"/>
      <c r="M393" s="581"/>
      <c r="N393" s="581"/>
      <c r="O393" s="581"/>
      <c r="P393" s="581"/>
      <c r="Q393" s="581"/>
      <c r="R393" s="581"/>
      <c r="S393" s="581"/>
      <c r="T393" s="581"/>
      <c r="U393" s="581"/>
      <c r="V393" s="581"/>
      <c r="W393" s="581"/>
      <c r="X393" s="581"/>
      <c r="Y393" s="581"/>
    </row>
    <row r="394">
      <c r="A394" s="581"/>
      <c r="B394" s="581"/>
      <c r="C394" s="581"/>
      <c r="D394" s="581"/>
      <c r="E394" s="581"/>
      <c r="F394" s="581"/>
      <c r="G394" s="581"/>
      <c r="H394" s="581"/>
      <c r="I394" s="581"/>
      <c r="J394" s="581"/>
      <c r="K394" s="581"/>
      <c r="L394" s="581"/>
      <c r="M394" s="581"/>
      <c r="N394" s="581"/>
      <c r="O394" s="581"/>
      <c r="P394" s="581"/>
      <c r="Q394" s="581"/>
      <c r="R394" s="581"/>
      <c r="S394" s="581"/>
      <c r="T394" s="581"/>
      <c r="U394" s="581"/>
      <c r="V394" s="581"/>
      <c r="W394" s="581"/>
      <c r="X394" s="581"/>
      <c r="Y394" s="581"/>
    </row>
    <row r="395">
      <c r="A395" s="581"/>
      <c r="B395" s="581"/>
      <c r="C395" s="581"/>
      <c r="D395" s="581"/>
      <c r="E395" s="581"/>
      <c r="F395" s="581"/>
      <c r="G395" s="581"/>
      <c r="H395" s="581"/>
      <c r="I395" s="581"/>
      <c r="J395" s="581"/>
      <c r="K395" s="581"/>
      <c r="L395" s="581"/>
      <c r="M395" s="581"/>
      <c r="N395" s="581"/>
      <c r="O395" s="581"/>
      <c r="P395" s="581"/>
      <c r="Q395" s="581"/>
      <c r="R395" s="581"/>
      <c r="S395" s="581"/>
      <c r="T395" s="581"/>
      <c r="U395" s="581"/>
      <c r="V395" s="581"/>
      <c r="W395" s="581"/>
      <c r="X395" s="581"/>
      <c r="Y395" s="581"/>
    </row>
    <row r="396">
      <c r="A396" s="581"/>
      <c r="B396" s="581"/>
      <c r="C396" s="581"/>
      <c r="D396" s="581"/>
      <c r="E396" s="581"/>
      <c r="F396" s="581"/>
      <c r="G396" s="581"/>
      <c r="H396" s="581"/>
      <c r="I396" s="581"/>
      <c r="J396" s="581"/>
      <c r="K396" s="581"/>
      <c r="L396" s="581"/>
      <c r="M396" s="581"/>
      <c r="N396" s="581"/>
      <c r="O396" s="581"/>
      <c r="P396" s="581"/>
      <c r="Q396" s="581"/>
      <c r="R396" s="581"/>
      <c r="S396" s="581"/>
      <c r="T396" s="581"/>
      <c r="U396" s="581"/>
      <c r="V396" s="581"/>
      <c r="W396" s="581"/>
      <c r="X396" s="581"/>
      <c r="Y396" s="581"/>
    </row>
    <row r="397">
      <c r="A397" s="581"/>
      <c r="B397" s="581"/>
      <c r="C397" s="581"/>
      <c r="D397" s="581"/>
      <c r="E397" s="581"/>
      <c r="F397" s="581"/>
      <c r="G397" s="581"/>
      <c r="H397" s="581"/>
      <c r="I397" s="581"/>
      <c r="J397" s="581"/>
      <c r="K397" s="581"/>
      <c r="L397" s="581"/>
      <c r="M397" s="581"/>
      <c r="N397" s="581"/>
      <c r="O397" s="581"/>
      <c r="P397" s="581"/>
      <c r="Q397" s="581"/>
      <c r="R397" s="581"/>
      <c r="S397" s="581"/>
      <c r="T397" s="581"/>
      <c r="U397" s="581"/>
      <c r="V397" s="581"/>
      <c r="W397" s="581"/>
      <c r="X397" s="581"/>
      <c r="Y397" s="581"/>
    </row>
    <row r="398">
      <c r="A398" s="581"/>
      <c r="B398" s="581"/>
      <c r="C398" s="581"/>
      <c r="D398" s="581"/>
      <c r="E398" s="581"/>
      <c r="F398" s="581"/>
      <c r="G398" s="581"/>
      <c r="H398" s="581"/>
      <c r="I398" s="581"/>
      <c r="J398" s="581"/>
      <c r="K398" s="581"/>
      <c r="L398" s="581"/>
      <c r="M398" s="581"/>
      <c r="N398" s="581"/>
      <c r="O398" s="581"/>
      <c r="P398" s="581"/>
      <c r="Q398" s="581"/>
      <c r="R398" s="581"/>
      <c r="S398" s="581"/>
      <c r="T398" s="581"/>
      <c r="U398" s="581"/>
      <c r="V398" s="581"/>
      <c r="W398" s="581"/>
      <c r="X398" s="581"/>
      <c r="Y398" s="581"/>
    </row>
    <row r="399">
      <c r="A399" s="581"/>
      <c r="B399" s="581"/>
      <c r="C399" s="581"/>
      <c r="D399" s="581"/>
      <c r="E399" s="581"/>
      <c r="F399" s="581"/>
      <c r="G399" s="581"/>
      <c r="H399" s="581"/>
      <c r="I399" s="581"/>
      <c r="J399" s="581"/>
      <c r="K399" s="581"/>
      <c r="L399" s="581"/>
      <c r="M399" s="581"/>
      <c r="N399" s="581"/>
      <c r="O399" s="581"/>
      <c r="P399" s="581"/>
      <c r="Q399" s="581"/>
      <c r="R399" s="581"/>
      <c r="S399" s="581"/>
      <c r="T399" s="581"/>
      <c r="U399" s="581"/>
      <c r="V399" s="581"/>
      <c r="W399" s="581"/>
      <c r="X399" s="581"/>
      <c r="Y399" s="581"/>
    </row>
    <row r="400">
      <c r="A400" s="581"/>
      <c r="B400" s="581"/>
      <c r="C400" s="581"/>
      <c r="D400" s="581"/>
      <c r="E400" s="581"/>
      <c r="F400" s="581"/>
      <c r="G400" s="581"/>
      <c r="H400" s="581"/>
      <c r="I400" s="581"/>
      <c r="J400" s="581"/>
      <c r="K400" s="581"/>
      <c r="L400" s="581"/>
      <c r="M400" s="581"/>
      <c r="N400" s="581"/>
      <c r="O400" s="581"/>
      <c r="P400" s="581"/>
      <c r="Q400" s="581"/>
      <c r="R400" s="581"/>
      <c r="S400" s="581"/>
      <c r="T400" s="581"/>
      <c r="U400" s="581"/>
      <c r="V400" s="581"/>
      <c r="W400" s="581"/>
      <c r="X400" s="581"/>
      <c r="Y400" s="581"/>
    </row>
    <row r="401">
      <c r="A401" s="581"/>
      <c r="B401" s="581"/>
      <c r="C401" s="581"/>
      <c r="D401" s="581"/>
      <c r="E401" s="581"/>
      <c r="F401" s="581"/>
      <c r="G401" s="581"/>
      <c r="H401" s="581"/>
      <c r="I401" s="581"/>
      <c r="J401" s="581"/>
      <c r="K401" s="581"/>
      <c r="L401" s="581"/>
      <c r="M401" s="581"/>
      <c r="N401" s="581"/>
      <c r="O401" s="581"/>
      <c r="P401" s="581"/>
      <c r="Q401" s="581"/>
      <c r="R401" s="581"/>
      <c r="S401" s="581"/>
      <c r="T401" s="581"/>
      <c r="U401" s="581"/>
      <c r="V401" s="581"/>
      <c r="W401" s="581"/>
      <c r="X401" s="581"/>
      <c r="Y401" s="581"/>
    </row>
    <row r="402">
      <c r="A402" s="581"/>
      <c r="B402" s="581"/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1"/>
      <c r="N402" s="581"/>
      <c r="O402" s="581"/>
      <c r="P402" s="581"/>
      <c r="Q402" s="581"/>
      <c r="R402" s="581"/>
      <c r="S402" s="581"/>
      <c r="T402" s="581"/>
      <c r="U402" s="581"/>
      <c r="V402" s="581"/>
      <c r="W402" s="581"/>
      <c r="X402" s="581"/>
      <c r="Y402" s="581"/>
    </row>
    <row r="403">
      <c r="A403" s="581"/>
      <c r="B403" s="581"/>
      <c r="C403" s="581"/>
      <c r="D403" s="581"/>
      <c r="E403" s="581"/>
      <c r="F403" s="581"/>
      <c r="G403" s="581"/>
      <c r="H403" s="581"/>
      <c r="I403" s="581"/>
      <c r="J403" s="581"/>
      <c r="K403" s="581"/>
      <c r="L403" s="581"/>
      <c r="M403" s="581"/>
      <c r="N403" s="581"/>
      <c r="O403" s="581"/>
      <c r="P403" s="581"/>
      <c r="Q403" s="581"/>
      <c r="R403" s="581"/>
      <c r="S403" s="581"/>
      <c r="T403" s="581"/>
      <c r="U403" s="581"/>
      <c r="V403" s="581"/>
      <c r="W403" s="581"/>
      <c r="X403" s="581"/>
      <c r="Y403" s="581"/>
    </row>
    <row r="404">
      <c r="A404" s="581"/>
      <c r="B404" s="581"/>
      <c r="C404" s="581"/>
      <c r="D404" s="581"/>
      <c r="E404" s="581"/>
      <c r="F404" s="581"/>
      <c r="G404" s="581"/>
      <c r="H404" s="581"/>
      <c r="I404" s="581"/>
      <c r="J404" s="581"/>
      <c r="K404" s="581"/>
      <c r="L404" s="581"/>
      <c r="M404" s="581"/>
      <c r="N404" s="581"/>
      <c r="O404" s="581"/>
      <c r="P404" s="581"/>
      <c r="Q404" s="581"/>
      <c r="R404" s="581"/>
      <c r="S404" s="581"/>
      <c r="T404" s="581"/>
      <c r="U404" s="581"/>
      <c r="V404" s="581"/>
      <c r="W404" s="581"/>
      <c r="X404" s="581"/>
      <c r="Y404" s="581"/>
    </row>
    <row r="405">
      <c r="A405" s="581"/>
      <c r="B405" s="581"/>
      <c r="C405" s="581"/>
      <c r="D405" s="581"/>
      <c r="E405" s="581"/>
      <c r="F405" s="581"/>
      <c r="G405" s="581"/>
      <c r="H405" s="581"/>
      <c r="I405" s="581"/>
      <c r="J405" s="581"/>
      <c r="K405" s="581"/>
      <c r="L405" s="581"/>
      <c r="M405" s="581"/>
      <c r="N405" s="581"/>
      <c r="O405" s="581"/>
      <c r="P405" s="581"/>
      <c r="Q405" s="581"/>
      <c r="R405" s="581"/>
      <c r="S405" s="581"/>
      <c r="T405" s="581"/>
      <c r="U405" s="581"/>
      <c r="V405" s="581"/>
      <c r="W405" s="581"/>
      <c r="X405" s="581"/>
      <c r="Y405" s="581"/>
    </row>
    <row r="406">
      <c r="A406" s="581"/>
      <c r="B406" s="581"/>
      <c r="C406" s="581"/>
      <c r="D406" s="581"/>
      <c r="E406" s="581"/>
      <c r="F406" s="581"/>
      <c r="G406" s="581"/>
      <c r="H406" s="581"/>
      <c r="I406" s="581"/>
      <c r="J406" s="581"/>
      <c r="K406" s="581"/>
      <c r="L406" s="581"/>
      <c r="M406" s="581"/>
      <c r="N406" s="581"/>
      <c r="O406" s="581"/>
      <c r="P406" s="581"/>
      <c r="Q406" s="581"/>
      <c r="R406" s="581"/>
      <c r="S406" s="581"/>
      <c r="T406" s="581"/>
      <c r="U406" s="581"/>
      <c r="V406" s="581"/>
      <c r="W406" s="581"/>
      <c r="X406" s="581"/>
      <c r="Y406" s="581"/>
    </row>
    <row r="407">
      <c r="A407" s="581"/>
      <c r="B407" s="581"/>
      <c r="C407" s="581"/>
      <c r="D407" s="581"/>
      <c r="E407" s="581"/>
      <c r="F407" s="581"/>
      <c r="G407" s="581"/>
      <c r="H407" s="581"/>
      <c r="I407" s="581"/>
      <c r="J407" s="581"/>
      <c r="K407" s="581"/>
      <c r="L407" s="581"/>
      <c r="M407" s="581"/>
      <c r="N407" s="581"/>
      <c r="O407" s="581"/>
      <c r="P407" s="581"/>
      <c r="Q407" s="581"/>
      <c r="R407" s="581"/>
      <c r="S407" s="581"/>
      <c r="T407" s="581"/>
      <c r="U407" s="581"/>
      <c r="V407" s="581"/>
      <c r="W407" s="581"/>
      <c r="X407" s="581"/>
      <c r="Y407" s="581"/>
    </row>
    <row r="408">
      <c r="A408" s="581"/>
      <c r="B408" s="581"/>
      <c r="C408" s="581"/>
      <c r="D408" s="581"/>
      <c r="E408" s="581"/>
      <c r="F408" s="581"/>
      <c r="G408" s="581"/>
      <c r="H408" s="581"/>
      <c r="I408" s="581"/>
      <c r="J408" s="581"/>
      <c r="K408" s="581"/>
      <c r="L408" s="581"/>
      <c r="M408" s="581"/>
      <c r="N408" s="581"/>
      <c r="O408" s="581"/>
      <c r="P408" s="581"/>
      <c r="Q408" s="581"/>
      <c r="R408" s="581"/>
      <c r="S408" s="581"/>
      <c r="T408" s="581"/>
      <c r="U408" s="581"/>
      <c r="V408" s="581"/>
      <c r="W408" s="581"/>
      <c r="X408" s="581"/>
      <c r="Y408" s="581"/>
    </row>
    <row r="409">
      <c r="A409" s="581"/>
      <c r="B409" s="581"/>
      <c r="C409" s="581"/>
      <c r="D409" s="581"/>
      <c r="E409" s="581"/>
      <c r="F409" s="581"/>
      <c r="G409" s="581"/>
      <c r="H409" s="581"/>
      <c r="I409" s="581"/>
      <c r="J409" s="581"/>
      <c r="K409" s="581"/>
      <c r="L409" s="581"/>
      <c r="M409" s="581"/>
      <c r="N409" s="581"/>
      <c r="O409" s="581"/>
      <c r="P409" s="581"/>
      <c r="Q409" s="581"/>
      <c r="R409" s="581"/>
      <c r="S409" s="581"/>
      <c r="T409" s="581"/>
      <c r="U409" s="581"/>
      <c r="V409" s="581"/>
      <c r="W409" s="581"/>
      <c r="X409" s="581"/>
      <c r="Y409" s="581"/>
    </row>
    <row r="410">
      <c r="A410" s="581"/>
      <c r="B410" s="581"/>
      <c r="C410" s="581"/>
      <c r="D410" s="581"/>
      <c r="E410" s="581"/>
      <c r="F410" s="581"/>
      <c r="G410" s="581"/>
      <c r="H410" s="581"/>
      <c r="I410" s="581"/>
      <c r="J410" s="581"/>
      <c r="K410" s="581"/>
      <c r="L410" s="581"/>
      <c r="M410" s="581"/>
      <c r="N410" s="581"/>
      <c r="O410" s="581"/>
      <c r="P410" s="581"/>
      <c r="Q410" s="581"/>
      <c r="R410" s="581"/>
      <c r="S410" s="581"/>
      <c r="T410" s="581"/>
      <c r="U410" s="581"/>
      <c r="V410" s="581"/>
      <c r="W410" s="581"/>
      <c r="X410" s="581"/>
      <c r="Y410" s="581"/>
    </row>
    <row r="411">
      <c r="A411" s="581"/>
      <c r="B411" s="581"/>
      <c r="C411" s="581"/>
      <c r="D411" s="581"/>
      <c r="E411" s="581"/>
      <c r="F411" s="581"/>
      <c r="G411" s="581"/>
      <c r="H411" s="581"/>
      <c r="I411" s="581"/>
      <c r="J411" s="581"/>
      <c r="K411" s="581"/>
      <c r="L411" s="581"/>
      <c r="M411" s="581"/>
      <c r="N411" s="581"/>
      <c r="O411" s="581"/>
      <c r="P411" s="581"/>
      <c r="Q411" s="581"/>
      <c r="R411" s="581"/>
      <c r="S411" s="581"/>
      <c r="T411" s="581"/>
      <c r="U411" s="581"/>
      <c r="V411" s="581"/>
      <c r="W411" s="581"/>
      <c r="X411" s="581"/>
      <c r="Y411" s="581"/>
    </row>
    <row r="412">
      <c r="A412" s="581"/>
      <c r="B412" s="581"/>
      <c r="C412" s="581"/>
      <c r="D412" s="581"/>
      <c r="E412" s="581"/>
      <c r="F412" s="581"/>
      <c r="G412" s="581"/>
      <c r="H412" s="581"/>
      <c r="I412" s="581"/>
      <c r="J412" s="581"/>
      <c r="K412" s="581"/>
      <c r="L412" s="581"/>
      <c r="M412" s="581"/>
      <c r="N412" s="581"/>
      <c r="O412" s="581"/>
      <c r="P412" s="581"/>
      <c r="Q412" s="581"/>
      <c r="R412" s="581"/>
      <c r="S412" s="581"/>
      <c r="T412" s="581"/>
      <c r="U412" s="581"/>
      <c r="V412" s="581"/>
      <c r="W412" s="581"/>
      <c r="X412" s="581"/>
      <c r="Y412" s="581"/>
    </row>
    <row r="413">
      <c r="A413" s="581"/>
      <c r="B413" s="581"/>
      <c r="C413" s="581"/>
      <c r="D413" s="581"/>
      <c r="E413" s="581"/>
      <c r="F413" s="581"/>
      <c r="G413" s="581"/>
      <c r="H413" s="581"/>
      <c r="I413" s="581"/>
      <c r="J413" s="581"/>
      <c r="K413" s="581"/>
      <c r="L413" s="581"/>
      <c r="M413" s="581"/>
      <c r="N413" s="581"/>
      <c r="O413" s="581"/>
      <c r="P413" s="581"/>
      <c r="Q413" s="581"/>
      <c r="R413" s="581"/>
      <c r="S413" s="581"/>
      <c r="T413" s="581"/>
      <c r="U413" s="581"/>
      <c r="V413" s="581"/>
      <c r="W413" s="581"/>
      <c r="X413" s="581"/>
      <c r="Y413" s="581"/>
    </row>
    <row r="414">
      <c r="A414" s="581"/>
      <c r="B414" s="581"/>
      <c r="C414" s="581"/>
      <c r="D414" s="581"/>
      <c r="E414" s="581"/>
      <c r="F414" s="581"/>
      <c r="G414" s="581"/>
      <c r="H414" s="581"/>
      <c r="I414" s="581"/>
      <c r="J414" s="581"/>
      <c r="K414" s="581"/>
      <c r="L414" s="581"/>
      <c r="M414" s="581"/>
      <c r="N414" s="581"/>
      <c r="O414" s="581"/>
      <c r="P414" s="581"/>
      <c r="Q414" s="581"/>
      <c r="R414" s="581"/>
      <c r="S414" s="581"/>
      <c r="T414" s="581"/>
      <c r="U414" s="581"/>
      <c r="V414" s="581"/>
      <c r="W414" s="581"/>
      <c r="X414" s="581"/>
      <c r="Y414" s="581"/>
    </row>
    <row r="415">
      <c r="A415" s="581"/>
      <c r="B415" s="581"/>
      <c r="C415" s="581"/>
      <c r="D415" s="581"/>
      <c r="E415" s="581"/>
      <c r="F415" s="581"/>
      <c r="G415" s="581"/>
      <c r="H415" s="581"/>
      <c r="I415" s="581"/>
      <c r="J415" s="581"/>
      <c r="K415" s="581"/>
      <c r="L415" s="581"/>
      <c r="M415" s="581"/>
      <c r="N415" s="581"/>
      <c r="O415" s="581"/>
      <c r="P415" s="581"/>
      <c r="Q415" s="581"/>
      <c r="R415" s="581"/>
      <c r="S415" s="581"/>
      <c r="T415" s="581"/>
      <c r="U415" s="581"/>
      <c r="V415" s="581"/>
      <c r="W415" s="581"/>
      <c r="X415" s="581"/>
      <c r="Y415" s="581"/>
    </row>
    <row r="416">
      <c r="A416" s="581"/>
      <c r="B416" s="581"/>
      <c r="C416" s="581"/>
      <c r="D416" s="581"/>
      <c r="E416" s="581"/>
      <c r="F416" s="581"/>
      <c r="G416" s="581"/>
      <c r="H416" s="581"/>
      <c r="I416" s="581"/>
      <c r="J416" s="581"/>
      <c r="K416" s="581"/>
      <c r="L416" s="581"/>
      <c r="M416" s="581"/>
      <c r="N416" s="581"/>
      <c r="O416" s="581"/>
      <c r="P416" s="581"/>
      <c r="Q416" s="581"/>
      <c r="R416" s="581"/>
      <c r="S416" s="581"/>
      <c r="T416" s="581"/>
      <c r="U416" s="581"/>
      <c r="V416" s="581"/>
      <c r="W416" s="581"/>
      <c r="X416" s="581"/>
      <c r="Y416" s="581"/>
    </row>
    <row r="417">
      <c r="A417" s="581"/>
      <c r="B417" s="581"/>
      <c r="C417" s="581"/>
      <c r="D417" s="581"/>
      <c r="E417" s="581"/>
      <c r="F417" s="581"/>
      <c r="G417" s="581"/>
      <c r="H417" s="581"/>
      <c r="I417" s="581"/>
      <c r="J417" s="581"/>
      <c r="K417" s="581"/>
      <c r="L417" s="581"/>
      <c r="M417" s="581"/>
      <c r="N417" s="581"/>
      <c r="O417" s="581"/>
      <c r="P417" s="581"/>
      <c r="Q417" s="581"/>
      <c r="R417" s="581"/>
      <c r="S417" s="581"/>
      <c r="T417" s="581"/>
      <c r="U417" s="581"/>
      <c r="V417" s="581"/>
      <c r="W417" s="581"/>
      <c r="X417" s="581"/>
      <c r="Y417" s="581"/>
    </row>
    <row r="418">
      <c r="A418" s="581"/>
      <c r="B418" s="581"/>
      <c r="C418" s="581"/>
      <c r="D418" s="581"/>
      <c r="E418" s="581"/>
      <c r="F418" s="581"/>
      <c r="G418" s="581"/>
      <c r="H418" s="581"/>
      <c r="I418" s="581"/>
      <c r="J418" s="581"/>
      <c r="K418" s="581"/>
      <c r="L418" s="581"/>
      <c r="M418" s="581"/>
      <c r="N418" s="581"/>
      <c r="O418" s="581"/>
      <c r="P418" s="581"/>
      <c r="Q418" s="581"/>
      <c r="R418" s="581"/>
      <c r="S418" s="581"/>
      <c r="T418" s="581"/>
      <c r="U418" s="581"/>
      <c r="V418" s="581"/>
      <c r="W418" s="581"/>
      <c r="X418" s="581"/>
      <c r="Y418" s="581"/>
    </row>
    <row r="419">
      <c r="A419" s="581"/>
      <c r="B419" s="581"/>
      <c r="C419" s="581"/>
      <c r="D419" s="581"/>
      <c r="E419" s="581"/>
      <c r="F419" s="581"/>
      <c r="G419" s="581"/>
      <c r="H419" s="581"/>
      <c r="I419" s="581"/>
      <c r="J419" s="581"/>
      <c r="K419" s="581"/>
      <c r="L419" s="581"/>
      <c r="M419" s="581"/>
      <c r="N419" s="581"/>
      <c r="O419" s="581"/>
      <c r="P419" s="581"/>
      <c r="Q419" s="581"/>
      <c r="R419" s="581"/>
      <c r="S419" s="581"/>
      <c r="T419" s="581"/>
      <c r="U419" s="581"/>
      <c r="V419" s="581"/>
      <c r="W419" s="581"/>
      <c r="X419" s="581"/>
      <c r="Y419" s="581"/>
    </row>
    <row r="420">
      <c r="A420" s="581"/>
      <c r="B420" s="581"/>
      <c r="C420" s="581"/>
      <c r="D420" s="581"/>
      <c r="E420" s="581"/>
      <c r="F420" s="581"/>
      <c r="G420" s="581"/>
      <c r="H420" s="581"/>
      <c r="I420" s="581"/>
      <c r="J420" s="581"/>
      <c r="K420" s="581"/>
      <c r="L420" s="581"/>
      <c r="M420" s="581"/>
      <c r="N420" s="581"/>
      <c r="O420" s="581"/>
      <c r="P420" s="581"/>
      <c r="Q420" s="581"/>
      <c r="R420" s="581"/>
      <c r="S420" s="581"/>
      <c r="T420" s="581"/>
      <c r="U420" s="581"/>
      <c r="V420" s="581"/>
      <c r="W420" s="581"/>
      <c r="X420" s="581"/>
      <c r="Y420" s="581"/>
    </row>
    <row r="421">
      <c r="A421" s="581"/>
      <c r="B421" s="581"/>
      <c r="C421" s="581"/>
      <c r="D421" s="581"/>
      <c r="E421" s="581"/>
      <c r="F421" s="581"/>
      <c r="G421" s="581"/>
      <c r="H421" s="581"/>
      <c r="I421" s="581"/>
      <c r="J421" s="581"/>
      <c r="K421" s="581"/>
      <c r="L421" s="581"/>
      <c r="M421" s="581"/>
      <c r="N421" s="581"/>
      <c r="O421" s="581"/>
      <c r="P421" s="581"/>
      <c r="Q421" s="581"/>
      <c r="R421" s="581"/>
      <c r="S421" s="581"/>
      <c r="T421" s="581"/>
      <c r="U421" s="581"/>
      <c r="V421" s="581"/>
      <c r="W421" s="581"/>
      <c r="X421" s="581"/>
      <c r="Y421" s="581"/>
    </row>
    <row r="422">
      <c r="A422" s="581"/>
      <c r="B422" s="581"/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1"/>
      <c r="N422" s="581"/>
      <c r="O422" s="581"/>
      <c r="P422" s="581"/>
      <c r="Q422" s="581"/>
      <c r="R422" s="581"/>
      <c r="S422" s="581"/>
      <c r="T422" s="581"/>
      <c r="U422" s="581"/>
      <c r="V422" s="581"/>
      <c r="W422" s="581"/>
      <c r="X422" s="581"/>
      <c r="Y422" s="581"/>
    </row>
    <row r="423">
      <c r="A423" s="581"/>
      <c r="B423" s="581"/>
      <c r="C423" s="581"/>
      <c r="D423" s="581"/>
      <c r="E423" s="581"/>
      <c r="F423" s="581"/>
      <c r="G423" s="581"/>
      <c r="H423" s="581"/>
      <c r="I423" s="581"/>
      <c r="J423" s="581"/>
      <c r="K423" s="581"/>
      <c r="L423" s="581"/>
      <c r="M423" s="581"/>
      <c r="N423" s="581"/>
      <c r="O423" s="581"/>
      <c r="P423" s="581"/>
      <c r="Q423" s="581"/>
      <c r="R423" s="581"/>
      <c r="S423" s="581"/>
      <c r="T423" s="581"/>
      <c r="U423" s="581"/>
      <c r="V423" s="581"/>
      <c r="W423" s="581"/>
      <c r="X423" s="581"/>
      <c r="Y423" s="581"/>
    </row>
    <row r="424">
      <c r="A424" s="581"/>
      <c r="B424" s="581"/>
      <c r="C424" s="581"/>
      <c r="D424" s="581"/>
      <c r="E424" s="581"/>
      <c r="F424" s="581"/>
      <c r="G424" s="581"/>
      <c r="H424" s="581"/>
      <c r="I424" s="581"/>
      <c r="J424" s="581"/>
      <c r="K424" s="581"/>
      <c r="L424" s="581"/>
      <c r="M424" s="581"/>
      <c r="N424" s="581"/>
      <c r="O424" s="581"/>
      <c r="P424" s="581"/>
      <c r="Q424" s="581"/>
      <c r="R424" s="581"/>
      <c r="S424" s="581"/>
      <c r="T424" s="581"/>
      <c r="U424" s="581"/>
      <c r="V424" s="581"/>
      <c r="W424" s="581"/>
      <c r="X424" s="581"/>
      <c r="Y424" s="581"/>
    </row>
    <row r="425">
      <c r="A425" s="581"/>
      <c r="B425" s="581"/>
      <c r="C425" s="581"/>
      <c r="D425" s="581"/>
      <c r="E425" s="581"/>
      <c r="F425" s="581"/>
      <c r="G425" s="581"/>
      <c r="H425" s="581"/>
      <c r="I425" s="581"/>
      <c r="J425" s="581"/>
      <c r="K425" s="581"/>
      <c r="L425" s="581"/>
      <c r="M425" s="581"/>
      <c r="N425" s="581"/>
      <c r="O425" s="581"/>
      <c r="P425" s="581"/>
      <c r="Q425" s="581"/>
      <c r="R425" s="581"/>
      <c r="S425" s="581"/>
      <c r="T425" s="581"/>
      <c r="U425" s="581"/>
      <c r="V425" s="581"/>
      <c r="W425" s="581"/>
      <c r="X425" s="581"/>
      <c r="Y425" s="581"/>
    </row>
    <row r="426">
      <c r="A426" s="581"/>
      <c r="B426" s="581"/>
      <c r="C426" s="581"/>
      <c r="D426" s="581"/>
      <c r="E426" s="581"/>
      <c r="F426" s="581"/>
      <c r="G426" s="581"/>
      <c r="H426" s="581"/>
      <c r="I426" s="581"/>
      <c r="J426" s="581"/>
      <c r="K426" s="581"/>
      <c r="L426" s="581"/>
      <c r="M426" s="581"/>
      <c r="N426" s="581"/>
      <c r="O426" s="581"/>
      <c r="P426" s="581"/>
      <c r="Q426" s="581"/>
      <c r="R426" s="581"/>
      <c r="S426" s="581"/>
      <c r="T426" s="581"/>
      <c r="U426" s="581"/>
      <c r="V426" s="581"/>
      <c r="W426" s="581"/>
      <c r="X426" s="581"/>
      <c r="Y426" s="581"/>
    </row>
    <row r="427">
      <c r="A427" s="581"/>
      <c r="B427" s="581"/>
      <c r="C427" s="581"/>
      <c r="D427" s="581"/>
      <c r="E427" s="581"/>
      <c r="F427" s="581"/>
      <c r="G427" s="581"/>
      <c r="H427" s="581"/>
      <c r="I427" s="581"/>
      <c r="J427" s="581"/>
      <c r="K427" s="581"/>
      <c r="L427" s="581"/>
      <c r="M427" s="581"/>
      <c r="N427" s="581"/>
      <c r="O427" s="581"/>
      <c r="P427" s="581"/>
      <c r="Q427" s="581"/>
      <c r="R427" s="581"/>
      <c r="S427" s="581"/>
      <c r="T427" s="581"/>
      <c r="U427" s="581"/>
      <c r="V427" s="581"/>
      <c r="W427" s="581"/>
      <c r="X427" s="581"/>
      <c r="Y427" s="581"/>
    </row>
    <row r="428">
      <c r="A428" s="581"/>
      <c r="B428" s="581"/>
      <c r="C428" s="581"/>
      <c r="D428" s="581"/>
      <c r="E428" s="581"/>
      <c r="F428" s="581"/>
      <c r="G428" s="581"/>
      <c r="H428" s="581"/>
      <c r="I428" s="581"/>
      <c r="J428" s="581"/>
      <c r="K428" s="581"/>
      <c r="L428" s="581"/>
      <c r="M428" s="581"/>
      <c r="N428" s="581"/>
      <c r="O428" s="581"/>
      <c r="P428" s="581"/>
      <c r="Q428" s="581"/>
      <c r="R428" s="581"/>
      <c r="S428" s="581"/>
      <c r="T428" s="581"/>
      <c r="U428" s="581"/>
      <c r="V428" s="581"/>
      <c r="W428" s="581"/>
      <c r="X428" s="581"/>
      <c r="Y428" s="581"/>
    </row>
    <row r="429">
      <c r="A429" s="581"/>
      <c r="B429" s="581"/>
      <c r="C429" s="581"/>
      <c r="D429" s="581"/>
      <c r="E429" s="581"/>
      <c r="F429" s="581"/>
      <c r="G429" s="581"/>
      <c r="H429" s="581"/>
      <c r="I429" s="581"/>
      <c r="J429" s="581"/>
      <c r="K429" s="581"/>
      <c r="L429" s="581"/>
      <c r="M429" s="581"/>
      <c r="N429" s="581"/>
      <c r="O429" s="581"/>
      <c r="P429" s="581"/>
      <c r="Q429" s="581"/>
      <c r="R429" s="581"/>
      <c r="S429" s="581"/>
      <c r="T429" s="581"/>
      <c r="U429" s="581"/>
      <c r="V429" s="581"/>
      <c r="W429" s="581"/>
      <c r="X429" s="581"/>
      <c r="Y429" s="581"/>
    </row>
    <row r="430">
      <c r="A430" s="581"/>
      <c r="B430" s="581"/>
      <c r="C430" s="581"/>
      <c r="D430" s="581"/>
      <c r="E430" s="581"/>
      <c r="F430" s="581"/>
      <c r="G430" s="581"/>
      <c r="H430" s="581"/>
      <c r="I430" s="581"/>
      <c r="J430" s="581"/>
      <c r="K430" s="581"/>
      <c r="L430" s="581"/>
      <c r="M430" s="581"/>
      <c r="N430" s="581"/>
      <c r="O430" s="581"/>
      <c r="P430" s="581"/>
      <c r="Q430" s="581"/>
      <c r="R430" s="581"/>
      <c r="S430" s="581"/>
      <c r="T430" s="581"/>
      <c r="U430" s="581"/>
      <c r="V430" s="581"/>
      <c r="W430" s="581"/>
      <c r="X430" s="581"/>
      <c r="Y430" s="581"/>
    </row>
    <row r="431">
      <c r="A431" s="581"/>
      <c r="B431" s="581"/>
      <c r="C431" s="581"/>
      <c r="D431" s="581"/>
      <c r="E431" s="581"/>
      <c r="F431" s="581"/>
      <c r="G431" s="581"/>
      <c r="H431" s="581"/>
      <c r="I431" s="581"/>
      <c r="J431" s="581"/>
      <c r="K431" s="581"/>
      <c r="L431" s="581"/>
      <c r="M431" s="581"/>
      <c r="N431" s="581"/>
      <c r="O431" s="581"/>
      <c r="P431" s="581"/>
      <c r="Q431" s="581"/>
      <c r="R431" s="581"/>
      <c r="S431" s="581"/>
      <c r="T431" s="581"/>
      <c r="U431" s="581"/>
      <c r="V431" s="581"/>
      <c r="W431" s="581"/>
      <c r="X431" s="581"/>
      <c r="Y431" s="581"/>
    </row>
    <row r="432">
      <c r="A432" s="581"/>
      <c r="B432" s="581"/>
      <c r="C432" s="581"/>
      <c r="D432" s="581"/>
      <c r="E432" s="581"/>
      <c r="F432" s="581"/>
      <c r="G432" s="581"/>
      <c r="H432" s="581"/>
      <c r="I432" s="581"/>
      <c r="J432" s="581"/>
      <c r="K432" s="581"/>
      <c r="L432" s="581"/>
      <c r="M432" s="581"/>
      <c r="N432" s="581"/>
      <c r="O432" s="581"/>
      <c r="P432" s="581"/>
      <c r="Q432" s="581"/>
      <c r="R432" s="581"/>
      <c r="S432" s="581"/>
      <c r="T432" s="581"/>
      <c r="U432" s="581"/>
      <c r="V432" s="581"/>
      <c r="W432" s="581"/>
      <c r="X432" s="581"/>
      <c r="Y432" s="581"/>
    </row>
    <row r="433">
      <c r="A433" s="581"/>
      <c r="B433" s="581"/>
      <c r="C433" s="581"/>
      <c r="D433" s="581"/>
      <c r="E433" s="581"/>
      <c r="F433" s="581"/>
      <c r="G433" s="581"/>
      <c r="H433" s="581"/>
      <c r="I433" s="581"/>
      <c r="J433" s="581"/>
      <c r="K433" s="581"/>
      <c r="L433" s="581"/>
      <c r="M433" s="581"/>
      <c r="N433" s="581"/>
      <c r="O433" s="581"/>
      <c r="P433" s="581"/>
      <c r="Q433" s="581"/>
      <c r="R433" s="581"/>
      <c r="S433" s="581"/>
      <c r="T433" s="581"/>
      <c r="U433" s="581"/>
      <c r="V433" s="581"/>
      <c r="W433" s="581"/>
      <c r="X433" s="581"/>
      <c r="Y433" s="581"/>
    </row>
    <row r="434">
      <c r="A434" s="581"/>
      <c r="B434" s="581"/>
      <c r="C434" s="581"/>
      <c r="D434" s="581"/>
      <c r="E434" s="581"/>
      <c r="F434" s="581"/>
      <c r="G434" s="581"/>
      <c r="H434" s="581"/>
      <c r="I434" s="581"/>
      <c r="J434" s="581"/>
      <c r="K434" s="581"/>
      <c r="L434" s="581"/>
      <c r="M434" s="581"/>
      <c r="N434" s="581"/>
      <c r="O434" s="581"/>
      <c r="P434" s="581"/>
      <c r="Q434" s="581"/>
      <c r="R434" s="581"/>
      <c r="S434" s="581"/>
      <c r="T434" s="581"/>
      <c r="U434" s="581"/>
      <c r="V434" s="581"/>
      <c r="W434" s="581"/>
      <c r="X434" s="581"/>
      <c r="Y434" s="581"/>
    </row>
    <row r="435">
      <c r="A435" s="581"/>
      <c r="B435" s="581"/>
      <c r="C435" s="581"/>
      <c r="D435" s="581"/>
      <c r="E435" s="581"/>
      <c r="F435" s="581"/>
      <c r="G435" s="581"/>
      <c r="H435" s="581"/>
      <c r="I435" s="581"/>
      <c r="J435" s="581"/>
      <c r="K435" s="581"/>
      <c r="L435" s="581"/>
      <c r="M435" s="581"/>
      <c r="N435" s="581"/>
      <c r="O435" s="581"/>
      <c r="P435" s="581"/>
      <c r="Q435" s="581"/>
      <c r="R435" s="581"/>
      <c r="S435" s="581"/>
      <c r="T435" s="581"/>
      <c r="U435" s="581"/>
      <c r="V435" s="581"/>
      <c r="W435" s="581"/>
      <c r="X435" s="581"/>
      <c r="Y435" s="581"/>
    </row>
    <row r="436">
      <c r="A436" s="581"/>
      <c r="B436" s="581"/>
      <c r="C436" s="581"/>
      <c r="D436" s="581"/>
      <c r="E436" s="581"/>
      <c r="F436" s="581"/>
      <c r="G436" s="581"/>
      <c r="H436" s="581"/>
      <c r="I436" s="581"/>
      <c r="J436" s="581"/>
      <c r="K436" s="581"/>
      <c r="L436" s="581"/>
      <c r="M436" s="581"/>
      <c r="N436" s="581"/>
      <c r="O436" s="581"/>
      <c r="P436" s="581"/>
      <c r="Q436" s="581"/>
      <c r="R436" s="581"/>
      <c r="S436" s="581"/>
      <c r="T436" s="581"/>
      <c r="U436" s="581"/>
      <c r="V436" s="581"/>
      <c r="W436" s="581"/>
      <c r="X436" s="581"/>
      <c r="Y436" s="581"/>
    </row>
    <row r="437">
      <c r="A437" s="581"/>
      <c r="B437" s="581"/>
      <c r="C437" s="581"/>
      <c r="D437" s="581"/>
      <c r="E437" s="581"/>
      <c r="F437" s="581"/>
      <c r="G437" s="581"/>
      <c r="H437" s="581"/>
      <c r="I437" s="581"/>
      <c r="J437" s="581"/>
      <c r="K437" s="581"/>
      <c r="L437" s="581"/>
      <c r="M437" s="581"/>
      <c r="N437" s="581"/>
      <c r="O437" s="581"/>
      <c r="P437" s="581"/>
      <c r="Q437" s="581"/>
      <c r="R437" s="581"/>
      <c r="S437" s="581"/>
      <c r="T437" s="581"/>
      <c r="U437" s="581"/>
      <c r="V437" s="581"/>
      <c r="W437" s="581"/>
      <c r="X437" s="581"/>
      <c r="Y437" s="581"/>
    </row>
    <row r="438">
      <c r="A438" s="581"/>
      <c r="B438" s="581"/>
      <c r="C438" s="581"/>
      <c r="D438" s="581"/>
      <c r="E438" s="581"/>
      <c r="F438" s="581"/>
      <c r="G438" s="581"/>
      <c r="H438" s="581"/>
      <c r="I438" s="581"/>
      <c r="J438" s="581"/>
      <c r="K438" s="581"/>
      <c r="L438" s="581"/>
      <c r="M438" s="581"/>
      <c r="N438" s="581"/>
      <c r="O438" s="581"/>
      <c r="P438" s="581"/>
      <c r="Q438" s="581"/>
      <c r="R438" s="581"/>
      <c r="S438" s="581"/>
      <c r="T438" s="581"/>
      <c r="U438" s="581"/>
      <c r="V438" s="581"/>
      <c r="W438" s="581"/>
      <c r="X438" s="581"/>
      <c r="Y438" s="581"/>
    </row>
    <row r="439">
      <c r="A439" s="581"/>
      <c r="B439" s="581"/>
      <c r="C439" s="581"/>
      <c r="D439" s="581"/>
      <c r="E439" s="581"/>
      <c r="F439" s="581"/>
      <c r="G439" s="581"/>
      <c r="H439" s="581"/>
      <c r="I439" s="581"/>
      <c r="J439" s="581"/>
      <c r="K439" s="581"/>
      <c r="L439" s="581"/>
      <c r="M439" s="581"/>
      <c r="N439" s="581"/>
      <c r="O439" s="581"/>
      <c r="P439" s="581"/>
      <c r="Q439" s="581"/>
      <c r="R439" s="581"/>
      <c r="S439" s="581"/>
      <c r="T439" s="581"/>
      <c r="U439" s="581"/>
      <c r="V439" s="581"/>
      <c r="W439" s="581"/>
      <c r="X439" s="581"/>
      <c r="Y439" s="581"/>
    </row>
    <row r="440">
      <c r="A440" s="581"/>
      <c r="B440" s="581"/>
      <c r="C440" s="581"/>
      <c r="D440" s="581"/>
      <c r="E440" s="581"/>
      <c r="F440" s="581"/>
      <c r="G440" s="581"/>
      <c r="H440" s="581"/>
      <c r="I440" s="581"/>
      <c r="J440" s="581"/>
      <c r="K440" s="581"/>
      <c r="L440" s="581"/>
      <c r="M440" s="581"/>
      <c r="N440" s="581"/>
      <c r="O440" s="581"/>
      <c r="P440" s="581"/>
      <c r="Q440" s="581"/>
      <c r="R440" s="581"/>
      <c r="S440" s="581"/>
      <c r="T440" s="581"/>
      <c r="U440" s="581"/>
      <c r="V440" s="581"/>
      <c r="W440" s="581"/>
      <c r="X440" s="581"/>
      <c r="Y440" s="581"/>
    </row>
    <row r="441">
      <c r="A441" s="581"/>
      <c r="B441" s="581"/>
      <c r="C441" s="581"/>
      <c r="D441" s="581"/>
      <c r="E441" s="581"/>
      <c r="F441" s="581"/>
      <c r="G441" s="581"/>
      <c r="H441" s="581"/>
      <c r="I441" s="581"/>
      <c r="J441" s="581"/>
      <c r="K441" s="581"/>
      <c r="L441" s="581"/>
      <c r="M441" s="581"/>
      <c r="N441" s="581"/>
      <c r="O441" s="581"/>
      <c r="P441" s="581"/>
      <c r="Q441" s="581"/>
      <c r="R441" s="581"/>
      <c r="S441" s="581"/>
      <c r="T441" s="581"/>
      <c r="U441" s="581"/>
      <c r="V441" s="581"/>
      <c r="W441" s="581"/>
      <c r="X441" s="581"/>
      <c r="Y441" s="581"/>
    </row>
    <row r="442">
      <c r="A442" s="581"/>
      <c r="B442" s="581"/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1"/>
      <c r="N442" s="581"/>
      <c r="O442" s="581"/>
      <c r="P442" s="581"/>
      <c r="Q442" s="581"/>
      <c r="R442" s="581"/>
      <c r="S442" s="581"/>
      <c r="T442" s="581"/>
      <c r="U442" s="581"/>
      <c r="V442" s="581"/>
      <c r="W442" s="581"/>
      <c r="X442" s="581"/>
      <c r="Y442" s="581"/>
    </row>
    <row r="443">
      <c r="A443" s="581"/>
      <c r="B443" s="581"/>
      <c r="C443" s="581"/>
      <c r="D443" s="581"/>
      <c r="E443" s="581"/>
      <c r="F443" s="581"/>
      <c r="G443" s="581"/>
      <c r="H443" s="581"/>
      <c r="I443" s="581"/>
      <c r="J443" s="581"/>
      <c r="K443" s="581"/>
      <c r="L443" s="581"/>
      <c r="M443" s="581"/>
      <c r="N443" s="581"/>
      <c r="O443" s="581"/>
      <c r="P443" s="581"/>
      <c r="Q443" s="581"/>
      <c r="R443" s="581"/>
      <c r="S443" s="581"/>
      <c r="T443" s="581"/>
      <c r="U443" s="581"/>
      <c r="V443" s="581"/>
      <c r="W443" s="581"/>
      <c r="X443" s="581"/>
      <c r="Y443" s="581"/>
    </row>
    <row r="444">
      <c r="A444" s="581"/>
      <c r="B444" s="581"/>
      <c r="C444" s="581"/>
      <c r="D444" s="581"/>
      <c r="E444" s="581"/>
      <c r="F444" s="581"/>
      <c r="G444" s="581"/>
      <c r="H444" s="581"/>
      <c r="I444" s="581"/>
      <c r="J444" s="581"/>
      <c r="K444" s="581"/>
      <c r="L444" s="581"/>
      <c r="M444" s="581"/>
      <c r="N444" s="581"/>
      <c r="O444" s="581"/>
      <c r="P444" s="581"/>
      <c r="Q444" s="581"/>
      <c r="R444" s="581"/>
      <c r="S444" s="581"/>
      <c r="T444" s="581"/>
      <c r="U444" s="581"/>
      <c r="V444" s="581"/>
      <c r="W444" s="581"/>
      <c r="X444" s="581"/>
      <c r="Y444" s="581"/>
    </row>
    <row r="445">
      <c r="A445" s="581"/>
      <c r="B445" s="581"/>
      <c r="C445" s="581"/>
      <c r="D445" s="581"/>
      <c r="E445" s="581"/>
      <c r="F445" s="581"/>
      <c r="G445" s="581"/>
      <c r="H445" s="581"/>
      <c r="I445" s="581"/>
      <c r="J445" s="581"/>
      <c r="K445" s="581"/>
      <c r="L445" s="581"/>
      <c r="M445" s="581"/>
      <c r="N445" s="581"/>
      <c r="O445" s="581"/>
      <c r="P445" s="581"/>
      <c r="Q445" s="581"/>
      <c r="R445" s="581"/>
      <c r="S445" s="581"/>
      <c r="T445" s="581"/>
      <c r="U445" s="581"/>
      <c r="V445" s="581"/>
      <c r="W445" s="581"/>
      <c r="X445" s="581"/>
      <c r="Y445" s="581"/>
    </row>
    <row r="446">
      <c r="A446" s="581"/>
      <c r="B446" s="581"/>
      <c r="C446" s="581"/>
      <c r="D446" s="581"/>
      <c r="E446" s="581"/>
      <c r="F446" s="581"/>
      <c r="G446" s="581"/>
      <c r="H446" s="581"/>
      <c r="I446" s="581"/>
      <c r="J446" s="581"/>
      <c r="K446" s="581"/>
      <c r="L446" s="581"/>
      <c r="M446" s="581"/>
      <c r="N446" s="581"/>
      <c r="O446" s="581"/>
      <c r="P446" s="581"/>
      <c r="Q446" s="581"/>
      <c r="R446" s="581"/>
      <c r="S446" s="581"/>
      <c r="T446" s="581"/>
      <c r="U446" s="581"/>
      <c r="V446" s="581"/>
      <c r="W446" s="581"/>
      <c r="X446" s="581"/>
      <c r="Y446" s="581"/>
    </row>
    <row r="447">
      <c r="A447" s="581"/>
      <c r="B447" s="581"/>
      <c r="C447" s="581"/>
      <c r="D447" s="581"/>
      <c r="E447" s="581"/>
      <c r="F447" s="581"/>
      <c r="G447" s="581"/>
      <c r="H447" s="581"/>
      <c r="I447" s="581"/>
      <c r="J447" s="581"/>
      <c r="K447" s="581"/>
      <c r="L447" s="581"/>
      <c r="M447" s="581"/>
      <c r="N447" s="581"/>
      <c r="O447" s="581"/>
      <c r="P447" s="581"/>
      <c r="Q447" s="581"/>
      <c r="R447" s="581"/>
      <c r="S447" s="581"/>
      <c r="T447" s="581"/>
      <c r="U447" s="581"/>
      <c r="V447" s="581"/>
      <c r="W447" s="581"/>
      <c r="X447" s="581"/>
      <c r="Y447" s="581"/>
    </row>
    <row r="448">
      <c r="A448" s="581"/>
      <c r="B448" s="581"/>
      <c r="C448" s="581"/>
      <c r="D448" s="581"/>
      <c r="E448" s="581"/>
      <c r="F448" s="581"/>
      <c r="G448" s="581"/>
      <c r="H448" s="581"/>
      <c r="I448" s="581"/>
      <c r="J448" s="581"/>
      <c r="K448" s="581"/>
      <c r="L448" s="581"/>
      <c r="M448" s="581"/>
      <c r="N448" s="581"/>
      <c r="O448" s="581"/>
      <c r="P448" s="581"/>
      <c r="Q448" s="581"/>
      <c r="R448" s="581"/>
      <c r="S448" s="581"/>
      <c r="T448" s="581"/>
      <c r="U448" s="581"/>
      <c r="V448" s="581"/>
      <c r="W448" s="581"/>
      <c r="X448" s="581"/>
      <c r="Y448" s="581"/>
    </row>
    <row r="449">
      <c r="A449" s="581"/>
      <c r="B449" s="581"/>
      <c r="C449" s="581"/>
      <c r="D449" s="581"/>
      <c r="E449" s="581"/>
      <c r="F449" s="581"/>
      <c r="G449" s="581"/>
      <c r="H449" s="581"/>
      <c r="I449" s="581"/>
      <c r="J449" s="581"/>
      <c r="K449" s="581"/>
      <c r="L449" s="581"/>
      <c r="M449" s="581"/>
      <c r="N449" s="581"/>
      <c r="O449" s="581"/>
      <c r="P449" s="581"/>
      <c r="Q449" s="581"/>
      <c r="R449" s="581"/>
      <c r="S449" s="581"/>
      <c r="T449" s="581"/>
      <c r="U449" s="581"/>
      <c r="V449" s="581"/>
      <c r="W449" s="581"/>
      <c r="X449" s="581"/>
      <c r="Y449" s="581"/>
    </row>
    <row r="450">
      <c r="A450" s="581"/>
      <c r="B450" s="581"/>
      <c r="C450" s="581"/>
      <c r="D450" s="581"/>
      <c r="E450" s="581"/>
      <c r="F450" s="581"/>
      <c r="G450" s="581"/>
      <c r="H450" s="581"/>
      <c r="I450" s="581"/>
      <c r="J450" s="581"/>
      <c r="K450" s="581"/>
      <c r="L450" s="581"/>
      <c r="M450" s="581"/>
      <c r="N450" s="581"/>
      <c r="O450" s="581"/>
      <c r="P450" s="581"/>
      <c r="Q450" s="581"/>
      <c r="R450" s="581"/>
      <c r="S450" s="581"/>
      <c r="T450" s="581"/>
      <c r="U450" s="581"/>
      <c r="V450" s="581"/>
      <c r="W450" s="581"/>
      <c r="X450" s="581"/>
      <c r="Y450" s="581"/>
    </row>
    <row r="451">
      <c r="A451" s="581"/>
      <c r="B451" s="581"/>
      <c r="C451" s="581"/>
      <c r="D451" s="581"/>
      <c r="E451" s="581"/>
      <c r="F451" s="581"/>
      <c r="G451" s="581"/>
      <c r="H451" s="581"/>
      <c r="I451" s="581"/>
      <c r="J451" s="581"/>
      <c r="K451" s="581"/>
      <c r="L451" s="581"/>
      <c r="M451" s="581"/>
      <c r="N451" s="581"/>
      <c r="O451" s="581"/>
      <c r="P451" s="581"/>
      <c r="Q451" s="581"/>
      <c r="R451" s="581"/>
      <c r="S451" s="581"/>
      <c r="T451" s="581"/>
      <c r="U451" s="581"/>
      <c r="V451" s="581"/>
      <c r="W451" s="581"/>
      <c r="X451" s="581"/>
      <c r="Y451" s="581"/>
    </row>
    <row r="452">
      <c r="A452" s="581"/>
      <c r="B452" s="581"/>
      <c r="C452" s="581"/>
      <c r="D452" s="581"/>
      <c r="E452" s="581"/>
      <c r="F452" s="581"/>
      <c r="G452" s="581"/>
      <c r="H452" s="581"/>
      <c r="I452" s="581"/>
      <c r="J452" s="581"/>
      <c r="K452" s="581"/>
      <c r="L452" s="581"/>
      <c r="M452" s="581"/>
      <c r="N452" s="581"/>
      <c r="O452" s="581"/>
      <c r="P452" s="581"/>
      <c r="Q452" s="581"/>
      <c r="R452" s="581"/>
      <c r="S452" s="581"/>
      <c r="T452" s="581"/>
      <c r="U452" s="581"/>
      <c r="V452" s="581"/>
      <c r="W452" s="581"/>
      <c r="X452" s="581"/>
      <c r="Y452" s="581"/>
    </row>
    <row r="453">
      <c r="A453" s="581"/>
      <c r="B453" s="581"/>
      <c r="C453" s="581"/>
      <c r="D453" s="581"/>
      <c r="E453" s="581"/>
      <c r="F453" s="581"/>
      <c r="G453" s="581"/>
      <c r="H453" s="581"/>
      <c r="I453" s="581"/>
      <c r="J453" s="581"/>
      <c r="K453" s="581"/>
      <c r="L453" s="581"/>
      <c r="M453" s="581"/>
      <c r="N453" s="581"/>
      <c r="O453" s="581"/>
      <c r="P453" s="581"/>
      <c r="Q453" s="581"/>
      <c r="R453" s="581"/>
      <c r="S453" s="581"/>
      <c r="T453" s="581"/>
      <c r="U453" s="581"/>
      <c r="V453" s="581"/>
      <c r="W453" s="581"/>
      <c r="X453" s="581"/>
      <c r="Y453" s="581"/>
    </row>
    <row r="454">
      <c r="A454" s="581"/>
      <c r="B454" s="581"/>
      <c r="C454" s="581"/>
      <c r="D454" s="581"/>
      <c r="E454" s="581"/>
      <c r="F454" s="581"/>
      <c r="G454" s="581"/>
      <c r="H454" s="581"/>
      <c r="I454" s="581"/>
      <c r="J454" s="581"/>
      <c r="K454" s="581"/>
      <c r="L454" s="581"/>
      <c r="M454" s="581"/>
      <c r="N454" s="581"/>
      <c r="O454" s="581"/>
      <c r="P454" s="581"/>
      <c r="Q454" s="581"/>
      <c r="R454" s="581"/>
      <c r="S454" s="581"/>
      <c r="T454" s="581"/>
      <c r="U454" s="581"/>
      <c r="V454" s="581"/>
      <c r="W454" s="581"/>
      <c r="X454" s="581"/>
      <c r="Y454" s="581"/>
    </row>
    <row r="455">
      <c r="A455" s="581"/>
      <c r="B455" s="581"/>
      <c r="C455" s="581"/>
      <c r="D455" s="581"/>
      <c r="E455" s="581"/>
      <c r="F455" s="581"/>
      <c r="G455" s="581"/>
      <c r="H455" s="581"/>
      <c r="I455" s="581"/>
      <c r="J455" s="581"/>
      <c r="K455" s="581"/>
      <c r="L455" s="581"/>
      <c r="M455" s="581"/>
      <c r="N455" s="581"/>
      <c r="O455" s="581"/>
      <c r="P455" s="581"/>
      <c r="Q455" s="581"/>
      <c r="R455" s="581"/>
      <c r="S455" s="581"/>
      <c r="T455" s="581"/>
      <c r="U455" s="581"/>
      <c r="V455" s="581"/>
      <c r="W455" s="581"/>
      <c r="X455" s="581"/>
      <c r="Y455" s="581"/>
    </row>
    <row r="456">
      <c r="A456" s="581"/>
      <c r="B456" s="581"/>
      <c r="C456" s="581"/>
      <c r="D456" s="581"/>
      <c r="E456" s="581"/>
      <c r="F456" s="581"/>
      <c r="G456" s="581"/>
      <c r="H456" s="581"/>
      <c r="I456" s="581"/>
      <c r="J456" s="581"/>
      <c r="K456" s="581"/>
      <c r="L456" s="581"/>
      <c r="M456" s="581"/>
      <c r="N456" s="581"/>
      <c r="O456" s="581"/>
      <c r="P456" s="581"/>
      <c r="Q456" s="581"/>
      <c r="R456" s="581"/>
      <c r="S456" s="581"/>
      <c r="T456" s="581"/>
      <c r="U456" s="581"/>
      <c r="V456" s="581"/>
      <c r="W456" s="581"/>
      <c r="X456" s="581"/>
      <c r="Y456" s="581"/>
    </row>
    <row r="457">
      <c r="A457" s="581"/>
      <c r="B457" s="581"/>
      <c r="C457" s="581"/>
      <c r="D457" s="581"/>
      <c r="E457" s="581"/>
      <c r="F457" s="581"/>
      <c r="G457" s="581"/>
      <c r="H457" s="581"/>
      <c r="I457" s="581"/>
      <c r="J457" s="581"/>
      <c r="K457" s="581"/>
      <c r="L457" s="581"/>
      <c r="M457" s="581"/>
      <c r="N457" s="581"/>
      <c r="O457" s="581"/>
      <c r="P457" s="581"/>
      <c r="Q457" s="581"/>
      <c r="R457" s="581"/>
      <c r="S457" s="581"/>
      <c r="T457" s="581"/>
      <c r="U457" s="581"/>
      <c r="V457" s="581"/>
      <c r="W457" s="581"/>
      <c r="X457" s="581"/>
      <c r="Y457" s="581"/>
    </row>
    <row r="458">
      <c r="A458" s="581"/>
      <c r="B458" s="581"/>
      <c r="C458" s="581"/>
      <c r="D458" s="581"/>
      <c r="E458" s="581"/>
      <c r="F458" s="581"/>
      <c r="G458" s="581"/>
      <c r="H458" s="581"/>
      <c r="I458" s="581"/>
      <c r="J458" s="581"/>
      <c r="K458" s="581"/>
      <c r="L458" s="581"/>
      <c r="M458" s="581"/>
      <c r="N458" s="581"/>
      <c r="O458" s="581"/>
      <c r="P458" s="581"/>
      <c r="Q458" s="581"/>
      <c r="R458" s="581"/>
      <c r="S458" s="581"/>
      <c r="T458" s="581"/>
      <c r="U458" s="581"/>
      <c r="V458" s="581"/>
      <c r="W458" s="581"/>
      <c r="X458" s="581"/>
      <c r="Y458" s="581"/>
    </row>
    <row r="459">
      <c r="A459" s="581"/>
      <c r="B459" s="581"/>
      <c r="C459" s="581"/>
      <c r="D459" s="581"/>
      <c r="E459" s="581"/>
      <c r="F459" s="581"/>
      <c r="G459" s="581"/>
      <c r="H459" s="581"/>
      <c r="I459" s="581"/>
      <c r="J459" s="581"/>
      <c r="K459" s="581"/>
      <c r="L459" s="581"/>
      <c r="M459" s="581"/>
      <c r="N459" s="581"/>
      <c r="O459" s="581"/>
      <c r="P459" s="581"/>
      <c r="Q459" s="581"/>
      <c r="R459" s="581"/>
      <c r="S459" s="581"/>
      <c r="T459" s="581"/>
      <c r="U459" s="581"/>
      <c r="V459" s="581"/>
      <c r="W459" s="581"/>
      <c r="X459" s="581"/>
      <c r="Y459" s="581"/>
    </row>
    <row r="460">
      <c r="A460" s="581"/>
      <c r="B460" s="581"/>
      <c r="C460" s="581"/>
      <c r="D460" s="581"/>
      <c r="E460" s="581"/>
      <c r="F460" s="581"/>
      <c r="G460" s="581"/>
      <c r="H460" s="581"/>
      <c r="I460" s="581"/>
      <c r="J460" s="581"/>
      <c r="K460" s="581"/>
      <c r="L460" s="581"/>
      <c r="M460" s="581"/>
      <c r="N460" s="581"/>
      <c r="O460" s="581"/>
      <c r="P460" s="581"/>
      <c r="Q460" s="581"/>
      <c r="R460" s="581"/>
      <c r="S460" s="581"/>
      <c r="T460" s="581"/>
      <c r="U460" s="581"/>
      <c r="V460" s="581"/>
      <c r="W460" s="581"/>
      <c r="X460" s="581"/>
      <c r="Y460" s="581"/>
    </row>
    <row r="461">
      <c r="A461" s="581"/>
      <c r="B461" s="581"/>
      <c r="C461" s="581"/>
      <c r="D461" s="581"/>
      <c r="E461" s="581"/>
      <c r="F461" s="581"/>
      <c r="G461" s="581"/>
      <c r="H461" s="581"/>
      <c r="I461" s="581"/>
      <c r="J461" s="581"/>
      <c r="K461" s="581"/>
      <c r="L461" s="581"/>
      <c r="M461" s="581"/>
      <c r="N461" s="581"/>
      <c r="O461" s="581"/>
      <c r="P461" s="581"/>
      <c r="Q461" s="581"/>
      <c r="R461" s="581"/>
      <c r="S461" s="581"/>
      <c r="T461" s="581"/>
      <c r="U461" s="581"/>
      <c r="V461" s="581"/>
      <c r="W461" s="581"/>
      <c r="X461" s="581"/>
      <c r="Y461" s="581"/>
    </row>
    <row r="462">
      <c r="A462" s="581"/>
      <c r="B462" s="581"/>
      <c r="C462" s="581"/>
      <c r="D462" s="581"/>
      <c r="E462" s="581"/>
      <c r="F462" s="581"/>
      <c r="G462" s="581"/>
      <c r="H462" s="581"/>
      <c r="I462" s="581"/>
      <c r="J462" s="581"/>
      <c r="K462" s="581"/>
      <c r="L462" s="581"/>
      <c r="M462" s="581"/>
      <c r="N462" s="581"/>
      <c r="O462" s="581"/>
      <c r="P462" s="581"/>
      <c r="Q462" s="581"/>
      <c r="R462" s="581"/>
      <c r="S462" s="581"/>
      <c r="T462" s="581"/>
      <c r="U462" s="581"/>
      <c r="V462" s="581"/>
      <c r="W462" s="581"/>
      <c r="X462" s="581"/>
      <c r="Y462" s="581"/>
    </row>
    <row r="463">
      <c r="A463" s="581"/>
      <c r="B463" s="581"/>
      <c r="C463" s="581"/>
      <c r="D463" s="581"/>
      <c r="E463" s="581"/>
      <c r="F463" s="581"/>
      <c r="G463" s="581"/>
      <c r="H463" s="581"/>
      <c r="I463" s="581"/>
      <c r="J463" s="581"/>
      <c r="K463" s="581"/>
      <c r="L463" s="581"/>
      <c r="M463" s="581"/>
      <c r="N463" s="581"/>
      <c r="O463" s="581"/>
      <c r="P463" s="581"/>
      <c r="Q463" s="581"/>
      <c r="R463" s="581"/>
      <c r="S463" s="581"/>
      <c r="T463" s="581"/>
      <c r="U463" s="581"/>
      <c r="V463" s="581"/>
      <c r="W463" s="581"/>
      <c r="X463" s="581"/>
      <c r="Y463" s="581"/>
    </row>
    <row r="464">
      <c r="A464" s="581"/>
      <c r="B464" s="581"/>
      <c r="C464" s="581"/>
      <c r="D464" s="581"/>
      <c r="E464" s="581"/>
      <c r="F464" s="581"/>
      <c r="G464" s="581"/>
      <c r="H464" s="581"/>
      <c r="I464" s="581"/>
      <c r="J464" s="581"/>
      <c r="K464" s="581"/>
      <c r="L464" s="581"/>
      <c r="M464" s="581"/>
      <c r="N464" s="581"/>
      <c r="O464" s="581"/>
      <c r="P464" s="581"/>
      <c r="Q464" s="581"/>
      <c r="R464" s="581"/>
      <c r="S464" s="581"/>
      <c r="T464" s="581"/>
      <c r="U464" s="581"/>
      <c r="V464" s="581"/>
      <c r="W464" s="581"/>
      <c r="X464" s="581"/>
      <c r="Y464" s="581"/>
    </row>
    <row r="465">
      <c r="A465" s="581"/>
      <c r="B465" s="581"/>
      <c r="C465" s="581"/>
      <c r="D465" s="581"/>
      <c r="E465" s="581"/>
      <c r="F465" s="581"/>
      <c r="G465" s="581"/>
      <c r="H465" s="581"/>
      <c r="I465" s="581"/>
      <c r="J465" s="581"/>
      <c r="K465" s="581"/>
      <c r="L465" s="581"/>
      <c r="M465" s="581"/>
      <c r="N465" s="581"/>
      <c r="O465" s="581"/>
      <c r="P465" s="581"/>
      <c r="Q465" s="581"/>
      <c r="R465" s="581"/>
      <c r="S465" s="581"/>
      <c r="T465" s="581"/>
      <c r="U465" s="581"/>
      <c r="V465" s="581"/>
      <c r="W465" s="581"/>
      <c r="X465" s="581"/>
      <c r="Y465" s="581"/>
    </row>
    <row r="466">
      <c r="A466" s="581"/>
      <c r="B466" s="581"/>
      <c r="C466" s="581"/>
      <c r="D466" s="581"/>
      <c r="E466" s="581"/>
      <c r="F466" s="581"/>
      <c r="G466" s="581"/>
      <c r="H466" s="581"/>
      <c r="I466" s="581"/>
      <c r="J466" s="581"/>
      <c r="K466" s="581"/>
      <c r="L466" s="581"/>
      <c r="M466" s="581"/>
      <c r="N466" s="581"/>
      <c r="O466" s="581"/>
      <c r="P466" s="581"/>
      <c r="Q466" s="581"/>
      <c r="R466" s="581"/>
      <c r="S466" s="581"/>
      <c r="T466" s="581"/>
      <c r="U466" s="581"/>
      <c r="V466" s="581"/>
      <c r="W466" s="581"/>
      <c r="X466" s="581"/>
      <c r="Y466" s="581"/>
    </row>
    <row r="467">
      <c r="A467" s="581"/>
      <c r="B467" s="581"/>
      <c r="C467" s="581"/>
      <c r="D467" s="581"/>
      <c r="E467" s="581"/>
      <c r="F467" s="581"/>
      <c r="G467" s="581"/>
      <c r="H467" s="581"/>
      <c r="I467" s="581"/>
      <c r="J467" s="581"/>
      <c r="K467" s="581"/>
      <c r="L467" s="581"/>
      <c r="M467" s="581"/>
      <c r="N467" s="581"/>
      <c r="O467" s="581"/>
      <c r="P467" s="581"/>
      <c r="Q467" s="581"/>
      <c r="R467" s="581"/>
      <c r="S467" s="581"/>
      <c r="T467" s="581"/>
      <c r="U467" s="581"/>
      <c r="V467" s="581"/>
      <c r="W467" s="581"/>
      <c r="X467" s="581"/>
      <c r="Y467" s="581"/>
    </row>
    <row r="468">
      <c r="A468" s="581"/>
      <c r="B468" s="581"/>
      <c r="C468" s="581"/>
      <c r="D468" s="581"/>
      <c r="E468" s="581"/>
      <c r="F468" s="581"/>
      <c r="G468" s="581"/>
      <c r="H468" s="581"/>
      <c r="I468" s="581"/>
      <c r="J468" s="581"/>
      <c r="K468" s="581"/>
      <c r="L468" s="581"/>
      <c r="M468" s="581"/>
      <c r="N468" s="581"/>
      <c r="O468" s="581"/>
      <c r="P468" s="581"/>
      <c r="Q468" s="581"/>
      <c r="R468" s="581"/>
      <c r="S468" s="581"/>
      <c r="T468" s="581"/>
      <c r="U468" s="581"/>
      <c r="V468" s="581"/>
      <c r="W468" s="581"/>
      <c r="X468" s="581"/>
      <c r="Y468" s="581"/>
    </row>
    <row r="469">
      <c r="A469" s="581"/>
      <c r="B469" s="581"/>
      <c r="C469" s="581"/>
      <c r="D469" s="581"/>
      <c r="E469" s="581"/>
      <c r="F469" s="581"/>
      <c r="G469" s="581"/>
      <c r="H469" s="581"/>
      <c r="I469" s="581"/>
      <c r="J469" s="581"/>
      <c r="K469" s="581"/>
      <c r="L469" s="581"/>
      <c r="M469" s="581"/>
      <c r="N469" s="581"/>
      <c r="O469" s="581"/>
      <c r="P469" s="581"/>
      <c r="Q469" s="581"/>
      <c r="R469" s="581"/>
      <c r="S469" s="581"/>
      <c r="T469" s="581"/>
      <c r="U469" s="581"/>
      <c r="V469" s="581"/>
      <c r="W469" s="581"/>
      <c r="X469" s="581"/>
      <c r="Y469" s="581"/>
    </row>
    <row r="470">
      <c r="A470" s="581"/>
      <c r="B470" s="581"/>
      <c r="C470" s="581"/>
      <c r="D470" s="581"/>
      <c r="E470" s="581"/>
      <c r="F470" s="581"/>
      <c r="G470" s="581"/>
      <c r="H470" s="581"/>
      <c r="I470" s="581"/>
      <c r="J470" s="581"/>
      <c r="K470" s="581"/>
      <c r="L470" s="581"/>
      <c r="M470" s="581"/>
      <c r="N470" s="581"/>
      <c r="O470" s="581"/>
      <c r="P470" s="581"/>
      <c r="Q470" s="581"/>
      <c r="R470" s="581"/>
      <c r="S470" s="581"/>
      <c r="T470" s="581"/>
      <c r="U470" s="581"/>
      <c r="V470" s="581"/>
      <c r="W470" s="581"/>
      <c r="X470" s="581"/>
      <c r="Y470" s="581"/>
    </row>
    <row r="471">
      <c r="A471" s="581"/>
      <c r="B471" s="581"/>
      <c r="C471" s="581"/>
      <c r="D471" s="581"/>
      <c r="E471" s="581"/>
      <c r="F471" s="581"/>
      <c r="G471" s="581"/>
      <c r="H471" s="581"/>
      <c r="I471" s="581"/>
      <c r="J471" s="581"/>
      <c r="K471" s="581"/>
      <c r="L471" s="581"/>
      <c r="M471" s="581"/>
      <c r="N471" s="581"/>
      <c r="O471" s="581"/>
      <c r="P471" s="581"/>
      <c r="Q471" s="581"/>
      <c r="R471" s="581"/>
      <c r="S471" s="581"/>
      <c r="T471" s="581"/>
      <c r="U471" s="581"/>
      <c r="V471" s="581"/>
      <c r="W471" s="581"/>
      <c r="X471" s="581"/>
      <c r="Y471" s="581"/>
    </row>
    <row r="472">
      <c r="A472" s="581"/>
      <c r="B472" s="581"/>
      <c r="C472" s="581"/>
      <c r="D472" s="581"/>
      <c r="E472" s="581"/>
      <c r="F472" s="581"/>
      <c r="G472" s="581"/>
      <c r="H472" s="581"/>
      <c r="I472" s="581"/>
      <c r="J472" s="581"/>
      <c r="K472" s="581"/>
      <c r="L472" s="581"/>
      <c r="M472" s="581"/>
      <c r="N472" s="581"/>
      <c r="O472" s="581"/>
      <c r="P472" s="581"/>
      <c r="Q472" s="581"/>
      <c r="R472" s="581"/>
      <c r="S472" s="581"/>
      <c r="T472" s="581"/>
      <c r="U472" s="581"/>
      <c r="V472" s="581"/>
      <c r="W472" s="581"/>
      <c r="X472" s="581"/>
      <c r="Y472" s="581"/>
    </row>
    <row r="473">
      <c r="A473" s="581"/>
      <c r="B473" s="581"/>
      <c r="C473" s="581"/>
      <c r="D473" s="581"/>
      <c r="E473" s="581"/>
      <c r="F473" s="581"/>
      <c r="G473" s="581"/>
      <c r="H473" s="581"/>
      <c r="I473" s="581"/>
      <c r="J473" s="581"/>
      <c r="K473" s="581"/>
      <c r="L473" s="581"/>
      <c r="M473" s="581"/>
      <c r="N473" s="581"/>
      <c r="O473" s="581"/>
      <c r="P473" s="581"/>
      <c r="Q473" s="581"/>
      <c r="R473" s="581"/>
      <c r="S473" s="581"/>
      <c r="T473" s="581"/>
      <c r="U473" s="581"/>
      <c r="V473" s="581"/>
      <c r="W473" s="581"/>
      <c r="X473" s="581"/>
      <c r="Y473" s="581"/>
    </row>
    <row r="474">
      <c r="A474" s="581"/>
      <c r="B474" s="581"/>
      <c r="C474" s="581"/>
      <c r="D474" s="581"/>
      <c r="E474" s="581"/>
      <c r="F474" s="581"/>
      <c r="G474" s="581"/>
      <c r="H474" s="581"/>
      <c r="I474" s="581"/>
      <c r="J474" s="581"/>
      <c r="K474" s="581"/>
      <c r="L474" s="581"/>
      <c r="M474" s="581"/>
      <c r="N474" s="581"/>
      <c r="O474" s="581"/>
      <c r="P474" s="581"/>
      <c r="Q474" s="581"/>
      <c r="R474" s="581"/>
      <c r="S474" s="581"/>
      <c r="T474" s="581"/>
      <c r="U474" s="581"/>
      <c r="V474" s="581"/>
      <c r="W474" s="581"/>
      <c r="X474" s="581"/>
      <c r="Y474" s="581"/>
    </row>
    <row r="475">
      <c r="A475" s="581"/>
      <c r="B475" s="581"/>
      <c r="C475" s="581"/>
      <c r="D475" s="581"/>
      <c r="E475" s="581"/>
      <c r="F475" s="581"/>
      <c r="G475" s="581"/>
      <c r="H475" s="581"/>
      <c r="I475" s="581"/>
      <c r="J475" s="581"/>
      <c r="K475" s="581"/>
      <c r="L475" s="581"/>
      <c r="M475" s="581"/>
      <c r="N475" s="581"/>
      <c r="O475" s="581"/>
      <c r="P475" s="581"/>
      <c r="Q475" s="581"/>
      <c r="R475" s="581"/>
      <c r="S475" s="581"/>
      <c r="T475" s="581"/>
      <c r="U475" s="581"/>
      <c r="V475" s="581"/>
      <c r="W475" s="581"/>
      <c r="X475" s="581"/>
      <c r="Y475" s="581"/>
    </row>
    <row r="476">
      <c r="A476" s="581"/>
      <c r="B476" s="581"/>
      <c r="C476" s="581"/>
      <c r="D476" s="581"/>
      <c r="E476" s="581"/>
      <c r="F476" s="581"/>
      <c r="G476" s="581"/>
      <c r="H476" s="581"/>
      <c r="I476" s="581"/>
      <c r="J476" s="581"/>
      <c r="K476" s="581"/>
      <c r="L476" s="581"/>
      <c r="M476" s="581"/>
      <c r="N476" s="581"/>
      <c r="O476" s="581"/>
      <c r="P476" s="581"/>
      <c r="Q476" s="581"/>
      <c r="R476" s="581"/>
      <c r="S476" s="581"/>
      <c r="T476" s="581"/>
      <c r="U476" s="581"/>
      <c r="V476" s="581"/>
      <c r="W476" s="581"/>
      <c r="X476" s="581"/>
      <c r="Y476" s="581"/>
    </row>
    <row r="477">
      <c r="A477" s="581"/>
      <c r="B477" s="581"/>
      <c r="C477" s="581"/>
      <c r="D477" s="581"/>
      <c r="E477" s="581"/>
      <c r="F477" s="581"/>
      <c r="G477" s="581"/>
      <c r="H477" s="581"/>
      <c r="I477" s="581"/>
      <c r="J477" s="581"/>
      <c r="K477" s="581"/>
      <c r="L477" s="581"/>
      <c r="M477" s="581"/>
      <c r="N477" s="581"/>
      <c r="O477" s="581"/>
      <c r="P477" s="581"/>
      <c r="Q477" s="581"/>
      <c r="R477" s="581"/>
      <c r="S477" s="581"/>
      <c r="T477" s="581"/>
      <c r="U477" s="581"/>
      <c r="V477" s="581"/>
      <c r="W477" s="581"/>
      <c r="X477" s="581"/>
      <c r="Y477" s="581"/>
    </row>
    <row r="478">
      <c r="A478" s="581"/>
      <c r="B478" s="581"/>
      <c r="C478" s="581"/>
      <c r="D478" s="581"/>
      <c r="E478" s="581"/>
      <c r="F478" s="581"/>
      <c r="G478" s="581"/>
      <c r="H478" s="581"/>
      <c r="I478" s="581"/>
      <c r="J478" s="581"/>
      <c r="K478" s="581"/>
      <c r="L478" s="581"/>
      <c r="M478" s="581"/>
      <c r="N478" s="581"/>
      <c r="O478" s="581"/>
      <c r="P478" s="581"/>
      <c r="Q478" s="581"/>
      <c r="R478" s="581"/>
      <c r="S478" s="581"/>
      <c r="T478" s="581"/>
      <c r="U478" s="581"/>
      <c r="V478" s="581"/>
      <c r="W478" s="581"/>
      <c r="X478" s="581"/>
      <c r="Y478" s="581"/>
    </row>
    <row r="479">
      <c r="A479" s="581"/>
      <c r="B479" s="581"/>
      <c r="C479" s="581"/>
      <c r="D479" s="581"/>
      <c r="E479" s="581"/>
      <c r="F479" s="581"/>
      <c r="G479" s="581"/>
      <c r="H479" s="581"/>
      <c r="I479" s="581"/>
      <c r="J479" s="581"/>
      <c r="K479" s="581"/>
      <c r="L479" s="581"/>
      <c r="M479" s="581"/>
      <c r="N479" s="581"/>
      <c r="O479" s="581"/>
      <c r="P479" s="581"/>
      <c r="Q479" s="581"/>
      <c r="R479" s="581"/>
      <c r="S479" s="581"/>
      <c r="T479" s="581"/>
      <c r="U479" s="581"/>
      <c r="V479" s="581"/>
      <c r="W479" s="581"/>
      <c r="X479" s="581"/>
      <c r="Y479" s="581"/>
    </row>
    <row r="480">
      <c r="A480" s="581"/>
      <c r="B480" s="581"/>
      <c r="C480" s="581"/>
      <c r="D480" s="581"/>
      <c r="E480" s="581"/>
      <c r="F480" s="581"/>
      <c r="G480" s="581"/>
      <c r="H480" s="581"/>
      <c r="I480" s="581"/>
      <c r="J480" s="581"/>
      <c r="K480" s="581"/>
      <c r="L480" s="581"/>
      <c r="M480" s="581"/>
      <c r="N480" s="581"/>
      <c r="O480" s="581"/>
      <c r="P480" s="581"/>
      <c r="Q480" s="581"/>
      <c r="R480" s="581"/>
      <c r="S480" s="581"/>
      <c r="T480" s="581"/>
      <c r="U480" s="581"/>
      <c r="V480" s="581"/>
      <c r="W480" s="581"/>
      <c r="X480" s="581"/>
      <c r="Y480" s="581"/>
    </row>
    <row r="481">
      <c r="A481" s="581"/>
      <c r="B481" s="581"/>
      <c r="C481" s="581"/>
      <c r="D481" s="581"/>
      <c r="E481" s="581"/>
      <c r="F481" s="581"/>
      <c r="G481" s="581"/>
      <c r="H481" s="581"/>
      <c r="I481" s="581"/>
      <c r="J481" s="581"/>
      <c r="K481" s="581"/>
      <c r="L481" s="581"/>
      <c r="M481" s="581"/>
      <c r="N481" s="581"/>
      <c r="O481" s="581"/>
      <c r="P481" s="581"/>
      <c r="Q481" s="581"/>
      <c r="R481" s="581"/>
      <c r="S481" s="581"/>
      <c r="T481" s="581"/>
      <c r="U481" s="581"/>
      <c r="V481" s="581"/>
      <c r="W481" s="581"/>
      <c r="X481" s="581"/>
      <c r="Y481" s="581"/>
    </row>
    <row r="482">
      <c r="A482" s="581"/>
      <c r="B482" s="581"/>
      <c r="C482" s="581"/>
      <c r="D482" s="581"/>
      <c r="E482" s="581"/>
      <c r="F482" s="581"/>
      <c r="G482" s="581"/>
      <c r="H482" s="581"/>
      <c r="I482" s="581"/>
      <c r="J482" s="581"/>
      <c r="K482" s="581"/>
      <c r="L482" s="581"/>
      <c r="M482" s="581"/>
      <c r="N482" s="581"/>
      <c r="O482" s="581"/>
      <c r="P482" s="581"/>
      <c r="Q482" s="581"/>
      <c r="R482" s="581"/>
      <c r="S482" s="581"/>
      <c r="T482" s="581"/>
      <c r="U482" s="581"/>
      <c r="V482" s="581"/>
      <c r="W482" s="581"/>
      <c r="X482" s="581"/>
      <c r="Y482" s="581"/>
    </row>
    <row r="483">
      <c r="A483" s="581"/>
      <c r="B483" s="581"/>
      <c r="C483" s="581"/>
      <c r="D483" s="581"/>
      <c r="E483" s="581"/>
      <c r="F483" s="581"/>
      <c r="G483" s="581"/>
      <c r="H483" s="581"/>
      <c r="I483" s="581"/>
      <c r="J483" s="581"/>
      <c r="K483" s="581"/>
      <c r="L483" s="581"/>
      <c r="M483" s="581"/>
      <c r="N483" s="581"/>
      <c r="O483" s="581"/>
      <c r="P483" s="581"/>
      <c r="Q483" s="581"/>
      <c r="R483" s="581"/>
      <c r="S483" s="581"/>
      <c r="T483" s="581"/>
      <c r="U483" s="581"/>
      <c r="V483" s="581"/>
      <c r="W483" s="581"/>
      <c r="X483" s="581"/>
      <c r="Y483" s="581"/>
    </row>
    <row r="484">
      <c r="A484" s="581"/>
      <c r="B484" s="581"/>
      <c r="C484" s="581"/>
      <c r="D484" s="581"/>
      <c r="E484" s="581"/>
      <c r="F484" s="581"/>
      <c r="G484" s="581"/>
      <c r="H484" s="581"/>
      <c r="I484" s="581"/>
      <c r="J484" s="581"/>
      <c r="K484" s="581"/>
      <c r="L484" s="581"/>
      <c r="M484" s="581"/>
      <c r="N484" s="581"/>
      <c r="O484" s="581"/>
      <c r="P484" s="581"/>
      <c r="Q484" s="581"/>
      <c r="R484" s="581"/>
      <c r="S484" s="581"/>
      <c r="T484" s="581"/>
      <c r="U484" s="581"/>
      <c r="V484" s="581"/>
      <c r="W484" s="581"/>
      <c r="X484" s="581"/>
      <c r="Y484" s="581"/>
    </row>
    <row r="485">
      <c r="A485" s="581"/>
      <c r="B485" s="581"/>
      <c r="C485" s="581"/>
      <c r="D485" s="581"/>
      <c r="E485" s="581"/>
      <c r="F485" s="581"/>
      <c r="G485" s="581"/>
      <c r="H485" s="581"/>
      <c r="I485" s="581"/>
      <c r="J485" s="581"/>
      <c r="K485" s="581"/>
      <c r="L485" s="581"/>
      <c r="M485" s="581"/>
      <c r="N485" s="581"/>
      <c r="O485" s="581"/>
      <c r="P485" s="581"/>
      <c r="Q485" s="581"/>
      <c r="R485" s="581"/>
      <c r="S485" s="581"/>
      <c r="T485" s="581"/>
      <c r="U485" s="581"/>
      <c r="V485" s="581"/>
      <c r="W485" s="581"/>
      <c r="X485" s="581"/>
      <c r="Y485" s="581"/>
    </row>
    <row r="486">
      <c r="A486" s="581"/>
      <c r="B486" s="581"/>
      <c r="C486" s="581"/>
      <c r="D486" s="581"/>
      <c r="E486" s="581"/>
      <c r="F486" s="581"/>
      <c r="G486" s="581"/>
      <c r="H486" s="581"/>
      <c r="I486" s="581"/>
      <c r="J486" s="581"/>
      <c r="K486" s="581"/>
      <c r="L486" s="581"/>
      <c r="M486" s="581"/>
      <c r="N486" s="581"/>
      <c r="O486" s="581"/>
      <c r="P486" s="581"/>
      <c r="Q486" s="581"/>
      <c r="R486" s="581"/>
      <c r="S486" s="581"/>
      <c r="T486" s="581"/>
      <c r="U486" s="581"/>
      <c r="V486" s="581"/>
      <c r="W486" s="581"/>
      <c r="X486" s="581"/>
      <c r="Y486" s="581"/>
    </row>
    <row r="487">
      <c r="A487" s="581"/>
      <c r="B487" s="581"/>
      <c r="C487" s="581"/>
      <c r="D487" s="581"/>
      <c r="E487" s="581"/>
      <c r="F487" s="581"/>
      <c r="G487" s="581"/>
      <c r="H487" s="581"/>
      <c r="I487" s="581"/>
      <c r="J487" s="581"/>
      <c r="K487" s="581"/>
      <c r="L487" s="581"/>
      <c r="M487" s="581"/>
      <c r="N487" s="581"/>
      <c r="O487" s="581"/>
      <c r="P487" s="581"/>
      <c r="Q487" s="581"/>
      <c r="R487" s="581"/>
      <c r="S487" s="581"/>
      <c r="T487" s="581"/>
      <c r="U487" s="581"/>
      <c r="V487" s="581"/>
      <c r="W487" s="581"/>
      <c r="X487" s="581"/>
      <c r="Y487" s="581"/>
    </row>
    <row r="488">
      <c r="A488" s="581"/>
      <c r="B488" s="581"/>
      <c r="C488" s="581"/>
      <c r="D488" s="581"/>
      <c r="E488" s="581"/>
      <c r="F488" s="581"/>
      <c r="G488" s="581"/>
      <c r="H488" s="581"/>
      <c r="I488" s="581"/>
      <c r="J488" s="581"/>
      <c r="K488" s="581"/>
      <c r="L488" s="581"/>
      <c r="M488" s="581"/>
      <c r="N488" s="581"/>
      <c r="O488" s="581"/>
      <c r="P488" s="581"/>
      <c r="Q488" s="581"/>
      <c r="R488" s="581"/>
      <c r="S488" s="581"/>
      <c r="T488" s="581"/>
      <c r="U488" s="581"/>
      <c r="V488" s="581"/>
      <c r="W488" s="581"/>
      <c r="X488" s="581"/>
      <c r="Y488" s="581"/>
    </row>
    <row r="489">
      <c r="A489" s="581"/>
      <c r="B489" s="581"/>
      <c r="C489" s="581"/>
      <c r="D489" s="581"/>
      <c r="E489" s="581"/>
      <c r="F489" s="581"/>
      <c r="G489" s="581"/>
      <c r="H489" s="581"/>
      <c r="I489" s="581"/>
      <c r="J489" s="581"/>
      <c r="K489" s="581"/>
      <c r="L489" s="581"/>
      <c r="M489" s="581"/>
      <c r="N489" s="581"/>
      <c r="O489" s="581"/>
      <c r="P489" s="581"/>
      <c r="Q489" s="581"/>
      <c r="R489" s="581"/>
      <c r="S489" s="581"/>
      <c r="T489" s="581"/>
      <c r="U489" s="581"/>
      <c r="V489" s="581"/>
      <c r="W489" s="581"/>
      <c r="X489" s="581"/>
      <c r="Y489" s="581"/>
    </row>
    <row r="490">
      <c r="A490" s="581"/>
      <c r="B490" s="581"/>
      <c r="C490" s="581"/>
      <c r="D490" s="581"/>
      <c r="E490" s="581"/>
      <c r="F490" s="581"/>
      <c r="G490" s="581"/>
      <c r="H490" s="581"/>
      <c r="I490" s="581"/>
      <c r="J490" s="581"/>
      <c r="K490" s="581"/>
      <c r="L490" s="581"/>
      <c r="M490" s="581"/>
      <c r="N490" s="581"/>
      <c r="O490" s="581"/>
      <c r="P490" s="581"/>
      <c r="Q490" s="581"/>
      <c r="R490" s="581"/>
      <c r="S490" s="581"/>
      <c r="T490" s="581"/>
      <c r="U490" s="581"/>
      <c r="V490" s="581"/>
      <c r="W490" s="581"/>
      <c r="X490" s="581"/>
      <c r="Y490" s="581"/>
    </row>
    <row r="491">
      <c r="A491" s="581"/>
      <c r="B491" s="581"/>
      <c r="C491" s="581"/>
      <c r="D491" s="581"/>
      <c r="E491" s="581"/>
      <c r="F491" s="581"/>
      <c r="G491" s="581"/>
      <c r="H491" s="581"/>
      <c r="I491" s="581"/>
      <c r="J491" s="581"/>
      <c r="K491" s="581"/>
      <c r="L491" s="581"/>
      <c r="M491" s="581"/>
      <c r="N491" s="581"/>
      <c r="O491" s="581"/>
      <c r="P491" s="581"/>
      <c r="Q491" s="581"/>
      <c r="R491" s="581"/>
      <c r="S491" s="581"/>
      <c r="T491" s="581"/>
      <c r="U491" s="581"/>
      <c r="V491" s="581"/>
      <c r="W491" s="581"/>
      <c r="X491" s="581"/>
      <c r="Y491" s="581"/>
    </row>
    <row r="492">
      <c r="A492" s="581"/>
      <c r="B492" s="581"/>
      <c r="C492" s="581"/>
      <c r="D492" s="581"/>
      <c r="E492" s="581"/>
      <c r="F492" s="581"/>
      <c r="G492" s="581"/>
      <c r="H492" s="581"/>
      <c r="I492" s="581"/>
      <c r="J492" s="581"/>
      <c r="K492" s="581"/>
      <c r="L492" s="581"/>
      <c r="M492" s="581"/>
      <c r="N492" s="581"/>
      <c r="O492" s="581"/>
      <c r="P492" s="581"/>
      <c r="Q492" s="581"/>
      <c r="R492" s="581"/>
      <c r="S492" s="581"/>
      <c r="T492" s="581"/>
      <c r="U492" s="581"/>
      <c r="V492" s="581"/>
      <c r="W492" s="581"/>
      <c r="X492" s="581"/>
      <c r="Y492" s="581"/>
    </row>
    <row r="493">
      <c r="A493" s="581"/>
      <c r="B493" s="581"/>
      <c r="C493" s="581"/>
      <c r="D493" s="581"/>
      <c r="E493" s="581"/>
      <c r="F493" s="581"/>
      <c r="G493" s="581"/>
      <c r="H493" s="581"/>
      <c r="I493" s="581"/>
      <c r="J493" s="581"/>
      <c r="K493" s="581"/>
      <c r="L493" s="581"/>
      <c r="M493" s="581"/>
      <c r="N493" s="581"/>
      <c r="O493" s="581"/>
      <c r="P493" s="581"/>
      <c r="Q493" s="581"/>
      <c r="R493" s="581"/>
      <c r="S493" s="581"/>
      <c r="T493" s="581"/>
      <c r="U493" s="581"/>
      <c r="V493" s="581"/>
      <c r="W493" s="581"/>
      <c r="X493" s="581"/>
      <c r="Y493" s="581"/>
    </row>
    <row r="494">
      <c r="A494" s="581"/>
      <c r="B494" s="581"/>
      <c r="C494" s="581"/>
      <c r="D494" s="581"/>
      <c r="E494" s="581"/>
      <c r="F494" s="581"/>
      <c r="G494" s="581"/>
      <c r="H494" s="581"/>
      <c r="I494" s="581"/>
      <c r="J494" s="581"/>
      <c r="K494" s="581"/>
      <c r="L494" s="581"/>
      <c r="M494" s="581"/>
      <c r="N494" s="581"/>
      <c r="O494" s="581"/>
      <c r="P494" s="581"/>
      <c r="Q494" s="581"/>
      <c r="R494" s="581"/>
      <c r="S494" s="581"/>
      <c r="T494" s="581"/>
      <c r="U494" s="581"/>
      <c r="V494" s="581"/>
      <c r="W494" s="581"/>
      <c r="X494" s="581"/>
      <c r="Y494" s="581"/>
    </row>
    <row r="495">
      <c r="A495" s="581"/>
      <c r="B495" s="581"/>
      <c r="C495" s="581"/>
      <c r="D495" s="581"/>
      <c r="E495" s="581"/>
      <c r="F495" s="581"/>
      <c r="G495" s="581"/>
      <c r="H495" s="581"/>
      <c r="I495" s="581"/>
      <c r="J495" s="581"/>
      <c r="K495" s="581"/>
      <c r="L495" s="581"/>
      <c r="M495" s="581"/>
      <c r="N495" s="581"/>
      <c r="O495" s="581"/>
      <c r="P495" s="581"/>
      <c r="Q495" s="581"/>
      <c r="R495" s="581"/>
      <c r="S495" s="581"/>
      <c r="T495" s="581"/>
      <c r="U495" s="581"/>
      <c r="V495" s="581"/>
      <c r="W495" s="581"/>
      <c r="X495" s="581"/>
      <c r="Y495" s="581"/>
    </row>
    <row r="496">
      <c r="A496" s="581"/>
      <c r="B496" s="581"/>
      <c r="C496" s="581"/>
      <c r="D496" s="581"/>
      <c r="E496" s="581"/>
      <c r="F496" s="581"/>
      <c r="G496" s="581"/>
      <c r="H496" s="581"/>
      <c r="I496" s="581"/>
      <c r="J496" s="581"/>
      <c r="K496" s="581"/>
      <c r="L496" s="581"/>
      <c r="M496" s="581"/>
      <c r="N496" s="581"/>
      <c r="O496" s="581"/>
      <c r="P496" s="581"/>
      <c r="Q496" s="581"/>
      <c r="R496" s="581"/>
      <c r="S496" s="581"/>
      <c r="T496" s="581"/>
      <c r="U496" s="581"/>
      <c r="V496" s="581"/>
      <c r="W496" s="581"/>
      <c r="X496" s="581"/>
      <c r="Y496" s="581"/>
    </row>
    <row r="497">
      <c r="A497" s="581"/>
      <c r="B497" s="581"/>
      <c r="C497" s="581"/>
      <c r="D497" s="581"/>
      <c r="E497" s="581"/>
      <c r="F497" s="581"/>
      <c r="G497" s="581"/>
      <c r="H497" s="581"/>
      <c r="I497" s="581"/>
      <c r="J497" s="581"/>
      <c r="K497" s="581"/>
      <c r="L497" s="581"/>
      <c r="M497" s="581"/>
      <c r="N497" s="581"/>
      <c r="O497" s="581"/>
      <c r="P497" s="581"/>
      <c r="Q497" s="581"/>
      <c r="R497" s="581"/>
      <c r="S497" s="581"/>
      <c r="T497" s="581"/>
      <c r="U497" s="581"/>
      <c r="V497" s="581"/>
      <c r="W497" s="581"/>
      <c r="X497" s="581"/>
      <c r="Y497" s="581"/>
    </row>
    <row r="498">
      <c r="A498" s="581"/>
      <c r="B498" s="581"/>
      <c r="C498" s="581"/>
      <c r="D498" s="581"/>
      <c r="E498" s="581"/>
      <c r="F498" s="581"/>
      <c r="G498" s="581"/>
      <c r="H498" s="581"/>
      <c r="I498" s="581"/>
      <c r="J498" s="581"/>
      <c r="K498" s="581"/>
      <c r="L498" s="581"/>
      <c r="M498" s="581"/>
      <c r="N498" s="581"/>
      <c r="O498" s="581"/>
      <c r="P498" s="581"/>
      <c r="Q498" s="581"/>
      <c r="R498" s="581"/>
      <c r="S498" s="581"/>
      <c r="T498" s="581"/>
      <c r="U498" s="581"/>
      <c r="V498" s="581"/>
      <c r="W498" s="581"/>
      <c r="X498" s="581"/>
      <c r="Y498" s="581"/>
    </row>
    <row r="499">
      <c r="A499" s="581"/>
      <c r="B499" s="581"/>
      <c r="C499" s="581"/>
      <c r="D499" s="581"/>
      <c r="E499" s="581"/>
      <c r="F499" s="581"/>
      <c r="G499" s="581"/>
      <c r="H499" s="581"/>
      <c r="I499" s="581"/>
      <c r="J499" s="581"/>
      <c r="K499" s="581"/>
      <c r="L499" s="581"/>
      <c r="M499" s="581"/>
      <c r="N499" s="581"/>
      <c r="O499" s="581"/>
      <c r="P499" s="581"/>
      <c r="Q499" s="581"/>
      <c r="R499" s="581"/>
      <c r="S499" s="581"/>
      <c r="T499" s="581"/>
      <c r="U499" s="581"/>
      <c r="V499" s="581"/>
      <c r="W499" s="581"/>
      <c r="X499" s="581"/>
      <c r="Y499" s="581"/>
    </row>
    <row r="500">
      <c r="A500" s="581"/>
      <c r="B500" s="581"/>
      <c r="C500" s="581"/>
      <c r="D500" s="581"/>
      <c r="E500" s="581"/>
      <c r="F500" s="581"/>
      <c r="G500" s="581"/>
      <c r="H500" s="581"/>
      <c r="I500" s="581"/>
      <c r="J500" s="581"/>
      <c r="K500" s="581"/>
      <c r="L500" s="581"/>
      <c r="M500" s="581"/>
      <c r="N500" s="581"/>
      <c r="O500" s="581"/>
      <c r="P500" s="581"/>
      <c r="Q500" s="581"/>
      <c r="R500" s="581"/>
      <c r="S500" s="581"/>
      <c r="T500" s="581"/>
      <c r="U500" s="581"/>
      <c r="V500" s="581"/>
      <c r="W500" s="581"/>
      <c r="X500" s="581"/>
      <c r="Y500" s="581"/>
    </row>
    <row r="501">
      <c r="A501" s="581"/>
      <c r="B501" s="581"/>
      <c r="C501" s="581"/>
      <c r="D501" s="581"/>
      <c r="E501" s="581"/>
      <c r="F501" s="581"/>
      <c r="G501" s="581"/>
      <c r="H501" s="581"/>
      <c r="I501" s="581"/>
      <c r="J501" s="581"/>
      <c r="K501" s="581"/>
      <c r="L501" s="581"/>
      <c r="M501" s="581"/>
      <c r="N501" s="581"/>
      <c r="O501" s="581"/>
      <c r="P501" s="581"/>
      <c r="Q501" s="581"/>
      <c r="R501" s="581"/>
      <c r="S501" s="581"/>
      <c r="T501" s="581"/>
      <c r="U501" s="581"/>
      <c r="V501" s="581"/>
      <c r="W501" s="581"/>
      <c r="X501" s="581"/>
      <c r="Y501" s="581"/>
    </row>
    <row r="502">
      <c r="A502" s="581"/>
      <c r="B502" s="581"/>
      <c r="C502" s="581"/>
      <c r="D502" s="581"/>
      <c r="E502" s="581"/>
      <c r="F502" s="581"/>
      <c r="G502" s="581"/>
      <c r="H502" s="581"/>
      <c r="I502" s="581"/>
      <c r="J502" s="581"/>
      <c r="K502" s="581"/>
      <c r="L502" s="581"/>
      <c r="M502" s="581"/>
      <c r="N502" s="581"/>
      <c r="O502" s="581"/>
      <c r="P502" s="581"/>
      <c r="Q502" s="581"/>
      <c r="R502" s="581"/>
      <c r="S502" s="581"/>
      <c r="T502" s="581"/>
      <c r="U502" s="581"/>
      <c r="V502" s="581"/>
      <c r="W502" s="581"/>
      <c r="X502" s="581"/>
      <c r="Y502" s="581"/>
    </row>
    <row r="503">
      <c r="A503" s="581"/>
      <c r="B503" s="581"/>
      <c r="C503" s="581"/>
      <c r="D503" s="581"/>
      <c r="E503" s="581"/>
      <c r="F503" s="581"/>
      <c r="G503" s="581"/>
      <c r="H503" s="581"/>
      <c r="I503" s="581"/>
      <c r="J503" s="581"/>
      <c r="K503" s="581"/>
      <c r="L503" s="581"/>
      <c r="M503" s="581"/>
      <c r="N503" s="581"/>
      <c r="O503" s="581"/>
      <c r="P503" s="581"/>
      <c r="Q503" s="581"/>
      <c r="R503" s="581"/>
      <c r="S503" s="581"/>
      <c r="T503" s="581"/>
      <c r="U503" s="581"/>
      <c r="V503" s="581"/>
      <c r="W503" s="581"/>
      <c r="X503" s="581"/>
      <c r="Y503" s="581"/>
    </row>
    <row r="504">
      <c r="A504" s="581"/>
      <c r="B504" s="581"/>
      <c r="C504" s="581"/>
      <c r="D504" s="581"/>
      <c r="E504" s="581"/>
      <c r="F504" s="581"/>
      <c r="G504" s="581"/>
      <c r="H504" s="581"/>
      <c r="I504" s="581"/>
      <c r="J504" s="581"/>
      <c r="K504" s="581"/>
      <c r="L504" s="581"/>
      <c r="M504" s="581"/>
      <c r="N504" s="581"/>
      <c r="O504" s="581"/>
      <c r="P504" s="581"/>
      <c r="Q504" s="581"/>
      <c r="R504" s="581"/>
      <c r="S504" s="581"/>
      <c r="T504" s="581"/>
      <c r="U504" s="581"/>
      <c r="V504" s="581"/>
      <c r="W504" s="581"/>
      <c r="X504" s="581"/>
      <c r="Y504" s="581"/>
    </row>
    <row r="505">
      <c r="A505" s="581"/>
      <c r="B505" s="581"/>
      <c r="C505" s="581"/>
      <c r="D505" s="581"/>
      <c r="E505" s="581"/>
      <c r="F505" s="581"/>
      <c r="G505" s="581"/>
      <c r="H505" s="581"/>
      <c r="I505" s="581"/>
      <c r="J505" s="581"/>
      <c r="K505" s="581"/>
      <c r="L505" s="581"/>
      <c r="M505" s="581"/>
      <c r="N505" s="581"/>
      <c r="O505" s="581"/>
      <c r="P505" s="581"/>
      <c r="Q505" s="581"/>
      <c r="R505" s="581"/>
      <c r="S505" s="581"/>
      <c r="T505" s="581"/>
      <c r="U505" s="581"/>
      <c r="V505" s="581"/>
      <c r="W505" s="581"/>
      <c r="X505" s="581"/>
      <c r="Y505" s="581"/>
    </row>
    <row r="506">
      <c r="A506" s="581"/>
      <c r="B506" s="581"/>
      <c r="C506" s="581"/>
      <c r="D506" s="581"/>
      <c r="E506" s="581"/>
      <c r="F506" s="581"/>
      <c r="G506" s="581"/>
      <c r="H506" s="581"/>
      <c r="I506" s="581"/>
      <c r="J506" s="581"/>
      <c r="K506" s="581"/>
      <c r="L506" s="581"/>
      <c r="M506" s="581"/>
      <c r="N506" s="581"/>
      <c r="O506" s="581"/>
      <c r="P506" s="581"/>
      <c r="Q506" s="581"/>
      <c r="R506" s="581"/>
      <c r="S506" s="581"/>
      <c r="T506" s="581"/>
      <c r="U506" s="581"/>
      <c r="V506" s="581"/>
      <c r="W506" s="581"/>
      <c r="X506" s="581"/>
      <c r="Y506" s="581"/>
    </row>
    <row r="507">
      <c r="A507" s="581"/>
      <c r="B507" s="581"/>
      <c r="C507" s="581"/>
      <c r="D507" s="581"/>
      <c r="E507" s="581"/>
      <c r="F507" s="581"/>
      <c r="G507" s="581"/>
      <c r="H507" s="581"/>
      <c r="I507" s="581"/>
      <c r="J507" s="581"/>
      <c r="K507" s="581"/>
      <c r="L507" s="581"/>
      <c r="M507" s="581"/>
      <c r="N507" s="581"/>
      <c r="O507" s="581"/>
      <c r="P507" s="581"/>
      <c r="Q507" s="581"/>
      <c r="R507" s="581"/>
      <c r="S507" s="581"/>
      <c r="T507" s="581"/>
      <c r="U507" s="581"/>
      <c r="V507" s="581"/>
      <c r="W507" s="581"/>
      <c r="X507" s="581"/>
      <c r="Y507" s="581"/>
    </row>
    <row r="508">
      <c r="A508" s="581"/>
      <c r="B508" s="581"/>
      <c r="C508" s="581"/>
      <c r="D508" s="581"/>
      <c r="E508" s="581"/>
      <c r="F508" s="581"/>
      <c r="G508" s="581"/>
      <c r="H508" s="581"/>
      <c r="I508" s="581"/>
      <c r="J508" s="581"/>
      <c r="K508" s="581"/>
      <c r="L508" s="581"/>
      <c r="M508" s="581"/>
      <c r="N508" s="581"/>
      <c r="O508" s="581"/>
      <c r="P508" s="581"/>
      <c r="Q508" s="581"/>
      <c r="R508" s="581"/>
      <c r="S508" s="581"/>
      <c r="T508" s="581"/>
      <c r="U508" s="581"/>
      <c r="V508" s="581"/>
      <c r="W508" s="581"/>
      <c r="X508" s="581"/>
      <c r="Y508" s="581"/>
    </row>
    <row r="509">
      <c r="A509" s="581"/>
      <c r="B509" s="581"/>
      <c r="C509" s="581"/>
      <c r="D509" s="581"/>
      <c r="E509" s="581"/>
      <c r="F509" s="581"/>
      <c r="G509" s="581"/>
      <c r="H509" s="581"/>
      <c r="I509" s="581"/>
      <c r="J509" s="581"/>
      <c r="K509" s="581"/>
      <c r="L509" s="581"/>
      <c r="M509" s="581"/>
      <c r="N509" s="581"/>
      <c r="O509" s="581"/>
      <c r="P509" s="581"/>
      <c r="Q509" s="581"/>
      <c r="R509" s="581"/>
      <c r="S509" s="581"/>
      <c r="T509" s="581"/>
      <c r="U509" s="581"/>
      <c r="V509" s="581"/>
      <c r="W509" s="581"/>
      <c r="X509" s="581"/>
      <c r="Y509" s="581"/>
    </row>
    <row r="510">
      <c r="A510" s="581"/>
      <c r="B510" s="581"/>
      <c r="C510" s="581"/>
      <c r="D510" s="581"/>
      <c r="E510" s="581"/>
      <c r="F510" s="581"/>
      <c r="G510" s="581"/>
      <c r="H510" s="581"/>
      <c r="I510" s="581"/>
      <c r="J510" s="581"/>
      <c r="K510" s="581"/>
      <c r="L510" s="581"/>
      <c r="M510" s="581"/>
      <c r="N510" s="581"/>
      <c r="O510" s="581"/>
      <c r="P510" s="581"/>
      <c r="Q510" s="581"/>
      <c r="R510" s="581"/>
      <c r="S510" s="581"/>
      <c r="T510" s="581"/>
      <c r="U510" s="581"/>
      <c r="V510" s="581"/>
      <c r="W510" s="581"/>
      <c r="X510" s="581"/>
      <c r="Y510" s="581"/>
    </row>
    <row r="511">
      <c r="A511" s="581"/>
      <c r="B511" s="581"/>
      <c r="C511" s="581"/>
      <c r="D511" s="581"/>
      <c r="E511" s="581"/>
      <c r="F511" s="581"/>
      <c r="G511" s="581"/>
      <c r="H511" s="581"/>
      <c r="I511" s="581"/>
      <c r="J511" s="581"/>
      <c r="K511" s="581"/>
      <c r="L511" s="581"/>
      <c r="M511" s="581"/>
      <c r="N511" s="581"/>
      <c r="O511" s="581"/>
      <c r="P511" s="581"/>
      <c r="Q511" s="581"/>
      <c r="R511" s="581"/>
      <c r="S511" s="581"/>
      <c r="T511" s="581"/>
      <c r="U511" s="581"/>
      <c r="V511" s="581"/>
      <c r="W511" s="581"/>
      <c r="X511" s="581"/>
      <c r="Y511" s="581"/>
    </row>
    <row r="512">
      <c r="A512" s="581"/>
      <c r="B512" s="581"/>
      <c r="C512" s="581"/>
      <c r="D512" s="581"/>
      <c r="E512" s="581"/>
      <c r="F512" s="581"/>
      <c r="G512" s="581"/>
      <c r="H512" s="581"/>
      <c r="I512" s="581"/>
      <c r="J512" s="581"/>
      <c r="K512" s="581"/>
      <c r="L512" s="581"/>
      <c r="M512" s="581"/>
      <c r="N512" s="581"/>
      <c r="O512" s="581"/>
      <c r="P512" s="581"/>
      <c r="Q512" s="581"/>
      <c r="R512" s="581"/>
      <c r="S512" s="581"/>
      <c r="T512" s="581"/>
      <c r="U512" s="581"/>
      <c r="V512" s="581"/>
      <c r="W512" s="581"/>
      <c r="X512" s="581"/>
      <c r="Y512" s="581"/>
    </row>
    <row r="513">
      <c r="A513" s="581"/>
      <c r="B513" s="581"/>
      <c r="C513" s="581"/>
      <c r="D513" s="581"/>
      <c r="E513" s="581"/>
      <c r="F513" s="581"/>
      <c r="G513" s="581"/>
      <c r="H513" s="581"/>
      <c r="I513" s="581"/>
      <c r="J513" s="581"/>
      <c r="K513" s="581"/>
      <c r="L513" s="581"/>
      <c r="M513" s="581"/>
      <c r="N513" s="581"/>
      <c r="O513" s="581"/>
      <c r="P513" s="581"/>
      <c r="Q513" s="581"/>
      <c r="R513" s="581"/>
      <c r="S513" s="581"/>
      <c r="T513" s="581"/>
      <c r="U513" s="581"/>
      <c r="V513" s="581"/>
      <c r="W513" s="581"/>
      <c r="X513" s="581"/>
      <c r="Y513" s="581"/>
    </row>
    <row r="514">
      <c r="A514" s="581"/>
      <c r="B514" s="581"/>
      <c r="C514" s="581"/>
      <c r="D514" s="581"/>
      <c r="E514" s="581"/>
      <c r="F514" s="581"/>
      <c r="G514" s="581"/>
      <c r="H514" s="581"/>
      <c r="I514" s="581"/>
      <c r="J514" s="581"/>
      <c r="K514" s="581"/>
      <c r="L514" s="581"/>
      <c r="M514" s="581"/>
      <c r="N514" s="581"/>
      <c r="O514" s="581"/>
      <c r="P514" s="581"/>
      <c r="Q514" s="581"/>
      <c r="R514" s="581"/>
      <c r="S514" s="581"/>
      <c r="T514" s="581"/>
      <c r="U514" s="581"/>
      <c r="V514" s="581"/>
      <c r="W514" s="581"/>
      <c r="X514" s="581"/>
      <c r="Y514" s="581"/>
    </row>
    <row r="515">
      <c r="A515" s="581"/>
      <c r="B515" s="581"/>
      <c r="C515" s="581"/>
      <c r="D515" s="581"/>
      <c r="E515" s="581"/>
      <c r="F515" s="581"/>
      <c r="G515" s="581"/>
      <c r="H515" s="581"/>
      <c r="I515" s="581"/>
      <c r="J515" s="581"/>
      <c r="K515" s="581"/>
      <c r="L515" s="581"/>
      <c r="M515" s="581"/>
      <c r="N515" s="581"/>
      <c r="O515" s="581"/>
      <c r="P515" s="581"/>
      <c r="Q515" s="581"/>
      <c r="R515" s="581"/>
      <c r="S515" s="581"/>
      <c r="T515" s="581"/>
      <c r="U515" s="581"/>
      <c r="V515" s="581"/>
      <c r="W515" s="581"/>
      <c r="X515" s="581"/>
      <c r="Y515" s="581"/>
    </row>
    <row r="516">
      <c r="A516" s="581"/>
      <c r="B516" s="581"/>
      <c r="C516" s="581"/>
      <c r="D516" s="581"/>
      <c r="E516" s="581"/>
      <c r="F516" s="581"/>
      <c r="G516" s="581"/>
      <c r="H516" s="581"/>
      <c r="I516" s="581"/>
      <c r="J516" s="581"/>
      <c r="K516" s="581"/>
      <c r="L516" s="581"/>
      <c r="M516" s="581"/>
      <c r="N516" s="581"/>
      <c r="O516" s="581"/>
      <c r="P516" s="581"/>
      <c r="Q516" s="581"/>
      <c r="R516" s="581"/>
      <c r="S516" s="581"/>
      <c r="T516" s="581"/>
      <c r="U516" s="581"/>
      <c r="V516" s="581"/>
      <c r="W516" s="581"/>
      <c r="X516" s="581"/>
      <c r="Y516" s="581"/>
    </row>
    <row r="517">
      <c r="A517" s="581"/>
      <c r="B517" s="581"/>
      <c r="C517" s="581"/>
      <c r="D517" s="581"/>
      <c r="E517" s="581"/>
      <c r="F517" s="581"/>
      <c r="G517" s="581"/>
      <c r="H517" s="581"/>
      <c r="I517" s="581"/>
      <c r="J517" s="581"/>
      <c r="K517" s="581"/>
      <c r="L517" s="581"/>
      <c r="M517" s="581"/>
      <c r="N517" s="581"/>
      <c r="O517" s="581"/>
      <c r="P517" s="581"/>
      <c r="Q517" s="581"/>
      <c r="R517" s="581"/>
      <c r="S517" s="581"/>
      <c r="T517" s="581"/>
      <c r="U517" s="581"/>
      <c r="V517" s="581"/>
      <c r="W517" s="581"/>
      <c r="X517" s="581"/>
      <c r="Y517" s="581"/>
    </row>
    <row r="518">
      <c r="A518" s="581"/>
      <c r="B518" s="581"/>
      <c r="C518" s="581"/>
      <c r="D518" s="581"/>
      <c r="E518" s="581"/>
      <c r="F518" s="581"/>
      <c r="G518" s="581"/>
      <c r="H518" s="581"/>
      <c r="I518" s="581"/>
      <c r="J518" s="581"/>
      <c r="K518" s="581"/>
      <c r="L518" s="581"/>
      <c r="M518" s="581"/>
      <c r="N518" s="581"/>
      <c r="O518" s="581"/>
      <c r="P518" s="581"/>
      <c r="Q518" s="581"/>
      <c r="R518" s="581"/>
      <c r="S518" s="581"/>
      <c r="T518" s="581"/>
      <c r="U518" s="581"/>
      <c r="V518" s="581"/>
      <c r="W518" s="581"/>
      <c r="X518" s="581"/>
      <c r="Y518" s="581"/>
    </row>
    <row r="519">
      <c r="A519" s="581"/>
      <c r="B519" s="581"/>
      <c r="C519" s="581"/>
      <c r="D519" s="581"/>
      <c r="E519" s="581"/>
      <c r="F519" s="581"/>
      <c r="G519" s="581"/>
      <c r="H519" s="581"/>
      <c r="I519" s="581"/>
      <c r="J519" s="581"/>
      <c r="K519" s="581"/>
      <c r="L519" s="581"/>
      <c r="M519" s="581"/>
      <c r="N519" s="581"/>
      <c r="O519" s="581"/>
      <c r="P519" s="581"/>
      <c r="Q519" s="581"/>
      <c r="R519" s="581"/>
      <c r="S519" s="581"/>
      <c r="T519" s="581"/>
      <c r="U519" s="581"/>
      <c r="V519" s="581"/>
      <c r="W519" s="581"/>
      <c r="X519" s="581"/>
      <c r="Y519" s="581"/>
    </row>
    <row r="520">
      <c r="A520" s="581"/>
      <c r="B520" s="581"/>
      <c r="C520" s="581"/>
      <c r="D520" s="581"/>
      <c r="E520" s="581"/>
      <c r="F520" s="581"/>
      <c r="G520" s="581"/>
      <c r="H520" s="581"/>
      <c r="I520" s="581"/>
      <c r="J520" s="581"/>
      <c r="K520" s="581"/>
      <c r="L520" s="581"/>
      <c r="M520" s="581"/>
      <c r="N520" s="581"/>
      <c r="O520" s="581"/>
      <c r="P520" s="581"/>
      <c r="Q520" s="581"/>
      <c r="R520" s="581"/>
      <c r="S520" s="581"/>
      <c r="T520" s="581"/>
      <c r="U520" s="581"/>
      <c r="V520" s="581"/>
      <c r="W520" s="581"/>
      <c r="X520" s="581"/>
      <c r="Y520" s="581"/>
    </row>
    <row r="521">
      <c r="A521" s="581"/>
      <c r="B521" s="581"/>
      <c r="C521" s="581"/>
      <c r="D521" s="581"/>
      <c r="E521" s="581"/>
      <c r="F521" s="581"/>
      <c r="G521" s="581"/>
      <c r="H521" s="581"/>
      <c r="I521" s="581"/>
      <c r="J521" s="581"/>
      <c r="K521" s="581"/>
      <c r="L521" s="581"/>
      <c r="M521" s="581"/>
      <c r="N521" s="581"/>
      <c r="O521" s="581"/>
      <c r="P521" s="581"/>
      <c r="Q521" s="581"/>
      <c r="R521" s="581"/>
      <c r="S521" s="581"/>
      <c r="T521" s="581"/>
      <c r="U521" s="581"/>
      <c r="V521" s="581"/>
      <c r="W521" s="581"/>
      <c r="X521" s="581"/>
      <c r="Y521" s="581"/>
    </row>
    <row r="522">
      <c r="A522" s="581"/>
      <c r="B522" s="581"/>
      <c r="C522" s="581"/>
      <c r="D522" s="581"/>
      <c r="E522" s="581"/>
      <c r="F522" s="581"/>
      <c r="G522" s="581"/>
      <c r="H522" s="581"/>
      <c r="I522" s="581"/>
      <c r="J522" s="581"/>
      <c r="K522" s="581"/>
      <c r="L522" s="581"/>
      <c r="M522" s="581"/>
      <c r="N522" s="581"/>
      <c r="O522" s="581"/>
      <c r="P522" s="581"/>
      <c r="Q522" s="581"/>
      <c r="R522" s="581"/>
      <c r="S522" s="581"/>
      <c r="T522" s="581"/>
      <c r="U522" s="581"/>
      <c r="V522" s="581"/>
      <c r="W522" s="581"/>
      <c r="X522" s="581"/>
      <c r="Y522" s="581"/>
    </row>
    <row r="523">
      <c r="A523" s="581"/>
      <c r="B523" s="581"/>
      <c r="C523" s="581"/>
      <c r="D523" s="581"/>
      <c r="E523" s="581"/>
      <c r="F523" s="581"/>
      <c r="G523" s="581"/>
      <c r="H523" s="581"/>
      <c r="I523" s="581"/>
      <c r="J523" s="581"/>
      <c r="K523" s="581"/>
      <c r="L523" s="581"/>
      <c r="M523" s="581"/>
      <c r="N523" s="581"/>
      <c r="O523" s="581"/>
      <c r="P523" s="581"/>
      <c r="Q523" s="581"/>
      <c r="R523" s="581"/>
      <c r="S523" s="581"/>
      <c r="T523" s="581"/>
      <c r="U523" s="581"/>
      <c r="V523" s="581"/>
      <c r="W523" s="581"/>
      <c r="X523" s="581"/>
      <c r="Y523" s="581"/>
    </row>
    <row r="524">
      <c r="A524" s="581"/>
      <c r="B524" s="581"/>
      <c r="C524" s="581"/>
      <c r="D524" s="581"/>
      <c r="E524" s="581"/>
      <c r="F524" s="581"/>
      <c r="G524" s="581"/>
      <c r="H524" s="581"/>
      <c r="I524" s="581"/>
      <c r="J524" s="581"/>
      <c r="K524" s="581"/>
      <c r="L524" s="581"/>
      <c r="M524" s="581"/>
      <c r="N524" s="581"/>
      <c r="O524" s="581"/>
      <c r="P524" s="581"/>
      <c r="Q524" s="581"/>
      <c r="R524" s="581"/>
      <c r="S524" s="581"/>
      <c r="T524" s="581"/>
      <c r="U524" s="581"/>
      <c r="V524" s="581"/>
      <c r="W524" s="581"/>
      <c r="X524" s="581"/>
      <c r="Y524" s="581"/>
    </row>
    <row r="525">
      <c r="A525" s="581"/>
      <c r="B525" s="581"/>
      <c r="C525" s="581"/>
      <c r="D525" s="581"/>
      <c r="E525" s="581"/>
      <c r="F525" s="581"/>
      <c r="G525" s="581"/>
      <c r="H525" s="581"/>
      <c r="I525" s="581"/>
      <c r="J525" s="581"/>
      <c r="K525" s="581"/>
      <c r="L525" s="581"/>
      <c r="M525" s="581"/>
      <c r="N525" s="581"/>
      <c r="O525" s="581"/>
      <c r="P525" s="581"/>
      <c r="Q525" s="581"/>
      <c r="R525" s="581"/>
      <c r="S525" s="581"/>
      <c r="T525" s="581"/>
      <c r="U525" s="581"/>
      <c r="V525" s="581"/>
      <c r="W525" s="581"/>
      <c r="X525" s="581"/>
      <c r="Y525" s="581"/>
    </row>
    <row r="526">
      <c r="A526" s="581"/>
      <c r="B526" s="581"/>
      <c r="C526" s="581"/>
      <c r="D526" s="581"/>
      <c r="E526" s="581"/>
      <c r="F526" s="581"/>
      <c r="G526" s="581"/>
      <c r="H526" s="581"/>
      <c r="I526" s="581"/>
      <c r="J526" s="581"/>
      <c r="K526" s="581"/>
      <c r="L526" s="581"/>
      <c r="M526" s="581"/>
      <c r="N526" s="581"/>
      <c r="O526" s="581"/>
      <c r="P526" s="581"/>
      <c r="Q526" s="581"/>
      <c r="R526" s="581"/>
      <c r="S526" s="581"/>
      <c r="T526" s="581"/>
      <c r="U526" s="581"/>
      <c r="V526" s="581"/>
      <c r="W526" s="581"/>
      <c r="X526" s="581"/>
      <c r="Y526" s="581"/>
    </row>
    <row r="527">
      <c r="A527" s="581"/>
      <c r="B527" s="581"/>
      <c r="C527" s="581"/>
      <c r="D527" s="581"/>
      <c r="E527" s="581"/>
      <c r="F527" s="581"/>
      <c r="G527" s="581"/>
      <c r="H527" s="581"/>
      <c r="I527" s="581"/>
      <c r="J527" s="581"/>
      <c r="K527" s="581"/>
      <c r="L527" s="581"/>
      <c r="M527" s="581"/>
      <c r="N527" s="581"/>
      <c r="O527" s="581"/>
      <c r="P527" s="581"/>
      <c r="Q527" s="581"/>
      <c r="R527" s="581"/>
      <c r="S527" s="581"/>
      <c r="T527" s="581"/>
      <c r="U527" s="581"/>
      <c r="V527" s="581"/>
      <c r="W527" s="581"/>
      <c r="X527" s="581"/>
      <c r="Y527" s="581"/>
    </row>
    <row r="528">
      <c r="A528" s="581"/>
      <c r="B528" s="581"/>
      <c r="C528" s="581"/>
      <c r="D528" s="581"/>
      <c r="E528" s="581"/>
      <c r="F528" s="581"/>
      <c r="G528" s="581"/>
      <c r="H528" s="581"/>
      <c r="I528" s="581"/>
      <c r="J528" s="581"/>
      <c r="K528" s="581"/>
      <c r="L528" s="581"/>
      <c r="M528" s="581"/>
      <c r="N528" s="581"/>
      <c r="O528" s="581"/>
      <c r="P528" s="581"/>
      <c r="Q528" s="581"/>
      <c r="R528" s="581"/>
      <c r="S528" s="581"/>
      <c r="T528" s="581"/>
      <c r="U528" s="581"/>
      <c r="V528" s="581"/>
      <c r="W528" s="581"/>
      <c r="X528" s="581"/>
      <c r="Y528" s="581"/>
    </row>
    <row r="529">
      <c r="A529" s="581"/>
      <c r="B529" s="581"/>
      <c r="C529" s="581"/>
      <c r="D529" s="581"/>
      <c r="E529" s="581"/>
      <c r="F529" s="581"/>
      <c r="G529" s="581"/>
      <c r="H529" s="581"/>
      <c r="I529" s="581"/>
      <c r="J529" s="581"/>
      <c r="K529" s="581"/>
      <c r="L529" s="581"/>
      <c r="M529" s="581"/>
      <c r="N529" s="581"/>
      <c r="O529" s="581"/>
      <c r="P529" s="581"/>
      <c r="Q529" s="581"/>
      <c r="R529" s="581"/>
      <c r="S529" s="581"/>
      <c r="T529" s="581"/>
      <c r="U529" s="581"/>
      <c r="V529" s="581"/>
      <c r="W529" s="581"/>
      <c r="X529" s="581"/>
      <c r="Y529" s="581"/>
    </row>
    <row r="530">
      <c r="A530" s="581"/>
      <c r="B530" s="581"/>
      <c r="C530" s="581"/>
      <c r="D530" s="581"/>
      <c r="E530" s="581"/>
      <c r="F530" s="581"/>
      <c r="G530" s="581"/>
      <c r="H530" s="581"/>
      <c r="I530" s="581"/>
      <c r="J530" s="581"/>
      <c r="K530" s="581"/>
      <c r="L530" s="581"/>
      <c r="M530" s="581"/>
      <c r="N530" s="581"/>
      <c r="O530" s="581"/>
      <c r="P530" s="581"/>
      <c r="Q530" s="581"/>
      <c r="R530" s="581"/>
      <c r="S530" s="581"/>
      <c r="T530" s="581"/>
      <c r="U530" s="581"/>
      <c r="V530" s="581"/>
      <c r="W530" s="581"/>
      <c r="X530" s="581"/>
      <c r="Y530" s="581"/>
    </row>
    <row r="531">
      <c r="A531" s="581"/>
      <c r="B531" s="581"/>
      <c r="C531" s="581"/>
      <c r="D531" s="581"/>
      <c r="E531" s="581"/>
      <c r="F531" s="581"/>
      <c r="G531" s="581"/>
      <c r="H531" s="581"/>
      <c r="I531" s="581"/>
      <c r="J531" s="581"/>
      <c r="K531" s="581"/>
      <c r="L531" s="581"/>
      <c r="M531" s="581"/>
      <c r="N531" s="581"/>
      <c r="O531" s="581"/>
      <c r="P531" s="581"/>
      <c r="Q531" s="581"/>
      <c r="R531" s="581"/>
      <c r="S531" s="581"/>
      <c r="T531" s="581"/>
      <c r="U531" s="581"/>
      <c r="V531" s="581"/>
      <c r="W531" s="581"/>
      <c r="X531" s="581"/>
      <c r="Y531" s="581"/>
    </row>
    <row r="532">
      <c r="A532" s="581"/>
      <c r="B532" s="581"/>
      <c r="C532" s="581"/>
      <c r="D532" s="581"/>
      <c r="E532" s="581"/>
      <c r="F532" s="581"/>
      <c r="G532" s="581"/>
      <c r="H532" s="581"/>
      <c r="I532" s="581"/>
      <c r="J532" s="581"/>
      <c r="K532" s="581"/>
      <c r="L532" s="581"/>
      <c r="M532" s="581"/>
      <c r="N532" s="581"/>
      <c r="O532" s="581"/>
      <c r="P532" s="581"/>
      <c r="Q532" s="581"/>
      <c r="R532" s="581"/>
      <c r="S532" s="581"/>
      <c r="T532" s="581"/>
      <c r="U532" s="581"/>
      <c r="V532" s="581"/>
      <c r="W532" s="581"/>
      <c r="X532" s="581"/>
      <c r="Y532" s="581"/>
    </row>
    <row r="533">
      <c r="A533" s="581"/>
      <c r="B533" s="581"/>
      <c r="C533" s="581"/>
      <c r="D533" s="581"/>
      <c r="E533" s="581"/>
      <c r="F533" s="581"/>
      <c r="G533" s="581"/>
      <c r="H533" s="581"/>
      <c r="I533" s="581"/>
      <c r="J533" s="581"/>
      <c r="K533" s="581"/>
      <c r="L533" s="581"/>
      <c r="M533" s="581"/>
      <c r="N533" s="581"/>
      <c r="O533" s="581"/>
      <c r="P533" s="581"/>
      <c r="Q533" s="581"/>
      <c r="R533" s="581"/>
      <c r="S533" s="581"/>
      <c r="T533" s="581"/>
      <c r="U533" s="581"/>
      <c r="V533" s="581"/>
      <c r="W533" s="581"/>
      <c r="X533" s="581"/>
      <c r="Y533" s="581"/>
    </row>
    <row r="534">
      <c r="A534" s="581"/>
      <c r="B534" s="581"/>
      <c r="C534" s="581"/>
      <c r="D534" s="581"/>
      <c r="E534" s="581"/>
      <c r="F534" s="581"/>
      <c r="G534" s="581"/>
      <c r="H534" s="581"/>
      <c r="I534" s="581"/>
      <c r="J534" s="581"/>
      <c r="K534" s="581"/>
      <c r="L534" s="581"/>
      <c r="M534" s="581"/>
      <c r="N534" s="581"/>
      <c r="O534" s="581"/>
      <c r="P534" s="581"/>
      <c r="Q534" s="581"/>
      <c r="R534" s="581"/>
      <c r="S534" s="581"/>
      <c r="T534" s="581"/>
      <c r="U534" s="581"/>
      <c r="V534" s="581"/>
      <c r="W534" s="581"/>
      <c r="X534" s="581"/>
      <c r="Y534" s="581"/>
    </row>
    <row r="535">
      <c r="A535" s="581"/>
      <c r="B535" s="581"/>
      <c r="C535" s="581"/>
      <c r="D535" s="581"/>
      <c r="E535" s="581"/>
      <c r="F535" s="581"/>
      <c r="G535" s="581"/>
      <c r="H535" s="581"/>
      <c r="I535" s="581"/>
      <c r="J535" s="581"/>
      <c r="K535" s="581"/>
      <c r="L535" s="581"/>
      <c r="M535" s="581"/>
      <c r="N535" s="581"/>
      <c r="O535" s="581"/>
      <c r="P535" s="581"/>
      <c r="Q535" s="581"/>
      <c r="R535" s="581"/>
      <c r="S535" s="581"/>
      <c r="T535" s="581"/>
      <c r="U535" s="581"/>
      <c r="V535" s="581"/>
      <c r="W535" s="581"/>
      <c r="X535" s="581"/>
      <c r="Y535" s="581"/>
    </row>
    <row r="536">
      <c r="A536" s="581"/>
      <c r="B536" s="581"/>
      <c r="C536" s="581"/>
      <c r="D536" s="581"/>
      <c r="E536" s="581"/>
      <c r="F536" s="581"/>
      <c r="G536" s="581"/>
      <c r="H536" s="581"/>
      <c r="I536" s="581"/>
      <c r="J536" s="581"/>
      <c r="K536" s="581"/>
      <c r="L536" s="581"/>
      <c r="M536" s="581"/>
      <c r="N536" s="581"/>
      <c r="O536" s="581"/>
      <c r="P536" s="581"/>
      <c r="Q536" s="581"/>
      <c r="R536" s="581"/>
      <c r="S536" s="581"/>
      <c r="T536" s="581"/>
      <c r="U536" s="581"/>
      <c r="V536" s="581"/>
      <c r="W536" s="581"/>
      <c r="X536" s="581"/>
      <c r="Y536" s="581"/>
    </row>
    <row r="537">
      <c r="A537" s="581"/>
      <c r="B537" s="581"/>
      <c r="C537" s="581"/>
      <c r="D537" s="581"/>
      <c r="E537" s="581"/>
      <c r="F537" s="581"/>
      <c r="G537" s="581"/>
      <c r="H537" s="581"/>
      <c r="I537" s="581"/>
      <c r="J537" s="581"/>
      <c r="K537" s="581"/>
      <c r="L537" s="581"/>
      <c r="M537" s="581"/>
      <c r="N537" s="581"/>
      <c r="O537" s="581"/>
      <c r="P537" s="581"/>
      <c r="Q537" s="581"/>
      <c r="R537" s="581"/>
      <c r="S537" s="581"/>
      <c r="T537" s="581"/>
      <c r="U537" s="581"/>
      <c r="V537" s="581"/>
      <c r="W537" s="581"/>
      <c r="X537" s="581"/>
      <c r="Y537" s="581"/>
    </row>
    <row r="538">
      <c r="A538" s="581"/>
      <c r="B538" s="581"/>
      <c r="C538" s="581"/>
      <c r="D538" s="581"/>
      <c r="E538" s="581"/>
      <c r="F538" s="581"/>
      <c r="G538" s="581"/>
      <c r="H538" s="581"/>
      <c r="I538" s="581"/>
      <c r="J538" s="581"/>
      <c r="K538" s="581"/>
      <c r="L538" s="581"/>
      <c r="M538" s="581"/>
      <c r="N538" s="581"/>
      <c r="O538" s="581"/>
      <c r="P538" s="581"/>
      <c r="Q538" s="581"/>
      <c r="R538" s="581"/>
      <c r="S538" s="581"/>
      <c r="T538" s="581"/>
      <c r="U538" s="581"/>
      <c r="V538" s="581"/>
      <c r="W538" s="581"/>
      <c r="X538" s="581"/>
      <c r="Y538" s="581"/>
    </row>
    <row r="539">
      <c r="A539" s="581"/>
      <c r="B539" s="581"/>
      <c r="C539" s="581"/>
      <c r="D539" s="581"/>
      <c r="E539" s="581"/>
      <c r="F539" s="581"/>
      <c r="G539" s="581"/>
      <c r="H539" s="581"/>
      <c r="I539" s="581"/>
      <c r="J539" s="581"/>
      <c r="K539" s="581"/>
      <c r="L539" s="581"/>
      <c r="M539" s="581"/>
      <c r="N539" s="581"/>
      <c r="O539" s="581"/>
      <c r="P539" s="581"/>
      <c r="Q539" s="581"/>
      <c r="R539" s="581"/>
      <c r="S539" s="581"/>
      <c r="T539" s="581"/>
      <c r="U539" s="581"/>
      <c r="V539" s="581"/>
      <c r="W539" s="581"/>
      <c r="X539" s="581"/>
      <c r="Y539" s="581"/>
    </row>
    <row r="540">
      <c r="A540" s="581"/>
      <c r="B540" s="581"/>
      <c r="C540" s="581"/>
      <c r="D540" s="581"/>
      <c r="E540" s="581"/>
      <c r="F540" s="581"/>
      <c r="G540" s="581"/>
      <c r="H540" s="581"/>
      <c r="I540" s="581"/>
      <c r="J540" s="581"/>
      <c r="K540" s="581"/>
      <c r="L540" s="581"/>
      <c r="M540" s="581"/>
      <c r="N540" s="581"/>
      <c r="O540" s="581"/>
      <c r="P540" s="581"/>
      <c r="Q540" s="581"/>
      <c r="R540" s="581"/>
      <c r="S540" s="581"/>
      <c r="T540" s="581"/>
      <c r="U540" s="581"/>
      <c r="V540" s="581"/>
      <c r="W540" s="581"/>
      <c r="X540" s="581"/>
      <c r="Y540" s="581"/>
    </row>
    <row r="541">
      <c r="A541" s="581"/>
      <c r="B541" s="581"/>
      <c r="C541" s="581"/>
      <c r="D541" s="581"/>
      <c r="E541" s="581"/>
      <c r="F541" s="581"/>
      <c r="G541" s="581"/>
      <c r="H541" s="581"/>
      <c r="I541" s="581"/>
      <c r="J541" s="581"/>
      <c r="K541" s="581"/>
      <c r="L541" s="581"/>
      <c r="M541" s="581"/>
      <c r="N541" s="581"/>
      <c r="O541" s="581"/>
      <c r="P541" s="581"/>
      <c r="Q541" s="581"/>
      <c r="R541" s="581"/>
      <c r="S541" s="581"/>
      <c r="T541" s="581"/>
      <c r="U541" s="581"/>
      <c r="V541" s="581"/>
      <c r="W541" s="581"/>
      <c r="X541" s="581"/>
      <c r="Y541" s="581"/>
    </row>
    <row r="542">
      <c r="A542" s="581"/>
      <c r="B542" s="581"/>
      <c r="C542" s="581"/>
      <c r="D542" s="581"/>
      <c r="E542" s="581"/>
      <c r="F542" s="581"/>
      <c r="G542" s="581"/>
      <c r="H542" s="581"/>
      <c r="I542" s="581"/>
      <c r="J542" s="581"/>
      <c r="K542" s="581"/>
      <c r="L542" s="581"/>
      <c r="M542" s="581"/>
      <c r="N542" s="581"/>
      <c r="O542" s="581"/>
      <c r="P542" s="581"/>
      <c r="Q542" s="581"/>
      <c r="R542" s="581"/>
      <c r="S542" s="581"/>
      <c r="T542" s="581"/>
      <c r="U542" s="581"/>
      <c r="V542" s="581"/>
      <c r="W542" s="581"/>
      <c r="X542" s="581"/>
      <c r="Y542" s="581"/>
    </row>
    <row r="543">
      <c r="A543" s="581"/>
      <c r="B543" s="581"/>
      <c r="C543" s="581"/>
      <c r="D543" s="581"/>
      <c r="E543" s="581"/>
      <c r="F543" s="581"/>
      <c r="G543" s="581"/>
      <c r="H543" s="581"/>
      <c r="I543" s="581"/>
      <c r="J543" s="581"/>
      <c r="K543" s="581"/>
      <c r="L543" s="581"/>
      <c r="M543" s="581"/>
      <c r="N543" s="581"/>
      <c r="O543" s="581"/>
      <c r="P543" s="581"/>
      <c r="Q543" s="581"/>
      <c r="R543" s="581"/>
      <c r="S543" s="581"/>
      <c r="T543" s="581"/>
      <c r="U543" s="581"/>
      <c r="V543" s="581"/>
      <c r="W543" s="581"/>
      <c r="X543" s="581"/>
      <c r="Y543" s="581"/>
    </row>
    <row r="544">
      <c r="A544" s="581"/>
      <c r="B544" s="581"/>
      <c r="C544" s="581"/>
      <c r="D544" s="581"/>
      <c r="E544" s="581"/>
      <c r="F544" s="581"/>
      <c r="G544" s="581"/>
      <c r="H544" s="581"/>
      <c r="I544" s="581"/>
      <c r="J544" s="581"/>
      <c r="K544" s="581"/>
      <c r="L544" s="581"/>
      <c r="M544" s="581"/>
      <c r="N544" s="581"/>
      <c r="O544" s="581"/>
      <c r="P544" s="581"/>
      <c r="Q544" s="581"/>
      <c r="R544" s="581"/>
      <c r="S544" s="581"/>
      <c r="T544" s="581"/>
      <c r="U544" s="581"/>
      <c r="V544" s="581"/>
      <c r="W544" s="581"/>
      <c r="X544" s="581"/>
      <c r="Y544" s="581"/>
    </row>
    <row r="545">
      <c r="A545" s="581"/>
      <c r="B545" s="581"/>
      <c r="C545" s="581"/>
      <c r="D545" s="581"/>
      <c r="E545" s="581"/>
      <c r="F545" s="581"/>
      <c r="G545" s="581"/>
      <c r="H545" s="581"/>
      <c r="I545" s="581"/>
      <c r="J545" s="581"/>
      <c r="K545" s="581"/>
      <c r="L545" s="581"/>
      <c r="M545" s="581"/>
      <c r="N545" s="581"/>
      <c r="O545" s="581"/>
      <c r="P545" s="581"/>
      <c r="Q545" s="581"/>
      <c r="R545" s="581"/>
      <c r="S545" s="581"/>
      <c r="T545" s="581"/>
      <c r="U545" s="581"/>
      <c r="V545" s="581"/>
      <c r="W545" s="581"/>
      <c r="X545" s="581"/>
      <c r="Y545" s="581"/>
    </row>
    <row r="546">
      <c r="A546" s="581"/>
      <c r="B546" s="581"/>
      <c r="C546" s="581"/>
      <c r="D546" s="581"/>
      <c r="E546" s="581"/>
      <c r="F546" s="581"/>
      <c r="G546" s="581"/>
      <c r="H546" s="581"/>
      <c r="I546" s="581"/>
      <c r="J546" s="581"/>
      <c r="K546" s="581"/>
      <c r="L546" s="581"/>
      <c r="M546" s="581"/>
      <c r="N546" s="581"/>
      <c r="O546" s="581"/>
      <c r="P546" s="581"/>
      <c r="Q546" s="581"/>
      <c r="R546" s="581"/>
      <c r="S546" s="581"/>
      <c r="T546" s="581"/>
      <c r="U546" s="581"/>
      <c r="V546" s="581"/>
      <c r="W546" s="581"/>
      <c r="X546" s="581"/>
      <c r="Y546" s="581"/>
    </row>
    <row r="547">
      <c r="A547" s="581"/>
      <c r="B547" s="581"/>
      <c r="C547" s="581"/>
      <c r="D547" s="581"/>
      <c r="E547" s="581"/>
      <c r="F547" s="581"/>
      <c r="G547" s="581"/>
      <c r="H547" s="581"/>
      <c r="I547" s="581"/>
      <c r="J547" s="581"/>
      <c r="K547" s="581"/>
      <c r="L547" s="581"/>
      <c r="M547" s="581"/>
      <c r="N547" s="581"/>
      <c r="O547" s="581"/>
      <c r="P547" s="581"/>
      <c r="Q547" s="581"/>
      <c r="R547" s="581"/>
      <c r="S547" s="581"/>
      <c r="T547" s="581"/>
      <c r="U547" s="581"/>
      <c r="V547" s="581"/>
      <c r="W547" s="581"/>
      <c r="X547" s="581"/>
      <c r="Y547" s="581"/>
    </row>
    <row r="548">
      <c r="A548" s="581"/>
      <c r="B548" s="581"/>
      <c r="C548" s="581"/>
      <c r="D548" s="581"/>
      <c r="E548" s="581"/>
      <c r="F548" s="581"/>
      <c r="G548" s="581"/>
      <c r="H548" s="581"/>
      <c r="I548" s="581"/>
      <c r="J548" s="581"/>
      <c r="K548" s="581"/>
      <c r="L548" s="581"/>
      <c r="M548" s="581"/>
      <c r="N548" s="581"/>
      <c r="O548" s="581"/>
      <c r="P548" s="581"/>
      <c r="Q548" s="581"/>
      <c r="R548" s="581"/>
      <c r="S548" s="581"/>
      <c r="T548" s="581"/>
      <c r="U548" s="581"/>
      <c r="V548" s="581"/>
      <c r="W548" s="581"/>
      <c r="X548" s="581"/>
      <c r="Y548" s="581"/>
    </row>
    <row r="549">
      <c r="A549" s="581"/>
      <c r="B549" s="581"/>
      <c r="C549" s="581"/>
      <c r="D549" s="581"/>
      <c r="E549" s="581"/>
      <c r="F549" s="581"/>
      <c r="G549" s="581"/>
      <c r="H549" s="581"/>
      <c r="I549" s="581"/>
      <c r="J549" s="581"/>
      <c r="K549" s="581"/>
      <c r="L549" s="581"/>
      <c r="M549" s="581"/>
      <c r="N549" s="581"/>
      <c r="O549" s="581"/>
      <c r="P549" s="581"/>
      <c r="Q549" s="581"/>
      <c r="R549" s="581"/>
      <c r="S549" s="581"/>
      <c r="T549" s="581"/>
      <c r="U549" s="581"/>
      <c r="V549" s="581"/>
      <c r="W549" s="581"/>
      <c r="X549" s="581"/>
      <c r="Y549" s="581"/>
    </row>
    <row r="550">
      <c r="A550" s="581"/>
      <c r="B550" s="581"/>
      <c r="C550" s="581"/>
      <c r="D550" s="581"/>
      <c r="E550" s="581"/>
      <c r="F550" s="581"/>
      <c r="G550" s="581"/>
      <c r="H550" s="581"/>
      <c r="I550" s="581"/>
      <c r="J550" s="581"/>
      <c r="K550" s="581"/>
      <c r="L550" s="581"/>
      <c r="M550" s="581"/>
      <c r="N550" s="581"/>
      <c r="O550" s="581"/>
      <c r="P550" s="581"/>
      <c r="Q550" s="581"/>
      <c r="R550" s="581"/>
      <c r="S550" s="581"/>
      <c r="T550" s="581"/>
      <c r="U550" s="581"/>
      <c r="V550" s="581"/>
      <c r="W550" s="581"/>
      <c r="X550" s="581"/>
      <c r="Y550" s="581"/>
    </row>
    <row r="551">
      <c r="A551" s="581"/>
      <c r="B551" s="581"/>
      <c r="C551" s="581"/>
      <c r="D551" s="581"/>
      <c r="E551" s="581"/>
      <c r="F551" s="581"/>
      <c r="G551" s="581"/>
      <c r="H551" s="581"/>
      <c r="I551" s="581"/>
      <c r="J551" s="581"/>
      <c r="K551" s="581"/>
      <c r="L551" s="581"/>
      <c r="M551" s="581"/>
      <c r="N551" s="581"/>
      <c r="O551" s="581"/>
      <c r="P551" s="581"/>
      <c r="Q551" s="581"/>
      <c r="R551" s="581"/>
      <c r="S551" s="581"/>
      <c r="T551" s="581"/>
      <c r="U551" s="581"/>
      <c r="V551" s="581"/>
      <c r="W551" s="581"/>
      <c r="X551" s="581"/>
      <c r="Y551" s="581"/>
    </row>
    <row r="552">
      <c r="A552" s="581"/>
      <c r="B552" s="581"/>
      <c r="C552" s="581"/>
      <c r="D552" s="581"/>
      <c r="E552" s="581"/>
      <c r="F552" s="581"/>
      <c r="G552" s="581"/>
      <c r="H552" s="581"/>
      <c r="I552" s="581"/>
      <c r="J552" s="581"/>
      <c r="K552" s="581"/>
      <c r="L552" s="581"/>
      <c r="M552" s="581"/>
      <c r="N552" s="581"/>
      <c r="O552" s="581"/>
      <c r="P552" s="581"/>
      <c r="Q552" s="581"/>
      <c r="R552" s="581"/>
      <c r="S552" s="581"/>
      <c r="T552" s="581"/>
      <c r="U552" s="581"/>
      <c r="V552" s="581"/>
      <c r="W552" s="581"/>
      <c r="X552" s="581"/>
      <c r="Y552" s="581"/>
    </row>
    <row r="553">
      <c r="A553" s="581"/>
      <c r="B553" s="581"/>
      <c r="C553" s="581"/>
      <c r="D553" s="581"/>
      <c r="E553" s="581"/>
      <c r="F553" s="581"/>
      <c r="G553" s="581"/>
      <c r="H553" s="581"/>
      <c r="I553" s="581"/>
      <c r="J553" s="581"/>
      <c r="K553" s="581"/>
      <c r="L553" s="581"/>
      <c r="M553" s="581"/>
      <c r="N553" s="581"/>
      <c r="O553" s="581"/>
      <c r="P553" s="581"/>
      <c r="Q553" s="581"/>
      <c r="R553" s="581"/>
      <c r="S553" s="581"/>
      <c r="T553" s="581"/>
      <c r="U553" s="581"/>
      <c r="V553" s="581"/>
      <c r="W553" s="581"/>
      <c r="X553" s="581"/>
      <c r="Y553" s="581"/>
    </row>
    <row r="554">
      <c r="A554" s="581"/>
      <c r="B554" s="581"/>
      <c r="C554" s="581"/>
      <c r="D554" s="581"/>
      <c r="E554" s="581"/>
      <c r="F554" s="581"/>
      <c r="G554" s="581"/>
      <c r="H554" s="581"/>
      <c r="I554" s="581"/>
      <c r="J554" s="581"/>
      <c r="K554" s="581"/>
      <c r="L554" s="581"/>
      <c r="M554" s="581"/>
      <c r="N554" s="581"/>
      <c r="O554" s="581"/>
      <c r="P554" s="581"/>
      <c r="Q554" s="581"/>
      <c r="R554" s="581"/>
      <c r="S554" s="581"/>
      <c r="T554" s="581"/>
      <c r="U554" s="581"/>
      <c r="V554" s="581"/>
      <c r="W554" s="581"/>
      <c r="X554" s="581"/>
      <c r="Y554" s="581"/>
    </row>
    <row r="555">
      <c r="A555" s="581"/>
      <c r="B555" s="581"/>
      <c r="C555" s="581"/>
      <c r="D555" s="581"/>
      <c r="E555" s="581"/>
      <c r="F555" s="581"/>
      <c r="G555" s="581"/>
      <c r="H555" s="581"/>
      <c r="I555" s="581"/>
      <c r="J555" s="581"/>
      <c r="K555" s="581"/>
      <c r="L555" s="581"/>
      <c r="M555" s="581"/>
      <c r="N555" s="581"/>
      <c r="O555" s="581"/>
      <c r="P555" s="581"/>
      <c r="Q555" s="581"/>
      <c r="R555" s="581"/>
      <c r="S555" s="581"/>
      <c r="T555" s="581"/>
      <c r="U555" s="581"/>
      <c r="V555" s="581"/>
      <c r="W555" s="581"/>
      <c r="X555" s="581"/>
      <c r="Y555" s="581"/>
    </row>
    <row r="556">
      <c r="A556" s="581"/>
      <c r="B556" s="581"/>
      <c r="C556" s="581"/>
      <c r="D556" s="581"/>
      <c r="E556" s="581"/>
      <c r="F556" s="581"/>
      <c r="G556" s="581"/>
      <c r="H556" s="581"/>
      <c r="I556" s="581"/>
      <c r="J556" s="581"/>
      <c r="K556" s="581"/>
      <c r="L556" s="581"/>
      <c r="M556" s="581"/>
      <c r="N556" s="581"/>
      <c r="O556" s="581"/>
      <c r="P556" s="581"/>
      <c r="Q556" s="581"/>
      <c r="R556" s="581"/>
      <c r="S556" s="581"/>
      <c r="T556" s="581"/>
      <c r="U556" s="581"/>
      <c r="V556" s="581"/>
      <c r="W556" s="581"/>
      <c r="X556" s="581"/>
      <c r="Y556" s="581"/>
    </row>
    <row r="557">
      <c r="A557" s="581"/>
      <c r="B557" s="581"/>
      <c r="C557" s="581"/>
      <c r="D557" s="581"/>
      <c r="E557" s="581"/>
      <c r="F557" s="581"/>
      <c r="G557" s="581"/>
      <c r="H557" s="581"/>
      <c r="I557" s="581"/>
      <c r="J557" s="581"/>
      <c r="K557" s="581"/>
      <c r="L557" s="581"/>
      <c r="M557" s="581"/>
      <c r="N557" s="581"/>
      <c r="O557" s="581"/>
      <c r="P557" s="581"/>
      <c r="Q557" s="581"/>
      <c r="R557" s="581"/>
      <c r="S557" s="581"/>
      <c r="T557" s="581"/>
      <c r="U557" s="581"/>
      <c r="V557" s="581"/>
      <c r="W557" s="581"/>
      <c r="X557" s="581"/>
      <c r="Y557" s="581"/>
    </row>
    <row r="558">
      <c r="A558" s="581"/>
      <c r="B558" s="581"/>
      <c r="C558" s="581"/>
      <c r="D558" s="581"/>
      <c r="E558" s="581"/>
      <c r="F558" s="581"/>
      <c r="G558" s="581"/>
      <c r="H558" s="581"/>
      <c r="I558" s="581"/>
      <c r="J558" s="581"/>
      <c r="K558" s="581"/>
      <c r="L558" s="581"/>
      <c r="M558" s="581"/>
      <c r="N558" s="581"/>
      <c r="O558" s="581"/>
      <c r="P558" s="581"/>
      <c r="Q558" s="581"/>
      <c r="R558" s="581"/>
      <c r="S558" s="581"/>
      <c r="T558" s="581"/>
      <c r="U558" s="581"/>
      <c r="V558" s="581"/>
      <c r="W558" s="581"/>
      <c r="X558" s="581"/>
      <c r="Y558" s="581"/>
    </row>
    <row r="559">
      <c r="A559" s="581"/>
      <c r="B559" s="581"/>
      <c r="C559" s="581"/>
      <c r="D559" s="581"/>
      <c r="E559" s="581"/>
      <c r="F559" s="581"/>
      <c r="G559" s="581"/>
      <c r="H559" s="581"/>
      <c r="I559" s="581"/>
      <c r="J559" s="581"/>
      <c r="K559" s="581"/>
      <c r="L559" s="581"/>
      <c r="M559" s="581"/>
      <c r="N559" s="581"/>
      <c r="O559" s="581"/>
      <c r="P559" s="581"/>
      <c r="Q559" s="581"/>
      <c r="R559" s="581"/>
      <c r="S559" s="581"/>
      <c r="T559" s="581"/>
      <c r="U559" s="581"/>
      <c r="V559" s="581"/>
      <c r="W559" s="581"/>
      <c r="X559" s="581"/>
      <c r="Y559" s="581"/>
    </row>
    <row r="560">
      <c r="A560" s="581"/>
      <c r="B560" s="581"/>
      <c r="C560" s="581"/>
      <c r="D560" s="581"/>
      <c r="E560" s="581"/>
      <c r="F560" s="581"/>
      <c r="G560" s="581"/>
      <c r="H560" s="581"/>
      <c r="I560" s="581"/>
      <c r="J560" s="581"/>
      <c r="K560" s="581"/>
      <c r="L560" s="581"/>
      <c r="M560" s="581"/>
      <c r="N560" s="581"/>
      <c r="O560" s="581"/>
      <c r="P560" s="581"/>
      <c r="Q560" s="581"/>
      <c r="R560" s="581"/>
      <c r="S560" s="581"/>
      <c r="T560" s="581"/>
      <c r="U560" s="581"/>
      <c r="V560" s="581"/>
      <c r="W560" s="581"/>
      <c r="X560" s="581"/>
      <c r="Y560" s="581"/>
    </row>
    <row r="561">
      <c r="A561" s="581"/>
      <c r="B561" s="581"/>
      <c r="C561" s="581"/>
      <c r="D561" s="581"/>
      <c r="E561" s="581"/>
      <c r="F561" s="581"/>
      <c r="G561" s="581"/>
      <c r="H561" s="581"/>
      <c r="I561" s="581"/>
      <c r="J561" s="581"/>
      <c r="K561" s="581"/>
      <c r="L561" s="581"/>
      <c r="M561" s="581"/>
      <c r="N561" s="581"/>
      <c r="O561" s="581"/>
      <c r="P561" s="581"/>
      <c r="Q561" s="581"/>
      <c r="R561" s="581"/>
      <c r="S561" s="581"/>
      <c r="T561" s="581"/>
      <c r="U561" s="581"/>
      <c r="V561" s="581"/>
      <c r="W561" s="581"/>
      <c r="X561" s="581"/>
      <c r="Y561" s="581"/>
    </row>
    <row r="562">
      <c r="A562" s="581"/>
      <c r="B562" s="581"/>
      <c r="C562" s="581"/>
      <c r="D562" s="581"/>
      <c r="E562" s="581"/>
      <c r="F562" s="581"/>
      <c r="G562" s="581"/>
      <c r="H562" s="581"/>
      <c r="I562" s="581"/>
      <c r="J562" s="581"/>
      <c r="K562" s="581"/>
      <c r="L562" s="581"/>
      <c r="M562" s="581"/>
      <c r="N562" s="581"/>
      <c r="O562" s="581"/>
      <c r="P562" s="581"/>
      <c r="Q562" s="581"/>
      <c r="R562" s="581"/>
      <c r="S562" s="581"/>
      <c r="T562" s="581"/>
      <c r="U562" s="581"/>
      <c r="V562" s="581"/>
      <c r="W562" s="581"/>
      <c r="X562" s="581"/>
      <c r="Y562" s="581"/>
    </row>
    <row r="563">
      <c r="A563" s="581"/>
      <c r="B563" s="581"/>
      <c r="C563" s="581"/>
      <c r="D563" s="581"/>
      <c r="E563" s="581"/>
      <c r="F563" s="581"/>
      <c r="G563" s="581"/>
      <c r="H563" s="581"/>
      <c r="I563" s="581"/>
      <c r="J563" s="581"/>
      <c r="K563" s="581"/>
      <c r="L563" s="581"/>
      <c r="M563" s="581"/>
      <c r="N563" s="581"/>
      <c r="O563" s="581"/>
      <c r="P563" s="581"/>
      <c r="Q563" s="581"/>
      <c r="R563" s="581"/>
      <c r="S563" s="581"/>
      <c r="T563" s="581"/>
      <c r="U563" s="581"/>
      <c r="V563" s="581"/>
      <c r="W563" s="581"/>
      <c r="X563" s="581"/>
      <c r="Y563" s="581"/>
    </row>
    <row r="564">
      <c r="A564" s="581"/>
      <c r="B564" s="581"/>
      <c r="C564" s="581"/>
      <c r="D564" s="581"/>
      <c r="E564" s="581"/>
      <c r="F564" s="581"/>
      <c r="G564" s="581"/>
      <c r="H564" s="581"/>
      <c r="I564" s="581"/>
      <c r="J564" s="581"/>
      <c r="K564" s="581"/>
      <c r="L564" s="581"/>
      <c r="M564" s="581"/>
      <c r="N564" s="581"/>
      <c r="O564" s="581"/>
      <c r="P564" s="581"/>
      <c r="Q564" s="581"/>
      <c r="R564" s="581"/>
      <c r="S564" s="581"/>
      <c r="T564" s="581"/>
      <c r="U564" s="581"/>
      <c r="V564" s="581"/>
      <c r="W564" s="581"/>
      <c r="X564" s="581"/>
      <c r="Y564" s="581"/>
    </row>
    <row r="565">
      <c r="A565" s="581"/>
      <c r="B565" s="581"/>
      <c r="C565" s="581"/>
      <c r="D565" s="581"/>
      <c r="E565" s="581"/>
      <c r="F565" s="581"/>
      <c r="G565" s="581"/>
      <c r="H565" s="581"/>
      <c r="I565" s="581"/>
      <c r="J565" s="581"/>
      <c r="K565" s="581"/>
      <c r="L565" s="581"/>
      <c r="M565" s="581"/>
      <c r="N565" s="581"/>
      <c r="O565" s="581"/>
      <c r="P565" s="581"/>
      <c r="Q565" s="581"/>
      <c r="R565" s="581"/>
      <c r="S565" s="581"/>
      <c r="T565" s="581"/>
      <c r="U565" s="581"/>
      <c r="V565" s="581"/>
      <c r="W565" s="581"/>
      <c r="X565" s="581"/>
      <c r="Y565" s="581"/>
    </row>
    <row r="566">
      <c r="A566" s="581"/>
      <c r="B566" s="581"/>
      <c r="C566" s="581"/>
      <c r="D566" s="581"/>
      <c r="E566" s="581"/>
      <c r="F566" s="581"/>
      <c r="G566" s="581"/>
      <c r="H566" s="581"/>
      <c r="I566" s="581"/>
      <c r="J566" s="581"/>
      <c r="K566" s="581"/>
      <c r="L566" s="581"/>
      <c r="M566" s="581"/>
      <c r="N566" s="581"/>
      <c r="O566" s="581"/>
      <c r="P566" s="581"/>
      <c r="Q566" s="581"/>
      <c r="R566" s="581"/>
      <c r="S566" s="581"/>
      <c r="T566" s="581"/>
      <c r="U566" s="581"/>
      <c r="V566" s="581"/>
      <c r="W566" s="581"/>
      <c r="X566" s="581"/>
      <c r="Y566" s="581"/>
    </row>
    <row r="567">
      <c r="A567" s="581"/>
      <c r="B567" s="581"/>
      <c r="C567" s="581"/>
      <c r="D567" s="581"/>
      <c r="E567" s="581"/>
      <c r="F567" s="581"/>
      <c r="G567" s="581"/>
      <c r="H567" s="581"/>
      <c r="I567" s="581"/>
      <c r="J567" s="581"/>
      <c r="K567" s="581"/>
      <c r="L567" s="581"/>
      <c r="M567" s="581"/>
      <c r="N567" s="581"/>
      <c r="O567" s="581"/>
      <c r="P567" s="581"/>
      <c r="Q567" s="581"/>
      <c r="R567" s="581"/>
      <c r="S567" s="581"/>
      <c r="T567" s="581"/>
      <c r="U567" s="581"/>
      <c r="V567" s="581"/>
      <c r="W567" s="581"/>
      <c r="X567" s="581"/>
      <c r="Y567" s="581"/>
    </row>
    <row r="568">
      <c r="A568" s="581"/>
      <c r="B568" s="581"/>
      <c r="C568" s="581"/>
      <c r="D568" s="581"/>
      <c r="E568" s="581"/>
      <c r="F568" s="581"/>
      <c r="G568" s="581"/>
      <c r="H568" s="581"/>
      <c r="I568" s="581"/>
      <c r="J568" s="581"/>
      <c r="K568" s="581"/>
      <c r="L568" s="581"/>
      <c r="M568" s="581"/>
      <c r="N568" s="581"/>
      <c r="O568" s="581"/>
      <c r="P568" s="581"/>
      <c r="Q568" s="581"/>
      <c r="R568" s="581"/>
      <c r="S568" s="581"/>
      <c r="T568" s="581"/>
      <c r="U568" s="581"/>
      <c r="V568" s="581"/>
      <c r="W568" s="581"/>
      <c r="X568" s="581"/>
      <c r="Y568" s="581"/>
    </row>
    <row r="569">
      <c r="A569" s="581"/>
      <c r="B569" s="581"/>
      <c r="C569" s="581"/>
      <c r="D569" s="581"/>
      <c r="E569" s="581"/>
      <c r="F569" s="581"/>
      <c r="G569" s="581"/>
      <c r="H569" s="581"/>
      <c r="I569" s="581"/>
      <c r="J569" s="581"/>
      <c r="K569" s="581"/>
      <c r="L569" s="581"/>
      <c r="M569" s="581"/>
      <c r="N569" s="581"/>
      <c r="O569" s="581"/>
      <c r="P569" s="581"/>
      <c r="Q569" s="581"/>
      <c r="R569" s="581"/>
      <c r="S569" s="581"/>
      <c r="T569" s="581"/>
      <c r="U569" s="581"/>
      <c r="V569" s="581"/>
      <c r="W569" s="581"/>
      <c r="X569" s="581"/>
      <c r="Y569" s="581"/>
    </row>
    <row r="570">
      <c r="A570" s="581"/>
      <c r="B570" s="581"/>
      <c r="C570" s="581"/>
      <c r="D570" s="581"/>
      <c r="E570" s="581"/>
      <c r="F570" s="581"/>
      <c r="G570" s="581"/>
      <c r="H570" s="581"/>
      <c r="I570" s="581"/>
      <c r="J570" s="581"/>
      <c r="K570" s="581"/>
      <c r="L570" s="581"/>
      <c r="M570" s="581"/>
      <c r="N570" s="581"/>
      <c r="O570" s="581"/>
      <c r="P570" s="581"/>
      <c r="Q570" s="581"/>
      <c r="R570" s="581"/>
      <c r="S570" s="581"/>
      <c r="T570" s="581"/>
      <c r="U570" s="581"/>
      <c r="V570" s="581"/>
      <c r="W570" s="581"/>
      <c r="X570" s="581"/>
      <c r="Y570" s="581"/>
    </row>
    <row r="571">
      <c r="A571" s="581"/>
      <c r="B571" s="581"/>
      <c r="C571" s="581"/>
      <c r="D571" s="581"/>
      <c r="E571" s="581"/>
      <c r="F571" s="581"/>
      <c r="G571" s="581"/>
      <c r="H571" s="581"/>
      <c r="I571" s="581"/>
      <c r="J571" s="581"/>
      <c r="K571" s="581"/>
      <c r="L571" s="581"/>
      <c r="M571" s="581"/>
      <c r="N571" s="581"/>
      <c r="O571" s="581"/>
      <c r="P571" s="581"/>
      <c r="Q571" s="581"/>
      <c r="R571" s="581"/>
      <c r="S571" s="581"/>
      <c r="T571" s="581"/>
      <c r="U571" s="581"/>
      <c r="V571" s="581"/>
      <c r="W571" s="581"/>
      <c r="X571" s="581"/>
      <c r="Y571" s="581"/>
    </row>
    <row r="572">
      <c r="A572" s="581"/>
      <c r="B572" s="581"/>
      <c r="C572" s="581"/>
      <c r="D572" s="581"/>
      <c r="E572" s="581"/>
      <c r="F572" s="581"/>
      <c r="G572" s="581"/>
      <c r="H572" s="581"/>
      <c r="I572" s="581"/>
      <c r="J572" s="581"/>
      <c r="K572" s="581"/>
      <c r="L572" s="581"/>
      <c r="M572" s="581"/>
      <c r="N572" s="581"/>
      <c r="O572" s="581"/>
      <c r="P572" s="581"/>
      <c r="Q572" s="581"/>
      <c r="R572" s="581"/>
      <c r="S572" s="581"/>
      <c r="T572" s="581"/>
      <c r="U572" s="581"/>
      <c r="V572" s="581"/>
      <c r="W572" s="581"/>
      <c r="X572" s="581"/>
      <c r="Y572" s="581"/>
    </row>
    <row r="573">
      <c r="A573" s="581"/>
      <c r="B573" s="581"/>
      <c r="C573" s="581"/>
      <c r="D573" s="581"/>
      <c r="E573" s="581"/>
      <c r="F573" s="581"/>
      <c r="G573" s="581"/>
      <c r="H573" s="581"/>
      <c r="I573" s="581"/>
      <c r="J573" s="581"/>
      <c r="K573" s="581"/>
      <c r="L573" s="581"/>
      <c r="M573" s="581"/>
      <c r="N573" s="581"/>
      <c r="O573" s="581"/>
      <c r="P573" s="581"/>
      <c r="Q573" s="581"/>
      <c r="R573" s="581"/>
      <c r="S573" s="581"/>
      <c r="T573" s="581"/>
      <c r="U573" s="581"/>
      <c r="V573" s="581"/>
      <c r="W573" s="581"/>
      <c r="X573" s="581"/>
      <c r="Y573" s="581"/>
    </row>
    <row r="574">
      <c r="A574" s="581"/>
      <c r="B574" s="581"/>
      <c r="C574" s="581"/>
      <c r="D574" s="581"/>
      <c r="E574" s="581"/>
      <c r="F574" s="581"/>
      <c r="G574" s="581"/>
      <c r="H574" s="581"/>
      <c r="I574" s="581"/>
      <c r="J574" s="581"/>
      <c r="K574" s="581"/>
      <c r="L574" s="581"/>
      <c r="M574" s="581"/>
      <c r="N574" s="581"/>
      <c r="O574" s="581"/>
      <c r="P574" s="581"/>
      <c r="Q574" s="581"/>
      <c r="R574" s="581"/>
      <c r="S574" s="581"/>
      <c r="T574" s="581"/>
      <c r="U574" s="581"/>
      <c r="V574" s="581"/>
      <c r="W574" s="581"/>
      <c r="X574" s="581"/>
      <c r="Y574" s="581"/>
    </row>
    <row r="575">
      <c r="A575" s="581"/>
      <c r="B575" s="581"/>
      <c r="C575" s="581"/>
      <c r="D575" s="581"/>
      <c r="E575" s="581"/>
      <c r="F575" s="581"/>
      <c r="G575" s="581"/>
      <c r="H575" s="581"/>
      <c r="I575" s="581"/>
      <c r="J575" s="581"/>
      <c r="K575" s="581"/>
      <c r="L575" s="581"/>
      <c r="M575" s="581"/>
      <c r="N575" s="581"/>
      <c r="O575" s="581"/>
      <c r="P575" s="581"/>
      <c r="Q575" s="581"/>
      <c r="R575" s="581"/>
      <c r="S575" s="581"/>
      <c r="T575" s="581"/>
      <c r="U575" s="581"/>
      <c r="V575" s="581"/>
      <c r="W575" s="581"/>
      <c r="X575" s="581"/>
      <c r="Y575" s="581"/>
    </row>
    <row r="576">
      <c r="A576" s="581"/>
      <c r="B576" s="581"/>
      <c r="C576" s="581"/>
      <c r="D576" s="581"/>
      <c r="E576" s="581"/>
      <c r="F576" s="581"/>
      <c r="G576" s="581"/>
      <c r="H576" s="581"/>
      <c r="I576" s="581"/>
      <c r="J576" s="581"/>
      <c r="K576" s="581"/>
      <c r="L576" s="581"/>
      <c r="M576" s="581"/>
      <c r="N576" s="581"/>
      <c r="O576" s="581"/>
      <c r="P576" s="581"/>
      <c r="Q576" s="581"/>
      <c r="R576" s="581"/>
      <c r="S576" s="581"/>
      <c r="T576" s="581"/>
      <c r="U576" s="581"/>
      <c r="V576" s="581"/>
      <c r="W576" s="581"/>
      <c r="X576" s="581"/>
      <c r="Y576" s="581"/>
    </row>
    <row r="577">
      <c r="A577" s="581"/>
      <c r="B577" s="581"/>
      <c r="C577" s="581"/>
      <c r="D577" s="581"/>
      <c r="E577" s="581"/>
      <c r="F577" s="581"/>
      <c r="G577" s="581"/>
      <c r="H577" s="581"/>
      <c r="I577" s="581"/>
      <c r="J577" s="581"/>
      <c r="K577" s="581"/>
      <c r="L577" s="581"/>
      <c r="M577" s="581"/>
      <c r="N577" s="581"/>
      <c r="O577" s="581"/>
      <c r="P577" s="581"/>
      <c r="Q577" s="581"/>
      <c r="R577" s="581"/>
      <c r="S577" s="581"/>
      <c r="T577" s="581"/>
      <c r="U577" s="581"/>
      <c r="V577" s="581"/>
      <c r="W577" s="581"/>
      <c r="X577" s="581"/>
      <c r="Y577" s="581"/>
    </row>
    <row r="578">
      <c r="A578" s="581"/>
      <c r="B578" s="581"/>
      <c r="C578" s="581"/>
      <c r="D578" s="581"/>
      <c r="E578" s="581"/>
      <c r="F578" s="581"/>
      <c r="G578" s="581"/>
      <c r="H578" s="581"/>
      <c r="I578" s="581"/>
      <c r="J578" s="581"/>
      <c r="K578" s="581"/>
      <c r="L578" s="581"/>
      <c r="M578" s="581"/>
      <c r="N578" s="581"/>
      <c r="O578" s="581"/>
      <c r="P578" s="581"/>
      <c r="Q578" s="581"/>
      <c r="R578" s="581"/>
      <c r="S578" s="581"/>
      <c r="T578" s="581"/>
      <c r="U578" s="581"/>
      <c r="V578" s="581"/>
      <c r="W578" s="581"/>
      <c r="X578" s="581"/>
      <c r="Y578" s="581"/>
    </row>
    <row r="579">
      <c r="A579" s="581"/>
      <c r="B579" s="581"/>
      <c r="C579" s="581"/>
      <c r="D579" s="581"/>
      <c r="E579" s="581"/>
      <c r="F579" s="581"/>
      <c r="G579" s="581"/>
      <c r="H579" s="581"/>
      <c r="I579" s="581"/>
      <c r="J579" s="581"/>
      <c r="K579" s="581"/>
      <c r="L579" s="581"/>
      <c r="M579" s="581"/>
      <c r="N579" s="581"/>
      <c r="O579" s="581"/>
      <c r="P579" s="581"/>
      <c r="Q579" s="581"/>
      <c r="R579" s="581"/>
      <c r="S579" s="581"/>
      <c r="T579" s="581"/>
      <c r="U579" s="581"/>
      <c r="V579" s="581"/>
      <c r="W579" s="581"/>
      <c r="X579" s="581"/>
      <c r="Y579" s="581"/>
    </row>
    <row r="580">
      <c r="A580" s="581"/>
      <c r="B580" s="581"/>
      <c r="C580" s="581"/>
      <c r="D580" s="581"/>
      <c r="E580" s="581"/>
      <c r="F580" s="581"/>
      <c r="G580" s="581"/>
      <c r="H580" s="581"/>
      <c r="I580" s="581"/>
      <c r="J580" s="581"/>
      <c r="K580" s="581"/>
      <c r="L580" s="581"/>
      <c r="M580" s="581"/>
      <c r="N580" s="581"/>
      <c r="O580" s="581"/>
      <c r="P580" s="581"/>
      <c r="Q580" s="581"/>
      <c r="R580" s="581"/>
      <c r="S580" s="581"/>
      <c r="T580" s="581"/>
      <c r="U580" s="581"/>
      <c r="V580" s="581"/>
      <c r="W580" s="581"/>
      <c r="X580" s="581"/>
      <c r="Y580" s="581"/>
    </row>
    <row r="581">
      <c r="A581" s="581"/>
      <c r="B581" s="581"/>
      <c r="C581" s="581"/>
      <c r="D581" s="581"/>
      <c r="E581" s="581"/>
      <c r="F581" s="581"/>
      <c r="G581" s="581"/>
      <c r="H581" s="581"/>
      <c r="I581" s="581"/>
      <c r="J581" s="581"/>
      <c r="K581" s="581"/>
      <c r="L581" s="581"/>
      <c r="M581" s="581"/>
      <c r="N581" s="581"/>
      <c r="O581" s="581"/>
      <c r="P581" s="581"/>
      <c r="Q581" s="581"/>
      <c r="R581" s="581"/>
      <c r="S581" s="581"/>
      <c r="T581" s="581"/>
      <c r="U581" s="581"/>
      <c r="V581" s="581"/>
      <c r="W581" s="581"/>
      <c r="X581" s="581"/>
      <c r="Y581" s="581"/>
    </row>
    <row r="582">
      <c r="A582" s="581"/>
      <c r="B582" s="581"/>
      <c r="C582" s="581"/>
      <c r="D582" s="581"/>
      <c r="E582" s="581"/>
      <c r="F582" s="581"/>
      <c r="G582" s="581"/>
      <c r="H582" s="581"/>
      <c r="I582" s="581"/>
      <c r="J582" s="581"/>
      <c r="K582" s="581"/>
      <c r="L582" s="581"/>
      <c r="M582" s="581"/>
      <c r="N582" s="581"/>
      <c r="O582" s="581"/>
      <c r="P582" s="581"/>
      <c r="Q582" s="581"/>
      <c r="R582" s="581"/>
      <c r="S582" s="581"/>
      <c r="T582" s="581"/>
      <c r="U582" s="581"/>
      <c r="V582" s="581"/>
      <c r="W582" s="581"/>
      <c r="X582" s="581"/>
      <c r="Y582" s="581"/>
    </row>
    <row r="583">
      <c r="A583" s="581"/>
      <c r="B583" s="581"/>
      <c r="C583" s="581"/>
      <c r="D583" s="581"/>
      <c r="E583" s="581"/>
      <c r="F583" s="581"/>
      <c r="G583" s="581"/>
      <c r="H583" s="581"/>
      <c r="I583" s="581"/>
      <c r="J583" s="581"/>
      <c r="K583" s="581"/>
      <c r="L583" s="581"/>
      <c r="M583" s="581"/>
      <c r="N583" s="581"/>
      <c r="O583" s="581"/>
      <c r="P583" s="581"/>
      <c r="Q583" s="581"/>
      <c r="R583" s="581"/>
      <c r="S583" s="581"/>
      <c r="T583" s="581"/>
      <c r="U583" s="581"/>
      <c r="V583" s="581"/>
      <c r="W583" s="581"/>
      <c r="X583" s="581"/>
      <c r="Y583" s="581"/>
    </row>
    <row r="584">
      <c r="A584" s="581"/>
      <c r="B584" s="581"/>
      <c r="C584" s="581"/>
      <c r="D584" s="581"/>
      <c r="E584" s="581"/>
      <c r="F584" s="581"/>
      <c r="G584" s="581"/>
      <c r="H584" s="581"/>
      <c r="I584" s="581"/>
      <c r="J584" s="581"/>
      <c r="K584" s="581"/>
      <c r="L584" s="581"/>
      <c r="M584" s="581"/>
      <c r="N584" s="581"/>
      <c r="O584" s="581"/>
      <c r="P584" s="581"/>
      <c r="Q584" s="581"/>
      <c r="R584" s="581"/>
      <c r="S584" s="581"/>
      <c r="T584" s="581"/>
      <c r="U584" s="581"/>
      <c r="V584" s="581"/>
      <c r="W584" s="581"/>
      <c r="X584" s="581"/>
      <c r="Y584" s="581"/>
    </row>
    <row r="585">
      <c r="A585" s="581"/>
      <c r="B585" s="581"/>
      <c r="C585" s="581"/>
      <c r="D585" s="581"/>
      <c r="E585" s="581"/>
      <c r="F585" s="581"/>
      <c r="G585" s="581"/>
      <c r="H585" s="581"/>
      <c r="I585" s="581"/>
      <c r="J585" s="581"/>
      <c r="K585" s="581"/>
      <c r="L585" s="581"/>
      <c r="M585" s="581"/>
      <c r="N585" s="581"/>
      <c r="O585" s="581"/>
      <c r="P585" s="581"/>
      <c r="Q585" s="581"/>
      <c r="R585" s="581"/>
      <c r="S585" s="581"/>
      <c r="T585" s="581"/>
      <c r="U585" s="581"/>
      <c r="V585" s="581"/>
      <c r="W585" s="581"/>
      <c r="X585" s="581"/>
      <c r="Y585" s="581"/>
    </row>
    <row r="586">
      <c r="A586" s="581"/>
      <c r="B586" s="581"/>
      <c r="C586" s="581"/>
      <c r="D586" s="581"/>
      <c r="E586" s="581"/>
      <c r="F586" s="581"/>
      <c r="G586" s="581"/>
      <c r="H586" s="581"/>
      <c r="I586" s="581"/>
      <c r="J586" s="581"/>
      <c r="K586" s="581"/>
      <c r="L586" s="581"/>
      <c r="M586" s="581"/>
      <c r="N586" s="581"/>
      <c r="O586" s="581"/>
      <c r="P586" s="581"/>
      <c r="Q586" s="581"/>
      <c r="R586" s="581"/>
      <c r="S586" s="581"/>
      <c r="T586" s="581"/>
      <c r="U586" s="581"/>
      <c r="V586" s="581"/>
      <c r="W586" s="581"/>
      <c r="X586" s="581"/>
      <c r="Y586" s="581"/>
    </row>
    <row r="587">
      <c r="A587" s="581"/>
      <c r="B587" s="581"/>
      <c r="C587" s="581"/>
      <c r="D587" s="581"/>
      <c r="E587" s="581"/>
      <c r="F587" s="581"/>
      <c r="G587" s="581"/>
      <c r="H587" s="581"/>
      <c r="I587" s="581"/>
      <c r="J587" s="581"/>
      <c r="K587" s="581"/>
      <c r="L587" s="581"/>
      <c r="M587" s="581"/>
      <c r="N587" s="581"/>
      <c r="O587" s="581"/>
      <c r="P587" s="581"/>
      <c r="Q587" s="581"/>
      <c r="R587" s="581"/>
      <c r="S587" s="581"/>
      <c r="T587" s="581"/>
      <c r="U587" s="581"/>
      <c r="V587" s="581"/>
      <c r="W587" s="581"/>
      <c r="X587" s="581"/>
      <c r="Y587" s="581"/>
    </row>
    <row r="588">
      <c r="A588" s="581"/>
      <c r="B588" s="581"/>
      <c r="C588" s="581"/>
      <c r="D588" s="581"/>
      <c r="E588" s="581"/>
      <c r="F588" s="581"/>
      <c r="G588" s="581"/>
      <c r="H588" s="581"/>
      <c r="I588" s="581"/>
      <c r="J588" s="581"/>
      <c r="K588" s="581"/>
      <c r="L588" s="581"/>
      <c r="M588" s="581"/>
      <c r="N588" s="581"/>
      <c r="O588" s="581"/>
      <c r="P588" s="581"/>
      <c r="Q588" s="581"/>
      <c r="R588" s="581"/>
      <c r="S588" s="581"/>
      <c r="T588" s="581"/>
      <c r="U588" s="581"/>
      <c r="V588" s="581"/>
      <c r="W588" s="581"/>
      <c r="X588" s="581"/>
      <c r="Y588" s="581"/>
    </row>
    <row r="589">
      <c r="A589" s="581"/>
      <c r="B589" s="581"/>
      <c r="C589" s="581"/>
      <c r="D589" s="581"/>
      <c r="E589" s="581"/>
      <c r="F589" s="581"/>
      <c r="G589" s="581"/>
      <c r="H589" s="581"/>
      <c r="I589" s="581"/>
      <c r="J589" s="581"/>
      <c r="K589" s="581"/>
      <c r="L589" s="581"/>
      <c r="M589" s="581"/>
      <c r="N589" s="581"/>
      <c r="O589" s="581"/>
      <c r="P589" s="581"/>
      <c r="Q589" s="581"/>
      <c r="R589" s="581"/>
      <c r="S589" s="581"/>
      <c r="T589" s="581"/>
      <c r="U589" s="581"/>
      <c r="V589" s="581"/>
      <c r="W589" s="581"/>
      <c r="X589" s="581"/>
      <c r="Y589" s="581"/>
    </row>
    <row r="590">
      <c r="A590" s="581"/>
      <c r="B590" s="581"/>
      <c r="C590" s="581"/>
      <c r="D590" s="581"/>
      <c r="E590" s="581"/>
      <c r="F590" s="581"/>
      <c r="G590" s="581"/>
      <c r="H590" s="581"/>
      <c r="I590" s="581"/>
      <c r="J590" s="581"/>
      <c r="K590" s="581"/>
      <c r="L590" s="581"/>
      <c r="M590" s="581"/>
      <c r="N590" s="581"/>
      <c r="O590" s="581"/>
      <c r="P590" s="581"/>
      <c r="Q590" s="581"/>
      <c r="R590" s="581"/>
      <c r="S590" s="581"/>
      <c r="T590" s="581"/>
      <c r="U590" s="581"/>
      <c r="V590" s="581"/>
      <c r="W590" s="581"/>
      <c r="X590" s="581"/>
      <c r="Y590" s="581"/>
    </row>
    <row r="591">
      <c r="A591" s="581"/>
      <c r="B591" s="581"/>
      <c r="C591" s="581"/>
      <c r="D591" s="581"/>
      <c r="E591" s="581"/>
      <c r="F591" s="581"/>
      <c r="G591" s="581"/>
      <c r="H591" s="581"/>
      <c r="I591" s="581"/>
      <c r="J591" s="581"/>
      <c r="K591" s="581"/>
      <c r="L591" s="581"/>
      <c r="M591" s="581"/>
      <c r="N591" s="581"/>
      <c r="O591" s="581"/>
      <c r="P591" s="581"/>
      <c r="Q591" s="581"/>
      <c r="R591" s="581"/>
      <c r="S591" s="581"/>
      <c r="T591" s="581"/>
      <c r="U591" s="581"/>
      <c r="V591" s="581"/>
      <c r="W591" s="581"/>
      <c r="X591" s="581"/>
      <c r="Y591" s="581"/>
    </row>
    <row r="592">
      <c r="A592" s="581"/>
      <c r="B592" s="581"/>
      <c r="C592" s="581"/>
      <c r="D592" s="581"/>
      <c r="E592" s="581"/>
      <c r="F592" s="581"/>
      <c r="G592" s="581"/>
      <c r="H592" s="581"/>
      <c r="I592" s="581"/>
      <c r="J592" s="581"/>
      <c r="K592" s="581"/>
      <c r="L592" s="581"/>
      <c r="M592" s="581"/>
      <c r="N592" s="581"/>
      <c r="O592" s="581"/>
      <c r="P592" s="581"/>
      <c r="Q592" s="581"/>
      <c r="R592" s="581"/>
      <c r="S592" s="581"/>
      <c r="T592" s="581"/>
      <c r="U592" s="581"/>
      <c r="V592" s="581"/>
      <c r="W592" s="581"/>
      <c r="X592" s="581"/>
      <c r="Y592" s="581"/>
    </row>
    <row r="593">
      <c r="A593" s="581"/>
      <c r="B593" s="581"/>
      <c r="C593" s="581"/>
      <c r="D593" s="581"/>
      <c r="E593" s="581"/>
      <c r="F593" s="581"/>
      <c r="G593" s="581"/>
      <c r="H593" s="581"/>
      <c r="I593" s="581"/>
      <c r="J593" s="581"/>
      <c r="K593" s="581"/>
      <c r="L593" s="581"/>
      <c r="M593" s="581"/>
      <c r="N593" s="581"/>
      <c r="O593" s="581"/>
      <c r="P593" s="581"/>
      <c r="Q593" s="581"/>
      <c r="R593" s="581"/>
      <c r="S593" s="581"/>
      <c r="T593" s="581"/>
      <c r="U593" s="581"/>
      <c r="V593" s="581"/>
      <c r="W593" s="581"/>
      <c r="X593" s="581"/>
      <c r="Y593" s="581"/>
    </row>
    <row r="594">
      <c r="A594" s="581"/>
      <c r="B594" s="581"/>
      <c r="C594" s="581"/>
      <c r="D594" s="581"/>
      <c r="E594" s="581"/>
      <c r="F594" s="581"/>
      <c r="G594" s="581"/>
      <c r="H594" s="581"/>
      <c r="I594" s="581"/>
      <c r="J594" s="581"/>
      <c r="K594" s="581"/>
      <c r="L594" s="581"/>
      <c r="M594" s="581"/>
      <c r="N594" s="581"/>
      <c r="O594" s="581"/>
      <c r="P594" s="581"/>
      <c r="Q594" s="581"/>
      <c r="R594" s="581"/>
      <c r="S594" s="581"/>
      <c r="T594" s="581"/>
      <c r="U594" s="581"/>
      <c r="V594" s="581"/>
      <c r="W594" s="581"/>
      <c r="X594" s="581"/>
      <c r="Y594" s="581"/>
    </row>
    <row r="595">
      <c r="A595" s="581"/>
      <c r="B595" s="581"/>
      <c r="C595" s="581"/>
      <c r="D595" s="581"/>
      <c r="E595" s="581"/>
      <c r="F595" s="581"/>
      <c r="G595" s="581"/>
      <c r="H595" s="581"/>
      <c r="I595" s="581"/>
      <c r="J595" s="581"/>
      <c r="K595" s="581"/>
      <c r="L595" s="581"/>
      <c r="M595" s="581"/>
      <c r="N595" s="581"/>
      <c r="O595" s="581"/>
      <c r="P595" s="581"/>
      <c r="Q595" s="581"/>
      <c r="R595" s="581"/>
      <c r="S595" s="581"/>
      <c r="T595" s="581"/>
      <c r="U595" s="581"/>
      <c r="V595" s="581"/>
      <c r="W595" s="581"/>
      <c r="X595" s="581"/>
      <c r="Y595" s="581"/>
    </row>
    <row r="596">
      <c r="A596" s="581"/>
      <c r="B596" s="581"/>
      <c r="C596" s="581"/>
      <c r="D596" s="581"/>
      <c r="E596" s="581"/>
      <c r="F596" s="581"/>
      <c r="G596" s="581"/>
      <c r="H596" s="581"/>
      <c r="I596" s="581"/>
      <c r="J596" s="581"/>
      <c r="K596" s="581"/>
      <c r="L596" s="581"/>
      <c r="M596" s="581"/>
      <c r="N596" s="581"/>
      <c r="O596" s="581"/>
      <c r="P596" s="581"/>
      <c r="Q596" s="581"/>
      <c r="R596" s="581"/>
      <c r="S596" s="581"/>
      <c r="T596" s="581"/>
      <c r="U596" s="581"/>
      <c r="V596" s="581"/>
      <c r="W596" s="581"/>
      <c r="X596" s="581"/>
      <c r="Y596" s="581"/>
    </row>
    <row r="597">
      <c r="A597" s="581"/>
      <c r="B597" s="581"/>
      <c r="C597" s="581"/>
      <c r="D597" s="581"/>
      <c r="E597" s="581"/>
      <c r="F597" s="581"/>
      <c r="G597" s="581"/>
      <c r="H597" s="581"/>
      <c r="I597" s="581"/>
      <c r="J597" s="581"/>
      <c r="K597" s="581"/>
      <c r="L597" s="581"/>
      <c r="M597" s="581"/>
      <c r="N597" s="581"/>
      <c r="O597" s="581"/>
      <c r="P597" s="581"/>
      <c r="Q597" s="581"/>
      <c r="R597" s="581"/>
      <c r="S597" s="581"/>
      <c r="T597" s="581"/>
      <c r="U597" s="581"/>
      <c r="V597" s="581"/>
      <c r="W597" s="581"/>
      <c r="X597" s="581"/>
      <c r="Y597" s="581"/>
    </row>
    <row r="598">
      <c r="A598" s="581"/>
      <c r="B598" s="581"/>
      <c r="C598" s="581"/>
      <c r="D598" s="581"/>
      <c r="E598" s="581"/>
      <c r="F598" s="581"/>
      <c r="G598" s="581"/>
      <c r="H598" s="581"/>
      <c r="I598" s="581"/>
      <c r="J598" s="581"/>
      <c r="K598" s="581"/>
      <c r="L598" s="581"/>
      <c r="M598" s="581"/>
      <c r="N598" s="581"/>
      <c r="O598" s="581"/>
      <c r="P598" s="581"/>
      <c r="Q598" s="581"/>
      <c r="R598" s="581"/>
      <c r="S598" s="581"/>
      <c r="T598" s="581"/>
      <c r="U598" s="581"/>
      <c r="V598" s="581"/>
      <c r="W598" s="581"/>
      <c r="X598" s="581"/>
      <c r="Y598" s="581"/>
    </row>
    <row r="599">
      <c r="A599" s="581"/>
      <c r="B599" s="581"/>
      <c r="C599" s="581"/>
      <c r="D599" s="581"/>
      <c r="E599" s="581"/>
      <c r="F599" s="581"/>
      <c r="G599" s="581"/>
      <c r="H599" s="581"/>
      <c r="I599" s="581"/>
      <c r="J599" s="581"/>
      <c r="K599" s="581"/>
      <c r="L599" s="581"/>
      <c r="M599" s="581"/>
      <c r="N599" s="581"/>
      <c r="O599" s="581"/>
      <c r="P599" s="581"/>
      <c r="Q599" s="581"/>
      <c r="R599" s="581"/>
      <c r="S599" s="581"/>
      <c r="T599" s="581"/>
      <c r="U599" s="581"/>
      <c r="V599" s="581"/>
      <c r="W599" s="581"/>
      <c r="X599" s="581"/>
      <c r="Y599" s="581"/>
    </row>
    <row r="600">
      <c r="A600" s="581"/>
      <c r="B600" s="581"/>
      <c r="C600" s="581"/>
      <c r="D600" s="581"/>
      <c r="E600" s="581"/>
      <c r="F600" s="581"/>
      <c r="G600" s="581"/>
      <c r="H600" s="581"/>
      <c r="I600" s="581"/>
      <c r="J600" s="581"/>
      <c r="K600" s="581"/>
      <c r="L600" s="581"/>
      <c r="M600" s="581"/>
      <c r="N600" s="581"/>
      <c r="O600" s="581"/>
      <c r="P600" s="581"/>
      <c r="Q600" s="581"/>
      <c r="R600" s="581"/>
      <c r="S600" s="581"/>
      <c r="T600" s="581"/>
      <c r="U600" s="581"/>
      <c r="V600" s="581"/>
      <c r="W600" s="581"/>
      <c r="X600" s="581"/>
      <c r="Y600" s="581"/>
    </row>
    <row r="601">
      <c r="A601" s="581"/>
      <c r="B601" s="581"/>
      <c r="C601" s="581"/>
      <c r="D601" s="581"/>
      <c r="E601" s="581"/>
      <c r="F601" s="581"/>
      <c r="G601" s="581"/>
      <c r="H601" s="581"/>
      <c r="I601" s="581"/>
      <c r="J601" s="581"/>
      <c r="K601" s="581"/>
      <c r="L601" s="581"/>
      <c r="M601" s="581"/>
      <c r="N601" s="581"/>
      <c r="O601" s="581"/>
      <c r="P601" s="581"/>
      <c r="Q601" s="581"/>
      <c r="R601" s="581"/>
      <c r="S601" s="581"/>
      <c r="T601" s="581"/>
      <c r="U601" s="581"/>
      <c r="V601" s="581"/>
      <c r="W601" s="581"/>
      <c r="X601" s="581"/>
      <c r="Y601" s="581"/>
    </row>
    <row r="602">
      <c r="A602" s="581"/>
      <c r="B602" s="581"/>
      <c r="C602" s="581"/>
      <c r="D602" s="581"/>
      <c r="E602" s="581"/>
      <c r="F602" s="581"/>
      <c r="G602" s="581"/>
      <c r="H602" s="581"/>
      <c r="I602" s="581"/>
      <c r="J602" s="581"/>
      <c r="K602" s="581"/>
      <c r="L602" s="581"/>
      <c r="M602" s="581"/>
      <c r="N602" s="581"/>
      <c r="O602" s="581"/>
      <c r="P602" s="581"/>
      <c r="Q602" s="581"/>
      <c r="R602" s="581"/>
      <c r="S602" s="581"/>
      <c r="T602" s="581"/>
      <c r="U602" s="581"/>
      <c r="V602" s="581"/>
      <c r="W602" s="581"/>
      <c r="X602" s="581"/>
      <c r="Y602" s="581"/>
    </row>
    <row r="603">
      <c r="A603" s="581"/>
      <c r="B603" s="581"/>
      <c r="C603" s="581"/>
      <c r="D603" s="581"/>
      <c r="E603" s="581"/>
      <c r="F603" s="581"/>
      <c r="G603" s="581"/>
      <c r="H603" s="581"/>
      <c r="I603" s="581"/>
      <c r="J603" s="581"/>
      <c r="K603" s="581"/>
      <c r="L603" s="581"/>
      <c r="M603" s="581"/>
      <c r="N603" s="581"/>
      <c r="O603" s="581"/>
      <c r="P603" s="581"/>
      <c r="Q603" s="581"/>
      <c r="R603" s="581"/>
      <c r="S603" s="581"/>
      <c r="T603" s="581"/>
      <c r="U603" s="581"/>
      <c r="V603" s="581"/>
      <c r="W603" s="581"/>
      <c r="X603" s="581"/>
      <c r="Y603" s="581"/>
    </row>
    <row r="604">
      <c r="A604" s="581"/>
      <c r="B604" s="581"/>
      <c r="C604" s="581"/>
      <c r="D604" s="581"/>
      <c r="E604" s="581"/>
      <c r="F604" s="581"/>
      <c r="G604" s="581"/>
      <c r="H604" s="581"/>
      <c r="I604" s="581"/>
      <c r="J604" s="581"/>
      <c r="K604" s="581"/>
      <c r="L604" s="581"/>
      <c r="M604" s="581"/>
      <c r="N604" s="581"/>
      <c r="O604" s="581"/>
      <c r="P604" s="581"/>
      <c r="Q604" s="581"/>
      <c r="R604" s="581"/>
      <c r="S604" s="581"/>
      <c r="T604" s="581"/>
      <c r="U604" s="581"/>
      <c r="V604" s="581"/>
      <c r="W604" s="581"/>
      <c r="X604" s="581"/>
      <c r="Y604" s="581"/>
    </row>
    <row r="605">
      <c r="A605" s="581"/>
      <c r="B605" s="581"/>
      <c r="C605" s="581"/>
      <c r="D605" s="581"/>
      <c r="E605" s="581"/>
      <c r="F605" s="581"/>
      <c r="G605" s="581"/>
      <c r="H605" s="581"/>
      <c r="I605" s="581"/>
      <c r="J605" s="581"/>
      <c r="K605" s="581"/>
      <c r="L605" s="581"/>
      <c r="M605" s="581"/>
      <c r="N605" s="581"/>
      <c r="O605" s="581"/>
      <c r="P605" s="581"/>
      <c r="Q605" s="581"/>
      <c r="R605" s="581"/>
      <c r="S605" s="581"/>
      <c r="T605" s="581"/>
      <c r="U605" s="581"/>
      <c r="V605" s="581"/>
      <c r="W605" s="581"/>
      <c r="X605" s="581"/>
      <c r="Y605" s="581"/>
    </row>
    <row r="606">
      <c r="A606" s="581"/>
      <c r="B606" s="581"/>
      <c r="C606" s="581"/>
      <c r="D606" s="581"/>
      <c r="E606" s="581"/>
      <c r="F606" s="581"/>
      <c r="G606" s="581"/>
      <c r="H606" s="581"/>
      <c r="I606" s="581"/>
      <c r="J606" s="581"/>
      <c r="K606" s="581"/>
      <c r="L606" s="581"/>
      <c r="M606" s="581"/>
      <c r="N606" s="581"/>
      <c r="O606" s="581"/>
      <c r="P606" s="581"/>
      <c r="Q606" s="581"/>
      <c r="R606" s="581"/>
      <c r="S606" s="581"/>
      <c r="T606" s="581"/>
      <c r="U606" s="581"/>
      <c r="V606" s="581"/>
      <c r="W606" s="581"/>
      <c r="X606" s="581"/>
      <c r="Y606" s="581"/>
    </row>
    <row r="607">
      <c r="A607" s="581"/>
      <c r="B607" s="581"/>
      <c r="C607" s="581"/>
      <c r="D607" s="581"/>
      <c r="E607" s="581"/>
      <c r="F607" s="581"/>
      <c r="G607" s="581"/>
      <c r="H607" s="581"/>
      <c r="I607" s="581"/>
      <c r="J607" s="581"/>
      <c r="K607" s="581"/>
      <c r="L607" s="581"/>
      <c r="M607" s="581"/>
      <c r="N607" s="581"/>
      <c r="O607" s="581"/>
      <c r="P607" s="581"/>
      <c r="Q607" s="581"/>
      <c r="R607" s="581"/>
      <c r="S607" s="581"/>
      <c r="T607" s="581"/>
      <c r="U607" s="581"/>
      <c r="V607" s="581"/>
      <c r="W607" s="581"/>
      <c r="X607" s="581"/>
      <c r="Y607" s="581"/>
    </row>
    <row r="608">
      <c r="A608" s="581"/>
      <c r="B608" s="581"/>
      <c r="C608" s="581"/>
      <c r="D608" s="581"/>
      <c r="E608" s="581"/>
      <c r="F608" s="581"/>
      <c r="G608" s="581"/>
      <c r="H608" s="581"/>
      <c r="I608" s="581"/>
      <c r="J608" s="581"/>
      <c r="K608" s="581"/>
      <c r="L608" s="581"/>
      <c r="M608" s="581"/>
      <c r="N608" s="581"/>
      <c r="O608" s="581"/>
      <c r="P608" s="581"/>
      <c r="Q608" s="581"/>
      <c r="R608" s="581"/>
      <c r="S608" s="581"/>
      <c r="T608" s="581"/>
      <c r="U608" s="581"/>
      <c r="V608" s="581"/>
      <c r="W608" s="581"/>
      <c r="X608" s="581"/>
      <c r="Y608" s="581"/>
    </row>
    <row r="609">
      <c r="A609" s="581"/>
      <c r="B609" s="581"/>
      <c r="C609" s="581"/>
      <c r="D609" s="581"/>
      <c r="E609" s="581"/>
      <c r="F609" s="581"/>
      <c r="G609" s="581"/>
      <c r="H609" s="581"/>
      <c r="I609" s="581"/>
      <c r="J609" s="581"/>
      <c r="K609" s="581"/>
      <c r="L609" s="581"/>
      <c r="M609" s="581"/>
      <c r="N609" s="581"/>
      <c r="O609" s="581"/>
      <c r="P609" s="581"/>
      <c r="Q609" s="581"/>
      <c r="R609" s="581"/>
      <c r="S609" s="581"/>
      <c r="T609" s="581"/>
      <c r="U609" s="581"/>
      <c r="V609" s="581"/>
      <c r="W609" s="581"/>
      <c r="X609" s="581"/>
      <c r="Y609" s="581"/>
    </row>
    <row r="610">
      <c r="A610" s="581"/>
      <c r="B610" s="581"/>
      <c r="C610" s="581"/>
      <c r="D610" s="581"/>
      <c r="E610" s="581"/>
      <c r="F610" s="581"/>
      <c r="G610" s="581"/>
      <c r="H610" s="581"/>
      <c r="I610" s="581"/>
      <c r="J610" s="581"/>
      <c r="K610" s="581"/>
      <c r="L610" s="581"/>
      <c r="M610" s="581"/>
      <c r="N610" s="581"/>
      <c r="O610" s="581"/>
      <c r="P610" s="581"/>
      <c r="Q610" s="581"/>
      <c r="R610" s="581"/>
      <c r="S610" s="581"/>
      <c r="T610" s="581"/>
      <c r="U610" s="581"/>
      <c r="V610" s="581"/>
      <c r="W610" s="581"/>
      <c r="X610" s="581"/>
      <c r="Y610" s="581"/>
    </row>
    <row r="611">
      <c r="A611" s="581"/>
      <c r="B611" s="581"/>
      <c r="C611" s="581"/>
      <c r="D611" s="581"/>
      <c r="E611" s="581"/>
      <c r="F611" s="581"/>
      <c r="G611" s="581"/>
      <c r="H611" s="581"/>
      <c r="I611" s="581"/>
      <c r="J611" s="581"/>
      <c r="K611" s="581"/>
      <c r="L611" s="581"/>
      <c r="M611" s="581"/>
      <c r="N611" s="581"/>
      <c r="O611" s="581"/>
      <c r="P611" s="581"/>
      <c r="Q611" s="581"/>
      <c r="R611" s="581"/>
      <c r="S611" s="581"/>
      <c r="T611" s="581"/>
      <c r="U611" s="581"/>
      <c r="V611" s="581"/>
      <c r="W611" s="581"/>
      <c r="X611" s="581"/>
      <c r="Y611" s="581"/>
    </row>
    <row r="612">
      <c r="A612" s="581"/>
      <c r="B612" s="581"/>
      <c r="C612" s="581"/>
      <c r="D612" s="581"/>
      <c r="E612" s="581"/>
      <c r="F612" s="581"/>
      <c r="G612" s="581"/>
      <c r="H612" s="581"/>
      <c r="I612" s="581"/>
      <c r="J612" s="581"/>
      <c r="K612" s="581"/>
      <c r="L612" s="581"/>
      <c r="M612" s="581"/>
      <c r="N612" s="581"/>
      <c r="O612" s="581"/>
      <c r="P612" s="581"/>
      <c r="Q612" s="581"/>
      <c r="R612" s="581"/>
      <c r="S612" s="581"/>
      <c r="T612" s="581"/>
      <c r="U612" s="581"/>
      <c r="V612" s="581"/>
      <c r="W612" s="581"/>
      <c r="X612" s="581"/>
      <c r="Y612" s="581"/>
    </row>
    <row r="613">
      <c r="A613" s="581"/>
      <c r="B613" s="581"/>
      <c r="C613" s="581"/>
      <c r="D613" s="581"/>
      <c r="E613" s="581"/>
      <c r="F613" s="581"/>
      <c r="G613" s="581"/>
      <c r="H613" s="581"/>
      <c r="I613" s="581"/>
      <c r="J613" s="581"/>
      <c r="K613" s="581"/>
      <c r="L613" s="581"/>
      <c r="M613" s="581"/>
      <c r="N613" s="581"/>
      <c r="O613" s="581"/>
      <c r="P613" s="581"/>
      <c r="Q613" s="581"/>
      <c r="R613" s="581"/>
      <c r="S613" s="581"/>
      <c r="T613" s="581"/>
      <c r="U613" s="581"/>
      <c r="V613" s="581"/>
      <c r="W613" s="581"/>
      <c r="X613" s="581"/>
      <c r="Y613" s="581"/>
    </row>
    <row r="614">
      <c r="A614" s="581"/>
      <c r="B614" s="581"/>
      <c r="C614" s="581"/>
      <c r="D614" s="581"/>
      <c r="E614" s="581"/>
      <c r="F614" s="581"/>
      <c r="G614" s="581"/>
      <c r="H614" s="581"/>
      <c r="I614" s="581"/>
      <c r="J614" s="581"/>
      <c r="K614" s="581"/>
      <c r="L614" s="581"/>
      <c r="M614" s="581"/>
      <c r="N614" s="581"/>
      <c r="O614" s="581"/>
      <c r="P614" s="581"/>
      <c r="Q614" s="581"/>
      <c r="R614" s="581"/>
      <c r="S614" s="581"/>
      <c r="T614" s="581"/>
      <c r="U614" s="581"/>
      <c r="V614" s="581"/>
      <c r="W614" s="581"/>
      <c r="X614" s="581"/>
      <c r="Y614" s="581"/>
    </row>
    <row r="615">
      <c r="A615" s="581"/>
      <c r="B615" s="581"/>
      <c r="C615" s="581"/>
      <c r="D615" s="581"/>
      <c r="E615" s="581"/>
      <c r="F615" s="581"/>
      <c r="G615" s="581"/>
      <c r="H615" s="581"/>
      <c r="I615" s="581"/>
      <c r="J615" s="581"/>
      <c r="K615" s="581"/>
      <c r="L615" s="581"/>
      <c r="M615" s="581"/>
      <c r="N615" s="581"/>
      <c r="O615" s="581"/>
      <c r="P615" s="581"/>
      <c r="Q615" s="581"/>
      <c r="R615" s="581"/>
      <c r="S615" s="581"/>
      <c r="T615" s="581"/>
      <c r="U615" s="581"/>
      <c r="V615" s="581"/>
      <c r="W615" s="581"/>
      <c r="X615" s="581"/>
      <c r="Y615" s="581"/>
    </row>
    <row r="616">
      <c r="A616" s="581"/>
      <c r="B616" s="581"/>
      <c r="C616" s="581"/>
      <c r="D616" s="581"/>
      <c r="E616" s="581"/>
      <c r="F616" s="581"/>
      <c r="G616" s="581"/>
      <c r="H616" s="581"/>
      <c r="I616" s="581"/>
      <c r="J616" s="581"/>
      <c r="K616" s="581"/>
      <c r="L616" s="581"/>
      <c r="M616" s="581"/>
      <c r="N616" s="581"/>
      <c r="O616" s="581"/>
      <c r="P616" s="581"/>
      <c r="Q616" s="581"/>
      <c r="R616" s="581"/>
      <c r="S616" s="581"/>
      <c r="T616" s="581"/>
      <c r="U616" s="581"/>
      <c r="V616" s="581"/>
      <c r="W616" s="581"/>
      <c r="X616" s="581"/>
      <c r="Y616" s="581"/>
    </row>
    <row r="617">
      <c r="A617" s="581"/>
      <c r="B617" s="581"/>
      <c r="C617" s="581"/>
      <c r="D617" s="581"/>
      <c r="E617" s="581"/>
      <c r="F617" s="581"/>
      <c r="G617" s="581"/>
      <c r="H617" s="581"/>
      <c r="I617" s="581"/>
      <c r="J617" s="581"/>
      <c r="K617" s="581"/>
      <c r="L617" s="581"/>
      <c r="M617" s="581"/>
      <c r="N617" s="581"/>
      <c r="O617" s="581"/>
      <c r="P617" s="581"/>
      <c r="Q617" s="581"/>
      <c r="R617" s="581"/>
      <c r="S617" s="581"/>
      <c r="T617" s="581"/>
      <c r="U617" s="581"/>
      <c r="V617" s="581"/>
      <c r="W617" s="581"/>
      <c r="X617" s="581"/>
      <c r="Y617" s="581"/>
    </row>
    <row r="618">
      <c r="A618" s="581"/>
      <c r="B618" s="581"/>
      <c r="C618" s="581"/>
      <c r="D618" s="581"/>
      <c r="E618" s="581"/>
      <c r="F618" s="581"/>
      <c r="G618" s="581"/>
      <c r="H618" s="581"/>
      <c r="I618" s="581"/>
      <c r="J618" s="581"/>
      <c r="K618" s="581"/>
      <c r="L618" s="581"/>
      <c r="M618" s="581"/>
      <c r="N618" s="581"/>
      <c r="O618" s="581"/>
      <c r="P618" s="581"/>
      <c r="Q618" s="581"/>
      <c r="R618" s="581"/>
      <c r="S618" s="581"/>
      <c r="T618" s="581"/>
      <c r="U618" s="581"/>
      <c r="V618" s="581"/>
      <c r="W618" s="581"/>
      <c r="X618" s="581"/>
      <c r="Y618" s="581"/>
    </row>
    <row r="619">
      <c r="A619" s="581"/>
      <c r="B619" s="581"/>
      <c r="C619" s="581"/>
      <c r="D619" s="581"/>
      <c r="E619" s="581"/>
      <c r="F619" s="581"/>
      <c r="G619" s="581"/>
      <c r="H619" s="581"/>
      <c r="I619" s="581"/>
      <c r="J619" s="581"/>
      <c r="K619" s="581"/>
      <c r="L619" s="581"/>
      <c r="M619" s="581"/>
      <c r="N619" s="581"/>
      <c r="O619" s="581"/>
      <c r="P619" s="581"/>
      <c r="Q619" s="581"/>
      <c r="R619" s="581"/>
      <c r="S619" s="581"/>
      <c r="T619" s="581"/>
      <c r="U619" s="581"/>
      <c r="V619" s="581"/>
      <c r="W619" s="581"/>
      <c r="X619" s="581"/>
      <c r="Y619" s="581"/>
    </row>
    <row r="620">
      <c r="A620" s="581"/>
      <c r="B620" s="581"/>
      <c r="C620" s="581"/>
      <c r="D620" s="581"/>
      <c r="E620" s="581"/>
      <c r="F620" s="581"/>
      <c r="G620" s="581"/>
      <c r="H620" s="581"/>
      <c r="I620" s="581"/>
      <c r="J620" s="581"/>
      <c r="K620" s="581"/>
      <c r="L620" s="581"/>
      <c r="M620" s="581"/>
      <c r="N620" s="581"/>
      <c r="O620" s="581"/>
      <c r="P620" s="581"/>
      <c r="Q620" s="581"/>
      <c r="R620" s="581"/>
      <c r="S620" s="581"/>
      <c r="T620" s="581"/>
      <c r="U620" s="581"/>
      <c r="V620" s="581"/>
      <c r="W620" s="581"/>
      <c r="X620" s="581"/>
      <c r="Y620" s="581"/>
    </row>
    <row r="621">
      <c r="A621" s="581"/>
      <c r="B621" s="581"/>
      <c r="C621" s="581"/>
      <c r="D621" s="581"/>
      <c r="E621" s="581"/>
      <c r="F621" s="581"/>
      <c r="G621" s="581"/>
      <c r="H621" s="581"/>
      <c r="I621" s="581"/>
      <c r="J621" s="581"/>
      <c r="K621" s="581"/>
      <c r="L621" s="581"/>
      <c r="M621" s="581"/>
      <c r="N621" s="581"/>
      <c r="O621" s="581"/>
      <c r="P621" s="581"/>
      <c r="Q621" s="581"/>
      <c r="R621" s="581"/>
      <c r="S621" s="581"/>
      <c r="T621" s="581"/>
      <c r="U621" s="581"/>
      <c r="V621" s="581"/>
      <c r="W621" s="581"/>
      <c r="X621" s="581"/>
      <c r="Y621" s="581"/>
    </row>
    <row r="622">
      <c r="A622" s="581"/>
      <c r="B622" s="581"/>
      <c r="C622" s="581"/>
      <c r="D622" s="581"/>
      <c r="E622" s="581"/>
      <c r="F622" s="581"/>
      <c r="G622" s="581"/>
      <c r="H622" s="581"/>
      <c r="I622" s="581"/>
      <c r="J622" s="581"/>
      <c r="K622" s="581"/>
      <c r="L622" s="581"/>
      <c r="M622" s="581"/>
      <c r="N622" s="581"/>
      <c r="O622" s="581"/>
      <c r="P622" s="581"/>
      <c r="Q622" s="581"/>
      <c r="R622" s="581"/>
      <c r="S622" s="581"/>
      <c r="T622" s="581"/>
      <c r="U622" s="581"/>
      <c r="V622" s="581"/>
      <c r="W622" s="581"/>
      <c r="X622" s="581"/>
      <c r="Y622" s="581"/>
    </row>
    <row r="623">
      <c r="A623" s="581"/>
      <c r="B623" s="581"/>
      <c r="C623" s="581"/>
      <c r="D623" s="581"/>
      <c r="E623" s="581"/>
      <c r="F623" s="581"/>
      <c r="G623" s="581"/>
      <c r="H623" s="581"/>
      <c r="I623" s="581"/>
      <c r="J623" s="581"/>
      <c r="K623" s="581"/>
      <c r="L623" s="581"/>
      <c r="M623" s="581"/>
      <c r="N623" s="581"/>
      <c r="O623" s="581"/>
      <c r="P623" s="581"/>
      <c r="Q623" s="581"/>
      <c r="R623" s="581"/>
      <c r="S623" s="581"/>
      <c r="T623" s="581"/>
      <c r="U623" s="581"/>
      <c r="V623" s="581"/>
      <c r="W623" s="581"/>
      <c r="X623" s="581"/>
      <c r="Y623" s="581"/>
    </row>
    <row r="624">
      <c r="A624" s="581"/>
      <c r="B624" s="581"/>
      <c r="C624" s="581"/>
      <c r="D624" s="581"/>
      <c r="E624" s="581"/>
      <c r="F624" s="581"/>
      <c r="G624" s="581"/>
      <c r="H624" s="581"/>
      <c r="I624" s="581"/>
      <c r="J624" s="581"/>
      <c r="K624" s="581"/>
      <c r="L624" s="581"/>
      <c r="M624" s="581"/>
      <c r="N624" s="581"/>
      <c r="O624" s="581"/>
      <c r="P624" s="581"/>
      <c r="Q624" s="581"/>
      <c r="R624" s="581"/>
      <c r="S624" s="581"/>
      <c r="T624" s="581"/>
      <c r="U624" s="581"/>
      <c r="V624" s="581"/>
      <c r="W624" s="581"/>
      <c r="X624" s="581"/>
      <c r="Y624" s="581"/>
    </row>
    <row r="625">
      <c r="A625" s="581"/>
      <c r="B625" s="581"/>
      <c r="C625" s="581"/>
      <c r="D625" s="581"/>
      <c r="E625" s="581"/>
      <c r="F625" s="581"/>
      <c r="G625" s="581"/>
      <c r="H625" s="581"/>
      <c r="I625" s="581"/>
      <c r="J625" s="581"/>
      <c r="K625" s="581"/>
      <c r="L625" s="581"/>
      <c r="M625" s="581"/>
      <c r="N625" s="581"/>
      <c r="O625" s="581"/>
      <c r="P625" s="581"/>
      <c r="Q625" s="581"/>
      <c r="R625" s="581"/>
      <c r="S625" s="581"/>
      <c r="T625" s="581"/>
      <c r="U625" s="581"/>
      <c r="V625" s="581"/>
      <c r="W625" s="581"/>
      <c r="X625" s="581"/>
      <c r="Y625" s="581"/>
    </row>
    <row r="626">
      <c r="A626" s="581"/>
      <c r="B626" s="581"/>
      <c r="C626" s="581"/>
      <c r="D626" s="581"/>
      <c r="E626" s="581"/>
      <c r="F626" s="581"/>
      <c r="G626" s="581"/>
      <c r="H626" s="581"/>
      <c r="I626" s="581"/>
      <c r="J626" s="581"/>
      <c r="K626" s="581"/>
      <c r="L626" s="581"/>
      <c r="M626" s="581"/>
      <c r="N626" s="581"/>
      <c r="O626" s="581"/>
      <c r="P626" s="581"/>
      <c r="Q626" s="581"/>
      <c r="R626" s="581"/>
      <c r="S626" s="581"/>
      <c r="T626" s="581"/>
      <c r="U626" s="581"/>
      <c r="V626" s="581"/>
      <c r="W626" s="581"/>
      <c r="X626" s="581"/>
      <c r="Y626" s="581"/>
    </row>
    <row r="627">
      <c r="A627" s="581"/>
      <c r="B627" s="581"/>
      <c r="C627" s="581"/>
      <c r="D627" s="581"/>
      <c r="E627" s="581"/>
      <c r="F627" s="581"/>
      <c r="G627" s="581"/>
      <c r="H627" s="581"/>
      <c r="I627" s="581"/>
      <c r="J627" s="581"/>
      <c r="K627" s="581"/>
      <c r="L627" s="581"/>
      <c r="M627" s="581"/>
      <c r="N627" s="581"/>
      <c r="O627" s="581"/>
      <c r="P627" s="581"/>
      <c r="Q627" s="581"/>
      <c r="R627" s="581"/>
      <c r="S627" s="581"/>
      <c r="T627" s="581"/>
      <c r="U627" s="581"/>
      <c r="V627" s="581"/>
      <c r="W627" s="581"/>
      <c r="X627" s="581"/>
      <c r="Y627" s="581"/>
    </row>
    <row r="628">
      <c r="A628" s="581"/>
      <c r="B628" s="581"/>
      <c r="C628" s="581"/>
      <c r="D628" s="581"/>
      <c r="E628" s="581"/>
      <c r="F628" s="581"/>
      <c r="G628" s="581"/>
      <c r="H628" s="581"/>
      <c r="I628" s="581"/>
      <c r="J628" s="581"/>
      <c r="K628" s="581"/>
      <c r="L628" s="581"/>
      <c r="M628" s="581"/>
      <c r="N628" s="581"/>
      <c r="O628" s="581"/>
      <c r="P628" s="581"/>
      <c r="Q628" s="581"/>
      <c r="R628" s="581"/>
      <c r="S628" s="581"/>
      <c r="T628" s="581"/>
      <c r="U628" s="581"/>
      <c r="V628" s="581"/>
      <c r="W628" s="581"/>
      <c r="X628" s="581"/>
      <c r="Y628" s="581"/>
    </row>
    <row r="629">
      <c r="A629" s="581"/>
      <c r="B629" s="581"/>
      <c r="C629" s="581"/>
      <c r="D629" s="581"/>
      <c r="E629" s="581"/>
      <c r="F629" s="581"/>
      <c r="G629" s="581"/>
      <c r="H629" s="581"/>
      <c r="I629" s="581"/>
      <c r="J629" s="581"/>
      <c r="K629" s="581"/>
      <c r="L629" s="581"/>
      <c r="M629" s="581"/>
      <c r="N629" s="581"/>
      <c r="O629" s="581"/>
      <c r="P629" s="581"/>
      <c r="Q629" s="581"/>
      <c r="R629" s="581"/>
      <c r="S629" s="581"/>
      <c r="T629" s="581"/>
      <c r="U629" s="581"/>
      <c r="V629" s="581"/>
      <c r="W629" s="581"/>
      <c r="X629" s="581"/>
      <c r="Y629" s="581"/>
    </row>
    <row r="630">
      <c r="A630" s="581"/>
      <c r="B630" s="581"/>
      <c r="C630" s="581"/>
      <c r="D630" s="581"/>
      <c r="E630" s="581"/>
      <c r="F630" s="581"/>
      <c r="G630" s="581"/>
      <c r="H630" s="581"/>
      <c r="I630" s="581"/>
      <c r="J630" s="581"/>
      <c r="K630" s="581"/>
      <c r="L630" s="581"/>
      <c r="M630" s="581"/>
      <c r="N630" s="581"/>
      <c r="O630" s="581"/>
      <c r="P630" s="581"/>
      <c r="Q630" s="581"/>
      <c r="R630" s="581"/>
      <c r="S630" s="581"/>
      <c r="T630" s="581"/>
      <c r="U630" s="581"/>
      <c r="V630" s="581"/>
      <c r="W630" s="581"/>
      <c r="X630" s="581"/>
      <c r="Y630" s="581"/>
    </row>
    <row r="631">
      <c r="A631" s="581"/>
      <c r="B631" s="581"/>
      <c r="C631" s="581"/>
      <c r="D631" s="581"/>
      <c r="E631" s="581"/>
      <c r="F631" s="581"/>
      <c r="G631" s="581"/>
      <c r="H631" s="581"/>
      <c r="I631" s="581"/>
      <c r="J631" s="581"/>
      <c r="K631" s="581"/>
      <c r="L631" s="581"/>
      <c r="M631" s="581"/>
      <c r="N631" s="581"/>
      <c r="O631" s="581"/>
      <c r="P631" s="581"/>
      <c r="Q631" s="581"/>
      <c r="R631" s="581"/>
      <c r="S631" s="581"/>
      <c r="T631" s="581"/>
      <c r="U631" s="581"/>
      <c r="V631" s="581"/>
      <c r="W631" s="581"/>
      <c r="X631" s="581"/>
      <c r="Y631" s="581"/>
    </row>
    <row r="632">
      <c r="A632" s="581"/>
      <c r="B632" s="581"/>
      <c r="C632" s="581"/>
      <c r="D632" s="581"/>
      <c r="E632" s="581"/>
      <c r="F632" s="581"/>
      <c r="G632" s="581"/>
      <c r="H632" s="581"/>
      <c r="I632" s="581"/>
      <c r="J632" s="581"/>
      <c r="K632" s="581"/>
      <c r="L632" s="581"/>
      <c r="M632" s="581"/>
      <c r="N632" s="581"/>
      <c r="O632" s="581"/>
      <c r="P632" s="581"/>
      <c r="Q632" s="581"/>
      <c r="R632" s="581"/>
      <c r="S632" s="581"/>
      <c r="T632" s="581"/>
      <c r="U632" s="581"/>
      <c r="V632" s="581"/>
      <c r="W632" s="581"/>
      <c r="X632" s="581"/>
      <c r="Y632" s="581"/>
    </row>
    <row r="633">
      <c r="A633" s="581"/>
      <c r="B633" s="581"/>
      <c r="C633" s="581"/>
      <c r="D633" s="581"/>
      <c r="E633" s="581"/>
      <c r="F633" s="581"/>
      <c r="G633" s="581"/>
      <c r="H633" s="581"/>
      <c r="I633" s="581"/>
      <c r="J633" s="581"/>
      <c r="K633" s="581"/>
      <c r="L633" s="581"/>
      <c r="M633" s="581"/>
      <c r="N633" s="581"/>
      <c r="O633" s="581"/>
      <c r="P633" s="581"/>
      <c r="Q633" s="581"/>
      <c r="R633" s="581"/>
      <c r="S633" s="581"/>
      <c r="T633" s="581"/>
      <c r="U633" s="581"/>
      <c r="V633" s="581"/>
      <c r="W633" s="581"/>
      <c r="X633" s="581"/>
      <c r="Y633" s="581"/>
    </row>
    <row r="634">
      <c r="A634" s="581"/>
      <c r="B634" s="581"/>
      <c r="C634" s="581"/>
      <c r="D634" s="581"/>
      <c r="E634" s="581"/>
      <c r="F634" s="581"/>
      <c r="G634" s="581"/>
      <c r="H634" s="581"/>
      <c r="I634" s="581"/>
      <c r="J634" s="581"/>
      <c r="K634" s="581"/>
      <c r="L634" s="581"/>
      <c r="M634" s="581"/>
      <c r="N634" s="581"/>
      <c r="O634" s="581"/>
      <c r="P634" s="581"/>
      <c r="Q634" s="581"/>
      <c r="R634" s="581"/>
      <c r="S634" s="581"/>
      <c r="T634" s="581"/>
      <c r="U634" s="581"/>
      <c r="V634" s="581"/>
      <c r="W634" s="581"/>
      <c r="X634" s="581"/>
      <c r="Y634" s="581"/>
    </row>
    <row r="635">
      <c r="A635" s="581"/>
      <c r="B635" s="581"/>
      <c r="C635" s="581"/>
      <c r="D635" s="581"/>
      <c r="E635" s="581"/>
      <c r="F635" s="581"/>
      <c r="G635" s="581"/>
      <c r="H635" s="581"/>
      <c r="I635" s="581"/>
      <c r="J635" s="581"/>
      <c r="K635" s="581"/>
      <c r="L635" s="581"/>
      <c r="M635" s="581"/>
      <c r="N635" s="581"/>
      <c r="O635" s="581"/>
      <c r="P635" s="581"/>
      <c r="Q635" s="581"/>
      <c r="R635" s="581"/>
      <c r="S635" s="581"/>
      <c r="T635" s="581"/>
      <c r="U635" s="581"/>
      <c r="V635" s="581"/>
      <c r="W635" s="581"/>
      <c r="X635" s="581"/>
      <c r="Y635" s="581"/>
    </row>
    <row r="636">
      <c r="A636" s="581"/>
      <c r="B636" s="581"/>
      <c r="C636" s="581"/>
      <c r="D636" s="581"/>
      <c r="E636" s="581"/>
      <c r="F636" s="581"/>
      <c r="G636" s="581"/>
      <c r="H636" s="581"/>
      <c r="I636" s="581"/>
      <c r="J636" s="581"/>
      <c r="K636" s="581"/>
      <c r="L636" s="581"/>
      <c r="M636" s="581"/>
      <c r="N636" s="581"/>
      <c r="O636" s="581"/>
      <c r="P636" s="581"/>
      <c r="Q636" s="581"/>
      <c r="R636" s="581"/>
      <c r="S636" s="581"/>
      <c r="T636" s="581"/>
      <c r="U636" s="581"/>
      <c r="V636" s="581"/>
      <c r="W636" s="581"/>
      <c r="X636" s="581"/>
      <c r="Y636" s="581"/>
    </row>
    <row r="637">
      <c r="A637" s="581"/>
      <c r="B637" s="581"/>
      <c r="C637" s="581"/>
      <c r="D637" s="581"/>
      <c r="E637" s="581"/>
      <c r="F637" s="581"/>
      <c r="G637" s="581"/>
      <c r="H637" s="581"/>
      <c r="I637" s="581"/>
      <c r="J637" s="581"/>
      <c r="K637" s="581"/>
      <c r="L637" s="581"/>
      <c r="M637" s="581"/>
      <c r="N637" s="581"/>
      <c r="O637" s="581"/>
      <c r="P637" s="581"/>
      <c r="Q637" s="581"/>
      <c r="R637" s="581"/>
      <c r="S637" s="581"/>
      <c r="T637" s="581"/>
      <c r="U637" s="581"/>
      <c r="V637" s="581"/>
      <c r="W637" s="581"/>
      <c r="X637" s="581"/>
      <c r="Y637" s="581"/>
    </row>
    <row r="638">
      <c r="A638" s="581"/>
      <c r="B638" s="581"/>
      <c r="C638" s="581"/>
      <c r="D638" s="581"/>
      <c r="E638" s="581"/>
      <c r="F638" s="581"/>
      <c r="G638" s="581"/>
      <c r="H638" s="581"/>
      <c r="I638" s="581"/>
      <c r="J638" s="581"/>
      <c r="K638" s="581"/>
      <c r="L638" s="581"/>
      <c r="M638" s="581"/>
      <c r="N638" s="581"/>
      <c r="O638" s="581"/>
      <c r="P638" s="581"/>
      <c r="Q638" s="581"/>
      <c r="R638" s="581"/>
      <c r="S638" s="581"/>
      <c r="T638" s="581"/>
      <c r="U638" s="581"/>
      <c r="V638" s="581"/>
      <c r="W638" s="581"/>
      <c r="X638" s="581"/>
      <c r="Y638" s="581"/>
    </row>
    <row r="639">
      <c r="A639" s="581"/>
      <c r="B639" s="581"/>
      <c r="C639" s="581"/>
      <c r="D639" s="581"/>
      <c r="E639" s="581"/>
      <c r="F639" s="581"/>
      <c r="G639" s="581"/>
      <c r="H639" s="581"/>
      <c r="I639" s="581"/>
      <c r="J639" s="581"/>
      <c r="K639" s="581"/>
      <c r="L639" s="581"/>
      <c r="M639" s="581"/>
      <c r="N639" s="581"/>
      <c r="O639" s="581"/>
      <c r="P639" s="581"/>
      <c r="Q639" s="581"/>
      <c r="R639" s="581"/>
      <c r="S639" s="581"/>
      <c r="T639" s="581"/>
      <c r="U639" s="581"/>
      <c r="V639" s="581"/>
      <c r="W639" s="581"/>
      <c r="X639" s="581"/>
      <c r="Y639" s="581"/>
    </row>
    <row r="640">
      <c r="A640" s="581"/>
      <c r="B640" s="581"/>
      <c r="C640" s="581"/>
      <c r="D640" s="581"/>
      <c r="E640" s="581"/>
      <c r="F640" s="581"/>
      <c r="G640" s="581"/>
      <c r="H640" s="581"/>
      <c r="I640" s="581"/>
      <c r="J640" s="581"/>
      <c r="K640" s="581"/>
      <c r="L640" s="581"/>
      <c r="M640" s="581"/>
      <c r="N640" s="581"/>
      <c r="O640" s="581"/>
      <c r="P640" s="581"/>
      <c r="Q640" s="581"/>
      <c r="R640" s="581"/>
      <c r="S640" s="581"/>
      <c r="T640" s="581"/>
      <c r="U640" s="581"/>
      <c r="V640" s="581"/>
      <c r="W640" s="581"/>
      <c r="X640" s="581"/>
      <c r="Y640" s="581"/>
    </row>
    <row r="641">
      <c r="A641" s="581"/>
      <c r="B641" s="581"/>
      <c r="C641" s="581"/>
      <c r="D641" s="581"/>
      <c r="E641" s="581"/>
      <c r="F641" s="581"/>
      <c r="G641" s="581"/>
      <c r="H641" s="581"/>
      <c r="I641" s="581"/>
      <c r="J641" s="581"/>
      <c r="K641" s="581"/>
      <c r="L641" s="581"/>
      <c r="M641" s="581"/>
      <c r="N641" s="581"/>
      <c r="O641" s="581"/>
      <c r="P641" s="581"/>
      <c r="Q641" s="581"/>
      <c r="R641" s="581"/>
      <c r="S641" s="581"/>
      <c r="T641" s="581"/>
      <c r="U641" s="581"/>
      <c r="V641" s="581"/>
      <c r="W641" s="581"/>
      <c r="X641" s="581"/>
      <c r="Y641" s="581"/>
    </row>
    <row r="642">
      <c r="A642" s="581"/>
      <c r="B642" s="581"/>
      <c r="C642" s="581"/>
      <c r="D642" s="581"/>
      <c r="E642" s="581"/>
      <c r="F642" s="581"/>
      <c r="G642" s="581"/>
      <c r="H642" s="581"/>
      <c r="I642" s="581"/>
      <c r="J642" s="581"/>
      <c r="K642" s="581"/>
      <c r="L642" s="581"/>
      <c r="M642" s="581"/>
      <c r="N642" s="581"/>
      <c r="O642" s="581"/>
      <c r="P642" s="581"/>
      <c r="Q642" s="581"/>
      <c r="R642" s="581"/>
      <c r="S642" s="581"/>
      <c r="T642" s="581"/>
      <c r="U642" s="581"/>
      <c r="V642" s="581"/>
      <c r="W642" s="581"/>
      <c r="X642" s="581"/>
      <c r="Y642" s="581"/>
    </row>
    <row r="643">
      <c r="A643" s="581"/>
      <c r="B643" s="581"/>
      <c r="C643" s="581"/>
      <c r="D643" s="581"/>
      <c r="E643" s="581"/>
      <c r="F643" s="581"/>
      <c r="G643" s="581"/>
      <c r="H643" s="581"/>
      <c r="I643" s="581"/>
      <c r="J643" s="581"/>
      <c r="K643" s="581"/>
      <c r="L643" s="581"/>
      <c r="M643" s="581"/>
      <c r="N643" s="581"/>
      <c r="O643" s="581"/>
      <c r="P643" s="581"/>
      <c r="Q643" s="581"/>
      <c r="R643" s="581"/>
      <c r="S643" s="581"/>
      <c r="T643" s="581"/>
      <c r="U643" s="581"/>
      <c r="V643" s="581"/>
      <c r="W643" s="581"/>
      <c r="X643" s="581"/>
      <c r="Y643" s="581"/>
    </row>
    <row r="644">
      <c r="A644" s="581"/>
      <c r="B644" s="581"/>
      <c r="C644" s="581"/>
      <c r="D644" s="581"/>
      <c r="E644" s="581"/>
      <c r="F644" s="581"/>
      <c r="G644" s="581"/>
      <c r="H644" s="581"/>
      <c r="I644" s="581"/>
      <c r="J644" s="581"/>
      <c r="K644" s="581"/>
      <c r="L644" s="581"/>
      <c r="M644" s="581"/>
      <c r="N644" s="581"/>
      <c r="O644" s="581"/>
      <c r="P644" s="581"/>
      <c r="Q644" s="581"/>
      <c r="R644" s="581"/>
      <c r="S644" s="581"/>
      <c r="T644" s="581"/>
      <c r="U644" s="581"/>
      <c r="V644" s="581"/>
      <c r="W644" s="581"/>
      <c r="X644" s="581"/>
      <c r="Y644" s="581"/>
    </row>
    <row r="645">
      <c r="A645" s="581"/>
      <c r="B645" s="581"/>
      <c r="C645" s="581"/>
      <c r="D645" s="581"/>
      <c r="E645" s="581"/>
      <c r="F645" s="581"/>
      <c r="G645" s="581"/>
      <c r="H645" s="581"/>
      <c r="I645" s="581"/>
      <c r="J645" s="581"/>
      <c r="K645" s="581"/>
      <c r="L645" s="581"/>
      <c r="M645" s="581"/>
      <c r="N645" s="581"/>
      <c r="O645" s="581"/>
      <c r="P645" s="581"/>
      <c r="Q645" s="581"/>
      <c r="R645" s="581"/>
      <c r="S645" s="581"/>
      <c r="T645" s="581"/>
      <c r="U645" s="581"/>
      <c r="V645" s="581"/>
      <c r="W645" s="581"/>
      <c r="X645" s="581"/>
      <c r="Y645" s="581"/>
    </row>
    <row r="646">
      <c r="A646" s="581"/>
      <c r="B646" s="581"/>
      <c r="C646" s="581"/>
      <c r="D646" s="581"/>
      <c r="E646" s="581"/>
      <c r="F646" s="581"/>
      <c r="G646" s="581"/>
      <c r="H646" s="581"/>
      <c r="I646" s="581"/>
      <c r="J646" s="581"/>
      <c r="K646" s="581"/>
      <c r="L646" s="581"/>
      <c r="M646" s="581"/>
      <c r="N646" s="581"/>
      <c r="O646" s="581"/>
      <c r="P646" s="581"/>
      <c r="Q646" s="581"/>
      <c r="R646" s="581"/>
      <c r="S646" s="581"/>
      <c r="T646" s="581"/>
      <c r="U646" s="581"/>
      <c r="V646" s="581"/>
      <c r="W646" s="581"/>
      <c r="X646" s="581"/>
      <c r="Y646" s="581"/>
    </row>
    <row r="647">
      <c r="A647" s="581"/>
      <c r="B647" s="581"/>
      <c r="C647" s="581"/>
      <c r="D647" s="581"/>
      <c r="E647" s="581"/>
      <c r="F647" s="581"/>
      <c r="G647" s="581"/>
      <c r="H647" s="581"/>
      <c r="I647" s="581"/>
      <c r="J647" s="581"/>
      <c r="K647" s="581"/>
      <c r="L647" s="581"/>
      <c r="M647" s="581"/>
      <c r="N647" s="581"/>
      <c r="O647" s="581"/>
      <c r="P647" s="581"/>
      <c r="Q647" s="581"/>
      <c r="R647" s="581"/>
      <c r="S647" s="581"/>
      <c r="T647" s="581"/>
      <c r="U647" s="581"/>
      <c r="V647" s="581"/>
      <c r="W647" s="581"/>
      <c r="X647" s="581"/>
      <c r="Y647" s="581"/>
    </row>
    <row r="648">
      <c r="A648" s="581"/>
      <c r="B648" s="581"/>
      <c r="C648" s="581"/>
      <c r="D648" s="581"/>
      <c r="E648" s="581"/>
      <c r="F648" s="581"/>
      <c r="G648" s="581"/>
      <c r="H648" s="581"/>
      <c r="I648" s="581"/>
      <c r="J648" s="581"/>
      <c r="K648" s="581"/>
      <c r="L648" s="581"/>
      <c r="M648" s="581"/>
      <c r="N648" s="581"/>
      <c r="O648" s="581"/>
      <c r="P648" s="581"/>
      <c r="Q648" s="581"/>
      <c r="R648" s="581"/>
      <c r="S648" s="581"/>
      <c r="T648" s="581"/>
      <c r="U648" s="581"/>
      <c r="V648" s="581"/>
      <c r="W648" s="581"/>
      <c r="X648" s="581"/>
      <c r="Y648" s="581"/>
    </row>
    <row r="649">
      <c r="A649" s="581"/>
      <c r="B649" s="581"/>
      <c r="C649" s="581"/>
      <c r="D649" s="581"/>
      <c r="E649" s="581"/>
      <c r="F649" s="581"/>
      <c r="G649" s="581"/>
      <c r="H649" s="581"/>
      <c r="I649" s="581"/>
      <c r="J649" s="581"/>
      <c r="K649" s="581"/>
      <c r="L649" s="581"/>
      <c r="M649" s="581"/>
      <c r="N649" s="581"/>
      <c r="O649" s="581"/>
      <c r="P649" s="581"/>
      <c r="Q649" s="581"/>
      <c r="R649" s="581"/>
      <c r="S649" s="581"/>
      <c r="T649" s="581"/>
      <c r="U649" s="581"/>
      <c r="V649" s="581"/>
      <c r="W649" s="581"/>
      <c r="X649" s="581"/>
      <c r="Y649" s="581"/>
    </row>
    <row r="650">
      <c r="A650" s="581"/>
      <c r="B650" s="581"/>
      <c r="C650" s="581"/>
      <c r="D650" s="581"/>
      <c r="E650" s="581"/>
      <c r="F650" s="581"/>
      <c r="G650" s="581"/>
      <c r="H650" s="581"/>
      <c r="I650" s="581"/>
      <c r="J650" s="581"/>
      <c r="K650" s="581"/>
      <c r="L650" s="581"/>
      <c r="M650" s="581"/>
      <c r="N650" s="581"/>
      <c r="O650" s="581"/>
      <c r="P650" s="581"/>
      <c r="Q650" s="581"/>
      <c r="R650" s="581"/>
      <c r="S650" s="581"/>
      <c r="T650" s="581"/>
      <c r="U650" s="581"/>
      <c r="V650" s="581"/>
      <c r="W650" s="581"/>
      <c r="X650" s="581"/>
      <c r="Y650" s="581"/>
    </row>
    <row r="651">
      <c r="A651" s="581"/>
      <c r="B651" s="581"/>
      <c r="C651" s="581"/>
      <c r="D651" s="581"/>
      <c r="E651" s="581"/>
      <c r="F651" s="581"/>
      <c r="G651" s="581"/>
      <c r="H651" s="581"/>
      <c r="I651" s="581"/>
      <c r="J651" s="581"/>
      <c r="K651" s="581"/>
      <c r="L651" s="581"/>
      <c r="M651" s="581"/>
      <c r="N651" s="581"/>
      <c r="O651" s="581"/>
      <c r="P651" s="581"/>
      <c r="Q651" s="581"/>
      <c r="R651" s="581"/>
      <c r="S651" s="581"/>
      <c r="T651" s="581"/>
      <c r="U651" s="581"/>
      <c r="V651" s="581"/>
      <c r="W651" s="581"/>
      <c r="X651" s="581"/>
      <c r="Y651" s="581"/>
    </row>
    <row r="652">
      <c r="A652" s="581"/>
      <c r="B652" s="581"/>
      <c r="C652" s="581"/>
      <c r="D652" s="581"/>
      <c r="E652" s="581"/>
      <c r="F652" s="581"/>
      <c r="G652" s="581"/>
      <c r="H652" s="581"/>
      <c r="I652" s="581"/>
      <c r="J652" s="581"/>
      <c r="K652" s="581"/>
      <c r="L652" s="581"/>
      <c r="M652" s="581"/>
      <c r="N652" s="581"/>
      <c r="O652" s="581"/>
      <c r="P652" s="581"/>
      <c r="Q652" s="581"/>
      <c r="R652" s="581"/>
      <c r="S652" s="581"/>
      <c r="T652" s="581"/>
      <c r="U652" s="581"/>
      <c r="V652" s="581"/>
      <c r="W652" s="581"/>
      <c r="X652" s="581"/>
      <c r="Y652" s="581"/>
    </row>
    <row r="653">
      <c r="A653" s="581"/>
      <c r="B653" s="581"/>
      <c r="C653" s="581"/>
      <c r="D653" s="581"/>
      <c r="E653" s="581"/>
      <c r="F653" s="581"/>
      <c r="G653" s="581"/>
      <c r="H653" s="581"/>
      <c r="I653" s="581"/>
      <c r="J653" s="581"/>
      <c r="K653" s="581"/>
      <c r="L653" s="581"/>
      <c r="M653" s="581"/>
      <c r="N653" s="581"/>
      <c r="O653" s="581"/>
      <c r="P653" s="581"/>
      <c r="Q653" s="581"/>
      <c r="R653" s="581"/>
      <c r="S653" s="581"/>
      <c r="T653" s="581"/>
      <c r="U653" s="581"/>
      <c r="V653" s="581"/>
      <c r="W653" s="581"/>
      <c r="X653" s="581"/>
      <c r="Y653" s="581"/>
    </row>
    <row r="654">
      <c r="A654" s="581"/>
      <c r="B654" s="581"/>
      <c r="C654" s="581"/>
      <c r="D654" s="581"/>
      <c r="E654" s="581"/>
      <c r="F654" s="581"/>
      <c r="G654" s="581"/>
      <c r="H654" s="581"/>
      <c r="I654" s="581"/>
      <c r="J654" s="581"/>
      <c r="K654" s="581"/>
      <c r="L654" s="581"/>
      <c r="M654" s="581"/>
      <c r="N654" s="581"/>
      <c r="O654" s="581"/>
      <c r="P654" s="581"/>
      <c r="Q654" s="581"/>
      <c r="R654" s="581"/>
      <c r="S654" s="581"/>
      <c r="T654" s="581"/>
      <c r="U654" s="581"/>
      <c r="V654" s="581"/>
      <c r="W654" s="581"/>
      <c r="X654" s="581"/>
      <c r="Y654" s="581"/>
    </row>
    <row r="655">
      <c r="A655" s="581"/>
      <c r="B655" s="581"/>
      <c r="C655" s="581"/>
      <c r="D655" s="581"/>
      <c r="E655" s="581"/>
      <c r="F655" s="581"/>
      <c r="G655" s="581"/>
      <c r="H655" s="581"/>
      <c r="I655" s="581"/>
      <c r="J655" s="581"/>
      <c r="K655" s="581"/>
      <c r="L655" s="581"/>
      <c r="M655" s="581"/>
      <c r="N655" s="581"/>
      <c r="O655" s="581"/>
      <c r="P655" s="581"/>
      <c r="Q655" s="581"/>
      <c r="R655" s="581"/>
      <c r="S655" s="581"/>
      <c r="T655" s="581"/>
      <c r="U655" s="581"/>
      <c r="V655" s="581"/>
      <c r="W655" s="581"/>
      <c r="X655" s="581"/>
      <c r="Y655" s="581"/>
    </row>
    <row r="656">
      <c r="A656" s="581"/>
      <c r="B656" s="581"/>
      <c r="C656" s="581"/>
      <c r="D656" s="581"/>
      <c r="E656" s="581"/>
      <c r="F656" s="581"/>
      <c r="G656" s="581"/>
      <c r="H656" s="581"/>
      <c r="I656" s="581"/>
      <c r="J656" s="581"/>
      <c r="K656" s="581"/>
      <c r="L656" s="581"/>
      <c r="M656" s="581"/>
      <c r="N656" s="581"/>
      <c r="O656" s="581"/>
      <c r="P656" s="581"/>
      <c r="Q656" s="581"/>
      <c r="R656" s="581"/>
      <c r="S656" s="581"/>
      <c r="T656" s="581"/>
      <c r="U656" s="581"/>
      <c r="V656" s="581"/>
      <c r="W656" s="581"/>
      <c r="X656" s="581"/>
      <c r="Y656" s="581"/>
    </row>
    <row r="657">
      <c r="A657" s="581"/>
      <c r="B657" s="581"/>
      <c r="C657" s="581"/>
      <c r="D657" s="581"/>
      <c r="E657" s="581"/>
      <c r="F657" s="581"/>
      <c r="G657" s="581"/>
      <c r="H657" s="581"/>
      <c r="I657" s="581"/>
      <c r="J657" s="581"/>
      <c r="K657" s="581"/>
      <c r="L657" s="581"/>
      <c r="M657" s="581"/>
      <c r="N657" s="581"/>
      <c r="O657" s="581"/>
      <c r="P657" s="581"/>
      <c r="Q657" s="581"/>
      <c r="R657" s="581"/>
      <c r="S657" s="581"/>
      <c r="T657" s="581"/>
      <c r="U657" s="581"/>
      <c r="V657" s="581"/>
      <c r="W657" s="581"/>
      <c r="X657" s="581"/>
      <c r="Y657" s="581"/>
    </row>
    <row r="658">
      <c r="A658" s="581"/>
      <c r="B658" s="581"/>
      <c r="C658" s="581"/>
      <c r="D658" s="581"/>
      <c r="E658" s="581"/>
      <c r="F658" s="581"/>
      <c r="G658" s="581"/>
      <c r="H658" s="581"/>
      <c r="I658" s="581"/>
      <c r="J658" s="581"/>
      <c r="K658" s="581"/>
      <c r="L658" s="581"/>
      <c r="M658" s="581"/>
      <c r="N658" s="581"/>
      <c r="O658" s="581"/>
      <c r="P658" s="581"/>
      <c r="Q658" s="581"/>
      <c r="R658" s="581"/>
      <c r="S658" s="581"/>
      <c r="T658" s="581"/>
      <c r="U658" s="581"/>
      <c r="V658" s="581"/>
      <c r="W658" s="581"/>
      <c r="X658" s="581"/>
      <c r="Y658" s="581"/>
    </row>
    <row r="659">
      <c r="A659" s="581"/>
      <c r="B659" s="581"/>
      <c r="C659" s="581"/>
      <c r="D659" s="581"/>
      <c r="E659" s="581"/>
      <c r="F659" s="581"/>
      <c r="G659" s="581"/>
      <c r="H659" s="581"/>
      <c r="I659" s="581"/>
      <c r="J659" s="581"/>
      <c r="K659" s="581"/>
      <c r="L659" s="581"/>
      <c r="M659" s="581"/>
      <c r="N659" s="581"/>
      <c r="O659" s="581"/>
      <c r="P659" s="581"/>
      <c r="Q659" s="581"/>
      <c r="R659" s="581"/>
      <c r="S659" s="581"/>
      <c r="T659" s="581"/>
      <c r="U659" s="581"/>
      <c r="V659" s="581"/>
      <c r="W659" s="581"/>
      <c r="X659" s="581"/>
      <c r="Y659" s="581"/>
    </row>
    <row r="660">
      <c r="A660" s="581"/>
      <c r="B660" s="581"/>
      <c r="C660" s="581"/>
      <c r="D660" s="581"/>
      <c r="E660" s="581"/>
      <c r="F660" s="581"/>
      <c r="G660" s="581"/>
      <c r="H660" s="581"/>
      <c r="I660" s="581"/>
      <c r="J660" s="581"/>
      <c r="K660" s="581"/>
      <c r="L660" s="581"/>
      <c r="M660" s="581"/>
      <c r="N660" s="581"/>
      <c r="O660" s="581"/>
      <c r="P660" s="581"/>
      <c r="Q660" s="581"/>
      <c r="R660" s="581"/>
      <c r="S660" s="581"/>
      <c r="T660" s="581"/>
      <c r="U660" s="581"/>
      <c r="V660" s="581"/>
      <c r="W660" s="581"/>
      <c r="X660" s="581"/>
      <c r="Y660" s="581"/>
    </row>
    <row r="661">
      <c r="A661" s="581"/>
      <c r="B661" s="581"/>
      <c r="C661" s="581"/>
      <c r="D661" s="581"/>
      <c r="E661" s="581"/>
      <c r="F661" s="581"/>
      <c r="G661" s="581"/>
      <c r="H661" s="581"/>
      <c r="I661" s="581"/>
      <c r="J661" s="581"/>
      <c r="K661" s="581"/>
      <c r="L661" s="581"/>
      <c r="M661" s="581"/>
      <c r="N661" s="581"/>
      <c r="O661" s="581"/>
      <c r="P661" s="581"/>
      <c r="Q661" s="581"/>
      <c r="R661" s="581"/>
      <c r="S661" s="581"/>
      <c r="T661" s="581"/>
      <c r="U661" s="581"/>
      <c r="V661" s="581"/>
      <c r="W661" s="581"/>
      <c r="X661" s="581"/>
      <c r="Y661" s="581"/>
    </row>
    <row r="662">
      <c r="A662" s="581"/>
      <c r="B662" s="581"/>
      <c r="C662" s="581"/>
      <c r="D662" s="581"/>
      <c r="E662" s="581"/>
      <c r="F662" s="581"/>
      <c r="G662" s="581"/>
      <c r="H662" s="581"/>
      <c r="I662" s="581"/>
      <c r="J662" s="581"/>
      <c r="K662" s="581"/>
      <c r="L662" s="581"/>
      <c r="M662" s="581"/>
      <c r="N662" s="581"/>
      <c r="O662" s="581"/>
      <c r="P662" s="581"/>
      <c r="Q662" s="581"/>
      <c r="R662" s="581"/>
      <c r="S662" s="581"/>
      <c r="T662" s="581"/>
      <c r="U662" s="581"/>
      <c r="V662" s="581"/>
      <c r="W662" s="581"/>
      <c r="X662" s="581"/>
      <c r="Y662" s="581"/>
    </row>
    <row r="663">
      <c r="A663" s="581"/>
      <c r="B663" s="581"/>
      <c r="C663" s="581"/>
      <c r="D663" s="581"/>
      <c r="E663" s="581"/>
      <c r="F663" s="581"/>
      <c r="G663" s="581"/>
      <c r="H663" s="581"/>
      <c r="I663" s="581"/>
      <c r="J663" s="581"/>
      <c r="K663" s="581"/>
      <c r="L663" s="581"/>
      <c r="M663" s="581"/>
      <c r="N663" s="581"/>
      <c r="O663" s="581"/>
      <c r="P663" s="581"/>
      <c r="Q663" s="581"/>
      <c r="R663" s="581"/>
      <c r="S663" s="581"/>
      <c r="T663" s="581"/>
      <c r="U663" s="581"/>
      <c r="V663" s="581"/>
      <c r="W663" s="581"/>
      <c r="X663" s="581"/>
      <c r="Y663" s="581"/>
    </row>
    <row r="664">
      <c r="A664" s="581"/>
      <c r="B664" s="581"/>
      <c r="C664" s="581"/>
      <c r="D664" s="581"/>
      <c r="E664" s="581"/>
      <c r="F664" s="581"/>
      <c r="G664" s="581"/>
      <c r="H664" s="581"/>
      <c r="I664" s="581"/>
      <c r="J664" s="581"/>
      <c r="K664" s="581"/>
      <c r="L664" s="581"/>
      <c r="M664" s="581"/>
      <c r="N664" s="581"/>
      <c r="O664" s="581"/>
      <c r="P664" s="581"/>
      <c r="Q664" s="581"/>
      <c r="R664" s="581"/>
      <c r="S664" s="581"/>
      <c r="T664" s="581"/>
      <c r="U664" s="581"/>
      <c r="V664" s="581"/>
      <c r="W664" s="581"/>
      <c r="X664" s="581"/>
      <c r="Y664" s="581"/>
    </row>
    <row r="665">
      <c r="A665" s="581"/>
      <c r="B665" s="581"/>
      <c r="C665" s="581"/>
      <c r="D665" s="581"/>
      <c r="E665" s="581"/>
      <c r="F665" s="581"/>
      <c r="G665" s="581"/>
      <c r="H665" s="581"/>
      <c r="I665" s="581"/>
      <c r="J665" s="581"/>
      <c r="K665" s="581"/>
      <c r="L665" s="581"/>
      <c r="M665" s="581"/>
      <c r="N665" s="581"/>
      <c r="O665" s="581"/>
      <c r="P665" s="581"/>
      <c r="Q665" s="581"/>
      <c r="R665" s="581"/>
      <c r="S665" s="581"/>
      <c r="T665" s="581"/>
      <c r="U665" s="581"/>
      <c r="V665" s="581"/>
      <c r="W665" s="581"/>
      <c r="X665" s="581"/>
      <c r="Y665" s="581"/>
    </row>
    <row r="666">
      <c r="A666" s="581"/>
      <c r="B666" s="581"/>
      <c r="C666" s="581"/>
      <c r="D666" s="581"/>
      <c r="E666" s="581"/>
      <c r="F666" s="581"/>
      <c r="G666" s="581"/>
      <c r="H666" s="581"/>
      <c r="I666" s="581"/>
      <c r="J666" s="581"/>
      <c r="K666" s="581"/>
      <c r="L666" s="581"/>
      <c r="M666" s="581"/>
      <c r="N666" s="581"/>
      <c r="O666" s="581"/>
      <c r="P666" s="581"/>
      <c r="Q666" s="581"/>
      <c r="R666" s="581"/>
      <c r="S666" s="581"/>
      <c r="T666" s="581"/>
      <c r="U666" s="581"/>
      <c r="V666" s="581"/>
      <c r="W666" s="581"/>
      <c r="X666" s="581"/>
      <c r="Y666" s="581"/>
    </row>
    <row r="667">
      <c r="A667" s="581"/>
      <c r="B667" s="581"/>
      <c r="C667" s="581"/>
      <c r="D667" s="581"/>
      <c r="E667" s="581"/>
      <c r="F667" s="581"/>
      <c r="G667" s="581"/>
      <c r="H667" s="581"/>
      <c r="I667" s="581"/>
      <c r="J667" s="581"/>
      <c r="K667" s="581"/>
      <c r="L667" s="581"/>
      <c r="M667" s="581"/>
      <c r="N667" s="581"/>
      <c r="O667" s="581"/>
      <c r="P667" s="581"/>
      <c r="Q667" s="581"/>
      <c r="R667" s="581"/>
      <c r="S667" s="581"/>
      <c r="T667" s="581"/>
      <c r="U667" s="581"/>
      <c r="V667" s="581"/>
      <c r="W667" s="581"/>
      <c r="X667" s="581"/>
      <c r="Y667" s="581"/>
    </row>
    <row r="668">
      <c r="A668" s="581"/>
      <c r="B668" s="581"/>
      <c r="C668" s="581"/>
      <c r="D668" s="581"/>
      <c r="E668" s="581"/>
      <c r="F668" s="581"/>
      <c r="G668" s="581"/>
      <c r="H668" s="581"/>
      <c r="I668" s="581"/>
      <c r="J668" s="581"/>
      <c r="K668" s="581"/>
      <c r="L668" s="581"/>
      <c r="M668" s="581"/>
      <c r="N668" s="581"/>
      <c r="O668" s="581"/>
      <c r="P668" s="581"/>
      <c r="Q668" s="581"/>
      <c r="R668" s="581"/>
      <c r="S668" s="581"/>
      <c r="T668" s="581"/>
      <c r="U668" s="581"/>
      <c r="V668" s="581"/>
      <c r="W668" s="581"/>
      <c r="X668" s="581"/>
      <c r="Y668" s="581"/>
    </row>
    <row r="669">
      <c r="A669" s="581"/>
      <c r="B669" s="581"/>
      <c r="C669" s="581"/>
      <c r="D669" s="581"/>
      <c r="E669" s="581"/>
      <c r="F669" s="581"/>
      <c r="G669" s="581"/>
      <c r="H669" s="581"/>
      <c r="I669" s="581"/>
      <c r="J669" s="581"/>
      <c r="K669" s="581"/>
      <c r="L669" s="581"/>
      <c r="M669" s="581"/>
      <c r="N669" s="581"/>
      <c r="O669" s="581"/>
      <c r="P669" s="581"/>
      <c r="Q669" s="581"/>
      <c r="R669" s="581"/>
      <c r="S669" s="581"/>
      <c r="T669" s="581"/>
      <c r="U669" s="581"/>
      <c r="V669" s="581"/>
      <c r="W669" s="581"/>
      <c r="X669" s="581"/>
      <c r="Y669" s="581"/>
    </row>
    <row r="670">
      <c r="A670" s="581"/>
      <c r="B670" s="581"/>
      <c r="C670" s="581"/>
      <c r="D670" s="581"/>
      <c r="E670" s="581"/>
      <c r="F670" s="581"/>
      <c r="G670" s="581"/>
      <c r="H670" s="581"/>
      <c r="I670" s="581"/>
      <c r="J670" s="581"/>
      <c r="K670" s="581"/>
      <c r="L670" s="581"/>
      <c r="M670" s="581"/>
      <c r="N670" s="581"/>
      <c r="O670" s="581"/>
      <c r="P670" s="581"/>
      <c r="Q670" s="581"/>
      <c r="R670" s="581"/>
      <c r="S670" s="581"/>
      <c r="T670" s="581"/>
      <c r="U670" s="581"/>
      <c r="V670" s="581"/>
      <c r="W670" s="581"/>
      <c r="X670" s="581"/>
      <c r="Y670" s="581"/>
    </row>
    <row r="671">
      <c r="A671" s="581"/>
      <c r="B671" s="581"/>
      <c r="C671" s="581"/>
      <c r="D671" s="581"/>
      <c r="E671" s="581"/>
      <c r="F671" s="581"/>
      <c r="G671" s="581"/>
      <c r="H671" s="581"/>
      <c r="I671" s="581"/>
      <c r="J671" s="581"/>
      <c r="K671" s="581"/>
      <c r="L671" s="581"/>
      <c r="M671" s="581"/>
      <c r="N671" s="581"/>
      <c r="O671" s="581"/>
      <c r="P671" s="581"/>
      <c r="Q671" s="581"/>
      <c r="R671" s="581"/>
      <c r="S671" s="581"/>
      <c r="T671" s="581"/>
      <c r="U671" s="581"/>
      <c r="V671" s="581"/>
      <c r="W671" s="581"/>
      <c r="X671" s="581"/>
      <c r="Y671" s="581"/>
    </row>
    <row r="672">
      <c r="A672" s="581"/>
      <c r="B672" s="581"/>
      <c r="C672" s="581"/>
      <c r="D672" s="581"/>
      <c r="E672" s="581"/>
      <c r="F672" s="581"/>
      <c r="G672" s="581"/>
      <c r="H672" s="581"/>
      <c r="I672" s="581"/>
      <c r="J672" s="581"/>
      <c r="K672" s="581"/>
      <c r="L672" s="581"/>
      <c r="M672" s="581"/>
      <c r="N672" s="581"/>
      <c r="O672" s="581"/>
      <c r="P672" s="581"/>
      <c r="Q672" s="581"/>
      <c r="R672" s="581"/>
      <c r="S672" s="581"/>
      <c r="T672" s="581"/>
      <c r="U672" s="581"/>
      <c r="V672" s="581"/>
      <c r="W672" s="581"/>
      <c r="X672" s="581"/>
      <c r="Y672" s="581"/>
    </row>
    <row r="673">
      <c r="A673" s="581"/>
      <c r="B673" s="581"/>
      <c r="C673" s="581"/>
      <c r="D673" s="581"/>
      <c r="E673" s="581"/>
      <c r="F673" s="581"/>
      <c r="G673" s="581"/>
      <c r="H673" s="581"/>
      <c r="I673" s="581"/>
      <c r="J673" s="581"/>
      <c r="K673" s="581"/>
      <c r="L673" s="581"/>
      <c r="M673" s="581"/>
      <c r="N673" s="581"/>
      <c r="O673" s="581"/>
      <c r="P673" s="581"/>
      <c r="Q673" s="581"/>
      <c r="R673" s="581"/>
      <c r="S673" s="581"/>
      <c r="T673" s="581"/>
      <c r="U673" s="581"/>
      <c r="V673" s="581"/>
      <c r="W673" s="581"/>
      <c r="X673" s="581"/>
      <c r="Y673" s="581"/>
    </row>
    <row r="674">
      <c r="A674" s="581"/>
      <c r="B674" s="581"/>
      <c r="C674" s="581"/>
      <c r="D674" s="581"/>
      <c r="E674" s="581"/>
      <c r="F674" s="581"/>
      <c r="G674" s="581"/>
      <c r="H674" s="581"/>
      <c r="I674" s="581"/>
      <c r="J674" s="581"/>
      <c r="K674" s="581"/>
      <c r="L674" s="581"/>
      <c r="M674" s="581"/>
      <c r="N674" s="581"/>
      <c r="O674" s="581"/>
      <c r="P674" s="581"/>
      <c r="Q674" s="581"/>
      <c r="R674" s="581"/>
      <c r="S674" s="581"/>
      <c r="T674" s="581"/>
      <c r="U674" s="581"/>
      <c r="V674" s="581"/>
      <c r="W674" s="581"/>
      <c r="X674" s="581"/>
      <c r="Y674" s="581"/>
    </row>
    <row r="675">
      <c r="A675" s="581"/>
      <c r="B675" s="581"/>
      <c r="C675" s="581"/>
      <c r="D675" s="581"/>
      <c r="E675" s="581"/>
      <c r="F675" s="581"/>
      <c r="G675" s="581"/>
      <c r="H675" s="581"/>
      <c r="I675" s="581"/>
      <c r="J675" s="581"/>
      <c r="K675" s="581"/>
      <c r="L675" s="581"/>
      <c r="M675" s="581"/>
      <c r="N675" s="581"/>
      <c r="O675" s="581"/>
      <c r="P675" s="581"/>
      <c r="Q675" s="581"/>
      <c r="R675" s="581"/>
      <c r="S675" s="581"/>
      <c r="T675" s="581"/>
      <c r="U675" s="581"/>
      <c r="V675" s="581"/>
      <c r="W675" s="581"/>
      <c r="X675" s="581"/>
      <c r="Y675" s="581"/>
    </row>
    <row r="676">
      <c r="A676" s="581"/>
      <c r="B676" s="581"/>
      <c r="C676" s="581"/>
      <c r="D676" s="581"/>
      <c r="E676" s="581"/>
      <c r="F676" s="581"/>
      <c r="G676" s="581"/>
      <c r="H676" s="581"/>
      <c r="I676" s="581"/>
      <c r="J676" s="581"/>
      <c r="K676" s="581"/>
      <c r="L676" s="581"/>
      <c r="M676" s="581"/>
      <c r="N676" s="581"/>
      <c r="O676" s="581"/>
      <c r="P676" s="581"/>
      <c r="Q676" s="581"/>
      <c r="R676" s="581"/>
      <c r="S676" s="581"/>
      <c r="T676" s="581"/>
      <c r="U676" s="581"/>
      <c r="V676" s="581"/>
      <c r="W676" s="581"/>
      <c r="X676" s="581"/>
      <c r="Y676" s="581"/>
    </row>
    <row r="677">
      <c r="A677" s="581"/>
      <c r="B677" s="581"/>
      <c r="C677" s="581"/>
      <c r="D677" s="581"/>
      <c r="E677" s="581"/>
      <c r="F677" s="581"/>
      <c r="G677" s="581"/>
      <c r="H677" s="581"/>
      <c r="I677" s="581"/>
      <c r="J677" s="581"/>
      <c r="K677" s="581"/>
      <c r="L677" s="581"/>
      <c r="M677" s="581"/>
      <c r="N677" s="581"/>
      <c r="O677" s="581"/>
      <c r="P677" s="581"/>
      <c r="Q677" s="581"/>
      <c r="R677" s="581"/>
      <c r="S677" s="581"/>
      <c r="T677" s="581"/>
      <c r="U677" s="581"/>
      <c r="V677" s="581"/>
      <c r="W677" s="581"/>
      <c r="X677" s="581"/>
      <c r="Y677" s="581"/>
    </row>
    <row r="678">
      <c r="A678" s="581"/>
      <c r="B678" s="581"/>
      <c r="C678" s="581"/>
      <c r="D678" s="581"/>
      <c r="E678" s="581"/>
      <c r="F678" s="581"/>
      <c r="G678" s="581"/>
      <c r="H678" s="581"/>
      <c r="I678" s="581"/>
      <c r="J678" s="581"/>
      <c r="K678" s="581"/>
      <c r="L678" s="581"/>
      <c r="M678" s="581"/>
      <c r="N678" s="581"/>
      <c r="O678" s="581"/>
      <c r="P678" s="581"/>
      <c r="Q678" s="581"/>
      <c r="R678" s="581"/>
      <c r="S678" s="581"/>
      <c r="T678" s="581"/>
      <c r="U678" s="581"/>
      <c r="V678" s="581"/>
      <c r="W678" s="581"/>
      <c r="X678" s="581"/>
      <c r="Y678" s="581"/>
    </row>
    <row r="679">
      <c r="A679" s="581"/>
      <c r="B679" s="581"/>
      <c r="C679" s="581"/>
      <c r="D679" s="581"/>
      <c r="E679" s="581"/>
      <c r="F679" s="581"/>
      <c r="G679" s="581"/>
      <c r="H679" s="581"/>
      <c r="I679" s="581"/>
      <c r="J679" s="581"/>
      <c r="K679" s="581"/>
      <c r="L679" s="581"/>
      <c r="M679" s="581"/>
      <c r="N679" s="581"/>
      <c r="O679" s="581"/>
      <c r="P679" s="581"/>
      <c r="Q679" s="581"/>
      <c r="R679" s="581"/>
      <c r="S679" s="581"/>
      <c r="T679" s="581"/>
      <c r="U679" s="581"/>
      <c r="V679" s="581"/>
      <c r="W679" s="581"/>
      <c r="X679" s="581"/>
      <c r="Y679" s="581"/>
    </row>
    <row r="680">
      <c r="A680" s="581"/>
      <c r="B680" s="581"/>
      <c r="C680" s="581"/>
      <c r="D680" s="581"/>
      <c r="E680" s="581"/>
      <c r="F680" s="581"/>
      <c r="G680" s="581"/>
      <c r="H680" s="581"/>
      <c r="I680" s="581"/>
      <c r="J680" s="581"/>
      <c r="K680" s="581"/>
      <c r="L680" s="581"/>
      <c r="M680" s="581"/>
      <c r="N680" s="581"/>
      <c r="O680" s="581"/>
      <c r="P680" s="581"/>
      <c r="Q680" s="581"/>
      <c r="R680" s="581"/>
      <c r="S680" s="581"/>
      <c r="T680" s="581"/>
      <c r="U680" s="581"/>
      <c r="V680" s="581"/>
      <c r="W680" s="581"/>
      <c r="X680" s="581"/>
      <c r="Y680" s="581"/>
    </row>
    <row r="681">
      <c r="A681" s="581"/>
      <c r="B681" s="581"/>
      <c r="C681" s="581"/>
      <c r="D681" s="581"/>
      <c r="E681" s="581"/>
      <c r="F681" s="581"/>
      <c r="G681" s="581"/>
      <c r="H681" s="581"/>
      <c r="I681" s="581"/>
      <c r="J681" s="581"/>
      <c r="K681" s="581"/>
      <c r="L681" s="581"/>
      <c r="M681" s="581"/>
      <c r="N681" s="581"/>
      <c r="O681" s="581"/>
      <c r="P681" s="581"/>
      <c r="Q681" s="581"/>
      <c r="R681" s="581"/>
      <c r="S681" s="581"/>
      <c r="T681" s="581"/>
      <c r="U681" s="581"/>
      <c r="V681" s="581"/>
      <c r="W681" s="581"/>
      <c r="X681" s="581"/>
      <c r="Y681" s="581"/>
    </row>
    <row r="682">
      <c r="A682" s="581"/>
      <c r="B682" s="581"/>
      <c r="C682" s="581"/>
      <c r="D682" s="581"/>
      <c r="E682" s="581"/>
      <c r="F682" s="581"/>
      <c r="G682" s="581"/>
      <c r="H682" s="581"/>
      <c r="I682" s="581"/>
      <c r="J682" s="581"/>
      <c r="K682" s="581"/>
      <c r="L682" s="581"/>
      <c r="M682" s="581"/>
      <c r="N682" s="581"/>
      <c r="O682" s="581"/>
      <c r="P682" s="581"/>
      <c r="Q682" s="581"/>
      <c r="R682" s="581"/>
      <c r="S682" s="581"/>
      <c r="T682" s="581"/>
      <c r="U682" s="581"/>
      <c r="V682" s="581"/>
      <c r="W682" s="581"/>
      <c r="X682" s="581"/>
      <c r="Y682" s="581"/>
    </row>
    <row r="683">
      <c r="A683" s="581"/>
      <c r="B683" s="581"/>
      <c r="C683" s="581"/>
      <c r="D683" s="581"/>
      <c r="E683" s="581"/>
      <c r="F683" s="581"/>
      <c r="G683" s="581"/>
      <c r="H683" s="581"/>
      <c r="I683" s="581"/>
      <c r="J683" s="581"/>
      <c r="K683" s="581"/>
      <c r="L683" s="581"/>
      <c r="M683" s="581"/>
      <c r="N683" s="581"/>
      <c r="O683" s="581"/>
      <c r="P683" s="581"/>
      <c r="Q683" s="581"/>
      <c r="R683" s="581"/>
      <c r="S683" s="581"/>
      <c r="T683" s="581"/>
      <c r="U683" s="581"/>
      <c r="V683" s="581"/>
      <c r="W683" s="581"/>
      <c r="X683" s="581"/>
      <c r="Y683" s="581"/>
    </row>
    <row r="684">
      <c r="A684" s="581"/>
      <c r="B684" s="581"/>
      <c r="C684" s="581"/>
      <c r="D684" s="581"/>
      <c r="E684" s="581"/>
      <c r="F684" s="581"/>
      <c r="G684" s="581"/>
      <c r="H684" s="581"/>
      <c r="I684" s="581"/>
      <c r="J684" s="581"/>
      <c r="K684" s="581"/>
      <c r="L684" s="581"/>
      <c r="M684" s="581"/>
      <c r="N684" s="581"/>
      <c r="O684" s="581"/>
      <c r="P684" s="581"/>
      <c r="Q684" s="581"/>
      <c r="R684" s="581"/>
      <c r="S684" s="581"/>
      <c r="T684" s="581"/>
      <c r="U684" s="581"/>
      <c r="V684" s="581"/>
      <c r="W684" s="581"/>
      <c r="X684" s="581"/>
      <c r="Y684" s="581"/>
    </row>
    <row r="685">
      <c r="A685" s="581"/>
      <c r="B685" s="581"/>
      <c r="C685" s="581"/>
      <c r="D685" s="581"/>
      <c r="E685" s="581"/>
      <c r="F685" s="581"/>
      <c r="G685" s="581"/>
      <c r="H685" s="581"/>
      <c r="I685" s="581"/>
      <c r="J685" s="581"/>
      <c r="K685" s="581"/>
      <c r="L685" s="581"/>
      <c r="M685" s="581"/>
      <c r="N685" s="581"/>
      <c r="O685" s="581"/>
      <c r="P685" s="581"/>
      <c r="Q685" s="581"/>
      <c r="R685" s="581"/>
      <c r="S685" s="581"/>
      <c r="T685" s="581"/>
      <c r="U685" s="581"/>
      <c r="V685" s="581"/>
      <c r="W685" s="581"/>
      <c r="X685" s="581"/>
      <c r="Y685" s="581"/>
    </row>
    <row r="686">
      <c r="A686" s="581"/>
      <c r="B686" s="581"/>
      <c r="C686" s="581"/>
      <c r="D686" s="581"/>
      <c r="E686" s="581"/>
      <c r="F686" s="581"/>
      <c r="G686" s="581"/>
      <c r="H686" s="581"/>
      <c r="I686" s="581"/>
      <c r="J686" s="581"/>
      <c r="K686" s="581"/>
      <c r="L686" s="581"/>
      <c r="M686" s="581"/>
      <c r="N686" s="581"/>
      <c r="O686" s="581"/>
      <c r="P686" s="581"/>
      <c r="Q686" s="581"/>
      <c r="R686" s="581"/>
      <c r="S686" s="581"/>
      <c r="T686" s="581"/>
      <c r="U686" s="581"/>
      <c r="V686" s="581"/>
      <c r="W686" s="581"/>
      <c r="X686" s="581"/>
      <c r="Y686" s="581"/>
    </row>
    <row r="687">
      <c r="A687" s="581"/>
      <c r="B687" s="581"/>
      <c r="C687" s="581"/>
      <c r="D687" s="581"/>
      <c r="E687" s="581"/>
      <c r="F687" s="581"/>
      <c r="G687" s="581"/>
      <c r="H687" s="581"/>
      <c r="I687" s="581"/>
      <c r="J687" s="581"/>
      <c r="K687" s="581"/>
      <c r="L687" s="581"/>
      <c r="M687" s="581"/>
      <c r="N687" s="581"/>
      <c r="O687" s="581"/>
      <c r="P687" s="581"/>
      <c r="Q687" s="581"/>
      <c r="R687" s="581"/>
      <c r="S687" s="581"/>
      <c r="T687" s="581"/>
      <c r="U687" s="581"/>
      <c r="V687" s="581"/>
      <c r="W687" s="581"/>
      <c r="X687" s="581"/>
      <c r="Y687" s="581"/>
    </row>
    <row r="688">
      <c r="A688" s="581"/>
      <c r="B688" s="581"/>
      <c r="C688" s="581"/>
      <c r="D688" s="581"/>
      <c r="E688" s="581"/>
      <c r="F688" s="581"/>
      <c r="G688" s="581"/>
      <c r="H688" s="581"/>
      <c r="I688" s="581"/>
      <c r="J688" s="581"/>
      <c r="K688" s="581"/>
      <c r="L688" s="581"/>
      <c r="M688" s="581"/>
      <c r="N688" s="581"/>
      <c r="O688" s="581"/>
      <c r="P688" s="581"/>
      <c r="Q688" s="581"/>
      <c r="R688" s="581"/>
      <c r="S688" s="581"/>
      <c r="T688" s="581"/>
      <c r="U688" s="581"/>
      <c r="V688" s="581"/>
      <c r="W688" s="581"/>
      <c r="X688" s="581"/>
      <c r="Y688" s="581"/>
    </row>
    <row r="689">
      <c r="A689" s="581"/>
      <c r="B689" s="581"/>
      <c r="C689" s="581"/>
      <c r="D689" s="581"/>
      <c r="E689" s="581"/>
      <c r="F689" s="581"/>
      <c r="G689" s="581"/>
      <c r="H689" s="581"/>
      <c r="I689" s="581"/>
      <c r="J689" s="581"/>
      <c r="K689" s="581"/>
      <c r="L689" s="581"/>
      <c r="M689" s="581"/>
      <c r="N689" s="581"/>
      <c r="O689" s="581"/>
      <c r="P689" s="581"/>
      <c r="Q689" s="581"/>
      <c r="R689" s="581"/>
      <c r="S689" s="581"/>
      <c r="T689" s="581"/>
      <c r="U689" s="581"/>
      <c r="V689" s="581"/>
      <c r="W689" s="581"/>
      <c r="X689" s="581"/>
      <c r="Y689" s="581"/>
    </row>
    <row r="690">
      <c r="A690" s="581"/>
      <c r="B690" s="581"/>
      <c r="C690" s="581"/>
      <c r="D690" s="581"/>
      <c r="E690" s="581"/>
      <c r="F690" s="581"/>
      <c r="G690" s="581"/>
      <c r="H690" s="581"/>
      <c r="I690" s="581"/>
      <c r="J690" s="581"/>
      <c r="K690" s="581"/>
      <c r="L690" s="581"/>
      <c r="M690" s="581"/>
      <c r="N690" s="581"/>
      <c r="O690" s="581"/>
      <c r="P690" s="581"/>
      <c r="Q690" s="581"/>
      <c r="R690" s="581"/>
      <c r="S690" s="581"/>
      <c r="T690" s="581"/>
      <c r="U690" s="581"/>
      <c r="V690" s="581"/>
      <c r="W690" s="581"/>
      <c r="X690" s="581"/>
      <c r="Y690" s="581"/>
    </row>
    <row r="691">
      <c r="A691" s="581"/>
      <c r="B691" s="581"/>
      <c r="C691" s="581"/>
      <c r="D691" s="581"/>
      <c r="E691" s="581"/>
      <c r="F691" s="581"/>
      <c r="G691" s="581"/>
      <c r="H691" s="581"/>
      <c r="I691" s="581"/>
      <c r="J691" s="581"/>
      <c r="K691" s="581"/>
      <c r="L691" s="581"/>
      <c r="M691" s="581"/>
      <c r="N691" s="581"/>
      <c r="O691" s="581"/>
      <c r="P691" s="581"/>
      <c r="Q691" s="581"/>
      <c r="R691" s="581"/>
      <c r="S691" s="581"/>
      <c r="T691" s="581"/>
      <c r="U691" s="581"/>
      <c r="V691" s="581"/>
      <c r="W691" s="581"/>
      <c r="X691" s="581"/>
      <c r="Y691" s="581"/>
    </row>
    <row r="692">
      <c r="A692" s="581"/>
      <c r="B692" s="581"/>
      <c r="C692" s="581"/>
      <c r="D692" s="581"/>
      <c r="E692" s="581"/>
      <c r="F692" s="581"/>
      <c r="G692" s="581"/>
      <c r="H692" s="581"/>
      <c r="I692" s="581"/>
      <c r="J692" s="581"/>
      <c r="K692" s="581"/>
      <c r="L692" s="581"/>
      <c r="M692" s="581"/>
      <c r="N692" s="581"/>
      <c r="O692" s="581"/>
      <c r="P692" s="581"/>
      <c r="Q692" s="581"/>
      <c r="R692" s="581"/>
      <c r="S692" s="581"/>
      <c r="T692" s="581"/>
      <c r="U692" s="581"/>
      <c r="V692" s="581"/>
      <c r="W692" s="581"/>
      <c r="X692" s="581"/>
      <c r="Y692" s="581"/>
    </row>
    <row r="693">
      <c r="A693" s="581"/>
      <c r="B693" s="581"/>
      <c r="C693" s="581"/>
      <c r="D693" s="581"/>
      <c r="E693" s="581"/>
      <c r="F693" s="581"/>
      <c r="G693" s="581"/>
      <c r="H693" s="581"/>
      <c r="I693" s="581"/>
      <c r="J693" s="581"/>
      <c r="K693" s="581"/>
      <c r="L693" s="581"/>
      <c r="M693" s="581"/>
      <c r="N693" s="581"/>
      <c r="O693" s="581"/>
      <c r="P693" s="581"/>
      <c r="Q693" s="581"/>
      <c r="R693" s="581"/>
      <c r="S693" s="581"/>
      <c r="T693" s="581"/>
      <c r="U693" s="581"/>
      <c r="V693" s="581"/>
      <c r="W693" s="581"/>
      <c r="X693" s="581"/>
      <c r="Y693" s="581"/>
    </row>
    <row r="694">
      <c r="A694" s="581"/>
      <c r="B694" s="581"/>
      <c r="C694" s="581"/>
      <c r="D694" s="581"/>
      <c r="E694" s="581"/>
      <c r="F694" s="581"/>
      <c r="G694" s="581"/>
      <c r="H694" s="581"/>
      <c r="I694" s="581"/>
      <c r="J694" s="581"/>
      <c r="K694" s="581"/>
      <c r="L694" s="581"/>
      <c r="M694" s="581"/>
      <c r="N694" s="581"/>
      <c r="O694" s="581"/>
      <c r="P694" s="581"/>
      <c r="Q694" s="581"/>
      <c r="R694" s="581"/>
      <c r="S694" s="581"/>
      <c r="T694" s="581"/>
      <c r="U694" s="581"/>
      <c r="V694" s="581"/>
      <c r="W694" s="581"/>
      <c r="X694" s="581"/>
      <c r="Y694" s="581"/>
    </row>
    <row r="695">
      <c r="A695" s="581"/>
      <c r="B695" s="581"/>
      <c r="C695" s="581"/>
      <c r="D695" s="581"/>
      <c r="E695" s="581"/>
      <c r="F695" s="581"/>
      <c r="G695" s="581"/>
      <c r="H695" s="581"/>
      <c r="I695" s="581"/>
      <c r="J695" s="581"/>
      <c r="K695" s="581"/>
      <c r="L695" s="581"/>
      <c r="M695" s="581"/>
      <c r="N695" s="581"/>
      <c r="O695" s="581"/>
      <c r="P695" s="581"/>
      <c r="Q695" s="581"/>
      <c r="R695" s="581"/>
      <c r="S695" s="581"/>
      <c r="T695" s="581"/>
      <c r="U695" s="581"/>
      <c r="V695" s="581"/>
      <c r="W695" s="581"/>
      <c r="X695" s="581"/>
      <c r="Y695" s="581"/>
    </row>
    <row r="696">
      <c r="A696" s="581"/>
      <c r="B696" s="581"/>
      <c r="C696" s="581"/>
      <c r="D696" s="581"/>
      <c r="E696" s="581"/>
      <c r="F696" s="581"/>
      <c r="G696" s="581"/>
      <c r="H696" s="581"/>
      <c r="I696" s="581"/>
      <c r="J696" s="581"/>
      <c r="K696" s="581"/>
      <c r="L696" s="581"/>
      <c r="M696" s="581"/>
      <c r="N696" s="581"/>
      <c r="O696" s="581"/>
      <c r="P696" s="581"/>
      <c r="Q696" s="581"/>
      <c r="R696" s="581"/>
      <c r="S696" s="581"/>
      <c r="T696" s="581"/>
      <c r="U696" s="581"/>
      <c r="V696" s="581"/>
      <c r="W696" s="581"/>
      <c r="X696" s="581"/>
      <c r="Y696" s="581"/>
    </row>
    <row r="697">
      <c r="A697" s="581"/>
      <c r="B697" s="581"/>
      <c r="C697" s="581"/>
      <c r="D697" s="581"/>
      <c r="E697" s="581"/>
      <c r="F697" s="581"/>
      <c r="G697" s="581"/>
      <c r="H697" s="581"/>
      <c r="I697" s="581"/>
      <c r="J697" s="581"/>
      <c r="K697" s="581"/>
      <c r="L697" s="581"/>
      <c r="M697" s="581"/>
      <c r="N697" s="581"/>
      <c r="O697" s="581"/>
      <c r="P697" s="581"/>
      <c r="Q697" s="581"/>
      <c r="R697" s="581"/>
      <c r="S697" s="581"/>
      <c r="T697" s="581"/>
      <c r="U697" s="581"/>
      <c r="V697" s="581"/>
      <c r="W697" s="581"/>
      <c r="X697" s="581"/>
      <c r="Y697" s="581"/>
    </row>
    <row r="698">
      <c r="A698" s="581"/>
      <c r="B698" s="581"/>
      <c r="C698" s="581"/>
      <c r="D698" s="581"/>
      <c r="E698" s="581"/>
      <c r="F698" s="581"/>
      <c r="G698" s="581"/>
      <c r="H698" s="581"/>
      <c r="I698" s="581"/>
      <c r="J698" s="581"/>
      <c r="K698" s="581"/>
      <c r="L698" s="581"/>
      <c r="M698" s="581"/>
      <c r="N698" s="581"/>
      <c r="O698" s="581"/>
      <c r="P698" s="581"/>
      <c r="Q698" s="581"/>
      <c r="R698" s="581"/>
      <c r="S698" s="581"/>
      <c r="T698" s="581"/>
      <c r="U698" s="581"/>
      <c r="V698" s="581"/>
      <c r="W698" s="581"/>
      <c r="X698" s="581"/>
      <c r="Y698" s="581"/>
    </row>
    <row r="699">
      <c r="A699" s="581"/>
      <c r="B699" s="581"/>
      <c r="C699" s="581"/>
      <c r="D699" s="581"/>
      <c r="E699" s="581"/>
      <c r="F699" s="581"/>
      <c r="G699" s="581"/>
      <c r="H699" s="581"/>
      <c r="I699" s="581"/>
      <c r="J699" s="581"/>
      <c r="K699" s="581"/>
      <c r="L699" s="581"/>
      <c r="M699" s="581"/>
      <c r="N699" s="581"/>
      <c r="O699" s="581"/>
      <c r="P699" s="581"/>
      <c r="Q699" s="581"/>
      <c r="R699" s="581"/>
      <c r="S699" s="581"/>
      <c r="T699" s="581"/>
      <c r="U699" s="581"/>
      <c r="V699" s="581"/>
      <c r="W699" s="581"/>
      <c r="X699" s="581"/>
      <c r="Y699" s="581"/>
    </row>
    <row r="700">
      <c r="A700" s="581"/>
      <c r="B700" s="581"/>
      <c r="C700" s="581"/>
      <c r="D700" s="581"/>
      <c r="E700" s="581"/>
      <c r="F700" s="581"/>
      <c r="G700" s="581"/>
      <c r="H700" s="581"/>
      <c r="I700" s="581"/>
      <c r="J700" s="581"/>
      <c r="K700" s="581"/>
      <c r="L700" s="581"/>
      <c r="M700" s="581"/>
      <c r="N700" s="581"/>
      <c r="O700" s="581"/>
      <c r="P700" s="581"/>
      <c r="Q700" s="581"/>
      <c r="R700" s="581"/>
      <c r="S700" s="581"/>
      <c r="T700" s="581"/>
      <c r="U700" s="581"/>
      <c r="V700" s="581"/>
      <c r="W700" s="581"/>
      <c r="X700" s="581"/>
      <c r="Y700" s="581"/>
    </row>
    <row r="701">
      <c r="A701" s="581"/>
      <c r="B701" s="581"/>
      <c r="C701" s="581"/>
      <c r="D701" s="581"/>
      <c r="E701" s="581"/>
      <c r="F701" s="581"/>
      <c r="G701" s="581"/>
      <c r="H701" s="581"/>
      <c r="I701" s="581"/>
      <c r="J701" s="581"/>
      <c r="K701" s="581"/>
      <c r="L701" s="581"/>
      <c r="M701" s="581"/>
      <c r="N701" s="581"/>
      <c r="O701" s="581"/>
      <c r="P701" s="581"/>
      <c r="Q701" s="581"/>
      <c r="R701" s="581"/>
      <c r="S701" s="581"/>
      <c r="T701" s="581"/>
      <c r="U701" s="581"/>
      <c r="V701" s="581"/>
      <c r="W701" s="581"/>
      <c r="X701" s="581"/>
      <c r="Y701" s="581"/>
    </row>
    <row r="702">
      <c r="A702" s="581"/>
      <c r="B702" s="581"/>
      <c r="C702" s="581"/>
      <c r="D702" s="581"/>
      <c r="E702" s="581"/>
      <c r="F702" s="581"/>
      <c r="G702" s="581"/>
      <c r="H702" s="581"/>
      <c r="I702" s="581"/>
      <c r="J702" s="581"/>
      <c r="K702" s="581"/>
      <c r="L702" s="581"/>
      <c r="M702" s="581"/>
      <c r="N702" s="581"/>
      <c r="O702" s="581"/>
      <c r="P702" s="581"/>
      <c r="Q702" s="581"/>
      <c r="R702" s="581"/>
      <c r="S702" s="581"/>
      <c r="T702" s="581"/>
      <c r="U702" s="581"/>
      <c r="V702" s="581"/>
      <c r="W702" s="581"/>
      <c r="X702" s="581"/>
      <c r="Y702" s="581"/>
    </row>
    <row r="703">
      <c r="A703" s="581"/>
      <c r="B703" s="581"/>
      <c r="C703" s="581"/>
      <c r="D703" s="581"/>
      <c r="E703" s="581"/>
      <c r="F703" s="581"/>
      <c r="G703" s="581"/>
      <c r="H703" s="581"/>
      <c r="I703" s="581"/>
      <c r="J703" s="581"/>
      <c r="K703" s="581"/>
      <c r="L703" s="581"/>
      <c r="M703" s="581"/>
      <c r="N703" s="581"/>
      <c r="O703" s="581"/>
      <c r="P703" s="581"/>
      <c r="Q703" s="581"/>
      <c r="R703" s="581"/>
      <c r="S703" s="581"/>
      <c r="T703" s="581"/>
      <c r="U703" s="581"/>
      <c r="V703" s="581"/>
      <c r="W703" s="581"/>
      <c r="X703" s="581"/>
      <c r="Y703" s="581"/>
    </row>
    <row r="704">
      <c r="A704" s="581"/>
      <c r="B704" s="581"/>
      <c r="C704" s="581"/>
      <c r="D704" s="581"/>
      <c r="E704" s="581"/>
      <c r="F704" s="581"/>
      <c r="G704" s="581"/>
      <c r="H704" s="581"/>
      <c r="I704" s="581"/>
      <c r="J704" s="581"/>
      <c r="K704" s="581"/>
      <c r="L704" s="581"/>
      <c r="M704" s="581"/>
      <c r="N704" s="581"/>
      <c r="O704" s="581"/>
      <c r="P704" s="581"/>
      <c r="Q704" s="581"/>
      <c r="R704" s="581"/>
      <c r="S704" s="581"/>
      <c r="T704" s="581"/>
      <c r="U704" s="581"/>
      <c r="V704" s="581"/>
      <c r="W704" s="581"/>
      <c r="X704" s="581"/>
      <c r="Y704" s="581"/>
    </row>
    <row r="705">
      <c r="A705" s="581"/>
      <c r="B705" s="581"/>
      <c r="C705" s="581"/>
      <c r="D705" s="581"/>
      <c r="E705" s="581"/>
      <c r="F705" s="581"/>
      <c r="G705" s="581"/>
      <c r="H705" s="581"/>
      <c r="I705" s="581"/>
      <c r="J705" s="581"/>
      <c r="K705" s="581"/>
      <c r="L705" s="581"/>
      <c r="M705" s="581"/>
      <c r="N705" s="581"/>
      <c r="O705" s="581"/>
      <c r="P705" s="581"/>
      <c r="Q705" s="581"/>
      <c r="R705" s="581"/>
      <c r="S705" s="581"/>
      <c r="T705" s="581"/>
      <c r="U705" s="581"/>
      <c r="V705" s="581"/>
      <c r="W705" s="581"/>
      <c r="X705" s="581"/>
      <c r="Y705" s="581"/>
    </row>
    <row r="706">
      <c r="A706" s="581"/>
      <c r="B706" s="581"/>
      <c r="C706" s="581"/>
      <c r="D706" s="581"/>
      <c r="E706" s="581"/>
      <c r="F706" s="581"/>
      <c r="G706" s="581"/>
      <c r="H706" s="581"/>
      <c r="I706" s="581"/>
      <c r="J706" s="581"/>
      <c r="K706" s="581"/>
      <c r="L706" s="581"/>
      <c r="M706" s="581"/>
      <c r="N706" s="581"/>
      <c r="O706" s="581"/>
      <c r="P706" s="581"/>
      <c r="Q706" s="581"/>
      <c r="R706" s="581"/>
      <c r="S706" s="581"/>
      <c r="T706" s="581"/>
      <c r="U706" s="581"/>
      <c r="V706" s="581"/>
      <c r="W706" s="581"/>
      <c r="X706" s="581"/>
      <c r="Y706" s="581"/>
    </row>
    <row r="707">
      <c r="A707" s="581"/>
      <c r="B707" s="581"/>
      <c r="C707" s="581"/>
      <c r="D707" s="581"/>
      <c r="E707" s="581"/>
      <c r="F707" s="581"/>
      <c r="G707" s="581"/>
      <c r="H707" s="581"/>
      <c r="I707" s="581"/>
      <c r="J707" s="581"/>
      <c r="K707" s="581"/>
      <c r="L707" s="581"/>
      <c r="M707" s="581"/>
      <c r="N707" s="581"/>
      <c r="O707" s="581"/>
      <c r="P707" s="581"/>
      <c r="Q707" s="581"/>
      <c r="R707" s="581"/>
      <c r="S707" s="581"/>
      <c r="T707" s="581"/>
      <c r="U707" s="581"/>
      <c r="V707" s="581"/>
      <c r="W707" s="581"/>
      <c r="X707" s="581"/>
      <c r="Y707" s="581"/>
    </row>
    <row r="708">
      <c r="A708" s="581"/>
      <c r="B708" s="581"/>
      <c r="C708" s="581"/>
      <c r="D708" s="581"/>
      <c r="E708" s="581"/>
      <c r="F708" s="581"/>
      <c r="G708" s="581"/>
      <c r="H708" s="581"/>
      <c r="I708" s="581"/>
      <c r="J708" s="581"/>
      <c r="K708" s="581"/>
      <c r="L708" s="581"/>
      <c r="M708" s="581"/>
      <c r="N708" s="581"/>
      <c r="O708" s="581"/>
      <c r="P708" s="581"/>
      <c r="Q708" s="581"/>
      <c r="R708" s="581"/>
      <c r="S708" s="581"/>
      <c r="T708" s="581"/>
      <c r="U708" s="581"/>
      <c r="V708" s="581"/>
      <c r="W708" s="581"/>
      <c r="X708" s="581"/>
      <c r="Y708" s="581"/>
    </row>
    <row r="709">
      <c r="A709" s="581"/>
      <c r="B709" s="581"/>
      <c r="C709" s="581"/>
      <c r="D709" s="581"/>
      <c r="E709" s="581"/>
      <c r="F709" s="581"/>
      <c r="G709" s="581"/>
      <c r="H709" s="581"/>
      <c r="I709" s="581"/>
      <c r="J709" s="581"/>
      <c r="K709" s="581"/>
      <c r="L709" s="581"/>
      <c r="M709" s="581"/>
      <c r="N709" s="581"/>
      <c r="O709" s="581"/>
      <c r="P709" s="581"/>
      <c r="Q709" s="581"/>
      <c r="R709" s="581"/>
      <c r="S709" s="581"/>
      <c r="T709" s="581"/>
      <c r="U709" s="581"/>
      <c r="V709" s="581"/>
      <c r="W709" s="581"/>
      <c r="X709" s="581"/>
      <c r="Y709" s="581"/>
    </row>
    <row r="710">
      <c r="A710" s="581"/>
      <c r="B710" s="581"/>
      <c r="C710" s="581"/>
      <c r="D710" s="581"/>
      <c r="E710" s="581"/>
      <c r="F710" s="581"/>
      <c r="G710" s="581"/>
      <c r="H710" s="581"/>
      <c r="I710" s="581"/>
      <c r="J710" s="581"/>
      <c r="K710" s="581"/>
      <c r="L710" s="581"/>
      <c r="M710" s="581"/>
      <c r="N710" s="581"/>
      <c r="O710" s="581"/>
      <c r="P710" s="581"/>
      <c r="Q710" s="581"/>
      <c r="R710" s="581"/>
      <c r="S710" s="581"/>
      <c r="T710" s="581"/>
      <c r="U710" s="581"/>
      <c r="V710" s="581"/>
      <c r="W710" s="581"/>
      <c r="X710" s="581"/>
      <c r="Y710" s="581"/>
    </row>
    <row r="711">
      <c r="A711" s="581"/>
      <c r="B711" s="581"/>
      <c r="C711" s="581"/>
      <c r="D711" s="581"/>
      <c r="E711" s="581"/>
      <c r="F711" s="581"/>
      <c r="G711" s="581"/>
      <c r="H711" s="581"/>
      <c r="I711" s="581"/>
      <c r="J711" s="581"/>
      <c r="K711" s="581"/>
      <c r="L711" s="581"/>
      <c r="M711" s="581"/>
      <c r="N711" s="581"/>
      <c r="O711" s="581"/>
      <c r="P711" s="581"/>
      <c r="Q711" s="581"/>
      <c r="R711" s="581"/>
      <c r="S711" s="581"/>
      <c r="T711" s="581"/>
      <c r="U711" s="581"/>
      <c r="V711" s="581"/>
      <c r="W711" s="581"/>
      <c r="X711" s="581"/>
      <c r="Y711" s="581"/>
    </row>
    <row r="712">
      <c r="A712" s="581"/>
      <c r="B712" s="581"/>
      <c r="C712" s="581"/>
      <c r="D712" s="581"/>
      <c r="E712" s="581"/>
      <c r="F712" s="581"/>
      <c r="G712" s="581"/>
      <c r="H712" s="581"/>
      <c r="I712" s="581"/>
      <c r="J712" s="581"/>
      <c r="K712" s="581"/>
      <c r="L712" s="581"/>
      <c r="M712" s="581"/>
      <c r="N712" s="581"/>
      <c r="O712" s="581"/>
      <c r="P712" s="581"/>
      <c r="Q712" s="581"/>
      <c r="R712" s="581"/>
      <c r="S712" s="581"/>
      <c r="T712" s="581"/>
      <c r="U712" s="581"/>
      <c r="V712" s="581"/>
      <c r="W712" s="581"/>
      <c r="X712" s="581"/>
      <c r="Y712" s="581"/>
    </row>
    <row r="713">
      <c r="A713" s="581"/>
      <c r="B713" s="581"/>
      <c r="C713" s="581"/>
      <c r="D713" s="581"/>
      <c r="E713" s="581"/>
      <c r="F713" s="581"/>
      <c r="G713" s="581"/>
      <c r="H713" s="581"/>
      <c r="I713" s="581"/>
      <c r="J713" s="581"/>
      <c r="K713" s="581"/>
      <c r="L713" s="581"/>
      <c r="M713" s="581"/>
      <c r="N713" s="581"/>
      <c r="O713" s="581"/>
      <c r="P713" s="581"/>
      <c r="Q713" s="581"/>
      <c r="R713" s="581"/>
      <c r="S713" s="581"/>
      <c r="T713" s="581"/>
      <c r="U713" s="581"/>
      <c r="V713" s="581"/>
      <c r="W713" s="581"/>
      <c r="X713" s="581"/>
      <c r="Y713" s="581"/>
    </row>
    <row r="714">
      <c r="A714" s="581"/>
      <c r="B714" s="581"/>
      <c r="C714" s="581"/>
      <c r="D714" s="581"/>
      <c r="E714" s="581"/>
      <c r="F714" s="581"/>
      <c r="G714" s="581"/>
      <c r="H714" s="581"/>
      <c r="I714" s="581"/>
      <c r="J714" s="581"/>
      <c r="K714" s="581"/>
      <c r="L714" s="581"/>
      <c r="M714" s="581"/>
      <c r="N714" s="581"/>
      <c r="O714" s="581"/>
      <c r="P714" s="581"/>
      <c r="Q714" s="581"/>
      <c r="R714" s="581"/>
      <c r="S714" s="581"/>
      <c r="T714" s="581"/>
      <c r="U714" s="581"/>
      <c r="V714" s="581"/>
      <c r="W714" s="581"/>
      <c r="X714" s="581"/>
      <c r="Y714" s="581"/>
    </row>
    <row r="715">
      <c r="A715" s="581"/>
      <c r="B715" s="581"/>
      <c r="C715" s="581"/>
      <c r="D715" s="581"/>
      <c r="E715" s="581"/>
      <c r="F715" s="581"/>
      <c r="G715" s="581"/>
      <c r="H715" s="581"/>
      <c r="I715" s="581"/>
      <c r="J715" s="581"/>
      <c r="K715" s="581"/>
      <c r="L715" s="581"/>
      <c r="M715" s="581"/>
      <c r="N715" s="581"/>
      <c r="O715" s="581"/>
      <c r="P715" s="581"/>
      <c r="Q715" s="581"/>
      <c r="R715" s="581"/>
      <c r="S715" s="581"/>
      <c r="T715" s="581"/>
      <c r="U715" s="581"/>
      <c r="V715" s="581"/>
      <c r="W715" s="581"/>
      <c r="X715" s="581"/>
      <c r="Y715" s="581"/>
    </row>
    <row r="716">
      <c r="A716" s="581"/>
      <c r="B716" s="581"/>
      <c r="C716" s="581"/>
      <c r="D716" s="581"/>
      <c r="E716" s="581"/>
      <c r="F716" s="581"/>
      <c r="G716" s="581"/>
      <c r="H716" s="581"/>
      <c r="I716" s="581"/>
      <c r="J716" s="581"/>
      <c r="K716" s="581"/>
      <c r="L716" s="581"/>
      <c r="M716" s="581"/>
      <c r="N716" s="581"/>
      <c r="O716" s="581"/>
      <c r="P716" s="581"/>
      <c r="Q716" s="581"/>
      <c r="R716" s="581"/>
      <c r="S716" s="581"/>
      <c r="T716" s="581"/>
      <c r="U716" s="581"/>
      <c r="V716" s="581"/>
      <c r="W716" s="581"/>
      <c r="X716" s="581"/>
      <c r="Y716" s="581"/>
    </row>
    <row r="717">
      <c r="A717" s="581"/>
      <c r="B717" s="581"/>
      <c r="C717" s="581"/>
      <c r="D717" s="581"/>
      <c r="E717" s="581"/>
      <c r="F717" s="581"/>
      <c r="G717" s="581"/>
      <c r="H717" s="581"/>
      <c r="I717" s="581"/>
      <c r="J717" s="581"/>
      <c r="K717" s="581"/>
      <c r="L717" s="581"/>
      <c r="M717" s="581"/>
      <c r="N717" s="581"/>
      <c r="O717" s="581"/>
      <c r="P717" s="581"/>
      <c r="Q717" s="581"/>
      <c r="R717" s="581"/>
      <c r="S717" s="581"/>
      <c r="T717" s="581"/>
      <c r="U717" s="581"/>
      <c r="V717" s="581"/>
      <c r="W717" s="581"/>
      <c r="X717" s="581"/>
      <c r="Y717" s="581"/>
    </row>
    <row r="718">
      <c r="A718" s="581"/>
      <c r="B718" s="581"/>
      <c r="C718" s="581"/>
      <c r="D718" s="581"/>
      <c r="E718" s="581"/>
      <c r="F718" s="581"/>
      <c r="G718" s="581"/>
      <c r="H718" s="581"/>
      <c r="I718" s="581"/>
      <c r="J718" s="581"/>
      <c r="K718" s="581"/>
      <c r="L718" s="581"/>
      <c r="M718" s="581"/>
      <c r="N718" s="581"/>
      <c r="O718" s="581"/>
      <c r="P718" s="581"/>
      <c r="Q718" s="581"/>
      <c r="R718" s="581"/>
      <c r="S718" s="581"/>
      <c r="T718" s="581"/>
      <c r="U718" s="581"/>
      <c r="V718" s="581"/>
      <c r="W718" s="581"/>
      <c r="X718" s="581"/>
      <c r="Y718" s="581"/>
    </row>
    <row r="719">
      <c r="A719" s="581"/>
      <c r="B719" s="581"/>
      <c r="C719" s="581"/>
      <c r="D719" s="581"/>
      <c r="E719" s="581"/>
      <c r="F719" s="581"/>
      <c r="G719" s="581"/>
      <c r="H719" s="581"/>
      <c r="I719" s="581"/>
      <c r="J719" s="581"/>
      <c r="K719" s="581"/>
      <c r="L719" s="581"/>
      <c r="M719" s="581"/>
      <c r="N719" s="581"/>
      <c r="O719" s="581"/>
      <c r="P719" s="581"/>
      <c r="Q719" s="581"/>
      <c r="R719" s="581"/>
      <c r="S719" s="581"/>
      <c r="T719" s="581"/>
      <c r="U719" s="581"/>
      <c r="V719" s="581"/>
      <c r="W719" s="581"/>
      <c r="X719" s="581"/>
      <c r="Y719" s="581"/>
    </row>
    <row r="720">
      <c r="A720" s="581"/>
      <c r="B720" s="581"/>
      <c r="C720" s="581"/>
      <c r="D720" s="581"/>
      <c r="E720" s="581"/>
      <c r="F720" s="581"/>
      <c r="G720" s="581"/>
      <c r="H720" s="581"/>
      <c r="I720" s="581"/>
      <c r="J720" s="581"/>
      <c r="K720" s="581"/>
      <c r="L720" s="581"/>
      <c r="M720" s="581"/>
      <c r="N720" s="581"/>
      <c r="O720" s="581"/>
      <c r="P720" s="581"/>
      <c r="Q720" s="581"/>
      <c r="R720" s="581"/>
      <c r="S720" s="581"/>
      <c r="T720" s="581"/>
      <c r="U720" s="581"/>
      <c r="V720" s="581"/>
      <c r="W720" s="581"/>
      <c r="X720" s="581"/>
      <c r="Y720" s="581"/>
    </row>
    <row r="721">
      <c r="A721" s="581"/>
      <c r="B721" s="581"/>
      <c r="C721" s="581"/>
      <c r="D721" s="581"/>
      <c r="E721" s="581"/>
      <c r="F721" s="581"/>
      <c r="G721" s="581"/>
      <c r="H721" s="581"/>
      <c r="I721" s="581"/>
      <c r="J721" s="581"/>
      <c r="K721" s="581"/>
      <c r="L721" s="581"/>
      <c r="M721" s="581"/>
      <c r="N721" s="581"/>
      <c r="O721" s="581"/>
      <c r="P721" s="581"/>
      <c r="Q721" s="581"/>
      <c r="R721" s="581"/>
      <c r="S721" s="581"/>
      <c r="T721" s="581"/>
      <c r="U721" s="581"/>
      <c r="V721" s="581"/>
      <c r="W721" s="581"/>
      <c r="X721" s="581"/>
      <c r="Y721" s="581"/>
    </row>
    <row r="722">
      <c r="A722" s="581"/>
      <c r="B722" s="581"/>
      <c r="C722" s="581"/>
      <c r="D722" s="581"/>
      <c r="E722" s="581"/>
      <c r="F722" s="581"/>
      <c r="G722" s="581"/>
      <c r="H722" s="581"/>
      <c r="I722" s="581"/>
      <c r="J722" s="581"/>
      <c r="K722" s="581"/>
      <c r="L722" s="581"/>
      <c r="M722" s="581"/>
      <c r="N722" s="581"/>
      <c r="O722" s="581"/>
      <c r="P722" s="581"/>
      <c r="Q722" s="581"/>
      <c r="R722" s="581"/>
      <c r="S722" s="581"/>
      <c r="T722" s="581"/>
      <c r="U722" s="581"/>
      <c r="V722" s="581"/>
      <c r="W722" s="581"/>
      <c r="X722" s="581"/>
      <c r="Y722" s="581"/>
    </row>
    <row r="723">
      <c r="A723" s="581"/>
      <c r="B723" s="581"/>
      <c r="C723" s="581"/>
      <c r="D723" s="581"/>
      <c r="E723" s="581"/>
      <c r="F723" s="581"/>
      <c r="G723" s="581"/>
      <c r="H723" s="581"/>
      <c r="I723" s="581"/>
      <c r="J723" s="581"/>
      <c r="K723" s="581"/>
      <c r="L723" s="581"/>
      <c r="M723" s="581"/>
      <c r="N723" s="581"/>
      <c r="O723" s="581"/>
      <c r="P723" s="581"/>
      <c r="Q723" s="581"/>
      <c r="R723" s="581"/>
      <c r="S723" s="581"/>
      <c r="T723" s="581"/>
      <c r="U723" s="581"/>
      <c r="V723" s="581"/>
      <c r="W723" s="581"/>
      <c r="X723" s="581"/>
      <c r="Y723" s="581"/>
    </row>
    <row r="724">
      <c r="A724" s="581"/>
      <c r="B724" s="581"/>
      <c r="C724" s="581"/>
      <c r="D724" s="581"/>
      <c r="E724" s="581"/>
      <c r="F724" s="581"/>
      <c r="G724" s="581"/>
      <c r="H724" s="581"/>
      <c r="I724" s="581"/>
      <c r="J724" s="581"/>
      <c r="K724" s="581"/>
      <c r="L724" s="581"/>
      <c r="M724" s="581"/>
      <c r="N724" s="581"/>
      <c r="O724" s="581"/>
      <c r="P724" s="581"/>
      <c r="Q724" s="581"/>
      <c r="R724" s="581"/>
      <c r="S724" s="581"/>
      <c r="T724" s="581"/>
      <c r="U724" s="581"/>
      <c r="V724" s="581"/>
      <c r="W724" s="581"/>
      <c r="X724" s="581"/>
      <c r="Y724" s="581"/>
    </row>
    <row r="725">
      <c r="A725" s="581"/>
      <c r="B725" s="581"/>
      <c r="C725" s="581"/>
      <c r="D725" s="581"/>
      <c r="E725" s="581"/>
      <c r="F725" s="581"/>
      <c r="G725" s="581"/>
      <c r="H725" s="581"/>
      <c r="I725" s="581"/>
      <c r="J725" s="581"/>
      <c r="K725" s="581"/>
      <c r="L725" s="581"/>
      <c r="M725" s="581"/>
      <c r="N725" s="581"/>
      <c r="O725" s="581"/>
      <c r="P725" s="581"/>
      <c r="Q725" s="581"/>
      <c r="R725" s="581"/>
      <c r="S725" s="581"/>
      <c r="T725" s="581"/>
      <c r="U725" s="581"/>
      <c r="V725" s="581"/>
      <c r="W725" s="581"/>
      <c r="X725" s="581"/>
      <c r="Y725" s="581"/>
    </row>
    <row r="726">
      <c r="A726" s="581"/>
      <c r="B726" s="581"/>
      <c r="C726" s="581"/>
      <c r="D726" s="581"/>
      <c r="E726" s="581"/>
      <c r="F726" s="581"/>
      <c r="G726" s="581"/>
      <c r="H726" s="581"/>
      <c r="I726" s="581"/>
      <c r="J726" s="581"/>
      <c r="K726" s="581"/>
      <c r="L726" s="581"/>
      <c r="M726" s="581"/>
      <c r="N726" s="581"/>
      <c r="O726" s="581"/>
      <c r="P726" s="581"/>
      <c r="Q726" s="581"/>
      <c r="R726" s="581"/>
      <c r="S726" s="581"/>
      <c r="T726" s="581"/>
      <c r="U726" s="581"/>
      <c r="V726" s="581"/>
      <c r="W726" s="581"/>
      <c r="X726" s="581"/>
      <c r="Y726" s="581"/>
    </row>
    <row r="727">
      <c r="A727" s="581"/>
      <c r="B727" s="581"/>
      <c r="C727" s="581"/>
      <c r="D727" s="581"/>
      <c r="E727" s="581"/>
      <c r="F727" s="581"/>
      <c r="G727" s="581"/>
      <c r="H727" s="581"/>
      <c r="I727" s="581"/>
      <c r="J727" s="581"/>
      <c r="K727" s="581"/>
      <c r="L727" s="581"/>
      <c r="M727" s="581"/>
      <c r="N727" s="581"/>
      <c r="O727" s="581"/>
      <c r="P727" s="581"/>
      <c r="Q727" s="581"/>
      <c r="R727" s="581"/>
      <c r="S727" s="581"/>
      <c r="T727" s="581"/>
      <c r="U727" s="581"/>
      <c r="V727" s="581"/>
      <c r="W727" s="581"/>
      <c r="X727" s="581"/>
      <c r="Y727" s="581"/>
    </row>
    <row r="728">
      <c r="A728" s="581"/>
      <c r="B728" s="581"/>
      <c r="C728" s="581"/>
      <c r="D728" s="581"/>
      <c r="E728" s="581"/>
      <c r="F728" s="581"/>
      <c r="G728" s="581"/>
      <c r="H728" s="581"/>
      <c r="I728" s="581"/>
      <c r="J728" s="581"/>
      <c r="K728" s="581"/>
      <c r="L728" s="581"/>
      <c r="M728" s="581"/>
      <c r="N728" s="581"/>
      <c r="O728" s="581"/>
      <c r="P728" s="581"/>
      <c r="Q728" s="581"/>
      <c r="R728" s="581"/>
      <c r="S728" s="581"/>
      <c r="T728" s="581"/>
      <c r="U728" s="581"/>
      <c r="V728" s="581"/>
      <c r="W728" s="581"/>
      <c r="X728" s="581"/>
      <c r="Y728" s="581"/>
    </row>
    <row r="729">
      <c r="A729" s="581"/>
      <c r="B729" s="581"/>
      <c r="C729" s="581"/>
      <c r="D729" s="581"/>
      <c r="E729" s="581"/>
      <c r="F729" s="581"/>
      <c r="G729" s="581"/>
      <c r="H729" s="581"/>
      <c r="I729" s="581"/>
      <c r="J729" s="581"/>
      <c r="K729" s="581"/>
      <c r="L729" s="581"/>
      <c r="M729" s="581"/>
      <c r="N729" s="581"/>
      <c r="O729" s="581"/>
      <c r="P729" s="581"/>
      <c r="Q729" s="581"/>
      <c r="R729" s="581"/>
      <c r="S729" s="581"/>
      <c r="T729" s="581"/>
      <c r="U729" s="581"/>
      <c r="V729" s="581"/>
      <c r="W729" s="581"/>
      <c r="X729" s="581"/>
      <c r="Y729" s="581"/>
    </row>
    <row r="730">
      <c r="A730" s="581"/>
      <c r="B730" s="581"/>
      <c r="C730" s="581"/>
      <c r="D730" s="581"/>
      <c r="E730" s="581"/>
      <c r="F730" s="581"/>
      <c r="G730" s="581"/>
      <c r="H730" s="581"/>
      <c r="I730" s="581"/>
      <c r="J730" s="581"/>
      <c r="K730" s="581"/>
      <c r="L730" s="581"/>
      <c r="M730" s="581"/>
      <c r="N730" s="581"/>
      <c r="O730" s="581"/>
      <c r="P730" s="581"/>
      <c r="Q730" s="581"/>
      <c r="R730" s="581"/>
      <c r="S730" s="581"/>
      <c r="T730" s="581"/>
      <c r="U730" s="581"/>
      <c r="V730" s="581"/>
      <c r="W730" s="581"/>
      <c r="X730" s="581"/>
      <c r="Y730" s="581"/>
    </row>
    <row r="731">
      <c r="A731" s="581"/>
      <c r="B731" s="581"/>
      <c r="C731" s="581"/>
      <c r="D731" s="581"/>
      <c r="E731" s="581"/>
      <c r="F731" s="581"/>
      <c r="G731" s="581"/>
      <c r="H731" s="581"/>
      <c r="I731" s="581"/>
      <c r="J731" s="581"/>
      <c r="K731" s="581"/>
      <c r="L731" s="581"/>
      <c r="M731" s="581"/>
      <c r="N731" s="581"/>
      <c r="O731" s="581"/>
      <c r="P731" s="581"/>
      <c r="Q731" s="581"/>
      <c r="R731" s="581"/>
      <c r="S731" s="581"/>
      <c r="T731" s="581"/>
      <c r="U731" s="581"/>
      <c r="V731" s="581"/>
      <c r="W731" s="581"/>
      <c r="X731" s="581"/>
      <c r="Y731" s="581"/>
    </row>
    <row r="732">
      <c r="A732" s="581"/>
      <c r="B732" s="581"/>
      <c r="C732" s="581"/>
      <c r="D732" s="581"/>
      <c r="E732" s="581"/>
      <c r="F732" s="581"/>
      <c r="G732" s="581"/>
      <c r="H732" s="581"/>
      <c r="I732" s="581"/>
      <c r="J732" s="581"/>
      <c r="K732" s="581"/>
      <c r="L732" s="581"/>
      <c r="M732" s="581"/>
      <c r="N732" s="581"/>
      <c r="O732" s="581"/>
      <c r="P732" s="581"/>
      <c r="Q732" s="581"/>
      <c r="R732" s="581"/>
      <c r="S732" s="581"/>
      <c r="T732" s="581"/>
      <c r="U732" s="581"/>
      <c r="V732" s="581"/>
      <c r="W732" s="581"/>
      <c r="X732" s="581"/>
      <c r="Y732" s="581"/>
    </row>
    <row r="733">
      <c r="A733" s="581"/>
      <c r="B733" s="581"/>
      <c r="C733" s="581"/>
      <c r="D733" s="581"/>
      <c r="E733" s="581"/>
      <c r="F733" s="581"/>
      <c r="G733" s="581"/>
      <c r="H733" s="581"/>
      <c r="I733" s="581"/>
      <c r="J733" s="581"/>
      <c r="K733" s="581"/>
      <c r="L733" s="581"/>
      <c r="M733" s="581"/>
      <c r="N733" s="581"/>
      <c r="O733" s="581"/>
      <c r="P733" s="581"/>
      <c r="Q733" s="581"/>
      <c r="R733" s="581"/>
      <c r="S733" s="581"/>
      <c r="T733" s="581"/>
      <c r="U733" s="581"/>
      <c r="V733" s="581"/>
      <c r="W733" s="581"/>
      <c r="X733" s="581"/>
      <c r="Y733" s="581"/>
    </row>
    <row r="734">
      <c r="A734" s="581"/>
      <c r="B734" s="581"/>
      <c r="C734" s="581"/>
      <c r="D734" s="581"/>
      <c r="E734" s="581"/>
      <c r="F734" s="581"/>
      <c r="G734" s="581"/>
      <c r="H734" s="581"/>
      <c r="I734" s="581"/>
      <c r="J734" s="581"/>
      <c r="K734" s="581"/>
      <c r="L734" s="581"/>
      <c r="M734" s="581"/>
      <c r="N734" s="581"/>
      <c r="O734" s="581"/>
      <c r="P734" s="581"/>
      <c r="Q734" s="581"/>
      <c r="R734" s="581"/>
      <c r="S734" s="581"/>
      <c r="T734" s="581"/>
      <c r="U734" s="581"/>
      <c r="V734" s="581"/>
      <c r="W734" s="581"/>
      <c r="X734" s="581"/>
      <c r="Y734" s="581"/>
    </row>
    <row r="735">
      <c r="A735" s="581"/>
      <c r="B735" s="581"/>
      <c r="C735" s="581"/>
      <c r="D735" s="581"/>
      <c r="E735" s="581"/>
      <c r="F735" s="581"/>
      <c r="G735" s="581"/>
      <c r="H735" s="581"/>
      <c r="I735" s="581"/>
      <c r="J735" s="581"/>
      <c r="K735" s="581"/>
      <c r="L735" s="581"/>
      <c r="M735" s="581"/>
      <c r="N735" s="581"/>
      <c r="O735" s="581"/>
      <c r="P735" s="581"/>
      <c r="Q735" s="581"/>
      <c r="R735" s="581"/>
      <c r="S735" s="581"/>
      <c r="T735" s="581"/>
      <c r="U735" s="581"/>
      <c r="V735" s="581"/>
      <c r="W735" s="581"/>
      <c r="X735" s="581"/>
      <c r="Y735" s="581"/>
    </row>
    <row r="736">
      <c r="A736" s="581"/>
      <c r="B736" s="581"/>
      <c r="C736" s="581"/>
      <c r="D736" s="581"/>
      <c r="E736" s="581"/>
      <c r="F736" s="581"/>
      <c r="G736" s="581"/>
      <c r="H736" s="581"/>
      <c r="I736" s="581"/>
      <c r="J736" s="581"/>
      <c r="K736" s="581"/>
      <c r="L736" s="581"/>
      <c r="M736" s="581"/>
      <c r="N736" s="581"/>
      <c r="O736" s="581"/>
      <c r="P736" s="581"/>
      <c r="Q736" s="581"/>
      <c r="R736" s="581"/>
      <c r="S736" s="581"/>
      <c r="T736" s="581"/>
      <c r="U736" s="581"/>
      <c r="V736" s="581"/>
      <c r="W736" s="581"/>
      <c r="X736" s="581"/>
      <c r="Y736" s="581"/>
    </row>
    <row r="737">
      <c r="A737" s="581"/>
      <c r="B737" s="581"/>
      <c r="C737" s="581"/>
      <c r="D737" s="581"/>
      <c r="E737" s="581"/>
      <c r="F737" s="581"/>
      <c r="G737" s="581"/>
      <c r="H737" s="581"/>
      <c r="I737" s="581"/>
      <c r="J737" s="581"/>
      <c r="K737" s="581"/>
      <c r="L737" s="581"/>
      <c r="M737" s="581"/>
      <c r="N737" s="581"/>
      <c r="O737" s="581"/>
      <c r="P737" s="581"/>
      <c r="Q737" s="581"/>
      <c r="R737" s="581"/>
      <c r="S737" s="581"/>
      <c r="T737" s="581"/>
      <c r="U737" s="581"/>
      <c r="V737" s="581"/>
      <c r="W737" s="581"/>
      <c r="X737" s="581"/>
      <c r="Y737" s="581"/>
    </row>
    <row r="738">
      <c r="A738" s="581"/>
      <c r="B738" s="581"/>
      <c r="C738" s="581"/>
      <c r="D738" s="581"/>
      <c r="E738" s="581"/>
      <c r="F738" s="581"/>
      <c r="G738" s="581"/>
      <c r="H738" s="581"/>
      <c r="I738" s="581"/>
      <c r="J738" s="581"/>
      <c r="K738" s="581"/>
      <c r="L738" s="581"/>
      <c r="M738" s="581"/>
      <c r="N738" s="581"/>
      <c r="O738" s="581"/>
      <c r="P738" s="581"/>
      <c r="Q738" s="581"/>
      <c r="R738" s="581"/>
      <c r="S738" s="581"/>
      <c r="T738" s="581"/>
      <c r="U738" s="581"/>
      <c r="V738" s="581"/>
      <c r="W738" s="581"/>
      <c r="X738" s="581"/>
      <c r="Y738" s="581"/>
    </row>
    <row r="739">
      <c r="A739" s="581"/>
      <c r="B739" s="581"/>
      <c r="C739" s="581"/>
      <c r="D739" s="581"/>
      <c r="E739" s="581"/>
      <c r="F739" s="581"/>
      <c r="G739" s="581"/>
      <c r="H739" s="581"/>
      <c r="I739" s="581"/>
      <c r="J739" s="581"/>
      <c r="K739" s="581"/>
      <c r="L739" s="581"/>
      <c r="M739" s="581"/>
      <c r="N739" s="581"/>
      <c r="O739" s="581"/>
      <c r="P739" s="581"/>
      <c r="Q739" s="581"/>
      <c r="R739" s="581"/>
      <c r="S739" s="581"/>
      <c r="T739" s="581"/>
      <c r="U739" s="581"/>
      <c r="V739" s="581"/>
      <c r="W739" s="581"/>
      <c r="X739" s="581"/>
      <c r="Y739" s="581"/>
    </row>
    <row r="740">
      <c r="A740" s="581"/>
      <c r="B740" s="581"/>
      <c r="C740" s="581"/>
      <c r="D740" s="581"/>
      <c r="E740" s="581"/>
      <c r="F740" s="581"/>
      <c r="G740" s="581"/>
      <c r="H740" s="581"/>
      <c r="I740" s="581"/>
      <c r="J740" s="581"/>
      <c r="K740" s="581"/>
      <c r="L740" s="581"/>
      <c r="M740" s="581"/>
      <c r="N740" s="581"/>
      <c r="O740" s="581"/>
      <c r="P740" s="581"/>
      <c r="Q740" s="581"/>
      <c r="R740" s="581"/>
      <c r="S740" s="581"/>
      <c r="T740" s="581"/>
      <c r="U740" s="581"/>
      <c r="V740" s="581"/>
      <c r="W740" s="581"/>
      <c r="X740" s="581"/>
      <c r="Y740" s="581"/>
    </row>
    <row r="741">
      <c r="A741" s="581"/>
      <c r="B741" s="581"/>
      <c r="C741" s="581"/>
      <c r="D741" s="581"/>
      <c r="E741" s="581"/>
      <c r="F741" s="581"/>
      <c r="G741" s="581"/>
      <c r="H741" s="581"/>
      <c r="I741" s="581"/>
      <c r="J741" s="581"/>
      <c r="K741" s="581"/>
      <c r="L741" s="581"/>
      <c r="M741" s="581"/>
      <c r="N741" s="581"/>
      <c r="O741" s="581"/>
      <c r="P741" s="581"/>
      <c r="Q741" s="581"/>
      <c r="R741" s="581"/>
      <c r="S741" s="581"/>
      <c r="T741" s="581"/>
      <c r="U741" s="581"/>
      <c r="V741" s="581"/>
      <c r="W741" s="581"/>
      <c r="X741" s="581"/>
      <c r="Y741" s="581"/>
    </row>
    <row r="742">
      <c r="A742" s="581"/>
      <c r="B742" s="581"/>
      <c r="C742" s="581"/>
      <c r="D742" s="581"/>
      <c r="E742" s="581"/>
      <c r="F742" s="581"/>
      <c r="G742" s="581"/>
      <c r="H742" s="581"/>
      <c r="I742" s="581"/>
      <c r="J742" s="581"/>
      <c r="K742" s="581"/>
      <c r="L742" s="581"/>
      <c r="M742" s="581"/>
      <c r="N742" s="581"/>
      <c r="O742" s="581"/>
      <c r="P742" s="581"/>
      <c r="Q742" s="581"/>
      <c r="R742" s="581"/>
      <c r="S742" s="581"/>
      <c r="T742" s="581"/>
      <c r="U742" s="581"/>
      <c r="V742" s="581"/>
      <c r="W742" s="581"/>
      <c r="X742" s="581"/>
      <c r="Y742" s="581"/>
    </row>
    <row r="743">
      <c r="A743" s="581"/>
      <c r="B743" s="581"/>
      <c r="C743" s="581"/>
      <c r="D743" s="581"/>
      <c r="E743" s="581"/>
      <c r="F743" s="581"/>
      <c r="G743" s="581"/>
      <c r="H743" s="581"/>
      <c r="I743" s="581"/>
      <c r="J743" s="581"/>
      <c r="K743" s="581"/>
      <c r="L743" s="581"/>
      <c r="M743" s="581"/>
      <c r="N743" s="581"/>
      <c r="O743" s="581"/>
      <c r="P743" s="581"/>
      <c r="Q743" s="581"/>
      <c r="R743" s="581"/>
      <c r="S743" s="581"/>
      <c r="T743" s="581"/>
      <c r="U743" s="581"/>
      <c r="V743" s="581"/>
      <c r="W743" s="581"/>
      <c r="X743" s="581"/>
      <c r="Y743" s="581"/>
    </row>
    <row r="744">
      <c r="A744" s="581"/>
      <c r="B744" s="581"/>
      <c r="C744" s="581"/>
      <c r="D744" s="581"/>
      <c r="E744" s="581"/>
      <c r="F744" s="581"/>
      <c r="G744" s="581"/>
      <c r="H744" s="581"/>
      <c r="I744" s="581"/>
      <c r="J744" s="581"/>
      <c r="K744" s="581"/>
      <c r="L744" s="581"/>
      <c r="M744" s="581"/>
      <c r="N744" s="581"/>
      <c r="O744" s="581"/>
      <c r="P744" s="581"/>
      <c r="Q744" s="581"/>
      <c r="R744" s="581"/>
      <c r="S744" s="581"/>
      <c r="T744" s="581"/>
      <c r="U744" s="581"/>
      <c r="V744" s="581"/>
      <c r="W744" s="581"/>
      <c r="X744" s="581"/>
      <c r="Y744" s="581"/>
    </row>
    <row r="745">
      <c r="A745" s="581"/>
      <c r="B745" s="581"/>
      <c r="C745" s="581"/>
      <c r="D745" s="581"/>
      <c r="E745" s="581"/>
      <c r="F745" s="581"/>
      <c r="G745" s="581"/>
      <c r="H745" s="581"/>
      <c r="I745" s="581"/>
      <c r="J745" s="581"/>
      <c r="K745" s="581"/>
      <c r="L745" s="581"/>
      <c r="M745" s="581"/>
      <c r="N745" s="581"/>
      <c r="O745" s="581"/>
      <c r="P745" s="581"/>
      <c r="Q745" s="581"/>
      <c r="R745" s="581"/>
      <c r="S745" s="581"/>
      <c r="T745" s="581"/>
      <c r="U745" s="581"/>
      <c r="V745" s="581"/>
      <c r="W745" s="581"/>
      <c r="X745" s="581"/>
      <c r="Y745" s="581"/>
    </row>
    <row r="746">
      <c r="A746" s="581"/>
      <c r="B746" s="581"/>
      <c r="C746" s="581"/>
      <c r="D746" s="581"/>
      <c r="E746" s="581"/>
      <c r="F746" s="581"/>
      <c r="G746" s="581"/>
      <c r="H746" s="581"/>
      <c r="I746" s="581"/>
      <c r="J746" s="581"/>
      <c r="K746" s="581"/>
      <c r="L746" s="581"/>
      <c r="M746" s="581"/>
      <c r="N746" s="581"/>
      <c r="O746" s="581"/>
      <c r="P746" s="581"/>
      <c r="Q746" s="581"/>
      <c r="R746" s="581"/>
      <c r="S746" s="581"/>
      <c r="T746" s="581"/>
      <c r="U746" s="581"/>
      <c r="V746" s="581"/>
      <c r="W746" s="581"/>
      <c r="X746" s="581"/>
      <c r="Y746" s="581"/>
    </row>
    <row r="747">
      <c r="A747" s="581"/>
      <c r="B747" s="581"/>
      <c r="C747" s="581"/>
      <c r="D747" s="581"/>
      <c r="E747" s="581"/>
      <c r="F747" s="581"/>
      <c r="G747" s="581"/>
      <c r="H747" s="581"/>
      <c r="I747" s="581"/>
      <c r="J747" s="581"/>
      <c r="K747" s="581"/>
      <c r="L747" s="581"/>
      <c r="M747" s="581"/>
      <c r="N747" s="581"/>
      <c r="O747" s="581"/>
      <c r="P747" s="581"/>
      <c r="Q747" s="581"/>
      <c r="R747" s="581"/>
      <c r="S747" s="581"/>
      <c r="T747" s="581"/>
      <c r="U747" s="581"/>
      <c r="V747" s="581"/>
      <c r="W747" s="581"/>
      <c r="X747" s="581"/>
      <c r="Y747" s="581"/>
    </row>
    <row r="748">
      <c r="A748" s="581"/>
      <c r="B748" s="581"/>
      <c r="C748" s="581"/>
      <c r="D748" s="581"/>
      <c r="E748" s="581"/>
      <c r="F748" s="581"/>
      <c r="G748" s="581"/>
      <c r="H748" s="581"/>
      <c r="I748" s="581"/>
      <c r="J748" s="581"/>
      <c r="K748" s="581"/>
      <c r="L748" s="581"/>
      <c r="M748" s="581"/>
      <c r="N748" s="581"/>
      <c r="O748" s="581"/>
      <c r="P748" s="581"/>
      <c r="Q748" s="581"/>
      <c r="R748" s="581"/>
      <c r="S748" s="581"/>
      <c r="T748" s="581"/>
      <c r="U748" s="581"/>
      <c r="V748" s="581"/>
      <c r="W748" s="581"/>
      <c r="X748" s="581"/>
      <c r="Y748" s="581"/>
    </row>
    <row r="749">
      <c r="A749" s="581"/>
      <c r="B749" s="581"/>
      <c r="C749" s="581"/>
      <c r="D749" s="581"/>
      <c r="E749" s="581"/>
      <c r="F749" s="581"/>
      <c r="G749" s="581"/>
      <c r="H749" s="581"/>
      <c r="I749" s="581"/>
      <c r="J749" s="581"/>
      <c r="K749" s="581"/>
      <c r="L749" s="581"/>
      <c r="M749" s="581"/>
      <c r="N749" s="581"/>
      <c r="O749" s="581"/>
      <c r="P749" s="581"/>
      <c r="Q749" s="581"/>
      <c r="R749" s="581"/>
      <c r="S749" s="581"/>
      <c r="T749" s="581"/>
      <c r="U749" s="581"/>
      <c r="V749" s="581"/>
      <c r="W749" s="581"/>
      <c r="X749" s="581"/>
      <c r="Y749" s="581"/>
    </row>
    <row r="750">
      <c r="A750" s="581"/>
      <c r="B750" s="581"/>
      <c r="C750" s="581"/>
      <c r="D750" s="581"/>
      <c r="E750" s="581"/>
      <c r="F750" s="581"/>
      <c r="G750" s="581"/>
      <c r="H750" s="581"/>
      <c r="I750" s="581"/>
      <c r="J750" s="581"/>
      <c r="K750" s="581"/>
      <c r="L750" s="581"/>
      <c r="M750" s="581"/>
      <c r="N750" s="581"/>
      <c r="O750" s="581"/>
      <c r="P750" s="581"/>
      <c r="Q750" s="581"/>
      <c r="R750" s="581"/>
      <c r="S750" s="581"/>
      <c r="T750" s="581"/>
      <c r="U750" s="581"/>
      <c r="V750" s="581"/>
      <c r="W750" s="581"/>
      <c r="X750" s="581"/>
      <c r="Y750" s="581"/>
    </row>
    <row r="751">
      <c r="A751" s="581"/>
      <c r="B751" s="581"/>
      <c r="C751" s="581"/>
      <c r="D751" s="581"/>
      <c r="E751" s="581"/>
      <c r="F751" s="581"/>
      <c r="G751" s="581"/>
      <c r="H751" s="581"/>
      <c r="I751" s="581"/>
      <c r="J751" s="581"/>
      <c r="K751" s="581"/>
      <c r="L751" s="581"/>
      <c r="M751" s="581"/>
      <c r="N751" s="581"/>
      <c r="O751" s="581"/>
      <c r="P751" s="581"/>
      <c r="Q751" s="581"/>
      <c r="R751" s="581"/>
      <c r="S751" s="581"/>
      <c r="T751" s="581"/>
      <c r="U751" s="581"/>
      <c r="V751" s="581"/>
      <c r="W751" s="581"/>
      <c r="X751" s="581"/>
      <c r="Y751" s="581"/>
    </row>
    <row r="752">
      <c r="A752" s="581"/>
      <c r="B752" s="581"/>
      <c r="C752" s="581"/>
      <c r="D752" s="581"/>
      <c r="E752" s="581"/>
      <c r="F752" s="581"/>
      <c r="G752" s="581"/>
      <c r="H752" s="581"/>
      <c r="I752" s="581"/>
      <c r="J752" s="581"/>
      <c r="K752" s="581"/>
      <c r="L752" s="581"/>
      <c r="M752" s="581"/>
      <c r="N752" s="581"/>
      <c r="O752" s="581"/>
      <c r="P752" s="581"/>
      <c r="Q752" s="581"/>
      <c r="R752" s="581"/>
      <c r="S752" s="581"/>
      <c r="T752" s="581"/>
      <c r="U752" s="581"/>
      <c r="V752" s="581"/>
      <c r="W752" s="581"/>
      <c r="X752" s="581"/>
      <c r="Y752" s="581"/>
    </row>
    <row r="753">
      <c r="A753" s="581"/>
      <c r="B753" s="581"/>
      <c r="C753" s="581"/>
      <c r="D753" s="581"/>
      <c r="E753" s="581"/>
      <c r="F753" s="581"/>
      <c r="G753" s="581"/>
      <c r="H753" s="581"/>
      <c r="I753" s="581"/>
      <c r="J753" s="581"/>
      <c r="K753" s="581"/>
      <c r="L753" s="581"/>
      <c r="M753" s="581"/>
      <c r="N753" s="581"/>
      <c r="O753" s="581"/>
      <c r="P753" s="581"/>
      <c r="Q753" s="581"/>
      <c r="R753" s="581"/>
      <c r="S753" s="581"/>
      <c r="T753" s="581"/>
      <c r="U753" s="581"/>
      <c r="V753" s="581"/>
      <c r="W753" s="581"/>
      <c r="X753" s="581"/>
      <c r="Y753" s="581"/>
    </row>
    <row r="754">
      <c r="A754" s="581"/>
      <c r="B754" s="581"/>
      <c r="C754" s="581"/>
      <c r="D754" s="581"/>
      <c r="E754" s="581"/>
      <c r="F754" s="581"/>
      <c r="G754" s="581"/>
      <c r="H754" s="581"/>
      <c r="I754" s="581"/>
      <c r="J754" s="581"/>
      <c r="K754" s="581"/>
      <c r="L754" s="581"/>
      <c r="M754" s="581"/>
      <c r="N754" s="581"/>
      <c r="O754" s="581"/>
      <c r="P754" s="581"/>
      <c r="Q754" s="581"/>
      <c r="R754" s="581"/>
      <c r="S754" s="581"/>
      <c r="T754" s="581"/>
      <c r="U754" s="581"/>
      <c r="V754" s="581"/>
      <c r="W754" s="581"/>
      <c r="X754" s="581"/>
      <c r="Y754" s="581"/>
    </row>
    <row r="755">
      <c r="A755" s="581"/>
      <c r="B755" s="581"/>
      <c r="C755" s="581"/>
      <c r="D755" s="581"/>
      <c r="E755" s="581"/>
      <c r="F755" s="581"/>
      <c r="G755" s="581"/>
      <c r="H755" s="581"/>
      <c r="I755" s="581"/>
      <c r="J755" s="581"/>
      <c r="K755" s="581"/>
      <c r="L755" s="581"/>
      <c r="M755" s="581"/>
      <c r="N755" s="581"/>
      <c r="O755" s="581"/>
      <c r="P755" s="581"/>
      <c r="Q755" s="581"/>
      <c r="R755" s="581"/>
      <c r="S755" s="581"/>
      <c r="T755" s="581"/>
      <c r="U755" s="581"/>
      <c r="V755" s="581"/>
      <c r="W755" s="581"/>
      <c r="X755" s="581"/>
      <c r="Y755" s="581"/>
    </row>
    <row r="756">
      <c r="A756" s="581"/>
      <c r="B756" s="581"/>
      <c r="C756" s="581"/>
      <c r="D756" s="581"/>
      <c r="E756" s="581"/>
      <c r="F756" s="581"/>
      <c r="G756" s="581"/>
      <c r="H756" s="581"/>
      <c r="I756" s="581"/>
      <c r="J756" s="581"/>
      <c r="K756" s="581"/>
      <c r="L756" s="581"/>
      <c r="M756" s="581"/>
      <c r="N756" s="581"/>
      <c r="O756" s="581"/>
      <c r="P756" s="581"/>
      <c r="Q756" s="581"/>
      <c r="R756" s="581"/>
      <c r="S756" s="581"/>
      <c r="T756" s="581"/>
      <c r="U756" s="581"/>
      <c r="V756" s="581"/>
      <c r="W756" s="581"/>
      <c r="X756" s="581"/>
      <c r="Y756" s="581"/>
    </row>
    <row r="757">
      <c r="A757" s="581"/>
      <c r="B757" s="581"/>
      <c r="C757" s="581"/>
      <c r="D757" s="581"/>
      <c r="E757" s="581"/>
      <c r="F757" s="581"/>
      <c r="G757" s="581"/>
      <c r="H757" s="581"/>
      <c r="I757" s="581"/>
      <c r="J757" s="581"/>
      <c r="K757" s="581"/>
      <c r="L757" s="581"/>
      <c r="M757" s="581"/>
      <c r="N757" s="581"/>
      <c r="O757" s="581"/>
      <c r="P757" s="581"/>
      <c r="Q757" s="581"/>
      <c r="R757" s="581"/>
      <c r="S757" s="581"/>
      <c r="T757" s="581"/>
      <c r="U757" s="581"/>
      <c r="V757" s="581"/>
      <c r="W757" s="581"/>
      <c r="X757" s="581"/>
      <c r="Y757" s="581"/>
    </row>
    <row r="758">
      <c r="A758" s="581"/>
      <c r="B758" s="581"/>
      <c r="C758" s="581"/>
      <c r="D758" s="581"/>
      <c r="E758" s="581"/>
      <c r="F758" s="581"/>
      <c r="G758" s="581"/>
      <c r="H758" s="581"/>
      <c r="I758" s="581"/>
      <c r="J758" s="581"/>
      <c r="K758" s="581"/>
      <c r="L758" s="581"/>
      <c r="M758" s="581"/>
      <c r="N758" s="581"/>
      <c r="O758" s="581"/>
      <c r="P758" s="581"/>
      <c r="Q758" s="581"/>
      <c r="R758" s="581"/>
      <c r="S758" s="581"/>
      <c r="T758" s="581"/>
      <c r="U758" s="581"/>
      <c r="V758" s="581"/>
      <c r="W758" s="581"/>
      <c r="X758" s="581"/>
      <c r="Y758" s="581"/>
    </row>
    <row r="759">
      <c r="A759" s="581"/>
      <c r="B759" s="581"/>
      <c r="C759" s="581"/>
      <c r="D759" s="581"/>
      <c r="E759" s="581"/>
      <c r="F759" s="581"/>
      <c r="G759" s="581"/>
      <c r="H759" s="581"/>
      <c r="I759" s="581"/>
      <c r="J759" s="581"/>
      <c r="K759" s="581"/>
      <c r="L759" s="581"/>
      <c r="M759" s="581"/>
      <c r="N759" s="581"/>
      <c r="O759" s="581"/>
      <c r="P759" s="581"/>
      <c r="Q759" s="581"/>
      <c r="R759" s="581"/>
      <c r="S759" s="581"/>
      <c r="T759" s="581"/>
      <c r="U759" s="581"/>
      <c r="V759" s="581"/>
      <c r="W759" s="581"/>
      <c r="X759" s="581"/>
      <c r="Y759" s="581"/>
    </row>
    <row r="760">
      <c r="A760" s="581"/>
      <c r="B760" s="581"/>
      <c r="C760" s="581"/>
      <c r="D760" s="581"/>
      <c r="E760" s="581"/>
      <c r="F760" s="581"/>
      <c r="G760" s="581"/>
      <c r="H760" s="581"/>
      <c r="I760" s="581"/>
      <c r="J760" s="581"/>
      <c r="K760" s="581"/>
      <c r="L760" s="581"/>
      <c r="M760" s="581"/>
      <c r="N760" s="581"/>
      <c r="O760" s="581"/>
      <c r="P760" s="581"/>
      <c r="Q760" s="581"/>
      <c r="R760" s="581"/>
      <c r="S760" s="581"/>
      <c r="T760" s="581"/>
      <c r="U760" s="581"/>
      <c r="V760" s="581"/>
      <c r="W760" s="581"/>
      <c r="X760" s="581"/>
      <c r="Y760" s="581"/>
    </row>
    <row r="761">
      <c r="A761" s="581"/>
      <c r="B761" s="581"/>
      <c r="C761" s="581"/>
      <c r="D761" s="581"/>
      <c r="E761" s="581"/>
      <c r="F761" s="581"/>
      <c r="G761" s="581"/>
      <c r="H761" s="581"/>
      <c r="I761" s="581"/>
      <c r="J761" s="581"/>
      <c r="K761" s="581"/>
      <c r="L761" s="581"/>
      <c r="M761" s="581"/>
      <c r="N761" s="581"/>
      <c r="O761" s="581"/>
      <c r="P761" s="581"/>
      <c r="Q761" s="581"/>
      <c r="R761" s="581"/>
      <c r="S761" s="581"/>
      <c r="T761" s="581"/>
      <c r="U761" s="581"/>
      <c r="V761" s="581"/>
      <c r="W761" s="581"/>
      <c r="X761" s="581"/>
      <c r="Y761" s="581"/>
    </row>
    <row r="762">
      <c r="A762" s="581"/>
      <c r="B762" s="581"/>
      <c r="C762" s="581"/>
      <c r="D762" s="581"/>
      <c r="E762" s="581"/>
      <c r="F762" s="581"/>
      <c r="G762" s="581"/>
      <c r="H762" s="581"/>
      <c r="I762" s="581"/>
      <c r="J762" s="581"/>
      <c r="K762" s="581"/>
      <c r="L762" s="581"/>
      <c r="M762" s="581"/>
      <c r="N762" s="581"/>
      <c r="O762" s="581"/>
      <c r="P762" s="581"/>
      <c r="Q762" s="581"/>
      <c r="R762" s="581"/>
      <c r="S762" s="581"/>
      <c r="T762" s="581"/>
      <c r="U762" s="581"/>
      <c r="V762" s="581"/>
      <c r="W762" s="581"/>
      <c r="X762" s="581"/>
      <c r="Y762" s="581"/>
    </row>
    <row r="763">
      <c r="A763" s="581"/>
      <c r="B763" s="581"/>
      <c r="C763" s="581"/>
      <c r="D763" s="581"/>
      <c r="E763" s="581"/>
      <c r="F763" s="581"/>
      <c r="G763" s="581"/>
      <c r="H763" s="581"/>
      <c r="I763" s="581"/>
      <c r="J763" s="581"/>
      <c r="K763" s="581"/>
      <c r="L763" s="581"/>
      <c r="M763" s="581"/>
      <c r="N763" s="581"/>
      <c r="O763" s="581"/>
      <c r="P763" s="581"/>
      <c r="Q763" s="581"/>
      <c r="R763" s="581"/>
      <c r="S763" s="581"/>
      <c r="T763" s="581"/>
      <c r="U763" s="581"/>
      <c r="V763" s="581"/>
      <c r="W763" s="581"/>
      <c r="X763" s="581"/>
      <c r="Y763" s="581"/>
    </row>
    <row r="764">
      <c r="A764" s="581"/>
      <c r="B764" s="581"/>
      <c r="C764" s="581"/>
      <c r="D764" s="581"/>
      <c r="E764" s="581"/>
      <c r="F764" s="581"/>
      <c r="G764" s="581"/>
      <c r="H764" s="581"/>
      <c r="I764" s="581"/>
      <c r="J764" s="581"/>
      <c r="K764" s="581"/>
      <c r="L764" s="581"/>
      <c r="M764" s="581"/>
      <c r="N764" s="581"/>
      <c r="O764" s="581"/>
      <c r="P764" s="581"/>
      <c r="Q764" s="581"/>
      <c r="R764" s="581"/>
      <c r="S764" s="581"/>
      <c r="T764" s="581"/>
      <c r="U764" s="581"/>
      <c r="V764" s="581"/>
      <c r="W764" s="581"/>
      <c r="X764" s="581"/>
      <c r="Y764" s="581"/>
    </row>
    <row r="765">
      <c r="A765" s="581"/>
      <c r="B765" s="581"/>
      <c r="C765" s="581"/>
      <c r="D765" s="581"/>
      <c r="E765" s="581"/>
      <c r="F765" s="581"/>
      <c r="G765" s="581"/>
      <c r="H765" s="581"/>
      <c r="I765" s="581"/>
      <c r="J765" s="581"/>
      <c r="K765" s="581"/>
      <c r="L765" s="581"/>
      <c r="M765" s="581"/>
      <c r="N765" s="581"/>
      <c r="O765" s="581"/>
      <c r="P765" s="581"/>
      <c r="Q765" s="581"/>
      <c r="R765" s="581"/>
      <c r="S765" s="581"/>
      <c r="T765" s="581"/>
      <c r="U765" s="581"/>
      <c r="V765" s="581"/>
      <c r="W765" s="581"/>
      <c r="X765" s="581"/>
      <c r="Y765" s="581"/>
    </row>
    <row r="766">
      <c r="A766" s="581"/>
      <c r="B766" s="581"/>
      <c r="C766" s="581"/>
      <c r="D766" s="581"/>
      <c r="E766" s="581"/>
      <c r="F766" s="581"/>
      <c r="G766" s="581"/>
      <c r="H766" s="581"/>
      <c r="I766" s="581"/>
      <c r="J766" s="581"/>
      <c r="K766" s="581"/>
      <c r="L766" s="581"/>
      <c r="M766" s="581"/>
      <c r="N766" s="581"/>
      <c r="O766" s="581"/>
      <c r="P766" s="581"/>
      <c r="Q766" s="581"/>
      <c r="R766" s="581"/>
      <c r="S766" s="581"/>
      <c r="T766" s="581"/>
      <c r="U766" s="581"/>
      <c r="V766" s="581"/>
      <c r="W766" s="581"/>
      <c r="X766" s="581"/>
      <c r="Y766" s="581"/>
    </row>
    <row r="767">
      <c r="A767" s="581"/>
      <c r="B767" s="581"/>
      <c r="C767" s="581"/>
      <c r="D767" s="581"/>
      <c r="E767" s="581"/>
      <c r="F767" s="581"/>
      <c r="G767" s="581"/>
      <c r="H767" s="581"/>
      <c r="I767" s="581"/>
      <c r="J767" s="581"/>
      <c r="K767" s="581"/>
      <c r="L767" s="581"/>
      <c r="M767" s="581"/>
      <c r="N767" s="581"/>
      <c r="O767" s="581"/>
      <c r="P767" s="581"/>
      <c r="Q767" s="581"/>
      <c r="R767" s="581"/>
      <c r="S767" s="581"/>
      <c r="T767" s="581"/>
      <c r="U767" s="581"/>
      <c r="V767" s="581"/>
      <c r="W767" s="581"/>
      <c r="X767" s="581"/>
      <c r="Y767" s="581"/>
    </row>
    <row r="768">
      <c r="A768" s="581"/>
      <c r="B768" s="581"/>
      <c r="C768" s="581"/>
      <c r="D768" s="581"/>
      <c r="E768" s="581"/>
      <c r="F768" s="581"/>
      <c r="G768" s="581"/>
      <c r="H768" s="581"/>
      <c r="I768" s="581"/>
      <c r="J768" s="581"/>
      <c r="K768" s="581"/>
      <c r="L768" s="581"/>
      <c r="M768" s="581"/>
      <c r="N768" s="581"/>
      <c r="O768" s="581"/>
      <c r="P768" s="581"/>
      <c r="Q768" s="581"/>
      <c r="R768" s="581"/>
      <c r="S768" s="581"/>
      <c r="T768" s="581"/>
      <c r="U768" s="581"/>
      <c r="V768" s="581"/>
      <c r="W768" s="581"/>
      <c r="X768" s="581"/>
      <c r="Y768" s="581"/>
    </row>
    <row r="769">
      <c r="A769" s="581"/>
      <c r="B769" s="581"/>
      <c r="C769" s="581"/>
      <c r="D769" s="581"/>
      <c r="E769" s="581"/>
      <c r="F769" s="581"/>
      <c r="G769" s="581"/>
      <c r="H769" s="581"/>
      <c r="I769" s="581"/>
      <c r="J769" s="581"/>
      <c r="K769" s="581"/>
      <c r="L769" s="581"/>
      <c r="M769" s="581"/>
      <c r="N769" s="581"/>
      <c r="O769" s="581"/>
      <c r="P769" s="581"/>
      <c r="Q769" s="581"/>
      <c r="R769" s="581"/>
      <c r="S769" s="581"/>
      <c r="T769" s="581"/>
      <c r="U769" s="581"/>
      <c r="V769" s="581"/>
      <c r="W769" s="581"/>
      <c r="X769" s="581"/>
      <c r="Y769" s="581"/>
    </row>
    <row r="770">
      <c r="A770" s="581"/>
      <c r="B770" s="581"/>
      <c r="C770" s="581"/>
      <c r="D770" s="581"/>
      <c r="E770" s="581"/>
      <c r="F770" s="581"/>
      <c r="G770" s="581"/>
      <c r="H770" s="581"/>
      <c r="I770" s="581"/>
      <c r="J770" s="581"/>
      <c r="K770" s="581"/>
      <c r="L770" s="581"/>
      <c r="M770" s="581"/>
      <c r="N770" s="581"/>
      <c r="O770" s="581"/>
      <c r="P770" s="581"/>
      <c r="Q770" s="581"/>
      <c r="R770" s="581"/>
      <c r="S770" s="581"/>
      <c r="T770" s="581"/>
      <c r="U770" s="581"/>
      <c r="V770" s="581"/>
      <c r="W770" s="581"/>
      <c r="X770" s="581"/>
      <c r="Y770" s="581"/>
    </row>
    <row r="771">
      <c r="A771" s="581"/>
      <c r="B771" s="581"/>
      <c r="C771" s="581"/>
      <c r="D771" s="581"/>
      <c r="E771" s="581"/>
      <c r="F771" s="581"/>
      <c r="G771" s="581"/>
      <c r="H771" s="581"/>
      <c r="I771" s="581"/>
      <c r="J771" s="581"/>
      <c r="K771" s="581"/>
      <c r="L771" s="581"/>
      <c r="M771" s="581"/>
      <c r="N771" s="581"/>
      <c r="O771" s="581"/>
      <c r="P771" s="581"/>
      <c r="Q771" s="581"/>
      <c r="R771" s="581"/>
      <c r="S771" s="581"/>
      <c r="T771" s="581"/>
      <c r="U771" s="581"/>
      <c r="V771" s="581"/>
      <c r="W771" s="581"/>
      <c r="X771" s="581"/>
      <c r="Y771" s="581"/>
    </row>
    <row r="772">
      <c r="A772" s="581"/>
      <c r="B772" s="581"/>
      <c r="C772" s="581"/>
      <c r="D772" s="581"/>
      <c r="E772" s="581"/>
      <c r="F772" s="581"/>
      <c r="G772" s="581"/>
      <c r="H772" s="581"/>
      <c r="I772" s="581"/>
      <c r="J772" s="581"/>
      <c r="K772" s="581"/>
      <c r="L772" s="581"/>
      <c r="M772" s="581"/>
      <c r="N772" s="581"/>
      <c r="O772" s="581"/>
      <c r="P772" s="581"/>
      <c r="Q772" s="581"/>
      <c r="R772" s="581"/>
      <c r="S772" s="581"/>
      <c r="T772" s="581"/>
      <c r="U772" s="581"/>
      <c r="V772" s="581"/>
      <c r="W772" s="581"/>
      <c r="X772" s="581"/>
      <c r="Y772" s="581"/>
    </row>
    <row r="773">
      <c r="A773" s="581"/>
      <c r="B773" s="581"/>
      <c r="C773" s="581"/>
      <c r="D773" s="581"/>
      <c r="E773" s="581"/>
      <c r="F773" s="581"/>
      <c r="G773" s="581"/>
      <c r="H773" s="581"/>
      <c r="I773" s="581"/>
      <c r="J773" s="581"/>
      <c r="K773" s="581"/>
      <c r="L773" s="581"/>
      <c r="M773" s="581"/>
      <c r="N773" s="581"/>
      <c r="O773" s="581"/>
      <c r="P773" s="581"/>
      <c r="Q773" s="581"/>
      <c r="R773" s="581"/>
      <c r="S773" s="581"/>
      <c r="T773" s="581"/>
      <c r="U773" s="581"/>
      <c r="V773" s="581"/>
      <c r="W773" s="581"/>
      <c r="X773" s="581"/>
      <c r="Y773" s="581"/>
    </row>
    <row r="774">
      <c r="A774" s="581"/>
      <c r="B774" s="581"/>
      <c r="C774" s="581"/>
      <c r="D774" s="581"/>
      <c r="E774" s="581"/>
      <c r="F774" s="581"/>
      <c r="G774" s="581"/>
      <c r="H774" s="581"/>
      <c r="I774" s="581"/>
      <c r="J774" s="581"/>
      <c r="K774" s="581"/>
      <c r="L774" s="581"/>
      <c r="M774" s="581"/>
      <c r="N774" s="581"/>
      <c r="O774" s="581"/>
      <c r="P774" s="581"/>
      <c r="Q774" s="581"/>
      <c r="R774" s="581"/>
      <c r="S774" s="581"/>
      <c r="T774" s="581"/>
      <c r="U774" s="581"/>
      <c r="V774" s="581"/>
      <c r="W774" s="581"/>
      <c r="X774" s="581"/>
      <c r="Y774" s="581"/>
    </row>
    <row r="775">
      <c r="A775" s="581"/>
      <c r="B775" s="581"/>
      <c r="C775" s="581"/>
      <c r="D775" s="581"/>
      <c r="E775" s="581"/>
      <c r="F775" s="581"/>
      <c r="G775" s="581"/>
      <c r="H775" s="581"/>
      <c r="I775" s="581"/>
      <c r="J775" s="581"/>
      <c r="K775" s="581"/>
      <c r="L775" s="581"/>
      <c r="M775" s="581"/>
      <c r="N775" s="581"/>
      <c r="O775" s="581"/>
      <c r="P775" s="581"/>
      <c r="Q775" s="581"/>
      <c r="R775" s="581"/>
      <c r="S775" s="581"/>
      <c r="T775" s="581"/>
      <c r="U775" s="581"/>
      <c r="V775" s="581"/>
      <c r="W775" s="581"/>
      <c r="X775" s="581"/>
      <c r="Y775" s="581"/>
    </row>
    <row r="776">
      <c r="A776" s="581"/>
      <c r="B776" s="581"/>
      <c r="C776" s="581"/>
      <c r="D776" s="581"/>
      <c r="E776" s="581"/>
      <c r="F776" s="581"/>
      <c r="G776" s="581"/>
      <c r="H776" s="581"/>
      <c r="I776" s="581"/>
      <c r="J776" s="581"/>
      <c r="K776" s="581"/>
      <c r="L776" s="581"/>
      <c r="M776" s="581"/>
      <c r="N776" s="581"/>
      <c r="O776" s="581"/>
      <c r="P776" s="581"/>
      <c r="Q776" s="581"/>
      <c r="R776" s="581"/>
      <c r="S776" s="581"/>
      <c r="T776" s="581"/>
      <c r="U776" s="581"/>
      <c r="V776" s="581"/>
      <c r="W776" s="581"/>
      <c r="X776" s="581"/>
      <c r="Y776" s="581"/>
    </row>
    <row r="777">
      <c r="A777" s="581"/>
      <c r="B777" s="581"/>
      <c r="C777" s="581"/>
      <c r="D777" s="581"/>
      <c r="E777" s="581"/>
      <c r="F777" s="581"/>
      <c r="G777" s="581"/>
      <c r="H777" s="581"/>
      <c r="I777" s="581"/>
      <c r="J777" s="581"/>
      <c r="K777" s="581"/>
      <c r="L777" s="581"/>
      <c r="M777" s="581"/>
      <c r="N777" s="581"/>
      <c r="O777" s="581"/>
      <c r="P777" s="581"/>
      <c r="Q777" s="581"/>
      <c r="R777" s="581"/>
      <c r="S777" s="581"/>
      <c r="T777" s="581"/>
      <c r="U777" s="581"/>
      <c r="V777" s="581"/>
      <c r="W777" s="581"/>
      <c r="X777" s="581"/>
      <c r="Y777" s="581"/>
    </row>
    <row r="778">
      <c r="A778" s="581"/>
      <c r="B778" s="581"/>
      <c r="C778" s="581"/>
      <c r="D778" s="581"/>
      <c r="E778" s="581"/>
      <c r="F778" s="581"/>
      <c r="G778" s="581"/>
      <c r="H778" s="581"/>
      <c r="I778" s="581"/>
      <c r="J778" s="581"/>
      <c r="K778" s="581"/>
      <c r="L778" s="581"/>
      <c r="M778" s="581"/>
      <c r="N778" s="581"/>
      <c r="O778" s="581"/>
      <c r="P778" s="581"/>
      <c r="Q778" s="581"/>
      <c r="R778" s="581"/>
      <c r="S778" s="581"/>
      <c r="T778" s="581"/>
      <c r="U778" s="581"/>
      <c r="V778" s="581"/>
      <c r="W778" s="581"/>
      <c r="X778" s="581"/>
      <c r="Y778" s="581"/>
    </row>
    <row r="779">
      <c r="A779" s="581"/>
      <c r="B779" s="581"/>
      <c r="C779" s="581"/>
      <c r="D779" s="581"/>
      <c r="E779" s="581"/>
      <c r="F779" s="581"/>
      <c r="G779" s="581"/>
      <c r="H779" s="581"/>
      <c r="I779" s="581"/>
      <c r="J779" s="581"/>
      <c r="K779" s="581"/>
      <c r="L779" s="581"/>
      <c r="M779" s="581"/>
      <c r="N779" s="581"/>
      <c r="O779" s="581"/>
      <c r="P779" s="581"/>
      <c r="Q779" s="581"/>
      <c r="R779" s="581"/>
      <c r="S779" s="581"/>
      <c r="T779" s="581"/>
      <c r="U779" s="581"/>
      <c r="V779" s="581"/>
      <c r="W779" s="581"/>
      <c r="X779" s="581"/>
      <c r="Y779" s="581"/>
    </row>
    <row r="780">
      <c r="A780" s="581"/>
      <c r="B780" s="581"/>
      <c r="C780" s="581"/>
      <c r="D780" s="581"/>
      <c r="E780" s="581"/>
      <c r="F780" s="581"/>
      <c r="G780" s="581"/>
      <c r="H780" s="581"/>
      <c r="I780" s="581"/>
      <c r="J780" s="581"/>
      <c r="K780" s="581"/>
      <c r="L780" s="581"/>
      <c r="M780" s="581"/>
      <c r="N780" s="581"/>
      <c r="O780" s="581"/>
      <c r="P780" s="581"/>
      <c r="Q780" s="581"/>
      <c r="R780" s="581"/>
      <c r="S780" s="581"/>
      <c r="T780" s="581"/>
      <c r="U780" s="581"/>
      <c r="V780" s="581"/>
      <c r="W780" s="581"/>
      <c r="X780" s="581"/>
      <c r="Y780" s="581"/>
    </row>
    <row r="781">
      <c r="A781" s="581"/>
      <c r="B781" s="581"/>
      <c r="C781" s="581"/>
      <c r="D781" s="581"/>
      <c r="E781" s="581"/>
      <c r="F781" s="581"/>
      <c r="G781" s="581"/>
      <c r="H781" s="581"/>
      <c r="I781" s="581"/>
      <c r="J781" s="581"/>
      <c r="K781" s="581"/>
      <c r="L781" s="581"/>
      <c r="M781" s="581"/>
      <c r="N781" s="581"/>
      <c r="O781" s="581"/>
      <c r="P781" s="581"/>
      <c r="Q781" s="581"/>
      <c r="R781" s="581"/>
      <c r="S781" s="581"/>
      <c r="T781" s="581"/>
      <c r="U781" s="581"/>
      <c r="V781" s="581"/>
      <c r="W781" s="581"/>
      <c r="X781" s="581"/>
      <c r="Y781" s="581"/>
    </row>
    <row r="782">
      <c r="A782" s="581"/>
      <c r="B782" s="581"/>
      <c r="C782" s="581"/>
      <c r="D782" s="581"/>
      <c r="E782" s="581"/>
      <c r="F782" s="581"/>
      <c r="G782" s="581"/>
      <c r="H782" s="581"/>
      <c r="I782" s="581"/>
      <c r="J782" s="581"/>
      <c r="K782" s="581"/>
      <c r="L782" s="581"/>
      <c r="M782" s="581"/>
      <c r="N782" s="581"/>
      <c r="O782" s="581"/>
      <c r="P782" s="581"/>
      <c r="Q782" s="581"/>
      <c r="R782" s="581"/>
      <c r="S782" s="581"/>
      <c r="T782" s="581"/>
      <c r="U782" s="581"/>
      <c r="V782" s="581"/>
      <c r="W782" s="581"/>
      <c r="X782" s="581"/>
      <c r="Y782" s="581"/>
    </row>
    <row r="783">
      <c r="A783" s="581"/>
      <c r="B783" s="581"/>
      <c r="C783" s="581"/>
      <c r="D783" s="581"/>
      <c r="E783" s="581"/>
      <c r="F783" s="581"/>
      <c r="G783" s="581"/>
      <c r="H783" s="581"/>
      <c r="I783" s="581"/>
      <c r="J783" s="581"/>
      <c r="K783" s="581"/>
      <c r="L783" s="581"/>
      <c r="M783" s="581"/>
      <c r="N783" s="581"/>
      <c r="O783" s="581"/>
      <c r="P783" s="581"/>
      <c r="Q783" s="581"/>
      <c r="R783" s="581"/>
      <c r="S783" s="581"/>
      <c r="T783" s="581"/>
      <c r="U783" s="581"/>
      <c r="V783" s="581"/>
      <c r="W783" s="581"/>
      <c r="X783" s="581"/>
      <c r="Y783" s="581"/>
    </row>
    <row r="784">
      <c r="A784" s="581"/>
      <c r="B784" s="581"/>
      <c r="C784" s="581"/>
      <c r="D784" s="581"/>
      <c r="E784" s="581"/>
      <c r="F784" s="581"/>
      <c r="G784" s="581"/>
      <c r="H784" s="581"/>
      <c r="I784" s="581"/>
      <c r="J784" s="581"/>
      <c r="K784" s="581"/>
      <c r="L784" s="581"/>
      <c r="M784" s="581"/>
      <c r="N784" s="581"/>
      <c r="O784" s="581"/>
      <c r="P784" s="581"/>
      <c r="Q784" s="581"/>
      <c r="R784" s="581"/>
      <c r="S784" s="581"/>
      <c r="T784" s="581"/>
      <c r="U784" s="581"/>
      <c r="V784" s="581"/>
      <c r="W784" s="581"/>
      <c r="X784" s="581"/>
      <c r="Y784" s="581"/>
    </row>
    <row r="785">
      <c r="A785" s="581"/>
      <c r="B785" s="581"/>
      <c r="C785" s="581"/>
      <c r="D785" s="581"/>
      <c r="E785" s="581"/>
      <c r="F785" s="581"/>
      <c r="G785" s="581"/>
      <c r="H785" s="581"/>
      <c r="I785" s="581"/>
      <c r="J785" s="581"/>
      <c r="K785" s="581"/>
      <c r="L785" s="581"/>
      <c r="M785" s="581"/>
      <c r="N785" s="581"/>
      <c r="O785" s="581"/>
      <c r="P785" s="581"/>
      <c r="Q785" s="581"/>
      <c r="R785" s="581"/>
      <c r="S785" s="581"/>
      <c r="T785" s="581"/>
      <c r="U785" s="581"/>
      <c r="V785" s="581"/>
      <c r="W785" s="581"/>
      <c r="X785" s="581"/>
      <c r="Y785" s="581"/>
    </row>
    <row r="786">
      <c r="A786" s="581"/>
      <c r="B786" s="581"/>
      <c r="C786" s="581"/>
      <c r="D786" s="581"/>
      <c r="E786" s="581"/>
      <c r="F786" s="581"/>
      <c r="G786" s="581"/>
      <c r="H786" s="581"/>
      <c r="I786" s="581"/>
      <c r="J786" s="581"/>
      <c r="K786" s="581"/>
      <c r="L786" s="581"/>
      <c r="M786" s="581"/>
      <c r="N786" s="581"/>
      <c r="O786" s="581"/>
      <c r="P786" s="581"/>
      <c r="Q786" s="581"/>
      <c r="R786" s="581"/>
      <c r="S786" s="581"/>
      <c r="T786" s="581"/>
      <c r="U786" s="581"/>
      <c r="V786" s="581"/>
      <c r="W786" s="581"/>
      <c r="X786" s="581"/>
      <c r="Y786" s="581"/>
    </row>
    <row r="787">
      <c r="A787" s="581"/>
      <c r="B787" s="581"/>
      <c r="C787" s="581"/>
      <c r="D787" s="581"/>
      <c r="E787" s="581"/>
      <c r="F787" s="581"/>
      <c r="G787" s="581"/>
      <c r="H787" s="581"/>
      <c r="I787" s="581"/>
      <c r="J787" s="581"/>
      <c r="K787" s="581"/>
      <c r="L787" s="581"/>
      <c r="M787" s="581"/>
      <c r="N787" s="581"/>
      <c r="O787" s="581"/>
      <c r="P787" s="581"/>
      <c r="Q787" s="581"/>
      <c r="R787" s="581"/>
      <c r="S787" s="581"/>
      <c r="T787" s="581"/>
      <c r="U787" s="581"/>
      <c r="V787" s="581"/>
      <c r="W787" s="581"/>
      <c r="X787" s="581"/>
      <c r="Y787" s="581"/>
    </row>
    <row r="788">
      <c r="A788" s="581"/>
      <c r="B788" s="581"/>
      <c r="C788" s="581"/>
      <c r="D788" s="581"/>
      <c r="E788" s="581"/>
      <c r="F788" s="581"/>
      <c r="G788" s="581"/>
      <c r="H788" s="581"/>
      <c r="I788" s="581"/>
      <c r="J788" s="581"/>
      <c r="K788" s="581"/>
      <c r="L788" s="581"/>
      <c r="M788" s="581"/>
      <c r="N788" s="581"/>
      <c r="O788" s="581"/>
      <c r="P788" s="581"/>
      <c r="Q788" s="581"/>
      <c r="R788" s="581"/>
      <c r="S788" s="581"/>
      <c r="T788" s="581"/>
      <c r="U788" s="581"/>
      <c r="V788" s="581"/>
      <c r="W788" s="581"/>
      <c r="X788" s="581"/>
      <c r="Y788" s="581"/>
    </row>
    <row r="789">
      <c r="A789" s="581"/>
      <c r="B789" s="581"/>
      <c r="C789" s="581"/>
      <c r="D789" s="581"/>
      <c r="E789" s="581"/>
      <c r="F789" s="581"/>
      <c r="G789" s="581"/>
      <c r="H789" s="581"/>
      <c r="I789" s="581"/>
      <c r="J789" s="581"/>
      <c r="K789" s="581"/>
      <c r="L789" s="581"/>
      <c r="M789" s="581"/>
      <c r="N789" s="581"/>
      <c r="O789" s="581"/>
      <c r="P789" s="581"/>
      <c r="Q789" s="581"/>
      <c r="R789" s="581"/>
      <c r="S789" s="581"/>
      <c r="T789" s="581"/>
      <c r="U789" s="581"/>
      <c r="V789" s="581"/>
      <c r="W789" s="581"/>
      <c r="X789" s="581"/>
      <c r="Y789" s="581"/>
    </row>
    <row r="790">
      <c r="A790" s="581"/>
      <c r="B790" s="581"/>
      <c r="C790" s="581"/>
      <c r="D790" s="581"/>
      <c r="E790" s="581"/>
      <c r="F790" s="581"/>
      <c r="G790" s="581"/>
      <c r="H790" s="581"/>
      <c r="I790" s="581"/>
      <c r="J790" s="581"/>
      <c r="K790" s="581"/>
      <c r="L790" s="581"/>
      <c r="M790" s="581"/>
      <c r="N790" s="581"/>
      <c r="O790" s="581"/>
      <c r="P790" s="581"/>
      <c r="Q790" s="581"/>
      <c r="R790" s="581"/>
      <c r="S790" s="581"/>
      <c r="T790" s="581"/>
      <c r="U790" s="581"/>
      <c r="V790" s="581"/>
      <c r="W790" s="581"/>
      <c r="X790" s="581"/>
      <c r="Y790" s="581"/>
    </row>
    <row r="791">
      <c r="A791" s="581"/>
      <c r="B791" s="581"/>
      <c r="C791" s="581"/>
      <c r="D791" s="581"/>
      <c r="E791" s="581"/>
      <c r="F791" s="581"/>
      <c r="G791" s="581"/>
      <c r="H791" s="581"/>
      <c r="I791" s="581"/>
      <c r="J791" s="581"/>
      <c r="K791" s="581"/>
      <c r="L791" s="581"/>
      <c r="M791" s="581"/>
      <c r="N791" s="581"/>
      <c r="O791" s="581"/>
      <c r="P791" s="581"/>
      <c r="Q791" s="581"/>
      <c r="R791" s="581"/>
      <c r="S791" s="581"/>
      <c r="T791" s="581"/>
      <c r="U791" s="581"/>
      <c r="V791" s="581"/>
      <c r="W791" s="581"/>
      <c r="X791" s="581"/>
      <c r="Y791" s="581"/>
    </row>
    <row r="792">
      <c r="A792" s="581"/>
      <c r="B792" s="581"/>
      <c r="C792" s="581"/>
      <c r="D792" s="581"/>
      <c r="E792" s="581"/>
      <c r="F792" s="581"/>
      <c r="G792" s="581"/>
      <c r="H792" s="581"/>
      <c r="I792" s="581"/>
      <c r="J792" s="581"/>
      <c r="K792" s="581"/>
      <c r="L792" s="581"/>
      <c r="M792" s="581"/>
      <c r="N792" s="581"/>
      <c r="O792" s="581"/>
      <c r="P792" s="581"/>
      <c r="Q792" s="581"/>
      <c r="R792" s="581"/>
      <c r="S792" s="581"/>
      <c r="T792" s="581"/>
      <c r="U792" s="581"/>
      <c r="V792" s="581"/>
      <c r="W792" s="581"/>
      <c r="X792" s="581"/>
      <c r="Y792" s="581"/>
    </row>
    <row r="793">
      <c r="A793" s="581"/>
      <c r="B793" s="581"/>
      <c r="C793" s="581"/>
      <c r="D793" s="581"/>
      <c r="E793" s="581"/>
      <c r="F793" s="581"/>
      <c r="G793" s="581"/>
      <c r="H793" s="581"/>
      <c r="I793" s="581"/>
      <c r="J793" s="581"/>
      <c r="K793" s="581"/>
      <c r="L793" s="581"/>
      <c r="M793" s="581"/>
      <c r="N793" s="581"/>
      <c r="O793" s="581"/>
      <c r="P793" s="581"/>
      <c r="Q793" s="581"/>
      <c r="R793" s="581"/>
      <c r="S793" s="581"/>
      <c r="T793" s="581"/>
      <c r="U793" s="581"/>
      <c r="V793" s="581"/>
      <c r="W793" s="581"/>
      <c r="X793" s="581"/>
      <c r="Y793" s="581"/>
    </row>
    <row r="794">
      <c r="A794" s="581"/>
      <c r="B794" s="581"/>
      <c r="C794" s="581"/>
      <c r="D794" s="581"/>
      <c r="E794" s="581"/>
      <c r="F794" s="581"/>
      <c r="G794" s="581"/>
      <c r="H794" s="581"/>
      <c r="I794" s="581"/>
      <c r="J794" s="581"/>
      <c r="K794" s="581"/>
      <c r="L794" s="581"/>
      <c r="M794" s="581"/>
      <c r="N794" s="581"/>
      <c r="O794" s="581"/>
      <c r="P794" s="581"/>
      <c r="Q794" s="581"/>
      <c r="R794" s="581"/>
      <c r="S794" s="581"/>
      <c r="T794" s="581"/>
      <c r="U794" s="581"/>
      <c r="V794" s="581"/>
      <c r="W794" s="581"/>
      <c r="X794" s="581"/>
      <c r="Y794" s="581"/>
    </row>
    <row r="795">
      <c r="A795" s="581"/>
      <c r="B795" s="581"/>
      <c r="C795" s="581"/>
      <c r="D795" s="581"/>
      <c r="E795" s="581"/>
      <c r="F795" s="581"/>
      <c r="G795" s="581"/>
      <c r="H795" s="581"/>
      <c r="I795" s="581"/>
      <c r="J795" s="581"/>
      <c r="K795" s="581"/>
      <c r="L795" s="581"/>
      <c r="M795" s="581"/>
      <c r="N795" s="581"/>
      <c r="O795" s="581"/>
      <c r="P795" s="581"/>
      <c r="Q795" s="581"/>
      <c r="R795" s="581"/>
      <c r="S795" s="581"/>
      <c r="T795" s="581"/>
      <c r="U795" s="581"/>
      <c r="V795" s="581"/>
      <c r="W795" s="581"/>
      <c r="X795" s="581"/>
      <c r="Y795" s="581"/>
    </row>
    <row r="796">
      <c r="A796" s="581"/>
      <c r="B796" s="581"/>
      <c r="C796" s="581"/>
      <c r="D796" s="581"/>
      <c r="E796" s="581"/>
      <c r="F796" s="581"/>
      <c r="G796" s="581"/>
      <c r="H796" s="581"/>
      <c r="I796" s="581"/>
      <c r="J796" s="581"/>
      <c r="K796" s="581"/>
      <c r="L796" s="581"/>
      <c r="M796" s="581"/>
      <c r="N796" s="581"/>
      <c r="O796" s="581"/>
      <c r="P796" s="581"/>
      <c r="Q796" s="581"/>
      <c r="R796" s="581"/>
      <c r="S796" s="581"/>
      <c r="T796" s="581"/>
      <c r="U796" s="581"/>
      <c r="V796" s="581"/>
      <c r="W796" s="581"/>
      <c r="X796" s="581"/>
      <c r="Y796" s="581"/>
    </row>
    <row r="797">
      <c r="A797" s="581"/>
      <c r="B797" s="581"/>
      <c r="C797" s="581"/>
      <c r="D797" s="581"/>
      <c r="E797" s="581"/>
      <c r="F797" s="581"/>
      <c r="G797" s="581"/>
      <c r="H797" s="581"/>
      <c r="I797" s="581"/>
      <c r="J797" s="581"/>
      <c r="K797" s="581"/>
      <c r="L797" s="581"/>
      <c r="M797" s="581"/>
      <c r="N797" s="581"/>
      <c r="O797" s="581"/>
      <c r="P797" s="581"/>
      <c r="Q797" s="581"/>
      <c r="R797" s="581"/>
      <c r="S797" s="581"/>
      <c r="T797" s="581"/>
      <c r="U797" s="581"/>
      <c r="V797" s="581"/>
      <c r="W797" s="581"/>
      <c r="X797" s="581"/>
      <c r="Y797" s="581"/>
    </row>
    <row r="798">
      <c r="A798" s="581"/>
      <c r="B798" s="581"/>
      <c r="C798" s="581"/>
      <c r="D798" s="581"/>
      <c r="E798" s="581"/>
      <c r="F798" s="581"/>
      <c r="G798" s="581"/>
      <c r="H798" s="581"/>
      <c r="I798" s="581"/>
      <c r="J798" s="581"/>
      <c r="K798" s="581"/>
      <c r="L798" s="581"/>
      <c r="M798" s="581"/>
      <c r="N798" s="581"/>
      <c r="O798" s="581"/>
      <c r="P798" s="581"/>
      <c r="Q798" s="581"/>
      <c r="R798" s="581"/>
      <c r="S798" s="581"/>
      <c r="T798" s="581"/>
      <c r="U798" s="581"/>
      <c r="V798" s="581"/>
      <c r="W798" s="581"/>
      <c r="X798" s="581"/>
      <c r="Y798" s="581"/>
    </row>
    <row r="799">
      <c r="A799" s="581"/>
      <c r="B799" s="581"/>
      <c r="C799" s="581"/>
      <c r="D799" s="581"/>
      <c r="E799" s="581"/>
      <c r="F799" s="581"/>
      <c r="G799" s="581"/>
      <c r="H799" s="581"/>
      <c r="I799" s="581"/>
      <c r="J799" s="581"/>
      <c r="K799" s="581"/>
      <c r="L799" s="581"/>
      <c r="M799" s="581"/>
      <c r="N799" s="581"/>
      <c r="O799" s="581"/>
      <c r="P799" s="581"/>
      <c r="Q799" s="581"/>
      <c r="R799" s="581"/>
      <c r="S799" s="581"/>
      <c r="T799" s="581"/>
      <c r="U799" s="581"/>
      <c r="V799" s="581"/>
      <c r="W799" s="581"/>
      <c r="X799" s="581"/>
      <c r="Y799" s="581"/>
    </row>
    <row r="800">
      <c r="A800" s="581"/>
      <c r="B800" s="581"/>
      <c r="C800" s="581"/>
      <c r="D800" s="581"/>
      <c r="E800" s="581"/>
      <c r="F800" s="581"/>
      <c r="G800" s="581"/>
      <c r="H800" s="581"/>
      <c r="I800" s="581"/>
      <c r="J800" s="581"/>
      <c r="K800" s="581"/>
      <c r="L800" s="581"/>
      <c r="M800" s="581"/>
      <c r="N800" s="581"/>
      <c r="O800" s="581"/>
      <c r="P800" s="581"/>
      <c r="Q800" s="581"/>
      <c r="R800" s="581"/>
      <c r="S800" s="581"/>
      <c r="T800" s="581"/>
      <c r="U800" s="581"/>
      <c r="V800" s="581"/>
      <c r="W800" s="581"/>
      <c r="X800" s="581"/>
      <c r="Y800" s="581"/>
    </row>
    <row r="801">
      <c r="A801" s="581"/>
      <c r="B801" s="581"/>
      <c r="C801" s="581"/>
      <c r="D801" s="581"/>
      <c r="E801" s="581"/>
      <c r="F801" s="581"/>
      <c r="G801" s="581"/>
      <c r="H801" s="581"/>
      <c r="I801" s="581"/>
      <c r="J801" s="581"/>
      <c r="K801" s="581"/>
      <c r="L801" s="581"/>
      <c r="M801" s="581"/>
      <c r="N801" s="581"/>
      <c r="O801" s="581"/>
      <c r="P801" s="581"/>
      <c r="Q801" s="581"/>
      <c r="R801" s="581"/>
      <c r="S801" s="581"/>
      <c r="T801" s="581"/>
      <c r="U801" s="581"/>
      <c r="V801" s="581"/>
      <c r="W801" s="581"/>
      <c r="X801" s="581"/>
      <c r="Y801" s="581"/>
    </row>
    <row r="802">
      <c r="A802" s="581"/>
      <c r="B802" s="581"/>
      <c r="C802" s="581"/>
      <c r="D802" s="581"/>
      <c r="E802" s="581"/>
      <c r="F802" s="581"/>
      <c r="G802" s="581"/>
      <c r="H802" s="581"/>
      <c r="I802" s="581"/>
      <c r="J802" s="581"/>
      <c r="K802" s="581"/>
      <c r="L802" s="581"/>
      <c r="M802" s="581"/>
      <c r="N802" s="581"/>
      <c r="O802" s="581"/>
      <c r="P802" s="581"/>
      <c r="Q802" s="581"/>
      <c r="R802" s="581"/>
      <c r="S802" s="581"/>
      <c r="T802" s="581"/>
      <c r="U802" s="581"/>
      <c r="V802" s="581"/>
      <c r="W802" s="581"/>
      <c r="X802" s="581"/>
      <c r="Y802" s="581"/>
    </row>
    <row r="803">
      <c r="A803" s="581"/>
      <c r="B803" s="581"/>
      <c r="C803" s="581"/>
      <c r="D803" s="581"/>
      <c r="E803" s="581"/>
      <c r="F803" s="581"/>
      <c r="G803" s="581"/>
      <c r="H803" s="581"/>
      <c r="I803" s="581"/>
      <c r="J803" s="581"/>
      <c r="K803" s="581"/>
      <c r="L803" s="581"/>
      <c r="M803" s="581"/>
      <c r="N803" s="581"/>
      <c r="O803" s="581"/>
      <c r="P803" s="581"/>
      <c r="Q803" s="581"/>
      <c r="R803" s="581"/>
      <c r="S803" s="581"/>
      <c r="T803" s="581"/>
      <c r="U803" s="581"/>
      <c r="V803" s="581"/>
      <c r="W803" s="581"/>
      <c r="X803" s="581"/>
      <c r="Y803" s="581"/>
    </row>
    <row r="804">
      <c r="A804" s="581"/>
      <c r="B804" s="581"/>
      <c r="C804" s="581"/>
      <c r="D804" s="581"/>
      <c r="E804" s="581"/>
      <c r="F804" s="581"/>
      <c r="G804" s="581"/>
      <c r="H804" s="581"/>
      <c r="I804" s="581"/>
      <c r="J804" s="581"/>
      <c r="K804" s="581"/>
      <c r="L804" s="581"/>
      <c r="M804" s="581"/>
      <c r="N804" s="581"/>
      <c r="O804" s="581"/>
      <c r="P804" s="581"/>
      <c r="Q804" s="581"/>
      <c r="R804" s="581"/>
      <c r="S804" s="581"/>
      <c r="T804" s="581"/>
      <c r="U804" s="581"/>
      <c r="V804" s="581"/>
      <c r="W804" s="581"/>
      <c r="X804" s="581"/>
      <c r="Y804" s="581"/>
    </row>
    <row r="805">
      <c r="A805" s="581"/>
      <c r="B805" s="581"/>
      <c r="C805" s="581"/>
      <c r="D805" s="581"/>
      <c r="E805" s="581"/>
      <c r="F805" s="581"/>
      <c r="G805" s="581"/>
      <c r="H805" s="581"/>
      <c r="I805" s="581"/>
      <c r="J805" s="581"/>
      <c r="K805" s="581"/>
      <c r="L805" s="581"/>
      <c r="M805" s="581"/>
      <c r="N805" s="581"/>
      <c r="O805" s="581"/>
      <c r="P805" s="581"/>
      <c r="Q805" s="581"/>
      <c r="R805" s="581"/>
      <c r="S805" s="581"/>
      <c r="T805" s="581"/>
      <c r="U805" s="581"/>
      <c r="V805" s="581"/>
      <c r="W805" s="581"/>
      <c r="X805" s="581"/>
      <c r="Y805" s="581"/>
    </row>
    <row r="806">
      <c r="A806" s="581"/>
      <c r="B806" s="581"/>
      <c r="C806" s="581"/>
      <c r="D806" s="581"/>
      <c r="E806" s="581"/>
      <c r="F806" s="581"/>
      <c r="G806" s="581"/>
      <c r="H806" s="581"/>
      <c r="I806" s="581"/>
      <c r="J806" s="581"/>
      <c r="K806" s="581"/>
      <c r="L806" s="581"/>
      <c r="M806" s="581"/>
      <c r="N806" s="581"/>
      <c r="O806" s="581"/>
      <c r="P806" s="581"/>
      <c r="Q806" s="581"/>
      <c r="R806" s="581"/>
      <c r="S806" s="581"/>
      <c r="T806" s="581"/>
      <c r="U806" s="581"/>
      <c r="V806" s="581"/>
      <c r="W806" s="581"/>
      <c r="X806" s="581"/>
      <c r="Y806" s="581"/>
    </row>
    <row r="807">
      <c r="A807" s="581"/>
      <c r="B807" s="581"/>
      <c r="C807" s="581"/>
      <c r="D807" s="581"/>
      <c r="E807" s="581"/>
      <c r="F807" s="581"/>
      <c r="G807" s="581"/>
      <c r="H807" s="581"/>
      <c r="I807" s="581"/>
      <c r="J807" s="581"/>
      <c r="K807" s="581"/>
      <c r="L807" s="581"/>
      <c r="M807" s="581"/>
      <c r="N807" s="581"/>
      <c r="O807" s="581"/>
      <c r="P807" s="581"/>
      <c r="Q807" s="581"/>
      <c r="R807" s="581"/>
      <c r="S807" s="581"/>
      <c r="T807" s="581"/>
      <c r="U807" s="581"/>
      <c r="V807" s="581"/>
      <c r="W807" s="581"/>
      <c r="X807" s="581"/>
      <c r="Y807" s="581"/>
    </row>
    <row r="808">
      <c r="A808" s="581"/>
      <c r="B808" s="581"/>
      <c r="C808" s="581"/>
      <c r="D808" s="581"/>
      <c r="E808" s="581"/>
      <c r="F808" s="581"/>
      <c r="G808" s="581"/>
      <c r="H808" s="581"/>
      <c r="I808" s="581"/>
      <c r="J808" s="581"/>
      <c r="K808" s="581"/>
      <c r="L808" s="581"/>
      <c r="M808" s="581"/>
      <c r="N808" s="581"/>
      <c r="O808" s="581"/>
      <c r="P808" s="581"/>
      <c r="Q808" s="581"/>
      <c r="R808" s="581"/>
      <c r="S808" s="581"/>
      <c r="T808" s="581"/>
      <c r="U808" s="581"/>
      <c r="V808" s="581"/>
      <c r="W808" s="581"/>
      <c r="X808" s="581"/>
      <c r="Y808" s="581"/>
    </row>
    <row r="809">
      <c r="A809" s="581"/>
      <c r="B809" s="581"/>
      <c r="C809" s="581"/>
      <c r="D809" s="581"/>
      <c r="E809" s="581"/>
      <c r="F809" s="581"/>
      <c r="G809" s="581"/>
      <c r="H809" s="581"/>
      <c r="I809" s="581"/>
      <c r="J809" s="581"/>
      <c r="K809" s="581"/>
      <c r="L809" s="581"/>
      <c r="M809" s="581"/>
      <c r="N809" s="581"/>
      <c r="O809" s="581"/>
      <c r="P809" s="581"/>
      <c r="Q809" s="581"/>
      <c r="R809" s="581"/>
      <c r="S809" s="581"/>
      <c r="T809" s="581"/>
      <c r="U809" s="581"/>
      <c r="V809" s="581"/>
      <c r="W809" s="581"/>
      <c r="X809" s="581"/>
      <c r="Y809" s="581"/>
    </row>
    <row r="810">
      <c r="A810" s="581"/>
      <c r="B810" s="581"/>
      <c r="C810" s="581"/>
      <c r="D810" s="581"/>
      <c r="E810" s="581"/>
      <c r="F810" s="581"/>
      <c r="G810" s="581"/>
      <c r="H810" s="581"/>
      <c r="I810" s="581"/>
      <c r="J810" s="581"/>
      <c r="K810" s="581"/>
      <c r="L810" s="581"/>
      <c r="M810" s="581"/>
      <c r="N810" s="581"/>
      <c r="O810" s="581"/>
      <c r="P810" s="581"/>
      <c r="Q810" s="581"/>
      <c r="R810" s="581"/>
      <c r="S810" s="581"/>
      <c r="T810" s="581"/>
      <c r="U810" s="581"/>
      <c r="V810" s="581"/>
      <c r="W810" s="581"/>
      <c r="X810" s="581"/>
      <c r="Y810" s="581"/>
    </row>
    <row r="811">
      <c r="A811" s="581"/>
      <c r="B811" s="581"/>
      <c r="C811" s="581"/>
      <c r="D811" s="581"/>
      <c r="E811" s="581"/>
      <c r="F811" s="581"/>
      <c r="G811" s="581"/>
      <c r="H811" s="581"/>
      <c r="I811" s="581"/>
      <c r="J811" s="581"/>
      <c r="K811" s="581"/>
      <c r="L811" s="581"/>
      <c r="M811" s="581"/>
      <c r="N811" s="581"/>
      <c r="O811" s="581"/>
      <c r="P811" s="581"/>
      <c r="Q811" s="581"/>
      <c r="R811" s="581"/>
      <c r="S811" s="581"/>
      <c r="T811" s="581"/>
      <c r="U811" s="581"/>
      <c r="V811" s="581"/>
      <c r="W811" s="581"/>
      <c r="X811" s="581"/>
      <c r="Y811" s="581"/>
    </row>
    <row r="812">
      <c r="A812" s="581"/>
      <c r="B812" s="581"/>
      <c r="C812" s="581"/>
      <c r="D812" s="581"/>
      <c r="E812" s="581"/>
      <c r="F812" s="581"/>
      <c r="G812" s="581"/>
      <c r="H812" s="581"/>
      <c r="I812" s="581"/>
      <c r="J812" s="581"/>
      <c r="K812" s="581"/>
      <c r="L812" s="581"/>
      <c r="M812" s="581"/>
      <c r="N812" s="581"/>
      <c r="O812" s="581"/>
      <c r="P812" s="581"/>
      <c r="Q812" s="581"/>
      <c r="R812" s="581"/>
      <c r="S812" s="581"/>
      <c r="T812" s="581"/>
      <c r="U812" s="581"/>
      <c r="V812" s="581"/>
      <c r="W812" s="581"/>
      <c r="X812" s="581"/>
      <c r="Y812" s="581"/>
    </row>
    <row r="813">
      <c r="A813" s="581"/>
      <c r="B813" s="581"/>
      <c r="C813" s="581"/>
      <c r="D813" s="581"/>
      <c r="E813" s="581"/>
      <c r="F813" s="581"/>
      <c r="G813" s="581"/>
      <c r="H813" s="581"/>
      <c r="I813" s="581"/>
      <c r="J813" s="581"/>
      <c r="K813" s="581"/>
      <c r="L813" s="581"/>
      <c r="M813" s="581"/>
      <c r="N813" s="581"/>
      <c r="O813" s="581"/>
      <c r="P813" s="581"/>
      <c r="Q813" s="581"/>
      <c r="R813" s="581"/>
      <c r="S813" s="581"/>
      <c r="T813" s="581"/>
      <c r="U813" s="581"/>
      <c r="V813" s="581"/>
      <c r="W813" s="581"/>
      <c r="X813" s="581"/>
      <c r="Y813" s="581"/>
    </row>
    <row r="814">
      <c r="A814" s="581"/>
      <c r="B814" s="581"/>
      <c r="C814" s="581"/>
      <c r="D814" s="581"/>
      <c r="E814" s="581"/>
      <c r="F814" s="581"/>
      <c r="G814" s="581"/>
      <c r="H814" s="581"/>
      <c r="I814" s="581"/>
      <c r="J814" s="581"/>
      <c r="K814" s="581"/>
      <c r="L814" s="581"/>
      <c r="M814" s="581"/>
      <c r="N814" s="581"/>
      <c r="O814" s="581"/>
      <c r="P814" s="581"/>
      <c r="Q814" s="581"/>
      <c r="R814" s="581"/>
      <c r="S814" s="581"/>
      <c r="T814" s="581"/>
      <c r="U814" s="581"/>
      <c r="V814" s="581"/>
      <c r="W814" s="581"/>
      <c r="X814" s="581"/>
      <c r="Y814" s="581"/>
    </row>
    <row r="815">
      <c r="A815" s="581"/>
      <c r="B815" s="581"/>
      <c r="C815" s="581"/>
      <c r="D815" s="581"/>
      <c r="E815" s="581"/>
      <c r="F815" s="581"/>
      <c r="G815" s="581"/>
      <c r="H815" s="581"/>
      <c r="I815" s="581"/>
      <c r="J815" s="581"/>
      <c r="K815" s="581"/>
      <c r="L815" s="581"/>
      <c r="M815" s="581"/>
      <c r="N815" s="581"/>
      <c r="O815" s="581"/>
      <c r="P815" s="581"/>
      <c r="Q815" s="581"/>
      <c r="R815" s="581"/>
      <c r="S815" s="581"/>
      <c r="T815" s="581"/>
      <c r="U815" s="581"/>
      <c r="V815" s="581"/>
      <c r="W815" s="581"/>
      <c r="X815" s="581"/>
      <c r="Y815" s="581"/>
    </row>
    <row r="816">
      <c r="A816" s="581"/>
      <c r="B816" s="581"/>
      <c r="C816" s="581"/>
      <c r="D816" s="581"/>
      <c r="E816" s="581"/>
      <c r="F816" s="581"/>
      <c r="G816" s="581"/>
      <c r="H816" s="581"/>
      <c r="I816" s="581"/>
      <c r="J816" s="581"/>
      <c r="K816" s="581"/>
      <c r="L816" s="581"/>
      <c r="M816" s="581"/>
      <c r="N816" s="581"/>
      <c r="O816" s="581"/>
      <c r="P816" s="581"/>
      <c r="Q816" s="581"/>
      <c r="R816" s="581"/>
      <c r="S816" s="581"/>
      <c r="T816" s="581"/>
      <c r="U816" s="581"/>
      <c r="V816" s="581"/>
      <c r="W816" s="581"/>
      <c r="X816" s="581"/>
      <c r="Y816" s="581"/>
    </row>
    <row r="817">
      <c r="A817" s="581"/>
      <c r="B817" s="581"/>
      <c r="C817" s="581"/>
      <c r="D817" s="581"/>
      <c r="E817" s="581"/>
      <c r="F817" s="581"/>
      <c r="G817" s="581"/>
      <c r="H817" s="581"/>
      <c r="I817" s="581"/>
      <c r="J817" s="581"/>
      <c r="K817" s="581"/>
      <c r="L817" s="581"/>
      <c r="M817" s="581"/>
      <c r="N817" s="581"/>
      <c r="O817" s="581"/>
      <c r="P817" s="581"/>
      <c r="Q817" s="581"/>
      <c r="R817" s="581"/>
      <c r="S817" s="581"/>
      <c r="T817" s="581"/>
      <c r="U817" s="581"/>
      <c r="V817" s="581"/>
      <c r="W817" s="581"/>
      <c r="X817" s="581"/>
      <c r="Y817" s="581"/>
    </row>
    <row r="818">
      <c r="A818" s="581"/>
      <c r="B818" s="581"/>
      <c r="C818" s="581"/>
      <c r="D818" s="581"/>
      <c r="E818" s="581"/>
      <c r="F818" s="581"/>
      <c r="G818" s="581"/>
      <c r="H818" s="581"/>
      <c r="I818" s="581"/>
      <c r="J818" s="581"/>
      <c r="K818" s="581"/>
      <c r="L818" s="581"/>
      <c r="M818" s="581"/>
      <c r="N818" s="581"/>
      <c r="O818" s="581"/>
      <c r="P818" s="581"/>
      <c r="Q818" s="581"/>
      <c r="R818" s="581"/>
      <c r="S818" s="581"/>
      <c r="T818" s="581"/>
      <c r="U818" s="581"/>
      <c r="V818" s="581"/>
      <c r="W818" s="581"/>
      <c r="X818" s="581"/>
      <c r="Y818" s="581"/>
    </row>
    <row r="819">
      <c r="A819" s="581"/>
      <c r="B819" s="581"/>
      <c r="C819" s="581"/>
      <c r="D819" s="581"/>
      <c r="E819" s="581"/>
      <c r="F819" s="581"/>
      <c r="G819" s="581"/>
      <c r="H819" s="581"/>
      <c r="I819" s="581"/>
      <c r="J819" s="581"/>
      <c r="K819" s="581"/>
      <c r="L819" s="581"/>
      <c r="M819" s="581"/>
      <c r="N819" s="581"/>
      <c r="O819" s="581"/>
      <c r="P819" s="581"/>
      <c r="Q819" s="581"/>
      <c r="R819" s="581"/>
      <c r="S819" s="581"/>
      <c r="T819" s="581"/>
      <c r="U819" s="581"/>
      <c r="V819" s="581"/>
      <c r="W819" s="581"/>
      <c r="X819" s="581"/>
      <c r="Y819" s="581"/>
    </row>
    <row r="820">
      <c r="A820" s="581"/>
      <c r="B820" s="581"/>
      <c r="C820" s="581"/>
      <c r="D820" s="581"/>
      <c r="E820" s="581"/>
      <c r="F820" s="581"/>
      <c r="G820" s="581"/>
      <c r="H820" s="581"/>
      <c r="I820" s="581"/>
      <c r="J820" s="581"/>
      <c r="K820" s="581"/>
      <c r="L820" s="581"/>
      <c r="M820" s="581"/>
      <c r="N820" s="581"/>
      <c r="O820" s="581"/>
      <c r="P820" s="581"/>
      <c r="Q820" s="581"/>
      <c r="R820" s="581"/>
      <c r="S820" s="581"/>
      <c r="T820" s="581"/>
      <c r="U820" s="581"/>
      <c r="V820" s="581"/>
      <c r="W820" s="581"/>
      <c r="X820" s="581"/>
      <c r="Y820" s="581"/>
    </row>
    <row r="821">
      <c r="A821" s="581"/>
      <c r="B821" s="581"/>
      <c r="C821" s="581"/>
      <c r="D821" s="581"/>
      <c r="E821" s="581"/>
      <c r="F821" s="581"/>
      <c r="G821" s="581"/>
      <c r="H821" s="581"/>
      <c r="I821" s="581"/>
      <c r="J821" s="581"/>
      <c r="K821" s="581"/>
      <c r="L821" s="581"/>
      <c r="M821" s="581"/>
      <c r="N821" s="581"/>
      <c r="O821" s="581"/>
      <c r="P821" s="581"/>
      <c r="Q821" s="581"/>
      <c r="R821" s="581"/>
      <c r="S821" s="581"/>
      <c r="T821" s="581"/>
      <c r="U821" s="581"/>
      <c r="V821" s="581"/>
      <c r="W821" s="581"/>
      <c r="X821" s="581"/>
      <c r="Y821" s="581"/>
    </row>
    <row r="822">
      <c r="A822" s="581"/>
      <c r="B822" s="581"/>
      <c r="C822" s="581"/>
      <c r="D822" s="581"/>
      <c r="E822" s="581"/>
      <c r="F822" s="581"/>
      <c r="G822" s="581"/>
      <c r="H822" s="581"/>
      <c r="I822" s="581"/>
      <c r="J822" s="581"/>
      <c r="K822" s="581"/>
      <c r="L822" s="581"/>
      <c r="M822" s="581"/>
      <c r="N822" s="581"/>
      <c r="O822" s="581"/>
      <c r="P822" s="581"/>
      <c r="Q822" s="581"/>
      <c r="R822" s="581"/>
      <c r="S822" s="581"/>
      <c r="T822" s="581"/>
      <c r="U822" s="581"/>
      <c r="V822" s="581"/>
      <c r="W822" s="581"/>
      <c r="X822" s="581"/>
      <c r="Y822" s="581"/>
    </row>
    <row r="823">
      <c r="A823" s="581"/>
      <c r="B823" s="581"/>
      <c r="C823" s="581"/>
      <c r="D823" s="581"/>
      <c r="E823" s="581"/>
      <c r="F823" s="581"/>
      <c r="G823" s="581"/>
      <c r="H823" s="581"/>
      <c r="I823" s="581"/>
      <c r="J823" s="581"/>
      <c r="K823" s="581"/>
      <c r="L823" s="581"/>
      <c r="M823" s="581"/>
      <c r="N823" s="581"/>
      <c r="O823" s="581"/>
      <c r="P823" s="581"/>
      <c r="Q823" s="581"/>
      <c r="R823" s="581"/>
      <c r="S823" s="581"/>
      <c r="T823" s="581"/>
      <c r="U823" s="581"/>
      <c r="V823" s="581"/>
      <c r="W823" s="581"/>
      <c r="X823" s="581"/>
      <c r="Y823" s="581"/>
    </row>
    <row r="824">
      <c r="A824" s="581"/>
      <c r="B824" s="581"/>
      <c r="C824" s="581"/>
      <c r="D824" s="581"/>
      <c r="E824" s="581"/>
      <c r="F824" s="581"/>
      <c r="G824" s="581"/>
      <c r="H824" s="581"/>
      <c r="I824" s="581"/>
      <c r="J824" s="581"/>
      <c r="K824" s="581"/>
      <c r="L824" s="581"/>
      <c r="M824" s="581"/>
      <c r="N824" s="581"/>
      <c r="O824" s="581"/>
      <c r="P824" s="581"/>
      <c r="Q824" s="581"/>
      <c r="R824" s="581"/>
      <c r="S824" s="581"/>
      <c r="T824" s="581"/>
      <c r="U824" s="581"/>
      <c r="V824" s="581"/>
      <c r="W824" s="581"/>
      <c r="X824" s="581"/>
      <c r="Y824" s="581"/>
    </row>
    <row r="825">
      <c r="A825" s="581"/>
      <c r="B825" s="581"/>
      <c r="C825" s="581"/>
      <c r="D825" s="581"/>
      <c r="E825" s="581"/>
      <c r="F825" s="581"/>
      <c r="G825" s="581"/>
      <c r="H825" s="581"/>
      <c r="I825" s="581"/>
      <c r="J825" s="581"/>
      <c r="K825" s="581"/>
      <c r="L825" s="581"/>
      <c r="M825" s="581"/>
      <c r="N825" s="581"/>
      <c r="O825" s="581"/>
      <c r="P825" s="581"/>
      <c r="Q825" s="581"/>
      <c r="R825" s="581"/>
      <c r="S825" s="581"/>
      <c r="T825" s="581"/>
      <c r="U825" s="581"/>
      <c r="V825" s="581"/>
      <c r="W825" s="581"/>
      <c r="X825" s="581"/>
      <c r="Y825" s="581"/>
    </row>
    <row r="826">
      <c r="A826" s="581"/>
      <c r="B826" s="581"/>
      <c r="C826" s="581"/>
      <c r="D826" s="581"/>
      <c r="E826" s="581"/>
      <c r="F826" s="581"/>
      <c r="G826" s="581"/>
      <c r="H826" s="581"/>
      <c r="I826" s="581"/>
      <c r="J826" s="581"/>
      <c r="K826" s="581"/>
      <c r="L826" s="581"/>
      <c r="M826" s="581"/>
      <c r="N826" s="581"/>
      <c r="O826" s="581"/>
      <c r="P826" s="581"/>
      <c r="Q826" s="581"/>
      <c r="R826" s="581"/>
      <c r="S826" s="581"/>
      <c r="T826" s="581"/>
      <c r="U826" s="581"/>
      <c r="V826" s="581"/>
      <c r="W826" s="581"/>
      <c r="X826" s="581"/>
      <c r="Y826" s="581"/>
    </row>
    <row r="827">
      <c r="A827" s="581"/>
      <c r="B827" s="581"/>
      <c r="C827" s="581"/>
      <c r="D827" s="581"/>
      <c r="E827" s="581"/>
      <c r="F827" s="581"/>
      <c r="G827" s="581"/>
      <c r="H827" s="581"/>
      <c r="I827" s="581"/>
      <c r="J827" s="581"/>
      <c r="K827" s="581"/>
      <c r="L827" s="581"/>
      <c r="M827" s="581"/>
      <c r="N827" s="581"/>
      <c r="O827" s="581"/>
      <c r="P827" s="581"/>
      <c r="Q827" s="581"/>
      <c r="R827" s="581"/>
      <c r="S827" s="581"/>
      <c r="T827" s="581"/>
      <c r="U827" s="581"/>
      <c r="V827" s="581"/>
      <c r="W827" s="581"/>
      <c r="X827" s="581"/>
      <c r="Y827" s="581"/>
    </row>
    <row r="828">
      <c r="A828" s="581"/>
      <c r="B828" s="581"/>
      <c r="C828" s="581"/>
      <c r="D828" s="581"/>
      <c r="E828" s="581"/>
      <c r="F828" s="581"/>
      <c r="G828" s="581"/>
      <c r="H828" s="581"/>
      <c r="I828" s="581"/>
      <c r="J828" s="581"/>
      <c r="K828" s="581"/>
      <c r="L828" s="581"/>
      <c r="M828" s="581"/>
      <c r="N828" s="581"/>
      <c r="O828" s="581"/>
      <c r="P828" s="581"/>
      <c r="Q828" s="581"/>
      <c r="R828" s="581"/>
      <c r="S828" s="581"/>
      <c r="T828" s="581"/>
      <c r="U828" s="581"/>
      <c r="V828" s="581"/>
      <c r="W828" s="581"/>
      <c r="X828" s="581"/>
      <c r="Y828" s="581"/>
    </row>
    <row r="829">
      <c r="A829" s="581"/>
      <c r="B829" s="581"/>
      <c r="C829" s="581"/>
      <c r="D829" s="581"/>
      <c r="E829" s="581"/>
      <c r="F829" s="581"/>
      <c r="G829" s="581"/>
      <c r="H829" s="581"/>
      <c r="I829" s="581"/>
      <c r="J829" s="581"/>
      <c r="K829" s="581"/>
      <c r="L829" s="581"/>
      <c r="M829" s="581"/>
      <c r="N829" s="581"/>
      <c r="O829" s="581"/>
      <c r="P829" s="581"/>
      <c r="Q829" s="581"/>
      <c r="R829" s="581"/>
      <c r="S829" s="581"/>
      <c r="T829" s="581"/>
      <c r="U829" s="581"/>
      <c r="V829" s="581"/>
      <c r="W829" s="581"/>
      <c r="X829" s="581"/>
      <c r="Y829" s="581"/>
    </row>
    <row r="830">
      <c r="A830" s="581"/>
      <c r="B830" s="581"/>
      <c r="C830" s="581"/>
      <c r="D830" s="581"/>
      <c r="E830" s="581"/>
      <c r="F830" s="581"/>
      <c r="G830" s="581"/>
      <c r="H830" s="581"/>
      <c r="I830" s="581"/>
      <c r="J830" s="581"/>
      <c r="K830" s="581"/>
      <c r="L830" s="581"/>
      <c r="M830" s="581"/>
      <c r="N830" s="581"/>
      <c r="O830" s="581"/>
      <c r="P830" s="581"/>
      <c r="Q830" s="581"/>
      <c r="R830" s="581"/>
      <c r="S830" s="581"/>
      <c r="T830" s="581"/>
      <c r="U830" s="581"/>
      <c r="V830" s="581"/>
      <c r="W830" s="581"/>
      <c r="X830" s="581"/>
      <c r="Y830" s="581"/>
    </row>
    <row r="831">
      <c r="A831" s="581"/>
      <c r="B831" s="581"/>
      <c r="C831" s="581"/>
      <c r="D831" s="581"/>
      <c r="E831" s="581"/>
      <c r="F831" s="581"/>
      <c r="G831" s="581"/>
      <c r="H831" s="581"/>
      <c r="I831" s="581"/>
      <c r="J831" s="581"/>
      <c r="K831" s="581"/>
      <c r="L831" s="581"/>
      <c r="M831" s="581"/>
      <c r="N831" s="581"/>
      <c r="O831" s="581"/>
      <c r="P831" s="581"/>
      <c r="Q831" s="581"/>
      <c r="R831" s="581"/>
      <c r="S831" s="581"/>
      <c r="T831" s="581"/>
      <c r="U831" s="581"/>
      <c r="V831" s="581"/>
      <c r="W831" s="581"/>
      <c r="X831" s="581"/>
      <c r="Y831" s="581"/>
    </row>
    <row r="832">
      <c r="A832" s="581"/>
      <c r="B832" s="581"/>
      <c r="C832" s="581"/>
      <c r="D832" s="581"/>
      <c r="E832" s="581"/>
      <c r="F832" s="581"/>
      <c r="G832" s="581"/>
      <c r="H832" s="581"/>
      <c r="I832" s="581"/>
      <c r="J832" s="581"/>
      <c r="K832" s="581"/>
      <c r="L832" s="581"/>
      <c r="M832" s="581"/>
      <c r="N832" s="581"/>
      <c r="O832" s="581"/>
      <c r="P832" s="581"/>
      <c r="Q832" s="581"/>
      <c r="R832" s="581"/>
      <c r="S832" s="581"/>
      <c r="T832" s="581"/>
      <c r="U832" s="581"/>
      <c r="V832" s="581"/>
      <c r="W832" s="581"/>
      <c r="X832" s="581"/>
      <c r="Y832" s="581"/>
    </row>
    <row r="833">
      <c r="A833" s="581"/>
      <c r="B833" s="581"/>
      <c r="C833" s="581"/>
      <c r="D833" s="581"/>
      <c r="E833" s="581"/>
      <c r="F833" s="581"/>
      <c r="G833" s="581"/>
      <c r="H833" s="581"/>
      <c r="I833" s="581"/>
      <c r="J833" s="581"/>
      <c r="K833" s="581"/>
      <c r="L833" s="581"/>
      <c r="M833" s="581"/>
      <c r="N833" s="581"/>
      <c r="O833" s="581"/>
      <c r="P833" s="581"/>
      <c r="Q833" s="581"/>
      <c r="R833" s="581"/>
      <c r="S833" s="581"/>
      <c r="T833" s="581"/>
      <c r="U833" s="581"/>
      <c r="V833" s="581"/>
      <c r="W833" s="581"/>
      <c r="X833" s="581"/>
      <c r="Y833" s="581"/>
    </row>
    <row r="834">
      <c r="A834" s="581"/>
      <c r="B834" s="581"/>
      <c r="C834" s="581"/>
      <c r="D834" s="581"/>
      <c r="E834" s="581"/>
      <c r="F834" s="581"/>
      <c r="G834" s="581"/>
      <c r="H834" s="581"/>
      <c r="I834" s="581"/>
      <c r="J834" s="581"/>
      <c r="K834" s="581"/>
      <c r="L834" s="581"/>
      <c r="M834" s="581"/>
      <c r="N834" s="581"/>
      <c r="O834" s="581"/>
      <c r="P834" s="581"/>
      <c r="Q834" s="581"/>
      <c r="R834" s="581"/>
      <c r="S834" s="581"/>
      <c r="T834" s="581"/>
      <c r="U834" s="581"/>
      <c r="V834" s="581"/>
      <c r="W834" s="581"/>
      <c r="X834" s="581"/>
      <c r="Y834" s="581"/>
    </row>
    <row r="835">
      <c r="A835" s="581"/>
      <c r="B835" s="581"/>
      <c r="C835" s="581"/>
      <c r="D835" s="581"/>
      <c r="E835" s="581"/>
      <c r="F835" s="581"/>
      <c r="G835" s="581"/>
      <c r="H835" s="581"/>
      <c r="I835" s="581"/>
      <c r="J835" s="581"/>
      <c r="K835" s="581"/>
      <c r="L835" s="581"/>
      <c r="M835" s="581"/>
      <c r="N835" s="581"/>
      <c r="O835" s="581"/>
      <c r="P835" s="581"/>
      <c r="Q835" s="581"/>
      <c r="R835" s="581"/>
      <c r="S835" s="581"/>
      <c r="T835" s="581"/>
      <c r="U835" s="581"/>
      <c r="V835" s="581"/>
      <c r="W835" s="581"/>
      <c r="X835" s="581"/>
      <c r="Y835" s="581"/>
    </row>
    <row r="836">
      <c r="A836" s="581"/>
      <c r="B836" s="581"/>
      <c r="C836" s="581"/>
      <c r="D836" s="581"/>
      <c r="E836" s="581"/>
      <c r="F836" s="581"/>
      <c r="G836" s="581"/>
      <c r="H836" s="581"/>
      <c r="I836" s="581"/>
      <c r="J836" s="581"/>
      <c r="K836" s="581"/>
      <c r="L836" s="581"/>
      <c r="M836" s="581"/>
      <c r="N836" s="581"/>
      <c r="O836" s="581"/>
      <c r="P836" s="581"/>
      <c r="Q836" s="581"/>
      <c r="R836" s="581"/>
      <c r="S836" s="581"/>
      <c r="T836" s="581"/>
      <c r="U836" s="581"/>
      <c r="V836" s="581"/>
      <c r="W836" s="581"/>
      <c r="X836" s="581"/>
      <c r="Y836" s="581"/>
    </row>
    <row r="837">
      <c r="A837" s="581"/>
      <c r="B837" s="581"/>
      <c r="C837" s="581"/>
      <c r="D837" s="581"/>
      <c r="E837" s="581"/>
      <c r="F837" s="581"/>
      <c r="G837" s="581"/>
      <c r="H837" s="581"/>
      <c r="I837" s="581"/>
      <c r="J837" s="581"/>
      <c r="K837" s="581"/>
      <c r="L837" s="581"/>
      <c r="M837" s="581"/>
      <c r="N837" s="581"/>
      <c r="O837" s="581"/>
      <c r="P837" s="581"/>
      <c r="Q837" s="581"/>
      <c r="R837" s="581"/>
      <c r="S837" s="581"/>
      <c r="T837" s="581"/>
      <c r="U837" s="581"/>
      <c r="V837" s="581"/>
      <c r="W837" s="581"/>
      <c r="X837" s="581"/>
      <c r="Y837" s="581"/>
    </row>
    <row r="838">
      <c r="A838" s="581"/>
      <c r="B838" s="581"/>
      <c r="C838" s="581"/>
      <c r="D838" s="581"/>
      <c r="E838" s="581"/>
      <c r="F838" s="581"/>
      <c r="G838" s="581"/>
      <c r="H838" s="581"/>
      <c r="I838" s="581"/>
      <c r="J838" s="581"/>
      <c r="K838" s="581"/>
      <c r="L838" s="581"/>
      <c r="M838" s="581"/>
      <c r="N838" s="581"/>
      <c r="O838" s="581"/>
      <c r="P838" s="581"/>
      <c r="Q838" s="581"/>
      <c r="R838" s="581"/>
      <c r="S838" s="581"/>
      <c r="T838" s="581"/>
      <c r="U838" s="581"/>
      <c r="V838" s="581"/>
      <c r="W838" s="581"/>
      <c r="X838" s="581"/>
      <c r="Y838" s="581"/>
    </row>
    <row r="839">
      <c r="A839" s="581"/>
      <c r="B839" s="581"/>
      <c r="C839" s="581"/>
      <c r="D839" s="581"/>
      <c r="E839" s="581"/>
      <c r="F839" s="581"/>
      <c r="G839" s="581"/>
      <c r="H839" s="581"/>
      <c r="I839" s="581"/>
      <c r="J839" s="581"/>
      <c r="K839" s="581"/>
      <c r="L839" s="581"/>
      <c r="M839" s="581"/>
      <c r="N839" s="581"/>
      <c r="O839" s="581"/>
      <c r="P839" s="581"/>
      <c r="Q839" s="581"/>
      <c r="R839" s="581"/>
      <c r="S839" s="581"/>
      <c r="T839" s="581"/>
      <c r="U839" s="581"/>
      <c r="V839" s="581"/>
      <c r="W839" s="581"/>
      <c r="X839" s="581"/>
      <c r="Y839" s="581"/>
    </row>
    <row r="840">
      <c r="A840" s="581"/>
      <c r="B840" s="581"/>
      <c r="C840" s="581"/>
      <c r="D840" s="581"/>
      <c r="E840" s="581"/>
      <c r="F840" s="581"/>
      <c r="G840" s="581"/>
      <c r="H840" s="581"/>
      <c r="I840" s="581"/>
      <c r="J840" s="581"/>
      <c r="K840" s="581"/>
      <c r="L840" s="581"/>
      <c r="M840" s="581"/>
      <c r="N840" s="581"/>
      <c r="O840" s="581"/>
      <c r="P840" s="581"/>
      <c r="Q840" s="581"/>
      <c r="R840" s="581"/>
      <c r="S840" s="581"/>
      <c r="T840" s="581"/>
      <c r="U840" s="581"/>
      <c r="V840" s="581"/>
      <c r="W840" s="581"/>
      <c r="X840" s="581"/>
      <c r="Y840" s="581"/>
    </row>
    <row r="841">
      <c r="A841" s="581"/>
      <c r="B841" s="581"/>
      <c r="C841" s="581"/>
      <c r="D841" s="581"/>
      <c r="E841" s="581"/>
      <c r="F841" s="581"/>
      <c r="G841" s="581"/>
      <c r="H841" s="581"/>
      <c r="I841" s="581"/>
      <c r="J841" s="581"/>
      <c r="K841" s="581"/>
      <c r="L841" s="581"/>
      <c r="M841" s="581"/>
      <c r="N841" s="581"/>
      <c r="O841" s="581"/>
      <c r="P841" s="581"/>
      <c r="Q841" s="581"/>
      <c r="R841" s="581"/>
      <c r="S841" s="581"/>
      <c r="T841" s="581"/>
      <c r="U841" s="581"/>
      <c r="V841" s="581"/>
      <c r="W841" s="581"/>
      <c r="X841" s="581"/>
      <c r="Y841" s="581"/>
    </row>
    <row r="842">
      <c r="A842" s="581"/>
      <c r="B842" s="581"/>
      <c r="C842" s="581"/>
      <c r="D842" s="581"/>
      <c r="E842" s="581"/>
      <c r="F842" s="581"/>
      <c r="G842" s="581"/>
      <c r="H842" s="581"/>
      <c r="I842" s="581"/>
      <c r="J842" s="581"/>
      <c r="K842" s="581"/>
      <c r="L842" s="581"/>
      <c r="M842" s="581"/>
      <c r="N842" s="581"/>
      <c r="O842" s="581"/>
      <c r="P842" s="581"/>
      <c r="Q842" s="581"/>
      <c r="R842" s="581"/>
      <c r="S842" s="581"/>
      <c r="T842" s="581"/>
      <c r="U842" s="581"/>
      <c r="V842" s="581"/>
      <c r="W842" s="581"/>
      <c r="X842" s="581"/>
      <c r="Y842" s="581"/>
    </row>
    <row r="843">
      <c r="A843" s="581"/>
      <c r="B843" s="581"/>
      <c r="C843" s="581"/>
      <c r="D843" s="581"/>
      <c r="E843" s="581"/>
      <c r="F843" s="581"/>
      <c r="G843" s="581"/>
      <c r="H843" s="581"/>
      <c r="I843" s="581"/>
      <c r="J843" s="581"/>
      <c r="K843" s="581"/>
      <c r="L843" s="581"/>
      <c r="M843" s="581"/>
      <c r="N843" s="581"/>
      <c r="O843" s="581"/>
      <c r="P843" s="581"/>
      <c r="Q843" s="581"/>
      <c r="R843" s="581"/>
      <c r="S843" s="581"/>
      <c r="T843" s="581"/>
      <c r="U843" s="581"/>
      <c r="V843" s="581"/>
      <c r="W843" s="581"/>
      <c r="X843" s="581"/>
      <c r="Y843" s="581"/>
    </row>
    <row r="844">
      <c r="A844" s="581"/>
      <c r="B844" s="581"/>
      <c r="C844" s="581"/>
      <c r="D844" s="581"/>
      <c r="E844" s="581"/>
      <c r="F844" s="581"/>
      <c r="G844" s="581"/>
      <c r="H844" s="581"/>
      <c r="I844" s="581"/>
      <c r="J844" s="581"/>
      <c r="K844" s="581"/>
      <c r="L844" s="581"/>
      <c r="M844" s="581"/>
      <c r="N844" s="581"/>
      <c r="O844" s="581"/>
      <c r="P844" s="581"/>
      <c r="Q844" s="581"/>
      <c r="R844" s="581"/>
      <c r="S844" s="581"/>
      <c r="T844" s="581"/>
      <c r="U844" s="581"/>
      <c r="V844" s="581"/>
      <c r="W844" s="581"/>
      <c r="X844" s="581"/>
      <c r="Y844" s="581"/>
    </row>
    <row r="845">
      <c r="A845" s="581"/>
      <c r="B845" s="581"/>
      <c r="C845" s="581"/>
      <c r="D845" s="581"/>
      <c r="E845" s="581"/>
      <c r="F845" s="581"/>
      <c r="G845" s="581"/>
      <c r="H845" s="581"/>
      <c r="I845" s="581"/>
      <c r="J845" s="581"/>
      <c r="K845" s="581"/>
      <c r="L845" s="581"/>
      <c r="M845" s="581"/>
      <c r="N845" s="581"/>
      <c r="O845" s="581"/>
      <c r="P845" s="581"/>
      <c r="Q845" s="581"/>
      <c r="R845" s="581"/>
      <c r="S845" s="581"/>
      <c r="T845" s="581"/>
      <c r="U845" s="581"/>
      <c r="V845" s="581"/>
      <c r="W845" s="581"/>
      <c r="X845" s="581"/>
      <c r="Y845" s="581"/>
    </row>
    <row r="846">
      <c r="A846" s="581"/>
      <c r="B846" s="581"/>
      <c r="C846" s="581"/>
      <c r="D846" s="581"/>
      <c r="E846" s="581"/>
      <c r="F846" s="581"/>
      <c r="G846" s="581"/>
      <c r="H846" s="581"/>
      <c r="I846" s="581"/>
      <c r="J846" s="581"/>
      <c r="K846" s="581"/>
      <c r="L846" s="581"/>
      <c r="M846" s="581"/>
      <c r="N846" s="581"/>
      <c r="O846" s="581"/>
      <c r="P846" s="581"/>
      <c r="Q846" s="581"/>
      <c r="R846" s="581"/>
      <c r="S846" s="581"/>
      <c r="T846" s="581"/>
      <c r="U846" s="581"/>
      <c r="V846" s="581"/>
      <c r="W846" s="581"/>
      <c r="X846" s="581"/>
      <c r="Y846" s="581"/>
    </row>
    <row r="847">
      <c r="A847" s="581"/>
      <c r="B847" s="581"/>
      <c r="C847" s="581"/>
      <c r="D847" s="581"/>
      <c r="E847" s="581"/>
      <c r="F847" s="581"/>
      <c r="G847" s="581"/>
      <c r="H847" s="581"/>
      <c r="I847" s="581"/>
      <c r="J847" s="581"/>
      <c r="K847" s="581"/>
      <c r="L847" s="581"/>
      <c r="M847" s="581"/>
      <c r="N847" s="581"/>
      <c r="O847" s="581"/>
      <c r="P847" s="581"/>
      <c r="Q847" s="581"/>
      <c r="R847" s="581"/>
      <c r="S847" s="581"/>
      <c r="T847" s="581"/>
      <c r="U847" s="581"/>
      <c r="V847" s="581"/>
      <c r="W847" s="581"/>
      <c r="X847" s="581"/>
      <c r="Y847" s="581"/>
    </row>
    <row r="848">
      <c r="A848" s="581"/>
      <c r="B848" s="581"/>
      <c r="C848" s="581"/>
      <c r="D848" s="581"/>
      <c r="E848" s="581"/>
      <c r="F848" s="581"/>
      <c r="G848" s="581"/>
      <c r="H848" s="581"/>
      <c r="I848" s="581"/>
      <c r="J848" s="581"/>
      <c r="K848" s="581"/>
      <c r="L848" s="581"/>
      <c r="M848" s="581"/>
      <c r="N848" s="581"/>
      <c r="O848" s="581"/>
      <c r="P848" s="581"/>
      <c r="Q848" s="581"/>
      <c r="R848" s="581"/>
      <c r="S848" s="581"/>
      <c r="T848" s="581"/>
      <c r="U848" s="581"/>
      <c r="V848" s="581"/>
      <c r="W848" s="581"/>
      <c r="X848" s="581"/>
      <c r="Y848" s="581"/>
    </row>
    <row r="849">
      <c r="A849" s="581"/>
      <c r="B849" s="581"/>
      <c r="C849" s="581"/>
      <c r="D849" s="581"/>
      <c r="E849" s="581"/>
      <c r="F849" s="581"/>
      <c r="G849" s="581"/>
      <c r="H849" s="581"/>
      <c r="I849" s="581"/>
      <c r="J849" s="581"/>
      <c r="K849" s="581"/>
      <c r="L849" s="581"/>
      <c r="M849" s="581"/>
      <c r="N849" s="581"/>
      <c r="O849" s="581"/>
      <c r="P849" s="581"/>
      <c r="Q849" s="581"/>
      <c r="R849" s="581"/>
      <c r="S849" s="581"/>
      <c r="T849" s="581"/>
      <c r="U849" s="581"/>
      <c r="V849" s="581"/>
      <c r="W849" s="581"/>
      <c r="X849" s="581"/>
      <c r="Y849" s="581"/>
    </row>
    <row r="850">
      <c r="A850" s="581"/>
      <c r="B850" s="581"/>
      <c r="C850" s="581"/>
      <c r="D850" s="581"/>
      <c r="E850" s="581"/>
      <c r="F850" s="581"/>
      <c r="G850" s="581"/>
      <c r="H850" s="581"/>
      <c r="I850" s="581"/>
      <c r="J850" s="581"/>
      <c r="K850" s="581"/>
      <c r="L850" s="581"/>
      <c r="M850" s="581"/>
      <c r="N850" s="581"/>
      <c r="O850" s="581"/>
      <c r="P850" s="581"/>
      <c r="Q850" s="581"/>
      <c r="R850" s="581"/>
      <c r="S850" s="581"/>
      <c r="T850" s="581"/>
      <c r="U850" s="581"/>
      <c r="V850" s="581"/>
      <c r="W850" s="581"/>
      <c r="X850" s="581"/>
      <c r="Y850" s="581"/>
    </row>
    <row r="851">
      <c r="A851" s="581"/>
      <c r="B851" s="581"/>
      <c r="C851" s="581"/>
      <c r="D851" s="581"/>
      <c r="E851" s="581"/>
      <c r="F851" s="581"/>
      <c r="G851" s="581"/>
      <c r="H851" s="581"/>
      <c r="I851" s="581"/>
      <c r="J851" s="581"/>
      <c r="K851" s="581"/>
      <c r="L851" s="581"/>
      <c r="M851" s="581"/>
      <c r="N851" s="581"/>
      <c r="O851" s="581"/>
      <c r="P851" s="581"/>
      <c r="Q851" s="581"/>
      <c r="R851" s="581"/>
      <c r="S851" s="581"/>
      <c r="T851" s="581"/>
      <c r="U851" s="581"/>
      <c r="V851" s="581"/>
      <c r="W851" s="581"/>
      <c r="X851" s="581"/>
      <c r="Y851" s="581"/>
    </row>
    <row r="852">
      <c r="A852" s="581"/>
      <c r="B852" s="581"/>
      <c r="C852" s="581"/>
      <c r="D852" s="581"/>
      <c r="E852" s="581"/>
      <c r="F852" s="581"/>
      <c r="G852" s="581"/>
      <c r="H852" s="581"/>
      <c r="I852" s="581"/>
      <c r="J852" s="581"/>
      <c r="K852" s="581"/>
      <c r="L852" s="581"/>
      <c r="M852" s="581"/>
      <c r="N852" s="581"/>
      <c r="O852" s="581"/>
      <c r="P852" s="581"/>
      <c r="Q852" s="581"/>
      <c r="R852" s="581"/>
      <c r="S852" s="581"/>
      <c r="T852" s="581"/>
      <c r="U852" s="581"/>
      <c r="V852" s="581"/>
      <c r="W852" s="581"/>
      <c r="X852" s="581"/>
      <c r="Y852" s="581"/>
    </row>
    <row r="853">
      <c r="A853" s="581"/>
      <c r="B853" s="581"/>
      <c r="C853" s="581"/>
      <c r="D853" s="581"/>
      <c r="E853" s="581"/>
      <c r="F853" s="581"/>
      <c r="G853" s="581"/>
      <c r="H853" s="581"/>
      <c r="I853" s="581"/>
      <c r="J853" s="581"/>
      <c r="K853" s="581"/>
      <c r="L853" s="581"/>
      <c r="M853" s="581"/>
      <c r="N853" s="581"/>
      <c r="O853" s="581"/>
      <c r="P853" s="581"/>
      <c r="Q853" s="581"/>
      <c r="R853" s="581"/>
      <c r="S853" s="581"/>
      <c r="T853" s="581"/>
      <c r="U853" s="581"/>
      <c r="V853" s="581"/>
      <c r="W853" s="581"/>
      <c r="X853" s="581"/>
      <c r="Y853" s="581"/>
    </row>
    <row r="854">
      <c r="A854" s="581"/>
      <c r="B854" s="581"/>
      <c r="C854" s="581"/>
      <c r="D854" s="581"/>
      <c r="E854" s="581"/>
      <c r="F854" s="581"/>
      <c r="G854" s="581"/>
      <c r="H854" s="581"/>
      <c r="I854" s="581"/>
      <c r="J854" s="581"/>
      <c r="K854" s="581"/>
      <c r="L854" s="581"/>
      <c r="M854" s="581"/>
      <c r="N854" s="581"/>
      <c r="O854" s="581"/>
      <c r="P854" s="581"/>
      <c r="Q854" s="581"/>
      <c r="R854" s="581"/>
      <c r="S854" s="581"/>
      <c r="T854" s="581"/>
      <c r="U854" s="581"/>
      <c r="V854" s="581"/>
      <c r="W854" s="581"/>
      <c r="X854" s="581"/>
      <c r="Y854" s="581"/>
    </row>
    <row r="855">
      <c r="A855" s="581"/>
      <c r="B855" s="581"/>
      <c r="C855" s="581"/>
      <c r="D855" s="581"/>
      <c r="E855" s="581"/>
      <c r="F855" s="581"/>
      <c r="G855" s="581"/>
      <c r="H855" s="581"/>
      <c r="I855" s="581"/>
      <c r="J855" s="581"/>
      <c r="K855" s="581"/>
      <c r="L855" s="581"/>
      <c r="M855" s="581"/>
      <c r="N855" s="581"/>
      <c r="O855" s="581"/>
      <c r="P855" s="581"/>
      <c r="Q855" s="581"/>
      <c r="R855" s="581"/>
      <c r="S855" s="581"/>
      <c r="T855" s="581"/>
      <c r="U855" s="581"/>
      <c r="V855" s="581"/>
      <c r="W855" s="581"/>
      <c r="X855" s="581"/>
      <c r="Y855" s="581"/>
    </row>
    <row r="856">
      <c r="A856" s="581"/>
      <c r="B856" s="581"/>
      <c r="C856" s="581"/>
      <c r="D856" s="581"/>
      <c r="E856" s="581"/>
      <c r="F856" s="581"/>
      <c r="G856" s="581"/>
      <c r="H856" s="581"/>
      <c r="I856" s="581"/>
      <c r="J856" s="581"/>
      <c r="K856" s="581"/>
      <c r="L856" s="581"/>
      <c r="M856" s="581"/>
      <c r="N856" s="581"/>
      <c r="O856" s="581"/>
      <c r="P856" s="581"/>
      <c r="Q856" s="581"/>
      <c r="R856" s="581"/>
      <c r="S856" s="581"/>
      <c r="T856" s="581"/>
      <c r="U856" s="581"/>
      <c r="V856" s="581"/>
      <c r="W856" s="581"/>
      <c r="X856" s="581"/>
      <c r="Y856" s="581"/>
    </row>
    <row r="857">
      <c r="A857" s="581"/>
      <c r="B857" s="581"/>
      <c r="C857" s="581"/>
      <c r="D857" s="581"/>
      <c r="E857" s="581"/>
      <c r="F857" s="581"/>
      <c r="G857" s="581"/>
      <c r="H857" s="581"/>
      <c r="I857" s="581"/>
      <c r="J857" s="581"/>
      <c r="K857" s="581"/>
      <c r="L857" s="581"/>
      <c r="M857" s="581"/>
      <c r="N857" s="581"/>
      <c r="O857" s="581"/>
      <c r="P857" s="581"/>
      <c r="Q857" s="581"/>
      <c r="R857" s="581"/>
      <c r="S857" s="581"/>
      <c r="T857" s="581"/>
      <c r="U857" s="581"/>
      <c r="V857" s="581"/>
      <c r="W857" s="581"/>
      <c r="X857" s="581"/>
      <c r="Y857" s="581"/>
    </row>
    <row r="858">
      <c r="A858" s="581"/>
      <c r="B858" s="581"/>
      <c r="C858" s="581"/>
      <c r="D858" s="581"/>
      <c r="E858" s="581"/>
      <c r="F858" s="581"/>
      <c r="G858" s="581"/>
      <c r="H858" s="581"/>
      <c r="I858" s="581"/>
      <c r="J858" s="581"/>
      <c r="K858" s="581"/>
      <c r="L858" s="581"/>
      <c r="M858" s="581"/>
      <c r="N858" s="581"/>
      <c r="O858" s="581"/>
      <c r="P858" s="581"/>
      <c r="Q858" s="581"/>
      <c r="R858" s="581"/>
      <c r="S858" s="581"/>
      <c r="T858" s="581"/>
      <c r="U858" s="581"/>
      <c r="V858" s="581"/>
      <c r="W858" s="581"/>
      <c r="X858" s="581"/>
      <c r="Y858" s="581"/>
    </row>
    <row r="859">
      <c r="A859" s="581"/>
      <c r="B859" s="581"/>
      <c r="C859" s="581"/>
      <c r="D859" s="581"/>
      <c r="E859" s="581"/>
      <c r="F859" s="581"/>
      <c r="G859" s="581"/>
      <c r="H859" s="581"/>
      <c r="I859" s="581"/>
      <c r="J859" s="581"/>
      <c r="K859" s="581"/>
      <c r="L859" s="581"/>
      <c r="M859" s="581"/>
      <c r="N859" s="581"/>
      <c r="O859" s="581"/>
      <c r="P859" s="581"/>
      <c r="Q859" s="581"/>
      <c r="R859" s="581"/>
      <c r="S859" s="581"/>
      <c r="T859" s="581"/>
      <c r="U859" s="581"/>
      <c r="V859" s="581"/>
      <c r="W859" s="581"/>
      <c r="X859" s="581"/>
      <c r="Y859" s="581"/>
    </row>
    <row r="860">
      <c r="A860" s="581"/>
      <c r="B860" s="581"/>
      <c r="C860" s="581"/>
      <c r="D860" s="581"/>
      <c r="E860" s="581"/>
      <c r="F860" s="581"/>
      <c r="G860" s="581"/>
      <c r="H860" s="581"/>
      <c r="I860" s="581"/>
      <c r="J860" s="581"/>
      <c r="K860" s="581"/>
      <c r="L860" s="581"/>
      <c r="M860" s="581"/>
      <c r="N860" s="581"/>
      <c r="O860" s="581"/>
      <c r="P860" s="581"/>
      <c r="Q860" s="581"/>
      <c r="R860" s="581"/>
      <c r="S860" s="581"/>
      <c r="T860" s="581"/>
      <c r="U860" s="581"/>
      <c r="V860" s="581"/>
      <c r="W860" s="581"/>
      <c r="X860" s="581"/>
      <c r="Y860" s="581"/>
    </row>
    <row r="861">
      <c r="A861" s="581"/>
      <c r="B861" s="581"/>
      <c r="C861" s="581"/>
      <c r="D861" s="581"/>
      <c r="E861" s="581"/>
      <c r="F861" s="581"/>
      <c r="G861" s="581"/>
      <c r="H861" s="581"/>
      <c r="I861" s="581"/>
      <c r="J861" s="581"/>
      <c r="K861" s="581"/>
      <c r="L861" s="581"/>
      <c r="M861" s="581"/>
      <c r="N861" s="581"/>
      <c r="O861" s="581"/>
      <c r="P861" s="581"/>
      <c r="Q861" s="581"/>
      <c r="R861" s="581"/>
      <c r="S861" s="581"/>
      <c r="T861" s="581"/>
      <c r="U861" s="581"/>
      <c r="V861" s="581"/>
      <c r="W861" s="581"/>
      <c r="X861" s="581"/>
      <c r="Y861" s="581"/>
    </row>
    <row r="862">
      <c r="A862" s="581"/>
      <c r="B862" s="581"/>
      <c r="C862" s="581"/>
      <c r="D862" s="581"/>
      <c r="E862" s="581"/>
      <c r="F862" s="581"/>
      <c r="G862" s="581"/>
      <c r="H862" s="581"/>
      <c r="I862" s="581"/>
      <c r="J862" s="581"/>
      <c r="K862" s="581"/>
      <c r="L862" s="581"/>
      <c r="M862" s="581"/>
      <c r="N862" s="581"/>
      <c r="O862" s="581"/>
      <c r="P862" s="581"/>
      <c r="Q862" s="581"/>
      <c r="R862" s="581"/>
      <c r="S862" s="581"/>
      <c r="T862" s="581"/>
      <c r="U862" s="581"/>
      <c r="V862" s="581"/>
      <c r="W862" s="581"/>
      <c r="X862" s="581"/>
      <c r="Y862" s="581"/>
    </row>
    <row r="863">
      <c r="A863" s="581"/>
      <c r="B863" s="581"/>
      <c r="C863" s="581"/>
      <c r="D863" s="581"/>
      <c r="E863" s="581"/>
      <c r="F863" s="581"/>
      <c r="G863" s="581"/>
      <c r="H863" s="581"/>
      <c r="I863" s="581"/>
      <c r="J863" s="581"/>
      <c r="K863" s="581"/>
      <c r="L863" s="581"/>
      <c r="M863" s="581"/>
      <c r="N863" s="581"/>
      <c r="O863" s="581"/>
      <c r="P863" s="581"/>
      <c r="Q863" s="581"/>
      <c r="R863" s="581"/>
      <c r="S863" s="581"/>
      <c r="T863" s="581"/>
      <c r="U863" s="581"/>
      <c r="V863" s="581"/>
      <c r="W863" s="581"/>
      <c r="X863" s="581"/>
      <c r="Y863" s="581"/>
    </row>
    <row r="864">
      <c r="A864" s="581"/>
      <c r="B864" s="581"/>
      <c r="C864" s="581"/>
      <c r="D864" s="581"/>
      <c r="E864" s="581"/>
      <c r="F864" s="581"/>
      <c r="G864" s="581"/>
      <c r="H864" s="581"/>
      <c r="I864" s="581"/>
      <c r="J864" s="581"/>
      <c r="K864" s="581"/>
      <c r="L864" s="581"/>
      <c r="M864" s="581"/>
      <c r="N864" s="581"/>
      <c r="O864" s="581"/>
      <c r="P864" s="581"/>
      <c r="Q864" s="581"/>
      <c r="R864" s="581"/>
      <c r="S864" s="581"/>
      <c r="T864" s="581"/>
      <c r="U864" s="581"/>
      <c r="V864" s="581"/>
      <c r="W864" s="581"/>
      <c r="X864" s="581"/>
      <c r="Y864" s="581"/>
    </row>
    <row r="865">
      <c r="A865" s="581"/>
      <c r="B865" s="581"/>
      <c r="C865" s="581"/>
      <c r="D865" s="581"/>
      <c r="E865" s="581"/>
      <c r="F865" s="581"/>
      <c r="G865" s="581"/>
      <c r="H865" s="581"/>
      <c r="I865" s="581"/>
      <c r="J865" s="581"/>
      <c r="K865" s="581"/>
      <c r="L865" s="581"/>
      <c r="M865" s="581"/>
      <c r="N865" s="581"/>
      <c r="O865" s="581"/>
      <c r="P865" s="581"/>
      <c r="Q865" s="581"/>
      <c r="R865" s="581"/>
      <c r="S865" s="581"/>
      <c r="T865" s="581"/>
      <c r="U865" s="581"/>
      <c r="V865" s="581"/>
      <c r="W865" s="581"/>
      <c r="X865" s="581"/>
      <c r="Y865" s="581"/>
    </row>
    <row r="866">
      <c r="A866" s="581"/>
      <c r="B866" s="581"/>
      <c r="C866" s="581"/>
      <c r="D866" s="581"/>
      <c r="E866" s="581"/>
      <c r="F866" s="581"/>
      <c r="G866" s="581"/>
      <c r="H866" s="581"/>
      <c r="I866" s="581"/>
      <c r="J866" s="581"/>
      <c r="K866" s="581"/>
      <c r="L866" s="581"/>
      <c r="M866" s="581"/>
      <c r="N866" s="581"/>
      <c r="O866" s="581"/>
      <c r="P866" s="581"/>
      <c r="Q866" s="581"/>
      <c r="R866" s="581"/>
      <c r="S866" s="581"/>
      <c r="T866" s="581"/>
      <c r="U866" s="581"/>
      <c r="V866" s="581"/>
      <c r="W866" s="581"/>
      <c r="X866" s="581"/>
      <c r="Y866" s="581"/>
    </row>
    <row r="867">
      <c r="A867" s="581"/>
      <c r="B867" s="581"/>
      <c r="C867" s="581"/>
      <c r="D867" s="581"/>
      <c r="E867" s="581"/>
      <c r="F867" s="581"/>
      <c r="G867" s="581"/>
      <c r="H867" s="581"/>
      <c r="I867" s="581"/>
      <c r="J867" s="581"/>
      <c r="K867" s="581"/>
      <c r="L867" s="581"/>
      <c r="M867" s="581"/>
      <c r="N867" s="581"/>
      <c r="O867" s="581"/>
      <c r="P867" s="581"/>
      <c r="Q867" s="581"/>
      <c r="R867" s="581"/>
      <c r="S867" s="581"/>
      <c r="T867" s="581"/>
      <c r="U867" s="581"/>
      <c r="V867" s="581"/>
      <c r="W867" s="581"/>
      <c r="X867" s="581"/>
      <c r="Y867" s="581"/>
    </row>
    <row r="868">
      <c r="A868" s="581"/>
      <c r="B868" s="581"/>
      <c r="C868" s="581"/>
      <c r="D868" s="581"/>
      <c r="E868" s="581"/>
      <c r="F868" s="581"/>
      <c r="G868" s="581"/>
      <c r="H868" s="581"/>
      <c r="I868" s="581"/>
      <c r="J868" s="581"/>
      <c r="K868" s="581"/>
      <c r="L868" s="581"/>
      <c r="M868" s="581"/>
      <c r="N868" s="581"/>
      <c r="O868" s="581"/>
      <c r="P868" s="581"/>
      <c r="Q868" s="581"/>
      <c r="R868" s="581"/>
      <c r="S868" s="581"/>
      <c r="T868" s="581"/>
      <c r="U868" s="581"/>
      <c r="V868" s="581"/>
      <c r="W868" s="581"/>
      <c r="X868" s="581"/>
      <c r="Y868" s="581"/>
    </row>
    <row r="869">
      <c r="A869" s="581"/>
      <c r="B869" s="581"/>
      <c r="C869" s="581"/>
      <c r="D869" s="581"/>
      <c r="E869" s="581"/>
      <c r="F869" s="581"/>
      <c r="G869" s="581"/>
      <c r="H869" s="581"/>
      <c r="I869" s="581"/>
      <c r="J869" s="581"/>
      <c r="K869" s="581"/>
      <c r="L869" s="581"/>
      <c r="M869" s="581"/>
      <c r="N869" s="581"/>
      <c r="O869" s="581"/>
      <c r="P869" s="581"/>
      <c r="Q869" s="581"/>
      <c r="R869" s="581"/>
      <c r="S869" s="581"/>
      <c r="T869" s="581"/>
      <c r="U869" s="581"/>
      <c r="V869" s="581"/>
      <c r="W869" s="581"/>
      <c r="X869" s="581"/>
      <c r="Y869" s="581"/>
    </row>
    <row r="870">
      <c r="A870" s="581"/>
      <c r="B870" s="581"/>
      <c r="C870" s="581"/>
      <c r="D870" s="581"/>
      <c r="E870" s="581"/>
      <c r="F870" s="581"/>
      <c r="G870" s="581"/>
      <c r="H870" s="581"/>
      <c r="I870" s="581"/>
      <c r="J870" s="581"/>
      <c r="K870" s="581"/>
      <c r="L870" s="581"/>
      <c r="M870" s="581"/>
      <c r="N870" s="581"/>
      <c r="O870" s="581"/>
      <c r="P870" s="581"/>
      <c r="Q870" s="581"/>
      <c r="R870" s="581"/>
      <c r="S870" s="581"/>
      <c r="T870" s="581"/>
      <c r="U870" s="581"/>
      <c r="V870" s="581"/>
      <c r="W870" s="581"/>
      <c r="X870" s="581"/>
      <c r="Y870" s="581"/>
    </row>
    <row r="871">
      <c r="A871" s="581"/>
      <c r="B871" s="581"/>
      <c r="C871" s="581"/>
      <c r="D871" s="581"/>
      <c r="E871" s="581"/>
      <c r="F871" s="581"/>
      <c r="G871" s="581"/>
      <c r="H871" s="581"/>
      <c r="I871" s="581"/>
      <c r="J871" s="581"/>
      <c r="K871" s="581"/>
      <c r="L871" s="581"/>
      <c r="M871" s="581"/>
      <c r="N871" s="581"/>
      <c r="O871" s="581"/>
      <c r="P871" s="581"/>
      <c r="Q871" s="581"/>
      <c r="R871" s="581"/>
      <c r="S871" s="581"/>
      <c r="T871" s="581"/>
      <c r="U871" s="581"/>
      <c r="V871" s="581"/>
      <c r="W871" s="581"/>
      <c r="X871" s="581"/>
      <c r="Y871" s="581"/>
    </row>
    <row r="872">
      <c r="A872" s="581"/>
      <c r="B872" s="581"/>
      <c r="C872" s="581"/>
      <c r="D872" s="581"/>
      <c r="E872" s="581"/>
      <c r="F872" s="581"/>
      <c r="G872" s="581"/>
      <c r="H872" s="581"/>
      <c r="I872" s="581"/>
      <c r="J872" s="581"/>
      <c r="K872" s="581"/>
      <c r="L872" s="581"/>
      <c r="M872" s="581"/>
      <c r="N872" s="581"/>
      <c r="O872" s="581"/>
      <c r="P872" s="581"/>
      <c r="Q872" s="581"/>
      <c r="R872" s="581"/>
      <c r="S872" s="581"/>
      <c r="T872" s="581"/>
      <c r="U872" s="581"/>
      <c r="V872" s="581"/>
      <c r="W872" s="581"/>
      <c r="X872" s="581"/>
      <c r="Y872" s="581"/>
    </row>
    <row r="873">
      <c r="A873" s="581"/>
      <c r="B873" s="581"/>
      <c r="C873" s="581"/>
      <c r="D873" s="581"/>
      <c r="E873" s="581"/>
      <c r="F873" s="581"/>
      <c r="G873" s="581"/>
      <c r="H873" s="581"/>
      <c r="I873" s="581"/>
      <c r="J873" s="581"/>
      <c r="K873" s="581"/>
      <c r="L873" s="581"/>
      <c r="M873" s="581"/>
      <c r="N873" s="581"/>
      <c r="O873" s="581"/>
      <c r="P873" s="581"/>
      <c r="Q873" s="581"/>
      <c r="R873" s="581"/>
      <c r="S873" s="581"/>
      <c r="T873" s="581"/>
      <c r="U873" s="581"/>
      <c r="V873" s="581"/>
      <c r="W873" s="581"/>
      <c r="X873" s="581"/>
      <c r="Y873" s="581"/>
    </row>
    <row r="874">
      <c r="A874" s="581"/>
      <c r="B874" s="581"/>
      <c r="C874" s="581"/>
      <c r="D874" s="581"/>
      <c r="E874" s="581"/>
      <c r="F874" s="581"/>
      <c r="G874" s="581"/>
      <c r="H874" s="581"/>
      <c r="I874" s="581"/>
      <c r="J874" s="581"/>
      <c r="K874" s="581"/>
      <c r="L874" s="581"/>
      <c r="M874" s="581"/>
      <c r="N874" s="581"/>
      <c r="O874" s="581"/>
      <c r="P874" s="581"/>
      <c r="Q874" s="581"/>
      <c r="R874" s="581"/>
      <c r="S874" s="581"/>
      <c r="T874" s="581"/>
      <c r="U874" s="581"/>
      <c r="V874" s="581"/>
      <c r="W874" s="581"/>
      <c r="X874" s="581"/>
      <c r="Y874" s="581"/>
    </row>
    <row r="875">
      <c r="A875" s="581"/>
      <c r="B875" s="581"/>
      <c r="C875" s="581"/>
      <c r="D875" s="581"/>
      <c r="E875" s="581"/>
      <c r="F875" s="581"/>
      <c r="G875" s="581"/>
      <c r="H875" s="581"/>
      <c r="I875" s="581"/>
      <c r="J875" s="581"/>
      <c r="K875" s="581"/>
      <c r="L875" s="581"/>
      <c r="M875" s="581"/>
      <c r="N875" s="581"/>
      <c r="O875" s="581"/>
      <c r="P875" s="581"/>
      <c r="Q875" s="581"/>
      <c r="R875" s="581"/>
      <c r="S875" s="581"/>
      <c r="T875" s="581"/>
      <c r="U875" s="581"/>
      <c r="V875" s="581"/>
      <c r="W875" s="581"/>
      <c r="X875" s="581"/>
      <c r="Y875" s="581"/>
    </row>
    <row r="876">
      <c r="A876" s="581"/>
      <c r="B876" s="581"/>
      <c r="C876" s="581"/>
      <c r="D876" s="581"/>
      <c r="E876" s="581"/>
      <c r="F876" s="581"/>
      <c r="G876" s="581"/>
      <c r="H876" s="581"/>
      <c r="I876" s="581"/>
      <c r="J876" s="581"/>
      <c r="K876" s="581"/>
      <c r="L876" s="581"/>
      <c r="M876" s="581"/>
      <c r="N876" s="581"/>
      <c r="O876" s="581"/>
      <c r="P876" s="581"/>
      <c r="Q876" s="581"/>
      <c r="R876" s="581"/>
      <c r="S876" s="581"/>
      <c r="T876" s="581"/>
      <c r="U876" s="581"/>
      <c r="V876" s="581"/>
      <c r="W876" s="581"/>
      <c r="X876" s="581"/>
      <c r="Y876" s="581"/>
    </row>
    <row r="877">
      <c r="A877" s="581"/>
      <c r="B877" s="581"/>
      <c r="C877" s="581"/>
      <c r="D877" s="581"/>
      <c r="E877" s="581"/>
      <c r="F877" s="581"/>
      <c r="G877" s="581"/>
      <c r="H877" s="581"/>
      <c r="I877" s="581"/>
      <c r="J877" s="581"/>
      <c r="K877" s="581"/>
      <c r="L877" s="581"/>
      <c r="M877" s="581"/>
      <c r="N877" s="581"/>
      <c r="O877" s="581"/>
      <c r="P877" s="581"/>
      <c r="Q877" s="581"/>
      <c r="R877" s="581"/>
      <c r="S877" s="581"/>
      <c r="T877" s="581"/>
      <c r="U877" s="581"/>
      <c r="V877" s="581"/>
      <c r="W877" s="581"/>
      <c r="X877" s="581"/>
      <c r="Y877" s="581"/>
    </row>
    <row r="878">
      <c r="A878" s="581"/>
      <c r="B878" s="581"/>
      <c r="C878" s="581"/>
      <c r="D878" s="581"/>
      <c r="E878" s="581"/>
      <c r="F878" s="581"/>
      <c r="G878" s="581"/>
      <c r="H878" s="581"/>
      <c r="I878" s="581"/>
      <c r="J878" s="581"/>
      <c r="K878" s="581"/>
      <c r="L878" s="581"/>
      <c r="M878" s="581"/>
      <c r="N878" s="581"/>
      <c r="O878" s="581"/>
      <c r="P878" s="581"/>
      <c r="Q878" s="581"/>
      <c r="R878" s="581"/>
      <c r="S878" s="581"/>
      <c r="T878" s="581"/>
      <c r="U878" s="581"/>
      <c r="V878" s="581"/>
      <c r="W878" s="581"/>
      <c r="X878" s="581"/>
      <c r="Y878" s="581"/>
    </row>
    <row r="879">
      <c r="A879" s="581"/>
      <c r="B879" s="581"/>
      <c r="C879" s="581"/>
      <c r="D879" s="581"/>
      <c r="E879" s="581"/>
      <c r="F879" s="581"/>
      <c r="G879" s="581"/>
      <c r="H879" s="581"/>
      <c r="I879" s="581"/>
      <c r="J879" s="581"/>
      <c r="K879" s="581"/>
      <c r="L879" s="581"/>
      <c r="M879" s="581"/>
      <c r="N879" s="581"/>
      <c r="O879" s="581"/>
      <c r="P879" s="581"/>
      <c r="Q879" s="581"/>
      <c r="R879" s="581"/>
      <c r="S879" s="581"/>
      <c r="T879" s="581"/>
      <c r="U879" s="581"/>
      <c r="V879" s="581"/>
      <c r="W879" s="581"/>
      <c r="X879" s="581"/>
      <c r="Y879" s="581"/>
    </row>
    <row r="880">
      <c r="A880" s="581"/>
      <c r="B880" s="581"/>
      <c r="C880" s="581"/>
      <c r="D880" s="581"/>
      <c r="E880" s="581"/>
      <c r="F880" s="581"/>
      <c r="G880" s="581"/>
      <c r="H880" s="581"/>
      <c r="I880" s="581"/>
      <c r="J880" s="581"/>
      <c r="K880" s="581"/>
      <c r="L880" s="581"/>
      <c r="M880" s="581"/>
      <c r="N880" s="581"/>
      <c r="O880" s="581"/>
      <c r="P880" s="581"/>
      <c r="Q880" s="581"/>
      <c r="R880" s="581"/>
      <c r="S880" s="581"/>
      <c r="T880" s="581"/>
      <c r="U880" s="581"/>
      <c r="V880" s="581"/>
      <c r="W880" s="581"/>
      <c r="X880" s="581"/>
      <c r="Y880" s="581"/>
    </row>
    <row r="881">
      <c r="A881" s="581"/>
      <c r="B881" s="581"/>
      <c r="C881" s="581"/>
      <c r="D881" s="581"/>
      <c r="E881" s="581"/>
      <c r="F881" s="581"/>
      <c r="G881" s="581"/>
      <c r="H881" s="581"/>
      <c r="I881" s="581"/>
      <c r="J881" s="581"/>
      <c r="K881" s="581"/>
      <c r="L881" s="581"/>
      <c r="M881" s="581"/>
      <c r="N881" s="581"/>
      <c r="O881" s="581"/>
      <c r="P881" s="581"/>
      <c r="Q881" s="581"/>
      <c r="R881" s="581"/>
      <c r="S881" s="581"/>
      <c r="T881" s="581"/>
      <c r="U881" s="581"/>
      <c r="V881" s="581"/>
      <c r="W881" s="581"/>
      <c r="X881" s="581"/>
      <c r="Y881" s="581"/>
    </row>
    <row r="882">
      <c r="A882" s="581"/>
      <c r="B882" s="581"/>
      <c r="C882" s="581"/>
      <c r="D882" s="581"/>
      <c r="E882" s="581"/>
      <c r="F882" s="581"/>
      <c r="G882" s="581"/>
      <c r="H882" s="581"/>
      <c r="I882" s="581"/>
      <c r="J882" s="581"/>
      <c r="K882" s="581"/>
      <c r="L882" s="581"/>
      <c r="M882" s="581"/>
      <c r="N882" s="581"/>
      <c r="O882" s="581"/>
      <c r="P882" s="581"/>
      <c r="Q882" s="581"/>
      <c r="R882" s="581"/>
      <c r="S882" s="581"/>
      <c r="T882" s="581"/>
      <c r="U882" s="581"/>
      <c r="V882" s="581"/>
      <c r="W882" s="581"/>
      <c r="X882" s="581"/>
      <c r="Y882" s="581"/>
    </row>
    <row r="883">
      <c r="A883" s="581"/>
      <c r="B883" s="581"/>
      <c r="C883" s="581"/>
      <c r="D883" s="581"/>
      <c r="E883" s="581"/>
      <c r="F883" s="581"/>
      <c r="G883" s="581"/>
      <c r="H883" s="581"/>
      <c r="I883" s="581"/>
      <c r="J883" s="581"/>
      <c r="K883" s="581"/>
      <c r="L883" s="581"/>
      <c r="M883" s="581"/>
      <c r="N883" s="581"/>
      <c r="O883" s="581"/>
      <c r="P883" s="581"/>
      <c r="Q883" s="581"/>
      <c r="R883" s="581"/>
      <c r="S883" s="581"/>
      <c r="T883" s="581"/>
      <c r="U883" s="581"/>
      <c r="V883" s="581"/>
      <c r="W883" s="581"/>
      <c r="X883" s="581"/>
      <c r="Y883" s="581"/>
    </row>
    <row r="884">
      <c r="A884" s="581"/>
      <c r="B884" s="581"/>
      <c r="C884" s="581"/>
      <c r="D884" s="581"/>
      <c r="E884" s="581"/>
      <c r="F884" s="581"/>
      <c r="G884" s="581"/>
      <c r="H884" s="581"/>
      <c r="I884" s="581"/>
      <c r="J884" s="581"/>
      <c r="K884" s="581"/>
      <c r="L884" s="581"/>
      <c r="M884" s="581"/>
      <c r="N884" s="581"/>
      <c r="O884" s="581"/>
      <c r="P884" s="581"/>
      <c r="Q884" s="581"/>
      <c r="R884" s="581"/>
      <c r="S884" s="581"/>
      <c r="T884" s="581"/>
      <c r="U884" s="581"/>
      <c r="V884" s="581"/>
      <c r="W884" s="581"/>
      <c r="X884" s="581"/>
      <c r="Y884" s="581"/>
    </row>
    <row r="885">
      <c r="A885" s="581"/>
      <c r="B885" s="581"/>
      <c r="C885" s="581"/>
      <c r="D885" s="581"/>
      <c r="E885" s="581"/>
      <c r="F885" s="581"/>
      <c r="G885" s="581"/>
      <c r="H885" s="581"/>
      <c r="I885" s="581"/>
      <c r="J885" s="581"/>
      <c r="K885" s="581"/>
      <c r="L885" s="581"/>
      <c r="M885" s="581"/>
      <c r="N885" s="581"/>
      <c r="O885" s="581"/>
      <c r="P885" s="581"/>
      <c r="Q885" s="581"/>
      <c r="R885" s="581"/>
      <c r="S885" s="581"/>
      <c r="T885" s="581"/>
      <c r="U885" s="581"/>
      <c r="V885" s="581"/>
      <c r="W885" s="581"/>
      <c r="X885" s="581"/>
      <c r="Y885" s="581"/>
    </row>
    <row r="886">
      <c r="A886" s="581"/>
      <c r="B886" s="581"/>
      <c r="C886" s="581"/>
      <c r="D886" s="581"/>
      <c r="E886" s="581"/>
      <c r="F886" s="581"/>
      <c r="G886" s="581"/>
      <c r="H886" s="581"/>
      <c r="I886" s="581"/>
      <c r="J886" s="581"/>
      <c r="K886" s="581"/>
      <c r="L886" s="581"/>
      <c r="M886" s="581"/>
      <c r="N886" s="581"/>
      <c r="O886" s="581"/>
      <c r="P886" s="581"/>
      <c r="Q886" s="581"/>
      <c r="R886" s="581"/>
      <c r="S886" s="581"/>
      <c r="T886" s="581"/>
      <c r="U886" s="581"/>
      <c r="V886" s="581"/>
      <c r="W886" s="581"/>
      <c r="X886" s="581"/>
      <c r="Y886" s="581"/>
    </row>
    <row r="887">
      <c r="A887" s="581"/>
      <c r="B887" s="581"/>
      <c r="C887" s="581"/>
      <c r="D887" s="581"/>
      <c r="E887" s="581"/>
      <c r="F887" s="581"/>
      <c r="G887" s="581"/>
      <c r="H887" s="581"/>
      <c r="I887" s="581"/>
      <c r="J887" s="581"/>
      <c r="K887" s="581"/>
      <c r="L887" s="581"/>
      <c r="M887" s="581"/>
      <c r="N887" s="581"/>
      <c r="O887" s="581"/>
      <c r="P887" s="581"/>
      <c r="Q887" s="581"/>
      <c r="R887" s="581"/>
      <c r="S887" s="581"/>
      <c r="T887" s="581"/>
      <c r="U887" s="581"/>
      <c r="V887" s="581"/>
      <c r="W887" s="581"/>
      <c r="X887" s="581"/>
      <c r="Y887" s="581"/>
    </row>
    <row r="888">
      <c r="A888" s="581"/>
      <c r="B888" s="581"/>
      <c r="C888" s="581"/>
      <c r="D888" s="581"/>
      <c r="E888" s="581"/>
      <c r="F888" s="581"/>
      <c r="G888" s="581"/>
      <c r="H888" s="581"/>
      <c r="I888" s="581"/>
      <c r="J888" s="581"/>
      <c r="K888" s="581"/>
      <c r="L888" s="581"/>
      <c r="M888" s="581"/>
      <c r="N888" s="581"/>
      <c r="O888" s="581"/>
      <c r="P888" s="581"/>
      <c r="Q888" s="581"/>
      <c r="R888" s="581"/>
      <c r="S888" s="581"/>
      <c r="T888" s="581"/>
      <c r="U888" s="581"/>
      <c r="V888" s="581"/>
      <c r="W888" s="581"/>
      <c r="X888" s="581"/>
      <c r="Y888" s="581"/>
    </row>
    <row r="889">
      <c r="A889" s="581"/>
      <c r="B889" s="581"/>
      <c r="C889" s="581"/>
      <c r="D889" s="581"/>
      <c r="E889" s="581"/>
      <c r="F889" s="581"/>
      <c r="G889" s="581"/>
      <c r="H889" s="581"/>
      <c r="I889" s="581"/>
      <c r="J889" s="581"/>
      <c r="K889" s="581"/>
      <c r="L889" s="581"/>
      <c r="M889" s="581"/>
      <c r="N889" s="581"/>
      <c r="O889" s="581"/>
      <c r="P889" s="581"/>
      <c r="Q889" s="581"/>
      <c r="R889" s="581"/>
      <c r="S889" s="581"/>
      <c r="T889" s="581"/>
      <c r="U889" s="581"/>
      <c r="V889" s="581"/>
      <c r="W889" s="581"/>
      <c r="X889" s="581"/>
      <c r="Y889" s="581"/>
    </row>
    <row r="890">
      <c r="A890" s="581"/>
      <c r="B890" s="581"/>
      <c r="C890" s="581"/>
      <c r="D890" s="581"/>
      <c r="E890" s="581"/>
      <c r="F890" s="581"/>
      <c r="G890" s="581"/>
      <c r="H890" s="581"/>
      <c r="I890" s="581"/>
      <c r="J890" s="581"/>
      <c r="K890" s="581"/>
      <c r="L890" s="581"/>
      <c r="M890" s="581"/>
      <c r="N890" s="581"/>
      <c r="O890" s="581"/>
      <c r="P890" s="581"/>
      <c r="Q890" s="581"/>
      <c r="R890" s="581"/>
      <c r="S890" s="581"/>
      <c r="T890" s="581"/>
      <c r="U890" s="581"/>
      <c r="V890" s="581"/>
      <c r="W890" s="581"/>
      <c r="X890" s="581"/>
      <c r="Y890" s="581"/>
    </row>
    <row r="891">
      <c r="A891" s="581"/>
      <c r="B891" s="581"/>
      <c r="C891" s="581"/>
      <c r="D891" s="581"/>
      <c r="E891" s="581"/>
      <c r="F891" s="581"/>
      <c r="G891" s="581"/>
      <c r="H891" s="581"/>
      <c r="I891" s="581"/>
      <c r="J891" s="581"/>
      <c r="K891" s="581"/>
      <c r="L891" s="581"/>
      <c r="M891" s="581"/>
      <c r="N891" s="581"/>
      <c r="O891" s="581"/>
      <c r="P891" s="581"/>
      <c r="Q891" s="581"/>
      <c r="R891" s="581"/>
      <c r="S891" s="581"/>
      <c r="T891" s="581"/>
      <c r="U891" s="581"/>
      <c r="V891" s="581"/>
      <c r="W891" s="581"/>
      <c r="X891" s="581"/>
      <c r="Y891" s="581"/>
    </row>
    <row r="892">
      <c r="A892" s="581"/>
      <c r="B892" s="581"/>
      <c r="C892" s="581"/>
      <c r="D892" s="581"/>
      <c r="E892" s="581"/>
      <c r="F892" s="581"/>
      <c r="G892" s="581"/>
      <c r="H892" s="581"/>
      <c r="I892" s="581"/>
      <c r="J892" s="581"/>
      <c r="K892" s="581"/>
      <c r="L892" s="581"/>
      <c r="M892" s="581"/>
      <c r="N892" s="581"/>
      <c r="O892" s="581"/>
      <c r="P892" s="581"/>
      <c r="Q892" s="581"/>
      <c r="R892" s="581"/>
      <c r="S892" s="581"/>
      <c r="T892" s="581"/>
      <c r="U892" s="581"/>
      <c r="V892" s="581"/>
      <c r="W892" s="581"/>
      <c r="X892" s="581"/>
      <c r="Y892" s="581"/>
    </row>
    <row r="893">
      <c r="A893" s="581"/>
      <c r="B893" s="581"/>
      <c r="C893" s="581"/>
      <c r="D893" s="581"/>
      <c r="E893" s="581"/>
      <c r="F893" s="581"/>
      <c r="G893" s="581"/>
      <c r="H893" s="581"/>
      <c r="I893" s="581"/>
      <c r="J893" s="581"/>
      <c r="K893" s="581"/>
      <c r="L893" s="581"/>
      <c r="M893" s="581"/>
      <c r="N893" s="581"/>
      <c r="O893" s="581"/>
      <c r="P893" s="581"/>
      <c r="Q893" s="581"/>
      <c r="R893" s="581"/>
      <c r="S893" s="581"/>
      <c r="T893" s="581"/>
      <c r="U893" s="581"/>
      <c r="V893" s="581"/>
      <c r="W893" s="581"/>
      <c r="X893" s="581"/>
      <c r="Y893" s="581"/>
    </row>
    <row r="894">
      <c r="A894" s="581"/>
      <c r="B894" s="581"/>
      <c r="C894" s="581"/>
      <c r="D894" s="581"/>
      <c r="E894" s="581"/>
      <c r="F894" s="581"/>
      <c r="G894" s="581"/>
      <c r="H894" s="581"/>
      <c r="I894" s="581"/>
      <c r="J894" s="581"/>
      <c r="K894" s="581"/>
      <c r="L894" s="581"/>
      <c r="M894" s="581"/>
      <c r="N894" s="581"/>
      <c r="O894" s="581"/>
      <c r="P894" s="581"/>
      <c r="Q894" s="581"/>
      <c r="R894" s="581"/>
      <c r="S894" s="581"/>
      <c r="T894" s="581"/>
      <c r="U894" s="581"/>
      <c r="V894" s="581"/>
      <c r="W894" s="581"/>
      <c r="X894" s="581"/>
      <c r="Y894" s="581"/>
    </row>
    <row r="895">
      <c r="A895" s="581"/>
      <c r="B895" s="581"/>
      <c r="C895" s="581"/>
      <c r="D895" s="581"/>
      <c r="E895" s="581"/>
      <c r="F895" s="581"/>
      <c r="G895" s="581"/>
      <c r="H895" s="581"/>
      <c r="I895" s="581"/>
      <c r="J895" s="581"/>
      <c r="K895" s="581"/>
      <c r="L895" s="581"/>
      <c r="M895" s="581"/>
      <c r="N895" s="581"/>
      <c r="O895" s="581"/>
      <c r="P895" s="581"/>
      <c r="Q895" s="581"/>
      <c r="R895" s="581"/>
      <c r="S895" s="581"/>
      <c r="T895" s="581"/>
      <c r="U895" s="581"/>
      <c r="V895" s="581"/>
      <c r="W895" s="581"/>
      <c r="X895" s="581"/>
      <c r="Y895" s="581"/>
    </row>
    <row r="896">
      <c r="A896" s="581"/>
      <c r="B896" s="581"/>
      <c r="C896" s="581"/>
      <c r="D896" s="581"/>
      <c r="E896" s="581"/>
      <c r="F896" s="581"/>
      <c r="G896" s="581"/>
      <c r="H896" s="581"/>
      <c r="I896" s="581"/>
      <c r="J896" s="581"/>
      <c r="K896" s="581"/>
      <c r="L896" s="581"/>
      <c r="M896" s="581"/>
      <c r="N896" s="581"/>
      <c r="O896" s="581"/>
      <c r="P896" s="581"/>
      <c r="Q896" s="581"/>
      <c r="R896" s="581"/>
      <c r="S896" s="581"/>
      <c r="T896" s="581"/>
      <c r="U896" s="581"/>
      <c r="V896" s="581"/>
      <c r="W896" s="581"/>
      <c r="X896" s="581"/>
      <c r="Y896" s="581"/>
    </row>
    <row r="897">
      <c r="A897" s="581"/>
      <c r="B897" s="581"/>
      <c r="C897" s="581"/>
      <c r="D897" s="581"/>
      <c r="E897" s="581"/>
      <c r="F897" s="581"/>
      <c r="G897" s="581"/>
      <c r="H897" s="581"/>
      <c r="I897" s="581"/>
      <c r="J897" s="581"/>
      <c r="K897" s="581"/>
      <c r="L897" s="581"/>
      <c r="M897" s="581"/>
      <c r="N897" s="581"/>
      <c r="O897" s="581"/>
      <c r="P897" s="581"/>
      <c r="Q897" s="581"/>
      <c r="R897" s="581"/>
      <c r="S897" s="581"/>
      <c r="T897" s="581"/>
      <c r="U897" s="581"/>
      <c r="V897" s="581"/>
      <c r="W897" s="581"/>
      <c r="X897" s="581"/>
      <c r="Y897" s="581"/>
    </row>
    <row r="898">
      <c r="A898" s="581"/>
      <c r="B898" s="581"/>
      <c r="C898" s="581"/>
      <c r="D898" s="581"/>
      <c r="E898" s="581"/>
      <c r="F898" s="581"/>
      <c r="G898" s="581"/>
      <c r="H898" s="581"/>
      <c r="I898" s="581"/>
      <c r="J898" s="581"/>
      <c r="K898" s="581"/>
      <c r="L898" s="581"/>
      <c r="M898" s="581"/>
      <c r="N898" s="581"/>
      <c r="O898" s="581"/>
      <c r="P898" s="581"/>
      <c r="Q898" s="581"/>
      <c r="R898" s="581"/>
      <c r="S898" s="581"/>
      <c r="T898" s="581"/>
      <c r="U898" s="581"/>
      <c r="V898" s="581"/>
      <c r="W898" s="581"/>
      <c r="X898" s="581"/>
      <c r="Y898" s="581"/>
    </row>
    <row r="899">
      <c r="A899" s="581"/>
      <c r="B899" s="581"/>
      <c r="C899" s="581"/>
      <c r="D899" s="581"/>
      <c r="E899" s="581"/>
      <c r="F899" s="581"/>
      <c r="G899" s="581"/>
      <c r="H899" s="581"/>
      <c r="I899" s="581"/>
      <c r="J899" s="581"/>
      <c r="K899" s="581"/>
      <c r="L899" s="581"/>
      <c r="M899" s="581"/>
      <c r="N899" s="581"/>
      <c r="O899" s="581"/>
      <c r="P899" s="581"/>
      <c r="Q899" s="581"/>
      <c r="R899" s="581"/>
      <c r="S899" s="581"/>
      <c r="T899" s="581"/>
      <c r="U899" s="581"/>
      <c r="V899" s="581"/>
      <c r="W899" s="581"/>
      <c r="X899" s="581"/>
      <c r="Y899" s="581"/>
    </row>
    <row r="900">
      <c r="A900" s="581"/>
      <c r="B900" s="581"/>
      <c r="C900" s="581"/>
      <c r="D900" s="581"/>
      <c r="E900" s="581"/>
      <c r="F900" s="581"/>
      <c r="G900" s="581"/>
      <c r="H900" s="581"/>
      <c r="I900" s="581"/>
      <c r="J900" s="581"/>
      <c r="K900" s="581"/>
      <c r="L900" s="581"/>
      <c r="M900" s="581"/>
      <c r="N900" s="581"/>
      <c r="O900" s="581"/>
      <c r="P900" s="581"/>
      <c r="Q900" s="581"/>
      <c r="R900" s="581"/>
      <c r="S900" s="581"/>
      <c r="T900" s="581"/>
      <c r="U900" s="581"/>
      <c r="V900" s="581"/>
      <c r="W900" s="581"/>
      <c r="X900" s="581"/>
      <c r="Y900" s="581"/>
    </row>
    <row r="901">
      <c r="A901" s="581"/>
      <c r="B901" s="581"/>
      <c r="C901" s="581"/>
      <c r="D901" s="581"/>
      <c r="E901" s="581"/>
      <c r="F901" s="581"/>
      <c r="G901" s="581"/>
      <c r="H901" s="581"/>
      <c r="I901" s="581"/>
      <c r="J901" s="581"/>
      <c r="K901" s="581"/>
      <c r="L901" s="581"/>
      <c r="M901" s="581"/>
      <c r="N901" s="581"/>
      <c r="O901" s="581"/>
      <c r="P901" s="581"/>
      <c r="Q901" s="581"/>
      <c r="R901" s="581"/>
      <c r="S901" s="581"/>
      <c r="T901" s="581"/>
      <c r="U901" s="581"/>
      <c r="V901" s="581"/>
      <c r="W901" s="581"/>
      <c r="X901" s="581"/>
      <c r="Y901" s="581"/>
    </row>
    <row r="902">
      <c r="A902" s="581"/>
      <c r="B902" s="581"/>
      <c r="C902" s="581"/>
      <c r="D902" s="581"/>
      <c r="E902" s="581"/>
      <c r="F902" s="581"/>
      <c r="G902" s="581"/>
      <c r="H902" s="581"/>
      <c r="I902" s="581"/>
      <c r="J902" s="581"/>
      <c r="K902" s="581"/>
      <c r="L902" s="581"/>
      <c r="M902" s="581"/>
      <c r="N902" s="581"/>
      <c r="O902" s="581"/>
      <c r="P902" s="581"/>
      <c r="Q902" s="581"/>
      <c r="R902" s="581"/>
      <c r="S902" s="581"/>
      <c r="T902" s="581"/>
      <c r="U902" s="581"/>
      <c r="V902" s="581"/>
      <c r="W902" s="581"/>
      <c r="X902" s="581"/>
      <c r="Y902" s="581"/>
    </row>
    <row r="903">
      <c r="A903" s="581"/>
      <c r="B903" s="581"/>
      <c r="C903" s="581"/>
      <c r="D903" s="581"/>
      <c r="E903" s="581"/>
      <c r="F903" s="581"/>
      <c r="G903" s="581"/>
      <c r="H903" s="581"/>
      <c r="I903" s="581"/>
      <c r="J903" s="581"/>
      <c r="K903" s="581"/>
      <c r="L903" s="581"/>
      <c r="M903" s="581"/>
      <c r="N903" s="581"/>
      <c r="O903" s="581"/>
      <c r="P903" s="581"/>
      <c r="Q903" s="581"/>
      <c r="R903" s="581"/>
      <c r="S903" s="581"/>
      <c r="T903" s="581"/>
      <c r="U903" s="581"/>
      <c r="V903" s="581"/>
      <c r="W903" s="581"/>
      <c r="X903" s="581"/>
      <c r="Y903" s="581"/>
    </row>
    <row r="904">
      <c r="A904" s="581"/>
      <c r="B904" s="581"/>
      <c r="C904" s="581"/>
      <c r="D904" s="581"/>
      <c r="E904" s="581"/>
      <c r="F904" s="581"/>
      <c r="G904" s="581"/>
      <c r="H904" s="581"/>
      <c r="I904" s="581"/>
      <c r="J904" s="581"/>
      <c r="K904" s="581"/>
      <c r="L904" s="581"/>
      <c r="M904" s="581"/>
      <c r="N904" s="581"/>
      <c r="O904" s="581"/>
      <c r="P904" s="581"/>
      <c r="Q904" s="581"/>
      <c r="R904" s="581"/>
      <c r="S904" s="581"/>
      <c r="T904" s="581"/>
      <c r="U904" s="581"/>
      <c r="V904" s="581"/>
      <c r="W904" s="581"/>
      <c r="X904" s="581"/>
      <c r="Y904" s="581"/>
    </row>
    <row r="905">
      <c r="A905" s="581"/>
      <c r="B905" s="581"/>
      <c r="C905" s="581"/>
      <c r="D905" s="581"/>
      <c r="E905" s="581"/>
      <c r="F905" s="581"/>
      <c r="G905" s="581"/>
      <c r="H905" s="581"/>
      <c r="I905" s="581"/>
      <c r="J905" s="581"/>
      <c r="K905" s="581"/>
      <c r="L905" s="581"/>
      <c r="M905" s="581"/>
      <c r="N905" s="581"/>
      <c r="O905" s="581"/>
      <c r="P905" s="581"/>
      <c r="Q905" s="581"/>
      <c r="R905" s="581"/>
      <c r="S905" s="581"/>
      <c r="T905" s="581"/>
      <c r="U905" s="581"/>
      <c r="V905" s="581"/>
      <c r="W905" s="581"/>
      <c r="X905" s="581"/>
      <c r="Y905" s="581"/>
    </row>
    <row r="906">
      <c r="A906" s="581"/>
      <c r="B906" s="581"/>
      <c r="C906" s="581"/>
      <c r="D906" s="581"/>
      <c r="E906" s="581"/>
      <c r="F906" s="581"/>
      <c r="G906" s="581"/>
      <c r="H906" s="581"/>
      <c r="I906" s="581"/>
      <c r="J906" s="581"/>
      <c r="K906" s="581"/>
      <c r="L906" s="581"/>
      <c r="M906" s="581"/>
      <c r="N906" s="581"/>
      <c r="O906" s="581"/>
      <c r="P906" s="581"/>
      <c r="Q906" s="581"/>
      <c r="R906" s="581"/>
      <c r="S906" s="581"/>
      <c r="T906" s="581"/>
      <c r="U906" s="581"/>
      <c r="V906" s="581"/>
      <c r="W906" s="581"/>
      <c r="X906" s="581"/>
      <c r="Y906" s="581"/>
    </row>
    <row r="907">
      <c r="A907" s="581"/>
      <c r="B907" s="581"/>
      <c r="C907" s="581"/>
      <c r="D907" s="581"/>
      <c r="E907" s="581"/>
      <c r="F907" s="581"/>
      <c r="G907" s="581"/>
      <c r="H907" s="581"/>
      <c r="I907" s="581"/>
      <c r="J907" s="581"/>
      <c r="K907" s="581"/>
      <c r="L907" s="581"/>
      <c r="M907" s="581"/>
      <c r="N907" s="581"/>
      <c r="O907" s="581"/>
      <c r="P907" s="581"/>
      <c r="Q907" s="581"/>
      <c r="R907" s="581"/>
      <c r="S907" s="581"/>
      <c r="T907" s="581"/>
      <c r="U907" s="581"/>
      <c r="V907" s="581"/>
      <c r="W907" s="581"/>
      <c r="X907" s="581"/>
      <c r="Y907" s="581"/>
    </row>
    <row r="908">
      <c r="A908" s="581"/>
      <c r="B908" s="581"/>
      <c r="C908" s="581"/>
      <c r="D908" s="581"/>
      <c r="E908" s="581"/>
      <c r="F908" s="581"/>
      <c r="G908" s="581"/>
      <c r="H908" s="581"/>
      <c r="I908" s="581"/>
      <c r="J908" s="581"/>
      <c r="K908" s="581"/>
      <c r="L908" s="581"/>
      <c r="M908" s="581"/>
      <c r="N908" s="581"/>
      <c r="O908" s="581"/>
      <c r="P908" s="581"/>
      <c r="Q908" s="581"/>
      <c r="R908" s="581"/>
      <c r="S908" s="581"/>
      <c r="T908" s="581"/>
      <c r="U908" s="581"/>
      <c r="V908" s="581"/>
      <c r="W908" s="581"/>
      <c r="X908" s="581"/>
      <c r="Y908" s="581"/>
    </row>
    <row r="909">
      <c r="A909" s="581"/>
      <c r="B909" s="581"/>
      <c r="C909" s="581"/>
      <c r="D909" s="581"/>
      <c r="E909" s="581"/>
      <c r="F909" s="581"/>
      <c r="G909" s="581"/>
      <c r="H909" s="581"/>
      <c r="I909" s="581"/>
      <c r="J909" s="581"/>
      <c r="K909" s="581"/>
      <c r="L909" s="581"/>
      <c r="M909" s="581"/>
      <c r="N909" s="581"/>
      <c r="O909" s="581"/>
      <c r="P909" s="581"/>
      <c r="Q909" s="581"/>
      <c r="R909" s="581"/>
      <c r="S909" s="581"/>
      <c r="T909" s="581"/>
      <c r="U909" s="581"/>
      <c r="V909" s="581"/>
      <c r="W909" s="581"/>
      <c r="X909" s="581"/>
      <c r="Y909" s="581"/>
    </row>
    <row r="910">
      <c r="A910" s="581"/>
      <c r="B910" s="581"/>
      <c r="C910" s="581"/>
      <c r="D910" s="581"/>
      <c r="E910" s="581"/>
      <c r="F910" s="581"/>
      <c r="G910" s="581"/>
      <c r="H910" s="581"/>
      <c r="I910" s="581"/>
      <c r="J910" s="581"/>
      <c r="K910" s="581"/>
      <c r="L910" s="581"/>
      <c r="M910" s="581"/>
      <c r="N910" s="581"/>
      <c r="O910" s="581"/>
      <c r="P910" s="581"/>
      <c r="Q910" s="581"/>
      <c r="R910" s="581"/>
      <c r="S910" s="581"/>
      <c r="T910" s="581"/>
      <c r="U910" s="581"/>
      <c r="V910" s="581"/>
      <c r="W910" s="581"/>
      <c r="X910" s="581"/>
      <c r="Y910" s="581"/>
    </row>
    <row r="911">
      <c r="A911" s="581"/>
      <c r="B911" s="581"/>
      <c r="C911" s="581"/>
      <c r="D911" s="581"/>
      <c r="E911" s="581"/>
      <c r="F911" s="581"/>
      <c r="G911" s="581"/>
      <c r="H911" s="581"/>
      <c r="I911" s="581"/>
      <c r="J911" s="581"/>
      <c r="K911" s="581"/>
      <c r="L911" s="581"/>
      <c r="M911" s="581"/>
      <c r="N911" s="581"/>
      <c r="O911" s="581"/>
      <c r="P911" s="581"/>
      <c r="Q911" s="581"/>
      <c r="R911" s="581"/>
      <c r="S911" s="581"/>
      <c r="T911" s="581"/>
      <c r="U911" s="581"/>
      <c r="V911" s="581"/>
      <c r="W911" s="581"/>
      <c r="X911" s="581"/>
      <c r="Y911" s="581"/>
    </row>
    <row r="912">
      <c r="A912" s="581"/>
      <c r="B912" s="581"/>
      <c r="C912" s="581"/>
      <c r="D912" s="581"/>
      <c r="E912" s="581"/>
      <c r="F912" s="581"/>
      <c r="G912" s="581"/>
      <c r="H912" s="581"/>
      <c r="I912" s="581"/>
      <c r="J912" s="581"/>
      <c r="K912" s="581"/>
      <c r="L912" s="581"/>
      <c r="M912" s="581"/>
      <c r="N912" s="581"/>
      <c r="O912" s="581"/>
      <c r="P912" s="581"/>
      <c r="Q912" s="581"/>
      <c r="R912" s="581"/>
      <c r="S912" s="581"/>
      <c r="T912" s="581"/>
      <c r="U912" s="581"/>
      <c r="V912" s="581"/>
      <c r="W912" s="581"/>
      <c r="X912" s="581"/>
      <c r="Y912" s="581"/>
    </row>
    <row r="913">
      <c r="A913" s="581"/>
      <c r="B913" s="581"/>
      <c r="C913" s="581"/>
      <c r="D913" s="581"/>
      <c r="E913" s="581"/>
      <c r="F913" s="581"/>
      <c r="G913" s="581"/>
      <c r="H913" s="581"/>
      <c r="I913" s="581"/>
      <c r="J913" s="581"/>
      <c r="K913" s="581"/>
      <c r="L913" s="581"/>
      <c r="M913" s="581"/>
      <c r="N913" s="581"/>
      <c r="O913" s="581"/>
      <c r="P913" s="581"/>
      <c r="Q913" s="581"/>
      <c r="R913" s="581"/>
      <c r="S913" s="581"/>
      <c r="T913" s="581"/>
      <c r="U913" s="581"/>
      <c r="V913" s="581"/>
      <c r="W913" s="581"/>
      <c r="X913" s="581"/>
      <c r="Y913" s="581"/>
    </row>
    <row r="914">
      <c r="A914" s="581"/>
      <c r="B914" s="581"/>
      <c r="C914" s="581"/>
      <c r="D914" s="581"/>
      <c r="E914" s="581"/>
      <c r="F914" s="581"/>
      <c r="G914" s="581"/>
      <c r="H914" s="581"/>
      <c r="I914" s="581"/>
      <c r="J914" s="581"/>
      <c r="K914" s="581"/>
      <c r="L914" s="581"/>
      <c r="M914" s="581"/>
      <c r="N914" s="581"/>
      <c r="O914" s="581"/>
      <c r="P914" s="581"/>
      <c r="Q914" s="581"/>
      <c r="R914" s="581"/>
      <c r="S914" s="581"/>
      <c r="T914" s="581"/>
      <c r="U914" s="581"/>
      <c r="V914" s="581"/>
      <c r="W914" s="581"/>
      <c r="X914" s="581"/>
      <c r="Y914" s="581"/>
    </row>
    <row r="915">
      <c r="A915" s="581"/>
      <c r="B915" s="581"/>
      <c r="C915" s="581"/>
      <c r="D915" s="581"/>
      <c r="E915" s="581"/>
      <c r="F915" s="581"/>
      <c r="G915" s="581"/>
      <c r="H915" s="581"/>
      <c r="I915" s="581"/>
      <c r="J915" s="581"/>
      <c r="K915" s="581"/>
      <c r="L915" s="581"/>
      <c r="M915" s="581"/>
      <c r="N915" s="581"/>
      <c r="O915" s="581"/>
      <c r="P915" s="581"/>
      <c r="Q915" s="581"/>
      <c r="R915" s="581"/>
      <c r="S915" s="581"/>
      <c r="T915" s="581"/>
      <c r="U915" s="581"/>
      <c r="V915" s="581"/>
      <c r="W915" s="581"/>
      <c r="X915" s="581"/>
      <c r="Y915" s="581"/>
    </row>
    <row r="916">
      <c r="A916" s="581"/>
      <c r="B916" s="581"/>
      <c r="C916" s="581"/>
      <c r="D916" s="581"/>
      <c r="E916" s="581"/>
      <c r="F916" s="581"/>
      <c r="G916" s="581"/>
      <c r="H916" s="581"/>
      <c r="I916" s="581"/>
      <c r="J916" s="581"/>
      <c r="K916" s="581"/>
      <c r="L916" s="581"/>
      <c r="M916" s="581"/>
      <c r="N916" s="581"/>
      <c r="O916" s="581"/>
      <c r="P916" s="581"/>
      <c r="Q916" s="581"/>
      <c r="R916" s="581"/>
      <c r="S916" s="581"/>
      <c r="T916" s="581"/>
      <c r="U916" s="581"/>
      <c r="V916" s="581"/>
      <c r="W916" s="581"/>
      <c r="X916" s="581"/>
      <c r="Y916" s="581"/>
    </row>
    <row r="917">
      <c r="A917" s="581"/>
      <c r="B917" s="581"/>
      <c r="C917" s="581"/>
      <c r="D917" s="581"/>
      <c r="E917" s="581"/>
      <c r="F917" s="581"/>
      <c r="G917" s="581"/>
      <c r="H917" s="581"/>
      <c r="I917" s="581"/>
      <c r="J917" s="581"/>
      <c r="K917" s="581"/>
      <c r="L917" s="581"/>
      <c r="M917" s="581"/>
      <c r="N917" s="581"/>
      <c r="O917" s="581"/>
      <c r="P917" s="581"/>
      <c r="Q917" s="581"/>
      <c r="R917" s="581"/>
      <c r="S917" s="581"/>
      <c r="T917" s="581"/>
      <c r="U917" s="581"/>
      <c r="V917" s="581"/>
      <c r="W917" s="581"/>
      <c r="X917" s="581"/>
      <c r="Y917" s="581"/>
    </row>
    <row r="918">
      <c r="A918" s="581"/>
      <c r="B918" s="581"/>
      <c r="C918" s="581"/>
      <c r="D918" s="581"/>
      <c r="E918" s="581"/>
      <c r="F918" s="581"/>
      <c r="G918" s="581"/>
      <c r="H918" s="581"/>
      <c r="I918" s="581"/>
      <c r="J918" s="581"/>
      <c r="K918" s="581"/>
      <c r="L918" s="581"/>
      <c r="M918" s="581"/>
      <c r="N918" s="581"/>
      <c r="O918" s="581"/>
      <c r="P918" s="581"/>
      <c r="Q918" s="581"/>
      <c r="R918" s="581"/>
      <c r="S918" s="581"/>
      <c r="T918" s="581"/>
      <c r="U918" s="581"/>
      <c r="V918" s="581"/>
      <c r="W918" s="581"/>
      <c r="X918" s="581"/>
      <c r="Y918" s="581"/>
    </row>
    <row r="919">
      <c r="A919" s="581"/>
      <c r="B919" s="581"/>
      <c r="C919" s="581"/>
      <c r="D919" s="581"/>
      <c r="E919" s="581"/>
      <c r="F919" s="581"/>
      <c r="G919" s="581"/>
      <c r="H919" s="581"/>
      <c r="I919" s="581"/>
      <c r="J919" s="581"/>
      <c r="K919" s="581"/>
      <c r="L919" s="581"/>
      <c r="M919" s="581"/>
      <c r="N919" s="581"/>
      <c r="O919" s="581"/>
      <c r="P919" s="581"/>
      <c r="Q919" s="581"/>
      <c r="R919" s="581"/>
      <c r="S919" s="581"/>
      <c r="T919" s="581"/>
      <c r="U919" s="581"/>
      <c r="V919" s="581"/>
      <c r="W919" s="581"/>
      <c r="X919" s="581"/>
      <c r="Y919" s="581"/>
    </row>
    <row r="920">
      <c r="A920" s="581"/>
      <c r="B920" s="581"/>
      <c r="C920" s="581"/>
      <c r="D920" s="581"/>
      <c r="E920" s="581"/>
      <c r="F920" s="581"/>
      <c r="G920" s="581"/>
      <c r="H920" s="581"/>
      <c r="I920" s="581"/>
      <c r="J920" s="581"/>
      <c r="K920" s="581"/>
      <c r="L920" s="581"/>
      <c r="M920" s="581"/>
      <c r="N920" s="581"/>
      <c r="O920" s="581"/>
      <c r="P920" s="581"/>
      <c r="Q920" s="581"/>
      <c r="R920" s="581"/>
      <c r="S920" s="581"/>
      <c r="T920" s="581"/>
      <c r="U920" s="581"/>
      <c r="V920" s="581"/>
      <c r="W920" s="581"/>
      <c r="X920" s="581"/>
      <c r="Y920" s="581"/>
    </row>
    <row r="921">
      <c r="A921" s="581"/>
      <c r="B921" s="581"/>
      <c r="C921" s="581"/>
      <c r="D921" s="581"/>
      <c r="E921" s="581"/>
      <c r="F921" s="581"/>
      <c r="G921" s="581"/>
      <c r="H921" s="581"/>
      <c r="I921" s="581"/>
      <c r="J921" s="581"/>
      <c r="K921" s="581"/>
      <c r="L921" s="581"/>
      <c r="M921" s="581"/>
      <c r="N921" s="581"/>
      <c r="O921" s="581"/>
      <c r="P921" s="581"/>
      <c r="Q921" s="581"/>
      <c r="R921" s="581"/>
      <c r="S921" s="581"/>
      <c r="T921" s="581"/>
      <c r="U921" s="581"/>
      <c r="V921" s="581"/>
      <c r="W921" s="581"/>
      <c r="X921" s="581"/>
      <c r="Y921" s="581"/>
    </row>
    <row r="922">
      <c r="A922" s="581"/>
      <c r="B922" s="581"/>
      <c r="C922" s="581"/>
      <c r="D922" s="581"/>
      <c r="E922" s="581"/>
      <c r="F922" s="581"/>
      <c r="G922" s="581"/>
      <c r="H922" s="581"/>
      <c r="I922" s="581"/>
      <c r="J922" s="581"/>
      <c r="K922" s="581"/>
      <c r="L922" s="581"/>
      <c r="M922" s="581"/>
      <c r="N922" s="581"/>
      <c r="O922" s="581"/>
      <c r="P922" s="581"/>
      <c r="Q922" s="581"/>
      <c r="R922" s="581"/>
      <c r="S922" s="581"/>
      <c r="T922" s="581"/>
      <c r="U922" s="581"/>
      <c r="V922" s="581"/>
      <c r="W922" s="581"/>
      <c r="X922" s="581"/>
      <c r="Y922" s="581"/>
    </row>
    <row r="923">
      <c r="A923" s="581"/>
      <c r="B923" s="581"/>
      <c r="C923" s="581"/>
      <c r="D923" s="581"/>
      <c r="E923" s="581"/>
      <c r="F923" s="581"/>
      <c r="G923" s="581"/>
      <c r="H923" s="581"/>
      <c r="I923" s="581"/>
      <c r="J923" s="581"/>
      <c r="K923" s="581"/>
      <c r="L923" s="581"/>
      <c r="M923" s="581"/>
      <c r="N923" s="581"/>
      <c r="O923" s="581"/>
      <c r="P923" s="581"/>
      <c r="Q923" s="581"/>
      <c r="R923" s="581"/>
      <c r="S923" s="581"/>
      <c r="T923" s="581"/>
      <c r="U923" s="581"/>
      <c r="V923" s="581"/>
      <c r="W923" s="581"/>
      <c r="X923" s="581"/>
      <c r="Y923" s="581"/>
    </row>
    <row r="924">
      <c r="A924" s="581"/>
      <c r="B924" s="581"/>
      <c r="C924" s="581"/>
      <c r="D924" s="581"/>
      <c r="E924" s="581"/>
      <c r="F924" s="581"/>
      <c r="G924" s="581"/>
      <c r="H924" s="581"/>
      <c r="I924" s="581"/>
      <c r="J924" s="581"/>
      <c r="K924" s="581"/>
      <c r="L924" s="581"/>
      <c r="M924" s="581"/>
      <c r="N924" s="581"/>
      <c r="O924" s="581"/>
      <c r="P924" s="581"/>
      <c r="Q924" s="581"/>
      <c r="R924" s="581"/>
      <c r="S924" s="581"/>
      <c r="T924" s="581"/>
      <c r="U924" s="581"/>
      <c r="V924" s="581"/>
      <c r="W924" s="581"/>
      <c r="X924" s="581"/>
      <c r="Y924" s="581"/>
    </row>
    <row r="925">
      <c r="A925" s="581"/>
      <c r="B925" s="581"/>
      <c r="C925" s="581"/>
      <c r="D925" s="581"/>
      <c r="E925" s="581"/>
      <c r="F925" s="581"/>
      <c r="G925" s="581"/>
      <c r="H925" s="581"/>
      <c r="I925" s="581"/>
      <c r="J925" s="581"/>
      <c r="K925" s="581"/>
      <c r="L925" s="581"/>
      <c r="M925" s="581"/>
      <c r="N925" s="581"/>
      <c r="O925" s="581"/>
      <c r="P925" s="581"/>
      <c r="Q925" s="581"/>
      <c r="R925" s="581"/>
      <c r="S925" s="581"/>
      <c r="T925" s="581"/>
      <c r="U925" s="581"/>
      <c r="V925" s="581"/>
      <c r="W925" s="581"/>
      <c r="X925" s="581"/>
      <c r="Y925" s="581"/>
    </row>
    <row r="926">
      <c r="A926" s="581"/>
      <c r="B926" s="581"/>
      <c r="C926" s="581"/>
      <c r="D926" s="581"/>
      <c r="E926" s="581"/>
      <c r="F926" s="581"/>
      <c r="G926" s="581"/>
      <c r="H926" s="581"/>
      <c r="I926" s="581"/>
      <c r="J926" s="581"/>
      <c r="K926" s="581"/>
      <c r="L926" s="581"/>
      <c r="M926" s="581"/>
      <c r="N926" s="581"/>
      <c r="O926" s="581"/>
      <c r="P926" s="581"/>
      <c r="Q926" s="581"/>
      <c r="R926" s="581"/>
      <c r="S926" s="581"/>
      <c r="T926" s="581"/>
      <c r="U926" s="581"/>
      <c r="V926" s="581"/>
      <c r="W926" s="581"/>
      <c r="X926" s="581"/>
      <c r="Y926" s="581"/>
    </row>
    <row r="927">
      <c r="A927" s="581"/>
      <c r="B927" s="581"/>
      <c r="C927" s="581"/>
      <c r="D927" s="581"/>
      <c r="E927" s="581"/>
      <c r="F927" s="581"/>
      <c r="G927" s="581"/>
      <c r="H927" s="581"/>
      <c r="I927" s="581"/>
      <c r="J927" s="581"/>
      <c r="K927" s="581"/>
      <c r="L927" s="581"/>
      <c r="M927" s="581"/>
      <c r="N927" s="581"/>
      <c r="O927" s="581"/>
      <c r="P927" s="581"/>
      <c r="Q927" s="581"/>
      <c r="R927" s="581"/>
      <c r="S927" s="581"/>
      <c r="T927" s="581"/>
      <c r="U927" s="581"/>
      <c r="V927" s="581"/>
      <c r="W927" s="581"/>
      <c r="X927" s="581"/>
      <c r="Y927" s="581"/>
    </row>
    <row r="928">
      <c r="A928" s="581"/>
      <c r="B928" s="581"/>
      <c r="C928" s="581"/>
      <c r="D928" s="581"/>
      <c r="E928" s="581"/>
      <c r="F928" s="581"/>
      <c r="G928" s="581"/>
      <c r="H928" s="581"/>
      <c r="I928" s="581"/>
      <c r="J928" s="581"/>
      <c r="K928" s="581"/>
      <c r="L928" s="581"/>
      <c r="M928" s="581"/>
      <c r="N928" s="581"/>
      <c r="O928" s="581"/>
      <c r="P928" s="581"/>
      <c r="Q928" s="581"/>
      <c r="R928" s="581"/>
      <c r="S928" s="581"/>
      <c r="T928" s="581"/>
      <c r="U928" s="581"/>
      <c r="V928" s="581"/>
      <c r="W928" s="581"/>
      <c r="X928" s="581"/>
      <c r="Y928" s="581"/>
    </row>
    <row r="929">
      <c r="A929" s="581"/>
      <c r="B929" s="581"/>
      <c r="C929" s="581"/>
      <c r="D929" s="581"/>
      <c r="E929" s="581"/>
      <c r="F929" s="581"/>
      <c r="G929" s="581"/>
      <c r="H929" s="581"/>
      <c r="I929" s="581"/>
      <c r="J929" s="581"/>
      <c r="K929" s="581"/>
      <c r="L929" s="581"/>
      <c r="M929" s="581"/>
      <c r="N929" s="581"/>
      <c r="O929" s="581"/>
      <c r="P929" s="581"/>
      <c r="Q929" s="581"/>
      <c r="R929" s="581"/>
      <c r="S929" s="581"/>
      <c r="T929" s="581"/>
      <c r="U929" s="581"/>
      <c r="V929" s="581"/>
      <c r="W929" s="581"/>
      <c r="X929" s="581"/>
      <c r="Y929" s="581"/>
    </row>
    <row r="930">
      <c r="A930" s="581"/>
      <c r="B930" s="581"/>
      <c r="C930" s="581"/>
      <c r="D930" s="581"/>
      <c r="E930" s="581"/>
      <c r="F930" s="581"/>
      <c r="G930" s="581"/>
      <c r="H930" s="581"/>
      <c r="I930" s="581"/>
      <c r="J930" s="581"/>
      <c r="K930" s="581"/>
      <c r="L930" s="581"/>
      <c r="M930" s="581"/>
      <c r="N930" s="581"/>
      <c r="O930" s="581"/>
      <c r="P930" s="581"/>
      <c r="Q930" s="581"/>
      <c r="R930" s="581"/>
      <c r="S930" s="581"/>
      <c r="T930" s="581"/>
      <c r="U930" s="581"/>
      <c r="V930" s="581"/>
      <c r="W930" s="581"/>
      <c r="X930" s="581"/>
      <c r="Y930" s="581"/>
    </row>
    <row r="931">
      <c r="A931" s="581"/>
      <c r="B931" s="581"/>
      <c r="C931" s="581"/>
      <c r="D931" s="581"/>
      <c r="E931" s="581"/>
      <c r="F931" s="581"/>
      <c r="G931" s="581"/>
      <c r="H931" s="581"/>
      <c r="I931" s="581"/>
      <c r="J931" s="581"/>
      <c r="K931" s="581"/>
      <c r="L931" s="581"/>
      <c r="M931" s="581"/>
      <c r="N931" s="581"/>
      <c r="O931" s="581"/>
      <c r="P931" s="581"/>
      <c r="Q931" s="581"/>
      <c r="R931" s="581"/>
      <c r="S931" s="581"/>
      <c r="T931" s="581"/>
      <c r="U931" s="581"/>
      <c r="V931" s="581"/>
      <c r="W931" s="581"/>
      <c r="X931" s="581"/>
      <c r="Y931" s="581"/>
    </row>
    <row r="932">
      <c r="A932" s="581"/>
      <c r="B932" s="581"/>
      <c r="C932" s="581"/>
      <c r="D932" s="581"/>
      <c r="E932" s="581"/>
      <c r="F932" s="581"/>
      <c r="G932" s="581"/>
      <c r="H932" s="581"/>
      <c r="I932" s="581"/>
      <c r="J932" s="581"/>
      <c r="K932" s="581"/>
      <c r="L932" s="581"/>
      <c r="M932" s="581"/>
      <c r="N932" s="581"/>
      <c r="O932" s="581"/>
      <c r="P932" s="581"/>
      <c r="Q932" s="581"/>
      <c r="R932" s="581"/>
      <c r="S932" s="581"/>
      <c r="T932" s="581"/>
      <c r="U932" s="581"/>
      <c r="V932" s="581"/>
      <c r="W932" s="581"/>
      <c r="X932" s="581"/>
      <c r="Y932" s="581"/>
    </row>
    <row r="933">
      <c r="A933" s="581"/>
      <c r="B933" s="581"/>
      <c r="C933" s="581"/>
      <c r="D933" s="581"/>
      <c r="E933" s="581"/>
      <c r="F933" s="581"/>
      <c r="G933" s="581"/>
      <c r="H933" s="581"/>
      <c r="I933" s="581"/>
      <c r="J933" s="581"/>
      <c r="K933" s="581"/>
      <c r="L933" s="581"/>
      <c r="M933" s="581"/>
      <c r="N933" s="581"/>
      <c r="O933" s="581"/>
      <c r="P933" s="581"/>
      <c r="Q933" s="581"/>
      <c r="R933" s="581"/>
      <c r="S933" s="581"/>
      <c r="T933" s="581"/>
      <c r="U933" s="581"/>
      <c r="V933" s="581"/>
      <c r="W933" s="581"/>
      <c r="X933" s="581"/>
      <c r="Y933" s="581"/>
    </row>
    <row r="934">
      <c r="A934" s="581"/>
      <c r="B934" s="581"/>
      <c r="C934" s="581"/>
      <c r="D934" s="581"/>
      <c r="E934" s="581"/>
      <c r="F934" s="581"/>
      <c r="G934" s="581"/>
      <c r="H934" s="581"/>
      <c r="I934" s="581"/>
      <c r="J934" s="581"/>
      <c r="K934" s="581"/>
      <c r="L934" s="581"/>
      <c r="M934" s="581"/>
      <c r="N934" s="581"/>
      <c r="O934" s="581"/>
      <c r="P934" s="581"/>
      <c r="Q934" s="581"/>
      <c r="R934" s="581"/>
      <c r="S934" s="581"/>
      <c r="T934" s="581"/>
      <c r="U934" s="581"/>
      <c r="V934" s="581"/>
      <c r="W934" s="581"/>
      <c r="X934" s="581"/>
      <c r="Y934" s="581"/>
    </row>
    <row r="935">
      <c r="A935" s="581"/>
      <c r="B935" s="581"/>
      <c r="C935" s="581"/>
      <c r="D935" s="581"/>
      <c r="E935" s="581"/>
      <c r="F935" s="581"/>
      <c r="G935" s="581"/>
      <c r="H935" s="581"/>
      <c r="I935" s="581"/>
      <c r="J935" s="581"/>
      <c r="K935" s="581"/>
      <c r="L935" s="581"/>
      <c r="M935" s="581"/>
      <c r="N935" s="581"/>
      <c r="O935" s="581"/>
      <c r="P935" s="581"/>
      <c r="Q935" s="581"/>
      <c r="R935" s="581"/>
      <c r="S935" s="581"/>
      <c r="T935" s="581"/>
      <c r="U935" s="581"/>
      <c r="V935" s="581"/>
      <c r="W935" s="581"/>
      <c r="X935" s="581"/>
      <c r="Y935" s="581"/>
    </row>
    <row r="936">
      <c r="A936" s="581"/>
      <c r="B936" s="581"/>
      <c r="C936" s="581"/>
      <c r="D936" s="581"/>
      <c r="E936" s="581"/>
      <c r="F936" s="581"/>
      <c r="G936" s="581"/>
      <c r="H936" s="581"/>
      <c r="I936" s="581"/>
      <c r="J936" s="581"/>
      <c r="K936" s="581"/>
      <c r="L936" s="581"/>
      <c r="M936" s="581"/>
      <c r="N936" s="581"/>
      <c r="O936" s="581"/>
      <c r="P936" s="581"/>
      <c r="Q936" s="581"/>
      <c r="R936" s="581"/>
      <c r="S936" s="581"/>
      <c r="T936" s="581"/>
      <c r="U936" s="581"/>
      <c r="V936" s="581"/>
      <c r="W936" s="581"/>
      <c r="X936" s="581"/>
      <c r="Y936" s="581"/>
    </row>
    <row r="937">
      <c r="A937" s="581"/>
      <c r="B937" s="581"/>
      <c r="C937" s="581"/>
      <c r="D937" s="581"/>
      <c r="E937" s="581"/>
      <c r="F937" s="581"/>
      <c r="G937" s="581"/>
      <c r="H937" s="581"/>
      <c r="I937" s="581"/>
      <c r="J937" s="581"/>
      <c r="K937" s="581"/>
      <c r="L937" s="581"/>
      <c r="M937" s="581"/>
      <c r="N937" s="581"/>
      <c r="O937" s="581"/>
      <c r="P937" s="581"/>
      <c r="Q937" s="581"/>
      <c r="R937" s="581"/>
      <c r="S937" s="581"/>
      <c r="T937" s="581"/>
      <c r="U937" s="581"/>
      <c r="V937" s="581"/>
      <c r="W937" s="581"/>
      <c r="X937" s="581"/>
      <c r="Y937" s="581"/>
    </row>
    <row r="938">
      <c r="A938" s="581"/>
      <c r="B938" s="581"/>
      <c r="C938" s="581"/>
      <c r="D938" s="581"/>
      <c r="E938" s="581"/>
      <c r="F938" s="581"/>
      <c r="G938" s="581"/>
      <c r="H938" s="581"/>
      <c r="I938" s="581"/>
      <c r="J938" s="581"/>
      <c r="K938" s="581"/>
      <c r="L938" s="581"/>
      <c r="M938" s="581"/>
      <c r="N938" s="581"/>
      <c r="O938" s="581"/>
      <c r="P938" s="581"/>
      <c r="Q938" s="581"/>
      <c r="R938" s="581"/>
      <c r="S938" s="581"/>
      <c r="T938" s="581"/>
      <c r="U938" s="581"/>
      <c r="V938" s="581"/>
      <c r="W938" s="581"/>
      <c r="X938" s="581"/>
      <c r="Y938" s="581"/>
    </row>
    <row r="939">
      <c r="A939" s="581"/>
      <c r="B939" s="581"/>
      <c r="C939" s="581"/>
      <c r="D939" s="581"/>
      <c r="E939" s="581"/>
      <c r="F939" s="581"/>
      <c r="G939" s="581"/>
      <c r="H939" s="581"/>
      <c r="I939" s="581"/>
      <c r="J939" s="581"/>
      <c r="K939" s="581"/>
      <c r="L939" s="581"/>
      <c r="M939" s="581"/>
      <c r="N939" s="581"/>
      <c r="O939" s="581"/>
      <c r="P939" s="581"/>
      <c r="Q939" s="581"/>
      <c r="R939" s="581"/>
      <c r="S939" s="581"/>
      <c r="T939" s="581"/>
      <c r="U939" s="581"/>
      <c r="V939" s="581"/>
      <c r="W939" s="581"/>
      <c r="X939" s="581"/>
      <c r="Y939" s="581"/>
    </row>
    <row r="940">
      <c r="A940" s="581"/>
      <c r="B940" s="581"/>
      <c r="C940" s="581"/>
      <c r="D940" s="581"/>
      <c r="E940" s="581"/>
      <c r="F940" s="581"/>
      <c r="G940" s="581"/>
      <c r="H940" s="581"/>
      <c r="I940" s="581"/>
      <c r="J940" s="581"/>
      <c r="K940" s="581"/>
      <c r="L940" s="581"/>
      <c r="M940" s="581"/>
      <c r="N940" s="581"/>
      <c r="O940" s="581"/>
      <c r="P940" s="581"/>
      <c r="Q940" s="581"/>
      <c r="R940" s="581"/>
      <c r="S940" s="581"/>
      <c r="T940" s="581"/>
      <c r="U940" s="581"/>
      <c r="V940" s="581"/>
      <c r="W940" s="581"/>
      <c r="X940" s="581"/>
      <c r="Y940" s="581"/>
    </row>
    <row r="941">
      <c r="A941" s="581"/>
      <c r="B941" s="581"/>
      <c r="C941" s="581"/>
      <c r="D941" s="581"/>
      <c r="E941" s="581"/>
      <c r="F941" s="581"/>
      <c r="G941" s="581"/>
      <c r="H941" s="581"/>
      <c r="I941" s="581"/>
      <c r="J941" s="581"/>
      <c r="K941" s="581"/>
      <c r="L941" s="581"/>
      <c r="M941" s="581"/>
      <c r="N941" s="581"/>
      <c r="O941" s="581"/>
      <c r="P941" s="581"/>
      <c r="Q941" s="581"/>
      <c r="R941" s="581"/>
      <c r="S941" s="581"/>
      <c r="T941" s="581"/>
      <c r="U941" s="581"/>
      <c r="V941" s="581"/>
      <c r="W941" s="581"/>
      <c r="X941" s="581"/>
      <c r="Y941" s="581"/>
    </row>
    <row r="942">
      <c r="A942" s="581"/>
      <c r="B942" s="581"/>
      <c r="C942" s="581"/>
      <c r="D942" s="581"/>
      <c r="E942" s="581"/>
      <c r="F942" s="581"/>
      <c r="G942" s="581"/>
      <c r="H942" s="581"/>
      <c r="I942" s="581"/>
      <c r="J942" s="581"/>
      <c r="K942" s="581"/>
      <c r="L942" s="581"/>
      <c r="M942" s="581"/>
      <c r="N942" s="581"/>
      <c r="O942" s="581"/>
      <c r="P942" s="581"/>
      <c r="Q942" s="581"/>
      <c r="R942" s="581"/>
      <c r="S942" s="581"/>
      <c r="T942" s="581"/>
      <c r="U942" s="581"/>
      <c r="V942" s="581"/>
      <c r="W942" s="581"/>
      <c r="X942" s="581"/>
      <c r="Y942" s="581"/>
    </row>
    <row r="943">
      <c r="A943" s="581"/>
      <c r="B943" s="581"/>
      <c r="C943" s="581"/>
      <c r="D943" s="581"/>
      <c r="E943" s="581"/>
      <c r="F943" s="581"/>
      <c r="G943" s="581"/>
      <c r="H943" s="581"/>
      <c r="I943" s="581"/>
      <c r="J943" s="581"/>
      <c r="K943" s="581"/>
      <c r="L943" s="581"/>
      <c r="M943" s="581"/>
      <c r="N943" s="581"/>
      <c r="O943" s="581"/>
      <c r="P943" s="581"/>
      <c r="Q943" s="581"/>
      <c r="R943" s="581"/>
      <c r="S943" s="581"/>
      <c r="T943" s="581"/>
      <c r="U943" s="581"/>
      <c r="V943" s="581"/>
      <c r="W943" s="581"/>
      <c r="X943" s="581"/>
      <c r="Y943" s="581"/>
    </row>
    <row r="944">
      <c r="A944" s="581"/>
      <c r="B944" s="581"/>
      <c r="C944" s="581"/>
      <c r="D944" s="581"/>
      <c r="E944" s="581"/>
      <c r="F944" s="581"/>
      <c r="G944" s="581"/>
      <c r="H944" s="581"/>
      <c r="I944" s="581"/>
      <c r="J944" s="581"/>
      <c r="K944" s="581"/>
      <c r="L944" s="581"/>
      <c r="M944" s="581"/>
      <c r="N944" s="581"/>
      <c r="O944" s="581"/>
      <c r="P944" s="581"/>
      <c r="Q944" s="581"/>
      <c r="R944" s="581"/>
      <c r="S944" s="581"/>
      <c r="T944" s="581"/>
      <c r="U944" s="581"/>
      <c r="V944" s="581"/>
      <c r="W944" s="581"/>
      <c r="X944" s="581"/>
      <c r="Y944" s="581"/>
    </row>
    <row r="945">
      <c r="A945" s="581"/>
      <c r="B945" s="581"/>
      <c r="C945" s="581"/>
      <c r="D945" s="581"/>
      <c r="E945" s="581"/>
      <c r="F945" s="581"/>
      <c r="G945" s="581"/>
      <c r="H945" s="581"/>
      <c r="I945" s="581"/>
      <c r="J945" s="581"/>
      <c r="K945" s="581"/>
      <c r="L945" s="581"/>
      <c r="M945" s="581"/>
      <c r="N945" s="581"/>
      <c r="O945" s="581"/>
      <c r="P945" s="581"/>
      <c r="Q945" s="581"/>
      <c r="R945" s="581"/>
      <c r="S945" s="581"/>
      <c r="T945" s="581"/>
      <c r="U945" s="581"/>
      <c r="V945" s="581"/>
      <c r="W945" s="581"/>
      <c r="X945" s="581"/>
      <c r="Y945" s="581"/>
    </row>
    <row r="946">
      <c r="A946" s="581"/>
      <c r="B946" s="581"/>
      <c r="C946" s="581"/>
      <c r="D946" s="581"/>
      <c r="E946" s="581"/>
      <c r="F946" s="581"/>
      <c r="G946" s="581"/>
      <c r="H946" s="581"/>
      <c r="I946" s="581"/>
      <c r="J946" s="581"/>
      <c r="K946" s="581"/>
      <c r="L946" s="581"/>
      <c r="M946" s="581"/>
      <c r="N946" s="581"/>
      <c r="O946" s="581"/>
      <c r="P946" s="581"/>
      <c r="Q946" s="581"/>
      <c r="R946" s="581"/>
      <c r="S946" s="581"/>
      <c r="T946" s="581"/>
      <c r="U946" s="581"/>
      <c r="V946" s="581"/>
      <c r="W946" s="581"/>
      <c r="X946" s="581"/>
      <c r="Y946" s="581"/>
    </row>
    <row r="947">
      <c r="A947" s="581"/>
      <c r="B947" s="581"/>
      <c r="C947" s="581"/>
      <c r="D947" s="581"/>
      <c r="E947" s="581"/>
      <c r="F947" s="581"/>
      <c r="G947" s="581"/>
      <c r="H947" s="581"/>
      <c r="I947" s="581"/>
      <c r="J947" s="581"/>
      <c r="K947" s="581"/>
      <c r="L947" s="581"/>
      <c r="M947" s="581"/>
      <c r="N947" s="581"/>
      <c r="O947" s="581"/>
      <c r="P947" s="581"/>
      <c r="Q947" s="581"/>
      <c r="R947" s="581"/>
      <c r="S947" s="581"/>
      <c r="T947" s="581"/>
      <c r="U947" s="581"/>
      <c r="V947" s="581"/>
      <c r="W947" s="581"/>
      <c r="X947" s="581"/>
      <c r="Y947" s="581"/>
    </row>
    <row r="948">
      <c r="A948" s="581"/>
      <c r="B948" s="581"/>
      <c r="C948" s="581"/>
      <c r="D948" s="581"/>
      <c r="E948" s="581"/>
      <c r="F948" s="581"/>
      <c r="G948" s="581"/>
      <c r="H948" s="581"/>
      <c r="I948" s="581"/>
      <c r="J948" s="581"/>
      <c r="K948" s="581"/>
      <c r="L948" s="581"/>
      <c r="M948" s="581"/>
      <c r="N948" s="581"/>
      <c r="O948" s="581"/>
      <c r="P948" s="581"/>
      <c r="Q948" s="581"/>
      <c r="R948" s="581"/>
      <c r="S948" s="581"/>
      <c r="T948" s="581"/>
      <c r="U948" s="581"/>
      <c r="V948" s="581"/>
      <c r="W948" s="581"/>
      <c r="X948" s="581"/>
      <c r="Y948" s="581"/>
    </row>
    <row r="949">
      <c r="A949" s="581"/>
      <c r="B949" s="581"/>
      <c r="C949" s="581"/>
      <c r="D949" s="581"/>
      <c r="E949" s="581"/>
      <c r="F949" s="581"/>
      <c r="G949" s="581"/>
      <c r="H949" s="581"/>
      <c r="I949" s="581"/>
      <c r="J949" s="581"/>
      <c r="K949" s="581"/>
      <c r="L949" s="581"/>
      <c r="M949" s="581"/>
      <c r="N949" s="581"/>
      <c r="O949" s="581"/>
      <c r="P949" s="581"/>
      <c r="Q949" s="581"/>
      <c r="R949" s="581"/>
      <c r="S949" s="581"/>
      <c r="T949" s="581"/>
      <c r="U949" s="581"/>
      <c r="V949" s="581"/>
      <c r="W949" s="581"/>
      <c r="X949" s="581"/>
      <c r="Y949" s="581"/>
    </row>
    <row r="950">
      <c r="A950" s="581"/>
      <c r="B950" s="581"/>
      <c r="C950" s="581"/>
      <c r="D950" s="581"/>
      <c r="E950" s="581"/>
      <c r="F950" s="581"/>
      <c r="G950" s="581"/>
      <c r="H950" s="581"/>
      <c r="I950" s="581"/>
      <c r="J950" s="581"/>
      <c r="K950" s="581"/>
      <c r="L950" s="581"/>
      <c r="M950" s="581"/>
      <c r="N950" s="581"/>
      <c r="O950" s="581"/>
      <c r="P950" s="581"/>
      <c r="Q950" s="581"/>
      <c r="R950" s="581"/>
      <c r="S950" s="581"/>
      <c r="T950" s="581"/>
      <c r="U950" s="581"/>
      <c r="V950" s="581"/>
      <c r="W950" s="581"/>
      <c r="X950" s="581"/>
      <c r="Y950" s="581"/>
    </row>
    <row r="951">
      <c r="A951" s="581"/>
      <c r="B951" s="581"/>
      <c r="C951" s="581"/>
      <c r="D951" s="581"/>
      <c r="E951" s="581"/>
      <c r="F951" s="581"/>
      <c r="G951" s="581"/>
      <c r="H951" s="581"/>
      <c r="I951" s="581"/>
      <c r="J951" s="581"/>
      <c r="K951" s="581"/>
      <c r="L951" s="581"/>
      <c r="M951" s="581"/>
      <c r="N951" s="581"/>
      <c r="O951" s="581"/>
      <c r="P951" s="581"/>
      <c r="Q951" s="581"/>
      <c r="R951" s="581"/>
      <c r="S951" s="581"/>
      <c r="T951" s="581"/>
      <c r="U951" s="581"/>
      <c r="V951" s="581"/>
      <c r="W951" s="581"/>
      <c r="X951" s="581"/>
      <c r="Y951" s="581"/>
    </row>
    <row r="952">
      <c r="A952" s="581"/>
      <c r="B952" s="581"/>
      <c r="C952" s="581"/>
      <c r="D952" s="581"/>
      <c r="E952" s="581"/>
      <c r="F952" s="581"/>
      <c r="G952" s="581"/>
      <c r="H952" s="581"/>
      <c r="I952" s="581"/>
      <c r="J952" s="581"/>
      <c r="K952" s="581"/>
      <c r="L952" s="581"/>
      <c r="M952" s="581"/>
      <c r="N952" s="581"/>
      <c r="O952" s="581"/>
      <c r="P952" s="581"/>
      <c r="Q952" s="581"/>
      <c r="R952" s="581"/>
      <c r="S952" s="581"/>
      <c r="T952" s="581"/>
      <c r="U952" s="581"/>
      <c r="V952" s="581"/>
      <c r="W952" s="581"/>
      <c r="X952" s="581"/>
      <c r="Y952" s="581"/>
    </row>
    <row r="953">
      <c r="A953" s="581"/>
      <c r="B953" s="581"/>
      <c r="C953" s="581"/>
      <c r="D953" s="581"/>
      <c r="E953" s="581"/>
      <c r="F953" s="581"/>
      <c r="G953" s="581"/>
      <c r="H953" s="581"/>
      <c r="I953" s="581"/>
      <c r="J953" s="581"/>
      <c r="K953" s="581"/>
      <c r="L953" s="581"/>
      <c r="M953" s="581"/>
      <c r="N953" s="581"/>
      <c r="O953" s="581"/>
      <c r="P953" s="581"/>
      <c r="Q953" s="581"/>
      <c r="R953" s="581"/>
      <c r="S953" s="581"/>
      <c r="T953" s="581"/>
      <c r="U953" s="581"/>
      <c r="V953" s="581"/>
      <c r="W953" s="581"/>
      <c r="X953" s="581"/>
      <c r="Y953" s="581"/>
    </row>
    <row r="954">
      <c r="A954" s="581"/>
      <c r="B954" s="581"/>
      <c r="C954" s="581"/>
      <c r="D954" s="581"/>
      <c r="E954" s="581"/>
      <c r="F954" s="581"/>
      <c r="G954" s="581"/>
      <c r="H954" s="581"/>
      <c r="I954" s="581"/>
      <c r="J954" s="581"/>
      <c r="K954" s="581"/>
      <c r="L954" s="581"/>
      <c r="M954" s="581"/>
      <c r="N954" s="581"/>
      <c r="O954" s="581"/>
      <c r="P954" s="581"/>
      <c r="Q954" s="581"/>
      <c r="R954" s="581"/>
      <c r="S954" s="581"/>
      <c r="T954" s="581"/>
      <c r="U954" s="581"/>
      <c r="V954" s="581"/>
      <c r="W954" s="581"/>
      <c r="X954" s="581"/>
      <c r="Y954" s="581"/>
    </row>
    <row r="955">
      <c r="A955" s="581"/>
      <c r="B955" s="581"/>
      <c r="C955" s="581"/>
      <c r="D955" s="581"/>
      <c r="E955" s="581"/>
      <c r="F955" s="581"/>
      <c r="G955" s="581"/>
      <c r="H955" s="581"/>
      <c r="I955" s="581"/>
      <c r="J955" s="581"/>
      <c r="K955" s="581"/>
      <c r="L955" s="581"/>
      <c r="M955" s="581"/>
      <c r="N955" s="581"/>
      <c r="O955" s="581"/>
      <c r="P955" s="581"/>
      <c r="Q955" s="581"/>
      <c r="R955" s="581"/>
      <c r="S955" s="581"/>
      <c r="T955" s="581"/>
      <c r="U955" s="581"/>
      <c r="V955" s="581"/>
      <c r="W955" s="581"/>
      <c r="X955" s="581"/>
      <c r="Y955" s="581"/>
    </row>
    <row r="956">
      <c r="A956" s="581"/>
      <c r="B956" s="581"/>
      <c r="C956" s="581"/>
      <c r="D956" s="581"/>
      <c r="E956" s="581"/>
      <c r="F956" s="581"/>
      <c r="G956" s="581"/>
      <c r="H956" s="581"/>
      <c r="I956" s="581"/>
      <c r="J956" s="581"/>
      <c r="K956" s="581"/>
      <c r="L956" s="581"/>
      <c r="M956" s="581"/>
      <c r="N956" s="581"/>
      <c r="O956" s="581"/>
      <c r="P956" s="581"/>
      <c r="Q956" s="581"/>
      <c r="R956" s="581"/>
      <c r="S956" s="581"/>
      <c r="T956" s="581"/>
      <c r="U956" s="581"/>
      <c r="V956" s="581"/>
      <c r="W956" s="581"/>
      <c r="X956" s="581"/>
      <c r="Y956" s="581"/>
    </row>
    <row r="957">
      <c r="A957" s="581"/>
      <c r="B957" s="581"/>
      <c r="C957" s="581"/>
      <c r="D957" s="581"/>
      <c r="E957" s="581"/>
      <c r="F957" s="581"/>
      <c r="G957" s="581"/>
      <c r="H957" s="581"/>
      <c r="I957" s="581"/>
      <c r="J957" s="581"/>
      <c r="K957" s="581"/>
      <c r="L957" s="581"/>
      <c r="M957" s="581"/>
      <c r="N957" s="581"/>
      <c r="O957" s="581"/>
      <c r="P957" s="581"/>
      <c r="Q957" s="581"/>
      <c r="R957" s="581"/>
      <c r="S957" s="581"/>
      <c r="T957" s="581"/>
      <c r="U957" s="581"/>
      <c r="V957" s="581"/>
      <c r="W957" s="581"/>
      <c r="X957" s="581"/>
      <c r="Y957" s="581"/>
    </row>
    <row r="958">
      <c r="A958" s="581"/>
      <c r="B958" s="581"/>
      <c r="C958" s="581"/>
      <c r="D958" s="581"/>
      <c r="E958" s="581"/>
      <c r="F958" s="581"/>
      <c r="G958" s="581"/>
      <c r="H958" s="581"/>
      <c r="I958" s="581"/>
      <c r="J958" s="581"/>
      <c r="K958" s="581"/>
      <c r="L958" s="581"/>
      <c r="M958" s="581"/>
      <c r="N958" s="581"/>
      <c r="O958" s="581"/>
      <c r="P958" s="581"/>
      <c r="Q958" s="581"/>
      <c r="R958" s="581"/>
      <c r="S958" s="581"/>
      <c r="T958" s="581"/>
      <c r="U958" s="581"/>
      <c r="V958" s="581"/>
      <c r="W958" s="581"/>
      <c r="X958" s="581"/>
      <c r="Y958" s="581"/>
    </row>
    <row r="959">
      <c r="A959" s="581"/>
      <c r="B959" s="581"/>
      <c r="C959" s="581"/>
      <c r="D959" s="581"/>
      <c r="E959" s="581"/>
      <c r="F959" s="581"/>
      <c r="G959" s="581"/>
      <c r="H959" s="581"/>
      <c r="I959" s="581"/>
      <c r="J959" s="581"/>
      <c r="K959" s="581"/>
      <c r="L959" s="581"/>
      <c r="M959" s="581"/>
      <c r="N959" s="581"/>
      <c r="O959" s="581"/>
      <c r="P959" s="581"/>
      <c r="Q959" s="581"/>
      <c r="R959" s="581"/>
      <c r="S959" s="581"/>
      <c r="T959" s="581"/>
      <c r="U959" s="581"/>
      <c r="V959" s="581"/>
      <c r="W959" s="581"/>
      <c r="X959" s="581"/>
      <c r="Y959" s="581"/>
    </row>
    <row r="960">
      <c r="A960" s="581"/>
      <c r="B960" s="581"/>
      <c r="C960" s="581"/>
      <c r="D960" s="581"/>
      <c r="E960" s="581"/>
      <c r="F960" s="581"/>
      <c r="G960" s="581"/>
      <c r="H960" s="581"/>
      <c r="I960" s="581"/>
      <c r="J960" s="581"/>
      <c r="K960" s="581"/>
      <c r="L960" s="581"/>
      <c r="M960" s="581"/>
      <c r="N960" s="581"/>
      <c r="O960" s="581"/>
      <c r="P960" s="581"/>
      <c r="Q960" s="581"/>
      <c r="R960" s="581"/>
      <c r="S960" s="581"/>
      <c r="T960" s="581"/>
      <c r="U960" s="581"/>
      <c r="V960" s="581"/>
      <c r="W960" s="581"/>
      <c r="X960" s="581"/>
      <c r="Y960" s="581"/>
    </row>
    <row r="961">
      <c r="A961" s="581"/>
      <c r="B961" s="581"/>
      <c r="C961" s="581"/>
      <c r="D961" s="581"/>
      <c r="E961" s="581"/>
      <c r="F961" s="581"/>
      <c r="G961" s="581"/>
      <c r="H961" s="581"/>
      <c r="I961" s="581"/>
      <c r="J961" s="581"/>
      <c r="K961" s="581"/>
      <c r="L961" s="581"/>
      <c r="M961" s="581"/>
      <c r="N961" s="581"/>
      <c r="O961" s="581"/>
      <c r="P961" s="581"/>
      <c r="Q961" s="581"/>
      <c r="R961" s="581"/>
      <c r="S961" s="581"/>
      <c r="T961" s="581"/>
      <c r="U961" s="581"/>
      <c r="V961" s="581"/>
      <c r="W961" s="581"/>
      <c r="X961" s="581"/>
      <c r="Y961" s="581"/>
    </row>
    <row r="962">
      <c r="A962" s="581"/>
      <c r="B962" s="581"/>
      <c r="C962" s="581"/>
      <c r="D962" s="581"/>
      <c r="E962" s="581"/>
      <c r="F962" s="581"/>
      <c r="G962" s="581"/>
      <c r="H962" s="581"/>
      <c r="I962" s="581"/>
      <c r="J962" s="581"/>
      <c r="K962" s="581"/>
      <c r="L962" s="581"/>
      <c r="M962" s="581"/>
      <c r="N962" s="581"/>
      <c r="O962" s="581"/>
      <c r="P962" s="581"/>
      <c r="Q962" s="581"/>
      <c r="R962" s="581"/>
      <c r="S962" s="581"/>
      <c r="T962" s="581"/>
      <c r="U962" s="581"/>
      <c r="V962" s="581"/>
      <c r="W962" s="581"/>
      <c r="X962" s="581"/>
      <c r="Y962" s="581"/>
    </row>
    <row r="963">
      <c r="A963" s="581"/>
      <c r="B963" s="581"/>
      <c r="C963" s="581"/>
      <c r="D963" s="581"/>
      <c r="E963" s="581"/>
      <c r="F963" s="581"/>
      <c r="G963" s="581"/>
      <c r="H963" s="581"/>
      <c r="I963" s="581"/>
      <c r="J963" s="581"/>
      <c r="K963" s="581"/>
      <c r="L963" s="581"/>
      <c r="M963" s="581"/>
      <c r="N963" s="581"/>
      <c r="O963" s="581"/>
      <c r="P963" s="581"/>
      <c r="Q963" s="581"/>
      <c r="R963" s="581"/>
      <c r="S963" s="581"/>
      <c r="T963" s="581"/>
      <c r="U963" s="581"/>
      <c r="V963" s="581"/>
      <c r="W963" s="581"/>
      <c r="X963" s="581"/>
      <c r="Y963" s="581"/>
    </row>
    <row r="964">
      <c r="A964" s="581"/>
      <c r="B964" s="581"/>
      <c r="C964" s="581"/>
      <c r="D964" s="581"/>
      <c r="E964" s="581"/>
      <c r="F964" s="581"/>
      <c r="G964" s="581"/>
      <c r="H964" s="581"/>
      <c r="I964" s="581"/>
      <c r="J964" s="581"/>
      <c r="K964" s="581"/>
      <c r="L964" s="581"/>
      <c r="M964" s="581"/>
      <c r="N964" s="581"/>
      <c r="O964" s="581"/>
      <c r="P964" s="581"/>
      <c r="Q964" s="581"/>
      <c r="R964" s="581"/>
      <c r="S964" s="581"/>
      <c r="T964" s="581"/>
      <c r="U964" s="581"/>
      <c r="V964" s="581"/>
      <c r="W964" s="581"/>
      <c r="X964" s="581"/>
      <c r="Y964" s="581"/>
    </row>
    <row r="965">
      <c r="A965" s="581"/>
      <c r="B965" s="581"/>
      <c r="C965" s="581"/>
      <c r="D965" s="581"/>
      <c r="E965" s="581"/>
      <c r="F965" s="581"/>
      <c r="G965" s="581"/>
      <c r="H965" s="581"/>
      <c r="I965" s="581"/>
      <c r="J965" s="581"/>
      <c r="K965" s="581"/>
      <c r="L965" s="581"/>
      <c r="M965" s="581"/>
      <c r="N965" s="581"/>
      <c r="O965" s="581"/>
      <c r="P965" s="581"/>
      <c r="Q965" s="581"/>
      <c r="R965" s="581"/>
      <c r="S965" s="581"/>
      <c r="T965" s="581"/>
      <c r="U965" s="581"/>
      <c r="V965" s="581"/>
      <c r="W965" s="581"/>
      <c r="X965" s="581"/>
      <c r="Y965" s="581"/>
    </row>
    <row r="966">
      <c r="A966" s="581"/>
      <c r="B966" s="581"/>
      <c r="C966" s="581"/>
      <c r="D966" s="581"/>
      <c r="E966" s="581"/>
      <c r="F966" s="581"/>
      <c r="G966" s="581"/>
      <c r="H966" s="581"/>
      <c r="I966" s="581"/>
      <c r="J966" s="581"/>
      <c r="K966" s="581"/>
      <c r="L966" s="581"/>
      <c r="M966" s="581"/>
      <c r="N966" s="581"/>
      <c r="O966" s="581"/>
      <c r="P966" s="581"/>
      <c r="Q966" s="581"/>
      <c r="R966" s="581"/>
      <c r="S966" s="581"/>
      <c r="T966" s="581"/>
      <c r="U966" s="581"/>
      <c r="V966" s="581"/>
      <c r="W966" s="581"/>
      <c r="X966" s="581"/>
      <c r="Y966" s="581"/>
    </row>
    <row r="967">
      <c r="A967" s="581"/>
      <c r="B967" s="581"/>
      <c r="C967" s="581"/>
      <c r="D967" s="581"/>
      <c r="E967" s="581"/>
      <c r="F967" s="581"/>
      <c r="G967" s="581"/>
      <c r="H967" s="581"/>
      <c r="I967" s="581"/>
      <c r="J967" s="581"/>
      <c r="K967" s="581"/>
      <c r="L967" s="581"/>
      <c r="M967" s="581"/>
      <c r="N967" s="581"/>
      <c r="O967" s="581"/>
      <c r="P967" s="581"/>
      <c r="Q967" s="581"/>
      <c r="R967" s="581"/>
      <c r="S967" s="581"/>
      <c r="T967" s="581"/>
      <c r="U967" s="581"/>
      <c r="V967" s="581"/>
      <c r="W967" s="581"/>
      <c r="X967" s="581"/>
      <c r="Y967" s="581"/>
    </row>
    <row r="968">
      <c r="A968" s="581"/>
      <c r="B968" s="581"/>
      <c r="C968" s="581"/>
      <c r="D968" s="581"/>
      <c r="E968" s="581"/>
      <c r="F968" s="581"/>
      <c r="G968" s="581"/>
      <c r="H968" s="581"/>
      <c r="I968" s="581"/>
      <c r="J968" s="581"/>
      <c r="K968" s="581"/>
      <c r="L968" s="581"/>
      <c r="M968" s="581"/>
      <c r="N968" s="581"/>
      <c r="O968" s="581"/>
      <c r="P968" s="581"/>
      <c r="Q968" s="581"/>
      <c r="R968" s="581"/>
      <c r="S968" s="581"/>
      <c r="T968" s="581"/>
      <c r="U968" s="581"/>
      <c r="V968" s="581"/>
      <c r="W968" s="581"/>
      <c r="X968" s="581"/>
      <c r="Y968" s="581"/>
    </row>
    <row r="969">
      <c r="A969" s="581"/>
      <c r="B969" s="581"/>
      <c r="C969" s="581"/>
      <c r="D969" s="581"/>
      <c r="E969" s="581"/>
      <c r="F969" s="581"/>
      <c r="G969" s="581"/>
      <c r="H969" s="581"/>
      <c r="I969" s="581"/>
      <c r="J969" s="581"/>
      <c r="K969" s="581"/>
      <c r="L969" s="581"/>
      <c r="M969" s="581"/>
      <c r="N969" s="581"/>
      <c r="O969" s="581"/>
      <c r="P969" s="581"/>
      <c r="Q969" s="581"/>
      <c r="R969" s="581"/>
      <c r="S969" s="581"/>
      <c r="T969" s="581"/>
      <c r="U969" s="581"/>
      <c r="V969" s="581"/>
      <c r="W969" s="581"/>
      <c r="X969" s="581"/>
      <c r="Y969" s="581"/>
    </row>
    <row r="970">
      <c r="A970" s="581"/>
      <c r="B970" s="581"/>
      <c r="C970" s="581"/>
      <c r="D970" s="581"/>
      <c r="E970" s="581"/>
      <c r="F970" s="581"/>
      <c r="G970" s="581"/>
      <c r="H970" s="581"/>
      <c r="I970" s="581"/>
      <c r="J970" s="581"/>
      <c r="K970" s="581"/>
      <c r="L970" s="581"/>
      <c r="M970" s="581"/>
      <c r="N970" s="581"/>
      <c r="O970" s="581"/>
      <c r="P970" s="581"/>
      <c r="Q970" s="581"/>
      <c r="R970" s="581"/>
      <c r="S970" s="581"/>
      <c r="T970" s="581"/>
      <c r="U970" s="581"/>
      <c r="V970" s="581"/>
      <c r="W970" s="581"/>
      <c r="X970" s="581"/>
      <c r="Y970" s="581"/>
    </row>
    <row r="971">
      <c r="A971" s="581"/>
      <c r="B971" s="581"/>
      <c r="C971" s="581"/>
      <c r="D971" s="581"/>
      <c r="E971" s="581"/>
      <c r="F971" s="581"/>
      <c r="G971" s="581"/>
      <c r="H971" s="581"/>
      <c r="I971" s="581"/>
      <c r="J971" s="581"/>
      <c r="K971" s="581"/>
      <c r="L971" s="581"/>
      <c r="M971" s="581"/>
      <c r="N971" s="581"/>
      <c r="O971" s="581"/>
      <c r="P971" s="581"/>
      <c r="Q971" s="581"/>
      <c r="R971" s="581"/>
      <c r="S971" s="581"/>
      <c r="T971" s="581"/>
      <c r="U971" s="581"/>
      <c r="V971" s="581"/>
      <c r="W971" s="581"/>
      <c r="X971" s="581"/>
      <c r="Y971" s="581"/>
    </row>
    <row r="972">
      <c r="A972" s="581"/>
      <c r="B972" s="581"/>
      <c r="C972" s="581"/>
      <c r="D972" s="581"/>
      <c r="E972" s="581"/>
      <c r="F972" s="581"/>
      <c r="G972" s="581"/>
      <c r="H972" s="581"/>
      <c r="I972" s="581"/>
      <c r="J972" s="581"/>
      <c r="K972" s="581"/>
      <c r="L972" s="581"/>
      <c r="M972" s="581"/>
      <c r="N972" s="581"/>
      <c r="O972" s="581"/>
      <c r="P972" s="581"/>
      <c r="Q972" s="581"/>
      <c r="R972" s="581"/>
      <c r="S972" s="581"/>
      <c r="T972" s="581"/>
      <c r="U972" s="581"/>
      <c r="V972" s="581"/>
      <c r="W972" s="581"/>
      <c r="X972" s="581"/>
      <c r="Y972" s="581"/>
    </row>
    <row r="973">
      <c r="A973" s="581"/>
      <c r="B973" s="581"/>
      <c r="C973" s="581"/>
      <c r="D973" s="581"/>
      <c r="E973" s="581"/>
      <c r="F973" s="581"/>
      <c r="G973" s="581"/>
      <c r="H973" s="581"/>
      <c r="I973" s="581"/>
      <c r="J973" s="581"/>
      <c r="K973" s="581"/>
      <c r="L973" s="581"/>
      <c r="M973" s="581"/>
      <c r="N973" s="581"/>
      <c r="O973" s="581"/>
      <c r="P973" s="581"/>
      <c r="Q973" s="581"/>
      <c r="R973" s="581"/>
      <c r="S973" s="581"/>
      <c r="T973" s="581"/>
      <c r="U973" s="581"/>
      <c r="V973" s="581"/>
      <c r="W973" s="581"/>
      <c r="X973" s="581"/>
      <c r="Y973" s="581"/>
    </row>
    <row r="974">
      <c r="A974" s="581"/>
      <c r="B974" s="581"/>
      <c r="C974" s="581"/>
      <c r="D974" s="581"/>
      <c r="E974" s="581"/>
      <c r="F974" s="581"/>
      <c r="G974" s="581"/>
      <c r="H974" s="581"/>
      <c r="I974" s="581"/>
      <c r="J974" s="581"/>
      <c r="K974" s="581"/>
      <c r="L974" s="581"/>
      <c r="M974" s="581"/>
      <c r="N974" s="581"/>
      <c r="O974" s="581"/>
      <c r="P974" s="581"/>
      <c r="Q974" s="581"/>
      <c r="R974" s="581"/>
      <c r="S974" s="581"/>
      <c r="T974" s="581"/>
      <c r="U974" s="581"/>
      <c r="V974" s="581"/>
      <c r="W974" s="581"/>
      <c r="X974" s="581"/>
      <c r="Y974" s="581"/>
    </row>
    <row r="975">
      <c r="A975" s="581"/>
      <c r="B975" s="581"/>
      <c r="C975" s="581"/>
      <c r="D975" s="581"/>
      <c r="E975" s="581"/>
      <c r="F975" s="581"/>
      <c r="G975" s="581"/>
      <c r="H975" s="581"/>
      <c r="I975" s="581"/>
      <c r="J975" s="581"/>
      <c r="K975" s="581"/>
      <c r="L975" s="581"/>
      <c r="M975" s="581"/>
      <c r="N975" s="581"/>
      <c r="O975" s="581"/>
      <c r="P975" s="581"/>
      <c r="Q975" s="581"/>
      <c r="R975" s="581"/>
      <c r="S975" s="581"/>
      <c r="T975" s="581"/>
      <c r="U975" s="581"/>
      <c r="V975" s="581"/>
      <c r="W975" s="581"/>
      <c r="X975" s="581"/>
      <c r="Y975" s="581"/>
    </row>
    <row r="976">
      <c r="A976" s="581"/>
      <c r="B976" s="581"/>
      <c r="C976" s="581"/>
      <c r="D976" s="581"/>
      <c r="E976" s="581"/>
      <c r="F976" s="581"/>
      <c r="G976" s="581"/>
      <c r="H976" s="581"/>
      <c r="I976" s="581"/>
      <c r="J976" s="581"/>
      <c r="K976" s="581"/>
      <c r="L976" s="581"/>
      <c r="M976" s="581"/>
      <c r="N976" s="581"/>
      <c r="O976" s="581"/>
      <c r="P976" s="581"/>
      <c r="Q976" s="581"/>
      <c r="R976" s="581"/>
      <c r="S976" s="581"/>
      <c r="T976" s="581"/>
      <c r="U976" s="581"/>
      <c r="V976" s="581"/>
      <c r="W976" s="581"/>
      <c r="X976" s="581"/>
      <c r="Y976" s="581"/>
    </row>
    <row r="977">
      <c r="A977" s="581"/>
      <c r="B977" s="581"/>
      <c r="C977" s="581"/>
      <c r="D977" s="581"/>
      <c r="E977" s="581"/>
      <c r="F977" s="581"/>
      <c r="G977" s="581"/>
      <c r="H977" s="581"/>
      <c r="I977" s="581"/>
      <c r="J977" s="581"/>
      <c r="K977" s="581"/>
      <c r="L977" s="581"/>
      <c r="M977" s="581"/>
      <c r="N977" s="581"/>
      <c r="O977" s="581"/>
      <c r="P977" s="581"/>
      <c r="Q977" s="581"/>
      <c r="R977" s="581"/>
      <c r="S977" s="581"/>
      <c r="T977" s="581"/>
      <c r="U977" s="581"/>
      <c r="V977" s="581"/>
      <c r="W977" s="581"/>
      <c r="X977" s="581"/>
      <c r="Y977" s="581"/>
    </row>
    <row r="978">
      <c r="A978" s="581"/>
      <c r="B978" s="581"/>
      <c r="C978" s="581"/>
      <c r="D978" s="581"/>
      <c r="E978" s="581"/>
      <c r="F978" s="581"/>
      <c r="G978" s="581"/>
      <c r="H978" s="581"/>
      <c r="I978" s="581"/>
      <c r="J978" s="581"/>
      <c r="K978" s="581"/>
      <c r="L978" s="581"/>
      <c r="M978" s="581"/>
      <c r="N978" s="581"/>
      <c r="O978" s="581"/>
      <c r="P978" s="581"/>
      <c r="Q978" s="581"/>
      <c r="R978" s="581"/>
      <c r="S978" s="581"/>
      <c r="T978" s="581"/>
      <c r="U978" s="581"/>
      <c r="V978" s="581"/>
      <c r="W978" s="581"/>
      <c r="X978" s="581"/>
      <c r="Y978" s="581"/>
    </row>
    <row r="979">
      <c r="A979" s="581"/>
      <c r="B979" s="581"/>
      <c r="C979" s="581"/>
      <c r="D979" s="581"/>
      <c r="E979" s="581"/>
      <c r="F979" s="581"/>
      <c r="G979" s="581"/>
      <c r="H979" s="581"/>
      <c r="I979" s="581"/>
      <c r="J979" s="581"/>
      <c r="K979" s="581"/>
      <c r="L979" s="581"/>
      <c r="M979" s="581"/>
      <c r="N979" s="581"/>
      <c r="O979" s="581"/>
      <c r="P979" s="581"/>
      <c r="Q979" s="581"/>
      <c r="R979" s="581"/>
      <c r="S979" s="581"/>
      <c r="T979" s="581"/>
      <c r="U979" s="581"/>
      <c r="V979" s="581"/>
      <c r="W979" s="581"/>
      <c r="X979" s="581"/>
      <c r="Y979" s="581"/>
    </row>
    <row r="980">
      <c r="A980" s="581"/>
      <c r="B980" s="581"/>
      <c r="C980" s="581"/>
      <c r="D980" s="581"/>
      <c r="E980" s="581"/>
      <c r="F980" s="581"/>
      <c r="G980" s="581"/>
      <c r="H980" s="581"/>
      <c r="I980" s="581"/>
      <c r="J980" s="581"/>
      <c r="K980" s="581"/>
      <c r="L980" s="581"/>
      <c r="M980" s="581"/>
      <c r="N980" s="581"/>
      <c r="O980" s="581"/>
      <c r="P980" s="581"/>
      <c r="Q980" s="581"/>
      <c r="R980" s="581"/>
      <c r="S980" s="581"/>
      <c r="T980" s="581"/>
      <c r="U980" s="581"/>
      <c r="V980" s="581"/>
      <c r="W980" s="581"/>
      <c r="X980" s="581"/>
      <c r="Y980" s="581"/>
    </row>
    <row r="981">
      <c r="A981" s="581"/>
      <c r="B981" s="581"/>
      <c r="C981" s="581"/>
      <c r="D981" s="581"/>
      <c r="E981" s="581"/>
      <c r="F981" s="581"/>
      <c r="G981" s="581"/>
      <c r="H981" s="581"/>
      <c r="I981" s="581"/>
      <c r="J981" s="581"/>
      <c r="K981" s="581"/>
      <c r="L981" s="581"/>
      <c r="M981" s="581"/>
      <c r="N981" s="581"/>
      <c r="O981" s="581"/>
      <c r="P981" s="581"/>
      <c r="Q981" s="581"/>
      <c r="R981" s="581"/>
      <c r="S981" s="581"/>
      <c r="T981" s="581"/>
      <c r="U981" s="581"/>
      <c r="V981" s="581"/>
      <c r="W981" s="581"/>
      <c r="X981" s="581"/>
      <c r="Y981" s="581"/>
    </row>
    <row r="982">
      <c r="A982" s="581"/>
      <c r="B982" s="581"/>
      <c r="C982" s="581"/>
      <c r="D982" s="581"/>
      <c r="E982" s="581"/>
      <c r="F982" s="581"/>
      <c r="G982" s="581"/>
      <c r="H982" s="581"/>
      <c r="I982" s="581"/>
      <c r="J982" s="581"/>
      <c r="K982" s="581"/>
      <c r="L982" s="581"/>
      <c r="M982" s="581"/>
      <c r="N982" s="581"/>
      <c r="O982" s="581"/>
      <c r="P982" s="581"/>
      <c r="Q982" s="581"/>
      <c r="R982" s="581"/>
      <c r="S982" s="581"/>
      <c r="T982" s="581"/>
      <c r="U982" s="581"/>
      <c r="V982" s="581"/>
      <c r="W982" s="581"/>
      <c r="X982" s="581"/>
      <c r="Y982" s="581"/>
    </row>
    <row r="983">
      <c r="A983" s="581"/>
      <c r="B983" s="581"/>
      <c r="C983" s="581"/>
      <c r="D983" s="581"/>
      <c r="E983" s="581"/>
      <c r="F983" s="581"/>
      <c r="G983" s="581"/>
      <c r="H983" s="581"/>
      <c r="I983" s="581"/>
      <c r="J983" s="581"/>
      <c r="K983" s="581"/>
      <c r="L983" s="581"/>
      <c r="M983" s="581"/>
      <c r="N983" s="581"/>
      <c r="O983" s="581"/>
      <c r="P983" s="581"/>
      <c r="Q983" s="581"/>
      <c r="R983" s="581"/>
      <c r="S983" s="581"/>
      <c r="T983" s="581"/>
      <c r="U983" s="581"/>
      <c r="V983" s="581"/>
      <c r="W983" s="581"/>
      <c r="X983" s="581"/>
      <c r="Y983" s="581"/>
    </row>
    <row r="984">
      <c r="A984" s="581"/>
      <c r="B984" s="581"/>
      <c r="C984" s="581"/>
      <c r="D984" s="581"/>
      <c r="E984" s="581"/>
      <c r="F984" s="581"/>
      <c r="G984" s="581"/>
      <c r="H984" s="581"/>
      <c r="I984" s="581"/>
      <c r="J984" s="581"/>
      <c r="K984" s="581"/>
      <c r="L984" s="581"/>
      <c r="M984" s="581"/>
      <c r="N984" s="581"/>
      <c r="O984" s="581"/>
      <c r="P984" s="581"/>
      <c r="Q984" s="581"/>
      <c r="R984" s="581"/>
      <c r="S984" s="581"/>
      <c r="T984" s="581"/>
      <c r="U984" s="581"/>
      <c r="V984" s="581"/>
      <c r="W984" s="581"/>
      <c r="X984" s="581"/>
      <c r="Y984" s="581"/>
    </row>
    <row r="985">
      <c r="A985" s="581"/>
      <c r="B985" s="581"/>
      <c r="C985" s="581"/>
      <c r="D985" s="581"/>
      <c r="E985" s="581"/>
      <c r="F985" s="581"/>
      <c r="G985" s="581"/>
      <c r="H985" s="581"/>
      <c r="I985" s="581"/>
      <c r="J985" s="581"/>
      <c r="K985" s="581"/>
      <c r="L985" s="581"/>
      <c r="M985" s="581"/>
      <c r="N985" s="581"/>
      <c r="O985" s="581"/>
      <c r="P985" s="581"/>
      <c r="Q985" s="581"/>
      <c r="R985" s="581"/>
      <c r="S985" s="581"/>
      <c r="T985" s="581"/>
      <c r="U985" s="581"/>
      <c r="V985" s="581"/>
      <c r="W985" s="581"/>
      <c r="X985" s="581"/>
      <c r="Y985" s="581"/>
    </row>
    <row r="986">
      <c r="A986" s="581"/>
      <c r="B986" s="581"/>
      <c r="C986" s="581"/>
      <c r="D986" s="581"/>
      <c r="E986" s="581"/>
      <c r="F986" s="581"/>
      <c r="G986" s="581"/>
      <c r="H986" s="581"/>
      <c r="I986" s="581"/>
      <c r="J986" s="581"/>
      <c r="K986" s="581"/>
      <c r="L986" s="581"/>
      <c r="M986" s="581"/>
      <c r="N986" s="581"/>
      <c r="O986" s="581"/>
      <c r="P986" s="581"/>
      <c r="Q986" s="581"/>
      <c r="R986" s="581"/>
      <c r="S986" s="581"/>
      <c r="T986" s="581"/>
      <c r="U986" s="581"/>
      <c r="V986" s="581"/>
      <c r="W986" s="581"/>
      <c r="X986" s="581"/>
      <c r="Y986" s="581"/>
    </row>
    <row r="987">
      <c r="A987" s="581"/>
      <c r="B987" s="581"/>
      <c r="C987" s="581"/>
      <c r="D987" s="581"/>
      <c r="E987" s="581"/>
      <c r="F987" s="581"/>
      <c r="G987" s="581"/>
      <c r="H987" s="581"/>
      <c r="I987" s="581"/>
      <c r="J987" s="581"/>
      <c r="K987" s="581"/>
      <c r="L987" s="581"/>
      <c r="M987" s="581"/>
      <c r="N987" s="581"/>
      <c r="O987" s="581"/>
      <c r="P987" s="581"/>
      <c r="Q987" s="581"/>
      <c r="R987" s="581"/>
      <c r="S987" s="581"/>
      <c r="T987" s="581"/>
      <c r="U987" s="581"/>
      <c r="V987" s="581"/>
      <c r="W987" s="581"/>
      <c r="X987" s="581"/>
      <c r="Y987" s="581"/>
    </row>
    <row r="988">
      <c r="A988" s="581"/>
      <c r="B988" s="581"/>
      <c r="C988" s="581"/>
      <c r="D988" s="581"/>
      <c r="E988" s="581"/>
      <c r="F988" s="581"/>
      <c r="G988" s="581"/>
      <c r="H988" s="581"/>
      <c r="I988" s="581"/>
      <c r="J988" s="581"/>
      <c r="K988" s="581"/>
      <c r="L988" s="581"/>
      <c r="M988" s="581"/>
      <c r="N988" s="581"/>
      <c r="O988" s="581"/>
      <c r="P988" s="581"/>
      <c r="Q988" s="581"/>
      <c r="R988" s="581"/>
      <c r="S988" s="581"/>
      <c r="T988" s="581"/>
      <c r="U988" s="581"/>
      <c r="V988" s="581"/>
      <c r="W988" s="581"/>
      <c r="X988" s="581"/>
      <c r="Y988" s="581"/>
    </row>
    <row r="989">
      <c r="A989" s="581"/>
      <c r="B989" s="581"/>
      <c r="C989" s="581"/>
      <c r="D989" s="581"/>
      <c r="E989" s="581"/>
      <c r="F989" s="581"/>
      <c r="G989" s="581"/>
      <c r="H989" s="581"/>
      <c r="I989" s="581"/>
      <c r="J989" s="581"/>
      <c r="K989" s="581"/>
      <c r="L989" s="581"/>
      <c r="M989" s="581"/>
      <c r="N989" s="581"/>
      <c r="O989" s="581"/>
      <c r="P989" s="581"/>
      <c r="Q989" s="581"/>
      <c r="R989" s="581"/>
      <c r="S989" s="581"/>
      <c r="T989" s="581"/>
      <c r="U989" s="581"/>
      <c r="V989" s="581"/>
      <c r="W989" s="581"/>
      <c r="X989" s="581"/>
      <c r="Y989" s="581"/>
    </row>
    <row r="990">
      <c r="A990" s="581"/>
      <c r="B990" s="581"/>
      <c r="C990" s="581"/>
      <c r="D990" s="581"/>
      <c r="E990" s="581"/>
      <c r="F990" s="581"/>
      <c r="G990" s="581"/>
      <c r="H990" s="581"/>
      <c r="I990" s="581"/>
      <c r="J990" s="581"/>
      <c r="K990" s="581"/>
      <c r="L990" s="581"/>
      <c r="M990" s="581"/>
      <c r="N990" s="581"/>
      <c r="O990" s="581"/>
      <c r="P990" s="581"/>
      <c r="Q990" s="581"/>
      <c r="R990" s="581"/>
      <c r="S990" s="581"/>
      <c r="T990" s="581"/>
      <c r="U990" s="581"/>
      <c r="V990" s="581"/>
      <c r="W990" s="581"/>
      <c r="X990" s="581"/>
      <c r="Y990" s="581"/>
    </row>
    <row r="991">
      <c r="A991" s="581"/>
      <c r="B991" s="581"/>
      <c r="C991" s="581"/>
      <c r="D991" s="581"/>
      <c r="E991" s="581"/>
      <c r="F991" s="581"/>
      <c r="G991" s="581"/>
      <c r="H991" s="581"/>
      <c r="I991" s="581"/>
      <c r="J991" s="581"/>
      <c r="K991" s="581"/>
      <c r="L991" s="581"/>
      <c r="M991" s="581"/>
      <c r="N991" s="581"/>
      <c r="O991" s="581"/>
      <c r="P991" s="581"/>
      <c r="Q991" s="581"/>
      <c r="R991" s="581"/>
      <c r="S991" s="581"/>
      <c r="T991" s="581"/>
      <c r="U991" s="581"/>
      <c r="V991" s="581"/>
      <c r="W991" s="581"/>
      <c r="X991" s="581"/>
      <c r="Y991" s="581"/>
    </row>
    <row r="992">
      <c r="A992" s="581"/>
      <c r="B992" s="581"/>
      <c r="C992" s="581"/>
      <c r="D992" s="581"/>
      <c r="E992" s="581"/>
      <c r="F992" s="581"/>
      <c r="G992" s="581"/>
      <c r="H992" s="581"/>
      <c r="I992" s="581"/>
      <c r="J992" s="581"/>
      <c r="K992" s="581"/>
      <c r="L992" s="581"/>
      <c r="M992" s="581"/>
      <c r="N992" s="581"/>
      <c r="O992" s="581"/>
      <c r="P992" s="581"/>
      <c r="Q992" s="581"/>
      <c r="R992" s="581"/>
      <c r="S992" s="581"/>
      <c r="T992" s="581"/>
      <c r="U992" s="581"/>
      <c r="V992" s="581"/>
      <c r="W992" s="581"/>
      <c r="X992" s="581"/>
      <c r="Y992" s="581"/>
    </row>
    <row r="993">
      <c r="A993" s="581"/>
      <c r="B993" s="581"/>
      <c r="C993" s="581"/>
      <c r="D993" s="581"/>
      <c r="E993" s="581"/>
      <c r="F993" s="581"/>
      <c r="G993" s="581"/>
      <c r="H993" s="581"/>
      <c r="I993" s="581"/>
      <c r="J993" s="581"/>
      <c r="K993" s="581"/>
      <c r="L993" s="581"/>
      <c r="M993" s="581"/>
      <c r="N993" s="581"/>
      <c r="O993" s="581"/>
      <c r="P993" s="581"/>
      <c r="Q993" s="581"/>
      <c r="R993" s="581"/>
      <c r="S993" s="581"/>
      <c r="T993" s="581"/>
      <c r="U993" s="581"/>
      <c r="V993" s="581"/>
      <c r="W993" s="581"/>
      <c r="X993" s="581"/>
      <c r="Y993" s="581"/>
    </row>
    <row r="994">
      <c r="A994" s="581"/>
      <c r="B994" s="581"/>
      <c r="C994" s="581"/>
      <c r="D994" s="581"/>
      <c r="E994" s="581"/>
      <c r="F994" s="581"/>
      <c r="G994" s="581"/>
      <c r="H994" s="581"/>
      <c r="I994" s="581"/>
      <c r="J994" s="581"/>
      <c r="K994" s="581"/>
      <c r="L994" s="581"/>
      <c r="M994" s="581"/>
      <c r="N994" s="581"/>
      <c r="O994" s="581"/>
      <c r="P994" s="581"/>
      <c r="Q994" s="581"/>
      <c r="R994" s="581"/>
      <c r="S994" s="581"/>
      <c r="T994" s="581"/>
      <c r="U994" s="581"/>
      <c r="V994" s="581"/>
      <c r="W994" s="581"/>
      <c r="X994" s="581"/>
      <c r="Y994" s="581"/>
    </row>
    <row r="995">
      <c r="A995" s="581"/>
      <c r="B995" s="581"/>
      <c r="C995" s="581"/>
      <c r="D995" s="581"/>
      <c r="E995" s="581"/>
      <c r="F995" s="581"/>
      <c r="G995" s="581"/>
      <c r="H995" s="581"/>
      <c r="I995" s="581"/>
      <c r="J995" s="581"/>
      <c r="K995" s="581"/>
      <c r="L995" s="581"/>
      <c r="M995" s="581"/>
      <c r="N995" s="581"/>
      <c r="O995" s="581"/>
      <c r="P995" s="581"/>
      <c r="Q995" s="581"/>
      <c r="R995" s="581"/>
      <c r="S995" s="581"/>
      <c r="T995" s="581"/>
      <c r="U995" s="581"/>
      <c r="V995" s="581"/>
      <c r="W995" s="581"/>
      <c r="X995" s="581"/>
      <c r="Y995" s="581"/>
    </row>
    <row r="996">
      <c r="A996" s="581"/>
      <c r="B996" s="581"/>
      <c r="C996" s="581"/>
      <c r="D996" s="581"/>
      <c r="E996" s="581"/>
      <c r="F996" s="581"/>
      <c r="G996" s="581"/>
      <c r="H996" s="581"/>
      <c r="I996" s="581"/>
      <c r="J996" s="581"/>
      <c r="K996" s="581"/>
      <c r="L996" s="581"/>
      <c r="M996" s="581"/>
      <c r="N996" s="581"/>
      <c r="O996" s="581"/>
      <c r="P996" s="581"/>
      <c r="Q996" s="581"/>
      <c r="R996" s="581"/>
      <c r="S996" s="581"/>
      <c r="T996" s="581"/>
      <c r="U996" s="581"/>
      <c r="V996" s="581"/>
      <c r="W996" s="581"/>
      <c r="X996" s="581"/>
      <c r="Y996" s="581"/>
    </row>
    <row r="997">
      <c r="A997" s="581"/>
      <c r="B997" s="581"/>
      <c r="C997" s="581"/>
      <c r="D997" s="581"/>
      <c r="E997" s="581"/>
      <c r="F997" s="581"/>
      <c r="G997" s="581"/>
      <c r="H997" s="581"/>
      <c r="I997" s="581"/>
      <c r="J997" s="581"/>
      <c r="K997" s="581"/>
      <c r="L997" s="581"/>
      <c r="M997" s="581"/>
      <c r="N997" s="581"/>
      <c r="O997" s="581"/>
      <c r="P997" s="581"/>
      <c r="Q997" s="581"/>
      <c r="R997" s="581"/>
      <c r="S997" s="581"/>
      <c r="T997" s="581"/>
      <c r="U997" s="581"/>
      <c r="V997" s="581"/>
      <c r="W997" s="581"/>
      <c r="X997" s="581"/>
      <c r="Y997" s="581"/>
    </row>
    <row r="998">
      <c r="A998" s="581"/>
      <c r="B998" s="581"/>
      <c r="C998" s="581"/>
      <c r="D998" s="581"/>
      <c r="E998" s="581"/>
      <c r="F998" s="581"/>
      <c r="G998" s="581"/>
      <c r="H998" s="581"/>
      <c r="I998" s="581"/>
      <c r="J998" s="581"/>
      <c r="K998" s="581"/>
      <c r="L998" s="581"/>
      <c r="M998" s="581"/>
      <c r="N998" s="581"/>
      <c r="O998" s="581"/>
      <c r="P998" s="581"/>
      <c r="Q998" s="581"/>
      <c r="R998" s="581"/>
      <c r="S998" s="581"/>
      <c r="T998" s="581"/>
      <c r="U998" s="581"/>
      <c r="V998" s="581"/>
      <c r="W998" s="581"/>
      <c r="X998" s="581"/>
      <c r="Y998" s="581"/>
    </row>
    <row r="999">
      <c r="A999" s="581"/>
      <c r="B999" s="581"/>
      <c r="C999" s="581"/>
      <c r="D999" s="581"/>
      <c r="E999" s="581"/>
      <c r="F999" s="581"/>
      <c r="G999" s="581"/>
      <c r="H999" s="581"/>
      <c r="I999" s="581"/>
      <c r="J999" s="581"/>
      <c r="K999" s="581"/>
      <c r="L999" s="581"/>
      <c r="M999" s="581"/>
      <c r="N999" s="581"/>
      <c r="O999" s="581"/>
      <c r="P999" s="581"/>
      <c r="Q999" s="581"/>
      <c r="R999" s="581"/>
      <c r="S999" s="581"/>
      <c r="T999" s="581"/>
      <c r="U999" s="581"/>
      <c r="V999" s="581"/>
      <c r="W999" s="581"/>
      <c r="X999" s="581"/>
      <c r="Y999" s="581"/>
    </row>
  </sheetData>
  <mergeCells count="6">
    <mergeCell ref="A1:G1"/>
    <mergeCell ref="A7:G7"/>
    <mergeCell ref="A16:G16"/>
    <mergeCell ref="A22:G22"/>
    <mergeCell ref="A31:G31"/>
    <mergeCell ref="A42:G4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57"/>
    <col hidden="1" min="3" max="6" width="14.43"/>
    <col customWidth="1" min="7" max="7" width="16.29"/>
  </cols>
  <sheetData>
    <row r="1">
      <c r="A1" s="602" t="s">
        <v>2</v>
      </c>
      <c r="B1" s="602" t="s">
        <v>1</v>
      </c>
      <c r="C1" s="602" t="s">
        <v>10</v>
      </c>
      <c r="D1" s="602" t="s">
        <v>2212</v>
      </c>
      <c r="E1" s="602" t="s">
        <v>2213</v>
      </c>
      <c r="F1" s="603" t="s">
        <v>2416</v>
      </c>
      <c r="G1" s="602" t="s">
        <v>2214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>
      <c r="A2" s="604" t="s">
        <v>2417</v>
      </c>
      <c r="B2" s="604" t="s">
        <v>2418</v>
      </c>
      <c r="C2" s="605" t="s">
        <v>1902</v>
      </c>
      <c r="D2" s="605" t="s">
        <v>1902</v>
      </c>
      <c r="E2" s="605">
        <v>1.0</v>
      </c>
      <c r="F2" s="606" t="s">
        <v>2419</v>
      </c>
      <c r="G2" s="604" t="str">
        <f t="shared" ref="G2:G10" si="1">F2&amp;"-"&amp;D2&amp;"/"&amp;E2</f>
        <v>SBL2-KW222/1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>
      <c r="A3" s="604" t="s">
        <v>2420</v>
      </c>
      <c r="B3" s="604" t="s">
        <v>2421</v>
      </c>
      <c r="C3" s="604" t="s">
        <v>467</v>
      </c>
      <c r="D3" s="604" t="s">
        <v>1895</v>
      </c>
      <c r="E3" s="604">
        <v>1.0</v>
      </c>
      <c r="F3" s="604" t="s">
        <v>2419</v>
      </c>
      <c r="G3" s="604" t="str">
        <f t="shared" si="1"/>
        <v>SBL2-SL11/1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</row>
    <row r="4">
      <c r="A4" s="604" t="s">
        <v>2422</v>
      </c>
      <c r="B4" s="604" t="s">
        <v>2423</v>
      </c>
      <c r="C4" s="604" t="s">
        <v>179</v>
      </c>
      <c r="D4" s="604" t="s">
        <v>1895</v>
      </c>
      <c r="E4" s="604">
        <v>2.0</v>
      </c>
      <c r="F4" s="606" t="s">
        <v>2195</v>
      </c>
      <c r="G4" s="604" t="str">
        <f t="shared" si="1"/>
        <v>STR3-SL11/2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</row>
    <row r="5">
      <c r="A5" s="604" t="s">
        <v>1509</v>
      </c>
      <c r="B5" s="606" t="s">
        <v>1508</v>
      </c>
      <c r="C5" s="607" t="s">
        <v>66</v>
      </c>
      <c r="D5" s="607" t="s">
        <v>1594</v>
      </c>
      <c r="E5" s="607">
        <v>1.0</v>
      </c>
      <c r="F5" s="606" t="s">
        <v>2424</v>
      </c>
      <c r="G5" s="604" t="str">
        <f t="shared" si="1"/>
        <v>STP-SM22/1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>
      <c r="A6" s="604" t="s">
        <v>1501</v>
      </c>
      <c r="B6" s="606" t="s">
        <v>1500</v>
      </c>
      <c r="C6" s="607" t="s">
        <v>66</v>
      </c>
      <c r="D6" s="607" t="s">
        <v>1594</v>
      </c>
      <c r="E6" s="607">
        <v>2.0</v>
      </c>
      <c r="F6" s="606" t="s">
        <v>2424</v>
      </c>
      <c r="G6" s="604" t="str">
        <f t="shared" si="1"/>
        <v>STP-SM22/2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>
      <c r="A7" s="604" t="s">
        <v>1225</v>
      </c>
      <c r="B7" s="604" t="s">
        <v>1224</v>
      </c>
      <c r="C7" s="607" t="s">
        <v>22</v>
      </c>
      <c r="D7" s="607" t="s">
        <v>2008</v>
      </c>
      <c r="E7" s="604">
        <v>1.0</v>
      </c>
      <c r="F7" s="606" t="s">
        <v>2425</v>
      </c>
      <c r="G7" s="604" t="str">
        <f t="shared" si="1"/>
        <v>STR1-SM44/1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>
      <c r="A8" s="604" t="s">
        <v>1976</v>
      </c>
      <c r="B8" s="606" t="s">
        <v>1297</v>
      </c>
      <c r="C8" s="607" t="s">
        <v>22</v>
      </c>
      <c r="D8" s="607" t="s">
        <v>2008</v>
      </c>
      <c r="E8" s="607">
        <v>2.0</v>
      </c>
      <c r="F8" s="606" t="s">
        <v>2195</v>
      </c>
      <c r="G8" s="604" t="str">
        <f t="shared" si="1"/>
        <v>STR3-SM44/2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>
      <c r="A9" s="604" t="s">
        <v>1205</v>
      </c>
      <c r="B9" s="604" t="s">
        <v>1204</v>
      </c>
      <c r="C9" s="604" t="s">
        <v>22</v>
      </c>
      <c r="D9" s="604" t="s">
        <v>2008</v>
      </c>
      <c r="E9" s="604">
        <v>3.0</v>
      </c>
      <c r="F9" s="604" t="s">
        <v>2426</v>
      </c>
      <c r="G9" s="604" t="str">
        <f t="shared" si="1"/>
        <v>STR2-SM44/3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>
      <c r="A10" s="604" t="s">
        <v>1505</v>
      </c>
      <c r="B10" s="606" t="s">
        <v>1504</v>
      </c>
      <c r="C10" s="604" t="s">
        <v>22</v>
      </c>
      <c r="D10" s="604" t="s">
        <v>2008</v>
      </c>
      <c r="E10" s="607">
        <v>4.0</v>
      </c>
      <c r="F10" s="606" t="s">
        <v>2424</v>
      </c>
      <c r="G10" s="604" t="str">
        <f t="shared" si="1"/>
        <v>STP-SM44/4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>
      <c r="A11" s="99"/>
      <c r="B11" s="99"/>
      <c r="C11" s="99"/>
      <c r="D11" s="99"/>
      <c r="E11" s="99"/>
      <c r="F11" s="608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>
      <c r="A12" s="99"/>
      <c r="B12" s="99"/>
      <c r="C12" s="99"/>
      <c r="D12" s="99"/>
      <c r="E12" s="99"/>
      <c r="F12" s="608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>
      <c r="A13" s="99"/>
      <c r="B13" s="99"/>
      <c r="C13" s="99"/>
      <c r="D13" s="99"/>
      <c r="E13" s="99"/>
      <c r="F13" s="608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>
      <c r="A14" s="99"/>
      <c r="B14" s="99"/>
      <c r="C14" s="99"/>
      <c r="D14" s="99"/>
      <c r="E14" s="99"/>
      <c r="F14" s="608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>
      <c r="A15" s="115" t="s">
        <v>151</v>
      </c>
      <c r="B15" s="412" t="s">
        <v>150</v>
      </c>
      <c r="E15" s="99"/>
      <c r="F15" s="608"/>
      <c r="G15" s="551" t="s">
        <v>2027</v>
      </c>
      <c r="H15" s="259">
        <v>2.0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>
      <c r="A16" s="553" t="s">
        <v>1063</v>
      </c>
      <c r="B16" s="554" t="s">
        <v>1062</v>
      </c>
      <c r="C16" s="555"/>
      <c r="D16" s="555"/>
      <c r="E16" s="555"/>
      <c r="F16" s="555"/>
      <c r="G16" s="551" t="s">
        <v>2195</v>
      </c>
      <c r="H16" s="346">
        <v>2.0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>
      <c r="A17" s="115" t="s">
        <v>1155</v>
      </c>
      <c r="B17" s="412" t="s">
        <v>1154</v>
      </c>
      <c r="C17" s="413"/>
      <c r="D17" s="413"/>
      <c r="E17" s="413"/>
      <c r="F17" s="413"/>
      <c r="G17" s="551" t="s">
        <v>2204</v>
      </c>
      <c r="H17" s="259">
        <v>10.0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>
      <c r="A18" s="115" t="s">
        <v>1160</v>
      </c>
      <c r="B18" s="412" t="s">
        <v>1159</v>
      </c>
      <c r="C18" s="413"/>
      <c r="D18" s="413"/>
      <c r="E18" s="413"/>
      <c r="F18" s="413"/>
      <c r="G18" s="551" t="s">
        <v>2204</v>
      </c>
      <c r="H18" s="412">
        <v>5.0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</row>
    <row r="19">
      <c r="A19" s="115" t="s">
        <v>1164</v>
      </c>
      <c r="B19" s="412" t="s">
        <v>1163</v>
      </c>
      <c r="C19" s="413"/>
      <c r="D19" s="413"/>
      <c r="E19" s="413"/>
      <c r="F19" s="413"/>
      <c r="G19" s="551" t="s">
        <v>2204</v>
      </c>
      <c r="H19" s="259">
        <v>8.0</v>
      </c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</row>
    <row r="20">
      <c r="A20" s="115" t="s">
        <v>1168</v>
      </c>
      <c r="B20" s="412" t="s">
        <v>1167</v>
      </c>
      <c r="C20" s="413"/>
      <c r="D20" s="413"/>
      <c r="E20" s="413"/>
      <c r="F20" s="413"/>
      <c r="G20" s="551" t="s">
        <v>2155</v>
      </c>
      <c r="H20" s="412">
        <v>2.0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</row>
    <row r="21">
      <c r="A21" s="115" t="s">
        <v>1176</v>
      </c>
      <c r="B21" s="412" t="s">
        <v>1175</v>
      </c>
      <c r="C21" s="413"/>
      <c r="D21" s="413"/>
      <c r="E21" s="413"/>
      <c r="F21" s="413"/>
      <c r="G21" s="551" t="s">
        <v>2155</v>
      </c>
      <c r="H21" s="259">
        <v>1.0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</row>
    <row r="22">
      <c r="A22" s="115" t="s">
        <v>1184</v>
      </c>
      <c r="B22" s="412" t="s">
        <v>1183</v>
      </c>
      <c r="C22" s="413"/>
      <c r="D22" s="413"/>
      <c r="E22" s="413"/>
      <c r="F22" s="413"/>
      <c r="G22" s="551" t="s">
        <v>2115</v>
      </c>
      <c r="H22" s="412">
        <v>1.0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>
      <c r="A23" s="115" t="s">
        <v>1188</v>
      </c>
      <c r="B23" s="412" t="s">
        <v>1187</v>
      </c>
      <c r="C23" s="413"/>
      <c r="D23" s="413"/>
      <c r="E23" s="413"/>
      <c r="F23" s="413"/>
      <c r="G23" s="551" t="s">
        <v>2116</v>
      </c>
      <c r="H23" s="259">
        <v>1.0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>
      <c r="A24" s="553" t="s">
        <v>1192</v>
      </c>
      <c r="B24" s="554" t="s">
        <v>1191</v>
      </c>
      <c r="C24" s="555"/>
      <c r="D24" s="555"/>
      <c r="E24" s="555"/>
      <c r="F24" s="555"/>
      <c r="G24" s="551" t="s">
        <v>2117</v>
      </c>
      <c r="H24" s="554">
        <v>1.0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>
      <c r="A25" s="115" t="s">
        <v>1209</v>
      </c>
      <c r="B25" s="412" t="s">
        <v>1208</v>
      </c>
      <c r="C25" s="413"/>
      <c r="D25" s="413"/>
      <c r="E25" s="413"/>
      <c r="F25" s="413"/>
      <c r="G25" s="551" t="s">
        <v>2117</v>
      </c>
      <c r="H25" s="412">
        <v>2.0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>
      <c r="A26" s="553" t="s">
        <v>1221</v>
      </c>
      <c r="B26" s="554" t="s">
        <v>1220</v>
      </c>
      <c r="C26" s="555"/>
      <c r="D26" s="555"/>
      <c r="E26" s="555"/>
      <c r="F26" s="555"/>
      <c r="G26" s="551" t="s">
        <v>2203</v>
      </c>
      <c r="H26" s="554">
        <v>1.0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>
      <c r="A27" s="115" t="s">
        <v>1229</v>
      </c>
      <c r="B27" s="412" t="s">
        <v>1228</v>
      </c>
      <c r="C27" s="413"/>
      <c r="D27" s="413"/>
      <c r="E27" s="413"/>
      <c r="F27" s="413"/>
      <c r="G27" s="551" t="s">
        <v>2027</v>
      </c>
      <c r="H27" s="412">
        <v>1.0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>
      <c r="A28" s="115" t="s">
        <v>1237</v>
      </c>
      <c r="B28" s="412" t="s">
        <v>1236</v>
      </c>
      <c r="C28" s="413"/>
      <c r="D28" s="413"/>
      <c r="E28" s="413"/>
      <c r="F28" s="413"/>
      <c r="G28" s="551" t="s">
        <v>2027</v>
      </c>
      <c r="H28" s="259">
        <v>2.0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>
      <c r="A29" s="115" t="s">
        <v>1241</v>
      </c>
      <c r="B29" s="412" t="s">
        <v>1240</v>
      </c>
      <c r="C29" s="413"/>
      <c r="D29" s="413"/>
      <c r="E29" s="413"/>
      <c r="F29" s="413"/>
      <c r="G29" s="551" t="s">
        <v>2205</v>
      </c>
      <c r="H29" s="259">
        <v>2.0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>
      <c r="A30" s="115" t="s">
        <v>1270</v>
      </c>
      <c r="B30" s="412" t="s">
        <v>1269</v>
      </c>
      <c r="C30" s="413"/>
      <c r="D30" s="413"/>
      <c r="E30" s="413"/>
      <c r="F30" s="413"/>
      <c r="G30" s="551" t="s">
        <v>2027</v>
      </c>
      <c r="H30" s="412">
        <v>1.0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>
      <c r="A31" s="553" t="s">
        <v>1274</v>
      </c>
      <c r="B31" s="554" t="s">
        <v>1273</v>
      </c>
      <c r="C31" s="555"/>
      <c r="D31" s="555"/>
      <c r="E31" s="555"/>
      <c r="F31" s="555"/>
      <c r="G31" s="551" t="s">
        <v>2124</v>
      </c>
      <c r="H31" s="554">
        <v>1.0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>
      <c r="A32" s="553" t="s">
        <v>1281</v>
      </c>
      <c r="B32" s="554" t="s">
        <v>1280</v>
      </c>
      <c r="C32" s="555"/>
      <c r="D32" s="555"/>
      <c r="E32" s="555"/>
      <c r="F32" s="555"/>
      <c r="G32" s="551" t="s">
        <v>2124</v>
      </c>
      <c r="H32" s="554">
        <v>1.0</v>
      </c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>
      <c r="A33" s="115" t="s">
        <v>1285</v>
      </c>
      <c r="B33" s="412" t="s">
        <v>1284</v>
      </c>
      <c r="C33" s="413"/>
      <c r="D33" s="413"/>
      <c r="E33" s="413"/>
      <c r="F33" s="413"/>
      <c r="G33" s="551" t="s">
        <v>2124</v>
      </c>
      <c r="H33" s="412">
        <v>1.0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>
      <c r="A34" s="553" t="s">
        <v>1288</v>
      </c>
      <c r="B34" s="554" t="s">
        <v>1287</v>
      </c>
      <c r="C34" s="555"/>
      <c r="D34" s="555"/>
      <c r="E34" s="555"/>
      <c r="F34" s="555"/>
      <c r="G34" s="551" t="s">
        <v>2124</v>
      </c>
      <c r="H34" s="554">
        <v>1.0</v>
      </c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>
      <c r="A35" s="553" t="s">
        <v>1291</v>
      </c>
      <c r="B35" s="554" t="s">
        <v>1290</v>
      </c>
      <c r="C35" s="555"/>
      <c r="D35" s="555"/>
      <c r="E35" s="555"/>
      <c r="F35" s="555"/>
      <c r="G35" s="551" t="s">
        <v>2124</v>
      </c>
      <c r="H35" s="554">
        <v>1.0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>
      <c r="A36" s="553" t="s">
        <v>1294</v>
      </c>
      <c r="B36" s="554" t="s">
        <v>1293</v>
      </c>
      <c r="C36" s="555"/>
      <c r="D36" s="555"/>
      <c r="E36" s="555"/>
      <c r="F36" s="555"/>
      <c r="G36" s="551" t="s">
        <v>2124</v>
      </c>
      <c r="H36" s="554">
        <v>1.0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>
      <c r="A37" s="115" t="s">
        <v>1302</v>
      </c>
      <c r="B37" s="412" t="s">
        <v>1301</v>
      </c>
      <c r="C37" s="413"/>
      <c r="D37" s="413"/>
      <c r="E37" s="413"/>
      <c r="F37" s="413"/>
      <c r="G37" s="551" t="s">
        <v>2027</v>
      </c>
      <c r="H37" s="259">
        <v>1.0</v>
      </c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>
      <c r="A38" s="115" t="s">
        <v>1306</v>
      </c>
      <c r="B38" s="412" t="s">
        <v>1305</v>
      </c>
      <c r="C38" s="413"/>
      <c r="D38" s="413"/>
      <c r="E38" s="413"/>
      <c r="F38" s="413"/>
      <c r="G38" s="551" t="s">
        <v>2027</v>
      </c>
      <c r="H38" s="259">
        <v>1.0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>
      <c r="A39" s="553" t="s">
        <v>1310</v>
      </c>
      <c r="B39" s="554" t="s">
        <v>1309</v>
      </c>
      <c r="C39" s="555"/>
      <c r="D39" s="555"/>
      <c r="E39" s="555"/>
      <c r="F39" s="555"/>
      <c r="G39" s="551" t="s">
        <v>2027</v>
      </c>
      <c r="H39" s="346">
        <v>1.0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>
      <c r="A40" s="115" t="s">
        <v>1314</v>
      </c>
      <c r="B40" s="412" t="s">
        <v>1313</v>
      </c>
      <c r="C40" s="413"/>
      <c r="D40" s="413"/>
      <c r="E40" s="413"/>
      <c r="F40" s="413"/>
      <c r="G40" s="551" t="s">
        <v>2027</v>
      </c>
      <c r="H40" s="412">
        <v>1.0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>
      <c r="A41" s="553" t="s">
        <v>1322</v>
      </c>
      <c r="B41" s="554" t="s">
        <v>1321</v>
      </c>
      <c r="C41" s="555"/>
      <c r="D41" s="555"/>
      <c r="E41" s="555"/>
      <c r="F41" s="555"/>
      <c r="G41" s="551" t="s">
        <v>2027</v>
      </c>
      <c r="H41" s="346">
        <v>1.0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>
      <c r="A42" s="115" t="s">
        <v>1489</v>
      </c>
      <c r="B42" s="412" t="s">
        <v>1488</v>
      </c>
      <c r="C42" s="287"/>
      <c r="D42" s="287"/>
      <c r="E42" s="287"/>
      <c r="F42" s="287"/>
      <c r="G42" s="609" t="s">
        <v>2145</v>
      </c>
      <c r="H42" s="412">
        <v>5.0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>
      <c r="A43" s="115" t="s">
        <v>1493</v>
      </c>
      <c r="B43" s="412" t="s">
        <v>1492</v>
      </c>
      <c r="C43" s="287"/>
      <c r="D43" s="287"/>
      <c r="E43" s="287"/>
      <c r="F43" s="287"/>
      <c r="G43" s="609" t="s">
        <v>2145</v>
      </c>
      <c r="H43" s="259">
        <v>2.0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>
      <c r="A44" s="553" t="s">
        <v>1497</v>
      </c>
      <c r="B44" s="554" t="s">
        <v>1496</v>
      </c>
      <c r="C44" s="610"/>
      <c r="D44" s="610"/>
      <c r="E44" s="610"/>
      <c r="F44" s="610"/>
      <c r="G44" s="609" t="s">
        <v>2145</v>
      </c>
      <c r="H44" s="554">
        <v>5.0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>
      <c r="A45" s="611" t="s">
        <v>1999</v>
      </c>
      <c r="B45" s="612" t="s">
        <v>1998</v>
      </c>
      <c r="C45" s="314"/>
      <c r="D45" s="314"/>
      <c r="E45" s="314"/>
      <c r="F45" s="314"/>
      <c r="G45" s="551" t="s">
        <v>2155</v>
      </c>
      <c r="H45" s="613">
        <v>4.0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>
      <c r="A46" s="99"/>
      <c r="B46" s="99"/>
      <c r="C46" s="99"/>
      <c r="D46" s="99"/>
      <c r="E46" s="99"/>
      <c r="F46" s="608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>
      <c r="A47" s="99"/>
      <c r="B47" s="99"/>
      <c r="C47" s="99"/>
      <c r="D47" s="99"/>
      <c r="E47" s="99"/>
      <c r="F47" s="608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>
      <c r="A48" s="99"/>
      <c r="B48" s="99"/>
      <c r="C48" s="99"/>
      <c r="D48" s="99"/>
      <c r="E48" s="99"/>
      <c r="F48" s="608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>
      <c r="A49" s="99"/>
      <c r="B49" s="99"/>
      <c r="C49" s="99"/>
      <c r="D49" s="99"/>
      <c r="E49" s="99"/>
      <c r="F49" s="608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>
      <c r="A50" s="99"/>
      <c r="B50" s="99"/>
      <c r="C50" s="99"/>
      <c r="D50" s="99"/>
      <c r="E50" s="99"/>
      <c r="F50" s="608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>
      <c r="A51" s="99"/>
      <c r="B51" s="99"/>
      <c r="C51" s="99"/>
      <c r="D51" s="99"/>
      <c r="E51" s="99"/>
      <c r="F51" s="608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>
      <c r="A52" s="99"/>
      <c r="B52" s="99"/>
      <c r="C52" s="99"/>
      <c r="D52" s="99"/>
      <c r="E52" s="99"/>
      <c r="F52" s="608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>
      <c r="A53" s="99"/>
      <c r="B53" s="99"/>
      <c r="C53" s="99"/>
      <c r="D53" s="99"/>
      <c r="E53" s="99"/>
      <c r="F53" s="608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>
      <c r="A54" s="99"/>
      <c r="B54" s="99"/>
      <c r="C54" s="99"/>
      <c r="D54" s="99"/>
      <c r="E54" s="99"/>
      <c r="F54" s="608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>
      <c r="A55" s="99"/>
      <c r="B55" s="99"/>
      <c r="C55" s="99"/>
      <c r="D55" s="99"/>
      <c r="E55" s="99"/>
      <c r="F55" s="608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>
      <c r="A56" s="99"/>
      <c r="B56" s="99"/>
      <c r="C56" s="99"/>
      <c r="D56" s="99"/>
      <c r="E56" s="99"/>
      <c r="F56" s="608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>
      <c r="A57" s="99"/>
      <c r="B57" s="99"/>
      <c r="C57" s="99"/>
      <c r="D57" s="99"/>
      <c r="E57" s="99"/>
      <c r="F57" s="608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>
      <c r="A58" s="99"/>
      <c r="B58" s="99"/>
      <c r="C58" s="99"/>
      <c r="D58" s="99"/>
      <c r="E58" s="99"/>
      <c r="F58" s="608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>
      <c r="A59" s="99"/>
      <c r="B59" s="99"/>
      <c r="C59" s="99"/>
      <c r="D59" s="99"/>
      <c r="E59" s="99"/>
      <c r="F59" s="608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>
      <c r="A60" s="99"/>
      <c r="B60" s="99"/>
      <c r="C60" s="99"/>
      <c r="D60" s="99"/>
      <c r="E60" s="99"/>
      <c r="F60" s="608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>
      <c r="A61" s="99"/>
      <c r="B61" s="99"/>
      <c r="C61" s="99"/>
      <c r="D61" s="99"/>
      <c r="E61" s="99"/>
      <c r="F61" s="608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>
      <c r="A62" s="99"/>
      <c r="B62" s="99"/>
      <c r="C62" s="99"/>
      <c r="D62" s="99"/>
      <c r="E62" s="99"/>
      <c r="F62" s="608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>
      <c r="A63" s="99"/>
      <c r="B63" s="99"/>
      <c r="C63" s="99"/>
      <c r="D63" s="99"/>
      <c r="E63" s="99"/>
      <c r="F63" s="608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>
      <c r="A64" s="99"/>
      <c r="B64" s="99"/>
      <c r="C64" s="99"/>
      <c r="D64" s="99"/>
      <c r="E64" s="99"/>
      <c r="F64" s="608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>
      <c r="A65" s="99"/>
      <c r="B65" s="99"/>
      <c r="C65" s="99"/>
      <c r="D65" s="99"/>
      <c r="E65" s="99"/>
      <c r="F65" s="608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>
      <c r="A66" s="99"/>
      <c r="B66" s="99"/>
      <c r="C66" s="99"/>
      <c r="D66" s="99"/>
      <c r="E66" s="99"/>
      <c r="F66" s="608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>
      <c r="A67" s="99"/>
      <c r="B67" s="99"/>
      <c r="C67" s="99"/>
      <c r="D67" s="99"/>
      <c r="E67" s="99"/>
      <c r="F67" s="608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>
      <c r="A68" s="99"/>
      <c r="B68" s="99"/>
      <c r="C68" s="99"/>
      <c r="D68" s="99"/>
      <c r="E68" s="99"/>
      <c r="F68" s="608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>
      <c r="A69" s="99"/>
      <c r="B69" s="99"/>
      <c r="C69" s="99"/>
      <c r="D69" s="99"/>
      <c r="E69" s="99"/>
      <c r="F69" s="608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>
      <c r="A70" s="99"/>
      <c r="B70" s="99"/>
      <c r="C70" s="99"/>
      <c r="D70" s="99"/>
      <c r="E70" s="99"/>
      <c r="F70" s="608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>
      <c r="A71" s="99"/>
      <c r="B71" s="99"/>
      <c r="C71" s="99"/>
      <c r="D71" s="99"/>
      <c r="E71" s="99"/>
      <c r="F71" s="608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>
      <c r="A72" s="99"/>
      <c r="B72" s="99"/>
      <c r="C72" s="99"/>
      <c r="D72" s="99"/>
      <c r="E72" s="99"/>
      <c r="F72" s="608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>
      <c r="A73" s="99"/>
      <c r="B73" s="99"/>
      <c r="C73" s="99"/>
      <c r="D73" s="99"/>
      <c r="E73" s="99"/>
      <c r="F73" s="60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>
      <c r="A74" s="99"/>
      <c r="B74" s="99"/>
      <c r="C74" s="99"/>
      <c r="D74" s="99"/>
      <c r="E74" s="99"/>
      <c r="F74" s="60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>
      <c r="A75" s="99"/>
      <c r="B75" s="99"/>
      <c r="C75" s="99"/>
      <c r="D75" s="99"/>
      <c r="E75" s="99"/>
      <c r="F75" s="60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>
      <c r="A76" s="99"/>
      <c r="B76" s="99"/>
      <c r="C76" s="99"/>
      <c r="D76" s="99"/>
      <c r="E76" s="99"/>
      <c r="F76" s="60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>
      <c r="A77" s="99"/>
      <c r="B77" s="99"/>
      <c r="C77" s="99"/>
      <c r="D77" s="99"/>
      <c r="E77" s="99"/>
      <c r="F77" s="60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>
      <c r="A78" s="99"/>
      <c r="B78" s="99"/>
      <c r="C78" s="99"/>
      <c r="D78" s="99"/>
      <c r="E78" s="99"/>
      <c r="F78" s="60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>
      <c r="A79" s="99"/>
      <c r="B79" s="99"/>
      <c r="C79" s="99"/>
      <c r="D79" s="99"/>
      <c r="E79" s="99"/>
      <c r="F79" s="60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>
      <c r="A80" s="99"/>
      <c r="B80" s="99"/>
      <c r="C80" s="99"/>
      <c r="D80" s="99"/>
      <c r="E80" s="99"/>
      <c r="F80" s="60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>
      <c r="A81" s="99"/>
      <c r="B81" s="99"/>
      <c r="C81" s="99"/>
      <c r="D81" s="99"/>
      <c r="E81" s="99"/>
      <c r="F81" s="60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>
      <c r="A82" s="99"/>
      <c r="B82" s="99"/>
      <c r="C82" s="99"/>
      <c r="D82" s="99"/>
      <c r="E82" s="99"/>
      <c r="F82" s="60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>
      <c r="A83" s="99"/>
      <c r="B83" s="99"/>
      <c r="C83" s="99"/>
      <c r="D83" s="99"/>
      <c r="E83" s="99"/>
      <c r="F83" s="60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>
      <c r="A84" s="99"/>
      <c r="B84" s="99"/>
      <c r="C84" s="99"/>
      <c r="D84" s="99"/>
      <c r="E84" s="99"/>
      <c r="F84" s="60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>
      <c r="A85" s="99"/>
      <c r="B85" s="99"/>
      <c r="C85" s="99"/>
      <c r="D85" s="99"/>
      <c r="E85" s="99"/>
      <c r="F85" s="60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>
      <c r="A86" s="99"/>
      <c r="B86" s="99"/>
      <c r="C86" s="99"/>
      <c r="D86" s="99"/>
      <c r="E86" s="99"/>
      <c r="F86" s="60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>
      <c r="A87" s="99"/>
      <c r="B87" s="99"/>
      <c r="C87" s="99"/>
      <c r="D87" s="99"/>
      <c r="E87" s="99"/>
      <c r="F87" s="60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>
      <c r="A88" s="99"/>
      <c r="B88" s="99"/>
      <c r="C88" s="99"/>
      <c r="D88" s="99"/>
      <c r="E88" s="99"/>
      <c r="F88" s="60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>
      <c r="A89" s="99"/>
      <c r="B89" s="99"/>
      <c r="C89" s="99"/>
      <c r="D89" s="99"/>
      <c r="E89" s="99"/>
      <c r="F89" s="60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>
      <c r="A90" s="99"/>
      <c r="B90" s="99"/>
      <c r="C90" s="99"/>
      <c r="D90" s="99"/>
      <c r="E90" s="99"/>
      <c r="F90" s="60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>
      <c r="A91" s="99"/>
      <c r="B91" s="99"/>
      <c r="C91" s="99"/>
      <c r="D91" s="99"/>
      <c r="E91" s="99"/>
      <c r="F91" s="60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>
      <c r="A92" s="99"/>
      <c r="B92" s="99"/>
      <c r="C92" s="99"/>
      <c r="D92" s="99"/>
      <c r="E92" s="99"/>
      <c r="F92" s="60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>
      <c r="A93" s="99"/>
      <c r="B93" s="99"/>
      <c r="C93" s="99"/>
      <c r="D93" s="99"/>
      <c r="E93" s="99"/>
      <c r="F93" s="60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>
      <c r="A94" s="99"/>
      <c r="B94" s="99"/>
      <c r="C94" s="99"/>
      <c r="D94" s="99"/>
      <c r="E94" s="99"/>
      <c r="F94" s="60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>
      <c r="A95" s="99"/>
      <c r="B95" s="99"/>
      <c r="C95" s="99"/>
      <c r="D95" s="99"/>
      <c r="E95" s="99"/>
      <c r="F95" s="60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>
      <c r="A96" s="99"/>
      <c r="B96" s="99"/>
      <c r="C96" s="99"/>
      <c r="D96" s="99"/>
      <c r="E96" s="99"/>
      <c r="F96" s="60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>
      <c r="A97" s="99"/>
      <c r="B97" s="99"/>
      <c r="C97" s="99"/>
      <c r="D97" s="99"/>
      <c r="E97" s="99"/>
      <c r="F97" s="60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>
      <c r="A98" s="99"/>
      <c r="B98" s="99"/>
      <c r="C98" s="99"/>
      <c r="D98" s="99"/>
      <c r="E98" s="99"/>
      <c r="F98" s="608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>
      <c r="A99" s="99"/>
      <c r="B99" s="99"/>
      <c r="C99" s="99"/>
      <c r="D99" s="99"/>
      <c r="E99" s="99"/>
      <c r="F99" s="608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>
      <c r="A100" s="99"/>
      <c r="B100" s="99"/>
      <c r="C100" s="99"/>
      <c r="D100" s="99"/>
      <c r="E100" s="99"/>
      <c r="F100" s="608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>
      <c r="A101" s="99"/>
      <c r="B101" s="99"/>
      <c r="C101" s="99"/>
      <c r="D101" s="99"/>
      <c r="E101" s="99"/>
      <c r="F101" s="608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>
      <c r="A102" s="99"/>
      <c r="B102" s="99"/>
      <c r="C102" s="99"/>
      <c r="D102" s="99"/>
      <c r="E102" s="99"/>
      <c r="F102" s="608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>
      <c r="A103" s="99"/>
      <c r="B103" s="99"/>
      <c r="C103" s="99"/>
      <c r="D103" s="99"/>
      <c r="E103" s="99"/>
      <c r="F103" s="608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>
      <c r="A104" s="99"/>
      <c r="B104" s="99"/>
      <c r="C104" s="99"/>
      <c r="D104" s="99"/>
      <c r="E104" s="99"/>
      <c r="F104" s="608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>
      <c r="A105" s="99"/>
      <c r="B105" s="99"/>
      <c r="C105" s="99"/>
      <c r="D105" s="99"/>
      <c r="E105" s="99"/>
      <c r="F105" s="608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>
      <c r="A106" s="99"/>
      <c r="B106" s="99"/>
      <c r="C106" s="99"/>
      <c r="D106" s="99"/>
      <c r="E106" s="99"/>
      <c r="F106" s="608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>
      <c r="A107" s="99"/>
      <c r="B107" s="99"/>
      <c r="C107" s="99"/>
      <c r="D107" s="99"/>
      <c r="E107" s="99"/>
      <c r="F107" s="608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>
      <c r="A108" s="99"/>
      <c r="B108" s="99"/>
      <c r="C108" s="99"/>
      <c r="D108" s="99"/>
      <c r="E108" s="99"/>
      <c r="F108" s="608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>
      <c r="A109" s="99"/>
      <c r="B109" s="99"/>
      <c r="C109" s="99"/>
      <c r="D109" s="99"/>
      <c r="E109" s="99"/>
      <c r="F109" s="608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>
      <c r="A110" s="99"/>
      <c r="B110" s="99"/>
      <c r="C110" s="99"/>
      <c r="D110" s="99"/>
      <c r="E110" s="99"/>
      <c r="F110" s="608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>
      <c r="A111" s="99"/>
      <c r="B111" s="99"/>
      <c r="C111" s="99"/>
      <c r="D111" s="99"/>
      <c r="E111" s="99"/>
      <c r="F111" s="608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>
      <c r="A112" s="99"/>
      <c r="B112" s="99"/>
      <c r="C112" s="99"/>
      <c r="D112" s="99"/>
      <c r="E112" s="99"/>
      <c r="F112" s="608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>
      <c r="A113" s="99"/>
      <c r="B113" s="99"/>
      <c r="C113" s="99"/>
      <c r="D113" s="99"/>
      <c r="E113" s="99"/>
      <c r="F113" s="608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>
      <c r="A114" s="99"/>
      <c r="B114" s="99"/>
      <c r="C114" s="99"/>
      <c r="D114" s="99"/>
      <c r="E114" s="99"/>
      <c r="F114" s="608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>
      <c r="A115" s="99"/>
      <c r="B115" s="99"/>
      <c r="C115" s="99"/>
      <c r="D115" s="99"/>
      <c r="E115" s="99"/>
      <c r="F115" s="608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>
      <c r="A116" s="99"/>
      <c r="B116" s="99"/>
      <c r="C116" s="99"/>
      <c r="D116" s="99"/>
      <c r="E116" s="99"/>
      <c r="F116" s="608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>
      <c r="A117" s="99"/>
      <c r="B117" s="99"/>
      <c r="C117" s="99"/>
      <c r="D117" s="99"/>
      <c r="E117" s="99"/>
      <c r="F117" s="608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>
      <c r="A118" s="99"/>
      <c r="B118" s="99"/>
      <c r="C118" s="99"/>
      <c r="D118" s="99"/>
      <c r="E118" s="99"/>
      <c r="F118" s="608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>
      <c r="A119" s="99"/>
      <c r="B119" s="99"/>
      <c r="C119" s="99"/>
      <c r="D119" s="99"/>
      <c r="E119" s="99"/>
      <c r="F119" s="608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>
      <c r="A120" s="99"/>
      <c r="B120" s="99"/>
      <c r="C120" s="99"/>
      <c r="D120" s="99"/>
      <c r="E120" s="99"/>
      <c r="F120" s="608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>
      <c r="A121" s="99"/>
      <c r="B121" s="99"/>
      <c r="C121" s="99"/>
      <c r="D121" s="99"/>
      <c r="E121" s="99"/>
      <c r="F121" s="608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>
      <c r="A122" s="99"/>
      <c r="B122" s="99"/>
      <c r="C122" s="99"/>
      <c r="D122" s="99"/>
      <c r="E122" s="99"/>
      <c r="F122" s="608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>
      <c r="A123" s="99"/>
      <c r="B123" s="99"/>
      <c r="C123" s="99"/>
      <c r="D123" s="99"/>
      <c r="E123" s="99"/>
      <c r="F123" s="608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>
      <c r="A124" s="99"/>
      <c r="B124" s="99"/>
      <c r="C124" s="99"/>
      <c r="D124" s="99"/>
      <c r="E124" s="99"/>
      <c r="F124" s="608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>
      <c r="A125" s="99"/>
      <c r="B125" s="99"/>
      <c r="C125" s="99"/>
      <c r="D125" s="99"/>
      <c r="E125" s="99"/>
      <c r="F125" s="608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>
      <c r="A126" s="99"/>
      <c r="B126" s="99"/>
      <c r="C126" s="99"/>
      <c r="D126" s="99"/>
      <c r="E126" s="99"/>
      <c r="F126" s="608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>
      <c r="A127" s="99"/>
      <c r="B127" s="99"/>
      <c r="C127" s="99"/>
      <c r="D127" s="99"/>
      <c r="E127" s="99"/>
      <c r="F127" s="608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>
      <c r="A128" s="99"/>
      <c r="B128" s="99"/>
      <c r="C128" s="99"/>
      <c r="D128" s="99"/>
      <c r="E128" s="99"/>
      <c r="F128" s="608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>
      <c r="A129" s="99"/>
      <c r="B129" s="99"/>
      <c r="C129" s="99"/>
      <c r="D129" s="99"/>
      <c r="E129" s="99"/>
      <c r="F129" s="608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>
      <c r="A130" s="99"/>
      <c r="B130" s="99"/>
      <c r="C130" s="99"/>
      <c r="D130" s="99"/>
      <c r="E130" s="99"/>
      <c r="F130" s="608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>
      <c r="A131" s="99"/>
      <c r="B131" s="99"/>
      <c r="C131" s="99"/>
      <c r="D131" s="99"/>
      <c r="E131" s="99"/>
      <c r="F131" s="608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>
      <c r="A132" s="99"/>
      <c r="B132" s="99"/>
      <c r="C132" s="99"/>
      <c r="D132" s="99"/>
      <c r="E132" s="99"/>
      <c r="F132" s="608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>
      <c r="A133" s="99"/>
      <c r="B133" s="99"/>
      <c r="C133" s="99"/>
      <c r="D133" s="99"/>
      <c r="E133" s="99"/>
      <c r="F133" s="608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>
      <c r="A134" s="99"/>
      <c r="B134" s="99"/>
      <c r="C134" s="99"/>
      <c r="D134" s="99"/>
      <c r="E134" s="99"/>
      <c r="F134" s="608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>
      <c r="A135" s="99"/>
      <c r="B135" s="99"/>
      <c r="C135" s="99"/>
      <c r="D135" s="99"/>
      <c r="E135" s="99"/>
      <c r="F135" s="608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>
      <c r="A136" s="99"/>
      <c r="B136" s="99"/>
      <c r="C136" s="99"/>
      <c r="D136" s="99"/>
      <c r="E136" s="99"/>
      <c r="F136" s="608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>
      <c r="A137" s="99"/>
      <c r="B137" s="99"/>
      <c r="C137" s="99"/>
      <c r="D137" s="99"/>
      <c r="E137" s="99"/>
      <c r="F137" s="608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>
      <c r="A138" s="99"/>
      <c r="B138" s="99"/>
      <c r="C138" s="99"/>
      <c r="D138" s="99"/>
      <c r="E138" s="99"/>
      <c r="F138" s="608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>
      <c r="A139" s="99"/>
      <c r="B139" s="99"/>
      <c r="C139" s="99"/>
      <c r="D139" s="99"/>
      <c r="E139" s="99"/>
      <c r="F139" s="608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>
      <c r="A140" s="99"/>
      <c r="B140" s="99"/>
      <c r="C140" s="99"/>
      <c r="D140" s="99"/>
      <c r="E140" s="99"/>
      <c r="F140" s="608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>
      <c r="A141" s="99"/>
      <c r="B141" s="99"/>
      <c r="C141" s="99"/>
      <c r="D141" s="99"/>
      <c r="E141" s="99"/>
      <c r="F141" s="608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>
      <c r="A142" s="99"/>
      <c r="B142" s="99"/>
      <c r="C142" s="99"/>
      <c r="D142" s="99"/>
      <c r="E142" s="99"/>
      <c r="F142" s="608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>
      <c r="A143" s="99"/>
      <c r="B143" s="99"/>
      <c r="C143" s="99"/>
      <c r="D143" s="99"/>
      <c r="E143" s="99"/>
      <c r="F143" s="608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>
      <c r="A144" s="99"/>
      <c r="B144" s="99"/>
      <c r="C144" s="99"/>
      <c r="D144" s="99"/>
      <c r="E144" s="99"/>
      <c r="F144" s="608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>
      <c r="A145" s="99"/>
      <c r="B145" s="99"/>
      <c r="C145" s="99"/>
      <c r="D145" s="99"/>
      <c r="E145" s="99"/>
      <c r="F145" s="608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>
      <c r="A146" s="99"/>
      <c r="B146" s="99"/>
      <c r="C146" s="99"/>
      <c r="D146" s="99"/>
      <c r="E146" s="99"/>
      <c r="F146" s="608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>
      <c r="A147" s="99"/>
      <c r="B147" s="99"/>
      <c r="C147" s="99"/>
      <c r="D147" s="99"/>
      <c r="E147" s="99"/>
      <c r="F147" s="608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>
      <c r="A148" s="99"/>
      <c r="B148" s="99"/>
      <c r="C148" s="99"/>
      <c r="D148" s="99"/>
      <c r="E148" s="99"/>
      <c r="F148" s="608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>
      <c r="A149" s="99"/>
      <c r="B149" s="99"/>
      <c r="C149" s="99"/>
      <c r="D149" s="99"/>
      <c r="E149" s="99"/>
      <c r="F149" s="608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>
      <c r="A150" s="99"/>
      <c r="B150" s="99"/>
      <c r="C150" s="99"/>
      <c r="D150" s="99"/>
      <c r="E150" s="99"/>
      <c r="F150" s="608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>
      <c r="A151" s="99"/>
      <c r="B151" s="99"/>
      <c r="C151" s="99"/>
      <c r="D151" s="99"/>
      <c r="E151" s="99"/>
      <c r="F151" s="608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>
      <c r="A152" s="99"/>
      <c r="B152" s="99"/>
      <c r="C152" s="99"/>
      <c r="D152" s="99"/>
      <c r="E152" s="99"/>
      <c r="F152" s="608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>
      <c r="A153" s="99"/>
      <c r="B153" s="99"/>
      <c r="C153" s="99"/>
      <c r="D153" s="99"/>
      <c r="E153" s="99"/>
      <c r="F153" s="608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>
      <c r="A154" s="99"/>
      <c r="B154" s="99"/>
      <c r="C154" s="99"/>
      <c r="D154" s="99"/>
      <c r="E154" s="99"/>
      <c r="F154" s="608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>
      <c r="A155" s="99"/>
      <c r="B155" s="99"/>
      <c r="C155" s="99"/>
      <c r="D155" s="99"/>
      <c r="E155" s="99"/>
      <c r="F155" s="608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>
      <c r="A156" s="99"/>
      <c r="B156" s="99"/>
      <c r="C156" s="99"/>
      <c r="D156" s="99"/>
      <c r="E156" s="99"/>
      <c r="F156" s="608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>
      <c r="A157" s="99"/>
      <c r="B157" s="99"/>
      <c r="C157" s="99"/>
      <c r="D157" s="99"/>
      <c r="E157" s="99"/>
      <c r="F157" s="608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>
      <c r="A158" s="99"/>
      <c r="B158" s="99"/>
      <c r="C158" s="99"/>
      <c r="D158" s="99"/>
      <c r="E158" s="99"/>
      <c r="F158" s="60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>
      <c r="A159" s="99"/>
      <c r="B159" s="99"/>
      <c r="C159" s="99"/>
      <c r="D159" s="99"/>
      <c r="E159" s="99"/>
      <c r="F159" s="608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>
      <c r="A160" s="99"/>
      <c r="B160" s="99"/>
      <c r="C160" s="99"/>
      <c r="D160" s="99"/>
      <c r="E160" s="99"/>
      <c r="F160" s="608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>
      <c r="A161" s="99"/>
      <c r="B161" s="99"/>
      <c r="C161" s="99"/>
      <c r="D161" s="99"/>
      <c r="E161" s="99"/>
      <c r="F161" s="608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>
      <c r="A162" s="99"/>
      <c r="B162" s="99"/>
      <c r="C162" s="99"/>
      <c r="D162" s="99"/>
      <c r="E162" s="99"/>
      <c r="F162" s="608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>
      <c r="A163" s="99"/>
      <c r="B163" s="99"/>
      <c r="C163" s="99"/>
      <c r="D163" s="99"/>
      <c r="E163" s="99"/>
      <c r="F163" s="608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>
      <c r="A164" s="99"/>
      <c r="B164" s="99"/>
      <c r="C164" s="99"/>
      <c r="D164" s="99"/>
      <c r="E164" s="99"/>
      <c r="F164" s="608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>
      <c r="A165" s="99"/>
      <c r="B165" s="99"/>
      <c r="C165" s="99"/>
      <c r="D165" s="99"/>
      <c r="E165" s="99"/>
      <c r="F165" s="608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>
      <c r="A166" s="99"/>
      <c r="B166" s="99"/>
      <c r="C166" s="99"/>
      <c r="D166" s="99"/>
      <c r="E166" s="99"/>
      <c r="F166" s="608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>
      <c r="A167" s="99"/>
      <c r="B167" s="99"/>
      <c r="C167" s="99"/>
      <c r="D167" s="99"/>
      <c r="E167" s="99"/>
      <c r="F167" s="608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>
      <c r="A168" s="99"/>
      <c r="B168" s="99"/>
      <c r="C168" s="99"/>
      <c r="D168" s="99"/>
      <c r="E168" s="99"/>
      <c r="F168" s="608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>
      <c r="A169" s="99"/>
      <c r="B169" s="99"/>
      <c r="C169" s="99"/>
      <c r="D169" s="99"/>
      <c r="E169" s="99"/>
      <c r="F169" s="608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>
      <c r="A170" s="99"/>
      <c r="B170" s="99"/>
      <c r="C170" s="99"/>
      <c r="D170" s="99"/>
      <c r="E170" s="99"/>
      <c r="F170" s="608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>
      <c r="A171" s="99"/>
      <c r="B171" s="99"/>
      <c r="C171" s="99"/>
      <c r="D171" s="99"/>
      <c r="E171" s="99"/>
      <c r="F171" s="608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>
      <c r="A172" s="99"/>
      <c r="B172" s="99"/>
      <c r="C172" s="99"/>
      <c r="D172" s="99"/>
      <c r="E172" s="99"/>
      <c r="F172" s="608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>
      <c r="A173" s="99"/>
      <c r="B173" s="99"/>
      <c r="C173" s="99"/>
      <c r="D173" s="99"/>
      <c r="E173" s="99"/>
      <c r="F173" s="608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>
      <c r="A174" s="99"/>
      <c r="B174" s="99"/>
      <c r="C174" s="99"/>
      <c r="D174" s="99"/>
      <c r="E174" s="99"/>
      <c r="F174" s="608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>
      <c r="A175" s="99"/>
      <c r="B175" s="99"/>
      <c r="C175" s="99"/>
      <c r="D175" s="99"/>
      <c r="E175" s="99"/>
      <c r="F175" s="608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>
      <c r="A176" s="99"/>
      <c r="B176" s="99"/>
      <c r="C176" s="99"/>
      <c r="D176" s="99"/>
      <c r="E176" s="99"/>
      <c r="F176" s="608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>
      <c r="A177" s="99"/>
      <c r="B177" s="99"/>
      <c r="C177" s="99"/>
      <c r="D177" s="99"/>
      <c r="E177" s="99"/>
      <c r="F177" s="608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>
      <c r="A178" s="99"/>
      <c r="B178" s="99"/>
      <c r="C178" s="99"/>
      <c r="D178" s="99"/>
      <c r="E178" s="99"/>
      <c r="F178" s="608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>
      <c r="A179" s="99"/>
      <c r="B179" s="99"/>
      <c r="C179" s="99"/>
      <c r="D179" s="99"/>
      <c r="E179" s="99"/>
      <c r="F179" s="608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>
      <c r="A180" s="99"/>
      <c r="B180" s="99"/>
      <c r="C180" s="99"/>
      <c r="D180" s="99"/>
      <c r="E180" s="99"/>
      <c r="F180" s="608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>
      <c r="A181" s="99"/>
      <c r="B181" s="99"/>
      <c r="C181" s="99"/>
      <c r="D181" s="99"/>
      <c r="E181" s="99"/>
      <c r="F181" s="608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>
      <c r="A182" s="99"/>
      <c r="B182" s="99"/>
      <c r="C182" s="99"/>
      <c r="D182" s="99"/>
      <c r="E182" s="99"/>
      <c r="F182" s="608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>
      <c r="A183" s="99"/>
      <c r="B183" s="99"/>
      <c r="C183" s="99"/>
      <c r="D183" s="99"/>
      <c r="E183" s="99"/>
      <c r="F183" s="608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>
      <c r="A184" s="99"/>
      <c r="B184" s="99"/>
      <c r="C184" s="99"/>
      <c r="D184" s="99"/>
      <c r="E184" s="99"/>
      <c r="F184" s="608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>
      <c r="A185" s="99"/>
      <c r="B185" s="99"/>
      <c r="C185" s="99"/>
      <c r="D185" s="99"/>
      <c r="E185" s="99"/>
      <c r="F185" s="608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>
      <c r="A186" s="99"/>
      <c r="B186" s="99"/>
      <c r="C186" s="99"/>
      <c r="D186" s="99"/>
      <c r="E186" s="99"/>
      <c r="F186" s="608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>
      <c r="A187" s="99"/>
      <c r="B187" s="99"/>
      <c r="C187" s="99"/>
      <c r="D187" s="99"/>
      <c r="E187" s="99"/>
      <c r="F187" s="608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>
      <c r="A188" s="99"/>
      <c r="B188" s="99"/>
      <c r="C188" s="99"/>
      <c r="D188" s="99"/>
      <c r="E188" s="99"/>
      <c r="F188" s="608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>
      <c r="A189" s="99"/>
      <c r="B189" s="99"/>
      <c r="C189" s="99"/>
      <c r="D189" s="99"/>
      <c r="E189" s="99"/>
      <c r="F189" s="608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>
      <c r="A190" s="99"/>
      <c r="B190" s="99"/>
      <c r="C190" s="99"/>
      <c r="D190" s="99"/>
      <c r="E190" s="99"/>
      <c r="F190" s="608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>
      <c r="A191" s="99"/>
      <c r="B191" s="99"/>
      <c r="C191" s="99"/>
      <c r="D191" s="99"/>
      <c r="E191" s="99"/>
      <c r="F191" s="608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>
      <c r="A192" s="99"/>
      <c r="B192" s="99"/>
      <c r="C192" s="99"/>
      <c r="D192" s="99"/>
      <c r="E192" s="99"/>
      <c r="F192" s="608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>
      <c r="A193" s="99"/>
      <c r="B193" s="99"/>
      <c r="C193" s="99"/>
      <c r="D193" s="99"/>
      <c r="E193" s="99"/>
      <c r="F193" s="608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>
      <c r="A194" s="99"/>
      <c r="B194" s="99"/>
      <c r="C194" s="99"/>
      <c r="D194" s="99"/>
      <c r="E194" s="99"/>
      <c r="F194" s="608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>
      <c r="A195" s="99"/>
      <c r="B195" s="99"/>
      <c r="C195" s="99"/>
      <c r="D195" s="99"/>
      <c r="E195" s="99"/>
      <c r="F195" s="608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>
      <c r="A196" s="99"/>
      <c r="B196" s="99"/>
      <c r="C196" s="99"/>
      <c r="D196" s="99"/>
      <c r="E196" s="99"/>
      <c r="F196" s="608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>
      <c r="A197" s="99"/>
      <c r="B197" s="99"/>
      <c r="C197" s="99"/>
      <c r="D197" s="99"/>
      <c r="E197" s="99"/>
      <c r="F197" s="608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>
      <c r="A198" s="99"/>
      <c r="B198" s="99"/>
      <c r="C198" s="99"/>
      <c r="D198" s="99"/>
      <c r="E198" s="99"/>
      <c r="F198" s="608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>
      <c r="A199" s="99"/>
      <c r="B199" s="99"/>
      <c r="C199" s="99"/>
      <c r="D199" s="99"/>
      <c r="E199" s="99"/>
      <c r="F199" s="608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>
      <c r="A200" s="99"/>
      <c r="B200" s="99"/>
      <c r="C200" s="99"/>
      <c r="D200" s="99"/>
      <c r="E200" s="99"/>
      <c r="F200" s="608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>
      <c r="A201" s="99"/>
      <c r="B201" s="99"/>
      <c r="C201" s="99"/>
      <c r="D201" s="99"/>
      <c r="E201" s="99"/>
      <c r="F201" s="608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>
      <c r="A202" s="99"/>
      <c r="B202" s="99"/>
      <c r="C202" s="99"/>
      <c r="D202" s="99"/>
      <c r="E202" s="99"/>
      <c r="F202" s="608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>
      <c r="A203" s="99"/>
      <c r="B203" s="99"/>
      <c r="C203" s="99"/>
      <c r="D203" s="99"/>
      <c r="E203" s="99"/>
      <c r="F203" s="608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>
      <c r="A204" s="99"/>
      <c r="B204" s="99"/>
      <c r="C204" s="99"/>
      <c r="D204" s="99"/>
      <c r="E204" s="99"/>
      <c r="F204" s="608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>
      <c r="A205" s="99"/>
      <c r="B205" s="99"/>
      <c r="C205" s="99"/>
      <c r="D205" s="99"/>
      <c r="E205" s="99"/>
      <c r="F205" s="608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>
      <c r="A206" s="99"/>
      <c r="B206" s="99"/>
      <c r="C206" s="99"/>
      <c r="D206" s="99"/>
      <c r="E206" s="99"/>
      <c r="F206" s="608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>
      <c r="A207" s="99"/>
      <c r="B207" s="99"/>
      <c r="C207" s="99"/>
      <c r="D207" s="99"/>
      <c r="E207" s="99"/>
      <c r="F207" s="608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>
      <c r="A208" s="99"/>
      <c r="B208" s="99"/>
      <c r="C208" s="99"/>
      <c r="D208" s="99"/>
      <c r="E208" s="99"/>
      <c r="F208" s="608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>
      <c r="A209" s="99"/>
      <c r="B209" s="99"/>
      <c r="C209" s="99"/>
      <c r="D209" s="99"/>
      <c r="E209" s="99"/>
      <c r="F209" s="608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>
      <c r="A210" s="99"/>
      <c r="B210" s="99"/>
      <c r="C210" s="99"/>
      <c r="D210" s="99"/>
      <c r="E210" s="99"/>
      <c r="F210" s="608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>
      <c r="A211" s="99"/>
      <c r="B211" s="99"/>
      <c r="C211" s="99"/>
      <c r="D211" s="99"/>
      <c r="E211" s="99"/>
      <c r="F211" s="608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>
      <c r="A212" s="99"/>
      <c r="B212" s="99"/>
      <c r="C212" s="99"/>
      <c r="D212" s="99"/>
      <c r="E212" s="99"/>
      <c r="F212" s="608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>
      <c r="A213" s="99"/>
      <c r="B213" s="99"/>
      <c r="C213" s="99"/>
      <c r="D213" s="99"/>
      <c r="E213" s="99"/>
      <c r="F213" s="608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>
      <c r="A214" s="99"/>
      <c r="B214" s="99"/>
      <c r="C214" s="99"/>
      <c r="D214" s="99"/>
      <c r="E214" s="99"/>
      <c r="F214" s="608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>
      <c r="A215" s="99"/>
      <c r="B215" s="99"/>
      <c r="C215" s="99"/>
      <c r="D215" s="99"/>
      <c r="E215" s="99"/>
      <c r="F215" s="608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>
      <c r="A216" s="99"/>
      <c r="B216" s="99"/>
      <c r="C216" s="99"/>
      <c r="D216" s="99"/>
      <c r="E216" s="99"/>
      <c r="F216" s="608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>
      <c r="A217" s="99"/>
      <c r="B217" s="99"/>
      <c r="C217" s="99"/>
      <c r="D217" s="99"/>
      <c r="E217" s="99"/>
      <c r="F217" s="608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>
      <c r="A218" s="99"/>
      <c r="B218" s="99"/>
      <c r="C218" s="99"/>
      <c r="D218" s="99"/>
      <c r="E218" s="99"/>
      <c r="F218" s="608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>
      <c r="A219" s="99"/>
      <c r="B219" s="99"/>
      <c r="C219" s="99"/>
      <c r="D219" s="99"/>
      <c r="E219" s="99"/>
      <c r="F219" s="608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>
      <c r="A220" s="99"/>
      <c r="B220" s="99"/>
      <c r="C220" s="99"/>
      <c r="D220" s="99"/>
      <c r="E220" s="99"/>
      <c r="F220" s="608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>
      <c r="A221" s="99"/>
      <c r="B221" s="99"/>
      <c r="C221" s="99"/>
      <c r="D221" s="99"/>
      <c r="E221" s="99"/>
      <c r="F221" s="608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>
      <c r="A222" s="99"/>
      <c r="B222" s="99"/>
      <c r="C222" s="99"/>
      <c r="D222" s="99"/>
      <c r="E222" s="99"/>
      <c r="F222" s="608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>
      <c r="A223" s="99"/>
      <c r="B223" s="99"/>
      <c r="C223" s="99"/>
      <c r="D223" s="99"/>
      <c r="E223" s="99"/>
      <c r="F223" s="608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>
      <c r="A224" s="99"/>
      <c r="B224" s="99"/>
      <c r="C224" s="99"/>
      <c r="D224" s="99"/>
      <c r="E224" s="99"/>
      <c r="F224" s="608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>
      <c r="A225" s="99"/>
      <c r="B225" s="99"/>
      <c r="C225" s="99"/>
      <c r="D225" s="99"/>
      <c r="E225" s="99"/>
      <c r="F225" s="608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>
      <c r="A226" s="99"/>
      <c r="B226" s="99"/>
      <c r="C226" s="99"/>
      <c r="D226" s="99"/>
      <c r="E226" s="99"/>
      <c r="F226" s="608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>
      <c r="A227" s="99"/>
      <c r="B227" s="99"/>
      <c r="C227" s="99"/>
      <c r="D227" s="99"/>
      <c r="E227" s="99"/>
      <c r="F227" s="608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>
      <c r="A228" s="99"/>
      <c r="B228" s="99"/>
      <c r="C228" s="99"/>
      <c r="D228" s="99"/>
      <c r="E228" s="99"/>
      <c r="F228" s="608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>
      <c r="A229" s="99"/>
      <c r="B229" s="99"/>
      <c r="C229" s="99"/>
      <c r="D229" s="99"/>
      <c r="E229" s="99"/>
      <c r="F229" s="608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>
      <c r="A230" s="99"/>
      <c r="B230" s="99"/>
      <c r="C230" s="99"/>
      <c r="D230" s="99"/>
      <c r="E230" s="99"/>
      <c r="F230" s="608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>
      <c r="A231" s="99"/>
      <c r="B231" s="99"/>
      <c r="C231" s="99"/>
      <c r="D231" s="99"/>
      <c r="E231" s="99"/>
      <c r="F231" s="608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>
      <c r="A232" s="99"/>
      <c r="B232" s="99"/>
      <c r="C232" s="99"/>
      <c r="D232" s="99"/>
      <c r="E232" s="99"/>
      <c r="F232" s="608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>
      <c r="A233" s="99"/>
      <c r="B233" s="99"/>
      <c r="C233" s="99"/>
      <c r="D233" s="99"/>
      <c r="E233" s="99"/>
      <c r="F233" s="608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>
      <c r="A234" s="99"/>
      <c r="B234" s="99"/>
      <c r="C234" s="99"/>
      <c r="D234" s="99"/>
      <c r="E234" s="99"/>
      <c r="F234" s="608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>
      <c r="A235" s="99"/>
      <c r="B235" s="99"/>
      <c r="C235" s="99"/>
      <c r="D235" s="99"/>
      <c r="E235" s="99"/>
      <c r="F235" s="608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>
      <c r="A236" s="99"/>
      <c r="B236" s="99"/>
      <c r="C236" s="99"/>
      <c r="D236" s="99"/>
      <c r="E236" s="99"/>
      <c r="F236" s="608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>
      <c r="A237" s="99"/>
      <c r="B237" s="99"/>
      <c r="C237" s="99"/>
      <c r="D237" s="99"/>
      <c r="E237" s="99"/>
      <c r="F237" s="608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>
      <c r="A238" s="99"/>
      <c r="B238" s="99"/>
      <c r="C238" s="99"/>
      <c r="D238" s="99"/>
      <c r="E238" s="99"/>
      <c r="F238" s="608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>
      <c r="A239" s="99"/>
      <c r="B239" s="99"/>
      <c r="C239" s="99"/>
      <c r="D239" s="99"/>
      <c r="E239" s="99"/>
      <c r="F239" s="608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>
      <c r="A240" s="99"/>
      <c r="B240" s="99"/>
      <c r="C240" s="99"/>
      <c r="D240" s="99"/>
      <c r="E240" s="99"/>
      <c r="F240" s="608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>
      <c r="A241" s="99"/>
      <c r="B241" s="99"/>
      <c r="C241" s="99"/>
      <c r="D241" s="99"/>
      <c r="E241" s="99"/>
      <c r="F241" s="608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>
      <c r="A242" s="99"/>
      <c r="B242" s="99"/>
      <c r="C242" s="99"/>
      <c r="D242" s="99"/>
      <c r="E242" s="99"/>
      <c r="F242" s="608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>
      <c r="A243" s="99"/>
      <c r="B243" s="99"/>
      <c r="C243" s="99"/>
      <c r="D243" s="99"/>
      <c r="E243" s="99"/>
      <c r="F243" s="608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>
      <c r="A244" s="99"/>
      <c r="B244" s="99"/>
      <c r="C244" s="99"/>
      <c r="D244" s="99"/>
      <c r="E244" s="99"/>
      <c r="F244" s="608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>
      <c r="A245" s="99"/>
      <c r="B245" s="99"/>
      <c r="C245" s="99"/>
      <c r="D245" s="99"/>
      <c r="E245" s="99"/>
      <c r="F245" s="608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>
      <c r="A246" s="99"/>
      <c r="B246" s="99"/>
      <c r="C246" s="99"/>
      <c r="D246" s="99"/>
      <c r="E246" s="99"/>
      <c r="F246" s="608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>
      <c r="A247" s="99"/>
      <c r="B247" s="99"/>
      <c r="C247" s="99"/>
      <c r="D247" s="99"/>
      <c r="E247" s="99"/>
      <c r="F247" s="608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>
      <c r="A248" s="99"/>
      <c r="B248" s="99"/>
      <c r="C248" s="99"/>
      <c r="D248" s="99"/>
      <c r="E248" s="99"/>
      <c r="F248" s="608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>
      <c r="A249" s="99"/>
      <c r="B249" s="99"/>
      <c r="C249" s="99"/>
      <c r="D249" s="99"/>
      <c r="E249" s="99"/>
      <c r="F249" s="608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>
      <c r="A250" s="99"/>
      <c r="B250" s="99"/>
      <c r="C250" s="99"/>
      <c r="D250" s="99"/>
      <c r="E250" s="99"/>
      <c r="F250" s="608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>
      <c r="A251" s="99"/>
      <c r="B251" s="99"/>
      <c r="C251" s="99"/>
      <c r="D251" s="99"/>
      <c r="E251" s="99"/>
      <c r="F251" s="608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>
      <c r="A252" s="99"/>
      <c r="B252" s="99"/>
      <c r="C252" s="99"/>
      <c r="D252" s="99"/>
      <c r="E252" s="99"/>
      <c r="F252" s="608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>
      <c r="A253" s="99"/>
      <c r="B253" s="99"/>
      <c r="C253" s="99"/>
      <c r="D253" s="99"/>
      <c r="E253" s="99"/>
      <c r="F253" s="608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>
      <c r="A254" s="99"/>
      <c r="B254" s="99"/>
      <c r="C254" s="99"/>
      <c r="D254" s="99"/>
      <c r="E254" s="99"/>
      <c r="F254" s="608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>
      <c r="A255" s="99"/>
      <c r="B255" s="99"/>
      <c r="C255" s="99"/>
      <c r="D255" s="99"/>
      <c r="E255" s="99"/>
      <c r="F255" s="608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>
      <c r="A256" s="99"/>
      <c r="B256" s="99"/>
      <c r="C256" s="99"/>
      <c r="D256" s="99"/>
      <c r="E256" s="99"/>
      <c r="F256" s="608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>
      <c r="A257" s="99"/>
      <c r="B257" s="99"/>
      <c r="C257" s="99"/>
      <c r="D257" s="99"/>
      <c r="E257" s="99"/>
      <c r="F257" s="608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>
      <c r="A258" s="99"/>
      <c r="B258" s="99"/>
      <c r="C258" s="99"/>
      <c r="D258" s="99"/>
      <c r="E258" s="99"/>
      <c r="F258" s="608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>
      <c r="A259" s="99"/>
      <c r="B259" s="99"/>
      <c r="C259" s="99"/>
      <c r="D259" s="99"/>
      <c r="E259" s="99"/>
      <c r="F259" s="608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>
      <c r="A260" s="99"/>
      <c r="B260" s="99"/>
      <c r="C260" s="99"/>
      <c r="D260" s="99"/>
      <c r="E260" s="99"/>
      <c r="F260" s="608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>
      <c r="A261" s="99"/>
      <c r="B261" s="99"/>
      <c r="C261" s="99"/>
      <c r="D261" s="99"/>
      <c r="E261" s="99"/>
      <c r="F261" s="608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>
      <c r="A262" s="99"/>
      <c r="B262" s="99"/>
      <c r="C262" s="99"/>
      <c r="D262" s="99"/>
      <c r="E262" s="99"/>
      <c r="F262" s="608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>
      <c r="A263" s="99"/>
      <c r="B263" s="99"/>
      <c r="C263" s="99"/>
      <c r="D263" s="99"/>
      <c r="E263" s="99"/>
      <c r="F263" s="608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>
      <c r="A264" s="99"/>
      <c r="B264" s="99"/>
      <c r="C264" s="99"/>
      <c r="D264" s="99"/>
      <c r="E264" s="99"/>
      <c r="F264" s="608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>
      <c r="A265" s="99"/>
      <c r="B265" s="99"/>
      <c r="C265" s="99"/>
      <c r="D265" s="99"/>
      <c r="E265" s="99"/>
      <c r="F265" s="608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  <row r="266">
      <c r="A266" s="99"/>
      <c r="B266" s="99"/>
      <c r="C266" s="99"/>
      <c r="D266" s="99"/>
      <c r="E266" s="99"/>
      <c r="F266" s="608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</row>
    <row r="267">
      <c r="A267" s="99"/>
      <c r="B267" s="99"/>
      <c r="C267" s="99"/>
      <c r="D267" s="99"/>
      <c r="E267" s="99"/>
      <c r="F267" s="608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</row>
    <row r="268">
      <c r="A268" s="99"/>
      <c r="B268" s="99"/>
      <c r="C268" s="99"/>
      <c r="D268" s="99"/>
      <c r="E268" s="99"/>
      <c r="F268" s="608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</row>
    <row r="269">
      <c r="A269" s="99"/>
      <c r="B269" s="99"/>
      <c r="C269" s="99"/>
      <c r="D269" s="99"/>
      <c r="E269" s="99"/>
      <c r="F269" s="608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</row>
    <row r="270">
      <c r="A270" s="99"/>
      <c r="B270" s="99"/>
      <c r="C270" s="99"/>
      <c r="D270" s="99"/>
      <c r="E270" s="99"/>
      <c r="F270" s="608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</row>
    <row r="271">
      <c r="A271" s="99"/>
      <c r="B271" s="99"/>
      <c r="C271" s="99"/>
      <c r="D271" s="99"/>
      <c r="E271" s="99"/>
      <c r="F271" s="608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</row>
    <row r="272">
      <c r="A272" s="99"/>
      <c r="B272" s="99"/>
      <c r="C272" s="99"/>
      <c r="D272" s="99"/>
      <c r="E272" s="99"/>
      <c r="F272" s="608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</row>
    <row r="273">
      <c r="A273" s="99"/>
      <c r="B273" s="99"/>
      <c r="C273" s="99"/>
      <c r="D273" s="99"/>
      <c r="E273" s="99"/>
      <c r="F273" s="608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</row>
    <row r="274">
      <c r="A274" s="99"/>
      <c r="B274" s="99"/>
      <c r="C274" s="99"/>
      <c r="D274" s="99"/>
      <c r="E274" s="99"/>
      <c r="F274" s="608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</row>
    <row r="275">
      <c r="A275" s="99"/>
      <c r="B275" s="99"/>
      <c r="C275" s="99"/>
      <c r="D275" s="99"/>
      <c r="E275" s="99"/>
      <c r="F275" s="608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</row>
    <row r="276">
      <c r="A276" s="99"/>
      <c r="B276" s="99"/>
      <c r="C276" s="99"/>
      <c r="D276" s="99"/>
      <c r="E276" s="99"/>
      <c r="F276" s="608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</row>
    <row r="277">
      <c r="A277" s="99"/>
      <c r="B277" s="99"/>
      <c r="C277" s="99"/>
      <c r="D277" s="99"/>
      <c r="E277" s="99"/>
      <c r="F277" s="608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</row>
    <row r="278">
      <c r="A278" s="99"/>
      <c r="B278" s="99"/>
      <c r="C278" s="99"/>
      <c r="D278" s="99"/>
      <c r="E278" s="99"/>
      <c r="F278" s="608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</row>
    <row r="279">
      <c r="A279" s="99"/>
      <c r="B279" s="99"/>
      <c r="C279" s="99"/>
      <c r="D279" s="99"/>
      <c r="E279" s="99"/>
      <c r="F279" s="608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</row>
    <row r="280">
      <c r="A280" s="99"/>
      <c r="B280" s="99"/>
      <c r="C280" s="99"/>
      <c r="D280" s="99"/>
      <c r="E280" s="99"/>
      <c r="F280" s="608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</row>
    <row r="281">
      <c r="A281" s="99"/>
      <c r="B281" s="99"/>
      <c r="C281" s="99"/>
      <c r="D281" s="99"/>
      <c r="E281" s="99"/>
      <c r="F281" s="608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</row>
    <row r="282">
      <c r="A282" s="99"/>
      <c r="B282" s="99"/>
      <c r="C282" s="99"/>
      <c r="D282" s="99"/>
      <c r="E282" s="99"/>
      <c r="F282" s="608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</row>
    <row r="283">
      <c r="A283" s="99"/>
      <c r="B283" s="99"/>
      <c r="C283" s="99"/>
      <c r="D283" s="99"/>
      <c r="E283" s="99"/>
      <c r="F283" s="608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</row>
    <row r="284">
      <c r="A284" s="99"/>
      <c r="B284" s="99"/>
      <c r="C284" s="99"/>
      <c r="D284" s="99"/>
      <c r="E284" s="99"/>
      <c r="F284" s="608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</row>
    <row r="285">
      <c r="A285" s="99"/>
      <c r="B285" s="99"/>
      <c r="C285" s="99"/>
      <c r="D285" s="99"/>
      <c r="E285" s="99"/>
      <c r="F285" s="608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</row>
    <row r="286">
      <c r="A286" s="99"/>
      <c r="B286" s="99"/>
      <c r="C286" s="99"/>
      <c r="D286" s="99"/>
      <c r="E286" s="99"/>
      <c r="F286" s="608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</row>
    <row r="287">
      <c r="A287" s="99"/>
      <c r="B287" s="99"/>
      <c r="C287" s="99"/>
      <c r="D287" s="99"/>
      <c r="E287" s="99"/>
      <c r="F287" s="608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</row>
    <row r="288">
      <c r="A288" s="99"/>
      <c r="B288" s="99"/>
      <c r="C288" s="99"/>
      <c r="D288" s="99"/>
      <c r="E288" s="99"/>
      <c r="F288" s="608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</row>
    <row r="289">
      <c r="A289" s="99"/>
      <c r="B289" s="99"/>
      <c r="C289" s="99"/>
      <c r="D289" s="99"/>
      <c r="E289" s="99"/>
      <c r="F289" s="608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</row>
    <row r="290">
      <c r="A290" s="99"/>
      <c r="B290" s="99"/>
      <c r="C290" s="99"/>
      <c r="D290" s="99"/>
      <c r="E290" s="99"/>
      <c r="F290" s="608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</row>
    <row r="291">
      <c r="A291" s="99"/>
      <c r="B291" s="99"/>
      <c r="C291" s="99"/>
      <c r="D291" s="99"/>
      <c r="E291" s="99"/>
      <c r="F291" s="608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</row>
    <row r="292">
      <c r="A292" s="99"/>
      <c r="B292" s="99"/>
      <c r="C292" s="99"/>
      <c r="D292" s="99"/>
      <c r="E292" s="99"/>
      <c r="F292" s="608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</row>
    <row r="293">
      <c r="A293" s="99"/>
      <c r="B293" s="99"/>
      <c r="C293" s="99"/>
      <c r="D293" s="99"/>
      <c r="E293" s="99"/>
      <c r="F293" s="608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</row>
    <row r="294">
      <c r="A294" s="99"/>
      <c r="B294" s="99"/>
      <c r="C294" s="99"/>
      <c r="D294" s="99"/>
      <c r="E294" s="99"/>
      <c r="F294" s="608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</row>
    <row r="295">
      <c r="A295" s="99"/>
      <c r="B295" s="99"/>
      <c r="C295" s="99"/>
      <c r="D295" s="99"/>
      <c r="E295" s="99"/>
      <c r="F295" s="608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</row>
    <row r="296">
      <c r="A296" s="99"/>
      <c r="B296" s="99"/>
      <c r="C296" s="99"/>
      <c r="D296" s="99"/>
      <c r="E296" s="99"/>
      <c r="F296" s="608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</row>
    <row r="297">
      <c r="A297" s="99"/>
      <c r="B297" s="99"/>
      <c r="C297" s="99"/>
      <c r="D297" s="99"/>
      <c r="E297" s="99"/>
      <c r="F297" s="608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</row>
    <row r="298">
      <c r="A298" s="99"/>
      <c r="B298" s="99"/>
      <c r="C298" s="99"/>
      <c r="D298" s="99"/>
      <c r="E298" s="99"/>
      <c r="F298" s="608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</row>
    <row r="299">
      <c r="A299" s="99"/>
      <c r="B299" s="99"/>
      <c r="C299" s="99"/>
      <c r="D299" s="99"/>
      <c r="E299" s="99"/>
      <c r="F299" s="608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</row>
    <row r="300">
      <c r="A300" s="99"/>
      <c r="B300" s="99"/>
      <c r="C300" s="99"/>
      <c r="D300" s="99"/>
      <c r="E300" s="99"/>
      <c r="F300" s="608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</row>
    <row r="301">
      <c r="A301" s="99"/>
      <c r="B301" s="99"/>
      <c r="C301" s="99"/>
      <c r="D301" s="99"/>
      <c r="E301" s="99"/>
      <c r="F301" s="608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</row>
    <row r="302">
      <c r="A302" s="99"/>
      <c r="B302" s="99"/>
      <c r="C302" s="99"/>
      <c r="D302" s="99"/>
      <c r="E302" s="99"/>
      <c r="F302" s="608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</row>
    <row r="303">
      <c r="A303" s="99"/>
      <c r="B303" s="99"/>
      <c r="C303" s="99"/>
      <c r="D303" s="99"/>
      <c r="E303" s="99"/>
      <c r="F303" s="608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</row>
    <row r="304">
      <c r="A304" s="99"/>
      <c r="B304" s="99"/>
      <c r="C304" s="99"/>
      <c r="D304" s="99"/>
      <c r="E304" s="99"/>
      <c r="F304" s="608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</row>
    <row r="305">
      <c r="A305" s="99"/>
      <c r="B305" s="99"/>
      <c r="C305" s="99"/>
      <c r="D305" s="99"/>
      <c r="E305" s="99"/>
      <c r="F305" s="608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</row>
    <row r="306">
      <c r="A306" s="99"/>
      <c r="B306" s="99"/>
      <c r="C306" s="99"/>
      <c r="D306" s="99"/>
      <c r="E306" s="99"/>
      <c r="F306" s="608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</row>
    <row r="307">
      <c r="A307" s="99"/>
      <c r="B307" s="99"/>
      <c r="C307" s="99"/>
      <c r="D307" s="99"/>
      <c r="E307" s="99"/>
      <c r="F307" s="608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</row>
    <row r="308">
      <c r="A308" s="99"/>
      <c r="B308" s="99"/>
      <c r="C308" s="99"/>
      <c r="D308" s="99"/>
      <c r="E308" s="99"/>
      <c r="F308" s="608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</row>
    <row r="309">
      <c r="A309" s="99"/>
      <c r="B309" s="99"/>
      <c r="C309" s="99"/>
      <c r="D309" s="99"/>
      <c r="E309" s="99"/>
      <c r="F309" s="608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</row>
    <row r="310">
      <c r="A310" s="99"/>
      <c r="B310" s="99"/>
      <c r="C310" s="99"/>
      <c r="D310" s="99"/>
      <c r="E310" s="99"/>
      <c r="F310" s="608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</row>
    <row r="311">
      <c r="A311" s="99"/>
      <c r="B311" s="99"/>
      <c r="C311" s="99"/>
      <c r="D311" s="99"/>
      <c r="E311" s="99"/>
      <c r="F311" s="608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</row>
    <row r="312">
      <c r="A312" s="99"/>
      <c r="B312" s="99"/>
      <c r="C312" s="99"/>
      <c r="D312" s="99"/>
      <c r="E312" s="99"/>
      <c r="F312" s="608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</row>
    <row r="313">
      <c r="A313" s="99"/>
      <c r="B313" s="99"/>
      <c r="C313" s="99"/>
      <c r="D313" s="99"/>
      <c r="E313" s="99"/>
      <c r="F313" s="608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</row>
    <row r="314">
      <c r="A314" s="99"/>
      <c r="B314" s="99"/>
      <c r="C314" s="99"/>
      <c r="D314" s="99"/>
      <c r="E314" s="99"/>
      <c r="F314" s="608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</row>
    <row r="315">
      <c r="A315" s="99"/>
      <c r="B315" s="99"/>
      <c r="C315" s="99"/>
      <c r="D315" s="99"/>
      <c r="E315" s="99"/>
      <c r="F315" s="608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</row>
    <row r="316">
      <c r="A316" s="99"/>
      <c r="B316" s="99"/>
      <c r="C316" s="99"/>
      <c r="D316" s="99"/>
      <c r="E316" s="99"/>
      <c r="F316" s="608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</row>
    <row r="317">
      <c r="A317" s="99"/>
      <c r="B317" s="99"/>
      <c r="C317" s="99"/>
      <c r="D317" s="99"/>
      <c r="E317" s="99"/>
      <c r="F317" s="608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</row>
    <row r="318">
      <c r="A318" s="99"/>
      <c r="B318" s="99"/>
      <c r="C318" s="99"/>
      <c r="D318" s="99"/>
      <c r="E318" s="99"/>
      <c r="F318" s="608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</row>
    <row r="319">
      <c r="A319" s="99"/>
      <c r="B319" s="99"/>
      <c r="C319" s="99"/>
      <c r="D319" s="99"/>
      <c r="E319" s="99"/>
      <c r="F319" s="608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</row>
    <row r="320">
      <c r="A320" s="99"/>
      <c r="B320" s="99"/>
      <c r="C320" s="99"/>
      <c r="D320" s="99"/>
      <c r="E320" s="99"/>
      <c r="F320" s="608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</row>
    <row r="321">
      <c r="A321" s="99"/>
      <c r="B321" s="99"/>
      <c r="C321" s="99"/>
      <c r="D321" s="99"/>
      <c r="E321" s="99"/>
      <c r="F321" s="608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</row>
    <row r="322">
      <c r="A322" s="99"/>
      <c r="B322" s="99"/>
      <c r="C322" s="99"/>
      <c r="D322" s="99"/>
      <c r="E322" s="99"/>
      <c r="F322" s="608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</row>
    <row r="323">
      <c r="A323" s="99"/>
      <c r="B323" s="99"/>
      <c r="C323" s="99"/>
      <c r="D323" s="99"/>
      <c r="E323" s="99"/>
      <c r="F323" s="608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</row>
    <row r="324">
      <c r="A324" s="99"/>
      <c r="B324" s="99"/>
      <c r="C324" s="99"/>
      <c r="D324" s="99"/>
      <c r="E324" s="99"/>
      <c r="F324" s="608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</row>
    <row r="325">
      <c r="A325" s="99"/>
      <c r="B325" s="99"/>
      <c r="C325" s="99"/>
      <c r="D325" s="99"/>
      <c r="E325" s="99"/>
      <c r="F325" s="608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</row>
    <row r="326">
      <c r="A326" s="99"/>
      <c r="B326" s="99"/>
      <c r="C326" s="99"/>
      <c r="D326" s="99"/>
      <c r="E326" s="99"/>
      <c r="F326" s="608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</row>
    <row r="327">
      <c r="A327" s="99"/>
      <c r="B327" s="99"/>
      <c r="C327" s="99"/>
      <c r="D327" s="99"/>
      <c r="E327" s="99"/>
      <c r="F327" s="608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</row>
    <row r="328">
      <c r="A328" s="99"/>
      <c r="B328" s="99"/>
      <c r="C328" s="99"/>
      <c r="D328" s="99"/>
      <c r="E328" s="99"/>
      <c r="F328" s="608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</row>
    <row r="329">
      <c r="A329" s="99"/>
      <c r="B329" s="99"/>
      <c r="C329" s="99"/>
      <c r="D329" s="99"/>
      <c r="E329" s="99"/>
      <c r="F329" s="608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</row>
    <row r="330">
      <c r="A330" s="99"/>
      <c r="B330" s="99"/>
      <c r="C330" s="99"/>
      <c r="D330" s="99"/>
      <c r="E330" s="99"/>
      <c r="F330" s="608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</row>
    <row r="331">
      <c r="A331" s="99"/>
      <c r="B331" s="99"/>
      <c r="C331" s="99"/>
      <c r="D331" s="99"/>
      <c r="E331" s="99"/>
      <c r="F331" s="608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</row>
    <row r="332">
      <c r="A332" s="99"/>
      <c r="B332" s="99"/>
      <c r="C332" s="99"/>
      <c r="D332" s="99"/>
      <c r="E332" s="99"/>
      <c r="F332" s="608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</row>
    <row r="333">
      <c r="A333" s="99"/>
      <c r="B333" s="99"/>
      <c r="C333" s="99"/>
      <c r="D333" s="99"/>
      <c r="E333" s="99"/>
      <c r="F333" s="608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</row>
    <row r="334">
      <c r="A334" s="99"/>
      <c r="B334" s="99"/>
      <c r="C334" s="99"/>
      <c r="D334" s="99"/>
      <c r="E334" s="99"/>
      <c r="F334" s="608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</row>
    <row r="335">
      <c r="A335" s="99"/>
      <c r="B335" s="99"/>
      <c r="C335" s="99"/>
      <c r="D335" s="99"/>
      <c r="E335" s="99"/>
      <c r="F335" s="608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</row>
    <row r="336">
      <c r="A336" s="99"/>
      <c r="B336" s="99"/>
      <c r="C336" s="99"/>
      <c r="D336" s="99"/>
      <c r="E336" s="99"/>
      <c r="F336" s="608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</row>
    <row r="337">
      <c r="A337" s="99"/>
      <c r="B337" s="99"/>
      <c r="C337" s="99"/>
      <c r="D337" s="99"/>
      <c r="E337" s="99"/>
      <c r="F337" s="608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</row>
    <row r="338">
      <c r="A338" s="99"/>
      <c r="B338" s="99"/>
      <c r="C338" s="99"/>
      <c r="D338" s="99"/>
      <c r="E338" s="99"/>
      <c r="F338" s="608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</row>
    <row r="339">
      <c r="A339" s="99"/>
      <c r="B339" s="99"/>
      <c r="C339" s="99"/>
      <c r="D339" s="99"/>
      <c r="E339" s="99"/>
      <c r="F339" s="608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</row>
    <row r="340">
      <c r="A340" s="99"/>
      <c r="B340" s="99"/>
      <c r="C340" s="99"/>
      <c r="D340" s="99"/>
      <c r="E340" s="99"/>
      <c r="F340" s="608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</row>
    <row r="341">
      <c r="A341" s="99"/>
      <c r="B341" s="99"/>
      <c r="C341" s="99"/>
      <c r="D341" s="99"/>
      <c r="E341" s="99"/>
      <c r="F341" s="608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</row>
    <row r="342">
      <c r="A342" s="99"/>
      <c r="B342" s="99"/>
      <c r="C342" s="99"/>
      <c r="D342" s="99"/>
      <c r="E342" s="99"/>
      <c r="F342" s="608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</row>
    <row r="343">
      <c r="A343" s="99"/>
      <c r="B343" s="99"/>
      <c r="C343" s="99"/>
      <c r="D343" s="99"/>
      <c r="E343" s="99"/>
      <c r="F343" s="608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</row>
    <row r="344">
      <c r="A344" s="99"/>
      <c r="B344" s="99"/>
      <c r="C344" s="99"/>
      <c r="D344" s="99"/>
      <c r="E344" s="99"/>
      <c r="F344" s="608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</row>
    <row r="345">
      <c r="A345" s="99"/>
      <c r="B345" s="99"/>
      <c r="C345" s="99"/>
      <c r="D345" s="99"/>
      <c r="E345" s="99"/>
      <c r="F345" s="608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</row>
    <row r="346">
      <c r="A346" s="99"/>
      <c r="B346" s="99"/>
      <c r="C346" s="99"/>
      <c r="D346" s="99"/>
      <c r="E346" s="99"/>
      <c r="F346" s="608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</row>
    <row r="347">
      <c r="A347" s="99"/>
      <c r="B347" s="99"/>
      <c r="C347" s="99"/>
      <c r="D347" s="99"/>
      <c r="E347" s="99"/>
      <c r="F347" s="608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</row>
    <row r="348">
      <c r="A348" s="99"/>
      <c r="B348" s="99"/>
      <c r="C348" s="99"/>
      <c r="D348" s="99"/>
      <c r="E348" s="99"/>
      <c r="F348" s="608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</row>
    <row r="349">
      <c r="A349" s="99"/>
      <c r="B349" s="99"/>
      <c r="C349" s="99"/>
      <c r="D349" s="99"/>
      <c r="E349" s="99"/>
      <c r="F349" s="608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</row>
    <row r="350">
      <c r="A350" s="99"/>
      <c r="B350" s="99"/>
      <c r="C350" s="99"/>
      <c r="D350" s="99"/>
      <c r="E350" s="99"/>
      <c r="F350" s="608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</row>
    <row r="351">
      <c r="A351" s="99"/>
      <c r="B351" s="99"/>
      <c r="C351" s="99"/>
      <c r="D351" s="99"/>
      <c r="E351" s="99"/>
      <c r="F351" s="608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</row>
    <row r="352">
      <c r="A352" s="99"/>
      <c r="B352" s="99"/>
      <c r="C352" s="99"/>
      <c r="D352" s="99"/>
      <c r="E352" s="99"/>
      <c r="F352" s="608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</row>
    <row r="353">
      <c r="A353" s="99"/>
      <c r="B353" s="99"/>
      <c r="C353" s="99"/>
      <c r="D353" s="99"/>
      <c r="E353" s="99"/>
      <c r="F353" s="608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</row>
    <row r="354">
      <c r="A354" s="99"/>
      <c r="B354" s="99"/>
      <c r="C354" s="99"/>
      <c r="D354" s="99"/>
      <c r="E354" s="99"/>
      <c r="F354" s="608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</row>
    <row r="355">
      <c r="A355" s="99"/>
      <c r="B355" s="99"/>
      <c r="C355" s="99"/>
      <c r="D355" s="99"/>
      <c r="E355" s="99"/>
      <c r="F355" s="608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</row>
    <row r="356">
      <c r="A356" s="99"/>
      <c r="B356" s="99"/>
      <c r="C356" s="99"/>
      <c r="D356" s="99"/>
      <c r="E356" s="99"/>
      <c r="F356" s="608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</row>
    <row r="357">
      <c r="A357" s="99"/>
      <c r="B357" s="99"/>
      <c r="C357" s="99"/>
      <c r="D357" s="99"/>
      <c r="E357" s="99"/>
      <c r="F357" s="608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</row>
    <row r="358">
      <c r="A358" s="99"/>
      <c r="B358" s="99"/>
      <c r="C358" s="99"/>
      <c r="D358" s="99"/>
      <c r="E358" s="99"/>
      <c r="F358" s="608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</row>
    <row r="359">
      <c r="A359" s="99"/>
      <c r="B359" s="99"/>
      <c r="C359" s="99"/>
      <c r="D359" s="99"/>
      <c r="E359" s="99"/>
      <c r="F359" s="608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</row>
    <row r="360">
      <c r="A360" s="99"/>
      <c r="B360" s="99"/>
      <c r="C360" s="99"/>
      <c r="D360" s="99"/>
      <c r="E360" s="99"/>
      <c r="F360" s="608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</row>
    <row r="361">
      <c r="A361" s="99"/>
      <c r="B361" s="99"/>
      <c r="C361" s="99"/>
      <c r="D361" s="99"/>
      <c r="E361" s="99"/>
      <c r="F361" s="608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</row>
    <row r="362">
      <c r="A362" s="99"/>
      <c r="B362" s="99"/>
      <c r="C362" s="99"/>
      <c r="D362" s="99"/>
      <c r="E362" s="99"/>
      <c r="F362" s="608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</row>
    <row r="363">
      <c r="A363" s="99"/>
      <c r="B363" s="99"/>
      <c r="C363" s="99"/>
      <c r="D363" s="99"/>
      <c r="E363" s="99"/>
      <c r="F363" s="608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</row>
    <row r="364">
      <c r="A364" s="99"/>
      <c r="B364" s="99"/>
      <c r="C364" s="99"/>
      <c r="D364" s="99"/>
      <c r="E364" s="99"/>
      <c r="F364" s="608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</row>
    <row r="365">
      <c r="A365" s="99"/>
      <c r="B365" s="99"/>
      <c r="C365" s="99"/>
      <c r="D365" s="99"/>
      <c r="E365" s="99"/>
      <c r="F365" s="608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</row>
    <row r="366">
      <c r="A366" s="99"/>
      <c r="B366" s="99"/>
      <c r="C366" s="99"/>
      <c r="D366" s="99"/>
      <c r="E366" s="99"/>
      <c r="F366" s="608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</row>
    <row r="367">
      <c r="A367" s="99"/>
      <c r="B367" s="99"/>
      <c r="C367" s="99"/>
      <c r="D367" s="99"/>
      <c r="E367" s="99"/>
      <c r="F367" s="608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</row>
    <row r="368">
      <c r="A368" s="99"/>
      <c r="B368" s="99"/>
      <c r="C368" s="99"/>
      <c r="D368" s="99"/>
      <c r="E368" s="99"/>
      <c r="F368" s="608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</row>
    <row r="369">
      <c r="A369" s="99"/>
      <c r="B369" s="99"/>
      <c r="C369" s="99"/>
      <c r="D369" s="99"/>
      <c r="E369" s="99"/>
      <c r="F369" s="608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</row>
    <row r="370">
      <c r="A370" s="99"/>
      <c r="B370" s="99"/>
      <c r="C370" s="99"/>
      <c r="D370" s="99"/>
      <c r="E370" s="99"/>
      <c r="F370" s="608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</row>
    <row r="371">
      <c r="A371" s="99"/>
      <c r="B371" s="99"/>
      <c r="C371" s="99"/>
      <c r="D371" s="99"/>
      <c r="E371" s="99"/>
      <c r="F371" s="608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</row>
    <row r="372">
      <c r="A372" s="99"/>
      <c r="B372" s="99"/>
      <c r="C372" s="99"/>
      <c r="D372" s="99"/>
      <c r="E372" s="99"/>
      <c r="F372" s="608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</row>
    <row r="373">
      <c r="A373" s="99"/>
      <c r="B373" s="99"/>
      <c r="C373" s="99"/>
      <c r="D373" s="99"/>
      <c r="E373" s="99"/>
      <c r="F373" s="608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</row>
    <row r="374">
      <c r="A374" s="99"/>
      <c r="B374" s="99"/>
      <c r="C374" s="99"/>
      <c r="D374" s="99"/>
      <c r="E374" s="99"/>
      <c r="F374" s="608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</row>
    <row r="375">
      <c r="A375" s="99"/>
      <c r="B375" s="99"/>
      <c r="C375" s="99"/>
      <c r="D375" s="99"/>
      <c r="E375" s="99"/>
      <c r="F375" s="608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</row>
    <row r="376">
      <c r="A376" s="99"/>
      <c r="B376" s="99"/>
      <c r="C376" s="99"/>
      <c r="D376" s="99"/>
      <c r="E376" s="99"/>
      <c r="F376" s="608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</row>
    <row r="377">
      <c r="A377" s="99"/>
      <c r="B377" s="99"/>
      <c r="C377" s="99"/>
      <c r="D377" s="99"/>
      <c r="E377" s="99"/>
      <c r="F377" s="608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</row>
    <row r="378">
      <c r="A378" s="99"/>
      <c r="B378" s="99"/>
      <c r="C378" s="99"/>
      <c r="D378" s="99"/>
      <c r="E378" s="99"/>
      <c r="F378" s="608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</row>
    <row r="379">
      <c r="A379" s="99"/>
      <c r="B379" s="99"/>
      <c r="C379" s="99"/>
      <c r="D379" s="99"/>
      <c r="E379" s="99"/>
      <c r="F379" s="608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</row>
    <row r="380">
      <c r="A380" s="99"/>
      <c r="B380" s="99"/>
      <c r="C380" s="99"/>
      <c r="D380" s="99"/>
      <c r="E380" s="99"/>
      <c r="F380" s="608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</row>
    <row r="381">
      <c r="A381" s="99"/>
      <c r="B381" s="99"/>
      <c r="C381" s="99"/>
      <c r="D381" s="99"/>
      <c r="E381" s="99"/>
      <c r="F381" s="608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</row>
    <row r="382">
      <c r="A382" s="99"/>
      <c r="B382" s="99"/>
      <c r="C382" s="99"/>
      <c r="D382" s="99"/>
      <c r="E382" s="99"/>
      <c r="F382" s="608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</row>
    <row r="383">
      <c r="A383" s="99"/>
      <c r="B383" s="99"/>
      <c r="C383" s="99"/>
      <c r="D383" s="99"/>
      <c r="E383" s="99"/>
      <c r="F383" s="608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</row>
    <row r="384">
      <c r="A384" s="99"/>
      <c r="B384" s="99"/>
      <c r="C384" s="99"/>
      <c r="D384" s="99"/>
      <c r="E384" s="99"/>
      <c r="F384" s="608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</row>
    <row r="385">
      <c r="A385" s="99"/>
      <c r="B385" s="99"/>
      <c r="C385" s="99"/>
      <c r="D385" s="99"/>
      <c r="E385" s="99"/>
      <c r="F385" s="608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</row>
    <row r="386">
      <c r="A386" s="99"/>
      <c r="B386" s="99"/>
      <c r="C386" s="99"/>
      <c r="D386" s="99"/>
      <c r="E386" s="99"/>
      <c r="F386" s="608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</row>
    <row r="387">
      <c r="A387" s="99"/>
      <c r="B387" s="99"/>
      <c r="C387" s="99"/>
      <c r="D387" s="99"/>
      <c r="E387" s="99"/>
      <c r="F387" s="608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</row>
    <row r="388">
      <c r="A388" s="99"/>
      <c r="B388" s="99"/>
      <c r="C388" s="99"/>
      <c r="D388" s="99"/>
      <c r="E388" s="99"/>
      <c r="F388" s="608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</row>
    <row r="389">
      <c r="A389" s="99"/>
      <c r="B389" s="99"/>
      <c r="C389" s="99"/>
      <c r="D389" s="99"/>
      <c r="E389" s="99"/>
      <c r="F389" s="608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</row>
    <row r="390">
      <c r="A390" s="99"/>
      <c r="B390" s="99"/>
      <c r="C390" s="99"/>
      <c r="D390" s="99"/>
      <c r="E390" s="99"/>
      <c r="F390" s="608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</row>
    <row r="391">
      <c r="A391" s="99"/>
      <c r="B391" s="99"/>
      <c r="C391" s="99"/>
      <c r="D391" s="99"/>
      <c r="E391" s="99"/>
      <c r="F391" s="608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</row>
    <row r="392">
      <c r="A392" s="99"/>
      <c r="B392" s="99"/>
      <c r="C392" s="99"/>
      <c r="D392" s="99"/>
      <c r="E392" s="99"/>
      <c r="F392" s="608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</row>
    <row r="393">
      <c r="A393" s="99"/>
      <c r="B393" s="99"/>
      <c r="C393" s="99"/>
      <c r="D393" s="99"/>
      <c r="E393" s="99"/>
      <c r="F393" s="608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</row>
    <row r="394">
      <c r="A394" s="99"/>
      <c r="B394" s="99"/>
      <c r="C394" s="99"/>
      <c r="D394" s="99"/>
      <c r="E394" s="99"/>
      <c r="F394" s="608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</row>
    <row r="395">
      <c r="A395" s="99"/>
      <c r="B395" s="99"/>
      <c r="C395" s="99"/>
      <c r="D395" s="99"/>
      <c r="E395" s="99"/>
      <c r="F395" s="608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</row>
    <row r="396">
      <c r="A396" s="99"/>
      <c r="B396" s="99"/>
      <c r="C396" s="99"/>
      <c r="D396" s="99"/>
      <c r="E396" s="99"/>
      <c r="F396" s="608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</row>
    <row r="397">
      <c r="A397" s="99"/>
      <c r="B397" s="99"/>
      <c r="C397" s="99"/>
      <c r="D397" s="99"/>
      <c r="E397" s="99"/>
      <c r="F397" s="608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</row>
    <row r="398">
      <c r="A398" s="99"/>
      <c r="B398" s="99"/>
      <c r="C398" s="99"/>
      <c r="D398" s="99"/>
      <c r="E398" s="99"/>
      <c r="F398" s="608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</row>
    <row r="399">
      <c r="A399" s="99"/>
      <c r="B399" s="99"/>
      <c r="C399" s="99"/>
      <c r="D399" s="99"/>
      <c r="E399" s="99"/>
      <c r="F399" s="608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</row>
    <row r="400">
      <c r="A400" s="99"/>
      <c r="B400" s="99"/>
      <c r="C400" s="99"/>
      <c r="D400" s="99"/>
      <c r="E400" s="99"/>
      <c r="F400" s="608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</row>
    <row r="401">
      <c r="A401" s="99"/>
      <c r="B401" s="99"/>
      <c r="C401" s="99"/>
      <c r="D401" s="99"/>
      <c r="E401" s="99"/>
      <c r="F401" s="608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</row>
    <row r="402">
      <c r="A402" s="99"/>
      <c r="B402" s="99"/>
      <c r="C402" s="99"/>
      <c r="D402" s="99"/>
      <c r="E402" s="99"/>
      <c r="F402" s="608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</row>
    <row r="403">
      <c r="A403" s="99"/>
      <c r="B403" s="99"/>
      <c r="C403" s="99"/>
      <c r="D403" s="99"/>
      <c r="E403" s="99"/>
      <c r="F403" s="608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</row>
    <row r="404">
      <c r="A404" s="99"/>
      <c r="B404" s="99"/>
      <c r="C404" s="99"/>
      <c r="D404" s="99"/>
      <c r="E404" s="99"/>
      <c r="F404" s="608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</row>
    <row r="405">
      <c r="A405" s="99"/>
      <c r="B405" s="99"/>
      <c r="C405" s="99"/>
      <c r="D405" s="99"/>
      <c r="E405" s="99"/>
      <c r="F405" s="608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</row>
    <row r="406">
      <c r="A406" s="99"/>
      <c r="B406" s="99"/>
      <c r="C406" s="99"/>
      <c r="D406" s="99"/>
      <c r="E406" s="99"/>
      <c r="F406" s="608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</row>
    <row r="407">
      <c r="A407" s="99"/>
      <c r="B407" s="99"/>
      <c r="C407" s="99"/>
      <c r="D407" s="99"/>
      <c r="E407" s="99"/>
      <c r="F407" s="608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</row>
    <row r="408">
      <c r="A408" s="99"/>
      <c r="B408" s="99"/>
      <c r="C408" s="99"/>
      <c r="D408" s="99"/>
      <c r="E408" s="99"/>
      <c r="F408" s="608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</row>
    <row r="409">
      <c r="A409" s="99"/>
      <c r="B409" s="99"/>
      <c r="C409" s="99"/>
      <c r="D409" s="99"/>
      <c r="E409" s="99"/>
      <c r="F409" s="608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</row>
    <row r="410">
      <c r="A410" s="99"/>
      <c r="B410" s="99"/>
      <c r="C410" s="99"/>
      <c r="D410" s="99"/>
      <c r="E410" s="99"/>
      <c r="F410" s="608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</row>
    <row r="411">
      <c r="A411" s="99"/>
      <c r="B411" s="99"/>
      <c r="C411" s="99"/>
      <c r="D411" s="99"/>
      <c r="E411" s="99"/>
      <c r="F411" s="608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</row>
    <row r="412">
      <c r="A412" s="99"/>
      <c r="B412" s="99"/>
      <c r="C412" s="99"/>
      <c r="D412" s="99"/>
      <c r="E412" s="99"/>
      <c r="F412" s="608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</row>
    <row r="413">
      <c r="A413" s="99"/>
      <c r="B413" s="99"/>
      <c r="C413" s="99"/>
      <c r="D413" s="99"/>
      <c r="E413" s="99"/>
      <c r="F413" s="608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</row>
    <row r="414">
      <c r="A414" s="99"/>
      <c r="B414" s="99"/>
      <c r="C414" s="99"/>
      <c r="D414" s="99"/>
      <c r="E414" s="99"/>
      <c r="F414" s="608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</row>
    <row r="415">
      <c r="A415" s="99"/>
      <c r="B415" s="99"/>
      <c r="C415" s="99"/>
      <c r="D415" s="99"/>
      <c r="E415" s="99"/>
      <c r="F415" s="608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</row>
    <row r="416">
      <c r="A416" s="99"/>
      <c r="B416" s="99"/>
      <c r="C416" s="99"/>
      <c r="D416" s="99"/>
      <c r="E416" s="99"/>
      <c r="F416" s="608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</row>
    <row r="417">
      <c r="A417" s="99"/>
      <c r="B417" s="99"/>
      <c r="C417" s="99"/>
      <c r="D417" s="99"/>
      <c r="E417" s="99"/>
      <c r="F417" s="608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</row>
    <row r="418">
      <c r="A418" s="99"/>
      <c r="B418" s="99"/>
      <c r="C418" s="99"/>
      <c r="D418" s="99"/>
      <c r="E418" s="99"/>
      <c r="F418" s="608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</row>
    <row r="419">
      <c r="A419" s="99"/>
      <c r="B419" s="99"/>
      <c r="C419" s="99"/>
      <c r="D419" s="99"/>
      <c r="E419" s="99"/>
      <c r="F419" s="608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</row>
    <row r="420">
      <c r="A420" s="99"/>
      <c r="B420" s="99"/>
      <c r="C420" s="99"/>
      <c r="D420" s="99"/>
      <c r="E420" s="99"/>
      <c r="F420" s="608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</row>
    <row r="421">
      <c r="A421" s="99"/>
      <c r="B421" s="99"/>
      <c r="C421" s="99"/>
      <c r="D421" s="99"/>
      <c r="E421" s="99"/>
      <c r="F421" s="608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</row>
    <row r="422">
      <c r="A422" s="99"/>
      <c r="B422" s="99"/>
      <c r="C422" s="99"/>
      <c r="D422" s="99"/>
      <c r="E422" s="99"/>
      <c r="F422" s="608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</row>
    <row r="423">
      <c r="A423" s="99"/>
      <c r="B423" s="99"/>
      <c r="C423" s="99"/>
      <c r="D423" s="99"/>
      <c r="E423" s="99"/>
      <c r="F423" s="608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</row>
    <row r="424">
      <c r="A424" s="99"/>
      <c r="B424" s="99"/>
      <c r="C424" s="99"/>
      <c r="D424" s="99"/>
      <c r="E424" s="99"/>
      <c r="F424" s="608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</row>
    <row r="425">
      <c r="A425" s="99"/>
      <c r="B425" s="99"/>
      <c r="C425" s="99"/>
      <c r="D425" s="99"/>
      <c r="E425" s="99"/>
      <c r="F425" s="608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</row>
    <row r="426">
      <c r="A426" s="99"/>
      <c r="B426" s="99"/>
      <c r="C426" s="99"/>
      <c r="D426" s="99"/>
      <c r="E426" s="99"/>
      <c r="F426" s="608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</row>
    <row r="427">
      <c r="A427" s="99"/>
      <c r="B427" s="99"/>
      <c r="C427" s="99"/>
      <c r="D427" s="99"/>
      <c r="E427" s="99"/>
      <c r="F427" s="608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</row>
    <row r="428">
      <c r="A428" s="99"/>
      <c r="B428" s="99"/>
      <c r="C428" s="99"/>
      <c r="D428" s="99"/>
      <c r="E428" s="99"/>
      <c r="F428" s="608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</row>
    <row r="429">
      <c r="A429" s="99"/>
      <c r="B429" s="99"/>
      <c r="C429" s="99"/>
      <c r="D429" s="99"/>
      <c r="E429" s="99"/>
      <c r="F429" s="608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</row>
    <row r="430">
      <c r="A430" s="99"/>
      <c r="B430" s="99"/>
      <c r="C430" s="99"/>
      <c r="D430" s="99"/>
      <c r="E430" s="99"/>
      <c r="F430" s="608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</row>
    <row r="431">
      <c r="A431" s="99"/>
      <c r="B431" s="99"/>
      <c r="C431" s="99"/>
      <c r="D431" s="99"/>
      <c r="E431" s="99"/>
      <c r="F431" s="608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</row>
    <row r="432">
      <c r="A432" s="99"/>
      <c r="B432" s="99"/>
      <c r="C432" s="99"/>
      <c r="D432" s="99"/>
      <c r="E432" s="99"/>
      <c r="F432" s="608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</row>
    <row r="433">
      <c r="A433" s="99"/>
      <c r="B433" s="99"/>
      <c r="C433" s="99"/>
      <c r="D433" s="99"/>
      <c r="E433" s="99"/>
      <c r="F433" s="608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</row>
    <row r="434">
      <c r="A434" s="99"/>
      <c r="B434" s="99"/>
      <c r="C434" s="99"/>
      <c r="D434" s="99"/>
      <c r="E434" s="99"/>
      <c r="F434" s="608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</row>
    <row r="435">
      <c r="A435" s="99"/>
      <c r="B435" s="99"/>
      <c r="C435" s="99"/>
      <c r="D435" s="99"/>
      <c r="E435" s="99"/>
      <c r="F435" s="608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</row>
    <row r="436">
      <c r="A436" s="99"/>
      <c r="B436" s="99"/>
      <c r="C436" s="99"/>
      <c r="D436" s="99"/>
      <c r="E436" s="99"/>
      <c r="F436" s="608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</row>
    <row r="437">
      <c r="A437" s="99"/>
      <c r="B437" s="99"/>
      <c r="C437" s="99"/>
      <c r="D437" s="99"/>
      <c r="E437" s="99"/>
      <c r="F437" s="608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</row>
    <row r="438">
      <c r="A438" s="99"/>
      <c r="B438" s="99"/>
      <c r="C438" s="99"/>
      <c r="D438" s="99"/>
      <c r="E438" s="99"/>
      <c r="F438" s="608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</row>
    <row r="439">
      <c r="A439" s="99"/>
      <c r="B439" s="99"/>
      <c r="C439" s="99"/>
      <c r="D439" s="99"/>
      <c r="E439" s="99"/>
      <c r="F439" s="608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</row>
    <row r="440">
      <c r="A440" s="99"/>
      <c r="B440" s="99"/>
      <c r="C440" s="99"/>
      <c r="D440" s="99"/>
      <c r="E440" s="99"/>
      <c r="F440" s="608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</row>
    <row r="441">
      <c r="A441" s="99"/>
      <c r="B441" s="99"/>
      <c r="C441" s="99"/>
      <c r="D441" s="99"/>
      <c r="E441" s="99"/>
      <c r="F441" s="608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</row>
    <row r="442">
      <c r="A442" s="99"/>
      <c r="B442" s="99"/>
      <c r="C442" s="99"/>
      <c r="D442" s="99"/>
      <c r="E442" s="99"/>
      <c r="F442" s="608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</row>
    <row r="443">
      <c r="A443" s="99"/>
      <c r="B443" s="99"/>
      <c r="C443" s="99"/>
      <c r="D443" s="99"/>
      <c r="E443" s="99"/>
      <c r="F443" s="608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</row>
    <row r="444">
      <c r="A444" s="99"/>
      <c r="B444" s="99"/>
      <c r="C444" s="99"/>
      <c r="D444" s="99"/>
      <c r="E444" s="99"/>
      <c r="F444" s="608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</row>
    <row r="445">
      <c r="A445" s="99"/>
      <c r="B445" s="99"/>
      <c r="C445" s="99"/>
      <c r="D445" s="99"/>
      <c r="E445" s="99"/>
      <c r="F445" s="608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</row>
    <row r="446">
      <c r="A446" s="99"/>
      <c r="B446" s="99"/>
      <c r="C446" s="99"/>
      <c r="D446" s="99"/>
      <c r="E446" s="99"/>
      <c r="F446" s="608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</row>
    <row r="447">
      <c r="A447" s="99"/>
      <c r="B447" s="99"/>
      <c r="C447" s="99"/>
      <c r="D447" s="99"/>
      <c r="E447" s="99"/>
      <c r="F447" s="608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</row>
    <row r="448">
      <c r="A448" s="99"/>
      <c r="B448" s="99"/>
      <c r="C448" s="99"/>
      <c r="D448" s="99"/>
      <c r="E448" s="99"/>
      <c r="F448" s="608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</row>
    <row r="449">
      <c r="A449" s="99"/>
      <c r="B449" s="99"/>
      <c r="C449" s="99"/>
      <c r="D449" s="99"/>
      <c r="E449" s="99"/>
      <c r="F449" s="608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</row>
    <row r="450">
      <c r="A450" s="99"/>
      <c r="B450" s="99"/>
      <c r="C450" s="99"/>
      <c r="D450" s="99"/>
      <c r="E450" s="99"/>
      <c r="F450" s="608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</row>
    <row r="451">
      <c r="A451" s="99"/>
      <c r="B451" s="99"/>
      <c r="C451" s="99"/>
      <c r="D451" s="99"/>
      <c r="E451" s="99"/>
      <c r="F451" s="608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</row>
    <row r="452">
      <c r="A452" s="99"/>
      <c r="B452" s="99"/>
      <c r="C452" s="99"/>
      <c r="D452" s="99"/>
      <c r="E452" s="99"/>
      <c r="F452" s="608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</row>
    <row r="453">
      <c r="A453" s="99"/>
      <c r="B453" s="99"/>
      <c r="C453" s="99"/>
      <c r="D453" s="99"/>
      <c r="E453" s="99"/>
      <c r="F453" s="608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</row>
    <row r="454">
      <c r="A454" s="99"/>
      <c r="B454" s="99"/>
      <c r="C454" s="99"/>
      <c r="D454" s="99"/>
      <c r="E454" s="99"/>
      <c r="F454" s="608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</row>
    <row r="455">
      <c r="A455" s="99"/>
      <c r="B455" s="99"/>
      <c r="C455" s="99"/>
      <c r="D455" s="99"/>
      <c r="E455" s="99"/>
      <c r="F455" s="608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</row>
    <row r="456">
      <c r="A456" s="99"/>
      <c r="B456" s="99"/>
      <c r="C456" s="99"/>
      <c r="D456" s="99"/>
      <c r="E456" s="99"/>
      <c r="F456" s="608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</row>
    <row r="457">
      <c r="A457" s="99"/>
      <c r="B457" s="99"/>
      <c r="C457" s="99"/>
      <c r="D457" s="99"/>
      <c r="E457" s="99"/>
      <c r="F457" s="608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</row>
    <row r="458">
      <c r="A458" s="99"/>
      <c r="B458" s="99"/>
      <c r="C458" s="99"/>
      <c r="D458" s="99"/>
      <c r="E458" s="99"/>
      <c r="F458" s="608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</row>
    <row r="459">
      <c r="A459" s="99"/>
      <c r="B459" s="99"/>
      <c r="C459" s="99"/>
      <c r="D459" s="99"/>
      <c r="E459" s="99"/>
      <c r="F459" s="608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</row>
    <row r="460">
      <c r="A460" s="99"/>
      <c r="B460" s="99"/>
      <c r="C460" s="99"/>
      <c r="D460" s="99"/>
      <c r="E460" s="99"/>
      <c r="F460" s="608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</row>
    <row r="461">
      <c r="A461" s="99"/>
      <c r="B461" s="99"/>
      <c r="C461" s="99"/>
      <c r="D461" s="99"/>
      <c r="E461" s="99"/>
      <c r="F461" s="608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</row>
    <row r="462">
      <c r="A462" s="99"/>
      <c r="B462" s="99"/>
      <c r="C462" s="99"/>
      <c r="D462" s="99"/>
      <c r="E462" s="99"/>
      <c r="F462" s="608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</row>
    <row r="463">
      <c r="A463" s="99"/>
      <c r="B463" s="99"/>
      <c r="C463" s="99"/>
      <c r="D463" s="99"/>
      <c r="E463" s="99"/>
      <c r="F463" s="608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</row>
    <row r="464">
      <c r="A464" s="99"/>
      <c r="B464" s="99"/>
      <c r="C464" s="99"/>
      <c r="D464" s="99"/>
      <c r="E464" s="99"/>
      <c r="F464" s="608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</row>
    <row r="465">
      <c r="A465" s="99"/>
      <c r="B465" s="99"/>
      <c r="C465" s="99"/>
      <c r="D465" s="99"/>
      <c r="E465" s="99"/>
      <c r="F465" s="608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</row>
    <row r="466">
      <c r="A466" s="99"/>
      <c r="B466" s="99"/>
      <c r="C466" s="99"/>
      <c r="D466" s="99"/>
      <c r="E466" s="99"/>
      <c r="F466" s="608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</row>
    <row r="467">
      <c r="A467" s="99"/>
      <c r="B467" s="99"/>
      <c r="C467" s="99"/>
      <c r="D467" s="99"/>
      <c r="E467" s="99"/>
      <c r="F467" s="608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</row>
    <row r="468">
      <c r="A468" s="99"/>
      <c r="B468" s="99"/>
      <c r="C468" s="99"/>
      <c r="D468" s="99"/>
      <c r="E468" s="99"/>
      <c r="F468" s="608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</row>
    <row r="469">
      <c r="A469" s="99"/>
      <c r="B469" s="99"/>
      <c r="C469" s="99"/>
      <c r="D469" s="99"/>
      <c r="E469" s="99"/>
      <c r="F469" s="608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</row>
    <row r="470">
      <c r="A470" s="99"/>
      <c r="B470" s="99"/>
      <c r="C470" s="99"/>
      <c r="D470" s="99"/>
      <c r="E470" s="99"/>
      <c r="F470" s="608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</row>
    <row r="471">
      <c r="A471" s="99"/>
      <c r="B471" s="99"/>
      <c r="C471" s="99"/>
      <c r="D471" s="99"/>
      <c r="E471" s="99"/>
      <c r="F471" s="608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</row>
    <row r="472">
      <c r="A472" s="99"/>
      <c r="B472" s="99"/>
      <c r="C472" s="99"/>
      <c r="D472" s="99"/>
      <c r="E472" s="99"/>
      <c r="F472" s="608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</row>
    <row r="473">
      <c r="A473" s="99"/>
      <c r="B473" s="99"/>
      <c r="C473" s="99"/>
      <c r="D473" s="99"/>
      <c r="E473" s="99"/>
      <c r="F473" s="608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</row>
    <row r="474">
      <c r="A474" s="99"/>
      <c r="B474" s="99"/>
      <c r="C474" s="99"/>
      <c r="D474" s="99"/>
      <c r="E474" s="99"/>
      <c r="F474" s="608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</row>
    <row r="475">
      <c r="A475" s="99"/>
      <c r="B475" s="99"/>
      <c r="C475" s="99"/>
      <c r="D475" s="99"/>
      <c r="E475" s="99"/>
      <c r="F475" s="608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</row>
    <row r="476">
      <c r="A476" s="99"/>
      <c r="B476" s="99"/>
      <c r="C476" s="99"/>
      <c r="D476" s="99"/>
      <c r="E476" s="99"/>
      <c r="F476" s="608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</row>
    <row r="477">
      <c r="A477" s="99"/>
      <c r="B477" s="99"/>
      <c r="C477" s="99"/>
      <c r="D477" s="99"/>
      <c r="E477" s="99"/>
      <c r="F477" s="608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</row>
    <row r="478">
      <c r="A478" s="99"/>
      <c r="B478" s="99"/>
      <c r="C478" s="99"/>
      <c r="D478" s="99"/>
      <c r="E478" s="99"/>
      <c r="F478" s="608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</row>
    <row r="479">
      <c r="A479" s="99"/>
      <c r="B479" s="99"/>
      <c r="C479" s="99"/>
      <c r="D479" s="99"/>
      <c r="E479" s="99"/>
      <c r="F479" s="608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</row>
    <row r="480">
      <c r="A480" s="99"/>
      <c r="B480" s="99"/>
      <c r="C480" s="99"/>
      <c r="D480" s="99"/>
      <c r="E480" s="99"/>
      <c r="F480" s="608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</row>
    <row r="481">
      <c r="A481" s="99"/>
      <c r="B481" s="99"/>
      <c r="C481" s="99"/>
      <c r="D481" s="99"/>
      <c r="E481" s="99"/>
      <c r="F481" s="608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</row>
    <row r="482">
      <c r="A482" s="99"/>
      <c r="B482" s="99"/>
      <c r="C482" s="99"/>
      <c r="D482" s="99"/>
      <c r="E482" s="99"/>
      <c r="F482" s="608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</row>
    <row r="483">
      <c r="A483" s="99"/>
      <c r="B483" s="99"/>
      <c r="C483" s="99"/>
      <c r="D483" s="99"/>
      <c r="E483" s="99"/>
      <c r="F483" s="608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</row>
    <row r="484">
      <c r="A484" s="99"/>
      <c r="B484" s="99"/>
      <c r="C484" s="99"/>
      <c r="D484" s="99"/>
      <c r="E484" s="99"/>
      <c r="F484" s="608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</row>
    <row r="485">
      <c r="A485" s="99"/>
      <c r="B485" s="99"/>
      <c r="C485" s="99"/>
      <c r="D485" s="99"/>
      <c r="E485" s="99"/>
      <c r="F485" s="608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</row>
    <row r="486">
      <c r="A486" s="99"/>
      <c r="B486" s="99"/>
      <c r="C486" s="99"/>
      <c r="D486" s="99"/>
      <c r="E486" s="99"/>
      <c r="F486" s="608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</row>
    <row r="487">
      <c r="A487" s="99"/>
      <c r="B487" s="99"/>
      <c r="C487" s="99"/>
      <c r="D487" s="99"/>
      <c r="E487" s="99"/>
      <c r="F487" s="608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</row>
    <row r="488">
      <c r="A488" s="99"/>
      <c r="B488" s="99"/>
      <c r="C488" s="99"/>
      <c r="D488" s="99"/>
      <c r="E488" s="99"/>
      <c r="F488" s="608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</row>
    <row r="489">
      <c r="A489" s="99"/>
      <c r="B489" s="99"/>
      <c r="C489" s="99"/>
      <c r="D489" s="99"/>
      <c r="E489" s="99"/>
      <c r="F489" s="608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</row>
    <row r="490">
      <c r="A490" s="99"/>
      <c r="B490" s="99"/>
      <c r="C490" s="99"/>
      <c r="D490" s="99"/>
      <c r="E490" s="99"/>
      <c r="F490" s="608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</row>
    <row r="491">
      <c r="A491" s="99"/>
      <c r="B491" s="99"/>
      <c r="C491" s="99"/>
      <c r="D491" s="99"/>
      <c r="E491" s="99"/>
      <c r="F491" s="608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</row>
    <row r="492">
      <c r="A492" s="99"/>
      <c r="B492" s="99"/>
      <c r="C492" s="99"/>
      <c r="D492" s="99"/>
      <c r="E492" s="99"/>
      <c r="F492" s="608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</row>
    <row r="493">
      <c r="A493" s="99"/>
      <c r="B493" s="99"/>
      <c r="C493" s="99"/>
      <c r="D493" s="99"/>
      <c r="E493" s="99"/>
      <c r="F493" s="608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</row>
    <row r="494">
      <c r="A494" s="99"/>
      <c r="B494" s="99"/>
      <c r="C494" s="99"/>
      <c r="D494" s="99"/>
      <c r="E494" s="99"/>
      <c r="F494" s="608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</row>
    <row r="495">
      <c r="A495" s="99"/>
      <c r="B495" s="99"/>
      <c r="C495" s="99"/>
      <c r="D495" s="99"/>
      <c r="E495" s="99"/>
      <c r="F495" s="608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</row>
    <row r="496">
      <c r="A496" s="99"/>
      <c r="B496" s="99"/>
      <c r="C496" s="99"/>
      <c r="D496" s="99"/>
      <c r="E496" s="99"/>
      <c r="F496" s="608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</row>
    <row r="497">
      <c r="A497" s="99"/>
      <c r="B497" s="99"/>
      <c r="C497" s="99"/>
      <c r="D497" s="99"/>
      <c r="E497" s="99"/>
      <c r="F497" s="608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</row>
    <row r="498">
      <c r="A498" s="99"/>
      <c r="B498" s="99"/>
      <c r="C498" s="99"/>
      <c r="D498" s="99"/>
      <c r="E498" s="99"/>
      <c r="F498" s="608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</row>
    <row r="499">
      <c r="A499" s="99"/>
      <c r="B499" s="99"/>
      <c r="C499" s="99"/>
      <c r="D499" s="99"/>
      <c r="E499" s="99"/>
      <c r="F499" s="608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</row>
    <row r="500">
      <c r="A500" s="99"/>
      <c r="B500" s="99"/>
      <c r="C500" s="99"/>
      <c r="D500" s="99"/>
      <c r="E500" s="99"/>
      <c r="F500" s="608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</row>
    <row r="501">
      <c r="A501" s="99"/>
      <c r="B501" s="99"/>
      <c r="C501" s="99"/>
      <c r="D501" s="99"/>
      <c r="E501" s="99"/>
      <c r="F501" s="608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</row>
    <row r="502">
      <c r="A502" s="99"/>
      <c r="B502" s="99"/>
      <c r="C502" s="99"/>
      <c r="D502" s="99"/>
      <c r="E502" s="99"/>
      <c r="F502" s="608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</row>
    <row r="503">
      <c r="A503" s="99"/>
      <c r="B503" s="99"/>
      <c r="C503" s="99"/>
      <c r="D503" s="99"/>
      <c r="E503" s="99"/>
      <c r="F503" s="608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</row>
    <row r="504">
      <c r="A504" s="99"/>
      <c r="B504" s="99"/>
      <c r="C504" s="99"/>
      <c r="D504" s="99"/>
      <c r="E504" s="99"/>
      <c r="F504" s="608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</row>
    <row r="505">
      <c r="A505" s="99"/>
      <c r="B505" s="99"/>
      <c r="C505" s="99"/>
      <c r="D505" s="99"/>
      <c r="E505" s="99"/>
      <c r="F505" s="608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</row>
    <row r="506">
      <c r="A506" s="99"/>
      <c r="B506" s="99"/>
      <c r="C506" s="99"/>
      <c r="D506" s="99"/>
      <c r="E506" s="99"/>
      <c r="F506" s="608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</row>
    <row r="507">
      <c r="A507" s="99"/>
      <c r="B507" s="99"/>
      <c r="C507" s="99"/>
      <c r="D507" s="99"/>
      <c r="E507" s="99"/>
      <c r="F507" s="608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</row>
    <row r="508">
      <c r="A508" s="99"/>
      <c r="B508" s="99"/>
      <c r="C508" s="99"/>
      <c r="D508" s="99"/>
      <c r="E508" s="99"/>
      <c r="F508" s="608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</row>
    <row r="509">
      <c r="A509" s="99"/>
      <c r="B509" s="99"/>
      <c r="C509" s="99"/>
      <c r="D509" s="99"/>
      <c r="E509" s="99"/>
      <c r="F509" s="608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</row>
    <row r="510">
      <c r="A510" s="99"/>
      <c r="B510" s="99"/>
      <c r="C510" s="99"/>
      <c r="D510" s="99"/>
      <c r="E510" s="99"/>
      <c r="F510" s="608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</row>
    <row r="511">
      <c r="A511" s="99"/>
      <c r="B511" s="99"/>
      <c r="C511" s="99"/>
      <c r="D511" s="99"/>
      <c r="E511" s="99"/>
      <c r="F511" s="608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</row>
    <row r="512">
      <c r="A512" s="99"/>
      <c r="B512" s="99"/>
      <c r="C512" s="99"/>
      <c r="D512" s="99"/>
      <c r="E512" s="99"/>
      <c r="F512" s="608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</row>
    <row r="513">
      <c r="A513" s="99"/>
      <c r="B513" s="99"/>
      <c r="C513" s="99"/>
      <c r="D513" s="99"/>
      <c r="E513" s="99"/>
      <c r="F513" s="608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</row>
    <row r="514">
      <c r="A514" s="99"/>
      <c r="B514" s="99"/>
      <c r="C514" s="99"/>
      <c r="D514" s="99"/>
      <c r="E514" s="99"/>
      <c r="F514" s="608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</row>
    <row r="515">
      <c r="A515" s="99"/>
      <c r="B515" s="99"/>
      <c r="C515" s="99"/>
      <c r="D515" s="99"/>
      <c r="E515" s="99"/>
      <c r="F515" s="608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</row>
    <row r="516">
      <c r="A516" s="99"/>
      <c r="B516" s="99"/>
      <c r="C516" s="99"/>
      <c r="D516" s="99"/>
      <c r="E516" s="99"/>
      <c r="F516" s="608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</row>
    <row r="517">
      <c r="A517" s="99"/>
      <c r="B517" s="99"/>
      <c r="C517" s="99"/>
      <c r="D517" s="99"/>
      <c r="E517" s="99"/>
      <c r="F517" s="608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</row>
    <row r="518">
      <c r="A518" s="99"/>
      <c r="B518" s="99"/>
      <c r="C518" s="99"/>
      <c r="D518" s="99"/>
      <c r="E518" s="99"/>
      <c r="F518" s="608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</row>
    <row r="519">
      <c r="A519" s="99"/>
      <c r="B519" s="99"/>
      <c r="C519" s="99"/>
      <c r="D519" s="99"/>
      <c r="E519" s="99"/>
      <c r="F519" s="608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</row>
    <row r="520">
      <c r="A520" s="99"/>
      <c r="B520" s="99"/>
      <c r="C520" s="99"/>
      <c r="D520" s="99"/>
      <c r="E520" s="99"/>
      <c r="F520" s="608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</row>
    <row r="521">
      <c r="A521" s="99"/>
      <c r="B521" s="99"/>
      <c r="C521" s="99"/>
      <c r="D521" s="99"/>
      <c r="E521" s="99"/>
      <c r="F521" s="608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</row>
    <row r="522">
      <c r="A522" s="99"/>
      <c r="B522" s="99"/>
      <c r="C522" s="99"/>
      <c r="D522" s="99"/>
      <c r="E522" s="99"/>
      <c r="F522" s="608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</row>
    <row r="523">
      <c r="A523" s="99"/>
      <c r="B523" s="99"/>
      <c r="C523" s="99"/>
      <c r="D523" s="99"/>
      <c r="E523" s="99"/>
      <c r="F523" s="608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</row>
    <row r="524">
      <c r="A524" s="99"/>
      <c r="B524" s="99"/>
      <c r="C524" s="99"/>
      <c r="D524" s="99"/>
      <c r="E524" s="99"/>
      <c r="F524" s="608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</row>
    <row r="525">
      <c r="A525" s="99"/>
      <c r="B525" s="99"/>
      <c r="C525" s="99"/>
      <c r="D525" s="99"/>
      <c r="E525" s="99"/>
      <c r="F525" s="608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</row>
    <row r="526">
      <c r="A526" s="99"/>
      <c r="B526" s="99"/>
      <c r="C526" s="99"/>
      <c r="D526" s="99"/>
      <c r="E526" s="99"/>
      <c r="F526" s="608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</row>
    <row r="527">
      <c r="A527" s="99"/>
      <c r="B527" s="99"/>
      <c r="C527" s="99"/>
      <c r="D527" s="99"/>
      <c r="E527" s="99"/>
      <c r="F527" s="608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</row>
    <row r="528">
      <c r="A528" s="99"/>
      <c r="B528" s="99"/>
      <c r="C528" s="99"/>
      <c r="D528" s="99"/>
      <c r="E528" s="99"/>
      <c r="F528" s="608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</row>
    <row r="529">
      <c r="A529" s="99"/>
      <c r="B529" s="99"/>
      <c r="C529" s="99"/>
      <c r="D529" s="99"/>
      <c r="E529" s="99"/>
      <c r="F529" s="608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</row>
    <row r="530">
      <c r="A530" s="99"/>
      <c r="B530" s="99"/>
      <c r="C530" s="99"/>
      <c r="D530" s="99"/>
      <c r="E530" s="99"/>
      <c r="F530" s="608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</row>
    <row r="531">
      <c r="A531" s="99"/>
      <c r="B531" s="99"/>
      <c r="C531" s="99"/>
      <c r="D531" s="99"/>
      <c r="E531" s="99"/>
      <c r="F531" s="608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</row>
    <row r="532">
      <c r="A532" s="99"/>
      <c r="B532" s="99"/>
      <c r="C532" s="99"/>
      <c r="D532" s="99"/>
      <c r="E532" s="99"/>
      <c r="F532" s="608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</row>
    <row r="533">
      <c r="A533" s="99"/>
      <c r="B533" s="99"/>
      <c r="C533" s="99"/>
      <c r="D533" s="99"/>
      <c r="E533" s="99"/>
      <c r="F533" s="608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</row>
    <row r="534">
      <c r="A534" s="99"/>
      <c r="B534" s="99"/>
      <c r="C534" s="99"/>
      <c r="D534" s="99"/>
      <c r="E534" s="99"/>
      <c r="F534" s="608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</row>
    <row r="535">
      <c r="A535" s="99"/>
      <c r="B535" s="99"/>
      <c r="C535" s="99"/>
      <c r="D535" s="99"/>
      <c r="E535" s="99"/>
      <c r="F535" s="608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</row>
    <row r="536">
      <c r="A536" s="99"/>
      <c r="B536" s="99"/>
      <c r="C536" s="99"/>
      <c r="D536" s="99"/>
      <c r="E536" s="99"/>
      <c r="F536" s="608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</row>
    <row r="537">
      <c r="A537" s="99"/>
      <c r="B537" s="99"/>
      <c r="C537" s="99"/>
      <c r="D537" s="99"/>
      <c r="E537" s="99"/>
      <c r="F537" s="608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</row>
    <row r="538">
      <c r="A538" s="99"/>
      <c r="B538" s="99"/>
      <c r="C538" s="99"/>
      <c r="D538" s="99"/>
      <c r="E538" s="99"/>
      <c r="F538" s="608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</row>
    <row r="539">
      <c r="A539" s="99"/>
      <c r="B539" s="99"/>
      <c r="C539" s="99"/>
      <c r="D539" s="99"/>
      <c r="E539" s="99"/>
      <c r="F539" s="608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</row>
    <row r="540">
      <c r="A540" s="99"/>
      <c r="B540" s="99"/>
      <c r="C540" s="99"/>
      <c r="D540" s="99"/>
      <c r="E540" s="99"/>
      <c r="F540" s="608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</row>
    <row r="541">
      <c r="A541" s="99"/>
      <c r="B541" s="99"/>
      <c r="C541" s="99"/>
      <c r="D541" s="99"/>
      <c r="E541" s="99"/>
      <c r="F541" s="608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</row>
    <row r="542">
      <c r="A542" s="99"/>
      <c r="B542" s="99"/>
      <c r="C542" s="99"/>
      <c r="D542" s="99"/>
      <c r="E542" s="99"/>
      <c r="F542" s="608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</row>
    <row r="543">
      <c r="A543" s="99"/>
      <c r="B543" s="99"/>
      <c r="C543" s="99"/>
      <c r="D543" s="99"/>
      <c r="E543" s="99"/>
      <c r="F543" s="608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</row>
    <row r="544">
      <c r="A544" s="99"/>
      <c r="B544" s="99"/>
      <c r="C544" s="99"/>
      <c r="D544" s="99"/>
      <c r="E544" s="99"/>
      <c r="F544" s="608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</row>
    <row r="545">
      <c r="A545" s="99"/>
      <c r="B545" s="99"/>
      <c r="C545" s="99"/>
      <c r="D545" s="99"/>
      <c r="E545" s="99"/>
      <c r="F545" s="608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</row>
    <row r="546">
      <c r="A546" s="99"/>
      <c r="B546" s="99"/>
      <c r="C546" s="99"/>
      <c r="D546" s="99"/>
      <c r="E546" s="99"/>
      <c r="F546" s="608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</row>
    <row r="547">
      <c r="A547" s="99"/>
      <c r="B547" s="99"/>
      <c r="C547" s="99"/>
      <c r="D547" s="99"/>
      <c r="E547" s="99"/>
      <c r="F547" s="608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</row>
    <row r="548">
      <c r="A548" s="99"/>
      <c r="B548" s="99"/>
      <c r="C548" s="99"/>
      <c r="D548" s="99"/>
      <c r="E548" s="99"/>
      <c r="F548" s="608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</row>
    <row r="549">
      <c r="A549" s="99"/>
      <c r="B549" s="99"/>
      <c r="C549" s="99"/>
      <c r="D549" s="99"/>
      <c r="E549" s="99"/>
      <c r="F549" s="608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</row>
    <row r="550">
      <c r="A550" s="99"/>
      <c r="B550" s="99"/>
      <c r="C550" s="99"/>
      <c r="D550" s="99"/>
      <c r="E550" s="99"/>
      <c r="F550" s="608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</row>
    <row r="551">
      <c r="A551" s="99"/>
      <c r="B551" s="99"/>
      <c r="C551" s="99"/>
      <c r="D551" s="99"/>
      <c r="E551" s="99"/>
      <c r="F551" s="608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</row>
    <row r="552">
      <c r="A552" s="99"/>
      <c r="B552" s="99"/>
      <c r="C552" s="99"/>
      <c r="D552" s="99"/>
      <c r="E552" s="99"/>
      <c r="F552" s="608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</row>
    <row r="553">
      <c r="A553" s="99"/>
      <c r="B553" s="99"/>
      <c r="C553" s="99"/>
      <c r="D553" s="99"/>
      <c r="E553" s="99"/>
      <c r="F553" s="608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</row>
    <row r="554">
      <c r="A554" s="99"/>
      <c r="B554" s="99"/>
      <c r="C554" s="99"/>
      <c r="D554" s="99"/>
      <c r="E554" s="99"/>
      <c r="F554" s="608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</row>
    <row r="555">
      <c r="A555" s="99"/>
      <c r="B555" s="99"/>
      <c r="C555" s="99"/>
      <c r="D555" s="99"/>
      <c r="E555" s="99"/>
      <c r="F555" s="608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</row>
    <row r="556">
      <c r="A556" s="99"/>
      <c r="B556" s="99"/>
      <c r="C556" s="99"/>
      <c r="D556" s="99"/>
      <c r="E556" s="99"/>
      <c r="F556" s="608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</row>
    <row r="557">
      <c r="A557" s="99"/>
      <c r="B557" s="99"/>
      <c r="C557" s="99"/>
      <c r="D557" s="99"/>
      <c r="E557" s="99"/>
      <c r="F557" s="608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</row>
    <row r="558">
      <c r="A558" s="99"/>
      <c r="B558" s="99"/>
      <c r="C558" s="99"/>
      <c r="D558" s="99"/>
      <c r="E558" s="99"/>
      <c r="F558" s="608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</row>
    <row r="559">
      <c r="A559" s="99"/>
      <c r="B559" s="99"/>
      <c r="C559" s="99"/>
      <c r="D559" s="99"/>
      <c r="E559" s="99"/>
      <c r="F559" s="608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</row>
    <row r="560">
      <c r="A560" s="99"/>
      <c r="B560" s="99"/>
      <c r="C560" s="99"/>
      <c r="D560" s="99"/>
      <c r="E560" s="99"/>
      <c r="F560" s="608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</row>
    <row r="561">
      <c r="A561" s="99"/>
      <c r="B561" s="99"/>
      <c r="C561" s="99"/>
      <c r="D561" s="99"/>
      <c r="E561" s="99"/>
      <c r="F561" s="608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</row>
    <row r="562">
      <c r="A562" s="99"/>
      <c r="B562" s="99"/>
      <c r="C562" s="99"/>
      <c r="D562" s="99"/>
      <c r="E562" s="99"/>
      <c r="F562" s="608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</row>
    <row r="563">
      <c r="A563" s="99"/>
      <c r="B563" s="99"/>
      <c r="C563" s="99"/>
      <c r="D563" s="99"/>
      <c r="E563" s="99"/>
      <c r="F563" s="608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</row>
    <row r="564">
      <c r="A564" s="99"/>
      <c r="B564" s="99"/>
      <c r="C564" s="99"/>
      <c r="D564" s="99"/>
      <c r="E564" s="99"/>
      <c r="F564" s="608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</row>
    <row r="565">
      <c r="A565" s="99"/>
      <c r="B565" s="99"/>
      <c r="C565" s="99"/>
      <c r="D565" s="99"/>
      <c r="E565" s="99"/>
      <c r="F565" s="608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</row>
    <row r="566">
      <c r="A566" s="99"/>
      <c r="B566" s="99"/>
      <c r="C566" s="99"/>
      <c r="D566" s="99"/>
      <c r="E566" s="99"/>
      <c r="F566" s="608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</row>
    <row r="567">
      <c r="A567" s="99"/>
      <c r="B567" s="99"/>
      <c r="C567" s="99"/>
      <c r="D567" s="99"/>
      <c r="E567" s="99"/>
      <c r="F567" s="608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</row>
    <row r="568">
      <c r="A568" s="99"/>
      <c r="B568" s="99"/>
      <c r="C568" s="99"/>
      <c r="D568" s="99"/>
      <c r="E568" s="99"/>
      <c r="F568" s="608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</row>
    <row r="569">
      <c r="A569" s="99"/>
      <c r="B569" s="99"/>
      <c r="C569" s="99"/>
      <c r="D569" s="99"/>
      <c r="E569" s="99"/>
      <c r="F569" s="608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</row>
    <row r="570">
      <c r="A570" s="99"/>
      <c r="B570" s="99"/>
      <c r="C570" s="99"/>
      <c r="D570" s="99"/>
      <c r="E570" s="99"/>
      <c r="F570" s="608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</row>
    <row r="571">
      <c r="A571" s="99"/>
      <c r="B571" s="99"/>
      <c r="C571" s="99"/>
      <c r="D571" s="99"/>
      <c r="E571" s="99"/>
      <c r="F571" s="608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</row>
    <row r="572">
      <c r="A572" s="99"/>
      <c r="B572" s="99"/>
      <c r="C572" s="99"/>
      <c r="D572" s="99"/>
      <c r="E572" s="99"/>
      <c r="F572" s="608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</row>
    <row r="573">
      <c r="A573" s="99"/>
      <c r="B573" s="99"/>
      <c r="C573" s="99"/>
      <c r="D573" s="99"/>
      <c r="E573" s="99"/>
      <c r="F573" s="608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</row>
    <row r="574">
      <c r="A574" s="99"/>
      <c r="B574" s="99"/>
      <c r="C574" s="99"/>
      <c r="D574" s="99"/>
      <c r="E574" s="99"/>
      <c r="F574" s="608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</row>
    <row r="575">
      <c r="A575" s="99"/>
      <c r="B575" s="99"/>
      <c r="C575" s="99"/>
      <c r="D575" s="99"/>
      <c r="E575" s="99"/>
      <c r="F575" s="608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</row>
    <row r="576">
      <c r="A576" s="99"/>
      <c r="B576" s="99"/>
      <c r="C576" s="99"/>
      <c r="D576" s="99"/>
      <c r="E576" s="99"/>
      <c r="F576" s="608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</row>
    <row r="577">
      <c r="A577" s="99"/>
      <c r="B577" s="99"/>
      <c r="C577" s="99"/>
      <c r="D577" s="99"/>
      <c r="E577" s="99"/>
      <c r="F577" s="608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</row>
    <row r="578">
      <c r="A578" s="99"/>
      <c r="B578" s="99"/>
      <c r="C578" s="99"/>
      <c r="D578" s="99"/>
      <c r="E578" s="99"/>
      <c r="F578" s="608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</row>
    <row r="579">
      <c r="A579" s="99"/>
      <c r="B579" s="99"/>
      <c r="C579" s="99"/>
      <c r="D579" s="99"/>
      <c r="E579" s="99"/>
      <c r="F579" s="608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</row>
    <row r="580">
      <c r="A580" s="99"/>
      <c r="B580" s="99"/>
      <c r="C580" s="99"/>
      <c r="D580" s="99"/>
      <c r="E580" s="99"/>
      <c r="F580" s="608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</row>
    <row r="581">
      <c r="A581" s="99"/>
      <c r="B581" s="99"/>
      <c r="C581" s="99"/>
      <c r="D581" s="99"/>
      <c r="E581" s="99"/>
      <c r="F581" s="608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</row>
    <row r="582">
      <c r="A582" s="99"/>
      <c r="B582" s="99"/>
      <c r="C582" s="99"/>
      <c r="D582" s="99"/>
      <c r="E582" s="99"/>
      <c r="F582" s="608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</row>
    <row r="583">
      <c r="A583" s="99"/>
      <c r="B583" s="99"/>
      <c r="C583" s="99"/>
      <c r="D583" s="99"/>
      <c r="E583" s="99"/>
      <c r="F583" s="608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</row>
    <row r="584">
      <c r="A584" s="99"/>
      <c r="B584" s="99"/>
      <c r="C584" s="99"/>
      <c r="D584" s="99"/>
      <c r="E584" s="99"/>
      <c r="F584" s="608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</row>
    <row r="585">
      <c r="A585" s="99"/>
      <c r="B585" s="99"/>
      <c r="C585" s="99"/>
      <c r="D585" s="99"/>
      <c r="E585" s="99"/>
      <c r="F585" s="608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</row>
    <row r="586">
      <c r="A586" s="99"/>
      <c r="B586" s="99"/>
      <c r="C586" s="99"/>
      <c r="D586" s="99"/>
      <c r="E586" s="99"/>
      <c r="F586" s="608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</row>
    <row r="587">
      <c r="A587" s="99"/>
      <c r="B587" s="99"/>
      <c r="C587" s="99"/>
      <c r="D587" s="99"/>
      <c r="E587" s="99"/>
      <c r="F587" s="608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</row>
    <row r="588">
      <c r="A588" s="99"/>
      <c r="B588" s="99"/>
      <c r="C588" s="99"/>
      <c r="D588" s="99"/>
      <c r="E588" s="99"/>
      <c r="F588" s="608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</row>
    <row r="589">
      <c r="A589" s="99"/>
      <c r="B589" s="99"/>
      <c r="C589" s="99"/>
      <c r="D589" s="99"/>
      <c r="E589" s="99"/>
      <c r="F589" s="608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</row>
    <row r="590">
      <c r="A590" s="99"/>
      <c r="B590" s="99"/>
      <c r="C590" s="99"/>
      <c r="D590" s="99"/>
      <c r="E590" s="99"/>
      <c r="F590" s="608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</row>
    <row r="591">
      <c r="A591" s="99"/>
      <c r="B591" s="99"/>
      <c r="C591" s="99"/>
      <c r="D591" s="99"/>
      <c r="E591" s="99"/>
      <c r="F591" s="608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</row>
    <row r="592">
      <c r="A592" s="99"/>
      <c r="B592" s="99"/>
      <c r="C592" s="99"/>
      <c r="D592" s="99"/>
      <c r="E592" s="99"/>
      <c r="F592" s="608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</row>
    <row r="593">
      <c r="A593" s="99"/>
      <c r="B593" s="99"/>
      <c r="C593" s="99"/>
      <c r="D593" s="99"/>
      <c r="E593" s="99"/>
      <c r="F593" s="608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</row>
    <row r="594">
      <c r="A594" s="99"/>
      <c r="B594" s="99"/>
      <c r="C594" s="99"/>
      <c r="D594" s="99"/>
      <c r="E594" s="99"/>
      <c r="F594" s="608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</row>
    <row r="595">
      <c r="A595" s="99"/>
      <c r="B595" s="99"/>
      <c r="C595" s="99"/>
      <c r="D595" s="99"/>
      <c r="E595" s="99"/>
      <c r="F595" s="608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</row>
    <row r="596">
      <c r="A596" s="99"/>
      <c r="B596" s="99"/>
      <c r="C596" s="99"/>
      <c r="D596" s="99"/>
      <c r="E596" s="99"/>
      <c r="F596" s="608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</row>
    <row r="597">
      <c r="A597" s="99"/>
      <c r="B597" s="99"/>
      <c r="C597" s="99"/>
      <c r="D597" s="99"/>
      <c r="E597" s="99"/>
      <c r="F597" s="608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</row>
    <row r="598">
      <c r="A598" s="99"/>
      <c r="B598" s="99"/>
      <c r="C598" s="99"/>
      <c r="D598" s="99"/>
      <c r="E598" s="99"/>
      <c r="F598" s="608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</row>
    <row r="599">
      <c r="A599" s="99"/>
      <c r="B599" s="99"/>
      <c r="C599" s="99"/>
      <c r="D599" s="99"/>
      <c r="E599" s="99"/>
      <c r="F599" s="608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</row>
    <row r="600">
      <c r="A600" s="99"/>
      <c r="B600" s="99"/>
      <c r="C600" s="99"/>
      <c r="D600" s="99"/>
      <c r="E600" s="99"/>
      <c r="F600" s="608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</row>
    <row r="601">
      <c r="A601" s="99"/>
      <c r="B601" s="99"/>
      <c r="C601" s="99"/>
      <c r="D601" s="99"/>
      <c r="E601" s="99"/>
      <c r="F601" s="608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</row>
    <row r="602">
      <c r="A602" s="99"/>
      <c r="B602" s="99"/>
      <c r="C602" s="99"/>
      <c r="D602" s="99"/>
      <c r="E602" s="99"/>
      <c r="F602" s="608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</row>
    <row r="603">
      <c r="A603" s="99"/>
      <c r="B603" s="99"/>
      <c r="C603" s="99"/>
      <c r="D603" s="99"/>
      <c r="E603" s="99"/>
      <c r="F603" s="608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</row>
    <row r="604">
      <c r="A604" s="99"/>
      <c r="B604" s="99"/>
      <c r="C604" s="99"/>
      <c r="D604" s="99"/>
      <c r="E604" s="99"/>
      <c r="F604" s="608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</row>
    <row r="605">
      <c r="A605" s="99"/>
      <c r="B605" s="99"/>
      <c r="C605" s="99"/>
      <c r="D605" s="99"/>
      <c r="E605" s="99"/>
      <c r="F605" s="608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</row>
    <row r="606">
      <c r="A606" s="99"/>
      <c r="B606" s="99"/>
      <c r="C606" s="99"/>
      <c r="D606" s="99"/>
      <c r="E606" s="99"/>
      <c r="F606" s="608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</row>
    <row r="607">
      <c r="A607" s="99"/>
      <c r="B607" s="99"/>
      <c r="C607" s="99"/>
      <c r="D607" s="99"/>
      <c r="E607" s="99"/>
      <c r="F607" s="608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</row>
    <row r="608">
      <c r="A608" s="99"/>
      <c r="B608" s="99"/>
      <c r="C608" s="99"/>
      <c r="D608" s="99"/>
      <c r="E608" s="99"/>
      <c r="F608" s="608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</row>
    <row r="609">
      <c r="A609" s="99"/>
      <c r="B609" s="99"/>
      <c r="C609" s="99"/>
      <c r="D609" s="99"/>
      <c r="E609" s="99"/>
      <c r="F609" s="608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</row>
    <row r="610">
      <c r="A610" s="99"/>
      <c r="B610" s="99"/>
      <c r="C610" s="99"/>
      <c r="D610" s="99"/>
      <c r="E610" s="99"/>
      <c r="F610" s="608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</row>
    <row r="611">
      <c r="A611" s="99"/>
      <c r="B611" s="99"/>
      <c r="C611" s="99"/>
      <c r="D611" s="99"/>
      <c r="E611" s="99"/>
      <c r="F611" s="608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</row>
    <row r="612">
      <c r="A612" s="99"/>
      <c r="B612" s="99"/>
      <c r="C612" s="99"/>
      <c r="D612" s="99"/>
      <c r="E612" s="99"/>
      <c r="F612" s="608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</row>
    <row r="613">
      <c r="A613" s="99"/>
      <c r="B613" s="99"/>
      <c r="C613" s="99"/>
      <c r="D613" s="99"/>
      <c r="E613" s="99"/>
      <c r="F613" s="608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</row>
    <row r="614">
      <c r="A614" s="99"/>
      <c r="B614" s="99"/>
      <c r="C614" s="99"/>
      <c r="D614" s="99"/>
      <c r="E614" s="99"/>
      <c r="F614" s="608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</row>
    <row r="615">
      <c r="A615" s="99"/>
      <c r="B615" s="99"/>
      <c r="C615" s="99"/>
      <c r="D615" s="99"/>
      <c r="E615" s="99"/>
      <c r="F615" s="608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</row>
    <row r="616">
      <c r="A616" s="99"/>
      <c r="B616" s="99"/>
      <c r="C616" s="99"/>
      <c r="D616" s="99"/>
      <c r="E616" s="99"/>
      <c r="F616" s="608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</row>
    <row r="617">
      <c r="A617" s="99"/>
      <c r="B617" s="99"/>
      <c r="C617" s="99"/>
      <c r="D617" s="99"/>
      <c r="E617" s="99"/>
      <c r="F617" s="608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</row>
    <row r="618">
      <c r="A618" s="99"/>
      <c r="B618" s="99"/>
      <c r="C618" s="99"/>
      <c r="D618" s="99"/>
      <c r="E618" s="99"/>
      <c r="F618" s="608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</row>
    <row r="619">
      <c r="A619" s="99"/>
      <c r="B619" s="99"/>
      <c r="C619" s="99"/>
      <c r="D619" s="99"/>
      <c r="E619" s="99"/>
      <c r="F619" s="608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</row>
    <row r="620">
      <c r="A620" s="99"/>
      <c r="B620" s="99"/>
      <c r="C620" s="99"/>
      <c r="D620" s="99"/>
      <c r="E620" s="99"/>
      <c r="F620" s="608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</row>
    <row r="621">
      <c r="A621" s="99"/>
      <c r="B621" s="99"/>
      <c r="C621" s="99"/>
      <c r="D621" s="99"/>
      <c r="E621" s="99"/>
      <c r="F621" s="608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</row>
    <row r="622">
      <c r="A622" s="99"/>
      <c r="B622" s="99"/>
      <c r="C622" s="99"/>
      <c r="D622" s="99"/>
      <c r="E622" s="99"/>
      <c r="F622" s="608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</row>
    <row r="623">
      <c r="A623" s="99"/>
      <c r="B623" s="99"/>
      <c r="C623" s="99"/>
      <c r="D623" s="99"/>
      <c r="E623" s="99"/>
      <c r="F623" s="608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</row>
    <row r="624">
      <c r="A624" s="99"/>
      <c r="B624" s="99"/>
      <c r="C624" s="99"/>
      <c r="D624" s="99"/>
      <c r="E624" s="99"/>
      <c r="F624" s="608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</row>
    <row r="625">
      <c r="A625" s="99"/>
      <c r="B625" s="99"/>
      <c r="C625" s="99"/>
      <c r="D625" s="99"/>
      <c r="E625" s="99"/>
      <c r="F625" s="608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</row>
    <row r="626">
      <c r="A626" s="99"/>
      <c r="B626" s="99"/>
      <c r="C626" s="99"/>
      <c r="D626" s="99"/>
      <c r="E626" s="99"/>
      <c r="F626" s="608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</row>
    <row r="627">
      <c r="A627" s="99"/>
      <c r="B627" s="99"/>
      <c r="C627" s="99"/>
      <c r="D627" s="99"/>
      <c r="E627" s="99"/>
      <c r="F627" s="608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</row>
    <row r="628">
      <c r="A628" s="99"/>
      <c r="B628" s="99"/>
      <c r="C628" s="99"/>
      <c r="D628" s="99"/>
      <c r="E628" s="99"/>
      <c r="F628" s="608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</row>
    <row r="629">
      <c r="A629" s="99"/>
      <c r="B629" s="99"/>
      <c r="C629" s="99"/>
      <c r="D629" s="99"/>
      <c r="E629" s="99"/>
      <c r="F629" s="608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</row>
    <row r="630">
      <c r="A630" s="99"/>
      <c r="B630" s="99"/>
      <c r="C630" s="99"/>
      <c r="D630" s="99"/>
      <c r="E630" s="99"/>
      <c r="F630" s="608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</row>
    <row r="631">
      <c r="A631" s="99"/>
      <c r="B631" s="99"/>
      <c r="C631" s="99"/>
      <c r="D631" s="99"/>
      <c r="E631" s="99"/>
      <c r="F631" s="608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</row>
    <row r="632">
      <c r="A632" s="99"/>
      <c r="B632" s="99"/>
      <c r="C632" s="99"/>
      <c r="D632" s="99"/>
      <c r="E632" s="99"/>
      <c r="F632" s="608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</row>
    <row r="633">
      <c r="A633" s="99"/>
      <c r="B633" s="99"/>
      <c r="C633" s="99"/>
      <c r="D633" s="99"/>
      <c r="E633" s="99"/>
      <c r="F633" s="608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</row>
    <row r="634">
      <c r="A634" s="99"/>
      <c r="B634" s="99"/>
      <c r="C634" s="99"/>
      <c r="D634" s="99"/>
      <c r="E634" s="99"/>
      <c r="F634" s="608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</row>
    <row r="635">
      <c r="A635" s="99"/>
      <c r="B635" s="99"/>
      <c r="C635" s="99"/>
      <c r="D635" s="99"/>
      <c r="E635" s="99"/>
      <c r="F635" s="608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</row>
    <row r="636">
      <c r="A636" s="99"/>
      <c r="B636" s="99"/>
      <c r="C636" s="99"/>
      <c r="D636" s="99"/>
      <c r="E636" s="99"/>
      <c r="F636" s="608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</row>
    <row r="637">
      <c r="A637" s="99"/>
      <c r="B637" s="99"/>
      <c r="C637" s="99"/>
      <c r="D637" s="99"/>
      <c r="E637" s="99"/>
      <c r="F637" s="608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</row>
    <row r="638">
      <c r="A638" s="99"/>
      <c r="B638" s="99"/>
      <c r="C638" s="99"/>
      <c r="D638" s="99"/>
      <c r="E638" s="99"/>
      <c r="F638" s="608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</row>
    <row r="639">
      <c r="A639" s="99"/>
      <c r="B639" s="99"/>
      <c r="C639" s="99"/>
      <c r="D639" s="99"/>
      <c r="E639" s="99"/>
      <c r="F639" s="608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</row>
    <row r="640">
      <c r="A640" s="99"/>
      <c r="B640" s="99"/>
      <c r="C640" s="99"/>
      <c r="D640" s="99"/>
      <c r="E640" s="99"/>
      <c r="F640" s="608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</row>
    <row r="641">
      <c r="A641" s="99"/>
      <c r="B641" s="99"/>
      <c r="C641" s="99"/>
      <c r="D641" s="99"/>
      <c r="E641" s="99"/>
      <c r="F641" s="608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</row>
    <row r="642">
      <c r="A642" s="99"/>
      <c r="B642" s="99"/>
      <c r="C642" s="99"/>
      <c r="D642" s="99"/>
      <c r="E642" s="99"/>
      <c r="F642" s="608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</row>
    <row r="643">
      <c r="A643" s="99"/>
      <c r="B643" s="99"/>
      <c r="C643" s="99"/>
      <c r="D643" s="99"/>
      <c r="E643" s="99"/>
      <c r="F643" s="608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</row>
    <row r="644">
      <c r="A644" s="99"/>
      <c r="B644" s="99"/>
      <c r="C644" s="99"/>
      <c r="D644" s="99"/>
      <c r="E644" s="99"/>
      <c r="F644" s="608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</row>
    <row r="645">
      <c r="A645" s="99"/>
      <c r="B645" s="99"/>
      <c r="C645" s="99"/>
      <c r="D645" s="99"/>
      <c r="E645" s="99"/>
      <c r="F645" s="608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</row>
    <row r="646">
      <c r="A646" s="99"/>
      <c r="B646" s="99"/>
      <c r="C646" s="99"/>
      <c r="D646" s="99"/>
      <c r="E646" s="99"/>
      <c r="F646" s="608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</row>
    <row r="647">
      <c r="A647" s="99"/>
      <c r="B647" s="99"/>
      <c r="C647" s="99"/>
      <c r="D647" s="99"/>
      <c r="E647" s="99"/>
      <c r="F647" s="608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</row>
    <row r="648">
      <c r="A648" s="99"/>
      <c r="B648" s="99"/>
      <c r="C648" s="99"/>
      <c r="D648" s="99"/>
      <c r="E648" s="99"/>
      <c r="F648" s="608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</row>
    <row r="649">
      <c r="A649" s="99"/>
      <c r="B649" s="99"/>
      <c r="C649" s="99"/>
      <c r="D649" s="99"/>
      <c r="E649" s="99"/>
      <c r="F649" s="608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</row>
    <row r="650">
      <c r="A650" s="99"/>
      <c r="B650" s="99"/>
      <c r="C650" s="99"/>
      <c r="D650" s="99"/>
      <c r="E650" s="99"/>
      <c r="F650" s="608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</row>
    <row r="651">
      <c r="A651" s="99"/>
      <c r="B651" s="99"/>
      <c r="C651" s="99"/>
      <c r="D651" s="99"/>
      <c r="E651" s="99"/>
      <c r="F651" s="608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</row>
    <row r="652">
      <c r="A652" s="99"/>
      <c r="B652" s="99"/>
      <c r="C652" s="99"/>
      <c r="D652" s="99"/>
      <c r="E652" s="99"/>
      <c r="F652" s="608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</row>
    <row r="653">
      <c r="A653" s="99"/>
      <c r="B653" s="99"/>
      <c r="C653" s="99"/>
      <c r="D653" s="99"/>
      <c r="E653" s="99"/>
      <c r="F653" s="608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</row>
    <row r="654">
      <c r="A654" s="99"/>
      <c r="B654" s="99"/>
      <c r="C654" s="99"/>
      <c r="D654" s="99"/>
      <c r="E654" s="99"/>
      <c r="F654" s="608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</row>
    <row r="655">
      <c r="A655" s="99"/>
      <c r="B655" s="99"/>
      <c r="C655" s="99"/>
      <c r="D655" s="99"/>
      <c r="E655" s="99"/>
      <c r="F655" s="608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</row>
    <row r="656">
      <c r="A656" s="99"/>
      <c r="B656" s="99"/>
      <c r="C656" s="99"/>
      <c r="D656" s="99"/>
      <c r="E656" s="99"/>
      <c r="F656" s="608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</row>
    <row r="657">
      <c r="A657" s="99"/>
      <c r="B657" s="99"/>
      <c r="C657" s="99"/>
      <c r="D657" s="99"/>
      <c r="E657" s="99"/>
      <c r="F657" s="608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</row>
    <row r="658">
      <c r="A658" s="99"/>
      <c r="B658" s="99"/>
      <c r="C658" s="99"/>
      <c r="D658" s="99"/>
      <c r="E658" s="99"/>
      <c r="F658" s="608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</row>
    <row r="659">
      <c r="A659" s="99"/>
      <c r="B659" s="99"/>
      <c r="C659" s="99"/>
      <c r="D659" s="99"/>
      <c r="E659" s="99"/>
      <c r="F659" s="608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</row>
    <row r="660">
      <c r="A660" s="99"/>
      <c r="B660" s="99"/>
      <c r="C660" s="99"/>
      <c r="D660" s="99"/>
      <c r="E660" s="99"/>
      <c r="F660" s="608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</row>
    <row r="661">
      <c r="A661" s="99"/>
      <c r="B661" s="99"/>
      <c r="C661" s="99"/>
      <c r="D661" s="99"/>
      <c r="E661" s="99"/>
      <c r="F661" s="608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</row>
    <row r="662">
      <c r="A662" s="99"/>
      <c r="B662" s="99"/>
      <c r="C662" s="99"/>
      <c r="D662" s="99"/>
      <c r="E662" s="99"/>
      <c r="F662" s="608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</row>
    <row r="663">
      <c r="A663" s="99"/>
      <c r="B663" s="99"/>
      <c r="C663" s="99"/>
      <c r="D663" s="99"/>
      <c r="E663" s="99"/>
      <c r="F663" s="608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</row>
    <row r="664">
      <c r="A664" s="99"/>
      <c r="B664" s="99"/>
      <c r="C664" s="99"/>
      <c r="D664" s="99"/>
      <c r="E664" s="99"/>
      <c r="F664" s="608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</row>
    <row r="665">
      <c r="A665" s="99"/>
      <c r="B665" s="99"/>
      <c r="C665" s="99"/>
      <c r="D665" s="99"/>
      <c r="E665" s="99"/>
      <c r="F665" s="608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</row>
    <row r="666">
      <c r="A666" s="99"/>
      <c r="B666" s="99"/>
      <c r="C666" s="99"/>
      <c r="D666" s="99"/>
      <c r="E666" s="99"/>
      <c r="F666" s="608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</row>
    <row r="667">
      <c r="A667" s="99"/>
      <c r="B667" s="99"/>
      <c r="C667" s="99"/>
      <c r="D667" s="99"/>
      <c r="E667" s="99"/>
      <c r="F667" s="608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</row>
    <row r="668">
      <c r="A668" s="99"/>
      <c r="B668" s="99"/>
      <c r="C668" s="99"/>
      <c r="D668" s="99"/>
      <c r="E668" s="99"/>
      <c r="F668" s="608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</row>
    <row r="669">
      <c r="A669" s="99"/>
      <c r="B669" s="99"/>
      <c r="C669" s="99"/>
      <c r="D669" s="99"/>
      <c r="E669" s="99"/>
      <c r="F669" s="608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</row>
    <row r="670">
      <c r="A670" s="99"/>
      <c r="B670" s="99"/>
      <c r="C670" s="99"/>
      <c r="D670" s="99"/>
      <c r="E670" s="99"/>
      <c r="F670" s="608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</row>
    <row r="671">
      <c r="A671" s="99"/>
      <c r="B671" s="99"/>
      <c r="C671" s="99"/>
      <c r="D671" s="99"/>
      <c r="E671" s="99"/>
      <c r="F671" s="608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</row>
    <row r="672">
      <c r="A672" s="99"/>
      <c r="B672" s="99"/>
      <c r="C672" s="99"/>
      <c r="D672" s="99"/>
      <c r="E672" s="99"/>
      <c r="F672" s="608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</row>
    <row r="673">
      <c r="A673" s="99"/>
      <c r="B673" s="99"/>
      <c r="C673" s="99"/>
      <c r="D673" s="99"/>
      <c r="E673" s="99"/>
      <c r="F673" s="608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</row>
    <row r="674">
      <c r="A674" s="99"/>
      <c r="B674" s="99"/>
      <c r="C674" s="99"/>
      <c r="D674" s="99"/>
      <c r="E674" s="99"/>
      <c r="F674" s="608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</row>
    <row r="675">
      <c r="A675" s="99"/>
      <c r="B675" s="99"/>
      <c r="C675" s="99"/>
      <c r="D675" s="99"/>
      <c r="E675" s="99"/>
      <c r="F675" s="608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</row>
    <row r="676">
      <c r="A676" s="99"/>
      <c r="B676" s="99"/>
      <c r="C676" s="99"/>
      <c r="D676" s="99"/>
      <c r="E676" s="99"/>
      <c r="F676" s="608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</row>
    <row r="677">
      <c r="A677" s="99"/>
      <c r="B677" s="99"/>
      <c r="C677" s="99"/>
      <c r="D677" s="99"/>
      <c r="E677" s="99"/>
      <c r="F677" s="608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</row>
    <row r="678">
      <c r="A678" s="99"/>
      <c r="B678" s="99"/>
      <c r="C678" s="99"/>
      <c r="D678" s="99"/>
      <c r="E678" s="99"/>
      <c r="F678" s="608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</row>
    <row r="679">
      <c r="A679" s="99"/>
      <c r="B679" s="99"/>
      <c r="C679" s="99"/>
      <c r="D679" s="99"/>
      <c r="E679" s="99"/>
      <c r="F679" s="608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</row>
    <row r="680">
      <c r="A680" s="99"/>
      <c r="B680" s="99"/>
      <c r="C680" s="99"/>
      <c r="D680" s="99"/>
      <c r="E680" s="99"/>
      <c r="F680" s="608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</row>
    <row r="681">
      <c r="A681" s="99"/>
      <c r="B681" s="99"/>
      <c r="C681" s="99"/>
      <c r="D681" s="99"/>
      <c r="E681" s="99"/>
      <c r="F681" s="608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</row>
    <row r="682">
      <c r="A682" s="99"/>
      <c r="B682" s="99"/>
      <c r="C682" s="99"/>
      <c r="D682" s="99"/>
      <c r="E682" s="99"/>
      <c r="F682" s="608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</row>
    <row r="683">
      <c r="A683" s="99"/>
      <c r="B683" s="99"/>
      <c r="C683" s="99"/>
      <c r="D683" s="99"/>
      <c r="E683" s="99"/>
      <c r="F683" s="608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</row>
    <row r="684">
      <c r="A684" s="99"/>
      <c r="B684" s="99"/>
      <c r="C684" s="99"/>
      <c r="D684" s="99"/>
      <c r="E684" s="99"/>
      <c r="F684" s="608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</row>
    <row r="685">
      <c r="A685" s="99"/>
      <c r="B685" s="99"/>
      <c r="C685" s="99"/>
      <c r="D685" s="99"/>
      <c r="E685" s="99"/>
      <c r="F685" s="608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</row>
    <row r="686">
      <c r="A686" s="99"/>
      <c r="B686" s="99"/>
      <c r="C686" s="99"/>
      <c r="D686" s="99"/>
      <c r="E686" s="99"/>
      <c r="F686" s="608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</row>
    <row r="687">
      <c r="A687" s="99"/>
      <c r="B687" s="99"/>
      <c r="C687" s="99"/>
      <c r="D687" s="99"/>
      <c r="E687" s="99"/>
      <c r="F687" s="608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</row>
    <row r="688">
      <c r="A688" s="99"/>
      <c r="B688" s="99"/>
      <c r="C688" s="99"/>
      <c r="D688" s="99"/>
      <c r="E688" s="99"/>
      <c r="F688" s="608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</row>
    <row r="689">
      <c r="A689" s="99"/>
      <c r="B689" s="99"/>
      <c r="C689" s="99"/>
      <c r="D689" s="99"/>
      <c r="E689" s="99"/>
      <c r="F689" s="608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</row>
    <row r="690">
      <c r="A690" s="99"/>
      <c r="B690" s="99"/>
      <c r="C690" s="99"/>
      <c r="D690" s="99"/>
      <c r="E690" s="99"/>
      <c r="F690" s="608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</row>
    <row r="691">
      <c r="A691" s="99"/>
      <c r="B691" s="99"/>
      <c r="C691" s="99"/>
      <c r="D691" s="99"/>
      <c r="E691" s="99"/>
      <c r="F691" s="608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</row>
    <row r="692">
      <c r="A692" s="99"/>
      <c r="B692" s="99"/>
      <c r="C692" s="99"/>
      <c r="D692" s="99"/>
      <c r="E692" s="99"/>
      <c r="F692" s="608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</row>
    <row r="693">
      <c r="A693" s="99"/>
      <c r="B693" s="99"/>
      <c r="C693" s="99"/>
      <c r="D693" s="99"/>
      <c r="E693" s="99"/>
      <c r="F693" s="608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</row>
    <row r="694">
      <c r="A694" s="99"/>
      <c r="B694" s="99"/>
      <c r="C694" s="99"/>
      <c r="D694" s="99"/>
      <c r="E694" s="99"/>
      <c r="F694" s="608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</row>
    <row r="695">
      <c r="A695" s="99"/>
      <c r="B695" s="99"/>
      <c r="C695" s="99"/>
      <c r="D695" s="99"/>
      <c r="E695" s="99"/>
      <c r="F695" s="608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</row>
    <row r="696">
      <c r="A696" s="99"/>
      <c r="B696" s="99"/>
      <c r="C696" s="99"/>
      <c r="D696" s="99"/>
      <c r="E696" s="99"/>
      <c r="F696" s="608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</row>
    <row r="697">
      <c r="A697" s="99"/>
      <c r="B697" s="99"/>
      <c r="C697" s="99"/>
      <c r="D697" s="99"/>
      <c r="E697" s="99"/>
      <c r="F697" s="608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</row>
    <row r="698">
      <c r="A698" s="99"/>
      <c r="B698" s="99"/>
      <c r="C698" s="99"/>
      <c r="D698" s="99"/>
      <c r="E698" s="99"/>
      <c r="F698" s="608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</row>
    <row r="699">
      <c r="A699" s="99"/>
      <c r="B699" s="99"/>
      <c r="C699" s="99"/>
      <c r="D699" s="99"/>
      <c r="E699" s="99"/>
      <c r="F699" s="608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</row>
    <row r="700">
      <c r="A700" s="99"/>
      <c r="B700" s="99"/>
      <c r="C700" s="99"/>
      <c r="D700" s="99"/>
      <c r="E700" s="99"/>
      <c r="F700" s="608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</row>
    <row r="701">
      <c r="A701" s="99"/>
      <c r="B701" s="99"/>
      <c r="C701" s="99"/>
      <c r="D701" s="99"/>
      <c r="E701" s="99"/>
      <c r="F701" s="608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</row>
    <row r="702">
      <c r="A702" s="99"/>
      <c r="B702" s="99"/>
      <c r="C702" s="99"/>
      <c r="D702" s="99"/>
      <c r="E702" s="99"/>
      <c r="F702" s="608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</row>
    <row r="703">
      <c r="A703" s="99"/>
      <c r="B703" s="99"/>
      <c r="C703" s="99"/>
      <c r="D703" s="99"/>
      <c r="E703" s="99"/>
      <c r="F703" s="608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</row>
    <row r="704">
      <c r="A704" s="99"/>
      <c r="B704" s="99"/>
      <c r="C704" s="99"/>
      <c r="D704" s="99"/>
      <c r="E704" s="99"/>
      <c r="F704" s="608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</row>
    <row r="705">
      <c r="A705" s="99"/>
      <c r="B705" s="99"/>
      <c r="C705" s="99"/>
      <c r="D705" s="99"/>
      <c r="E705" s="99"/>
      <c r="F705" s="608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</row>
    <row r="706">
      <c r="A706" s="99"/>
      <c r="B706" s="99"/>
      <c r="C706" s="99"/>
      <c r="D706" s="99"/>
      <c r="E706" s="99"/>
      <c r="F706" s="608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</row>
    <row r="707">
      <c r="A707" s="99"/>
      <c r="B707" s="99"/>
      <c r="C707" s="99"/>
      <c r="D707" s="99"/>
      <c r="E707" s="99"/>
      <c r="F707" s="608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</row>
    <row r="708">
      <c r="A708" s="99"/>
      <c r="B708" s="99"/>
      <c r="C708" s="99"/>
      <c r="D708" s="99"/>
      <c r="E708" s="99"/>
      <c r="F708" s="608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</row>
    <row r="709">
      <c r="A709" s="99"/>
      <c r="B709" s="99"/>
      <c r="C709" s="99"/>
      <c r="D709" s="99"/>
      <c r="E709" s="99"/>
      <c r="F709" s="608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</row>
    <row r="710">
      <c r="A710" s="99"/>
      <c r="B710" s="99"/>
      <c r="C710" s="99"/>
      <c r="D710" s="99"/>
      <c r="E710" s="99"/>
      <c r="F710" s="608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</row>
    <row r="711">
      <c r="A711" s="99"/>
      <c r="B711" s="99"/>
      <c r="C711" s="99"/>
      <c r="D711" s="99"/>
      <c r="E711" s="99"/>
      <c r="F711" s="608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</row>
    <row r="712">
      <c r="A712" s="99"/>
      <c r="B712" s="99"/>
      <c r="C712" s="99"/>
      <c r="D712" s="99"/>
      <c r="E712" s="99"/>
      <c r="F712" s="608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</row>
    <row r="713">
      <c r="A713" s="99"/>
      <c r="B713" s="99"/>
      <c r="C713" s="99"/>
      <c r="D713" s="99"/>
      <c r="E713" s="99"/>
      <c r="F713" s="608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</row>
    <row r="714">
      <c r="A714" s="99"/>
      <c r="B714" s="99"/>
      <c r="C714" s="99"/>
      <c r="D714" s="99"/>
      <c r="E714" s="99"/>
      <c r="F714" s="608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</row>
    <row r="715">
      <c r="A715" s="99"/>
      <c r="B715" s="99"/>
      <c r="C715" s="99"/>
      <c r="D715" s="99"/>
      <c r="E715" s="99"/>
      <c r="F715" s="608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</row>
    <row r="716">
      <c r="A716" s="99"/>
      <c r="B716" s="99"/>
      <c r="C716" s="99"/>
      <c r="D716" s="99"/>
      <c r="E716" s="99"/>
      <c r="F716" s="608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</row>
    <row r="717">
      <c r="A717" s="99"/>
      <c r="B717" s="99"/>
      <c r="C717" s="99"/>
      <c r="D717" s="99"/>
      <c r="E717" s="99"/>
      <c r="F717" s="608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</row>
    <row r="718">
      <c r="A718" s="99"/>
      <c r="B718" s="99"/>
      <c r="C718" s="99"/>
      <c r="D718" s="99"/>
      <c r="E718" s="99"/>
      <c r="F718" s="608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</row>
    <row r="719">
      <c r="A719" s="99"/>
      <c r="B719" s="99"/>
      <c r="C719" s="99"/>
      <c r="D719" s="99"/>
      <c r="E719" s="99"/>
      <c r="F719" s="608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</row>
    <row r="720">
      <c r="A720" s="99"/>
      <c r="B720" s="99"/>
      <c r="C720" s="99"/>
      <c r="D720" s="99"/>
      <c r="E720" s="99"/>
      <c r="F720" s="608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</row>
    <row r="721">
      <c r="A721" s="99"/>
      <c r="B721" s="99"/>
      <c r="C721" s="99"/>
      <c r="D721" s="99"/>
      <c r="E721" s="99"/>
      <c r="F721" s="608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</row>
    <row r="722">
      <c r="A722" s="99"/>
      <c r="B722" s="99"/>
      <c r="C722" s="99"/>
      <c r="D722" s="99"/>
      <c r="E722" s="99"/>
      <c r="F722" s="608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</row>
    <row r="723">
      <c r="A723" s="99"/>
      <c r="B723" s="99"/>
      <c r="C723" s="99"/>
      <c r="D723" s="99"/>
      <c r="E723" s="99"/>
      <c r="F723" s="608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</row>
    <row r="724">
      <c r="A724" s="99"/>
      <c r="B724" s="99"/>
      <c r="C724" s="99"/>
      <c r="D724" s="99"/>
      <c r="E724" s="99"/>
      <c r="F724" s="608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</row>
    <row r="725">
      <c r="A725" s="99"/>
      <c r="B725" s="99"/>
      <c r="C725" s="99"/>
      <c r="D725" s="99"/>
      <c r="E725" s="99"/>
      <c r="F725" s="608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</row>
    <row r="726">
      <c r="A726" s="99"/>
      <c r="B726" s="99"/>
      <c r="C726" s="99"/>
      <c r="D726" s="99"/>
      <c r="E726" s="99"/>
      <c r="F726" s="608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</row>
    <row r="727">
      <c r="A727" s="99"/>
      <c r="B727" s="99"/>
      <c r="C727" s="99"/>
      <c r="D727" s="99"/>
      <c r="E727" s="99"/>
      <c r="F727" s="608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</row>
    <row r="728">
      <c r="A728" s="99"/>
      <c r="B728" s="99"/>
      <c r="C728" s="99"/>
      <c r="D728" s="99"/>
      <c r="E728" s="99"/>
      <c r="F728" s="608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</row>
    <row r="729">
      <c r="A729" s="99"/>
      <c r="B729" s="99"/>
      <c r="C729" s="99"/>
      <c r="D729" s="99"/>
      <c r="E729" s="99"/>
      <c r="F729" s="608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</row>
    <row r="730">
      <c r="A730" s="99"/>
      <c r="B730" s="99"/>
      <c r="C730" s="99"/>
      <c r="D730" s="99"/>
      <c r="E730" s="99"/>
      <c r="F730" s="608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</row>
    <row r="731">
      <c r="A731" s="99"/>
      <c r="B731" s="99"/>
      <c r="C731" s="99"/>
      <c r="D731" s="99"/>
      <c r="E731" s="99"/>
      <c r="F731" s="608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</row>
    <row r="732">
      <c r="A732" s="99"/>
      <c r="B732" s="99"/>
      <c r="C732" s="99"/>
      <c r="D732" s="99"/>
      <c r="E732" s="99"/>
      <c r="F732" s="608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</row>
    <row r="733">
      <c r="A733" s="99"/>
      <c r="B733" s="99"/>
      <c r="C733" s="99"/>
      <c r="D733" s="99"/>
      <c r="E733" s="99"/>
      <c r="F733" s="608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</row>
    <row r="734">
      <c r="A734" s="99"/>
      <c r="B734" s="99"/>
      <c r="C734" s="99"/>
      <c r="D734" s="99"/>
      <c r="E734" s="99"/>
      <c r="F734" s="608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</row>
    <row r="735">
      <c r="A735" s="99"/>
      <c r="B735" s="99"/>
      <c r="C735" s="99"/>
      <c r="D735" s="99"/>
      <c r="E735" s="99"/>
      <c r="F735" s="608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</row>
    <row r="736">
      <c r="A736" s="99"/>
      <c r="B736" s="99"/>
      <c r="C736" s="99"/>
      <c r="D736" s="99"/>
      <c r="E736" s="99"/>
      <c r="F736" s="608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</row>
    <row r="737">
      <c r="A737" s="99"/>
      <c r="B737" s="99"/>
      <c r="C737" s="99"/>
      <c r="D737" s="99"/>
      <c r="E737" s="99"/>
      <c r="F737" s="608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</row>
    <row r="738">
      <c r="A738" s="99"/>
      <c r="B738" s="99"/>
      <c r="C738" s="99"/>
      <c r="D738" s="99"/>
      <c r="E738" s="99"/>
      <c r="F738" s="608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</row>
    <row r="739">
      <c r="A739" s="99"/>
      <c r="B739" s="99"/>
      <c r="C739" s="99"/>
      <c r="D739" s="99"/>
      <c r="E739" s="99"/>
      <c r="F739" s="608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</row>
    <row r="740">
      <c r="A740" s="99"/>
      <c r="B740" s="99"/>
      <c r="C740" s="99"/>
      <c r="D740" s="99"/>
      <c r="E740" s="99"/>
      <c r="F740" s="608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</row>
    <row r="741">
      <c r="A741" s="99"/>
      <c r="B741" s="99"/>
      <c r="C741" s="99"/>
      <c r="D741" s="99"/>
      <c r="E741" s="99"/>
      <c r="F741" s="608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</row>
    <row r="742">
      <c r="A742" s="99"/>
      <c r="B742" s="99"/>
      <c r="C742" s="99"/>
      <c r="D742" s="99"/>
      <c r="E742" s="99"/>
      <c r="F742" s="608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</row>
    <row r="743">
      <c r="A743" s="99"/>
      <c r="B743" s="99"/>
      <c r="C743" s="99"/>
      <c r="D743" s="99"/>
      <c r="E743" s="99"/>
      <c r="F743" s="608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</row>
    <row r="744">
      <c r="A744" s="99"/>
      <c r="B744" s="99"/>
      <c r="C744" s="99"/>
      <c r="D744" s="99"/>
      <c r="E744" s="99"/>
      <c r="F744" s="608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</row>
    <row r="745">
      <c r="A745" s="99"/>
      <c r="B745" s="99"/>
      <c r="C745" s="99"/>
      <c r="D745" s="99"/>
      <c r="E745" s="99"/>
      <c r="F745" s="608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</row>
    <row r="746">
      <c r="A746" s="99"/>
      <c r="B746" s="99"/>
      <c r="C746" s="99"/>
      <c r="D746" s="99"/>
      <c r="E746" s="99"/>
      <c r="F746" s="608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</row>
    <row r="747">
      <c r="A747" s="99"/>
      <c r="B747" s="99"/>
      <c r="C747" s="99"/>
      <c r="D747" s="99"/>
      <c r="E747" s="99"/>
      <c r="F747" s="608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</row>
    <row r="748">
      <c r="A748" s="99"/>
      <c r="B748" s="99"/>
      <c r="C748" s="99"/>
      <c r="D748" s="99"/>
      <c r="E748" s="99"/>
      <c r="F748" s="608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</row>
    <row r="749">
      <c r="A749" s="99"/>
      <c r="B749" s="99"/>
      <c r="C749" s="99"/>
      <c r="D749" s="99"/>
      <c r="E749" s="99"/>
      <c r="F749" s="608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</row>
    <row r="750">
      <c r="A750" s="99"/>
      <c r="B750" s="99"/>
      <c r="C750" s="99"/>
      <c r="D750" s="99"/>
      <c r="E750" s="99"/>
      <c r="F750" s="608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</row>
    <row r="751">
      <c r="A751" s="99"/>
      <c r="B751" s="99"/>
      <c r="C751" s="99"/>
      <c r="D751" s="99"/>
      <c r="E751" s="99"/>
      <c r="F751" s="608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</row>
    <row r="752">
      <c r="A752" s="99"/>
      <c r="B752" s="99"/>
      <c r="C752" s="99"/>
      <c r="D752" s="99"/>
      <c r="E752" s="99"/>
      <c r="F752" s="608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</row>
    <row r="753">
      <c r="A753" s="99"/>
      <c r="B753" s="99"/>
      <c r="C753" s="99"/>
      <c r="D753" s="99"/>
      <c r="E753" s="99"/>
      <c r="F753" s="608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</row>
    <row r="754">
      <c r="A754" s="99"/>
      <c r="B754" s="99"/>
      <c r="C754" s="99"/>
      <c r="D754" s="99"/>
      <c r="E754" s="99"/>
      <c r="F754" s="608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</row>
    <row r="755">
      <c r="A755" s="99"/>
      <c r="B755" s="99"/>
      <c r="C755" s="99"/>
      <c r="D755" s="99"/>
      <c r="E755" s="99"/>
      <c r="F755" s="608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</row>
    <row r="756">
      <c r="A756" s="99"/>
      <c r="B756" s="99"/>
      <c r="C756" s="99"/>
      <c r="D756" s="99"/>
      <c r="E756" s="99"/>
      <c r="F756" s="608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</row>
    <row r="757">
      <c r="A757" s="99"/>
      <c r="B757" s="99"/>
      <c r="C757" s="99"/>
      <c r="D757" s="99"/>
      <c r="E757" s="99"/>
      <c r="F757" s="608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</row>
    <row r="758">
      <c r="A758" s="99"/>
      <c r="B758" s="99"/>
      <c r="C758" s="99"/>
      <c r="D758" s="99"/>
      <c r="E758" s="99"/>
      <c r="F758" s="608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</row>
    <row r="759">
      <c r="A759" s="99"/>
      <c r="B759" s="99"/>
      <c r="C759" s="99"/>
      <c r="D759" s="99"/>
      <c r="E759" s="99"/>
      <c r="F759" s="608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</row>
    <row r="760">
      <c r="A760" s="99"/>
      <c r="B760" s="99"/>
      <c r="C760" s="99"/>
      <c r="D760" s="99"/>
      <c r="E760" s="99"/>
      <c r="F760" s="608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</row>
    <row r="761">
      <c r="A761" s="99"/>
      <c r="B761" s="99"/>
      <c r="C761" s="99"/>
      <c r="D761" s="99"/>
      <c r="E761" s="99"/>
      <c r="F761" s="608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</row>
    <row r="762">
      <c r="A762" s="99"/>
      <c r="B762" s="99"/>
      <c r="C762" s="99"/>
      <c r="D762" s="99"/>
      <c r="E762" s="99"/>
      <c r="F762" s="608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</row>
    <row r="763">
      <c r="A763" s="99"/>
      <c r="B763" s="99"/>
      <c r="C763" s="99"/>
      <c r="D763" s="99"/>
      <c r="E763" s="99"/>
      <c r="F763" s="608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</row>
    <row r="764">
      <c r="A764" s="99"/>
      <c r="B764" s="99"/>
      <c r="C764" s="99"/>
      <c r="D764" s="99"/>
      <c r="E764" s="99"/>
      <c r="F764" s="608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</row>
    <row r="765">
      <c r="A765" s="99"/>
      <c r="B765" s="99"/>
      <c r="C765" s="99"/>
      <c r="D765" s="99"/>
      <c r="E765" s="99"/>
      <c r="F765" s="608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</row>
    <row r="766">
      <c r="A766" s="99"/>
      <c r="B766" s="99"/>
      <c r="C766" s="99"/>
      <c r="D766" s="99"/>
      <c r="E766" s="99"/>
      <c r="F766" s="608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</row>
    <row r="767">
      <c r="A767" s="99"/>
      <c r="B767" s="99"/>
      <c r="C767" s="99"/>
      <c r="D767" s="99"/>
      <c r="E767" s="99"/>
      <c r="F767" s="608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</row>
    <row r="768">
      <c r="A768" s="99"/>
      <c r="B768" s="99"/>
      <c r="C768" s="99"/>
      <c r="D768" s="99"/>
      <c r="E768" s="99"/>
      <c r="F768" s="608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</row>
    <row r="769">
      <c r="A769" s="99"/>
      <c r="B769" s="99"/>
      <c r="C769" s="99"/>
      <c r="D769" s="99"/>
      <c r="E769" s="99"/>
      <c r="F769" s="608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</row>
    <row r="770">
      <c r="A770" s="99"/>
      <c r="B770" s="99"/>
      <c r="C770" s="99"/>
      <c r="D770" s="99"/>
      <c r="E770" s="99"/>
      <c r="F770" s="608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</row>
    <row r="771">
      <c r="A771" s="99"/>
      <c r="B771" s="99"/>
      <c r="C771" s="99"/>
      <c r="D771" s="99"/>
      <c r="E771" s="99"/>
      <c r="F771" s="608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</row>
    <row r="772">
      <c r="A772" s="99"/>
      <c r="B772" s="99"/>
      <c r="C772" s="99"/>
      <c r="D772" s="99"/>
      <c r="E772" s="99"/>
      <c r="F772" s="608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</row>
    <row r="773">
      <c r="A773" s="99"/>
      <c r="B773" s="99"/>
      <c r="C773" s="99"/>
      <c r="D773" s="99"/>
      <c r="E773" s="99"/>
      <c r="F773" s="608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</row>
    <row r="774">
      <c r="A774" s="99"/>
      <c r="B774" s="99"/>
      <c r="C774" s="99"/>
      <c r="D774" s="99"/>
      <c r="E774" s="99"/>
      <c r="F774" s="608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</row>
    <row r="775">
      <c r="A775" s="99"/>
      <c r="B775" s="99"/>
      <c r="C775" s="99"/>
      <c r="D775" s="99"/>
      <c r="E775" s="99"/>
      <c r="F775" s="608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</row>
    <row r="776">
      <c r="A776" s="99"/>
      <c r="B776" s="99"/>
      <c r="C776" s="99"/>
      <c r="D776" s="99"/>
      <c r="E776" s="99"/>
      <c r="F776" s="608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</row>
    <row r="777">
      <c r="A777" s="99"/>
      <c r="B777" s="99"/>
      <c r="C777" s="99"/>
      <c r="D777" s="99"/>
      <c r="E777" s="99"/>
      <c r="F777" s="608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</row>
    <row r="778">
      <c r="A778" s="99"/>
      <c r="B778" s="99"/>
      <c r="C778" s="99"/>
      <c r="D778" s="99"/>
      <c r="E778" s="99"/>
      <c r="F778" s="608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</row>
    <row r="779">
      <c r="A779" s="99"/>
      <c r="B779" s="99"/>
      <c r="C779" s="99"/>
      <c r="D779" s="99"/>
      <c r="E779" s="99"/>
      <c r="F779" s="608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</row>
    <row r="780">
      <c r="A780" s="99"/>
      <c r="B780" s="99"/>
      <c r="C780" s="99"/>
      <c r="D780" s="99"/>
      <c r="E780" s="99"/>
      <c r="F780" s="608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</row>
    <row r="781">
      <c r="A781" s="99"/>
      <c r="B781" s="99"/>
      <c r="C781" s="99"/>
      <c r="D781" s="99"/>
      <c r="E781" s="99"/>
      <c r="F781" s="608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</row>
    <row r="782">
      <c r="A782" s="99"/>
      <c r="B782" s="99"/>
      <c r="C782" s="99"/>
      <c r="D782" s="99"/>
      <c r="E782" s="99"/>
      <c r="F782" s="608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</row>
    <row r="783">
      <c r="A783" s="99"/>
      <c r="B783" s="99"/>
      <c r="C783" s="99"/>
      <c r="D783" s="99"/>
      <c r="E783" s="99"/>
      <c r="F783" s="608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</row>
    <row r="784">
      <c r="A784" s="99"/>
      <c r="B784" s="99"/>
      <c r="C784" s="99"/>
      <c r="D784" s="99"/>
      <c r="E784" s="99"/>
      <c r="F784" s="608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</row>
    <row r="785">
      <c r="A785" s="99"/>
      <c r="B785" s="99"/>
      <c r="C785" s="99"/>
      <c r="D785" s="99"/>
      <c r="E785" s="99"/>
      <c r="F785" s="608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</row>
    <row r="786">
      <c r="A786" s="99"/>
      <c r="B786" s="99"/>
      <c r="C786" s="99"/>
      <c r="D786" s="99"/>
      <c r="E786" s="99"/>
      <c r="F786" s="608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</row>
    <row r="787">
      <c r="A787" s="99"/>
      <c r="B787" s="99"/>
      <c r="C787" s="99"/>
      <c r="D787" s="99"/>
      <c r="E787" s="99"/>
      <c r="F787" s="608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</row>
    <row r="788">
      <c r="A788" s="99"/>
      <c r="B788" s="99"/>
      <c r="C788" s="99"/>
      <c r="D788" s="99"/>
      <c r="E788" s="99"/>
      <c r="F788" s="608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</row>
    <row r="789">
      <c r="A789" s="99"/>
      <c r="B789" s="99"/>
      <c r="C789" s="99"/>
      <c r="D789" s="99"/>
      <c r="E789" s="99"/>
      <c r="F789" s="608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</row>
    <row r="790">
      <c r="A790" s="99"/>
      <c r="B790" s="99"/>
      <c r="C790" s="99"/>
      <c r="D790" s="99"/>
      <c r="E790" s="99"/>
      <c r="F790" s="608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</row>
    <row r="791">
      <c r="A791" s="99"/>
      <c r="B791" s="99"/>
      <c r="C791" s="99"/>
      <c r="D791" s="99"/>
      <c r="E791" s="99"/>
      <c r="F791" s="608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</row>
    <row r="792">
      <c r="A792" s="99"/>
      <c r="B792" s="99"/>
      <c r="C792" s="99"/>
      <c r="D792" s="99"/>
      <c r="E792" s="99"/>
      <c r="F792" s="608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</row>
    <row r="793">
      <c r="A793" s="99"/>
      <c r="B793" s="99"/>
      <c r="C793" s="99"/>
      <c r="D793" s="99"/>
      <c r="E793" s="99"/>
      <c r="F793" s="608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</row>
    <row r="794">
      <c r="A794" s="99"/>
      <c r="B794" s="99"/>
      <c r="C794" s="99"/>
      <c r="D794" s="99"/>
      <c r="E794" s="99"/>
      <c r="F794" s="608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</row>
    <row r="795">
      <c r="A795" s="99"/>
      <c r="B795" s="99"/>
      <c r="C795" s="99"/>
      <c r="D795" s="99"/>
      <c r="E795" s="99"/>
      <c r="F795" s="608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</row>
    <row r="796">
      <c r="A796" s="99"/>
      <c r="B796" s="99"/>
      <c r="C796" s="99"/>
      <c r="D796" s="99"/>
      <c r="E796" s="99"/>
      <c r="F796" s="608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</row>
    <row r="797">
      <c r="A797" s="99"/>
      <c r="B797" s="99"/>
      <c r="C797" s="99"/>
      <c r="D797" s="99"/>
      <c r="E797" s="99"/>
      <c r="F797" s="608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</row>
    <row r="798">
      <c r="A798" s="99"/>
      <c r="B798" s="99"/>
      <c r="C798" s="99"/>
      <c r="D798" s="99"/>
      <c r="E798" s="99"/>
      <c r="F798" s="608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</row>
    <row r="799">
      <c r="A799" s="99"/>
      <c r="B799" s="99"/>
      <c r="C799" s="99"/>
      <c r="D799" s="99"/>
      <c r="E799" s="99"/>
      <c r="F799" s="608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</row>
    <row r="800">
      <c r="A800" s="99"/>
      <c r="B800" s="99"/>
      <c r="C800" s="99"/>
      <c r="D800" s="99"/>
      <c r="E800" s="99"/>
      <c r="F800" s="608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</row>
    <row r="801">
      <c r="A801" s="99"/>
      <c r="B801" s="99"/>
      <c r="C801" s="99"/>
      <c r="D801" s="99"/>
      <c r="E801" s="99"/>
      <c r="F801" s="608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</row>
    <row r="802">
      <c r="A802" s="99"/>
      <c r="B802" s="99"/>
      <c r="C802" s="99"/>
      <c r="D802" s="99"/>
      <c r="E802" s="99"/>
      <c r="F802" s="608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</row>
    <row r="803">
      <c r="A803" s="99"/>
      <c r="B803" s="99"/>
      <c r="C803" s="99"/>
      <c r="D803" s="99"/>
      <c r="E803" s="99"/>
      <c r="F803" s="608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</row>
    <row r="804">
      <c r="A804" s="99"/>
      <c r="B804" s="99"/>
      <c r="C804" s="99"/>
      <c r="D804" s="99"/>
      <c r="E804" s="99"/>
      <c r="F804" s="608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</row>
    <row r="805">
      <c r="A805" s="99"/>
      <c r="B805" s="99"/>
      <c r="C805" s="99"/>
      <c r="D805" s="99"/>
      <c r="E805" s="99"/>
      <c r="F805" s="608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</row>
    <row r="806">
      <c r="A806" s="99"/>
      <c r="B806" s="99"/>
      <c r="C806" s="99"/>
      <c r="D806" s="99"/>
      <c r="E806" s="99"/>
      <c r="F806" s="608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</row>
    <row r="807">
      <c r="A807" s="99"/>
      <c r="B807" s="99"/>
      <c r="C807" s="99"/>
      <c r="D807" s="99"/>
      <c r="E807" s="99"/>
      <c r="F807" s="608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</row>
    <row r="808">
      <c r="A808" s="99"/>
      <c r="B808" s="99"/>
      <c r="C808" s="99"/>
      <c r="D808" s="99"/>
      <c r="E808" s="99"/>
      <c r="F808" s="608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</row>
    <row r="809">
      <c r="A809" s="99"/>
      <c r="B809" s="99"/>
      <c r="C809" s="99"/>
      <c r="D809" s="99"/>
      <c r="E809" s="99"/>
      <c r="F809" s="608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</row>
    <row r="810">
      <c r="A810" s="99"/>
      <c r="B810" s="99"/>
      <c r="C810" s="99"/>
      <c r="D810" s="99"/>
      <c r="E810" s="99"/>
      <c r="F810" s="608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</row>
    <row r="811">
      <c r="A811" s="99"/>
      <c r="B811" s="99"/>
      <c r="C811" s="99"/>
      <c r="D811" s="99"/>
      <c r="E811" s="99"/>
      <c r="F811" s="608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</row>
    <row r="812">
      <c r="A812" s="99"/>
      <c r="B812" s="99"/>
      <c r="C812" s="99"/>
      <c r="D812" s="99"/>
      <c r="E812" s="99"/>
      <c r="F812" s="608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</row>
    <row r="813">
      <c r="A813" s="99"/>
      <c r="B813" s="99"/>
      <c r="C813" s="99"/>
      <c r="D813" s="99"/>
      <c r="E813" s="99"/>
      <c r="F813" s="608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</row>
    <row r="814">
      <c r="A814" s="99"/>
      <c r="B814" s="99"/>
      <c r="C814" s="99"/>
      <c r="D814" s="99"/>
      <c r="E814" s="99"/>
      <c r="F814" s="608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</row>
    <row r="815">
      <c r="A815" s="99"/>
      <c r="B815" s="99"/>
      <c r="C815" s="99"/>
      <c r="D815" s="99"/>
      <c r="E815" s="99"/>
      <c r="F815" s="608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</row>
    <row r="816">
      <c r="A816" s="99"/>
      <c r="B816" s="99"/>
      <c r="C816" s="99"/>
      <c r="D816" s="99"/>
      <c r="E816" s="99"/>
      <c r="F816" s="608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</row>
    <row r="817">
      <c r="A817" s="99"/>
      <c r="B817" s="99"/>
      <c r="C817" s="99"/>
      <c r="D817" s="99"/>
      <c r="E817" s="99"/>
      <c r="F817" s="608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</row>
    <row r="818">
      <c r="A818" s="99"/>
      <c r="B818" s="99"/>
      <c r="C818" s="99"/>
      <c r="D818" s="99"/>
      <c r="E818" s="99"/>
      <c r="F818" s="608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</row>
    <row r="819">
      <c r="A819" s="99"/>
      <c r="B819" s="99"/>
      <c r="C819" s="99"/>
      <c r="D819" s="99"/>
      <c r="E819" s="99"/>
      <c r="F819" s="608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</row>
    <row r="820">
      <c r="A820" s="99"/>
      <c r="B820" s="99"/>
      <c r="C820" s="99"/>
      <c r="D820" s="99"/>
      <c r="E820" s="99"/>
      <c r="F820" s="608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</row>
    <row r="821">
      <c r="A821" s="99"/>
      <c r="B821" s="99"/>
      <c r="C821" s="99"/>
      <c r="D821" s="99"/>
      <c r="E821" s="99"/>
      <c r="F821" s="608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</row>
    <row r="822">
      <c r="A822" s="99"/>
      <c r="B822" s="99"/>
      <c r="C822" s="99"/>
      <c r="D822" s="99"/>
      <c r="E822" s="99"/>
      <c r="F822" s="608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</row>
    <row r="823">
      <c r="A823" s="99"/>
      <c r="B823" s="99"/>
      <c r="C823" s="99"/>
      <c r="D823" s="99"/>
      <c r="E823" s="99"/>
      <c r="F823" s="608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</row>
    <row r="824">
      <c r="A824" s="99"/>
      <c r="B824" s="99"/>
      <c r="C824" s="99"/>
      <c r="D824" s="99"/>
      <c r="E824" s="99"/>
      <c r="F824" s="608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</row>
    <row r="825">
      <c r="A825" s="99"/>
      <c r="B825" s="99"/>
      <c r="C825" s="99"/>
      <c r="D825" s="99"/>
      <c r="E825" s="99"/>
      <c r="F825" s="608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</row>
    <row r="826">
      <c r="A826" s="99"/>
      <c r="B826" s="99"/>
      <c r="C826" s="99"/>
      <c r="D826" s="99"/>
      <c r="E826" s="99"/>
      <c r="F826" s="608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</row>
    <row r="827">
      <c r="A827" s="99"/>
      <c r="B827" s="99"/>
      <c r="C827" s="99"/>
      <c r="D827" s="99"/>
      <c r="E827" s="99"/>
      <c r="F827" s="608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</row>
    <row r="828">
      <c r="A828" s="99"/>
      <c r="B828" s="99"/>
      <c r="C828" s="99"/>
      <c r="D828" s="99"/>
      <c r="E828" s="99"/>
      <c r="F828" s="608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</row>
    <row r="829">
      <c r="A829" s="99"/>
      <c r="B829" s="99"/>
      <c r="C829" s="99"/>
      <c r="D829" s="99"/>
      <c r="E829" s="99"/>
      <c r="F829" s="608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</row>
    <row r="830">
      <c r="A830" s="99"/>
      <c r="B830" s="99"/>
      <c r="C830" s="99"/>
      <c r="D830" s="99"/>
      <c r="E830" s="99"/>
      <c r="F830" s="608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</row>
    <row r="831">
      <c r="A831" s="99"/>
      <c r="B831" s="99"/>
      <c r="C831" s="99"/>
      <c r="D831" s="99"/>
      <c r="E831" s="99"/>
      <c r="F831" s="608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</row>
    <row r="832">
      <c r="A832" s="99"/>
      <c r="B832" s="99"/>
      <c r="C832" s="99"/>
      <c r="D832" s="99"/>
      <c r="E832" s="99"/>
      <c r="F832" s="608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</row>
    <row r="833">
      <c r="A833" s="99"/>
      <c r="B833" s="99"/>
      <c r="C833" s="99"/>
      <c r="D833" s="99"/>
      <c r="E833" s="99"/>
      <c r="F833" s="608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</row>
    <row r="834">
      <c r="A834" s="99"/>
      <c r="B834" s="99"/>
      <c r="C834" s="99"/>
      <c r="D834" s="99"/>
      <c r="E834" s="99"/>
      <c r="F834" s="608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</row>
    <row r="835">
      <c r="A835" s="99"/>
      <c r="B835" s="99"/>
      <c r="C835" s="99"/>
      <c r="D835" s="99"/>
      <c r="E835" s="99"/>
      <c r="F835" s="608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</row>
    <row r="836">
      <c r="A836" s="99"/>
      <c r="B836" s="99"/>
      <c r="C836" s="99"/>
      <c r="D836" s="99"/>
      <c r="E836" s="99"/>
      <c r="F836" s="608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</row>
    <row r="837">
      <c r="A837" s="99"/>
      <c r="B837" s="99"/>
      <c r="C837" s="99"/>
      <c r="D837" s="99"/>
      <c r="E837" s="99"/>
      <c r="F837" s="608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</row>
    <row r="838">
      <c r="A838" s="99"/>
      <c r="B838" s="99"/>
      <c r="C838" s="99"/>
      <c r="D838" s="99"/>
      <c r="E838" s="99"/>
      <c r="F838" s="608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</row>
    <row r="839">
      <c r="A839" s="99"/>
      <c r="B839" s="99"/>
      <c r="C839" s="99"/>
      <c r="D839" s="99"/>
      <c r="E839" s="99"/>
      <c r="F839" s="608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</row>
    <row r="840">
      <c r="A840" s="99"/>
      <c r="B840" s="99"/>
      <c r="C840" s="99"/>
      <c r="D840" s="99"/>
      <c r="E840" s="99"/>
      <c r="F840" s="608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</row>
    <row r="841">
      <c r="A841" s="99"/>
      <c r="B841" s="99"/>
      <c r="C841" s="99"/>
      <c r="D841" s="99"/>
      <c r="E841" s="99"/>
      <c r="F841" s="608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</row>
    <row r="842">
      <c r="A842" s="99"/>
      <c r="B842" s="99"/>
      <c r="C842" s="99"/>
      <c r="D842" s="99"/>
      <c r="E842" s="99"/>
      <c r="F842" s="608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</row>
    <row r="843">
      <c r="A843" s="99"/>
      <c r="B843" s="99"/>
      <c r="C843" s="99"/>
      <c r="D843" s="99"/>
      <c r="E843" s="99"/>
      <c r="F843" s="608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</row>
    <row r="844">
      <c r="A844" s="99"/>
      <c r="B844" s="99"/>
      <c r="C844" s="99"/>
      <c r="D844" s="99"/>
      <c r="E844" s="99"/>
      <c r="F844" s="608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</row>
    <row r="845">
      <c r="A845" s="99"/>
      <c r="B845" s="99"/>
      <c r="C845" s="99"/>
      <c r="D845" s="99"/>
      <c r="E845" s="99"/>
      <c r="F845" s="608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</row>
    <row r="846">
      <c r="A846" s="99"/>
      <c r="B846" s="99"/>
      <c r="C846" s="99"/>
      <c r="D846" s="99"/>
      <c r="E846" s="99"/>
      <c r="F846" s="608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</row>
    <row r="847">
      <c r="A847" s="99"/>
      <c r="B847" s="99"/>
      <c r="C847" s="99"/>
      <c r="D847" s="99"/>
      <c r="E847" s="99"/>
      <c r="F847" s="608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</row>
    <row r="848">
      <c r="A848" s="99"/>
      <c r="B848" s="99"/>
      <c r="C848" s="99"/>
      <c r="D848" s="99"/>
      <c r="E848" s="99"/>
      <c r="F848" s="608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</row>
    <row r="849">
      <c r="A849" s="99"/>
      <c r="B849" s="99"/>
      <c r="C849" s="99"/>
      <c r="D849" s="99"/>
      <c r="E849" s="99"/>
      <c r="F849" s="608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</row>
    <row r="850">
      <c r="A850" s="99"/>
      <c r="B850" s="99"/>
      <c r="C850" s="99"/>
      <c r="D850" s="99"/>
      <c r="E850" s="99"/>
      <c r="F850" s="608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</row>
    <row r="851">
      <c r="A851" s="99"/>
      <c r="B851" s="99"/>
      <c r="C851" s="99"/>
      <c r="D851" s="99"/>
      <c r="E851" s="99"/>
      <c r="F851" s="608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</row>
    <row r="852">
      <c r="A852" s="99"/>
      <c r="B852" s="99"/>
      <c r="C852" s="99"/>
      <c r="D852" s="99"/>
      <c r="E852" s="99"/>
      <c r="F852" s="608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</row>
    <row r="853">
      <c r="A853" s="99"/>
      <c r="B853" s="99"/>
      <c r="C853" s="99"/>
      <c r="D853" s="99"/>
      <c r="E853" s="99"/>
      <c r="F853" s="608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</row>
    <row r="854">
      <c r="A854" s="99"/>
      <c r="B854" s="99"/>
      <c r="C854" s="99"/>
      <c r="D854" s="99"/>
      <c r="E854" s="99"/>
      <c r="F854" s="608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</row>
    <row r="855">
      <c r="A855" s="99"/>
      <c r="B855" s="99"/>
      <c r="C855" s="99"/>
      <c r="D855" s="99"/>
      <c r="E855" s="99"/>
      <c r="F855" s="608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</row>
    <row r="856">
      <c r="A856" s="99"/>
      <c r="B856" s="99"/>
      <c r="C856" s="99"/>
      <c r="D856" s="99"/>
      <c r="E856" s="99"/>
      <c r="F856" s="608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</row>
    <row r="857">
      <c r="A857" s="99"/>
      <c r="B857" s="99"/>
      <c r="C857" s="99"/>
      <c r="D857" s="99"/>
      <c r="E857" s="99"/>
      <c r="F857" s="608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</row>
    <row r="858">
      <c r="A858" s="99"/>
      <c r="B858" s="99"/>
      <c r="C858" s="99"/>
      <c r="D858" s="99"/>
      <c r="E858" s="99"/>
      <c r="F858" s="608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</row>
    <row r="859">
      <c r="A859" s="99"/>
      <c r="B859" s="99"/>
      <c r="C859" s="99"/>
      <c r="D859" s="99"/>
      <c r="E859" s="99"/>
      <c r="F859" s="608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</row>
    <row r="860">
      <c r="A860" s="99"/>
      <c r="B860" s="99"/>
      <c r="C860" s="99"/>
      <c r="D860" s="99"/>
      <c r="E860" s="99"/>
      <c r="F860" s="608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</row>
    <row r="861">
      <c r="A861" s="99"/>
      <c r="B861" s="99"/>
      <c r="C861" s="99"/>
      <c r="D861" s="99"/>
      <c r="E861" s="99"/>
      <c r="F861" s="608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</row>
    <row r="862">
      <c r="A862" s="99"/>
      <c r="B862" s="99"/>
      <c r="C862" s="99"/>
      <c r="D862" s="99"/>
      <c r="E862" s="99"/>
      <c r="F862" s="608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</row>
    <row r="863">
      <c r="A863" s="99"/>
      <c r="B863" s="99"/>
      <c r="C863" s="99"/>
      <c r="D863" s="99"/>
      <c r="E863" s="99"/>
      <c r="F863" s="608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</row>
    <row r="864">
      <c r="A864" s="99"/>
      <c r="B864" s="99"/>
      <c r="C864" s="99"/>
      <c r="D864" s="99"/>
      <c r="E864" s="99"/>
      <c r="F864" s="608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</row>
    <row r="865">
      <c r="A865" s="99"/>
      <c r="B865" s="99"/>
      <c r="C865" s="99"/>
      <c r="D865" s="99"/>
      <c r="E865" s="99"/>
      <c r="F865" s="608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</row>
    <row r="866">
      <c r="A866" s="99"/>
      <c r="B866" s="99"/>
      <c r="C866" s="99"/>
      <c r="D866" s="99"/>
      <c r="E866" s="99"/>
      <c r="F866" s="608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</row>
    <row r="867">
      <c r="A867" s="99"/>
      <c r="B867" s="99"/>
      <c r="C867" s="99"/>
      <c r="D867" s="99"/>
      <c r="E867" s="99"/>
      <c r="F867" s="608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</row>
    <row r="868">
      <c r="A868" s="99"/>
      <c r="B868" s="99"/>
      <c r="C868" s="99"/>
      <c r="D868" s="99"/>
      <c r="E868" s="99"/>
      <c r="F868" s="608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</row>
    <row r="869">
      <c r="A869" s="99"/>
      <c r="B869" s="99"/>
      <c r="C869" s="99"/>
      <c r="D869" s="99"/>
      <c r="E869" s="99"/>
      <c r="F869" s="608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</row>
    <row r="870">
      <c r="A870" s="99"/>
      <c r="B870" s="99"/>
      <c r="C870" s="99"/>
      <c r="D870" s="99"/>
      <c r="E870" s="99"/>
      <c r="F870" s="608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</row>
    <row r="871">
      <c r="A871" s="99"/>
      <c r="B871" s="99"/>
      <c r="C871" s="99"/>
      <c r="D871" s="99"/>
      <c r="E871" s="99"/>
      <c r="F871" s="608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</row>
    <row r="872">
      <c r="A872" s="99"/>
      <c r="B872" s="99"/>
      <c r="C872" s="99"/>
      <c r="D872" s="99"/>
      <c r="E872" s="99"/>
      <c r="F872" s="608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</row>
    <row r="873">
      <c r="A873" s="99"/>
      <c r="B873" s="99"/>
      <c r="C873" s="99"/>
      <c r="D873" s="99"/>
      <c r="E873" s="99"/>
      <c r="F873" s="608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</row>
    <row r="874">
      <c r="A874" s="99"/>
      <c r="B874" s="99"/>
      <c r="C874" s="99"/>
      <c r="D874" s="99"/>
      <c r="E874" s="99"/>
      <c r="F874" s="608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</row>
    <row r="875">
      <c r="A875" s="99"/>
      <c r="B875" s="99"/>
      <c r="C875" s="99"/>
      <c r="D875" s="99"/>
      <c r="E875" s="99"/>
      <c r="F875" s="608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</row>
    <row r="876">
      <c r="A876" s="99"/>
      <c r="B876" s="99"/>
      <c r="C876" s="99"/>
      <c r="D876" s="99"/>
      <c r="E876" s="99"/>
      <c r="F876" s="608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</row>
    <row r="877">
      <c r="A877" s="99"/>
      <c r="B877" s="99"/>
      <c r="C877" s="99"/>
      <c r="D877" s="99"/>
      <c r="E877" s="99"/>
      <c r="F877" s="608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</row>
    <row r="878">
      <c r="A878" s="99"/>
      <c r="B878" s="99"/>
      <c r="C878" s="99"/>
      <c r="D878" s="99"/>
      <c r="E878" s="99"/>
      <c r="F878" s="608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</row>
    <row r="879">
      <c r="A879" s="99"/>
      <c r="B879" s="99"/>
      <c r="C879" s="99"/>
      <c r="D879" s="99"/>
      <c r="E879" s="99"/>
      <c r="F879" s="608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</row>
    <row r="880">
      <c r="A880" s="99"/>
      <c r="B880" s="99"/>
      <c r="C880" s="99"/>
      <c r="D880" s="99"/>
      <c r="E880" s="99"/>
      <c r="F880" s="608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</row>
    <row r="881">
      <c r="A881" s="99"/>
      <c r="B881" s="99"/>
      <c r="C881" s="99"/>
      <c r="D881" s="99"/>
      <c r="E881" s="99"/>
      <c r="F881" s="608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</row>
    <row r="882">
      <c r="A882" s="99"/>
      <c r="B882" s="99"/>
      <c r="C882" s="99"/>
      <c r="D882" s="99"/>
      <c r="E882" s="99"/>
      <c r="F882" s="608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</row>
    <row r="883">
      <c r="A883" s="99"/>
      <c r="B883" s="99"/>
      <c r="C883" s="99"/>
      <c r="D883" s="99"/>
      <c r="E883" s="99"/>
      <c r="F883" s="608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</row>
    <row r="884">
      <c r="A884" s="99"/>
      <c r="B884" s="99"/>
      <c r="C884" s="99"/>
      <c r="D884" s="99"/>
      <c r="E884" s="99"/>
      <c r="F884" s="608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</row>
    <row r="885">
      <c r="A885" s="99"/>
      <c r="B885" s="99"/>
      <c r="C885" s="99"/>
      <c r="D885" s="99"/>
      <c r="E885" s="99"/>
      <c r="F885" s="608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</row>
    <row r="886">
      <c r="A886" s="99"/>
      <c r="B886" s="99"/>
      <c r="C886" s="99"/>
      <c r="D886" s="99"/>
      <c r="E886" s="99"/>
      <c r="F886" s="608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</row>
    <row r="887">
      <c r="A887" s="99"/>
      <c r="B887" s="99"/>
      <c r="C887" s="99"/>
      <c r="D887" s="99"/>
      <c r="E887" s="99"/>
      <c r="F887" s="608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</row>
    <row r="888">
      <c r="A888" s="99"/>
      <c r="B888" s="99"/>
      <c r="C888" s="99"/>
      <c r="D888" s="99"/>
      <c r="E888" s="99"/>
      <c r="F888" s="608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</row>
    <row r="889">
      <c r="A889" s="99"/>
      <c r="B889" s="99"/>
      <c r="C889" s="99"/>
      <c r="D889" s="99"/>
      <c r="E889" s="99"/>
      <c r="F889" s="608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</row>
    <row r="890">
      <c r="A890" s="99"/>
      <c r="B890" s="99"/>
      <c r="C890" s="99"/>
      <c r="D890" s="99"/>
      <c r="E890" s="99"/>
      <c r="F890" s="608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</row>
    <row r="891">
      <c r="A891" s="99"/>
      <c r="B891" s="99"/>
      <c r="C891" s="99"/>
      <c r="D891" s="99"/>
      <c r="E891" s="99"/>
      <c r="F891" s="608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</row>
    <row r="892">
      <c r="A892" s="99"/>
      <c r="B892" s="99"/>
      <c r="C892" s="99"/>
      <c r="D892" s="99"/>
      <c r="E892" s="99"/>
      <c r="F892" s="608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</row>
    <row r="893">
      <c r="A893" s="99"/>
      <c r="B893" s="99"/>
      <c r="C893" s="99"/>
      <c r="D893" s="99"/>
      <c r="E893" s="99"/>
      <c r="F893" s="608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</row>
    <row r="894">
      <c r="A894" s="99"/>
      <c r="B894" s="99"/>
      <c r="C894" s="99"/>
      <c r="D894" s="99"/>
      <c r="E894" s="99"/>
      <c r="F894" s="608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</row>
    <row r="895">
      <c r="A895" s="99"/>
      <c r="B895" s="99"/>
      <c r="C895" s="99"/>
      <c r="D895" s="99"/>
      <c r="E895" s="99"/>
      <c r="F895" s="608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</row>
    <row r="896">
      <c r="A896" s="99"/>
      <c r="B896" s="99"/>
      <c r="C896" s="99"/>
      <c r="D896" s="99"/>
      <c r="E896" s="99"/>
      <c r="F896" s="608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</row>
    <row r="897">
      <c r="A897" s="99"/>
      <c r="B897" s="99"/>
      <c r="C897" s="99"/>
      <c r="D897" s="99"/>
      <c r="E897" s="99"/>
      <c r="F897" s="608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</row>
    <row r="898">
      <c r="A898" s="99"/>
      <c r="B898" s="99"/>
      <c r="C898" s="99"/>
      <c r="D898" s="99"/>
      <c r="E898" s="99"/>
      <c r="F898" s="608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</row>
    <row r="899">
      <c r="A899" s="99"/>
      <c r="B899" s="99"/>
      <c r="C899" s="99"/>
      <c r="D899" s="99"/>
      <c r="E899" s="99"/>
      <c r="F899" s="608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</row>
    <row r="900">
      <c r="A900" s="99"/>
      <c r="B900" s="99"/>
      <c r="C900" s="99"/>
      <c r="D900" s="99"/>
      <c r="E900" s="99"/>
      <c r="F900" s="608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</row>
    <row r="901">
      <c r="A901" s="99"/>
      <c r="B901" s="99"/>
      <c r="C901" s="99"/>
      <c r="D901" s="99"/>
      <c r="E901" s="99"/>
      <c r="F901" s="608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</row>
    <row r="902">
      <c r="A902" s="99"/>
      <c r="B902" s="99"/>
      <c r="C902" s="99"/>
      <c r="D902" s="99"/>
      <c r="E902" s="99"/>
      <c r="F902" s="608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</row>
    <row r="903">
      <c r="A903" s="99"/>
      <c r="B903" s="99"/>
      <c r="C903" s="99"/>
      <c r="D903" s="99"/>
      <c r="E903" s="99"/>
      <c r="F903" s="608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</row>
    <row r="904">
      <c r="A904" s="99"/>
      <c r="B904" s="99"/>
      <c r="C904" s="99"/>
      <c r="D904" s="99"/>
      <c r="E904" s="99"/>
      <c r="F904" s="608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</row>
    <row r="905">
      <c r="A905" s="99"/>
      <c r="B905" s="99"/>
      <c r="C905" s="99"/>
      <c r="D905" s="99"/>
      <c r="E905" s="99"/>
      <c r="F905" s="608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</row>
    <row r="906">
      <c r="A906" s="99"/>
      <c r="B906" s="99"/>
      <c r="C906" s="99"/>
      <c r="D906" s="99"/>
      <c r="E906" s="99"/>
      <c r="F906" s="608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</row>
    <row r="907">
      <c r="A907" s="99"/>
      <c r="B907" s="99"/>
      <c r="C907" s="99"/>
      <c r="D907" s="99"/>
      <c r="E907" s="99"/>
      <c r="F907" s="608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</row>
    <row r="908">
      <c r="A908" s="99"/>
      <c r="B908" s="99"/>
      <c r="C908" s="99"/>
      <c r="D908" s="99"/>
      <c r="E908" s="99"/>
      <c r="F908" s="608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</row>
    <row r="909">
      <c r="A909" s="99"/>
      <c r="B909" s="99"/>
      <c r="C909" s="99"/>
      <c r="D909" s="99"/>
      <c r="E909" s="99"/>
      <c r="F909" s="608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</row>
    <row r="910">
      <c r="A910" s="99"/>
      <c r="B910" s="99"/>
      <c r="C910" s="99"/>
      <c r="D910" s="99"/>
      <c r="E910" s="99"/>
      <c r="F910" s="608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</row>
    <row r="911">
      <c r="A911" s="99"/>
      <c r="B911" s="99"/>
      <c r="C911" s="99"/>
      <c r="D911" s="99"/>
      <c r="E911" s="99"/>
      <c r="F911" s="608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</row>
    <row r="912">
      <c r="A912" s="99"/>
      <c r="B912" s="99"/>
      <c r="C912" s="99"/>
      <c r="D912" s="99"/>
      <c r="E912" s="99"/>
      <c r="F912" s="608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</row>
    <row r="913">
      <c r="A913" s="99"/>
      <c r="B913" s="99"/>
      <c r="C913" s="99"/>
      <c r="D913" s="99"/>
      <c r="E913" s="99"/>
      <c r="F913" s="608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</row>
    <row r="914">
      <c r="A914" s="99"/>
      <c r="B914" s="99"/>
      <c r="C914" s="99"/>
      <c r="D914" s="99"/>
      <c r="E914" s="99"/>
      <c r="F914" s="608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</row>
    <row r="915">
      <c r="A915" s="99"/>
      <c r="B915" s="99"/>
      <c r="C915" s="99"/>
      <c r="D915" s="99"/>
      <c r="E915" s="99"/>
      <c r="F915" s="608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</row>
    <row r="916">
      <c r="A916" s="99"/>
      <c r="B916" s="99"/>
      <c r="C916" s="99"/>
      <c r="D916" s="99"/>
      <c r="E916" s="99"/>
      <c r="F916" s="608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</row>
    <row r="917">
      <c r="A917" s="99"/>
      <c r="B917" s="99"/>
      <c r="C917" s="99"/>
      <c r="D917" s="99"/>
      <c r="E917" s="99"/>
      <c r="F917" s="608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</row>
    <row r="918">
      <c r="A918" s="99"/>
      <c r="B918" s="99"/>
      <c r="C918" s="99"/>
      <c r="D918" s="99"/>
      <c r="E918" s="99"/>
      <c r="F918" s="608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</row>
    <row r="919">
      <c r="A919" s="99"/>
      <c r="B919" s="99"/>
      <c r="C919" s="99"/>
      <c r="D919" s="99"/>
      <c r="E919" s="99"/>
      <c r="F919" s="608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</row>
    <row r="920">
      <c r="A920" s="99"/>
      <c r="B920" s="99"/>
      <c r="C920" s="99"/>
      <c r="D920" s="99"/>
      <c r="E920" s="99"/>
      <c r="F920" s="608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</row>
    <row r="921">
      <c r="A921" s="99"/>
      <c r="B921" s="99"/>
      <c r="C921" s="99"/>
      <c r="D921" s="99"/>
      <c r="E921" s="99"/>
      <c r="F921" s="608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</row>
    <row r="922">
      <c r="A922" s="99"/>
      <c r="B922" s="99"/>
      <c r="C922" s="99"/>
      <c r="D922" s="99"/>
      <c r="E922" s="99"/>
      <c r="F922" s="608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</row>
    <row r="923">
      <c r="A923" s="99"/>
      <c r="B923" s="99"/>
      <c r="C923" s="99"/>
      <c r="D923" s="99"/>
      <c r="E923" s="99"/>
      <c r="F923" s="608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</row>
    <row r="924">
      <c r="A924" s="99"/>
      <c r="B924" s="99"/>
      <c r="C924" s="99"/>
      <c r="D924" s="99"/>
      <c r="E924" s="99"/>
      <c r="F924" s="608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</row>
    <row r="925">
      <c r="A925" s="99"/>
      <c r="B925" s="99"/>
      <c r="C925" s="99"/>
      <c r="D925" s="99"/>
      <c r="E925" s="99"/>
      <c r="F925" s="608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</row>
    <row r="926">
      <c r="A926" s="99"/>
      <c r="B926" s="99"/>
      <c r="C926" s="99"/>
      <c r="D926" s="99"/>
      <c r="E926" s="99"/>
      <c r="F926" s="608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</row>
    <row r="927">
      <c r="A927" s="99"/>
      <c r="B927" s="99"/>
      <c r="C927" s="99"/>
      <c r="D927" s="99"/>
      <c r="E927" s="99"/>
      <c r="F927" s="608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</row>
    <row r="928">
      <c r="A928" s="99"/>
      <c r="B928" s="99"/>
      <c r="C928" s="99"/>
      <c r="D928" s="99"/>
      <c r="E928" s="99"/>
      <c r="F928" s="608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</row>
    <row r="929">
      <c r="A929" s="99"/>
      <c r="B929" s="99"/>
      <c r="C929" s="99"/>
      <c r="D929" s="99"/>
      <c r="E929" s="99"/>
      <c r="F929" s="608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</row>
    <row r="930">
      <c r="A930" s="99"/>
      <c r="B930" s="99"/>
      <c r="C930" s="99"/>
      <c r="D930" s="99"/>
      <c r="E930" s="99"/>
      <c r="F930" s="608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</row>
    <row r="931">
      <c r="A931" s="99"/>
      <c r="B931" s="99"/>
      <c r="C931" s="99"/>
      <c r="D931" s="99"/>
      <c r="E931" s="99"/>
      <c r="F931" s="608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</row>
    <row r="932">
      <c r="A932" s="99"/>
      <c r="B932" s="99"/>
      <c r="C932" s="99"/>
      <c r="D932" s="99"/>
      <c r="E932" s="99"/>
      <c r="F932" s="608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</row>
    <row r="933">
      <c r="A933" s="99"/>
      <c r="B933" s="99"/>
      <c r="C933" s="99"/>
      <c r="D933" s="99"/>
      <c r="E933" s="99"/>
      <c r="F933" s="608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</row>
    <row r="934">
      <c r="A934" s="99"/>
      <c r="B934" s="99"/>
      <c r="C934" s="99"/>
      <c r="D934" s="99"/>
      <c r="E934" s="99"/>
      <c r="F934" s="608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</row>
    <row r="935">
      <c r="A935" s="99"/>
      <c r="B935" s="99"/>
      <c r="C935" s="99"/>
      <c r="D935" s="99"/>
      <c r="E935" s="99"/>
      <c r="F935" s="608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</row>
    <row r="936">
      <c r="A936" s="99"/>
      <c r="B936" s="99"/>
      <c r="C936" s="99"/>
      <c r="D936" s="99"/>
      <c r="E936" s="99"/>
      <c r="F936" s="608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</row>
    <row r="937">
      <c r="A937" s="99"/>
      <c r="B937" s="99"/>
      <c r="C937" s="99"/>
      <c r="D937" s="99"/>
      <c r="E937" s="99"/>
      <c r="F937" s="608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</row>
    <row r="938">
      <c r="A938" s="99"/>
      <c r="B938" s="99"/>
      <c r="C938" s="99"/>
      <c r="D938" s="99"/>
      <c r="E938" s="99"/>
      <c r="F938" s="608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</row>
    <row r="939">
      <c r="A939" s="99"/>
      <c r="B939" s="99"/>
      <c r="C939" s="99"/>
      <c r="D939" s="99"/>
      <c r="E939" s="99"/>
      <c r="F939" s="608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</row>
    <row r="940">
      <c r="A940" s="99"/>
      <c r="B940" s="99"/>
      <c r="C940" s="99"/>
      <c r="D940" s="99"/>
      <c r="E940" s="99"/>
      <c r="F940" s="608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</row>
    <row r="941">
      <c r="A941" s="99"/>
      <c r="B941" s="99"/>
      <c r="C941" s="99"/>
      <c r="D941" s="99"/>
      <c r="E941" s="99"/>
      <c r="F941" s="608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</row>
    <row r="942">
      <c r="A942" s="99"/>
      <c r="B942" s="99"/>
      <c r="C942" s="99"/>
      <c r="D942" s="99"/>
      <c r="E942" s="99"/>
      <c r="F942" s="608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</row>
    <row r="943">
      <c r="A943" s="99"/>
      <c r="B943" s="99"/>
      <c r="C943" s="99"/>
      <c r="D943" s="99"/>
      <c r="E943" s="99"/>
      <c r="F943" s="608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</row>
    <row r="944">
      <c r="A944" s="99"/>
      <c r="B944" s="99"/>
      <c r="C944" s="99"/>
      <c r="D944" s="99"/>
      <c r="E944" s="99"/>
      <c r="F944" s="608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</row>
    <row r="945">
      <c r="A945" s="99"/>
      <c r="B945" s="99"/>
      <c r="C945" s="99"/>
      <c r="D945" s="99"/>
      <c r="E945" s="99"/>
      <c r="F945" s="608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</row>
    <row r="946">
      <c r="A946" s="99"/>
      <c r="B946" s="99"/>
      <c r="C946" s="99"/>
      <c r="D946" s="99"/>
      <c r="E946" s="99"/>
      <c r="F946" s="608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</row>
    <row r="947">
      <c r="A947" s="99"/>
      <c r="B947" s="99"/>
      <c r="C947" s="99"/>
      <c r="D947" s="99"/>
      <c r="E947" s="99"/>
      <c r="F947" s="608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</row>
    <row r="948">
      <c r="A948" s="99"/>
      <c r="B948" s="99"/>
      <c r="C948" s="99"/>
      <c r="D948" s="99"/>
      <c r="E948" s="99"/>
      <c r="F948" s="608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</row>
    <row r="949">
      <c r="A949" s="99"/>
      <c r="B949" s="99"/>
      <c r="C949" s="99"/>
      <c r="D949" s="99"/>
      <c r="E949" s="99"/>
      <c r="F949" s="608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</row>
    <row r="950">
      <c r="A950" s="99"/>
      <c r="B950" s="99"/>
      <c r="C950" s="99"/>
      <c r="D950" s="99"/>
      <c r="E950" s="99"/>
      <c r="F950" s="608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</row>
    <row r="951">
      <c r="A951" s="99"/>
      <c r="B951" s="99"/>
      <c r="C951" s="99"/>
      <c r="D951" s="99"/>
      <c r="E951" s="99"/>
      <c r="F951" s="608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</row>
    <row r="952">
      <c r="A952" s="99"/>
      <c r="B952" s="99"/>
      <c r="C952" s="99"/>
      <c r="D952" s="99"/>
      <c r="E952" s="99"/>
      <c r="F952" s="608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</row>
    <row r="953">
      <c r="A953" s="99"/>
      <c r="B953" s="99"/>
      <c r="C953" s="99"/>
      <c r="D953" s="99"/>
      <c r="E953" s="99"/>
      <c r="F953" s="608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</row>
    <row r="954">
      <c r="A954" s="99"/>
      <c r="B954" s="99"/>
      <c r="C954" s="99"/>
      <c r="D954" s="99"/>
      <c r="E954" s="99"/>
      <c r="F954" s="608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</row>
    <row r="955">
      <c r="A955" s="99"/>
      <c r="B955" s="99"/>
      <c r="C955" s="99"/>
      <c r="D955" s="99"/>
      <c r="E955" s="99"/>
      <c r="F955" s="608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</row>
    <row r="956">
      <c r="A956" s="99"/>
      <c r="B956" s="99"/>
      <c r="C956" s="99"/>
      <c r="D956" s="99"/>
      <c r="E956" s="99"/>
      <c r="F956" s="608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</row>
    <row r="957">
      <c r="A957" s="99"/>
      <c r="B957" s="99"/>
      <c r="C957" s="99"/>
      <c r="D957" s="99"/>
      <c r="E957" s="99"/>
      <c r="F957" s="608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</row>
    <row r="958">
      <c r="A958" s="99"/>
      <c r="B958" s="99"/>
      <c r="C958" s="99"/>
      <c r="D958" s="99"/>
      <c r="E958" s="99"/>
      <c r="F958" s="608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</row>
    <row r="959">
      <c r="A959" s="99"/>
      <c r="B959" s="99"/>
      <c r="C959" s="99"/>
      <c r="D959" s="99"/>
      <c r="E959" s="99"/>
      <c r="F959" s="608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</row>
    <row r="960">
      <c r="A960" s="99"/>
      <c r="B960" s="99"/>
      <c r="C960" s="99"/>
      <c r="D960" s="99"/>
      <c r="E960" s="99"/>
      <c r="F960" s="608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</row>
    <row r="961">
      <c r="A961" s="99"/>
      <c r="B961" s="99"/>
      <c r="C961" s="99"/>
      <c r="D961" s="99"/>
      <c r="E961" s="99"/>
      <c r="F961" s="608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</row>
    <row r="962">
      <c r="A962" s="99"/>
      <c r="B962" s="99"/>
      <c r="C962" s="99"/>
      <c r="D962" s="99"/>
      <c r="E962" s="99"/>
      <c r="F962" s="608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</row>
    <row r="963">
      <c r="A963" s="99"/>
      <c r="B963" s="99"/>
      <c r="C963" s="99"/>
      <c r="D963" s="99"/>
      <c r="E963" s="99"/>
      <c r="F963" s="608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</row>
    <row r="964">
      <c r="A964" s="99"/>
      <c r="B964" s="99"/>
      <c r="C964" s="99"/>
      <c r="D964" s="99"/>
      <c r="E964" s="99"/>
      <c r="F964" s="608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</row>
    <row r="965">
      <c r="A965" s="99"/>
      <c r="B965" s="99"/>
      <c r="C965" s="99"/>
      <c r="D965" s="99"/>
      <c r="E965" s="99"/>
      <c r="F965" s="608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</row>
    <row r="966">
      <c r="A966" s="99"/>
      <c r="B966" s="99"/>
      <c r="C966" s="99"/>
      <c r="D966" s="99"/>
      <c r="E966" s="99"/>
      <c r="F966" s="608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</row>
    <row r="967">
      <c r="A967" s="99"/>
      <c r="B967" s="99"/>
      <c r="C967" s="99"/>
      <c r="D967" s="99"/>
      <c r="E967" s="99"/>
      <c r="F967" s="608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</row>
    <row r="968">
      <c r="A968" s="99"/>
      <c r="B968" s="99"/>
      <c r="C968" s="99"/>
      <c r="D968" s="99"/>
      <c r="E968" s="99"/>
      <c r="F968" s="608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</row>
    <row r="969">
      <c r="A969" s="99"/>
      <c r="B969" s="99"/>
      <c r="C969" s="99"/>
      <c r="D969" s="99"/>
      <c r="E969" s="99"/>
      <c r="F969" s="608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</row>
    <row r="970">
      <c r="A970" s="99"/>
      <c r="B970" s="99"/>
      <c r="C970" s="99"/>
      <c r="D970" s="99"/>
      <c r="E970" s="99"/>
      <c r="F970" s="608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</row>
    <row r="971">
      <c r="A971" s="99"/>
      <c r="B971" s="99"/>
      <c r="C971" s="99"/>
      <c r="D971" s="99"/>
      <c r="E971" s="99"/>
      <c r="F971" s="608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</row>
    <row r="972">
      <c r="A972" s="99"/>
      <c r="B972" s="99"/>
      <c r="C972" s="99"/>
      <c r="D972" s="99"/>
      <c r="E972" s="99"/>
      <c r="F972" s="608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</row>
    <row r="973">
      <c r="A973" s="99"/>
      <c r="B973" s="99"/>
      <c r="C973" s="99"/>
      <c r="D973" s="99"/>
      <c r="E973" s="99"/>
      <c r="F973" s="608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</row>
    <row r="974">
      <c r="A974" s="99"/>
      <c r="B974" s="99"/>
      <c r="C974" s="99"/>
      <c r="D974" s="99"/>
      <c r="E974" s="99"/>
      <c r="F974" s="608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</row>
    <row r="975">
      <c r="A975" s="99"/>
      <c r="B975" s="99"/>
      <c r="C975" s="99"/>
      <c r="D975" s="99"/>
      <c r="E975" s="99"/>
      <c r="F975" s="608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</row>
    <row r="976">
      <c r="A976" s="99"/>
      <c r="B976" s="99"/>
      <c r="C976" s="99"/>
      <c r="D976" s="99"/>
      <c r="E976" s="99"/>
      <c r="F976" s="608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</row>
    <row r="977">
      <c r="A977" s="99"/>
      <c r="B977" s="99"/>
      <c r="C977" s="99"/>
      <c r="D977" s="99"/>
      <c r="E977" s="99"/>
      <c r="F977" s="608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</row>
    <row r="978">
      <c r="A978" s="99"/>
      <c r="B978" s="99"/>
      <c r="C978" s="99"/>
      <c r="D978" s="99"/>
      <c r="E978" s="99"/>
      <c r="F978" s="608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</row>
    <row r="979">
      <c r="A979" s="99"/>
      <c r="B979" s="99"/>
      <c r="C979" s="99"/>
      <c r="D979" s="99"/>
      <c r="E979" s="99"/>
      <c r="F979" s="608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</row>
    <row r="980">
      <c r="A980" s="99"/>
      <c r="B980" s="99"/>
      <c r="C980" s="99"/>
      <c r="D980" s="99"/>
      <c r="E980" s="99"/>
      <c r="F980" s="608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</row>
    <row r="981">
      <c r="A981" s="99"/>
      <c r="B981" s="99"/>
      <c r="C981" s="99"/>
      <c r="D981" s="99"/>
      <c r="E981" s="99"/>
      <c r="F981" s="608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</row>
    <row r="982">
      <c r="A982" s="99"/>
      <c r="B982" s="99"/>
      <c r="C982" s="99"/>
      <c r="D982" s="99"/>
      <c r="E982" s="99"/>
      <c r="F982" s="608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</row>
    <row r="983">
      <c r="A983" s="99"/>
      <c r="B983" s="99"/>
      <c r="C983" s="99"/>
      <c r="D983" s="99"/>
      <c r="E983" s="99"/>
      <c r="F983" s="608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</row>
    <row r="984">
      <c r="A984" s="99"/>
      <c r="B984" s="99"/>
      <c r="C984" s="99"/>
      <c r="D984" s="99"/>
      <c r="E984" s="99"/>
      <c r="F984" s="608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</row>
    <row r="985">
      <c r="A985" s="99"/>
      <c r="B985" s="99"/>
      <c r="C985" s="99"/>
      <c r="D985" s="99"/>
      <c r="E985" s="99"/>
      <c r="F985" s="608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</row>
    <row r="986">
      <c r="A986" s="99"/>
      <c r="B986" s="99"/>
      <c r="C986" s="99"/>
      <c r="D986" s="99"/>
      <c r="E986" s="99"/>
      <c r="F986" s="608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</row>
    <row r="987">
      <c r="A987" s="99"/>
      <c r="B987" s="99"/>
      <c r="C987" s="99"/>
      <c r="D987" s="99"/>
      <c r="E987" s="99"/>
      <c r="F987" s="608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</row>
    <row r="988">
      <c r="A988" s="99"/>
      <c r="B988" s="99"/>
      <c r="C988" s="99"/>
      <c r="D988" s="99"/>
      <c r="E988" s="99"/>
      <c r="F988" s="608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</row>
    <row r="989">
      <c r="A989" s="99"/>
      <c r="B989" s="99"/>
      <c r="C989" s="99"/>
      <c r="D989" s="99"/>
      <c r="E989" s="99"/>
      <c r="F989" s="608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</row>
    <row r="990">
      <c r="A990" s="99"/>
      <c r="B990" s="99"/>
      <c r="C990" s="99"/>
      <c r="D990" s="99"/>
      <c r="E990" s="99"/>
      <c r="F990" s="608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</row>
    <row r="991">
      <c r="A991" s="99"/>
      <c r="B991" s="99"/>
      <c r="C991" s="99"/>
      <c r="D991" s="99"/>
      <c r="E991" s="99"/>
      <c r="F991" s="608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</row>
    <row r="992">
      <c r="A992" s="99"/>
      <c r="B992" s="99"/>
      <c r="C992" s="99"/>
      <c r="D992" s="99"/>
      <c r="E992" s="99"/>
      <c r="F992" s="608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</row>
    <row r="993">
      <c r="A993" s="99"/>
      <c r="B993" s="99"/>
      <c r="C993" s="99"/>
      <c r="D993" s="99"/>
      <c r="E993" s="99"/>
      <c r="F993" s="608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</row>
    <row r="994">
      <c r="A994" s="99"/>
      <c r="B994" s="99"/>
      <c r="C994" s="99"/>
      <c r="D994" s="99"/>
      <c r="E994" s="99"/>
      <c r="F994" s="608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</row>
    <row r="995">
      <c r="A995" s="99"/>
      <c r="B995" s="99"/>
      <c r="C995" s="99"/>
      <c r="D995" s="99"/>
      <c r="E995" s="99"/>
      <c r="F995" s="608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</row>
    <row r="996">
      <c r="A996" s="99"/>
      <c r="B996" s="99"/>
      <c r="C996" s="99"/>
      <c r="D996" s="99"/>
      <c r="E996" s="99"/>
      <c r="F996" s="608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</row>
    <row r="997">
      <c r="A997" s="99"/>
      <c r="B997" s="99"/>
      <c r="C997" s="99"/>
      <c r="D997" s="99"/>
      <c r="E997" s="99"/>
      <c r="F997" s="608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</row>
    <row r="998">
      <c r="A998" s="99"/>
      <c r="B998" s="99"/>
      <c r="C998" s="99"/>
      <c r="D998" s="99"/>
      <c r="E998" s="99"/>
      <c r="F998" s="608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hidden="1" min="3" max="6" width="14.43"/>
  </cols>
  <sheetData>
    <row r="1">
      <c r="A1" s="556" t="s">
        <v>324</v>
      </c>
      <c r="B1" s="557" t="s">
        <v>323</v>
      </c>
      <c r="C1" s="558"/>
      <c r="D1" s="558"/>
      <c r="E1" s="558"/>
      <c r="F1" s="558"/>
      <c r="G1" s="559" t="s">
        <v>2049</v>
      </c>
      <c r="H1" s="557">
        <v>1.0</v>
      </c>
    </row>
    <row r="2">
      <c r="A2" s="556" t="s">
        <v>329</v>
      </c>
      <c r="B2" s="557" t="s">
        <v>328</v>
      </c>
      <c r="C2" s="558"/>
      <c r="D2" s="558"/>
      <c r="E2" s="558"/>
      <c r="F2" s="558"/>
      <c r="G2" s="559" t="s">
        <v>2049</v>
      </c>
      <c r="H2" s="557">
        <v>1.0</v>
      </c>
    </row>
    <row r="3">
      <c r="A3" s="556" t="s">
        <v>333</v>
      </c>
      <c r="B3" s="557" t="s">
        <v>332</v>
      </c>
      <c r="C3" s="558"/>
      <c r="D3" s="558"/>
      <c r="E3" s="558"/>
      <c r="F3" s="558"/>
      <c r="G3" s="559" t="s">
        <v>2049</v>
      </c>
      <c r="H3" s="557">
        <v>5.0</v>
      </c>
    </row>
    <row r="4">
      <c r="A4" s="556" t="s">
        <v>337</v>
      </c>
      <c r="B4" s="557" t="s">
        <v>336</v>
      </c>
      <c r="C4" s="558"/>
      <c r="D4" s="558"/>
      <c r="E4" s="558"/>
      <c r="F4" s="558"/>
      <c r="G4" s="559" t="s">
        <v>2049</v>
      </c>
      <c r="H4" s="557">
        <v>1.0</v>
      </c>
    </row>
    <row r="5">
      <c r="A5" s="556" t="s">
        <v>341</v>
      </c>
      <c r="B5" s="557" t="s">
        <v>340</v>
      </c>
      <c r="C5" s="558"/>
      <c r="D5" s="558"/>
      <c r="E5" s="558"/>
      <c r="F5" s="558"/>
      <c r="G5" s="559" t="s">
        <v>2049</v>
      </c>
      <c r="H5" s="557">
        <v>3.0</v>
      </c>
    </row>
    <row r="6">
      <c r="A6" s="567" t="s">
        <v>1475</v>
      </c>
      <c r="B6" s="568" t="s">
        <v>1474</v>
      </c>
      <c r="C6" s="569"/>
      <c r="D6" s="569"/>
      <c r="E6" s="569"/>
      <c r="F6" s="569"/>
      <c r="G6" s="559" t="s">
        <v>2144</v>
      </c>
      <c r="H6" s="566">
        <v>1.0</v>
      </c>
    </row>
    <row r="7">
      <c r="A7" s="567" t="s">
        <v>1481</v>
      </c>
      <c r="B7" s="568" t="s">
        <v>1480</v>
      </c>
      <c r="C7" s="569"/>
      <c r="D7" s="569"/>
      <c r="E7" s="569"/>
      <c r="F7" s="569"/>
      <c r="G7" s="559" t="s">
        <v>2144</v>
      </c>
      <c r="H7" s="566">
        <v>1.0</v>
      </c>
    </row>
    <row r="8">
      <c r="A8" s="567" t="s">
        <v>1485</v>
      </c>
      <c r="B8" s="568" t="s">
        <v>1484</v>
      </c>
      <c r="C8" s="569"/>
      <c r="D8" s="569"/>
      <c r="E8" s="569"/>
      <c r="F8" s="569"/>
      <c r="G8" s="559" t="s">
        <v>2144</v>
      </c>
      <c r="H8" s="566">
        <v>1.0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2" width="6.57"/>
    <col customWidth="1" min="3" max="3" width="29.14"/>
    <col customWidth="1" min="4" max="4" width="11.86"/>
    <col customWidth="1" hidden="1" min="5" max="8" width="11.86"/>
    <col customWidth="1" min="9" max="9" width="18.43"/>
    <col customWidth="1" min="10" max="10" width="6.29"/>
    <col customWidth="1" hidden="1" min="11" max="11" width="18.43"/>
    <col customWidth="1" hidden="1" min="12" max="12" width="5.86"/>
    <col customWidth="1" hidden="1" min="13" max="13" width="10.71"/>
    <col customWidth="1" hidden="1" min="14" max="14" width="11.29"/>
    <col hidden="1" min="15" max="15" width="14.43"/>
    <col customWidth="1" hidden="1" min="16" max="16" width="7.86"/>
    <col customWidth="1" hidden="1" min="17" max="17" width="8.57"/>
    <col customWidth="1" hidden="1" min="18" max="18" width="20.86"/>
    <col customWidth="1" hidden="1" min="19" max="19" width="128.43"/>
    <col customWidth="1" min="20" max="20" width="15.0"/>
    <col customWidth="1" hidden="1" min="21" max="21" width="14.0"/>
    <col customWidth="1" hidden="1" min="22" max="22" width="15.29"/>
    <col customWidth="1" hidden="1" min="23" max="23" width="4.71"/>
    <col customWidth="1" hidden="1" min="24" max="24" width="9.29"/>
    <col customWidth="1" hidden="1" min="25" max="25" width="16.0"/>
    <col customWidth="1" hidden="1" min="26" max="26" width="9.29"/>
    <col customWidth="1" hidden="1" min="27" max="28" width="18.43"/>
    <col hidden="1" min="29" max="29" width="14.43"/>
  </cols>
  <sheetData>
    <row r="1" ht="45.0" customHeight="1">
      <c r="A1" s="210" t="s">
        <v>0</v>
      </c>
      <c r="B1" s="210"/>
      <c r="C1" s="211" t="s">
        <v>2</v>
      </c>
      <c r="D1" s="210" t="s">
        <v>1</v>
      </c>
      <c r="E1" s="614"/>
      <c r="F1" s="614"/>
      <c r="G1" s="614"/>
      <c r="H1" s="614"/>
      <c r="I1" s="328" t="s">
        <v>1751</v>
      </c>
      <c r="J1" s="210" t="s">
        <v>2004</v>
      </c>
      <c r="K1" s="210" t="s">
        <v>3</v>
      </c>
      <c r="L1" s="210" t="s">
        <v>4</v>
      </c>
      <c r="M1" s="210" t="s">
        <v>6</v>
      </c>
      <c r="N1" s="210" t="s">
        <v>7</v>
      </c>
      <c r="O1" s="210" t="s">
        <v>8</v>
      </c>
      <c r="P1" s="211" t="s">
        <v>9</v>
      </c>
      <c r="Q1" s="211" t="s">
        <v>10</v>
      </c>
      <c r="R1" s="212" t="s">
        <v>11</v>
      </c>
      <c r="S1" s="210" t="s">
        <v>12</v>
      </c>
      <c r="T1" s="213" t="s">
        <v>13</v>
      </c>
      <c r="U1" s="213" t="s">
        <v>13</v>
      </c>
      <c r="V1" s="213" t="s">
        <v>13</v>
      </c>
      <c r="W1" s="213" t="s">
        <v>13</v>
      </c>
      <c r="X1" s="213" t="s">
        <v>13</v>
      </c>
      <c r="Y1" s="213" t="s">
        <v>1882</v>
      </c>
      <c r="Z1" s="328" t="s">
        <v>2197</v>
      </c>
      <c r="AA1" s="615" t="s">
        <v>2427</v>
      </c>
      <c r="AB1" s="615" t="s">
        <v>2428</v>
      </c>
    </row>
    <row r="2" ht="44.25" hidden="1" customHeight="1">
      <c r="A2" s="11">
        <v>1.0</v>
      </c>
      <c r="B2" s="11" t="s">
        <v>15</v>
      </c>
      <c r="C2" s="93" t="s">
        <v>18</v>
      </c>
      <c r="D2" s="11" t="s">
        <v>17</v>
      </c>
      <c r="E2" s="12"/>
      <c r="F2" s="12"/>
      <c r="G2" s="12"/>
      <c r="H2" s="12"/>
      <c r="I2" s="12" t="s">
        <v>2429</v>
      </c>
      <c r="J2" s="216">
        <v>6.0</v>
      </c>
      <c r="K2" s="215" t="s">
        <v>19</v>
      </c>
      <c r="L2" s="216">
        <v>5.0</v>
      </c>
      <c r="M2" s="216">
        <v>75.0</v>
      </c>
      <c r="N2" s="11">
        <f t="shared" ref="N2:N82" si="1">M2*J2</f>
        <v>450</v>
      </c>
      <c r="O2" s="11" t="s">
        <v>20</v>
      </c>
      <c r="P2" s="93" t="s">
        <v>21</v>
      </c>
      <c r="Q2" s="93" t="s">
        <v>22</v>
      </c>
      <c r="R2" s="93" t="s">
        <v>23</v>
      </c>
      <c r="S2" s="217" t="s">
        <v>24</v>
      </c>
      <c r="T2" s="11" t="str">
        <f>IMAGE("https://m.media-amazon.com/images/I/61ZBVWoGgCL._SL1500_.jpg",1)</f>
        <v/>
      </c>
      <c r="U2" s="78"/>
      <c r="V2" s="74"/>
      <c r="W2" s="75"/>
      <c r="X2" s="12"/>
      <c r="Y2" s="11"/>
      <c r="Z2" s="11">
        <v>1.0</v>
      </c>
      <c r="AA2" s="12"/>
      <c r="AB2" s="12"/>
    </row>
    <row r="3" ht="45.0" customHeight="1">
      <c r="A3" s="11">
        <v>388.0</v>
      </c>
      <c r="B3" s="11" t="s">
        <v>15</v>
      </c>
      <c r="C3" s="93" t="s">
        <v>1604</v>
      </c>
      <c r="D3" s="11" t="s">
        <v>1603</v>
      </c>
      <c r="E3" s="12"/>
      <c r="F3" s="12"/>
      <c r="G3" s="12"/>
      <c r="H3" s="12"/>
      <c r="I3" s="12" t="s">
        <v>2385</v>
      </c>
      <c r="J3" s="11">
        <v>1.0</v>
      </c>
      <c r="K3" s="215" t="s">
        <v>1601</v>
      </c>
      <c r="L3" s="11">
        <v>1.0</v>
      </c>
      <c r="M3" s="11">
        <v>90.0</v>
      </c>
      <c r="N3" s="11">
        <f t="shared" si="1"/>
        <v>90</v>
      </c>
      <c r="O3" s="11" t="s">
        <v>20</v>
      </c>
      <c r="P3" s="93" t="s">
        <v>65</v>
      </c>
      <c r="Q3" s="93" t="s">
        <v>1605</v>
      </c>
      <c r="R3" s="93" t="s">
        <v>1987</v>
      </c>
      <c r="S3" s="217"/>
      <c r="T3" s="11" t="str">
        <f>IMAGE("https://3.imimg.com/data3/HA/PB/MY-3231014/sewing-needle.jpg",1)</f>
        <v/>
      </c>
      <c r="U3" s="78"/>
      <c r="V3" s="79"/>
      <c r="W3" s="80"/>
      <c r="X3" s="12"/>
      <c r="Y3" s="11"/>
      <c r="Z3" s="11">
        <v>3.0</v>
      </c>
      <c r="AA3" s="616" t="s">
        <v>2430</v>
      </c>
      <c r="AB3" s="616">
        <v>2.0</v>
      </c>
    </row>
    <row r="4" ht="45.0" hidden="1" customHeight="1">
      <c r="A4" s="11">
        <v>3.0</v>
      </c>
      <c r="B4" s="11" t="s">
        <v>15</v>
      </c>
      <c r="C4" s="93" t="s">
        <v>31</v>
      </c>
      <c r="D4" s="11" t="s">
        <v>30</v>
      </c>
      <c r="E4" s="12"/>
      <c r="F4" s="12"/>
      <c r="G4" s="12"/>
      <c r="H4" s="12"/>
      <c r="I4" s="12" t="s">
        <v>2431</v>
      </c>
      <c r="J4" s="216">
        <v>6.0</v>
      </c>
      <c r="K4" s="215" t="s">
        <v>19</v>
      </c>
      <c r="L4" s="216">
        <v>5.0</v>
      </c>
      <c r="M4" s="218">
        <v>25.0</v>
      </c>
      <c r="N4" s="11">
        <f t="shared" si="1"/>
        <v>150</v>
      </c>
      <c r="O4" s="11" t="s">
        <v>20</v>
      </c>
      <c r="P4" s="93" t="s">
        <v>21</v>
      </c>
      <c r="Q4" s="93" t="s">
        <v>22</v>
      </c>
      <c r="R4" s="93" t="s">
        <v>23</v>
      </c>
      <c r="S4" s="217" t="s">
        <v>32</v>
      </c>
      <c r="T4" s="11" t="str">
        <f>IMAGE("https://m.media-amazon.com/images/I/21wXjA1iP5L.jpg",1)</f>
        <v/>
      </c>
      <c r="U4" s="78"/>
      <c r="V4" s="74"/>
      <c r="W4" s="75"/>
      <c r="X4" s="5"/>
      <c r="Y4" s="14"/>
      <c r="Z4" s="11">
        <v>1.0</v>
      </c>
      <c r="AA4" s="12"/>
      <c r="AB4" s="12"/>
    </row>
    <row r="5" ht="45.0" hidden="1" customHeight="1">
      <c r="A5" s="11">
        <v>4.0</v>
      </c>
      <c r="B5" s="11" t="s">
        <v>15</v>
      </c>
      <c r="C5" s="93" t="s">
        <v>35</v>
      </c>
      <c r="D5" s="11" t="s">
        <v>34</v>
      </c>
      <c r="E5" s="12"/>
      <c r="F5" s="12"/>
      <c r="G5" s="12"/>
      <c r="H5" s="12"/>
      <c r="I5" s="12" t="s">
        <v>2429</v>
      </c>
      <c r="J5" s="216">
        <v>6.0</v>
      </c>
      <c r="K5" s="215" t="s">
        <v>19</v>
      </c>
      <c r="L5" s="216">
        <v>5.0</v>
      </c>
      <c r="M5" s="216">
        <v>80.0</v>
      </c>
      <c r="N5" s="11">
        <f t="shared" si="1"/>
        <v>480</v>
      </c>
      <c r="O5" s="11" t="s">
        <v>20</v>
      </c>
      <c r="P5" s="93" t="s">
        <v>21</v>
      </c>
      <c r="Q5" s="93" t="s">
        <v>22</v>
      </c>
      <c r="R5" s="93" t="s">
        <v>23</v>
      </c>
      <c r="S5" s="217"/>
      <c r="T5" s="11" t="str">
        <f>IMAGE("https://5.imimg.com/data5/YG/CD/MY-4112616/transparent-tape-500x500.jpg",1)</f>
        <v/>
      </c>
      <c r="U5" s="78"/>
      <c r="V5" s="74"/>
      <c r="W5" s="75"/>
      <c r="X5" s="12"/>
      <c r="Y5" s="11"/>
      <c r="Z5" s="11">
        <v>1.0</v>
      </c>
      <c r="AA5" s="12"/>
      <c r="AB5" s="12"/>
    </row>
    <row r="6" ht="45.0" hidden="1" customHeight="1">
      <c r="A6" s="11">
        <v>5.0</v>
      </c>
      <c r="B6" s="11" t="s">
        <v>15</v>
      </c>
      <c r="C6" s="93" t="s">
        <v>1886</v>
      </c>
      <c r="D6" s="11" t="s">
        <v>37</v>
      </c>
      <c r="E6" s="12"/>
      <c r="F6" s="12"/>
      <c r="G6" s="12"/>
      <c r="H6" s="12"/>
      <c r="I6" s="12" t="s">
        <v>2431</v>
      </c>
      <c r="J6" s="216">
        <v>6.0</v>
      </c>
      <c r="K6" s="215" t="s">
        <v>19</v>
      </c>
      <c r="L6" s="216">
        <v>5.0</v>
      </c>
      <c r="M6" s="216">
        <v>80.0</v>
      </c>
      <c r="N6" s="11">
        <f t="shared" si="1"/>
        <v>480</v>
      </c>
      <c r="O6" s="11" t="s">
        <v>20</v>
      </c>
      <c r="P6" s="93" t="s">
        <v>21</v>
      </c>
      <c r="Q6" s="93" t="s">
        <v>22</v>
      </c>
      <c r="R6" s="93" t="s">
        <v>23</v>
      </c>
      <c r="S6" s="217" t="s">
        <v>39</v>
      </c>
      <c r="T6" s="11" t="str">
        <f>IMAGE("https://m.media-amazon.com/images/I/61JiUrBk2-L._SL1082_.jpg",1)</f>
        <v/>
      </c>
      <c r="U6" s="78"/>
      <c r="V6" s="74"/>
      <c r="W6" s="75"/>
      <c r="X6" s="12"/>
      <c r="Y6" s="11"/>
      <c r="Z6" s="11">
        <v>1.0</v>
      </c>
      <c r="AA6" s="12"/>
      <c r="AB6" s="12"/>
    </row>
    <row r="7" ht="45.0" hidden="1" customHeight="1">
      <c r="A7" s="11">
        <v>6.0</v>
      </c>
      <c r="B7" s="11" t="s">
        <v>15</v>
      </c>
      <c r="C7" s="93" t="s">
        <v>42</v>
      </c>
      <c r="D7" s="11" t="s">
        <v>41</v>
      </c>
      <c r="E7" s="12"/>
      <c r="F7" s="12"/>
      <c r="G7" s="12"/>
      <c r="H7" s="12"/>
      <c r="I7" s="12" t="s">
        <v>2432</v>
      </c>
      <c r="J7" s="216">
        <v>6.0</v>
      </c>
      <c r="K7" s="215" t="s">
        <v>19</v>
      </c>
      <c r="L7" s="216">
        <v>5.0</v>
      </c>
      <c r="M7" s="216">
        <v>80.0</v>
      </c>
      <c r="N7" s="11">
        <f t="shared" si="1"/>
        <v>480</v>
      </c>
      <c r="O7" s="11" t="s">
        <v>20</v>
      </c>
      <c r="P7" s="93" t="s">
        <v>21</v>
      </c>
      <c r="Q7" s="93" t="s">
        <v>22</v>
      </c>
      <c r="R7" s="93" t="s">
        <v>23</v>
      </c>
      <c r="S7" s="217" t="s">
        <v>43</v>
      </c>
      <c r="T7" s="11" t="str">
        <f>IMAGE("https://m.media-amazon.com/images/I/51JAsOuirxL._SL1000_.jpg",1)</f>
        <v/>
      </c>
      <c r="U7" s="78" t="s">
        <v>56</v>
      </c>
      <c r="V7" s="79"/>
      <c r="W7" s="80"/>
      <c r="X7" s="12"/>
      <c r="Y7" s="11"/>
      <c r="Z7" s="11">
        <v>1.0</v>
      </c>
      <c r="AA7" s="12"/>
      <c r="AB7" s="12"/>
    </row>
    <row r="8" ht="45.0" hidden="1" customHeight="1">
      <c r="A8" s="11">
        <v>7.0</v>
      </c>
      <c r="B8" s="11" t="s">
        <v>15</v>
      </c>
      <c r="C8" s="93" t="s">
        <v>46</v>
      </c>
      <c r="D8" s="11" t="s">
        <v>45</v>
      </c>
      <c r="E8" s="12"/>
      <c r="F8" s="12"/>
      <c r="G8" s="12"/>
      <c r="H8" s="12"/>
      <c r="I8" s="12" t="s">
        <v>2433</v>
      </c>
      <c r="J8" s="11">
        <v>10.0</v>
      </c>
      <c r="K8" s="215" t="s">
        <v>19</v>
      </c>
      <c r="L8" s="11">
        <v>10.0</v>
      </c>
      <c r="M8" s="11">
        <v>35.0</v>
      </c>
      <c r="N8" s="11">
        <f t="shared" si="1"/>
        <v>350</v>
      </c>
      <c r="O8" s="11" t="s">
        <v>20</v>
      </c>
      <c r="P8" s="93" t="s">
        <v>47</v>
      </c>
      <c r="Q8" s="93" t="s">
        <v>22</v>
      </c>
      <c r="R8" s="93" t="s">
        <v>23</v>
      </c>
      <c r="S8" s="217" t="s">
        <v>48</v>
      </c>
      <c r="T8" s="11" t="str">
        <f>IMAGE("https://m.media-amazon.com/images/I/81zdeTxqkLL._SL1500_.jpg",1)</f>
        <v/>
      </c>
      <c r="U8" s="78"/>
      <c r="V8" s="74"/>
      <c r="W8" s="75"/>
      <c r="X8" s="12"/>
      <c r="Y8" s="11"/>
      <c r="Z8" s="11">
        <v>1.0</v>
      </c>
      <c r="AA8" s="12"/>
      <c r="AB8" s="12"/>
    </row>
    <row r="9" ht="45.0" hidden="1" customHeight="1">
      <c r="A9" s="11">
        <v>8.0</v>
      </c>
      <c r="B9" s="11" t="s">
        <v>15</v>
      </c>
      <c r="C9" s="93" t="s">
        <v>51</v>
      </c>
      <c r="D9" s="11" t="s">
        <v>50</v>
      </c>
      <c r="E9" s="12"/>
      <c r="F9" s="12"/>
      <c r="G9" s="12"/>
      <c r="H9" s="12"/>
      <c r="I9" s="12" t="s">
        <v>2434</v>
      </c>
      <c r="J9" s="216">
        <v>5.0</v>
      </c>
      <c r="K9" s="215" t="s">
        <v>19</v>
      </c>
      <c r="L9" s="216">
        <v>5.0</v>
      </c>
      <c r="M9" s="216">
        <v>80.0</v>
      </c>
      <c r="N9" s="11">
        <f t="shared" si="1"/>
        <v>400</v>
      </c>
      <c r="O9" s="11" t="s">
        <v>20</v>
      </c>
      <c r="P9" s="93" t="s">
        <v>21</v>
      </c>
      <c r="Q9" s="93" t="s">
        <v>22</v>
      </c>
      <c r="R9" s="93" t="s">
        <v>23</v>
      </c>
      <c r="S9" s="217" t="s">
        <v>52</v>
      </c>
      <c r="T9" s="11" t="str">
        <f>IMAGE("https://megahardwarett.com/wp-content/uploads/2022/03/71TQZaRi6yL._AC_SX425_.jpg",1)</f>
        <v/>
      </c>
      <c r="U9" s="78"/>
      <c r="V9" s="74"/>
      <c r="W9" s="75"/>
      <c r="X9" s="5"/>
      <c r="Y9" s="14"/>
      <c r="Z9" s="11">
        <v>1.0</v>
      </c>
      <c r="AA9" s="12"/>
      <c r="AB9" s="12"/>
    </row>
    <row r="10" ht="45.0" hidden="1" customHeight="1">
      <c r="A10" s="11">
        <v>9.0</v>
      </c>
      <c r="B10" s="11" t="s">
        <v>15</v>
      </c>
      <c r="C10" s="93" t="s">
        <v>1887</v>
      </c>
      <c r="D10" s="11" t="s">
        <v>54</v>
      </c>
      <c r="E10" s="12"/>
      <c r="F10" s="12"/>
      <c r="G10" s="12"/>
      <c r="H10" s="12"/>
      <c r="I10" s="12" t="s">
        <v>2433</v>
      </c>
      <c r="J10" s="216">
        <v>10.0</v>
      </c>
      <c r="K10" s="215" t="s">
        <v>19</v>
      </c>
      <c r="L10" s="216">
        <v>5.0</v>
      </c>
      <c r="M10" s="216">
        <v>60.0</v>
      </c>
      <c r="N10" s="11">
        <f t="shared" si="1"/>
        <v>600</v>
      </c>
      <c r="O10" s="11" t="s">
        <v>20</v>
      </c>
      <c r="P10" s="93" t="s">
        <v>47</v>
      </c>
      <c r="Q10" s="93" t="s">
        <v>22</v>
      </c>
      <c r="R10" s="93" t="s">
        <v>23</v>
      </c>
      <c r="S10" s="216" t="s">
        <v>56</v>
      </c>
      <c r="T10" s="11" t="str">
        <f>IMAGE("https://m.media-amazon.com/images/I/51xkFZnkVFL._SX466_.jpg",1)</f>
        <v/>
      </c>
      <c r="U10" s="78"/>
      <c r="V10" s="74"/>
      <c r="W10" s="75"/>
      <c r="X10" s="12"/>
      <c r="Y10" s="11"/>
      <c r="Z10" s="11">
        <v>1.0</v>
      </c>
      <c r="AA10" s="12"/>
      <c r="AB10" s="12"/>
    </row>
    <row r="11" ht="45.0" hidden="1" customHeight="1">
      <c r="A11" s="11">
        <v>10.0</v>
      </c>
      <c r="B11" s="11" t="s">
        <v>15</v>
      </c>
      <c r="C11" s="93" t="s">
        <v>1888</v>
      </c>
      <c r="D11" s="11" t="s">
        <v>58</v>
      </c>
      <c r="E11" s="12"/>
      <c r="F11" s="12"/>
      <c r="G11" s="12"/>
      <c r="H11" s="12"/>
      <c r="I11" s="12" t="s">
        <v>2433</v>
      </c>
      <c r="J11" s="216">
        <v>10.0</v>
      </c>
      <c r="K11" s="215" t="s">
        <v>19</v>
      </c>
      <c r="L11" s="216">
        <v>5.0</v>
      </c>
      <c r="M11" s="216">
        <v>70.0</v>
      </c>
      <c r="N11" s="11">
        <f t="shared" si="1"/>
        <v>700</v>
      </c>
      <c r="O11" s="11" t="s">
        <v>20</v>
      </c>
      <c r="P11" s="93" t="s">
        <v>47</v>
      </c>
      <c r="Q11" s="93" t="s">
        <v>22</v>
      </c>
      <c r="R11" s="93" t="s">
        <v>23</v>
      </c>
      <c r="S11" s="217" t="s">
        <v>60</v>
      </c>
      <c r="T11" s="11" t="str">
        <f>IMAGE("https://5.imimg.com/data5/LJ/PW/MY-3849711/loctite-401-super-glue-500x500.jpg",1)</f>
        <v/>
      </c>
      <c r="U11" s="78"/>
      <c r="V11" s="74"/>
      <c r="W11" s="75"/>
      <c r="X11" s="12"/>
      <c r="Y11" s="11"/>
      <c r="Z11" s="11">
        <v>1.0</v>
      </c>
      <c r="AA11" s="12"/>
      <c r="AB11" s="12"/>
    </row>
    <row r="12" ht="45.0" hidden="1" customHeight="1">
      <c r="A12" s="11">
        <v>11.0</v>
      </c>
      <c r="B12" s="11" t="s">
        <v>15</v>
      </c>
      <c r="C12" s="93" t="s">
        <v>1889</v>
      </c>
      <c r="D12" s="11" t="s">
        <v>62</v>
      </c>
      <c r="E12" s="12"/>
      <c r="F12" s="12"/>
      <c r="G12" s="12"/>
      <c r="H12" s="12"/>
      <c r="I12" s="12" t="s">
        <v>2435</v>
      </c>
      <c r="J12" s="216">
        <v>60.0</v>
      </c>
      <c r="K12" s="215" t="s">
        <v>64</v>
      </c>
      <c r="L12" s="216">
        <v>20.0</v>
      </c>
      <c r="M12" s="216">
        <v>300.0</v>
      </c>
      <c r="N12" s="11">
        <f t="shared" si="1"/>
        <v>18000</v>
      </c>
      <c r="O12" s="11" t="s">
        <v>20</v>
      </c>
      <c r="P12" s="93" t="s">
        <v>65</v>
      </c>
      <c r="Q12" s="93" t="s">
        <v>66</v>
      </c>
      <c r="R12" s="93" t="s">
        <v>1890</v>
      </c>
      <c r="S12" s="217" t="s">
        <v>68</v>
      </c>
      <c r="T12" s="11" t="str">
        <f>IMAGE("https://5.imimg.com/data5/SELLER/Default/2020/9/EF/FR/SW/13763930/fevicryte-acrylic-colors-500x500.jpg",1)</f>
        <v/>
      </c>
      <c r="U12" s="78" t="s">
        <v>56</v>
      </c>
      <c r="V12" s="74"/>
      <c r="W12" s="75"/>
      <c r="X12" s="12"/>
      <c r="Y12" s="11"/>
      <c r="Z12" s="11">
        <v>1.0</v>
      </c>
      <c r="AA12" s="12"/>
      <c r="AB12" s="12"/>
    </row>
    <row r="13" ht="45.0" customHeight="1">
      <c r="A13" s="11">
        <v>389.0</v>
      </c>
      <c r="B13" s="11" t="s">
        <v>15</v>
      </c>
      <c r="C13" s="93" t="s">
        <v>1608</v>
      </c>
      <c r="D13" s="11" t="s">
        <v>1607</v>
      </c>
      <c r="E13" s="12"/>
      <c r="F13" s="12"/>
      <c r="G13" s="12"/>
      <c r="H13" s="12"/>
      <c r="I13" s="12" t="s">
        <v>2385</v>
      </c>
      <c r="J13" s="11">
        <v>2.0</v>
      </c>
      <c r="K13" s="215" t="s">
        <v>1601</v>
      </c>
      <c r="L13" s="11">
        <v>2.0</v>
      </c>
      <c r="M13" s="11">
        <v>300.0</v>
      </c>
      <c r="N13" s="11">
        <f t="shared" si="1"/>
        <v>600</v>
      </c>
      <c r="O13" s="11" t="s">
        <v>20</v>
      </c>
      <c r="P13" s="93" t="s">
        <v>65</v>
      </c>
      <c r="Q13" s="93" t="s">
        <v>1605</v>
      </c>
      <c r="R13" s="93" t="s">
        <v>1987</v>
      </c>
      <c r="S13" s="217"/>
      <c r="T13" s="11" t="str">
        <f>IMAGE("https://m.media-amazon.com/images/W/MEDIAX_792452-T2/images/I/71vxqqo9r7L.jpg",1)</f>
        <v/>
      </c>
      <c r="U13" s="78"/>
      <c r="V13" s="74"/>
      <c r="W13" s="75"/>
      <c r="X13" s="12"/>
      <c r="Y13" s="11"/>
      <c r="Z13" s="11">
        <v>3.0</v>
      </c>
      <c r="AA13" s="616"/>
      <c r="AB13" s="616"/>
    </row>
    <row r="14" ht="45.0" hidden="1" customHeight="1">
      <c r="A14" s="11">
        <v>13.0</v>
      </c>
      <c r="B14" s="11" t="s">
        <v>15</v>
      </c>
      <c r="C14" s="93" t="s">
        <v>1891</v>
      </c>
      <c r="D14" s="11" t="s">
        <v>75</v>
      </c>
      <c r="E14" s="12"/>
      <c r="F14" s="12"/>
      <c r="G14" s="12"/>
      <c r="H14" s="12"/>
      <c r="I14" s="12" t="s">
        <v>2015</v>
      </c>
      <c r="J14" s="11">
        <v>10.0</v>
      </c>
      <c r="K14" s="215" t="s">
        <v>64</v>
      </c>
      <c r="L14" s="11">
        <v>10.0</v>
      </c>
      <c r="M14" s="11">
        <v>50.0</v>
      </c>
      <c r="N14" s="11">
        <f t="shared" si="1"/>
        <v>500</v>
      </c>
      <c r="O14" s="11" t="s">
        <v>20</v>
      </c>
      <c r="P14" s="93" t="s">
        <v>77</v>
      </c>
      <c r="Q14" s="123" t="s">
        <v>65</v>
      </c>
      <c r="R14" s="93" t="s">
        <v>1892</v>
      </c>
      <c r="S14" s="217" t="s">
        <v>78</v>
      </c>
      <c r="T14" s="11" t="str">
        <f>IMAGE("https://m.media-amazon.com/images/W/MEDIAX_792452-T2/images/I/611Q9E31rML._SL1500_.jpg",1)</f>
        <v/>
      </c>
      <c r="U14" s="78"/>
      <c r="V14" s="74"/>
      <c r="W14" s="75"/>
      <c r="X14" s="12"/>
      <c r="Y14" s="11"/>
      <c r="Z14" s="11">
        <v>1.0</v>
      </c>
      <c r="AA14" s="12"/>
      <c r="AB14" s="12"/>
    </row>
    <row r="15" ht="45.0" customHeight="1">
      <c r="A15" s="11">
        <v>390.0</v>
      </c>
      <c r="B15" s="11" t="s">
        <v>342</v>
      </c>
      <c r="C15" s="93" t="s">
        <v>1611</v>
      </c>
      <c r="D15" s="11" t="s">
        <v>1610</v>
      </c>
      <c r="E15" s="12"/>
      <c r="F15" s="12"/>
      <c r="G15" s="12"/>
      <c r="H15" s="12"/>
      <c r="I15" s="12" t="s">
        <v>2385</v>
      </c>
      <c r="J15" s="11">
        <v>5.0</v>
      </c>
      <c r="K15" s="215" t="s">
        <v>1601</v>
      </c>
      <c r="L15" s="11">
        <v>5.0</v>
      </c>
      <c r="M15" s="11">
        <v>10.0</v>
      </c>
      <c r="N15" s="11">
        <f t="shared" si="1"/>
        <v>50</v>
      </c>
      <c r="O15" s="11" t="s">
        <v>347</v>
      </c>
      <c r="P15" s="93" t="s">
        <v>65</v>
      </c>
      <c r="Q15" s="93" t="s">
        <v>1605</v>
      </c>
      <c r="R15" s="93" t="s">
        <v>1987</v>
      </c>
      <c r="S15" s="217" t="s">
        <v>1612</v>
      </c>
      <c r="T15" s="11" t="str">
        <f>IMAGE("https://delhi6online.in/cdn/shop/products/S1_800x.jpg?v=1545883083.jpg",1)</f>
        <v/>
      </c>
      <c r="U15" s="78"/>
      <c r="V15" s="74" t="s">
        <v>1719</v>
      </c>
      <c r="W15" s="75"/>
      <c r="X15" s="12"/>
      <c r="Y15" s="11"/>
      <c r="Z15" s="11">
        <v>3.0</v>
      </c>
      <c r="AA15" s="616"/>
      <c r="AB15" s="616"/>
    </row>
    <row r="16" ht="45.0" hidden="1" customHeight="1">
      <c r="A16" s="11">
        <v>15.0</v>
      </c>
      <c r="B16" s="11" t="s">
        <v>15</v>
      </c>
      <c r="C16" s="93" t="s">
        <v>1893</v>
      </c>
      <c r="D16" s="11" t="s">
        <v>86</v>
      </c>
      <c r="E16" s="12"/>
      <c r="F16" s="12"/>
      <c r="G16" s="12"/>
      <c r="H16" s="12"/>
      <c r="I16" s="12" t="s">
        <v>2016</v>
      </c>
      <c r="J16" s="216">
        <v>5.0</v>
      </c>
      <c r="K16" s="215" t="s">
        <v>64</v>
      </c>
      <c r="L16" s="216">
        <v>5.0</v>
      </c>
      <c r="M16" s="216">
        <v>70.0</v>
      </c>
      <c r="N16" s="11">
        <f t="shared" si="1"/>
        <v>350</v>
      </c>
      <c r="O16" s="11" t="s">
        <v>20</v>
      </c>
      <c r="P16" s="93" t="s">
        <v>77</v>
      </c>
      <c r="Q16" s="123" t="s">
        <v>65</v>
      </c>
      <c r="R16" s="93" t="s">
        <v>111</v>
      </c>
      <c r="S16" s="217" t="s">
        <v>88</v>
      </c>
      <c r="T16" s="11" t="str">
        <f>IMAGE("https://www.htconline.in/images/thumbs/0019821_camlin-drawing-pencils-set-of-6.jpeg",1)</f>
        <v/>
      </c>
      <c r="U16" s="78"/>
      <c r="V16" s="74"/>
      <c r="W16" s="75"/>
      <c r="X16" s="12"/>
      <c r="Y16" s="11"/>
      <c r="Z16" s="11">
        <v>1.0</v>
      </c>
      <c r="AA16" s="12"/>
      <c r="AB16" s="12"/>
    </row>
    <row r="17" ht="45.0" hidden="1" customHeight="1">
      <c r="A17" s="11">
        <v>16.0</v>
      </c>
      <c r="B17" s="11" t="s">
        <v>15</v>
      </c>
      <c r="C17" s="93" t="s">
        <v>91</v>
      </c>
      <c r="D17" s="11" t="s">
        <v>90</v>
      </c>
      <c r="E17" s="12"/>
      <c r="F17" s="12"/>
      <c r="G17" s="12"/>
      <c r="H17" s="12"/>
      <c r="I17" s="12" t="s">
        <v>2016</v>
      </c>
      <c r="J17" s="216">
        <v>20.0</v>
      </c>
      <c r="K17" s="215" t="s">
        <v>64</v>
      </c>
      <c r="L17" s="216">
        <v>10.0</v>
      </c>
      <c r="M17" s="216">
        <v>10.0</v>
      </c>
      <c r="N17" s="11">
        <f t="shared" si="1"/>
        <v>200</v>
      </c>
      <c r="O17" s="11" t="s">
        <v>20</v>
      </c>
      <c r="P17" s="93" t="s">
        <v>77</v>
      </c>
      <c r="Q17" s="123" t="s">
        <v>65</v>
      </c>
      <c r="R17" s="93" t="s">
        <v>111</v>
      </c>
      <c r="S17" s="217" t="s">
        <v>92</v>
      </c>
      <c r="T17" s="11" t="str">
        <f>IMAGE("https://upload.wikimedia.org/wikipedia/commons/e/e8/Office-pink-erasers.jpg",1)</f>
        <v/>
      </c>
      <c r="U17" s="78" t="s">
        <v>56</v>
      </c>
      <c r="V17" s="74"/>
      <c r="W17" s="75"/>
      <c r="X17" s="12"/>
      <c r="Y17" s="11"/>
      <c r="Z17" s="11">
        <v>1.0</v>
      </c>
      <c r="AA17" s="12"/>
      <c r="AB17" s="12"/>
    </row>
    <row r="18" ht="45.0" hidden="1" customHeight="1">
      <c r="A18" s="11">
        <v>17.0</v>
      </c>
      <c r="B18" s="11" t="s">
        <v>15</v>
      </c>
      <c r="C18" s="93" t="s">
        <v>95</v>
      </c>
      <c r="D18" s="11" t="s">
        <v>94</v>
      </c>
      <c r="E18" s="12"/>
      <c r="F18" s="12"/>
      <c r="G18" s="12"/>
      <c r="H18" s="12"/>
      <c r="I18" s="12" t="s">
        <v>2016</v>
      </c>
      <c r="J18" s="216">
        <v>10.0</v>
      </c>
      <c r="K18" s="215" t="s">
        <v>64</v>
      </c>
      <c r="L18" s="216">
        <v>10.0</v>
      </c>
      <c r="M18" s="216">
        <v>35.0</v>
      </c>
      <c r="N18" s="11">
        <f t="shared" si="1"/>
        <v>350</v>
      </c>
      <c r="O18" s="11" t="s">
        <v>20</v>
      </c>
      <c r="P18" s="93" t="s">
        <v>77</v>
      </c>
      <c r="Q18" s="123" t="s">
        <v>65</v>
      </c>
      <c r="R18" s="93" t="s">
        <v>111</v>
      </c>
      <c r="S18" s="220" t="s">
        <v>96</v>
      </c>
      <c r="T18" s="11" t="str">
        <f>IMAGE("https://cdn.shopify.com/s/files/1/0064/3412/7939/products/Main-2_2baab3ae-c700-4dd7-acd2-e9442aee0358_2048x.jpg?v=1669799264",1)</f>
        <v/>
      </c>
      <c r="U18" s="78"/>
      <c r="V18" s="74"/>
      <c r="W18" s="75"/>
      <c r="X18" s="12"/>
      <c r="Y18" s="11"/>
      <c r="Z18" s="11">
        <v>1.0</v>
      </c>
      <c r="AA18" s="12"/>
      <c r="AB18" s="12"/>
    </row>
    <row r="19" ht="45.0" hidden="1" customHeight="1">
      <c r="A19" s="11">
        <v>18.0</v>
      </c>
      <c r="B19" s="11"/>
      <c r="C19" s="93" t="s">
        <v>1894</v>
      </c>
      <c r="D19" s="11" t="s">
        <v>97</v>
      </c>
      <c r="E19" s="12"/>
      <c r="F19" s="12"/>
      <c r="G19" s="12"/>
      <c r="H19" s="12"/>
      <c r="I19" s="12" t="s">
        <v>2016</v>
      </c>
      <c r="J19" s="216">
        <v>10.0</v>
      </c>
      <c r="K19" s="215" t="s">
        <v>64</v>
      </c>
      <c r="L19" s="216" t="s">
        <v>56</v>
      </c>
      <c r="M19" s="216">
        <v>10.0</v>
      </c>
      <c r="N19" s="11">
        <f t="shared" si="1"/>
        <v>100</v>
      </c>
      <c r="O19" s="11" t="s">
        <v>20</v>
      </c>
      <c r="P19" s="93" t="s">
        <v>77</v>
      </c>
      <c r="Q19" s="123"/>
      <c r="R19" s="93" t="s">
        <v>111</v>
      </c>
      <c r="S19" s="220"/>
      <c r="T19" s="11" t="e">
        <v>#VALUE!</v>
      </c>
      <c r="U19" s="78"/>
      <c r="V19" s="74"/>
      <c r="W19" s="75"/>
      <c r="X19" s="12"/>
      <c r="Y19" s="11"/>
      <c r="Z19" s="11">
        <v>1.0</v>
      </c>
      <c r="AA19" s="12"/>
      <c r="AB19" s="12"/>
    </row>
    <row r="20" ht="45.0" hidden="1" customHeight="1">
      <c r="A20" s="11">
        <v>19.0</v>
      </c>
      <c r="B20" s="11" t="s">
        <v>15</v>
      </c>
      <c r="C20" s="93" t="s">
        <v>101</v>
      </c>
      <c r="D20" s="11" t="s">
        <v>100</v>
      </c>
      <c r="E20" s="12"/>
      <c r="F20" s="12"/>
      <c r="G20" s="12"/>
      <c r="H20" s="12"/>
      <c r="I20" s="12" t="s">
        <v>2436</v>
      </c>
      <c r="J20" s="216">
        <v>10.0</v>
      </c>
      <c r="K20" s="215" t="s">
        <v>64</v>
      </c>
      <c r="L20" s="216">
        <v>5.0</v>
      </c>
      <c r="M20" s="216">
        <v>200.0</v>
      </c>
      <c r="N20" s="11">
        <f t="shared" si="1"/>
        <v>2000</v>
      </c>
      <c r="O20" s="11" t="s">
        <v>20</v>
      </c>
      <c r="P20" s="93" t="s">
        <v>77</v>
      </c>
      <c r="Q20" s="123" t="s">
        <v>1895</v>
      </c>
      <c r="R20" s="93" t="s">
        <v>1890</v>
      </c>
      <c r="S20" s="217" t="s">
        <v>102</v>
      </c>
      <c r="T20" s="11" t="str">
        <f>IMAGE("https://i5.walmartimages.com/asr/2f51619b-ee1e-4e7f-9717-927459ae38b6.1308a61cc28d473c3122e46595affb79.jpeg",1)</f>
        <v/>
      </c>
      <c r="U20" s="78"/>
      <c r="V20" s="74"/>
      <c r="W20" s="75"/>
      <c r="X20" s="12"/>
      <c r="Y20" s="11"/>
      <c r="Z20" s="11">
        <v>1.0</v>
      </c>
      <c r="AA20" s="12"/>
      <c r="AB20" s="12"/>
    </row>
    <row r="21" ht="45.0" hidden="1" customHeight="1">
      <c r="A21" s="11">
        <v>20.0</v>
      </c>
      <c r="B21" s="11" t="s">
        <v>15</v>
      </c>
      <c r="C21" s="93" t="s">
        <v>105</v>
      </c>
      <c r="D21" s="11" t="s">
        <v>104</v>
      </c>
      <c r="E21" s="12"/>
      <c r="F21" s="12"/>
      <c r="G21" s="12"/>
      <c r="H21" s="12"/>
      <c r="I21" s="12" t="s">
        <v>2437</v>
      </c>
      <c r="J21" s="216">
        <v>5.0</v>
      </c>
      <c r="K21" s="215" t="s">
        <v>64</v>
      </c>
      <c r="L21" s="216">
        <v>5.0</v>
      </c>
      <c r="M21" s="216">
        <v>50.0</v>
      </c>
      <c r="N21" s="11">
        <f t="shared" si="1"/>
        <v>250</v>
      </c>
      <c r="O21" s="11" t="s">
        <v>20</v>
      </c>
      <c r="P21" s="93" t="s">
        <v>21</v>
      </c>
      <c r="Q21" s="123" t="s">
        <v>65</v>
      </c>
      <c r="R21" s="93" t="s">
        <v>1890</v>
      </c>
      <c r="S21" s="217" t="s">
        <v>106</v>
      </c>
      <c r="T21" s="11" t="str">
        <f>IMAGE("https://c8.alamy.com/comp/R7TP32/paint-palette-with-various-acrylic-paints-and-a-brush-R7TP32.jpg",1)</f>
        <v/>
      </c>
      <c r="U21" s="333"/>
      <c r="V21" s="74"/>
      <c r="W21" s="75"/>
      <c r="X21" s="12"/>
      <c r="Y21" s="11"/>
      <c r="Z21" s="11">
        <v>1.0</v>
      </c>
      <c r="AA21" s="12"/>
      <c r="AB21" s="12"/>
    </row>
    <row r="22" ht="45.0" hidden="1" customHeight="1">
      <c r="A22" s="11">
        <v>21.0</v>
      </c>
      <c r="B22" s="11" t="s">
        <v>15</v>
      </c>
      <c r="C22" s="93" t="s">
        <v>1896</v>
      </c>
      <c r="D22" s="11" t="s">
        <v>108</v>
      </c>
      <c r="E22" s="12"/>
      <c r="F22" s="12"/>
      <c r="G22" s="12"/>
      <c r="H22" s="12"/>
      <c r="I22" s="12" t="s">
        <v>2438</v>
      </c>
      <c r="J22" s="216">
        <v>1.0</v>
      </c>
      <c r="K22" s="215" t="s">
        <v>64</v>
      </c>
      <c r="L22" s="216">
        <v>10.0</v>
      </c>
      <c r="M22" s="218">
        <v>20.0</v>
      </c>
      <c r="N22" s="11">
        <f t="shared" si="1"/>
        <v>20</v>
      </c>
      <c r="O22" s="11" t="s">
        <v>20</v>
      </c>
      <c r="P22" s="93" t="s">
        <v>77</v>
      </c>
      <c r="Q22" s="93" t="s">
        <v>110</v>
      </c>
      <c r="R22" s="93" t="s">
        <v>111</v>
      </c>
      <c r="S22" s="217" t="s">
        <v>112</v>
      </c>
      <c r="T22" s="11" t="str">
        <f>IMAGE("https://i5.walmartimages.com/asr/093150f9-deec-44c1-a07d-a6985f3f45c7.dad44d94862d81eed55b6d8aef2937c1.jpeg?odnHeight=612&amp;odnWidth=612&amp;odnBg=FFFFFF",1)</f>
        <v/>
      </c>
      <c r="U22" s="78"/>
      <c r="V22" s="74"/>
      <c r="W22" s="75"/>
      <c r="X22" s="5"/>
      <c r="Y22" s="11"/>
      <c r="Z22" s="11">
        <v>1.0</v>
      </c>
      <c r="AA22" s="12"/>
      <c r="AB22" s="12"/>
    </row>
    <row r="23" ht="45.0" hidden="1" customHeight="1">
      <c r="A23" s="11">
        <v>22.0</v>
      </c>
      <c r="B23" s="11" t="s">
        <v>15</v>
      </c>
      <c r="C23" s="93" t="s">
        <v>115</v>
      </c>
      <c r="D23" s="11" t="s">
        <v>114</v>
      </c>
      <c r="E23" s="12"/>
      <c r="F23" s="12"/>
      <c r="G23" s="12"/>
      <c r="H23" s="12"/>
      <c r="I23" s="12" t="s">
        <v>2439</v>
      </c>
      <c r="J23" s="216">
        <v>10.0</v>
      </c>
      <c r="K23" s="215" t="s">
        <v>64</v>
      </c>
      <c r="L23" s="216">
        <v>5.0</v>
      </c>
      <c r="M23" s="216">
        <v>40.0</v>
      </c>
      <c r="N23" s="11">
        <f t="shared" si="1"/>
        <v>400</v>
      </c>
      <c r="O23" s="11" t="s">
        <v>20</v>
      </c>
      <c r="P23" s="93" t="s">
        <v>77</v>
      </c>
      <c r="Q23" s="93" t="s">
        <v>110</v>
      </c>
      <c r="R23" s="93" t="s">
        <v>111</v>
      </c>
      <c r="S23" s="11" t="s">
        <v>56</v>
      </c>
      <c r="T23" s="11" t="str">
        <f>IMAGE("https://m.media-amazon.com/images/I/81XeaSXczEL._SL1500_.jpg",1)</f>
        <v/>
      </c>
      <c r="U23" s="78"/>
      <c r="V23" s="74"/>
      <c r="W23" s="75"/>
      <c r="X23" s="12"/>
      <c r="Y23" s="11"/>
      <c r="Z23" s="11">
        <v>1.0</v>
      </c>
      <c r="AA23" s="12"/>
      <c r="AB23" s="12"/>
    </row>
    <row r="24" ht="45.0" hidden="1" customHeight="1">
      <c r="A24" s="11">
        <v>23.0</v>
      </c>
      <c r="B24" s="11" t="s">
        <v>15</v>
      </c>
      <c r="C24" s="93" t="s">
        <v>1897</v>
      </c>
      <c r="D24" s="11" t="s">
        <v>118</v>
      </c>
      <c r="E24" s="12"/>
      <c r="F24" s="12"/>
      <c r="G24" s="12"/>
      <c r="H24" s="12"/>
      <c r="I24" s="12" t="s">
        <v>2021</v>
      </c>
      <c r="J24" s="216">
        <v>10.0</v>
      </c>
      <c r="K24" s="215" t="s">
        <v>64</v>
      </c>
      <c r="L24" s="216">
        <v>10.0</v>
      </c>
      <c r="M24" s="216">
        <v>100.0</v>
      </c>
      <c r="N24" s="11">
        <f t="shared" si="1"/>
        <v>1000</v>
      </c>
      <c r="O24" s="11" t="s">
        <v>20</v>
      </c>
      <c r="P24" s="93" t="s">
        <v>21</v>
      </c>
      <c r="Q24" s="123" t="s">
        <v>65</v>
      </c>
      <c r="R24" s="93" t="s">
        <v>1898</v>
      </c>
      <c r="S24" s="217" t="s">
        <v>120</v>
      </c>
      <c r="T24" s="11" t="str">
        <f>IMAGE("https://www.faithfulltools.com/images/xxlarge/FAIRULE150SS.jpg",1)</f>
        <v/>
      </c>
      <c r="U24" s="333"/>
      <c r="V24" s="74"/>
      <c r="W24" s="75"/>
      <c r="X24" s="12"/>
      <c r="Y24" s="11"/>
      <c r="Z24" s="11">
        <v>1.0</v>
      </c>
      <c r="AA24" s="12"/>
      <c r="AB24" s="12"/>
    </row>
    <row r="25" ht="45.0" hidden="1" customHeight="1">
      <c r="A25" s="11">
        <v>24.0</v>
      </c>
      <c r="B25" s="11" t="s">
        <v>15</v>
      </c>
      <c r="C25" s="93" t="s">
        <v>123</v>
      </c>
      <c r="D25" s="11" t="s">
        <v>122</v>
      </c>
      <c r="E25" s="12"/>
      <c r="F25" s="12"/>
      <c r="G25" s="12"/>
      <c r="H25" s="12"/>
      <c r="I25" s="12" t="s">
        <v>2440</v>
      </c>
      <c r="J25" s="216">
        <v>10.0</v>
      </c>
      <c r="K25" s="215" t="s">
        <v>64</v>
      </c>
      <c r="L25" s="216">
        <v>10.0</v>
      </c>
      <c r="M25" s="216">
        <v>25.0</v>
      </c>
      <c r="N25" s="11">
        <f t="shared" si="1"/>
        <v>250</v>
      </c>
      <c r="O25" s="11" t="s">
        <v>20</v>
      </c>
      <c r="P25" s="93" t="s">
        <v>77</v>
      </c>
      <c r="Q25" s="123" t="s">
        <v>65</v>
      </c>
      <c r="R25" s="93" t="s">
        <v>1899</v>
      </c>
      <c r="S25" s="217" t="s">
        <v>124</v>
      </c>
      <c r="T25" s="11" t="str">
        <f>IMAGE("https://images.meesho.com/images/products/60299132/dranx_512.jpg",1)</f>
        <v/>
      </c>
      <c r="U25" s="78"/>
      <c r="V25" s="79"/>
      <c r="W25" s="80"/>
      <c r="X25" s="12"/>
      <c r="Y25" s="11"/>
      <c r="Z25" s="11">
        <v>1.0</v>
      </c>
      <c r="AA25" s="12"/>
      <c r="AB25" s="12"/>
    </row>
    <row r="26" ht="45.0" customHeight="1">
      <c r="A26" s="11">
        <v>391.0</v>
      </c>
      <c r="B26" s="11" t="s">
        <v>342</v>
      </c>
      <c r="C26" s="93" t="s">
        <v>1615</v>
      </c>
      <c r="D26" s="11" t="s">
        <v>1614</v>
      </c>
      <c r="E26" s="12"/>
      <c r="F26" s="12"/>
      <c r="G26" s="12"/>
      <c r="H26" s="12"/>
      <c r="I26" s="12" t="s">
        <v>2385</v>
      </c>
      <c r="J26" s="11">
        <v>5.0</v>
      </c>
      <c r="K26" s="215" t="s">
        <v>1601</v>
      </c>
      <c r="L26" s="11">
        <v>5.0</v>
      </c>
      <c r="M26" s="11">
        <v>30.0</v>
      </c>
      <c r="N26" s="11">
        <f t="shared" si="1"/>
        <v>150</v>
      </c>
      <c r="O26" s="11" t="s">
        <v>347</v>
      </c>
      <c r="P26" s="93" t="s">
        <v>65</v>
      </c>
      <c r="Q26" s="93" t="s">
        <v>1605</v>
      </c>
      <c r="R26" s="93" t="s">
        <v>1987</v>
      </c>
      <c r="S26" s="217" t="s">
        <v>1616</v>
      </c>
      <c r="T26" s="11" t="str">
        <f>IMAGE("https://4.imimg.com/data4/JF/WX/MY-2704359/thread-cutter-1000x1000.jpg",1)</f>
        <v/>
      </c>
      <c r="U26" s="78"/>
      <c r="V26" s="74"/>
      <c r="W26" s="75"/>
      <c r="X26" s="12"/>
      <c r="Y26" s="11"/>
      <c r="Z26" s="11">
        <v>3.0</v>
      </c>
      <c r="AA26" s="616"/>
      <c r="AB26" s="616"/>
    </row>
    <row r="27" ht="45.0" hidden="1" customHeight="1">
      <c r="A27" s="11">
        <v>26.0</v>
      </c>
      <c r="B27" s="11" t="s">
        <v>15</v>
      </c>
      <c r="C27" s="93" t="s">
        <v>131</v>
      </c>
      <c r="D27" s="11" t="s">
        <v>130</v>
      </c>
      <c r="E27" s="12"/>
      <c r="F27" s="12"/>
      <c r="G27" s="12"/>
      <c r="H27" s="12"/>
      <c r="I27" s="12" t="s">
        <v>2016</v>
      </c>
      <c r="J27" s="216">
        <v>10.0</v>
      </c>
      <c r="K27" s="215" t="s">
        <v>64</v>
      </c>
      <c r="L27" s="216">
        <v>10.0</v>
      </c>
      <c r="M27" s="216">
        <v>50.0</v>
      </c>
      <c r="N27" s="11">
        <f t="shared" si="1"/>
        <v>500</v>
      </c>
      <c r="O27" s="11" t="s">
        <v>20</v>
      </c>
      <c r="P27" s="93"/>
      <c r="Q27" s="93"/>
      <c r="R27" s="93" t="s">
        <v>1898</v>
      </c>
      <c r="S27" s="217" t="s">
        <v>132</v>
      </c>
      <c r="T27" s="11" t="str">
        <f>IMAGE("https://5.imimg.com/data5/AO/GN/AU/SELLER-10873750/floppy-disk-1000x1000.jpg",1)</f>
        <v/>
      </c>
      <c r="U27" s="78"/>
      <c r="V27" s="74"/>
      <c r="W27" s="75"/>
      <c r="X27" s="12"/>
      <c r="Y27" s="11"/>
      <c r="Z27" s="11">
        <v>1.0</v>
      </c>
      <c r="AA27" s="12"/>
      <c r="AB27" s="12"/>
    </row>
    <row r="28" ht="45.0" hidden="1" customHeight="1">
      <c r="A28" s="11">
        <v>27.0</v>
      </c>
      <c r="B28" s="11" t="s">
        <v>15</v>
      </c>
      <c r="C28" s="93" t="s">
        <v>135</v>
      </c>
      <c r="D28" s="11" t="s">
        <v>134</v>
      </c>
      <c r="E28" s="12"/>
      <c r="F28" s="12"/>
      <c r="G28" s="12"/>
      <c r="H28" s="12"/>
      <c r="I28" s="12" t="s">
        <v>2024</v>
      </c>
      <c r="J28" s="216">
        <v>10.0</v>
      </c>
      <c r="K28" s="215" t="s">
        <v>64</v>
      </c>
      <c r="L28" s="216">
        <v>10.0</v>
      </c>
      <c r="M28" s="216">
        <v>20.0</v>
      </c>
      <c r="N28" s="11">
        <f t="shared" si="1"/>
        <v>200</v>
      </c>
      <c r="O28" s="11" t="s">
        <v>20</v>
      </c>
      <c r="P28" s="93" t="s">
        <v>77</v>
      </c>
      <c r="Q28" s="123" t="s">
        <v>65</v>
      </c>
      <c r="R28" s="93" t="s">
        <v>1890</v>
      </c>
      <c r="S28" s="217" t="s">
        <v>136</v>
      </c>
      <c r="T28" s="11" t="str">
        <f>IMAGE("https://m.media-amazon.com/images/I/717edTeWYZL._SL1500_.jpg",1)</f>
        <v/>
      </c>
      <c r="U28" s="78"/>
      <c r="V28" s="74"/>
      <c r="W28" s="75"/>
      <c r="X28" s="5"/>
      <c r="Y28" s="11"/>
      <c r="Z28" s="11">
        <v>1.0</v>
      </c>
      <c r="AA28" s="12"/>
      <c r="AB28" s="12"/>
    </row>
    <row r="29" ht="45.0" customHeight="1">
      <c r="A29" s="11">
        <v>69.0</v>
      </c>
      <c r="B29" s="11" t="s">
        <v>321</v>
      </c>
      <c r="C29" s="93" t="s">
        <v>324</v>
      </c>
      <c r="D29" s="11" t="s">
        <v>323</v>
      </c>
      <c r="E29" s="12"/>
      <c r="F29" s="12"/>
      <c r="G29" s="12"/>
      <c r="H29" s="12"/>
      <c r="I29" s="12" t="s">
        <v>2049</v>
      </c>
      <c r="J29" s="11">
        <v>1.0</v>
      </c>
      <c r="K29" s="215" t="s">
        <v>325</v>
      </c>
      <c r="L29" s="11">
        <v>1.0</v>
      </c>
      <c r="M29" s="11">
        <v>200.0</v>
      </c>
      <c r="N29" s="11">
        <f t="shared" si="1"/>
        <v>200</v>
      </c>
      <c r="O29" s="11" t="s">
        <v>326</v>
      </c>
      <c r="P29" s="93"/>
      <c r="Q29" s="93"/>
      <c r="R29" s="93" t="s">
        <v>1925</v>
      </c>
      <c r="S29" s="217" t="s">
        <v>78</v>
      </c>
      <c r="T29" s="11" t="str">
        <f>IMAGE("https://5.imimg.com/data5/PL/FV/MY-11916319/synthetic-angle-broom-500x500.jpg",1)</f>
        <v/>
      </c>
      <c r="U29" s="78"/>
      <c r="V29" s="74"/>
      <c r="W29" s="75"/>
      <c r="X29" s="12"/>
      <c r="Y29" s="11"/>
      <c r="Z29" s="11">
        <v>3.0</v>
      </c>
      <c r="AA29" s="616" t="s">
        <v>2430</v>
      </c>
      <c r="AB29" s="616">
        <v>1.0</v>
      </c>
    </row>
    <row r="30" ht="45.0" hidden="1" customHeight="1">
      <c r="A30" s="11">
        <v>29.0</v>
      </c>
      <c r="B30" s="11" t="s">
        <v>137</v>
      </c>
      <c r="C30" s="93" t="s">
        <v>147</v>
      </c>
      <c r="D30" s="11" t="s">
        <v>146</v>
      </c>
      <c r="E30" s="12"/>
      <c r="F30" s="12"/>
      <c r="G30" s="12"/>
      <c r="H30" s="12"/>
      <c r="I30" s="12" t="s">
        <v>2025</v>
      </c>
      <c r="J30" s="216">
        <v>1.0</v>
      </c>
      <c r="K30" s="215" t="s">
        <v>141</v>
      </c>
      <c r="L30" s="216">
        <v>1.0</v>
      </c>
      <c r="M30" s="216">
        <v>1000.0</v>
      </c>
      <c r="N30" s="11">
        <f t="shared" si="1"/>
        <v>1000</v>
      </c>
      <c r="O30" s="11" t="s">
        <v>142</v>
      </c>
      <c r="P30" s="93"/>
      <c r="Q30" s="93" t="s">
        <v>1902</v>
      </c>
      <c r="R30" s="93" t="s">
        <v>1901</v>
      </c>
      <c r="S30" s="217" t="s">
        <v>148</v>
      </c>
      <c r="T30" s="11" t="str">
        <f>IMAGE("https://i0.wp.com/www.deltastore.in/wp-content/uploads/2021/05/Untitled-design-95.png?fit=1080%2C1080&amp;ssl=1",1)</f>
        <v/>
      </c>
      <c r="U30" s="78"/>
      <c r="V30" s="74"/>
      <c r="W30" s="75"/>
      <c r="X30" s="12"/>
      <c r="Y30" s="11"/>
      <c r="Z30" s="11">
        <v>1.0</v>
      </c>
      <c r="AA30" s="12"/>
      <c r="AB30" s="12"/>
    </row>
    <row r="31" ht="45.0" customHeight="1">
      <c r="A31" s="11">
        <v>70.0</v>
      </c>
      <c r="B31" s="11" t="s">
        <v>321</v>
      </c>
      <c r="C31" s="93" t="s">
        <v>329</v>
      </c>
      <c r="D31" s="11" t="s">
        <v>328</v>
      </c>
      <c r="E31" s="12"/>
      <c r="F31" s="12"/>
      <c r="G31" s="12"/>
      <c r="H31" s="12"/>
      <c r="I31" s="12" t="s">
        <v>2049</v>
      </c>
      <c r="J31" s="11">
        <v>1.0</v>
      </c>
      <c r="K31" s="215" t="s">
        <v>325</v>
      </c>
      <c r="L31" s="11">
        <v>1.0</v>
      </c>
      <c r="M31" s="11">
        <v>100.0</v>
      </c>
      <c r="N31" s="11">
        <f t="shared" si="1"/>
        <v>100</v>
      </c>
      <c r="O31" s="11" t="s">
        <v>326</v>
      </c>
      <c r="P31" s="93"/>
      <c r="Q31" s="93"/>
      <c r="R31" s="93" t="s">
        <v>1925</v>
      </c>
      <c r="S31" s="217" t="s">
        <v>330</v>
      </c>
      <c r="T31" s="11" t="str">
        <f>IMAGE("https://m.media-amazon.com/images/W/MEDIAX_792452-T2/images/I/61z4uqZdmPL._AC_UF1000,1000_QL80_.jpg",1)</f>
        <v/>
      </c>
      <c r="U31" s="78" t="s">
        <v>56</v>
      </c>
      <c r="V31" s="79"/>
      <c r="W31" s="80"/>
      <c r="X31" s="12"/>
      <c r="Y31" s="11"/>
      <c r="Z31" s="11">
        <v>3.0</v>
      </c>
      <c r="AA31" s="616" t="s">
        <v>2430</v>
      </c>
      <c r="AB31" s="616">
        <v>2.0</v>
      </c>
    </row>
    <row r="32" ht="45.0" customHeight="1">
      <c r="A32" s="11">
        <v>71.0</v>
      </c>
      <c r="B32" s="11" t="s">
        <v>321</v>
      </c>
      <c r="C32" s="93" t="s">
        <v>333</v>
      </c>
      <c r="D32" s="11" t="s">
        <v>332</v>
      </c>
      <c r="E32" s="12"/>
      <c r="F32" s="12"/>
      <c r="G32" s="12"/>
      <c r="H32" s="12"/>
      <c r="I32" s="12" t="s">
        <v>2049</v>
      </c>
      <c r="J32" s="11">
        <v>5.0</v>
      </c>
      <c r="K32" s="215" t="s">
        <v>325</v>
      </c>
      <c r="L32" s="11">
        <v>5.0</v>
      </c>
      <c r="M32" s="11">
        <v>100.0</v>
      </c>
      <c r="N32" s="11">
        <f t="shared" si="1"/>
        <v>500</v>
      </c>
      <c r="O32" s="11" t="s">
        <v>326</v>
      </c>
      <c r="P32" s="93"/>
      <c r="Q32" s="93"/>
      <c r="R32" s="93" t="s">
        <v>1925</v>
      </c>
      <c r="S32" s="217" t="s">
        <v>334</v>
      </c>
      <c r="T32" s="11" t="str">
        <f>IMAGE("https://m.media-amazon.com/images/W/MEDIAX_792452-T2/images/I/61Njm4X2d2L._AC_UF1000,1000_QL80_.jpg",1)</f>
        <v/>
      </c>
      <c r="U32" s="78"/>
      <c r="V32" s="74"/>
      <c r="W32" s="75"/>
      <c r="X32" s="12"/>
      <c r="Y32" s="11"/>
      <c r="Z32" s="11">
        <v>3.0</v>
      </c>
      <c r="AA32" s="616" t="s">
        <v>2430</v>
      </c>
      <c r="AB32" s="616">
        <v>1.0</v>
      </c>
    </row>
    <row r="33" ht="45.0" customHeight="1">
      <c r="A33" s="11">
        <v>72.0</v>
      </c>
      <c r="B33" s="11" t="s">
        <v>321</v>
      </c>
      <c r="C33" s="93" t="s">
        <v>337</v>
      </c>
      <c r="D33" s="11" t="s">
        <v>336</v>
      </c>
      <c r="E33" s="12"/>
      <c r="F33" s="12"/>
      <c r="G33" s="12"/>
      <c r="H33" s="12"/>
      <c r="I33" s="12" t="s">
        <v>2049</v>
      </c>
      <c r="J33" s="11">
        <v>1.0</v>
      </c>
      <c r="K33" s="215" t="s">
        <v>325</v>
      </c>
      <c r="L33" s="11">
        <v>1.0</v>
      </c>
      <c r="M33" s="11">
        <v>3600.0</v>
      </c>
      <c r="N33" s="11">
        <f t="shared" si="1"/>
        <v>3600</v>
      </c>
      <c r="O33" s="11" t="s">
        <v>326</v>
      </c>
      <c r="P33" s="93" t="s">
        <v>65</v>
      </c>
      <c r="Q33" s="123" t="s">
        <v>65</v>
      </c>
      <c r="R33" s="93" t="s">
        <v>1925</v>
      </c>
      <c r="S33" s="217" t="s">
        <v>338</v>
      </c>
      <c r="T33" s="11" t="str">
        <f>IMAGE("https://m.media-amazon.com/images/I/61HelF+y3YL._SL1500_.jpg",1)</f>
        <v/>
      </c>
      <c r="U33" s="73" t="s">
        <v>1689</v>
      </c>
      <c r="V33" s="74"/>
      <c r="W33" s="75"/>
      <c r="X33" s="5"/>
      <c r="Y33" s="14"/>
      <c r="Z33" s="11">
        <v>3.0</v>
      </c>
      <c r="AA33" s="616" t="s">
        <v>2430</v>
      </c>
      <c r="AB33" s="616">
        <v>1.0</v>
      </c>
    </row>
    <row r="34" ht="45.0" customHeight="1">
      <c r="A34" s="11">
        <v>73.0</v>
      </c>
      <c r="B34" s="11" t="s">
        <v>321</v>
      </c>
      <c r="C34" s="93" t="s">
        <v>341</v>
      </c>
      <c r="D34" s="11" t="s">
        <v>340</v>
      </c>
      <c r="E34" s="12"/>
      <c r="F34" s="12"/>
      <c r="G34" s="12"/>
      <c r="H34" s="12"/>
      <c r="I34" s="12" t="s">
        <v>2049</v>
      </c>
      <c r="J34" s="11">
        <v>3.0</v>
      </c>
      <c r="K34" s="215" t="s">
        <v>325</v>
      </c>
      <c r="L34" s="11">
        <v>3.0</v>
      </c>
      <c r="M34" s="11">
        <v>800.0</v>
      </c>
      <c r="N34" s="11">
        <f t="shared" si="1"/>
        <v>2400</v>
      </c>
      <c r="O34" s="11" t="s">
        <v>326</v>
      </c>
      <c r="P34" s="93"/>
      <c r="Q34" s="93"/>
      <c r="R34" s="93" t="s">
        <v>1925</v>
      </c>
      <c r="S34" s="217"/>
      <c r="T34" s="11" t="str">
        <f>IMAGE("https://rukminim2.flixcart.com/image/850/1000/kshtxu80/dustbin/p/l/y/swaccha-bharat-champaign-dry-and-wet-waste-bins-small-11ltr-original-imag6fnfj6pqmsba.jpeg?q=20",1)</f>
        <v/>
      </c>
      <c r="U34" s="78"/>
      <c r="V34" s="79"/>
      <c r="W34" s="80"/>
      <c r="X34" s="12"/>
      <c r="Y34" s="11"/>
      <c r="Z34" s="11">
        <v>3.0</v>
      </c>
      <c r="AA34" s="616" t="s">
        <v>2430</v>
      </c>
      <c r="AB34" s="616">
        <v>1.0</v>
      </c>
    </row>
    <row r="35" ht="45.0" customHeight="1">
      <c r="A35" s="11">
        <v>2.0</v>
      </c>
      <c r="B35" s="11" t="s">
        <v>15</v>
      </c>
      <c r="C35" s="93" t="s">
        <v>27</v>
      </c>
      <c r="D35" s="11" t="s">
        <v>26</v>
      </c>
      <c r="E35" s="12"/>
      <c r="F35" s="12"/>
      <c r="G35" s="12"/>
      <c r="H35" s="12"/>
      <c r="I35" s="12" t="s">
        <v>2007</v>
      </c>
      <c r="J35" s="216">
        <v>2.0</v>
      </c>
      <c r="K35" s="215" t="s">
        <v>19</v>
      </c>
      <c r="L35" s="216">
        <v>1.0</v>
      </c>
      <c r="M35" s="216">
        <v>150.0</v>
      </c>
      <c r="N35" s="11">
        <f t="shared" si="1"/>
        <v>300</v>
      </c>
      <c r="O35" s="11" t="s">
        <v>20</v>
      </c>
      <c r="P35" s="93" t="s">
        <v>21</v>
      </c>
      <c r="Q35" s="93"/>
      <c r="R35" s="93" t="s">
        <v>23</v>
      </c>
      <c r="S35" s="217" t="s">
        <v>28</v>
      </c>
      <c r="T35" s="11" t="str">
        <f>IMAGE("https://5.imimg.com/data5/BN/FC/MY-25588345/omega-cell-tape-dispenser-500x500.jpg",1)</f>
        <v/>
      </c>
      <c r="U35" s="78"/>
      <c r="V35" s="74"/>
      <c r="W35" s="75"/>
      <c r="X35" s="12"/>
      <c r="Y35" s="11"/>
      <c r="Z35" s="11">
        <v>3.0</v>
      </c>
      <c r="AA35" s="616" t="s">
        <v>2430</v>
      </c>
      <c r="AB35" s="616">
        <v>1.0</v>
      </c>
    </row>
    <row r="36" ht="45.0" hidden="1" customHeight="1">
      <c r="A36" s="11">
        <v>35.0</v>
      </c>
      <c r="B36" s="11" t="s">
        <v>137</v>
      </c>
      <c r="C36" s="93" t="s">
        <v>171</v>
      </c>
      <c r="D36" s="11" t="s">
        <v>170</v>
      </c>
      <c r="E36" s="12"/>
      <c r="F36" s="12"/>
      <c r="G36" s="12"/>
      <c r="H36" s="12"/>
      <c r="I36" s="12" t="s">
        <v>2368</v>
      </c>
      <c r="J36" s="216">
        <v>1.0</v>
      </c>
      <c r="K36" s="215" t="s">
        <v>141</v>
      </c>
      <c r="L36" s="216">
        <v>1.0</v>
      </c>
      <c r="M36" s="216">
        <v>35000.0</v>
      </c>
      <c r="N36" s="11">
        <f t="shared" si="1"/>
        <v>35000</v>
      </c>
      <c r="O36" s="11" t="s">
        <v>142</v>
      </c>
      <c r="P36" s="93"/>
      <c r="Q36" s="123" t="s">
        <v>1904</v>
      </c>
      <c r="R36" s="93" t="s">
        <v>1901</v>
      </c>
      <c r="S36" s="217" t="s">
        <v>172</v>
      </c>
      <c r="T36" s="11" t="str">
        <f>IMAGE("https://www.designinfo.in/wp-content/uploads/nc/p/5/1/4/9/0/51490-485x485.jpg",1)</f>
        <v/>
      </c>
      <c r="U36" s="73" t="s">
        <v>1684</v>
      </c>
      <c r="V36" s="74">
        <v>55.0</v>
      </c>
      <c r="W36" s="75"/>
      <c r="X36" s="12"/>
      <c r="Y36" s="11"/>
      <c r="Z36" s="11">
        <v>1.0</v>
      </c>
      <c r="AA36" s="12"/>
      <c r="AB36" s="12"/>
    </row>
    <row r="37" ht="45.0" hidden="1" customHeight="1">
      <c r="A37" s="11">
        <v>36.0</v>
      </c>
      <c r="B37" s="11" t="s">
        <v>173</v>
      </c>
      <c r="C37" s="93" t="s">
        <v>176</v>
      </c>
      <c r="D37" s="11" t="s">
        <v>175</v>
      </c>
      <c r="E37" s="12"/>
      <c r="F37" s="12"/>
      <c r="G37" s="12"/>
      <c r="H37" s="12"/>
      <c r="I37" s="12" t="s">
        <v>2033</v>
      </c>
      <c r="J37" s="216">
        <v>5.0</v>
      </c>
      <c r="K37" s="215" t="s">
        <v>177</v>
      </c>
      <c r="L37" s="216">
        <v>5.0</v>
      </c>
      <c r="M37" s="216">
        <v>250.0</v>
      </c>
      <c r="N37" s="11">
        <f t="shared" si="1"/>
        <v>1250</v>
      </c>
      <c r="O37" s="11" t="s">
        <v>178</v>
      </c>
      <c r="P37" s="93"/>
      <c r="Q37" s="93" t="s">
        <v>179</v>
      </c>
      <c r="R37" s="93" t="s">
        <v>1905</v>
      </c>
      <c r="S37" s="217" t="s">
        <v>180</v>
      </c>
      <c r="T37" s="11" t="str">
        <f>IMAGE("https://robu.in/wp-content/uploads/2021/05/EU-Plug-Universal-Battery-Charger-For-18650-16340-14500-Li-ion-Rechargeable-Battery-Charger-3.jpg",1)</f>
        <v/>
      </c>
      <c r="U37" s="78" t="s">
        <v>1688</v>
      </c>
      <c r="V37" s="74"/>
      <c r="W37" s="75"/>
      <c r="X37" s="12"/>
      <c r="Y37" s="11"/>
      <c r="Z37" s="11">
        <v>1.0</v>
      </c>
      <c r="AA37" s="12"/>
      <c r="AB37" s="12"/>
    </row>
    <row r="38" ht="45.0" hidden="1" customHeight="1">
      <c r="A38" s="11">
        <v>37.0</v>
      </c>
      <c r="B38" s="11" t="s">
        <v>173</v>
      </c>
      <c r="C38" s="93" t="s">
        <v>1906</v>
      </c>
      <c r="D38" s="11" t="s">
        <v>182</v>
      </c>
      <c r="E38" s="12"/>
      <c r="F38" s="12"/>
      <c r="G38" s="12"/>
      <c r="H38" s="12"/>
      <c r="I38" s="12" t="s">
        <v>2034</v>
      </c>
      <c r="J38" s="216">
        <v>5.0</v>
      </c>
      <c r="K38" s="215" t="s">
        <v>177</v>
      </c>
      <c r="L38" s="216">
        <v>5.0</v>
      </c>
      <c r="M38" s="216">
        <v>100.0</v>
      </c>
      <c r="N38" s="11">
        <f t="shared" si="1"/>
        <v>500</v>
      </c>
      <c r="O38" s="11" t="s">
        <v>178</v>
      </c>
      <c r="P38" s="93"/>
      <c r="Q38" s="93" t="s">
        <v>110</v>
      </c>
      <c r="R38" s="93" t="s">
        <v>1907</v>
      </c>
      <c r="S38" s="223" t="s">
        <v>185</v>
      </c>
      <c r="T38" s="11" t="str">
        <f>IMAGE("https://rukminim2.flixcart.com/image/832/832/krs40i80/worldwide-adaptor/f/7/g/pack-of-1-power-adapter-12v-2-amp-dual-pin-for-charger-with-original-imag5hmbvgzazbzz.jpeg?q=70",1)</f>
        <v/>
      </c>
      <c r="U38" s="78" t="s">
        <v>1688</v>
      </c>
      <c r="V38" s="74"/>
      <c r="W38" s="75"/>
      <c r="X38" s="12"/>
      <c r="Y38" s="11"/>
      <c r="Z38" s="11">
        <v>1.0</v>
      </c>
      <c r="AA38" s="12"/>
      <c r="AB38" s="12"/>
    </row>
    <row r="39" ht="45.0" hidden="1" customHeight="1">
      <c r="A39" s="11">
        <v>38.0</v>
      </c>
      <c r="B39" s="11" t="s">
        <v>173</v>
      </c>
      <c r="C39" s="93" t="s">
        <v>1908</v>
      </c>
      <c r="D39" s="11" t="s">
        <v>187</v>
      </c>
      <c r="E39" s="12"/>
      <c r="F39" s="12"/>
      <c r="G39" s="12"/>
      <c r="H39" s="12"/>
      <c r="I39" s="12" t="s">
        <v>2035</v>
      </c>
      <c r="J39" s="216">
        <v>5.0</v>
      </c>
      <c r="K39" s="215" t="s">
        <v>177</v>
      </c>
      <c r="L39" s="216">
        <v>5.0</v>
      </c>
      <c r="M39" s="216">
        <v>300.0</v>
      </c>
      <c r="N39" s="11">
        <f t="shared" si="1"/>
        <v>1500</v>
      </c>
      <c r="O39" s="11" t="s">
        <v>178</v>
      </c>
      <c r="P39" s="93"/>
      <c r="Q39" s="93" t="s">
        <v>66</v>
      </c>
      <c r="R39" s="93" t="s">
        <v>1909</v>
      </c>
      <c r="S39" s="217" t="s">
        <v>189</v>
      </c>
      <c r="T39" s="11" t="str">
        <f>IMAGE("https://m.media-amazon.com/images/I/6161NXWtz-L._SL1500_.jpg",1)</f>
        <v/>
      </c>
      <c r="U39" s="78" t="s">
        <v>1688</v>
      </c>
      <c r="V39" s="74"/>
      <c r="W39" s="75"/>
      <c r="X39" s="12"/>
      <c r="Y39" s="11"/>
      <c r="Z39" s="11">
        <v>1.0</v>
      </c>
      <c r="AA39" s="12"/>
      <c r="AB39" s="12"/>
    </row>
    <row r="40" ht="45.0" hidden="1" customHeight="1">
      <c r="A40" s="11">
        <v>39.0</v>
      </c>
      <c r="B40" s="11" t="s">
        <v>173</v>
      </c>
      <c r="C40" s="93" t="s">
        <v>1910</v>
      </c>
      <c r="D40" s="11" t="s">
        <v>191</v>
      </c>
      <c r="E40" s="12"/>
      <c r="F40" s="12"/>
      <c r="G40" s="12"/>
      <c r="H40" s="12"/>
      <c r="I40" s="12" t="s">
        <v>2441</v>
      </c>
      <c r="J40" s="216">
        <v>20.0</v>
      </c>
      <c r="K40" s="215" t="s">
        <v>177</v>
      </c>
      <c r="L40" s="216">
        <v>20.0</v>
      </c>
      <c r="M40" s="216">
        <v>6.0</v>
      </c>
      <c r="N40" s="11">
        <f t="shared" si="1"/>
        <v>120</v>
      </c>
      <c r="O40" s="11" t="s">
        <v>178</v>
      </c>
      <c r="P40" s="93"/>
      <c r="Q40" s="93" t="s">
        <v>193</v>
      </c>
      <c r="R40" s="93" t="s">
        <v>1909</v>
      </c>
      <c r="S40" s="217" t="s">
        <v>195</v>
      </c>
      <c r="T40" s="11" t="str">
        <f>IMAGE("https://i0.wp.com/www.rytronics.in/wp-content/uploads/2021/09/9v-batter-connector-snap-connector02.jpg?fit=1000%2C1000&amp;ssl=1",1)</f>
        <v/>
      </c>
      <c r="U40" s="78" t="s">
        <v>1688</v>
      </c>
      <c r="V40" s="74"/>
      <c r="W40" s="75"/>
      <c r="X40" s="12"/>
      <c r="Y40" s="11"/>
      <c r="Z40" s="11">
        <v>1.0</v>
      </c>
      <c r="AA40" s="12"/>
      <c r="AB40" s="12"/>
    </row>
    <row r="41" ht="45.0" hidden="1" customHeight="1">
      <c r="A41" s="11">
        <v>40.0</v>
      </c>
      <c r="B41" s="11" t="s">
        <v>173</v>
      </c>
      <c r="C41" s="93" t="s">
        <v>1911</v>
      </c>
      <c r="D41" s="11" t="s">
        <v>197</v>
      </c>
      <c r="E41" s="12"/>
      <c r="F41" s="12"/>
      <c r="G41" s="12"/>
      <c r="H41" s="12"/>
      <c r="I41" s="12" t="s">
        <v>2441</v>
      </c>
      <c r="J41" s="216">
        <v>15.0</v>
      </c>
      <c r="K41" s="215" t="s">
        <v>177</v>
      </c>
      <c r="L41" s="216">
        <v>15.0</v>
      </c>
      <c r="M41" s="216">
        <v>20.0</v>
      </c>
      <c r="N41" s="11">
        <f t="shared" si="1"/>
        <v>300</v>
      </c>
      <c r="O41" s="11" t="s">
        <v>178</v>
      </c>
      <c r="P41" s="93"/>
      <c r="Q41" s="93" t="s">
        <v>193</v>
      </c>
      <c r="R41" s="93" t="s">
        <v>1909</v>
      </c>
      <c r="S41" s="217" t="s">
        <v>199</v>
      </c>
      <c r="T41" s="11" t="str">
        <f>IMAGE("https://m.media-amazon.com/images/W/MEDIAX_792452-T2/images/I/61UPqH4BXuL.SS700.jpg",1)</f>
        <v/>
      </c>
      <c r="U41" s="78" t="s">
        <v>1688</v>
      </c>
      <c r="V41" s="74"/>
      <c r="W41" s="75"/>
      <c r="X41" s="12"/>
      <c r="Y41" s="11"/>
      <c r="Z41" s="11">
        <v>1.0</v>
      </c>
      <c r="AA41" s="12"/>
      <c r="AB41" s="12"/>
    </row>
    <row r="42" ht="45.0" hidden="1" customHeight="1">
      <c r="A42" s="11">
        <v>41.0</v>
      </c>
      <c r="B42" s="11" t="s">
        <v>173</v>
      </c>
      <c r="C42" s="93" t="s">
        <v>1912</v>
      </c>
      <c r="D42" s="11" t="s">
        <v>201</v>
      </c>
      <c r="E42" s="12"/>
      <c r="F42" s="12"/>
      <c r="G42" s="12"/>
      <c r="H42" s="12"/>
      <c r="I42" s="12" t="s">
        <v>2037</v>
      </c>
      <c r="J42" s="216">
        <v>10.0</v>
      </c>
      <c r="K42" s="215" t="s">
        <v>177</v>
      </c>
      <c r="L42" s="216">
        <v>10.0</v>
      </c>
      <c r="M42" s="216">
        <v>50.0</v>
      </c>
      <c r="N42" s="11">
        <f t="shared" si="1"/>
        <v>500</v>
      </c>
      <c r="O42" s="11" t="s">
        <v>178</v>
      </c>
      <c r="P42" s="93"/>
      <c r="Q42" s="93" t="s">
        <v>22</v>
      </c>
      <c r="R42" s="93" t="s">
        <v>1909</v>
      </c>
      <c r="S42" s="217" t="s">
        <v>204</v>
      </c>
      <c r="T42" s="11" t="str">
        <f>IMAGE("https://robotools.in/wp-content/uploads/2022/09/18650-x-2-battery-holder-with-cover-and-OnOff-Switch-5.jpg",1)</f>
        <v/>
      </c>
      <c r="U42" s="78" t="s">
        <v>1688</v>
      </c>
      <c r="V42" s="74"/>
      <c r="W42" s="75"/>
      <c r="X42" s="12"/>
      <c r="Y42" s="11"/>
      <c r="Z42" s="11">
        <v>1.0</v>
      </c>
      <c r="AA42" s="12"/>
      <c r="AB42" s="12"/>
    </row>
    <row r="43" ht="45.0" hidden="1" customHeight="1">
      <c r="A43" s="11">
        <v>42.0</v>
      </c>
      <c r="B43" s="11" t="s">
        <v>173</v>
      </c>
      <c r="C43" s="93" t="s">
        <v>1913</v>
      </c>
      <c r="D43" s="11" t="s">
        <v>206</v>
      </c>
      <c r="E43" s="12"/>
      <c r="F43" s="12"/>
      <c r="G43" s="12"/>
      <c r="H43" s="12"/>
      <c r="I43" s="12" t="s">
        <v>2037</v>
      </c>
      <c r="J43" s="216">
        <v>30.0</v>
      </c>
      <c r="K43" s="215" t="s">
        <v>177</v>
      </c>
      <c r="L43" s="216">
        <v>30.0</v>
      </c>
      <c r="M43" s="216">
        <v>20.0</v>
      </c>
      <c r="N43" s="11">
        <f t="shared" si="1"/>
        <v>600</v>
      </c>
      <c r="O43" s="11" t="s">
        <v>178</v>
      </c>
      <c r="P43" s="93"/>
      <c r="Q43" s="93" t="s">
        <v>22</v>
      </c>
      <c r="R43" s="93" t="s">
        <v>1909</v>
      </c>
      <c r="S43" s="217" t="s">
        <v>208</v>
      </c>
      <c r="T43" s="11" t="str">
        <f>IMAGE("https://robu.in/wp-content/uploads/2019/03/2-x-1.5V-AA-battery-holder-with-cover-and-OnOff-Switch-6.jpg",1)</f>
        <v/>
      </c>
      <c r="U43" s="78" t="s">
        <v>1688</v>
      </c>
      <c r="V43" s="74"/>
      <c r="W43" s="75"/>
      <c r="X43" s="12"/>
      <c r="Y43" s="11"/>
      <c r="Z43" s="11">
        <v>1.0</v>
      </c>
      <c r="AA43" s="12"/>
      <c r="AB43" s="12"/>
    </row>
    <row r="44" ht="45.0" hidden="1" customHeight="1">
      <c r="A44" s="11">
        <v>43.0</v>
      </c>
      <c r="B44" s="11" t="s">
        <v>173</v>
      </c>
      <c r="C44" s="93" t="s">
        <v>1914</v>
      </c>
      <c r="D44" s="11" t="s">
        <v>210</v>
      </c>
      <c r="E44" s="12"/>
      <c r="F44" s="12"/>
      <c r="G44" s="12"/>
      <c r="H44" s="12"/>
      <c r="I44" s="12" t="s">
        <v>2037</v>
      </c>
      <c r="J44" s="216">
        <v>20.0</v>
      </c>
      <c r="K44" s="215" t="s">
        <v>177</v>
      </c>
      <c r="L44" s="216">
        <v>20.0</v>
      </c>
      <c r="M44" s="216">
        <v>40.0</v>
      </c>
      <c r="N44" s="11">
        <f t="shared" si="1"/>
        <v>800</v>
      </c>
      <c r="O44" s="11" t="s">
        <v>178</v>
      </c>
      <c r="P44" s="93"/>
      <c r="Q44" s="93" t="s">
        <v>22</v>
      </c>
      <c r="R44" s="93" t="s">
        <v>1909</v>
      </c>
      <c r="S44" s="217" t="s">
        <v>212</v>
      </c>
      <c r="T44" s="11" t="str">
        <f>IMAGE("https://probots.co.in/pub/media/catalog/product/cache/d8ddd0f9b0cd008b57085cd218b48832/4/-/4-x-1.5v-aa-battery-holder01.jpg",1)</f>
        <v/>
      </c>
      <c r="U44" s="78" t="s">
        <v>1688</v>
      </c>
      <c r="V44" s="74"/>
      <c r="W44" s="75"/>
      <c r="X44" s="5"/>
      <c r="Y44" s="14"/>
      <c r="Z44" s="11">
        <v>1.0</v>
      </c>
      <c r="AA44" s="12"/>
      <c r="AB44" s="12"/>
    </row>
    <row r="45" ht="45.0" hidden="1" customHeight="1">
      <c r="A45" s="11">
        <v>44.0</v>
      </c>
      <c r="B45" s="11" t="s">
        <v>173</v>
      </c>
      <c r="C45" s="93" t="s">
        <v>1915</v>
      </c>
      <c r="D45" s="11" t="s">
        <v>214</v>
      </c>
      <c r="E45" s="12"/>
      <c r="F45" s="12"/>
      <c r="G45" s="12"/>
      <c r="H45" s="12"/>
      <c r="I45" s="12" t="s">
        <v>2038</v>
      </c>
      <c r="J45" s="216">
        <v>20.0</v>
      </c>
      <c r="K45" s="215" t="s">
        <v>177</v>
      </c>
      <c r="L45" s="216">
        <v>20.0</v>
      </c>
      <c r="M45" s="216">
        <v>30.0</v>
      </c>
      <c r="N45" s="11">
        <f t="shared" si="1"/>
        <v>600</v>
      </c>
      <c r="O45" s="11" t="s">
        <v>178</v>
      </c>
      <c r="P45" s="93"/>
      <c r="Q45" s="93" t="s">
        <v>193</v>
      </c>
      <c r="R45" s="93" t="s">
        <v>1909</v>
      </c>
      <c r="S45" s="217" t="s">
        <v>217</v>
      </c>
      <c r="T45" s="11" t="str">
        <f>IMAGE("https://robu.in/wp-content/uploads/2022/06/510c1Z93PDL._SX679_.jpg",1)</f>
        <v/>
      </c>
      <c r="U45" s="78" t="s">
        <v>1688</v>
      </c>
      <c r="V45" s="74"/>
      <c r="W45" s="75"/>
      <c r="X45" s="12"/>
      <c r="Y45" s="11"/>
      <c r="Z45" s="11">
        <v>1.0</v>
      </c>
      <c r="AA45" s="12"/>
      <c r="AB45" s="12"/>
    </row>
    <row r="46" ht="45.0" hidden="1" customHeight="1">
      <c r="A46" s="11">
        <v>45.0</v>
      </c>
      <c r="B46" s="11" t="s">
        <v>173</v>
      </c>
      <c r="C46" s="93" t="s">
        <v>220</v>
      </c>
      <c r="D46" s="11" t="s">
        <v>219</v>
      </c>
      <c r="E46" s="12"/>
      <c r="F46" s="12"/>
      <c r="G46" s="12"/>
      <c r="H46" s="12"/>
      <c r="I46" s="12" t="s">
        <v>2442</v>
      </c>
      <c r="J46" s="216">
        <v>5.0</v>
      </c>
      <c r="K46" s="215" t="s">
        <v>177</v>
      </c>
      <c r="L46" s="216">
        <v>5.0</v>
      </c>
      <c r="M46" s="216">
        <v>500.0</v>
      </c>
      <c r="N46" s="11">
        <f t="shared" si="1"/>
        <v>2500</v>
      </c>
      <c r="O46" s="11" t="s">
        <v>178</v>
      </c>
      <c r="P46" s="93"/>
      <c r="Q46" s="93"/>
      <c r="R46" s="93" t="s">
        <v>1905</v>
      </c>
      <c r="S46" s="217" t="s">
        <v>221</v>
      </c>
      <c r="T46" s="11" t="str">
        <f>IMAGE("https://i02.psgsm.net/gsm.com/p/887576/480/power-bank-hoco-j26-10000-mah-micro-usb-type-b-input-5v-2a-2-usb-outputs-5-v-2-1-a-139-70-16-mm-with-micro-usb-cable-type-b-black.jpg",1)</f>
        <v/>
      </c>
      <c r="U46" s="78" t="s">
        <v>1688</v>
      </c>
      <c r="V46" s="74"/>
      <c r="W46" s="75"/>
      <c r="X46" s="12"/>
      <c r="Y46" s="11"/>
      <c r="Z46" s="11">
        <v>1.0</v>
      </c>
      <c r="AA46" s="12"/>
      <c r="AB46" s="12"/>
    </row>
    <row r="47" ht="45.0" hidden="1" customHeight="1">
      <c r="A47" s="11">
        <v>46.0</v>
      </c>
      <c r="B47" s="11" t="s">
        <v>173</v>
      </c>
      <c r="C47" s="93" t="s">
        <v>1741</v>
      </c>
      <c r="D47" s="11" t="s">
        <v>223</v>
      </c>
      <c r="E47" s="12"/>
      <c r="F47" s="12"/>
      <c r="G47" s="12"/>
      <c r="H47" s="12"/>
      <c r="I47" s="12" t="s">
        <v>2040</v>
      </c>
      <c r="J47" s="216">
        <v>10.0</v>
      </c>
      <c r="K47" s="215" t="s">
        <v>177</v>
      </c>
      <c r="L47" s="216">
        <v>10.0</v>
      </c>
      <c r="M47" s="216">
        <v>150.0</v>
      </c>
      <c r="N47" s="11">
        <f t="shared" si="1"/>
        <v>1500</v>
      </c>
      <c r="O47" s="11" t="s">
        <v>178</v>
      </c>
      <c r="P47" s="93"/>
      <c r="Q47" s="93" t="s">
        <v>179</v>
      </c>
      <c r="R47" s="93" t="s">
        <v>1905</v>
      </c>
      <c r="S47" s="217" t="s">
        <v>225</v>
      </c>
      <c r="T47" s="11" t="str">
        <f>IMAGE("https://images-na.ssl-images-amazon.com/images/I/51p4KPR9o1L.SS700.jpg",1)</f>
        <v/>
      </c>
      <c r="U47" s="78" t="s">
        <v>1688</v>
      </c>
      <c r="V47" s="74"/>
      <c r="W47" s="75"/>
      <c r="X47" s="12"/>
      <c r="Y47" s="11"/>
      <c r="Z47" s="11">
        <v>1.0</v>
      </c>
      <c r="AA47" s="12"/>
      <c r="AB47" s="12"/>
    </row>
    <row r="48" ht="45.0" hidden="1" customHeight="1">
      <c r="A48" s="11">
        <v>47.0</v>
      </c>
      <c r="B48" s="11" t="s">
        <v>173</v>
      </c>
      <c r="C48" s="93" t="s">
        <v>228</v>
      </c>
      <c r="D48" s="11" t="s">
        <v>227</v>
      </c>
      <c r="E48" s="12"/>
      <c r="F48" s="12"/>
      <c r="G48" s="12"/>
      <c r="H48" s="12"/>
      <c r="I48" s="12" t="s">
        <v>2038</v>
      </c>
      <c r="J48" s="216">
        <v>10.0</v>
      </c>
      <c r="K48" s="215" t="s">
        <v>177</v>
      </c>
      <c r="L48" s="216">
        <v>10.0</v>
      </c>
      <c r="M48" s="216">
        <v>200.0</v>
      </c>
      <c r="N48" s="11">
        <f t="shared" si="1"/>
        <v>2000</v>
      </c>
      <c r="O48" s="11" t="s">
        <v>178</v>
      </c>
      <c r="P48" s="93"/>
      <c r="Q48" s="93" t="s">
        <v>179</v>
      </c>
      <c r="R48" s="93" t="s">
        <v>1905</v>
      </c>
      <c r="S48" s="217" t="s">
        <v>229</v>
      </c>
      <c r="T48" s="11" t="str">
        <f>IMAGE("https://5.imimg.com/data5/SELLER/Default/2021/7/XA/OZ/BW/6610292/9v-power-plus-nimh-rechargeable-battery-500x500.jpg",1)</f>
        <v/>
      </c>
      <c r="U48" s="78" t="s">
        <v>1688</v>
      </c>
      <c r="V48" s="74"/>
      <c r="W48" s="75"/>
      <c r="X48" s="12"/>
      <c r="Y48" s="11"/>
      <c r="Z48" s="11">
        <v>1.0</v>
      </c>
      <c r="AA48" s="12"/>
      <c r="AB48" s="12"/>
    </row>
    <row r="49" ht="45.0" hidden="1" customHeight="1">
      <c r="A49" s="11">
        <v>48.0</v>
      </c>
      <c r="B49" s="11" t="s">
        <v>173</v>
      </c>
      <c r="C49" s="93" t="s">
        <v>232</v>
      </c>
      <c r="D49" s="11" t="s">
        <v>231</v>
      </c>
      <c r="E49" s="12"/>
      <c r="F49" s="12"/>
      <c r="G49" s="12"/>
      <c r="H49" s="12"/>
      <c r="I49" s="12" t="s">
        <v>2041</v>
      </c>
      <c r="J49" s="216">
        <v>20.0</v>
      </c>
      <c r="K49" s="215" t="s">
        <v>177</v>
      </c>
      <c r="L49" s="216">
        <v>20.0</v>
      </c>
      <c r="M49" s="216">
        <v>100.0</v>
      </c>
      <c r="N49" s="11">
        <f t="shared" si="1"/>
        <v>2000</v>
      </c>
      <c r="O49" s="11" t="s">
        <v>178</v>
      </c>
      <c r="P49" s="93"/>
      <c r="Q49" s="93" t="s">
        <v>179</v>
      </c>
      <c r="R49" s="93" t="s">
        <v>1905</v>
      </c>
      <c r="S49" s="217" t="s">
        <v>233</v>
      </c>
      <c r="T49" s="11" t="str">
        <f>IMAGE("https://images-cdn.ubuy.co.in/6578382306deda07ed788ca4-rechargeable-aa-batteries-aa.jpg",1)</f>
        <v/>
      </c>
      <c r="U49" s="78" t="s">
        <v>1688</v>
      </c>
      <c r="V49" s="74"/>
      <c r="W49" s="75"/>
      <c r="X49" s="12"/>
      <c r="Y49" s="11"/>
      <c r="Z49" s="11">
        <v>1.0</v>
      </c>
      <c r="AA49" s="12"/>
      <c r="AB49" s="12"/>
    </row>
    <row r="50" ht="45.0" hidden="1" customHeight="1">
      <c r="A50" s="11">
        <v>49.0</v>
      </c>
      <c r="B50" s="11" t="s">
        <v>173</v>
      </c>
      <c r="C50" s="93" t="s">
        <v>1916</v>
      </c>
      <c r="D50" s="11" t="s">
        <v>235</v>
      </c>
      <c r="E50" s="12"/>
      <c r="F50" s="12"/>
      <c r="G50" s="12"/>
      <c r="H50" s="12"/>
      <c r="I50" s="12" t="s">
        <v>2042</v>
      </c>
      <c r="J50" s="216">
        <v>20.0</v>
      </c>
      <c r="K50" s="215" t="s">
        <v>237</v>
      </c>
      <c r="L50" s="216">
        <v>20.0</v>
      </c>
      <c r="M50" s="216">
        <v>7.5</v>
      </c>
      <c r="N50" s="11">
        <f t="shared" si="1"/>
        <v>150</v>
      </c>
      <c r="O50" s="11" t="s">
        <v>178</v>
      </c>
      <c r="P50" s="93"/>
      <c r="Q50" s="93" t="s">
        <v>22</v>
      </c>
      <c r="R50" s="93" t="s">
        <v>237</v>
      </c>
      <c r="S50" s="217" t="s">
        <v>238</v>
      </c>
      <c r="T50" s="11" t="str">
        <f>IMAGE("https://robu.in/wp-content/uploads/2017/04/Alligator-Clips-Electrical-DIY-Test-Leads-10pcs-For-Test-Leads-Double-ended-Crocodile-Clips-Roach-Clip-2.jpg",1)</f>
        <v/>
      </c>
      <c r="U50" s="78" t="s">
        <v>1688</v>
      </c>
      <c r="V50" s="74"/>
      <c r="W50" s="75"/>
      <c r="X50" s="12"/>
      <c r="Y50" s="11"/>
      <c r="Z50" s="11">
        <v>1.0</v>
      </c>
      <c r="AA50" s="12"/>
      <c r="AB50" s="12"/>
    </row>
    <row r="51" ht="45.0" hidden="1" customHeight="1">
      <c r="A51" s="11">
        <v>50.0</v>
      </c>
      <c r="B51" s="11" t="s">
        <v>173</v>
      </c>
      <c r="C51" s="93" t="s">
        <v>241</v>
      </c>
      <c r="D51" s="11" t="s">
        <v>240</v>
      </c>
      <c r="E51" s="12"/>
      <c r="F51" s="12"/>
      <c r="G51" s="12"/>
      <c r="H51" s="12"/>
      <c r="I51" s="12" t="s">
        <v>2441</v>
      </c>
      <c r="J51" s="216">
        <v>20.0</v>
      </c>
      <c r="K51" s="215" t="s">
        <v>237</v>
      </c>
      <c r="L51" s="216">
        <v>20.0</v>
      </c>
      <c r="M51" s="216">
        <v>20.0</v>
      </c>
      <c r="N51" s="11">
        <f t="shared" si="1"/>
        <v>400</v>
      </c>
      <c r="O51" s="11" t="s">
        <v>178</v>
      </c>
      <c r="P51" s="93"/>
      <c r="Q51" s="93" t="s">
        <v>1917</v>
      </c>
      <c r="R51" s="93" t="s">
        <v>237</v>
      </c>
      <c r="S51" s="217" t="s">
        <v>242</v>
      </c>
      <c r="T51" s="11" t="str">
        <f>IMAGE("https://makerbazar.in/cdn/shop/products/dcmalejackwithwire2_600x.jpg?v=1642675074",1)</f>
        <v/>
      </c>
      <c r="U51" s="78" t="s">
        <v>1688</v>
      </c>
      <c r="V51" s="74"/>
      <c r="W51" s="75"/>
      <c r="X51" s="12"/>
      <c r="Y51" s="11"/>
      <c r="Z51" s="11">
        <v>1.0</v>
      </c>
      <c r="AA51" s="12"/>
      <c r="AB51" s="12"/>
    </row>
    <row r="52" ht="45.0" hidden="1" customHeight="1">
      <c r="A52" s="11">
        <v>51.0</v>
      </c>
      <c r="B52" s="11" t="s">
        <v>173</v>
      </c>
      <c r="C52" s="93" t="s">
        <v>245</v>
      </c>
      <c r="D52" s="11" t="s">
        <v>244</v>
      </c>
      <c r="E52" s="12"/>
      <c r="F52" s="12"/>
      <c r="G52" s="12"/>
      <c r="H52" s="12"/>
      <c r="I52" s="12" t="s">
        <v>2026</v>
      </c>
      <c r="J52" s="11">
        <v>1.0</v>
      </c>
      <c r="K52" s="215" t="s">
        <v>237</v>
      </c>
      <c r="L52" s="11">
        <v>1.0</v>
      </c>
      <c r="M52" s="11">
        <v>200.0</v>
      </c>
      <c r="N52" s="11">
        <f t="shared" si="1"/>
        <v>200</v>
      </c>
      <c r="O52" s="11" t="s">
        <v>142</v>
      </c>
      <c r="P52" s="93"/>
      <c r="Q52" s="93" t="s">
        <v>1902</v>
      </c>
      <c r="R52" s="93" t="s">
        <v>237</v>
      </c>
      <c r="S52" s="217"/>
      <c r="T52" s="11" t="str">
        <f>IMAGE("https://m.media-amazon.com/images/I/61YPX7I4aSL._SL1500_.jpg",1)</f>
        <v/>
      </c>
      <c r="U52" s="78"/>
      <c r="V52" s="74"/>
      <c r="W52" s="75"/>
      <c r="X52" s="12"/>
      <c r="Y52" s="11"/>
      <c r="Z52" s="12">
        <v>1.0</v>
      </c>
      <c r="AA52" s="12"/>
      <c r="AB52" s="12"/>
    </row>
    <row r="53" ht="45.0" hidden="1" customHeight="1">
      <c r="A53" s="11">
        <v>52.0</v>
      </c>
      <c r="B53" s="11" t="s">
        <v>173</v>
      </c>
      <c r="C53" s="93" t="s">
        <v>1918</v>
      </c>
      <c r="D53" s="11" t="s">
        <v>247</v>
      </c>
      <c r="E53" s="12"/>
      <c r="F53" s="12"/>
      <c r="G53" s="12"/>
      <c r="H53" s="12"/>
      <c r="I53" s="12" t="s">
        <v>2043</v>
      </c>
      <c r="J53" s="216">
        <v>1.0</v>
      </c>
      <c r="K53" s="215" t="s">
        <v>237</v>
      </c>
      <c r="L53" s="216">
        <v>1.0</v>
      </c>
      <c r="M53" s="216">
        <v>150.0</v>
      </c>
      <c r="N53" s="11">
        <f t="shared" si="1"/>
        <v>150</v>
      </c>
      <c r="O53" s="11" t="s">
        <v>178</v>
      </c>
      <c r="P53" s="93"/>
      <c r="Q53" s="93" t="s">
        <v>249</v>
      </c>
      <c r="R53" s="93" t="s">
        <v>250</v>
      </c>
      <c r="S53" s="217" t="s">
        <v>251</v>
      </c>
      <c r="T53" s="11" t="str">
        <f>IMAGE("https://rukminim2.flixcart.com/image/832/832/k8t3jbk0/cable-sleeve/j/c/q/black-2mm-polyolefin-heat-shrink-tube-sleeve-for-wrap-60-meter-original-imafqq3y2g2v9vzz.jpeg?q=70",1)</f>
        <v/>
      </c>
      <c r="U53" s="78" t="s">
        <v>1688</v>
      </c>
      <c r="V53" s="74"/>
      <c r="W53" s="75"/>
      <c r="X53" s="12"/>
      <c r="Y53" s="11"/>
      <c r="Z53" s="12">
        <v>1.0</v>
      </c>
      <c r="AA53" s="12"/>
      <c r="AB53" s="12"/>
    </row>
    <row r="54" ht="45.0" hidden="1" customHeight="1">
      <c r="A54" s="11">
        <v>53.0</v>
      </c>
      <c r="B54" s="11" t="s">
        <v>173</v>
      </c>
      <c r="C54" s="93" t="s">
        <v>1919</v>
      </c>
      <c r="D54" s="11" t="s">
        <v>253</v>
      </c>
      <c r="E54" s="12"/>
      <c r="F54" s="12"/>
      <c r="G54" s="12"/>
      <c r="H54" s="12"/>
      <c r="I54" s="12" t="s">
        <v>2043</v>
      </c>
      <c r="J54" s="216">
        <v>1.0</v>
      </c>
      <c r="K54" s="215" t="s">
        <v>237</v>
      </c>
      <c r="L54" s="216">
        <v>1.0</v>
      </c>
      <c r="M54" s="216">
        <v>150.0</v>
      </c>
      <c r="N54" s="11">
        <f t="shared" si="1"/>
        <v>150</v>
      </c>
      <c r="O54" s="11" t="s">
        <v>178</v>
      </c>
      <c r="P54" s="93"/>
      <c r="Q54" s="93" t="s">
        <v>249</v>
      </c>
      <c r="R54" s="93" t="s">
        <v>250</v>
      </c>
      <c r="S54" s="217" t="s">
        <v>255</v>
      </c>
      <c r="T54" s="11" t="str">
        <f>IMAGE("https://m.media-amazon.com/images/I/61zJ0n1EqGS._AC_SL1500_.jpg",1)</f>
        <v/>
      </c>
      <c r="U54" s="78" t="s">
        <v>1688</v>
      </c>
      <c r="V54" s="79"/>
      <c r="W54" s="80"/>
      <c r="X54" s="5"/>
      <c r="Y54" s="14"/>
      <c r="Z54" s="12">
        <v>1.0</v>
      </c>
      <c r="AA54" s="12"/>
      <c r="AB54" s="12"/>
    </row>
    <row r="55" ht="45.0" hidden="1" customHeight="1">
      <c r="A55" s="11">
        <v>54.0</v>
      </c>
      <c r="B55" s="11" t="s">
        <v>173</v>
      </c>
      <c r="C55" s="93" t="s">
        <v>1920</v>
      </c>
      <c r="D55" s="11" t="s">
        <v>257</v>
      </c>
      <c r="E55" s="12"/>
      <c r="F55" s="12"/>
      <c r="G55" s="12"/>
      <c r="H55" s="12"/>
      <c r="I55" s="12" t="s">
        <v>2043</v>
      </c>
      <c r="J55" s="216">
        <v>1.0</v>
      </c>
      <c r="K55" s="215" t="s">
        <v>237</v>
      </c>
      <c r="L55" s="216">
        <v>1.0</v>
      </c>
      <c r="M55" s="216">
        <v>150.0</v>
      </c>
      <c r="N55" s="11">
        <f t="shared" si="1"/>
        <v>150</v>
      </c>
      <c r="O55" s="11" t="s">
        <v>178</v>
      </c>
      <c r="P55" s="93"/>
      <c r="Q55" s="93" t="s">
        <v>249</v>
      </c>
      <c r="R55" s="93" t="s">
        <v>250</v>
      </c>
      <c r="S55" s="217" t="s">
        <v>259</v>
      </c>
      <c r="T55" s="11" t="str">
        <f>IMAGE("https://m.media-amazon.com/images/W/MEDIAX_792452-T2/images/I/417I5BCQPSL.jpg",1)</f>
        <v/>
      </c>
      <c r="U55" s="78" t="s">
        <v>1688</v>
      </c>
      <c r="V55" s="74"/>
      <c r="W55" s="75"/>
      <c r="X55" s="5"/>
      <c r="Y55" s="14"/>
      <c r="Z55" s="12">
        <v>1.0</v>
      </c>
      <c r="AA55" s="12"/>
      <c r="AB55" s="12"/>
    </row>
    <row r="56" ht="45.0" hidden="1" customHeight="1">
      <c r="A56" s="11">
        <v>55.0</v>
      </c>
      <c r="B56" s="11" t="s">
        <v>173</v>
      </c>
      <c r="C56" s="93" t="s">
        <v>1921</v>
      </c>
      <c r="D56" s="11" t="s">
        <v>261</v>
      </c>
      <c r="E56" s="12"/>
      <c r="F56" s="12"/>
      <c r="G56" s="12"/>
      <c r="H56" s="12"/>
      <c r="I56" s="12" t="s">
        <v>2043</v>
      </c>
      <c r="J56" s="216">
        <v>1.0</v>
      </c>
      <c r="K56" s="215" t="s">
        <v>237</v>
      </c>
      <c r="L56" s="216">
        <v>1.0</v>
      </c>
      <c r="M56" s="216">
        <v>150.0</v>
      </c>
      <c r="N56" s="11">
        <f t="shared" si="1"/>
        <v>150</v>
      </c>
      <c r="O56" s="11" t="s">
        <v>178</v>
      </c>
      <c r="P56" s="93"/>
      <c r="Q56" s="93" t="s">
        <v>249</v>
      </c>
      <c r="R56" s="93" t="s">
        <v>250</v>
      </c>
      <c r="S56" s="217" t="s">
        <v>263</v>
      </c>
      <c r="T56" s="11" t="str">
        <f>IMAGE("https://m.media-amazon.com/images/I/61zJ0n1EqGS._AC_SL1500_.jpg",1)</f>
        <v/>
      </c>
      <c r="U56" s="78" t="s">
        <v>1688</v>
      </c>
      <c r="V56" s="74"/>
      <c r="W56" s="75"/>
      <c r="X56" s="12"/>
      <c r="Y56" s="11"/>
      <c r="Z56" s="12">
        <v>1.0</v>
      </c>
      <c r="AA56" s="12"/>
      <c r="AB56" s="12"/>
    </row>
    <row r="57" ht="45.0" hidden="1" customHeight="1">
      <c r="A57" s="11">
        <v>56.0</v>
      </c>
      <c r="B57" s="11" t="s">
        <v>173</v>
      </c>
      <c r="C57" s="93" t="s">
        <v>266</v>
      </c>
      <c r="D57" s="11" t="s">
        <v>265</v>
      </c>
      <c r="E57" s="12"/>
      <c r="F57" s="12"/>
      <c r="G57" s="12"/>
      <c r="H57" s="12"/>
      <c r="I57" s="12" t="s">
        <v>2044</v>
      </c>
      <c r="J57" s="216">
        <v>20.0</v>
      </c>
      <c r="K57" s="215" t="s">
        <v>237</v>
      </c>
      <c r="L57" s="216">
        <v>20.0</v>
      </c>
      <c r="M57" s="216">
        <v>20.0</v>
      </c>
      <c r="N57" s="11">
        <f t="shared" si="1"/>
        <v>400</v>
      </c>
      <c r="O57" s="11" t="s">
        <v>178</v>
      </c>
      <c r="P57" s="93"/>
      <c r="Q57" s="93" t="s">
        <v>66</v>
      </c>
      <c r="R57" s="93" t="s">
        <v>267</v>
      </c>
      <c r="S57" s="217" t="s">
        <v>268</v>
      </c>
      <c r="T57" s="11" t="str">
        <f t="shared" ref="T57:T61" si="2">IMAGE("https://i.ebayimg.com/images/g/xCYAAOSwjvJlEQU8/s-l1600.jpg",1)</f>
        <v/>
      </c>
      <c r="U57" s="78" t="s">
        <v>1688</v>
      </c>
      <c r="V57" s="74"/>
      <c r="W57" s="75"/>
      <c r="X57" s="12"/>
      <c r="Y57" s="11"/>
      <c r="Z57" s="12">
        <v>1.0</v>
      </c>
      <c r="AA57" s="12"/>
      <c r="AB57" s="12"/>
    </row>
    <row r="58" ht="45.0" hidden="1" customHeight="1">
      <c r="A58" s="11">
        <v>57.0</v>
      </c>
      <c r="B58" s="11" t="s">
        <v>173</v>
      </c>
      <c r="C58" s="93" t="s">
        <v>271</v>
      </c>
      <c r="D58" s="11" t="s">
        <v>270</v>
      </c>
      <c r="E58" s="12"/>
      <c r="F58" s="12"/>
      <c r="G58" s="12"/>
      <c r="H58" s="12"/>
      <c r="I58" s="12" t="s">
        <v>2044</v>
      </c>
      <c r="J58" s="216">
        <v>20.0</v>
      </c>
      <c r="K58" s="215" t="s">
        <v>237</v>
      </c>
      <c r="L58" s="216">
        <v>20.0</v>
      </c>
      <c r="M58" s="216">
        <v>20.0</v>
      </c>
      <c r="N58" s="11">
        <f t="shared" si="1"/>
        <v>400</v>
      </c>
      <c r="O58" s="11" t="s">
        <v>178</v>
      </c>
      <c r="P58" s="93"/>
      <c r="Q58" s="93" t="s">
        <v>66</v>
      </c>
      <c r="R58" s="93" t="s">
        <v>267</v>
      </c>
      <c r="S58" s="217" t="s">
        <v>272</v>
      </c>
      <c r="T58" s="11" t="str">
        <f t="shared" si="2"/>
        <v/>
      </c>
      <c r="U58" s="78" t="s">
        <v>1688</v>
      </c>
      <c r="V58" s="74"/>
      <c r="W58" s="75"/>
      <c r="X58" s="12"/>
      <c r="Y58" s="11"/>
      <c r="Z58" s="12">
        <v>1.0</v>
      </c>
      <c r="AA58" s="12"/>
      <c r="AB58" s="12"/>
    </row>
    <row r="59" ht="45.0" hidden="1" customHeight="1">
      <c r="A59" s="11">
        <v>58.0</v>
      </c>
      <c r="B59" s="11" t="s">
        <v>173</v>
      </c>
      <c r="C59" s="93" t="s">
        <v>275</v>
      </c>
      <c r="D59" s="11" t="s">
        <v>274</v>
      </c>
      <c r="E59" s="12"/>
      <c r="F59" s="12"/>
      <c r="G59" s="12"/>
      <c r="H59" s="12"/>
      <c r="I59" s="12" t="s">
        <v>2044</v>
      </c>
      <c r="J59" s="216">
        <v>20.0</v>
      </c>
      <c r="K59" s="215" t="s">
        <v>237</v>
      </c>
      <c r="L59" s="216">
        <v>20.0</v>
      </c>
      <c r="M59" s="216">
        <v>20.0</v>
      </c>
      <c r="N59" s="11">
        <f t="shared" si="1"/>
        <v>400</v>
      </c>
      <c r="O59" s="11" t="s">
        <v>178</v>
      </c>
      <c r="P59" s="93"/>
      <c r="Q59" s="93" t="s">
        <v>66</v>
      </c>
      <c r="R59" s="93" t="s">
        <v>267</v>
      </c>
      <c r="S59" s="217" t="s">
        <v>276</v>
      </c>
      <c r="T59" s="11" t="str">
        <f t="shared" si="2"/>
        <v/>
      </c>
      <c r="U59" s="78" t="s">
        <v>1688</v>
      </c>
      <c r="V59" s="74"/>
      <c r="W59" s="75"/>
      <c r="X59" s="12"/>
      <c r="Y59" s="11"/>
      <c r="Z59" s="12">
        <v>1.0</v>
      </c>
      <c r="AA59" s="12"/>
      <c r="AB59" s="12"/>
    </row>
    <row r="60" ht="45.0" hidden="1" customHeight="1">
      <c r="A60" s="11">
        <v>59.0</v>
      </c>
      <c r="B60" s="11" t="s">
        <v>173</v>
      </c>
      <c r="C60" s="93" t="s">
        <v>279</v>
      </c>
      <c r="D60" s="11" t="s">
        <v>278</v>
      </c>
      <c r="E60" s="12"/>
      <c r="F60" s="12"/>
      <c r="G60" s="12"/>
      <c r="H60" s="12"/>
      <c r="I60" s="12" t="s">
        <v>2044</v>
      </c>
      <c r="J60" s="216">
        <v>20.0</v>
      </c>
      <c r="K60" s="215" t="s">
        <v>237</v>
      </c>
      <c r="L60" s="216">
        <v>20.0</v>
      </c>
      <c r="M60" s="216">
        <v>20.0</v>
      </c>
      <c r="N60" s="11">
        <f t="shared" si="1"/>
        <v>400</v>
      </c>
      <c r="O60" s="11" t="s">
        <v>178</v>
      </c>
      <c r="P60" s="93"/>
      <c r="Q60" s="93" t="s">
        <v>66</v>
      </c>
      <c r="R60" s="93" t="s">
        <v>267</v>
      </c>
      <c r="S60" s="217" t="s">
        <v>280</v>
      </c>
      <c r="T60" s="11" t="str">
        <f t="shared" si="2"/>
        <v/>
      </c>
      <c r="U60" s="78" t="s">
        <v>1688</v>
      </c>
      <c r="V60" s="74"/>
      <c r="W60" s="75"/>
      <c r="X60" s="12"/>
      <c r="Y60" s="11"/>
      <c r="Z60" s="12">
        <v>1.0</v>
      </c>
      <c r="AA60" s="12"/>
      <c r="AB60" s="12"/>
    </row>
    <row r="61" ht="45.0" hidden="1" customHeight="1">
      <c r="A61" s="11">
        <v>60.0</v>
      </c>
      <c r="B61" s="11" t="s">
        <v>173</v>
      </c>
      <c r="C61" s="93" t="s">
        <v>283</v>
      </c>
      <c r="D61" s="11" t="s">
        <v>282</v>
      </c>
      <c r="E61" s="12"/>
      <c r="F61" s="12"/>
      <c r="G61" s="12"/>
      <c r="H61" s="12"/>
      <c r="I61" s="12" t="s">
        <v>2044</v>
      </c>
      <c r="J61" s="216">
        <v>20.0</v>
      </c>
      <c r="K61" s="215" t="s">
        <v>237</v>
      </c>
      <c r="L61" s="216">
        <v>20.0</v>
      </c>
      <c r="M61" s="216">
        <v>20.0</v>
      </c>
      <c r="N61" s="11">
        <f t="shared" si="1"/>
        <v>400</v>
      </c>
      <c r="O61" s="11" t="s">
        <v>178</v>
      </c>
      <c r="P61" s="93"/>
      <c r="Q61" s="93" t="s">
        <v>66</v>
      </c>
      <c r="R61" s="93" t="s">
        <v>267</v>
      </c>
      <c r="S61" s="217" t="s">
        <v>284</v>
      </c>
      <c r="T61" s="11" t="str">
        <f t="shared" si="2"/>
        <v/>
      </c>
      <c r="U61" s="78" t="s">
        <v>1688</v>
      </c>
      <c r="V61" s="74"/>
      <c r="W61" s="75"/>
      <c r="X61" s="12"/>
      <c r="Y61" s="11"/>
      <c r="Z61" s="12">
        <v>1.0</v>
      </c>
      <c r="AA61" s="12"/>
      <c r="AB61" s="12"/>
    </row>
    <row r="62" ht="45.0" hidden="1" customHeight="1">
      <c r="A62" s="11">
        <v>61.0</v>
      </c>
      <c r="B62" s="11" t="s">
        <v>173</v>
      </c>
      <c r="C62" s="93" t="s">
        <v>287</v>
      </c>
      <c r="D62" s="11" t="s">
        <v>286</v>
      </c>
      <c r="E62" s="12"/>
      <c r="F62" s="12"/>
      <c r="G62" s="12"/>
      <c r="H62" s="12"/>
      <c r="I62" s="12" t="s">
        <v>2443</v>
      </c>
      <c r="J62" s="216">
        <v>20.0</v>
      </c>
      <c r="K62" s="215" t="s">
        <v>237</v>
      </c>
      <c r="L62" s="216">
        <v>20.0</v>
      </c>
      <c r="M62" s="216">
        <v>40.0</v>
      </c>
      <c r="N62" s="11">
        <f t="shared" si="1"/>
        <v>800</v>
      </c>
      <c r="O62" s="11" t="s">
        <v>178</v>
      </c>
      <c r="P62" s="93"/>
      <c r="Q62" s="93" t="s">
        <v>179</v>
      </c>
      <c r="R62" s="93" t="s">
        <v>1922</v>
      </c>
      <c r="S62" s="217" t="s">
        <v>289</v>
      </c>
      <c r="T62" s="11" t="str">
        <f t="shared" ref="T62:T64" si="3">IMAGE("https://cdn.shopify.com/s/files/1/0527/2692/3444/products/M-M10CM_800x.jpg?v=1620840829",1)</f>
        <v/>
      </c>
      <c r="U62" s="78" t="s">
        <v>1688</v>
      </c>
      <c r="V62" s="74"/>
      <c r="W62" s="75"/>
      <c r="X62" s="12"/>
      <c r="Y62" s="11"/>
      <c r="Z62" s="12">
        <v>1.0</v>
      </c>
      <c r="AA62" s="12"/>
      <c r="AB62" s="12"/>
    </row>
    <row r="63" ht="45.0" hidden="1" customHeight="1">
      <c r="A63" s="11">
        <v>62.0</v>
      </c>
      <c r="B63" s="11" t="s">
        <v>173</v>
      </c>
      <c r="C63" s="93" t="s">
        <v>292</v>
      </c>
      <c r="D63" s="11" t="s">
        <v>291</v>
      </c>
      <c r="E63" s="12"/>
      <c r="F63" s="12"/>
      <c r="G63" s="12"/>
      <c r="H63" s="12"/>
      <c r="I63" s="12" t="s">
        <v>2443</v>
      </c>
      <c r="J63" s="216">
        <v>20.0</v>
      </c>
      <c r="K63" s="215" t="s">
        <v>237</v>
      </c>
      <c r="L63" s="216">
        <v>20.0</v>
      </c>
      <c r="M63" s="216">
        <v>40.0</v>
      </c>
      <c r="N63" s="11">
        <f t="shared" si="1"/>
        <v>800</v>
      </c>
      <c r="O63" s="11" t="s">
        <v>178</v>
      </c>
      <c r="P63" s="93"/>
      <c r="Q63" s="93" t="s">
        <v>179</v>
      </c>
      <c r="R63" s="93" t="s">
        <v>1922</v>
      </c>
      <c r="S63" s="217" t="s">
        <v>293</v>
      </c>
      <c r="T63" s="11" t="str">
        <f t="shared" si="3"/>
        <v/>
      </c>
      <c r="U63" s="78" t="s">
        <v>1688</v>
      </c>
      <c r="V63" s="74"/>
      <c r="W63" s="75"/>
      <c r="X63" s="12"/>
      <c r="Y63" s="11"/>
      <c r="Z63" s="12">
        <v>1.0</v>
      </c>
      <c r="AA63" s="12"/>
      <c r="AB63" s="12"/>
    </row>
    <row r="64" ht="45.0" hidden="1" customHeight="1">
      <c r="A64" s="11">
        <v>63.0</v>
      </c>
      <c r="B64" s="11" t="s">
        <v>173</v>
      </c>
      <c r="C64" s="93" t="s">
        <v>296</v>
      </c>
      <c r="D64" s="11" t="s">
        <v>295</v>
      </c>
      <c r="E64" s="12"/>
      <c r="F64" s="12"/>
      <c r="G64" s="12"/>
      <c r="H64" s="12"/>
      <c r="I64" s="12" t="s">
        <v>2443</v>
      </c>
      <c r="J64" s="216">
        <v>20.0</v>
      </c>
      <c r="K64" s="215" t="s">
        <v>237</v>
      </c>
      <c r="L64" s="216">
        <v>20.0</v>
      </c>
      <c r="M64" s="216">
        <v>40.0</v>
      </c>
      <c r="N64" s="11">
        <f t="shared" si="1"/>
        <v>800</v>
      </c>
      <c r="O64" s="11" t="s">
        <v>178</v>
      </c>
      <c r="P64" s="93"/>
      <c r="Q64" s="93" t="s">
        <v>179</v>
      </c>
      <c r="R64" s="93" t="s">
        <v>1922</v>
      </c>
      <c r="S64" s="217" t="s">
        <v>297</v>
      </c>
      <c r="T64" s="11" t="str">
        <f t="shared" si="3"/>
        <v/>
      </c>
      <c r="U64" s="78" t="s">
        <v>1688</v>
      </c>
      <c r="V64" s="74"/>
      <c r="W64" s="75"/>
      <c r="X64" s="12"/>
      <c r="Y64" s="11"/>
      <c r="Z64" s="12">
        <v>1.0</v>
      </c>
      <c r="AA64" s="12"/>
      <c r="AB64" s="12"/>
    </row>
    <row r="65" ht="45.0" hidden="1" customHeight="1">
      <c r="A65" s="11">
        <v>64.0</v>
      </c>
      <c r="B65" s="11" t="s">
        <v>173</v>
      </c>
      <c r="C65" s="93" t="s">
        <v>300</v>
      </c>
      <c r="D65" s="11" t="s">
        <v>299</v>
      </c>
      <c r="E65" s="12"/>
      <c r="F65" s="12"/>
      <c r="G65" s="12"/>
      <c r="H65" s="12"/>
      <c r="I65" s="12" t="s">
        <v>2046</v>
      </c>
      <c r="J65" s="216">
        <v>10.0</v>
      </c>
      <c r="K65" s="215" t="s">
        <v>237</v>
      </c>
      <c r="L65" s="216">
        <v>10.0</v>
      </c>
      <c r="M65" s="216">
        <v>50.0</v>
      </c>
      <c r="N65" s="11">
        <f t="shared" si="1"/>
        <v>500</v>
      </c>
      <c r="O65" s="11" t="s">
        <v>178</v>
      </c>
      <c r="P65" s="93"/>
      <c r="Q65" s="93" t="s">
        <v>66</v>
      </c>
      <c r="R65" s="93" t="s">
        <v>300</v>
      </c>
      <c r="S65" s="217" t="s">
        <v>301</v>
      </c>
      <c r="T65" s="11" t="str">
        <f>IMAGE("https://encrypted-tbn0.gstatic.com/images?q=tbn:ANd9GcR4A79FMiemvwjtYU3z1SGV0ayCZPtc8oNMobr5AuvlhGOJoeuq78aTh7JjRPQlfFrsXfE&amp;usqp=CAU",1)</f>
        <v/>
      </c>
      <c r="U65" s="78" t="s">
        <v>1688</v>
      </c>
      <c r="V65" s="74"/>
      <c r="W65" s="75"/>
      <c r="X65" s="12"/>
      <c r="Y65" s="11"/>
      <c r="Z65" s="12">
        <v>1.0</v>
      </c>
      <c r="AA65" s="12"/>
      <c r="AB65" s="12"/>
    </row>
    <row r="66" ht="45.0" hidden="1" customHeight="1">
      <c r="A66" s="11">
        <v>65.0</v>
      </c>
      <c r="B66" s="11" t="s">
        <v>173</v>
      </c>
      <c r="C66" s="93" t="s">
        <v>304</v>
      </c>
      <c r="D66" s="11" t="s">
        <v>303</v>
      </c>
      <c r="E66" s="12"/>
      <c r="F66" s="12"/>
      <c r="G66" s="12"/>
      <c r="H66" s="12"/>
      <c r="I66" s="12" t="s">
        <v>2444</v>
      </c>
      <c r="J66" s="216">
        <v>10.0</v>
      </c>
      <c r="K66" s="215" t="s">
        <v>237</v>
      </c>
      <c r="L66" s="216">
        <v>10.0</v>
      </c>
      <c r="M66" s="216">
        <v>50.0</v>
      </c>
      <c r="N66" s="11">
        <f t="shared" si="1"/>
        <v>500</v>
      </c>
      <c r="O66" s="11" t="s">
        <v>178</v>
      </c>
      <c r="P66" s="93"/>
      <c r="Q66" s="93" t="s">
        <v>66</v>
      </c>
      <c r="R66" s="93" t="s">
        <v>304</v>
      </c>
      <c r="S66" s="217" t="s">
        <v>306</v>
      </c>
      <c r="T66" s="11" t="str">
        <f>IMAGE("https://robu.in/wp-content/uploads/2018/07/50-CM-Micro-USB-Cable-1.jpg",1)</f>
        <v/>
      </c>
      <c r="U66" s="78" t="s">
        <v>1688</v>
      </c>
      <c r="V66" s="74"/>
      <c r="W66" s="75"/>
      <c r="X66" s="5"/>
      <c r="Y66" s="14"/>
      <c r="Z66" s="12">
        <v>1.0</v>
      </c>
      <c r="AA66" s="12"/>
      <c r="AB66" s="12"/>
    </row>
    <row r="67" ht="45.0" hidden="1" customHeight="1">
      <c r="A67" s="11">
        <v>67.0</v>
      </c>
      <c r="B67" s="11" t="s">
        <v>173</v>
      </c>
      <c r="C67" s="93" t="s">
        <v>314</v>
      </c>
      <c r="D67" s="11" t="s">
        <v>313</v>
      </c>
      <c r="E67" s="12"/>
      <c r="F67" s="12"/>
      <c r="G67" s="12"/>
      <c r="H67" s="12"/>
      <c r="I67" s="12" t="s">
        <v>2026</v>
      </c>
      <c r="J67" s="11">
        <v>1.0</v>
      </c>
      <c r="K67" s="215" t="s">
        <v>237</v>
      </c>
      <c r="L67" s="11">
        <v>1.0</v>
      </c>
      <c r="M67" s="11">
        <v>300.0</v>
      </c>
      <c r="N67" s="11">
        <f t="shared" si="1"/>
        <v>300</v>
      </c>
      <c r="O67" s="11" t="s">
        <v>142</v>
      </c>
      <c r="P67" s="93"/>
      <c r="Q67" s="93" t="s">
        <v>1902</v>
      </c>
      <c r="R67" s="93" t="s">
        <v>237</v>
      </c>
      <c r="S67" s="217" t="s">
        <v>315</v>
      </c>
      <c r="T67" s="11" t="str">
        <f>IMAGE("https://m.media-amazon.com/images/I/41ajXEZ8zhL._SL1200_.jpg",1)</f>
        <v/>
      </c>
      <c r="U67" s="78"/>
      <c r="V67" s="79"/>
      <c r="W67" s="80"/>
      <c r="X67" s="12"/>
      <c r="Y67" s="11"/>
      <c r="Z67" s="12">
        <v>1.0</v>
      </c>
      <c r="AA67" s="12"/>
      <c r="AB67" s="12"/>
    </row>
    <row r="68" ht="45.0" hidden="1" customHeight="1">
      <c r="A68" s="11">
        <v>68.0</v>
      </c>
      <c r="B68" s="11" t="s">
        <v>173</v>
      </c>
      <c r="C68" s="93" t="s">
        <v>1924</v>
      </c>
      <c r="D68" s="11" t="s">
        <v>317</v>
      </c>
      <c r="E68" s="12"/>
      <c r="F68" s="12"/>
      <c r="G68" s="12"/>
      <c r="H68" s="12"/>
      <c r="I68" s="12" t="s">
        <v>2441</v>
      </c>
      <c r="J68" s="216">
        <v>10.0</v>
      </c>
      <c r="K68" s="215" t="s">
        <v>237</v>
      </c>
      <c r="L68" s="216">
        <v>10.0</v>
      </c>
      <c r="M68" s="216">
        <v>50.0</v>
      </c>
      <c r="N68" s="11">
        <f t="shared" si="1"/>
        <v>500</v>
      </c>
      <c r="O68" s="11" t="s">
        <v>178</v>
      </c>
      <c r="P68" s="93"/>
      <c r="Q68" s="93" t="s">
        <v>193</v>
      </c>
      <c r="R68" s="93" t="s">
        <v>237</v>
      </c>
      <c r="S68" s="217" t="s">
        <v>320</v>
      </c>
      <c r="T68" s="11" t="str">
        <f>IMAGE("https://robu.in/wp-content/uploads/2019/06/3.5mm-Audio-Plug-3-Pole-Gold-plated-Earphone-Adapter-For-DIY-Stereo-Headset-5.jpg",1)</f>
        <v/>
      </c>
      <c r="U68" s="78" t="s">
        <v>1688</v>
      </c>
      <c r="V68" s="74"/>
      <c r="W68" s="75"/>
      <c r="X68" s="12"/>
      <c r="Y68" s="11"/>
      <c r="Z68" s="12">
        <v>1.0</v>
      </c>
      <c r="AA68" s="12"/>
      <c r="AB68" s="12"/>
    </row>
    <row r="69" ht="45.0" customHeight="1">
      <c r="A69" s="222">
        <v>344.0</v>
      </c>
      <c r="B69" s="222" t="s">
        <v>15</v>
      </c>
      <c r="C69" s="232" t="s">
        <v>1982</v>
      </c>
      <c r="D69" s="222" t="s">
        <v>1433</v>
      </c>
      <c r="E69" s="299"/>
      <c r="F69" s="299"/>
      <c r="G69" s="299"/>
      <c r="H69" s="299"/>
      <c r="I69" s="299" t="s">
        <v>2007</v>
      </c>
      <c r="J69" s="234">
        <v>1.0</v>
      </c>
      <c r="K69" s="233" t="s">
        <v>1421</v>
      </c>
      <c r="L69" s="234">
        <v>1.0</v>
      </c>
      <c r="M69" s="234">
        <v>200.0</v>
      </c>
      <c r="N69" s="222">
        <f t="shared" si="1"/>
        <v>200</v>
      </c>
      <c r="O69" s="222" t="s">
        <v>20</v>
      </c>
      <c r="P69" s="232" t="s">
        <v>21</v>
      </c>
      <c r="Q69" s="232" t="s">
        <v>65</v>
      </c>
      <c r="R69" s="232" t="s">
        <v>1983</v>
      </c>
      <c r="S69" s="235" t="s">
        <v>1436</v>
      </c>
      <c r="T69" s="222" t="str">
        <f>IMAGE("https://m.media-amazon.com/images/I/81PowerIGsL._SL1500_.jpg")</f>
        <v/>
      </c>
      <c r="U69" s="334"/>
      <c r="V69" s="335"/>
      <c r="W69" s="336"/>
      <c r="X69" s="299"/>
      <c r="Y69" s="222"/>
      <c r="Z69" s="299">
        <v>3.0</v>
      </c>
      <c r="AA69" s="616" t="s">
        <v>2430</v>
      </c>
      <c r="AB69" s="616">
        <v>1.0</v>
      </c>
    </row>
    <row r="70" ht="45.0" customHeight="1">
      <c r="A70" s="11">
        <v>353.0</v>
      </c>
      <c r="B70" s="11" t="s">
        <v>15</v>
      </c>
      <c r="C70" s="93" t="s">
        <v>1470</v>
      </c>
      <c r="D70" s="11" t="s">
        <v>1469</v>
      </c>
      <c r="E70" s="12"/>
      <c r="F70" s="12"/>
      <c r="G70" s="12"/>
      <c r="H70" s="12"/>
      <c r="I70" s="12" t="s">
        <v>2007</v>
      </c>
      <c r="J70" s="216">
        <v>1.0</v>
      </c>
      <c r="K70" s="215" t="s">
        <v>1421</v>
      </c>
      <c r="L70" s="216">
        <v>1.0</v>
      </c>
      <c r="M70" s="216">
        <v>400.0</v>
      </c>
      <c r="N70" s="11">
        <f t="shared" si="1"/>
        <v>400</v>
      </c>
      <c r="O70" s="11" t="s">
        <v>20</v>
      </c>
      <c r="P70" s="93" t="s">
        <v>21</v>
      </c>
      <c r="Q70" s="93" t="s">
        <v>110</v>
      </c>
      <c r="R70" s="93" t="s">
        <v>111</v>
      </c>
      <c r="S70" s="217" t="s">
        <v>1471</v>
      </c>
      <c r="T70" s="11" t="str">
        <f>IMAGE("https://www.wpiinc.com/media/catalog/product/cache/57a65487c9a4c9d3ba2482ad45cfc757/5/0/503023.jpg",1)</f>
        <v/>
      </c>
      <c r="U70" s="78"/>
      <c r="V70" s="74"/>
      <c r="W70" s="75"/>
      <c r="X70" s="12"/>
      <c r="Y70" s="11"/>
      <c r="Z70" s="12">
        <v>3.0</v>
      </c>
      <c r="AA70" s="616" t="s">
        <v>2430</v>
      </c>
      <c r="AB70" s="616">
        <v>1.0</v>
      </c>
    </row>
    <row r="71" ht="45.0" customHeight="1">
      <c r="A71" s="11">
        <v>25.0</v>
      </c>
      <c r="B71" s="11" t="s">
        <v>15</v>
      </c>
      <c r="C71" s="93" t="s">
        <v>127</v>
      </c>
      <c r="D71" s="11" t="s">
        <v>126</v>
      </c>
      <c r="E71" s="12"/>
      <c r="F71" s="12"/>
      <c r="G71" s="12"/>
      <c r="H71" s="12"/>
      <c r="I71" s="12" t="s">
        <v>1900</v>
      </c>
      <c r="J71" s="216">
        <v>5.0</v>
      </c>
      <c r="K71" s="215" t="s">
        <v>64</v>
      </c>
      <c r="L71" s="216">
        <v>5.0</v>
      </c>
      <c r="M71" s="216">
        <v>25.0</v>
      </c>
      <c r="N71" s="11">
        <f t="shared" si="1"/>
        <v>125</v>
      </c>
      <c r="O71" s="11" t="s">
        <v>20</v>
      </c>
      <c r="P71" s="93" t="s">
        <v>65</v>
      </c>
      <c r="Q71" s="123"/>
      <c r="R71" s="93" t="s">
        <v>111</v>
      </c>
      <c r="S71" s="217" t="s">
        <v>128</v>
      </c>
      <c r="T71" s="11" t="e">
        <v>#VALUE!</v>
      </c>
      <c r="U71" s="78"/>
      <c r="V71" s="74"/>
      <c r="W71" s="75"/>
      <c r="X71" s="12"/>
      <c r="Y71" s="11"/>
      <c r="Z71" s="12">
        <v>3.0</v>
      </c>
      <c r="AA71" s="616"/>
      <c r="AB71" s="616" t="s">
        <v>1729</v>
      </c>
    </row>
    <row r="72" ht="45.0" customHeight="1">
      <c r="A72" s="222">
        <v>270.0</v>
      </c>
      <c r="B72" s="222" t="s">
        <v>342</v>
      </c>
      <c r="C72" s="232" t="s">
        <v>1132</v>
      </c>
      <c r="D72" s="222" t="s">
        <v>1131</v>
      </c>
      <c r="E72" s="299"/>
      <c r="F72" s="299"/>
      <c r="G72" s="299"/>
      <c r="H72" s="299"/>
      <c r="I72" s="299" t="s">
        <v>2201</v>
      </c>
      <c r="J72" s="234">
        <v>1.0</v>
      </c>
      <c r="K72" s="233" t="s">
        <v>1032</v>
      </c>
      <c r="L72" s="234">
        <v>1.0</v>
      </c>
      <c r="M72" s="234">
        <v>300.0</v>
      </c>
      <c r="N72" s="222">
        <f t="shared" si="1"/>
        <v>300</v>
      </c>
      <c r="O72" s="222" t="s">
        <v>347</v>
      </c>
      <c r="P72" s="232"/>
      <c r="Q72" s="232"/>
      <c r="R72" s="232" t="s">
        <v>23</v>
      </c>
      <c r="S72" s="235" t="s">
        <v>1133</v>
      </c>
      <c r="T72" s="222" t="str">
        <f>IMAGE("https://5.imimg.com/data5/SELLER/Default/2020/12/RU/ZP/SZ/45671901/alstone-silicone-sealant-500x500.jpeg",1)</f>
        <v/>
      </c>
      <c r="U72" s="340" t="s">
        <v>1689</v>
      </c>
      <c r="V72" s="335"/>
      <c r="W72" s="336"/>
      <c r="X72" s="299"/>
      <c r="Y72" s="222"/>
      <c r="Z72" s="299">
        <v>3.0</v>
      </c>
      <c r="AA72" s="616" t="s">
        <v>2430</v>
      </c>
      <c r="AB72" s="616">
        <v>1.0</v>
      </c>
    </row>
    <row r="73" ht="45.0" customHeight="1">
      <c r="A73" s="11">
        <v>12.0</v>
      </c>
      <c r="B73" s="11" t="s">
        <v>15</v>
      </c>
      <c r="C73" s="93" t="s">
        <v>71</v>
      </c>
      <c r="D73" s="11" t="s">
        <v>70</v>
      </c>
      <c r="E73" s="12"/>
      <c r="F73" s="12"/>
      <c r="G73" s="12"/>
      <c r="H73" s="12"/>
      <c r="I73" s="12" t="s">
        <v>1984</v>
      </c>
      <c r="J73" s="216">
        <v>25.0</v>
      </c>
      <c r="K73" s="215" t="s">
        <v>64</v>
      </c>
      <c r="L73" s="216">
        <v>1.0</v>
      </c>
      <c r="M73" s="218">
        <v>1000.0</v>
      </c>
      <c r="N73" s="11">
        <f t="shared" si="1"/>
        <v>25000</v>
      </c>
      <c r="O73" s="11" t="s">
        <v>20</v>
      </c>
      <c r="P73" s="93" t="s">
        <v>72</v>
      </c>
      <c r="Q73" s="93" t="s">
        <v>65</v>
      </c>
      <c r="R73" s="93" t="s">
        <v>111</v>
      </c>
      <c r="S73" s="219" t="s">
        <v>73</v>
      </c>
      <c r="T73" s="11" t="str">
        <f>IMAGE("https://helloaugust.in/wp-content/uploads/2020/04/dark-colour-chart-paper-full-size-300x300.jpg",1)</f>
        <v/>
      </c>
      <c r="U73" s="78"/>
      <c r="V73" s="74"/>
      <c r="W73" s="75"/>
      <c r="X73" s="12"/>
      <c r="Y73" s="11"/>
      <c r="Z73" s="12">
        <v>3.0</v>
      </c>
      <c r="AA73" s="616" t="s">
        <v>2430</v>
      </c>
      <c r="AB73" s="616">
        <v>3.0</v>
      </c>
    </row>
    <row r="74" ht="45.0" customHeight="1">
      <c r="A74" s="11">
        <v>14.0</v>
      </c>
      <c r="B74" s="11" t="s">
        <v>15</v>
      </c>
      <c r="C74" s="93" t="s">
        <v>352</v>
      </c>
      <c r="D74" s="11" t="s">
        <v>80</v>
      </c>
      <c r="E74" s="12"/>
      <c r="F74" s="12"/>
      <c r="G74" s="12"/>
      <c r="H74" s="12"/>
      <c r="I74" s="12" t="s">
        <v>1984</v>
      </c>
      <c r="J74" s="216">
        <v>5.0</v>
      </c>
      <c r="K74" s="215" t="s">
        <v>64</v>
      </c>
      <c r="L74" s="216">
        <v>5.0</v>
      </c>
      <c r="M74" s="218">
        <v>100.0</v>
      </c>
      <c r="N74" s="11">
        <f t="shared" si="1"/>
        <v>500</v>
      </c>
      <c r="O74" s="11" t="s">
        <v>20</v>
      </c>
      <c r="P74" s="93" t="s">
        <v>65</v>
      </c>
      <c r="Q74" s="93" t="s">
        <v>82</v>
      </c>
      <c r="R74" s="93" t="s">
        <v>111</v>
      </c>
      <c r="S74" s="217" t="s">
        <v>84</v>
      </c>
      <c r="T74" s="11" t="str">
        <f>IMAGE("https://4.imimg.com/data4/TN/NP/MY-32886991/a4-colour-paper-500x500.jpg",1)</f>
        <v/>
      </c>
      <c r="U74" s="78"/>
      <c r="V74" s="74"/>
      <c r="W74" s="75"/>
      <c r="X74" s="12"/>
      <c r="Y74" s="11"/>
      <c r="Z74" s="12">
        <v>3.0</v>
      </c>
      <c r="AA74" s="616" t="s">
        <v>2430</v>
      </c>
      <c r="AB74" s="616">
        <v>2.0</v>
      </c>
    </row>
    <row r="75" ht="45.0" customHeight="1">
      <c r="A75" s="11">
        <v>351.0</v>
      </c>
      <c r="B75" s="11" t="s">
        <v>15</v>
      </c>
      <c r="C75" s="93" t="s">
        <v>1461</v>
      </c>
      <c r="D75" s="11" t="s">
        <v>1460</v>
      </c>
      <c r="E75" s="12"/>
      <c r="F75" s="12"/>
      <c r="G75" s="12"/>
      <c r="H75" s="12"/>
      <c r="I75" s="12" t="s">
        <v>1984</v>
      </c>
      <c r="J75" s="216">
        <v>1.0</v>
      </c>
      <c r="K75" s="215" t="s">
        <v>1421</v>
      </c>
      <c r="L75" s="216">
        <v>1.0</v>
      </c>
      <c r="M75" s="216">
        <v>400.0</v>
      </c>
      <c r="N75" s="11">
        <f t="shared" si="1"/>
        <v>400</v>
      </c>
      <c r="O75" s="11" t="s">
        <v>20</v>
      </c>
      <c r="P75" s="93" t="s">
        <v>65</v>
      </c>
      <c r="Q75" s="93" t="s">
        <v>82</v>
      </c>
      <c r="R75" s="93" t="s">
        <v>1899</v>
      </c>
      <c r="S75" s="217" t="s">
        <v>1463</v>
      </c>
      <c r="T75" s="11" t="str">
        <f>IMAGE("https://5.imimg.com/data5/NA/SV/MA/SELLER-5806248/transparent-ohp-sheet-1000x1000.jpg",1)</f>
        <v/>
      </c>
      <c r="U75" s="78"/>
      <c r="V75" s="74"/>
      <c r="W75" s="75"/>
      <c r="X75" s="12"/>
      <c r="Y75" s="11"/>
      <c r="Z75" s="12">
        <v>3.0</v>
      </c>
      <c r="AA75" s="616"/>
      <c r="AB75" s="616"/>
    </row>
    <row r="76" ht="45.0" customHeight="1">
      <c r="A76" s="11">
        <v>345.0</v>
      </c>
      <c r="B76" s="11" t="s">
        <v>15</v>
      </c>
      <c r="C76" s="93" t="s">
        <v>1439</v>
      </c>
      <c r="D76" s="11" t="s">
        <v>1438</v>
      </c>
      <c r="E76" s="12"/>
      <c r="F76" s="12"/>
      <c r="G76" s="12"/>
      <c r="H76" s="12"/>
      <c r="I76" s="12" t="s">
        <v>2140</v>
      </c>
      <c r="J76" s="216">
        <v>5.0</v>
      </c>
      <c r="K76" s="215" t="s">
        <v>1421</v>
      </c>
      <c r="L76" s="216">
        <v>5.0</v>
      </c>
      <c r="M76" s="216">
        <v>50.0</v>
      </c>
      <c r="N76" s="11">
        <f t="shared" si="1"/>
        <v>250</v>
      </c>
      <c r="O76" s="11" t="s">
        <v>20</v>
      </c>
      <c r="P76" s="93" t="s">
        <v>1984</v>
      </c>
      <c r="Q76" s="93" t="s">
        <v>65</v>
      </c>
      <c r="R76" s="93" t="s">
        <v>1983</v>
      </c>
      <c r="S76" s="217" t="s">
        <v>1440</v>
      </c>
      <c r="T76" s="11" t="str">
        <f>IMAGE("https://cdn.shopify.com/s/files/1/0032/5448/5037/products/suvidha-aluminium-foil-72-meters-pack-of-12_800x.jpg?v=1562920856",1)</f>
        <v/>
      </c>
      <c r="U76" s="78"/>
      <c r="V76" s="74"/>
      <c r="W76" s="75"/>
      <c r="X76" s="12"/>
      <c r="Y76" s="11"/>
      <c r="Z76" s="12">
        <v>3.0</v>
      </c>
      <c r="AA76" s="616" t="s">
        <v>2430</v>
      </c>
      <c r="AB76" s="616">
        <v>1.0</v>
      </c>
    </row>
    <row r="77" ht="45.0" customHeight="1">
      <c r="A77" s="11">
        <v>348.0</v>
      </c>
      <c r="B77" s="11" t="s">
        <v>15</v>
      </c>
      <c r="C77" s="93" t="s">
        <v>1458</v>
      </c>
      <c r="D77" s="11" t="s">
        <v>1457</v>
      </c>
      <c r="E77" s="12"/>
      <c r="F77" s="12"/>
      <c r="G77" s="12"/>
      <c r="H77" s="12"/>
      <c r="I77" s="12" t="s">
        <v>2142</v>
      </c>
      <c r="J77" s="216">
        <v>10.0</v>
      </c>
      <c r="K77" s="215" t="s">
        <v>1421</v>
      </c>
      <c r="L77" s="216">
        <v>10.0</v>
      </c>
      <c r="M77" s="216">
        <v>280.0</v>
      </c>
      <c r="N77" s="11">
        <f t="shared" si="1"/>
        <v>2800</v>
      </c>
      <c r="O77" s="11" t="s">
        <v>20</v>
      </c>
      <c r="P77" s="93" t="s">
        <v>65</v>
      </c>
      <c r="Q77" s="93" t="s">
        <v>82</v>
      </c>
      <c r="R77" s="93" t="s">
        <v>1985</v>
      </c>
      <c r="S77" s="217"/>
      <c r="T77" s="11" t="str">
        <f>IMAGE("https://assetscdn1.paytm.com/images/catalog/product/S/ST/STAEVA-FOAM-SHEKAPI63599336D8CB51/1563562065545_0..jpg?imwidth=320&amp;impolicy=hq",1)</f>
        <v/>
      </c>
      <c r="U77" s="78"/>
      <c r="V77" s="74"/>
      <c r="W77" s="75"/>
      <c r="X77" s="12"/>
      <c r="Y77" s="11"/>
      <c r="Z77" s="12">
        <v>3.0</v>
      </c>
      <c r="AA77" s="616" t="s">
        <v>2430</v>
      </c>
      <c r="AB77" s="616">
        <v>1.0</v>
      </c>
    </row>
    <row r="78" ht="45.0" customHeight="1">
      <c r="A78" s="11">
        <v>352.0</v>
      </c>
      <c r="B78" s="11" t="s">
        <v>15</v>
      </c>
      <c r="C78" s="93" t="s">
        <v>1466</v>
      </c>
      <c r="D78" s="11" t="s">
        <v>1465</v>
      </c>
      <c r="E78" s="12"/>
      <c r="F78" s="12"/>
      <c r="G78" s="12"/>
      <c r="H78" s="12"/>
      <c r="I78" s="299" t="s">
        <v>2142</v>
      </c>
      <c r="J78" s="216">
        <v>10.0</v>
      </c>
      <c r="K78" s="215" t="s">
        <v>1421</v>
      </c>
      <c r="L78" s="216">
        <v>10.0</v>
      </c>
      <c r="M78" s="216">
        <v>72.0</v>
      </c>
      <c r="N78" s="11">
        <f t="shared" si="1"/>
        <v>720</v>
      </c>
      <c r="O78" s="11" t="s">
        <v>20</v>
      </c>
      <c r="P78" s="93" t="s">
        <v>65</v>
      </c>
      <c r="Q78" s="93" t="s">
        <v>82</v>
      </c>
      <c r="R78" s="93" t="s">
        <v>1985</v>
      </c>
      <c r="S78" s="223" t="s">
        <v>1467</v>
      </c>
      <c r="T78" s="11" t="str">
        <f>IMAGE("https://www.ramsayrubber.com/wp-content/uploads/2020/01/Rolls-Sheeting-Polyurethane-Foam-Rolls2-1.jpg",1)</f>
        <v/>
      </c>
      <c r="U78" s="78"/>
      <c r="V78" s="74"/>
      <c r="W78" s="75"/>
      <c r="X78" s="12"/>
      <c r="Y78" s="11"/>
      <c r="Z78" s="12">
        <v>3.0</v>
      </c>
      <c r="AA78" s="616" t="s">
        <v>2430</v>
      </c>
      <c r="AB78" s="616">
        <v>1.0</v>
      </c>
    </row>
    <row r="79" ht="45.0" customHeight="1">
      <c r="A79" s="11">
        <v>349.0</v>
      </c>
      <c r="B79" s="11" t="s">
        <v>15</v>
      </c>
      <c r="C79" s="93" t="s">
        <v>1446</v>
      </c>
      <c r="D79" s="11" t="s">
        <v>1445</v>
      </c>
      <c r="E79" s="12"/>
      <c r="F79" s="12"/>
      <c r="G79" s="12"/>
      <c r="H79" s="12"/>
      <c r="I79" s="12" t="s">
        <v>2143</v>
      </c>
      <c r="J79" s="216">
        <v>5.0</v>
      </c>
      <c r="K79" s="215" t="s">
        <v>1421</v>
      </c>
      <c r="L79" s="216">
        <v>5.0</v>
      </c>
      <c r="M79" s="216">
        <v>100.0</v>
      </c>
      <c r="N79" s="11">
        <f t="shared" si="1"/>
        <v>500</v>
      </c>
      <c r="O79" s="11" t="s">
        <v>20</v>
      </c>
      <c r="P79" s="93" t="s">
        <v>65</v>
      </c>
      <c r="Q79" s="123" t="s">
        <v>65</v>
      </c>
      <c r="R79" s="93" t="s">
        <v>1985</v>
      </c>
      <c r="S79" s="217" t="s">
        <v>1447</v>
      </c>
      <c r="T79" s="11" t="str">
        <f t="shared" ref="T79:T80" si="4">IMAGE("https://m.media-amazon.com/images/I/51FB8cHTJyL._SL1500_.jpg",1)</f>
        <v/>
      </c>
      <c r="U79" s="78"/>
      <c r="V79" s="74"/>
      <c r="W79" s="75"/>
      <c r="X79" s="12"/>
      <c r="Y79" s="11"/>
      <c r="Z79" s="12">
        <v>3.0</v>
      </c>
      <c r="AA79" s="616"/>
      <c r="AB79" s="616"/>
    </row>
    <row r="80" ht="45.0" customHeight="1">
      <c r="A80" s="11">
        <v>350.0</v>
      </c>
      <c r="B80" s="11" t="s">
        <v>15</v>
      </c>
      <c r="C80" s="93" t="s">
        <v>1450</v>
      </c>
      <c r="D80" s="11" t="s">
        <v>1449</v>
      </c>
      <c r="E80" s="12"/>
      <c r="F80" s="12"/>
      <c r="G80" s="12"/>
      <c r="H80" s="12"/>
      <c r="I80" s="12" t="s">
        <v>2143</v>
      </c>
      <c r="J80" s="216">
        <v>5.0</v>
      </c>
      <c r="K80" s="215" t="s">
        <v>1421</v>
      </c>
      <c r="L80" s="216">
        <v>5.0</v>
      </c>
      <c r="M80" s="216">
        <v>200.0</v>
      </c>
      <c r="N80" s="11">
        <f t="shared" si="1"/>
        <v>1000</v>
      </c>
      <c r="O80" s="11" t="s">
        <v>20</v>
      </c>
      <c r="P80" s="93" t="s">
        <v>65</v>
      </c>
      <c r="Q80" s="123" t="s">
        <v>65</v>
      </c>
      <c r="R80" s="93" t="s">
        <v>1985</v>
      </c>
      <c r="S80" s="217" t="s">
        <v>1451</v>
      </c>
      <c r="T80" s="11" t="str">
        <f t="shared" si="4"/>
        <v/>
      </c>
      <c r="U80" s="78"/>
      <c r="V80" s="74"/>
      <c r="W80" s="75"/>
      <c r="X80" s="12"/>
      <c r="Y80" s="11"/>
      <c r="Z80" s="12">
        <v>3.0</v>
      </c>
      <c r="AA80" s="616" t="s">
        <v>2430</v>
      </c>
      <c r="AB80" s="616">
        <v>1.0</v>
      </c>
    </row>
    <row r="81" ht="45.0" customHeight="1">
      <c r="A81" s="11">
        <v>347.0</v>
      </c>
      <c r="B81" s="11" t="s">
        <v>15</v>
      </c>
      <c r="C81" s="93" t="s">
        <v>1454</v>
      </c>
      <c r="D81" s="11" t="s">
        <v>1453</v>
      </c>
      <c r="E81" s="12"/>
      <c r="F81" s="12"/>
      <c r="G81" s="12"/>
      <c r="H81" s="12"/>
      <c r="I81" s="12" t="s">
        <v>2141</v>
      </c>
      <c r="J81" s="216">
        <v>50.0</v>
      </c>
      <c r="K81" s="215" t="s">
        <v>1421</v>
      </c>
      <c r="L81" s="216">
        <v>50.0</v>
      </c>
      <c r="M81" s="216">
        <v>50.0</v>
      </c>
      <c r="N81" s="11">
        <f t="shared" si="1"/>
        <v>2500</v>
      </c>
      <c r="O81" s="11" t="s">
        <v>20</v>
      </c>
      <c r="P81" s="93" t="s">
        <v>65</v>
      </c>
      <c r="Q81" s="93" t="s">
        <v>82</v>
      </c>
      <c r="R81" s="93" t="s">
        <v>111</v>
      </c>
      <c r="S81" s="217" t="s">
        <v>1455</v>
      </c>
      <c r="T81" s="11" t="str">
        <f>IMAGE("https://cdn11.bigcommerce.com/s-33iv1gdknl/images/stencil/1280x1280/products/115465/70691/prd_32014_5797121027228__12010.1559545680.jpg?c=2",1)</f>
        <v/>
      </c>
      <c r="U81" s="78"/>
      <c r="V81" s="74"/>
      <c r="W81" s="75"/>
      <c r="X81" s="5"/>
      <c r="Y81" s="14"/>
      <c r="Z81" s="12">
        <v>3.0</v>
      </c>
      <c r="AA81" s="616" t="s">
        <v>2430</v>
      </c>
      <c r="AB81" s="616">
        <v>5.0</v>
      </c>
    </row>
    <row r="82" ht="45.0" customHeight="1">
      <c r="A82" s="222">
        <v>341.0</v>
      </c>
      <c r="B82" s="222" t="s">
        <v>15</v>
      </c>
      <c r="C82" s="232" t="s">
        <v>1420</v>
      </c>
      <c r="D82" s="222" t="s">
        <v>1419</v>
      </c>
      <c r="E82" s="299"/>
      <c r="F82" s="299"/>
      <c r="G82" s="299"/>
      <c r="H82" s="299"/>
      <c r="I82" s="299" t="s">
        <v>2202</v>
      </c>
      <c r="J82" s="222">
        <v>10.0</v>
      </c>
      <c r="K82" s="233" t="s">
        <v>1421</v>
      </c>
      <c r="L82" s="222">
        <v>10.0</v>
      </c>
      <c r="M82" s="222">
        <v>150.0</v>
      </c>
      <c r="N82" s="222">
        <f t="shared" si="1"/>
        <v>1500</v>
      </c>
      <c r="O82" s="222" t="s">
        <v>20</v>
      </c>
      <c r="P82" s="232" t="s">
        <v>65</v>
      </c>
      <c r="Q82" s="232"/>
      <c r="R82" s="232" t="s">
        <v>1899</v>
      </c>
      <c r="S82" s="235" t="s">
        <v>1422</v>
      </c>
      <c r="T82" s="222" t="str">
        <f>IMAGE("https://5.imimg.com/data5/AC/TD/VT/SELLER-14930302/milky-white-acrylic-sheet.jpg",1)</f>
        <v/>
      </c>
      <c r="U82" s="345"/>
      <c r="V82" s="335"/>
      <c r="W82" s="336"/>
      <c r="X82" s="299"/>
      <c r="Y82" s="222"/>
      <c r="Z82" s="299">
        <v>3.0</v>
      </c>
      <c r="AA82" s="616" t="s">
        <v>2430</v>
      </c>
      <c r="AB82" s="616">
        <v>2.0</v>
      </c>
    </row>
    <row r="83" ht="45.0" customHeight="1">
      <c r="A83" s="222">
        <v>408.0</v>
      </c>
      <c r="B83" s="222"/>
      <c r="C83" s="347" t="s">
        <v>1997</v>
      </c>
      <c r="D83" s="346" t="s">
        <v>1996</v>
      </c>
      <c r="E83" s="617"/>
      <c r="F83" s="617"/>
      <c r="G83" s="617"/>
      <c r="H83" s="617"/>
      <c r="I83" s="299" t="s">
        <v>2154</v>
      </c>
      <c r="J83" s="234">
        <v>1.0</v>
      </c>
      <c r="K83" s="233" t="s">
        <v>465</v>
      </c>
      <c r="L83" s="234"/>
      <c r="M83" s="234"/>
      <c r="N83" s="222"/>
      <c r="O83" s="222" t="s">
        <v>466</v>
      </c>
      <c r="P83" s="232"/>
      <c r="Q83" s="341"/>
      <c r="R83" s="232" t="s">
        <v>1991</v>
      </c>
      <c r="S83" s="235"/>
      <c r="T83" s="222"/>
      <c r="U83" s="340"/>
      <c r="V83" s="335"/>
      <c r="W83" s="336"/>
      <c r="X83" s="299"/>
      <c r="Y83" s="222"/>
      <c r="Z83" s="299">
        <v>2.0</v>
      </c>
      <c r="AA83" s="616"/>
      <c r="AB83" s="616"/>
    </row>
    <row r="84" ht="45.0" customHeight="1">
      <c r="A84" s="11">
        <v>104.0</v>
      </c>
      <c r="B84" s="11" t="s">
        <v>461</v>
      </c>
      <c r="C84" s="93" t="s">
        <v>471</v>
      </c>
      <c r="D84" s="11" t="s">
        <v>470</v>
      </c>
      <c r="E84" s="12"/>
      <c r="F84" s="12"/>
      <c r="G84" s="12"/>
      <c r="H84" s="12"/>
      <c r="I84" s="12" t="s">
        <v>2066</v>
      </c>
      <c r="J84" s="216">
        <v>1.0</v>
      </c>
      <c r="K84" s="215" t="s">
        <v>465</v>
      </c>
      <c r="L84" s="216">
        <v>1.0</v>
      </c>
      <c r="M84" s="216">
        <v>50000.0</v>
      </c>
      <c r="N84" s="11">
        <f t="shared" ref="N84:N206" si="5">M84*J84</f>
        <v>50000</v>
      </c>
      <c r="O84" s="11" t="s">
        <v>466</v>
      </c>
      <c r="P84" s="93" t="s">
        <v>47</v>
      </c>
      <c r="Q84" s="123" t="s">
        <v>65</v>
      </c>
      <c r="R84" s="93" t="s">
        <v>1938</v>
      </c>
      <c r="S84" s="217" t="s">
        <v>472</v>
      </c>
      <c r="T84" s="11" t="str">
        <f>IMAGE("https://m.media-amazon.com/images/I/61UtNlSmPaL._SX342_.jpg",1)</f>
        <v/>
      </c>
      <c r="U84" s="73" t="s">
        <v>1684</v>
      </c>
      <c r="V84" s="74">
        <f>55</f>
        <v>55</v>
      </c>
      <c r="W84" s="75"/>
      <c r="X84" s="12"/>
      <c r="Y84" s="11"/>
      <c r="Z84" s="12">
        <v>3.0</v>
      </c>
      <c r="AA84" s="616" t="s">
        <v>2430</v>
      </c>
      <c r="AB84" s="616">
        <v>1.0</v>
      </c>
    </row>
    <row r="85" ht="45.0" hidden="1" customHeight="1">
      <c r="A85" s="11">
        <v>85.0</v>
      </c>
      <c r="B85" s="11" t="s">
        <v>342</v>
      </c>
      <c r="C85" s="93" t="s">
        <v>1927</v>
      </c>
      <c r="D85" s="11" t="s">
        <v>388</v>
      </c>
      <c r="E85" s="12"/>
      <c r="F85" s="12"/>
      <c r="G85" s="12"/>
      <c r="H85" s="12"/>
      <c r="I85" s="12" t="s">
        <v>2445</v>
      </c>
      <c r="J85" s="216">
        <v>5.0</v>
      </c>
      <c r="K85" s="215" t="s">
        <v>346</v>
      </c>
      <c r="L85" s="216">
        <v>5.0</v>
      </c>
      <c r="M85" s="216">
        <v>50.0</v>
      </c>
      <c r="N85" s="11">
        <f t="shared" si="5"/>
        <v>250</v>
      </c>
      <c r="O85" s="11" t="s">
        <v>347</v>
      </c>
      <c r="P85" s="93" t="s">
        <v>77</v>
      </c>
      <c r="Q85" s="123" t="s">
        <v>65</v>
      </c>
      <c r="R85" s="215" t="s">
        <v>346</v>
      </c>
      <c r="S85" s="217" t="s">
        <v>390</v>
      </c>
      <c r="T85" s="11" t="str">
        <f>IMAGE("https://m.media-amazon.com/images/I/518vUksgebL._SL1100_.jpg",1)</f>
        <v/>
      </c>
      <c r="U85" s="78"/>
      <c r="V85" s="74"/>
      <c r="W85" s="75"/>
      <c r="X85" s="12"/>
      <c r="Y85" s="11"/>
      <c r="Z85" s="12">
        <v>1.0</v>
      </c>
      <c r="AA85" s="12"/>
      <c r="AB85" s="12"/>
    </row>
    <row r="86" ht="45.0" hidden="1" customHeight="1">
      <c r="A86" s="11">
        <v>86.0</v>
      </c>
      <c r="B86" s="11" t="s">
        <v>342</v>
      </c>
      <c r="C86" s="93" t="s">
        <v>1928</v>
      </c>
      <c r="D86" s="11" t="s">
        <v>392</v>
      </c>
      <c r="E86" s="12"/>
      <c r="F86" s="12"/>
      <c r="G86" s="12"/>
      <c r="H86" s="12"/>
      <c r="I86" s="12" t="s">
        <v>2445</v>
      </c>
      <c r="J86" s="216">
        <v>5.0</v>
      </c>
      <c r="K86" s="215" t="s">
        <v>346</v>
      </c>
      <c r="L86" s="216">
        <v>5.0</v>
      </c>
      <c r="M86" s="216">
        <v>50.0</v>
      </c>
      <c r="N86" s="11">
        <f t="shared" si="5"/>
        <v>250</v>
      </c>
      <c r="O86" s="11" t="s">
        <v>347</v>
      </c>
      <c r="P86" s="93" t="s">
        <v>77</v>
      </c>
      <c r="Q86" s="123" t="s">
        <v>65</v>
      </c>
      <c r="R86" s="215" t="s">
        <v>346</v>
      </c>
      <c r="S86" s="217" t="s">
        <v>394</v>
      </c>
      <c r="T86" s="11" t="str">
        <f>IMAGE("https://rukminim1.flixcart.com/image/416/416/jidg9zk0/art-craft-kit/f/g/a/9mm-snap-off-precision-blades-30-degree-blades-100-blade-pack-1-original-imaf66g6ahvgzem3.jpeg?q=70",1)</f>
        <v/>
      </c>
      <c r="U86" s="78"/>
      <c r="V86" s="74"/>
      <c r="W86" s="75"/>
      <c r="X86" s="12"/>
      <c r="Y86" s="11"/>
      <c r="Z86" s="12">
        <v>1.0</v>
      </c>
      <c r="AA86" s="12"/>
      <c r="AB86" s="12"/>
    </row>
    <row r="87" ht="45.0" hidden="1" customHeight="1">
      <c r="A87" s="11">
        <v>87.0</v>
      </c>
      <c r="B87" s="11" t="s">
        <v>342</v>
      </c>
      <c r="C87" s="93" t="s">
        <v>1929</v>
      </c>
      <c r="D87" s="11" t="s">
        <v>396</v>
      </c>
      <c r="E87" s="12"/>
      <c r="F87" s="12"/>
      <c r="G87" s="12"/>
      <c r="H87" s="12"/>
      <c r="I87" s="12" t="s">
        <v>2446</v>
      </c>
      <c r="J87" s="216">
        <v>5.0</v>
      </c>
      <c r="K87" s="215" t="s">
        <v>346</v>
      </c>
      <c r="L87" s="216">
        <v>5.0</v>
      </c>
      <c r="M87" s="216">
        <v>100.0</v>
      </c>
      <c r="N87" s="11">
        <f t="shared" si="5"/>
        <v>500</v>
      </c>
      <c r="O87" s="11" t="s">
        <v>347</v>
      </c>
      <c r="P87" s="93" t="s">
        <v>77</v>
      </c>
      <c r="Q87" s="123" t="s">
        <v>65</v>
      </c>
      <c r="R87" s="215" t="s">
        <v>346</v>
      </c>
      <c r="S87" s="217" t="s">
        <v>398</v>
      </c>
      <c r="T87" s="11" t="str">
        <f>IMAGE("https://m.media-amazon.com/images/I/31u15vg7r0L._SX342_.jpg",1)</f>
        <v/>
      </c>
      <c r="U87" s="73" t="s">
        <v>1689</v>
      </c>
      <c r="V87" s="74"/>
      <c r="W87" s="75"/>
      <c r="X87" s="12"/>
      <c r="Y87" s="11"/>
      <c r="Z87" s="12">
        <v>1.0</v>
      </c>
      <c r="AA87" s="12"/>
      <c r="AB87" s="12"/>
    </row>
    <row r="88" ht="45.0" hidden="1" customHeight="1">
      <c r="A88" s="11">
        <v>88.0</v>
      </c>
      <c r="B88" s="11" t="s">
        <v>342</v>
      </c>
      <c r="C88" s="93" t="s">
        <v>1930</v>
      </c>
      <c r="D88" s="11" t="s">
        <v>400</v>
      </c>
      <c r="E88" s="12"/>
      <c r="F88" s="12"/>
      <c r="G88" s="12"/>
      <c r="H88" s="12"/>
      <c r="I88" s="12" t="s">
        <v>2446</v>
      </c>
      <c r="J88" s="216">
        <v>10.0</v>
      </c>
      <c r="K88" s="215" t="s">
        <v>346</v>
      </c>
      <c r="L88" s="216">
        <v>10.0</v>
      </c>
      <c r="M88" s="216">
        <v>100.0</v>
      </c>
      <c r="N88" s="11">
        <f t="shared" si="5"/>
        <v>1000</v>
      </c>
      <c r="O88" s="11" t="s">
        <v>347</v>
      </c>
      <c r="P88" s="93" t="s">
        <v>77</v>
      </c>
      <c r="Q88" s="11"/>
      <c r="R88" s="215" t="s">
        <v>346</v>
      </c>
      <c r="S88" s="217" t="s">
        <v>402</v>
      </c>
      <c r="T88" s="11" t="str">
        <f>IMAGE("https://hydetools.com/wp-content/uploads/2019/09/42046b.jpg",1)</f>
        <v/>
      </c>
      <c r="U88" s="78"/>
      <c r="V88" s="74"/>
      <c r="W88" s="75"/>
      <c r="X88" s="12"/>
      <c r="Y88" s="11"/>
      <c r="Z88" s="12">
        <v>1.0</v>
      </c>
      <c r="AA88" s="12"/>
      <c r="AB88" s="12"/>
    </row>
    <row r="89" ht="45.0" hidden="1" customHeight="1">
      <c r="A89" s="11">
        <v>89.0</v>
      </c>
      <c r="B89" s="11" t="s">
        <v>342</v>
      </c>
      <c r="C89" s="93" t="s">
        <v>405</v>
      </c>
      <c r="D89" s="11" t="s">
        <v>404</v>
      </c>
      <c r="E89" s="12"/>
      <c r="F89" s="12"/>
      <c r="G89" s="12"/>
      <c r="H89" s="12"/>
      <c r="I89" s="12" t="s">
        <v>2447</v>
      </c>
      <c r="J89" s="216">
        <v>10.0</v>
      </c>
      <c r="K89" s="215" t="s">
        <v>346</v>
      </c>
      <c r="L89" s="216">
        <v>10.0</v>
      </c>
      <c r="M89" s="216">
        <v>100.0</v>
      </c>
      <c r="N89" s="11">
        <f t="shared" si="5"/>
        <v>1000</v>
      </c>
      <c r="O89" s="11" t="s">
        <v>347</v>
      </c>
      <c r="P89" s="93" t="s">
        <v>21</v>
      </c>
      <c r="Q89" s="11"/>
      <c r="R89" s="215" t="s">
        <v>346</v>
      </c>
      <c r="S89" s="217" t="s">
        <v>406</v>
      </c>
      <c r="T89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U89" s="78"/>
      <c r="V89" s="74"/>
      <c r="W89" s="75"/>
      <c r="X89" s="12"/>
      <c r="Y89" s="11"/>
      <c r="Z89" s="12">
        <v>1.0</v>
      </c>
      <c r="AA89" s="12"/>
      <c r="AB89" s="12"/>
    </row>
    <row r="90" ht="45.0" hidden="1" customHeight="1">
      <c r="A90" s="11">
        <v>90.0</v>
      </c>
      <c r="B90" s="11" t="s">
        <v>407</v>
      </c>
      <c r="C90" s="93" t="s">
        <v>408</v>
      </c>
      <c r="D90" s="11" t="s">
        <v>407</v>
      </c>
      <c r="E90" s="12"/>
      <c r="F90" s="12"/>
      <c r="G90" s="12"/>
      <c r="H90" s="12"/>
      <c r="I90" s="12" t="s">
        <v>2447</v>
      </c>
      <c r="J90" s="216">
        <v>10.0</v>
      </c>
      <c r="K90" s="215" t="s">
        <v>346</v>
      </c>
      <c r="L90" s="216">
        <v>10.0</v>
      </c>
      <c r="M90" s="216">
        <v>80.0</v>
      </c>
      <c r="N90" s="11">
        <f t="shared" si="5"/>
        <v>800</v>
      </c>
      <c r="O90" s="11" t="s">
        <v>347</v>
      </c>
      <c r="P90" s="93" t="s">
        <v>77</v>
      </c>
      <c r="Q90" s="11"/>
      <c r="R90" s="215" t="s">
        <v>346</v>
      </c>
      <c r="S90" s="217"/>
      <c r="T90" s="11" t="str">
        <f>IMAGE("https://cdn-reichelt.de/bilder/web/xxl_ws/I210/LEITZ_54166095.png",1)</f>
        <v/>
      </c>
      <c r="U90" s="78"/>
      <c r="V90" s="74"/>
      <c r="W90" s="75"/>
      <c r="X90" s="12"/>
      <c r="Y90" s="11"/>
      <c r="Z90" s="12">
        <v>1.0</v>
      </c>
      <c r="AA90" s="12"/>
      <c r="AB90" s="12"/>
    </row>
    <row r="91" ht="45.0" hidden="1" customHeight="1">
      <c r="A91" s="222">
        <v>91.0</v>
      </c>
      <c r="B91" s="222" t="s">
        <v>342</v>
      </c>
      <c r="C91" s="232" t="s">
        <v>411</v>
      </c>
      <c r="D91" s="222" t="s">
        <v>410</v>
      </c>
      <c r="E91" s="299"/>
      <c r="F91" s="299"/>
      <c r="G91" s="299"/>
      <c r="H91" s="299"/>
      <c r="I91" s="12" t="s">
        <v>2385</v>
      </c>
      <c r="J91" s="234">
        <v>10.0</v>
      </c>
      <c r="K91" s="233" t="s">
        <v>346</v>
      </c>
      <c r="L91" s="234">
        <v>10.0</v>
      </c>
      <c r="M91" s="234">
        <v>150.0</v>
      </c>
      <c r="N91" s="222">
        <f t="shared" si="5"/>
        <v>1500</v>
      </c>
      <c r="O91" s="222" t="s">
        <v>347</v>
      </c>
      <c r="P91" s="232" t="s">
        <v>21</v>
      </c>
      <c r="Q91" s="232" t="s">
        <v>66</v>
      </c>
      <c r="R91" s="233" t="s">
        <v>346</v>
      </c>
      <c r="S91" s="235"/>
      <c r="T91" s="222"/>
      <c r="U91" s="358"/>
      <c r="V91" s="359"/>
      <c r="W91" s="336"/>
      <c r="X91" s="360"/>
      <c r="Y91" s="222"/>
      <c r="Z91" s="299">
        <v>1.0</v>
      </c>
      <c r="AA91" s="12"/>
      <c r="AB91" s="12"/>
    </row>
    <row r="92" ht="45.0" hidden="1" customHeight="1">
      <c r="A92" s="11">
        <v>93.0</v>
      </c>
      <c r="B92" s="11" t="s">
        <v>173</v>
      </c>
      <c r="C92" s="93" t="s">
        <v>420</v>
      </c>
      <c r="D92" s="11" t="s">
        <v>419</v>
      </c>
      <c r="E92" s="12"/>
      <c r="F92" s="12"/>
      <c r="G92" s="12"/>
      <c r="H92" s="12"/>
      <c r="I92" s="12" t="s">
        <v>2060</v>
      </c>
      <c r="J92" s="216">
        <v>15.0</v>
      </c>
      <c r="K92" s="215" t="s">
        <v>415</v>
      </c>
      <c r="L92" s="216">
        <v>15.0</v>
      </c>
      <c r="M92" s="216">
        <v>400.0</v>
      </c>
      <c r="N92" s="11">
        <f t="shared" si="5"/>
        <v>6000</v>
      </c>
      <c r="O92" s="11" t="s">
        <v>178</v>
      </c>
      <c r="P92" s="93"/>
      <c r="Q92" s="93" t="s">
        <v>66</v>
      </c>
      <c r="R92" s="93" t="s">
        <v>1932</v>
      </c>
      <c r="S92" s="217" t="s">
        <v>422</v>
      </c>
      <c r="T92" s="11" t="str">
        <f>IMAGE("https://5.imimg.com/data5/VS/XC/MY-4167793/arduino-nano-500x500.jpg",1)</f>
        <v/>
      </c>
      <c r="U92" s="78" t="s">
        <v>1688</v>
      </c>
      <c r="V92" s="74"/>
      <c r="W92" s="75"/>
      <c r="X92" s="12"/>
      <c r="Y92" s="11"/>
      <c r="Z92" s="12">
        <v>1.0</v>
      </c>
      <c r="AA92" s="12"/>
      <c r="AB92" s="12"/>
    </row>
    <row r="93" ht="45.0" hidden="1" customHeight="1">
      <c r="A93" s="11">
        <v>94.0</v>
      </c>
      <c r="B93" s="11" t="s">
        <v>173</v>
      </c>
      <c r="C93" s="93" t="s">
        <v>1933</v>
      </c>
      <c r="D93" s="11" t="s">
        <v>424</v>
      </c>
      <c r="E93" s="12"/>
      <c r="F93" s="12"/>
      <c r="G93" s="12"/>
      <c r="H93" s="12"/>
      <c r="I93" s="12" t="s">
        <v>2448</v>
      </c>
      <c r="J93" s="216">
        <v>10.0</v>
      </c>
      <c r="K93" s="215" t="s">
        <v>415</v>
      </c>
      <c r="L93" s="216">
        <v>10.0</v>
      </c>
      <c r="M93" s="216">
        <v>500.0</v>
      </c>
      <c r="N93" s="11">
        <f t="shared" si="5"/>
        <v>5000</v>
      </c>
      <c r="O93" s="11" t="s">
        <v>178</v>
      </c>
      <c r="P93" s="93"/>
      <c r="Q93" s="93" t="s">
        <v>66</v>
      </c>
      <c r="R93" s="93" t="s">
        <v>1932</v>
      </c>
      <c r="S93" s="217" t="s">
        <v>426</v>
      </c>
      <c r="T93" s="11" t="str">
        <f>IMAGE("https://robu.in/wp-content/uploads/2017/04/Arduino_NANO_expansion1.jpg",1)</f>
        <v/>
      </c>
      <c r="U93" s="78" t="s">
        <v>1688</v>
      </c>
      <c r="V93" s="79"/>
      <c r="W93" s="80"/>
      <c r="X93" s="12"/>
      <c r="Y93" s="11"/>
      <c r="Z93" s="12">
        <v>1.0</v>
      </c>
      <c r="AA93" s="12"/>
      <c r="AB93" s="12"/>
    </row>
    <row r="94" ht="45.0" hidden="1" customHeight="1">
      <c r="A94" s="11">
        <v>95.0</v>
      </c>
      <c r="B94" s="11" t="s">
        <v>173</v>
      </c>
      <c r="C94" s="93" t="s">
        <v>1934</v>
      </c>
      <c r="D94" s="11" t="s">
        <v>428</v>
      </c>
      <c r="E94" s="12"/>
      <c r="F94" s="12"/>
      <c r="G94" s="12"/>
      <c r="H94" s="12"/>
      <c r="I94" s="12" t="s">
        <v>2060</v>
      </c>
      <c r="J94" s="216">
        <v>15.0</v>
      </c>
      <c r="K94" s="215" t="s">
        <v>415</v>
      </c>
      <c r="L94" s="216">
        <v>15.0</v>
      </c>
      <c r="M94" s="216">
        <v>450.0</v>
      </c>
      <c r="N94" s="11">
        <f t="shared" si="5"/>
        <v>6750</v>
      </c>
      <c r="O94" s="11" t="s">
        <v>178</v>
      </c>
      <c r="P94" s="93"/>
      <c r="Q94" s="93" t="s">
        <v>66</v>
      </c>
      <c r="R94" s="93" t="s">
        <v>1932</v>
      </c>
      <c r="S94" s="217" t="s">
        <v>431</v>
      </c>
      <c r="T94" s="11" t="str">
        <f>IMAGE("https://robu.in/wp-content/uploads/2017/10/Uno-R3-CH340G-ATmega328p-Development-Board-Compatible-with-Arduino2.png",1)</f>
        <v/>
      </c>
      <c r="U94" s="78" t="s">
        <v>1688</v>
      </c>
      <c r="V94" s="74"/>
      <c r="W94" s="75"/>
      <c r="X94" s="12"/>
      <c r="Y94" s="11"/>
      <c r="Z94" s="12">
        <v>1.0</v>
      </c>
      <c r="AA94" s="12"/>
      <c r="AB94" s="12"/>
    </row>
    <row r="95" ht="45.0" hidden="1" customHeight="1">
      <c r="A95" s="11">
        <v>97.0</v>
      </c>
      <c r="B95" s="11" t="s">
        <v>173</v>
      </c>
      <c r="C95" s="93" t="s">
        <v>438</v>
      </c>
      <c r="D95" s="11" t="s">
        <v>437</v>
      </c>
      <c r="E95" s="11"/>
      <c r="F95" s="11"/>
      <c r="G95" s="11"/>
      <c r="H95" s="11"/>
      <c r="I95" s="107" t="s">
        <v>1806</v>
      </c>
      <c r="J95" s="216">
        <v>10.0</v>
      </c>
      <c r="K95" s="215" t="s">
        <v>415</v>
      </c>
      <c r="L95" s="216">
        <v>10.0</v>
      </c>
      <c r="M95" s="216">
        <v>150.0</v>
      </c>
      <c r="N95" s="11">
        <f t="shared" si="5"/>
        <v>1500</v>
      </c>
      <c r="O95" s="11" t="s">
        <v>178</v>
      </c>
      <c r="P95" s="93"/>
      <c r="Q95" s="93" t="s">
        <v>193</v>
      </c>
      <c r="R95" s="93" t="s">
        <v>1937</v>
      </c>
      <c r="S95" s="217" t="s">
        <v>439</v>
      </c>
      <c r="T95" s="11" t="str">
        <f>IMAGE("https://www.electronicscomp.com/image/cache/catalog/esp8266-esp01-wifi-module-india-800x800.jpg",1)</f>
        <v/>
      </c>
      <c r="U95" s="78" t="s">
        <v>1688</v>
      </c>
      <c r="V95" s="74"/>
      <c r="W95" s="75"/>
      <c r="X95" s="12"/>
      <c r="Y95" s="11"/>
      <c r="Z95" s="12">
        <v>1.0</v>
      </c>
      <c r="AA95" s="618"/>
      <c r="AB95" s="618"/>
    </row>
    <row r="96" ht="45.0" hidden="1" customHeight="1">
      <c r="A96" s="11">
        <v>98.0</v>
      </c>
      <c r="B96" s="11" t="s">
        <v>173</v>
      </c>
      <c r="C96" s="93" t="s">
        <v>441</v>
      </c>
      <c r="D96" s="11" t="s">
        <v>440</v>
      </c>
      <c r="E96" s="11"/>
      <c r="F96" s="11"/>
      <c r="G96" s="11"/>
      <c r="H96" s="11"/>
      <c r="I96" s="107" t="s">
        <v>1803</v>
      </c>
      <c r="J96" s="216">
        <v>10.0</v>
      </c>
      <c r="K96" s="215" t="s">
        <v>415</v>
      </c>
      <c r="L96" s="216">
        <v>10.0</v>
      </c>
      <c r="M96" s="216">
        <v>300.0</v>
      </c>
      <c r="N96" s="11">
        <f t="shared" si="5"/>
        <v>3000</v>
      </c>
      <c r="O96" s="11" t="s">
        <v>178</v>
      </c>
      <c r="P96" s="93"/>
      <c r="Q96" s="93" t="s">
        <v>66</v>
      </c>
      <c r="R96" s="93" t="s">
        <v>1937</v>
      </c>
      <c r="S96" s="217" t="s">
        <v>443</v>
      </c>
      <c r="T96" s="11" t="str">
        <f>IMAGE("https://makerselectronics.com/wp-content/uploads/2020/07/ESP32-CAM-2.jpg",1)</f>
        <v/>
      </c>
      <c r="U96" s="78" t="s">
        <v>1688</v>
      </c>
      <c r="V96" s="74"/>
      <c r="W96" s="75"/>
      <c r="X96" s="12"/>
      <c r="Y96" s="11"/>
      <c r="Z96" s="12">
        <v>1.0</v>
      </c>
      <c r="AA96" s="618"/>
      <c r="AB96" s="618"/>
    </row>
    <row r="97" ht="45.0" hidden="1" customHeight="1">
      <c r="A97" s="11">
        <v>99.0</v>
      </c>
      <c r="B97" s="11" t="s">
        <v>173</v>
      </c>
      <c r="C97" s="93" t="s">
        <v>446</v>
      </c>
      <c r="D97" s="11" t="s">
        <v>445</v>
      </c>
      <c r="E97" s="12"/>
      <c r="F97" s="12"/>
      <c r="G97" s="12"/>
      <c r="H97" s="12"/>
      <c r="I97" s="12" t="s">
        <v>2063</v>
      </c>
      <c r="J97" s="216">
        <v>10.0</v>
      </c>
      <c r="K97" s="215" t="s">
        <v>415</v>
      </c>
      <c r="L97" s="216">
        <v>10.0</v>
      </c>
      <c r="M97" s="216">
        <v>200.0</v>
      </c>
      <c r="N97" s="11">
        <f t="shared" si="5"/>
        <v>2000</v>
      </c>
      <c r="O97" s="11" t="s">
        <v>178</v>
      </c>
      <c r="P97" s="93"/>
      <c r="Q97" s="93" t="s">
        <v>66</v>
      </c>
      <c r="R97" s="93" t="s">
        <v>1937</v>
      </c>
      <c r="S97" s="217" t="s">
        <v>447</v>
      </c>
      <c r="T97" s="11" t="str">
        <f>IMAGE("https://www.berrybase.de/media/image/c5/26/b6/ID_186599_orig_600x600.jpg",1)</f>
        <v/>
      </c>
      <c r="U97" s="78" t="s">
        <v>1688</v>
      </c>
      <c r="V97" s="74"/>
      <c r="W97" s="75"/>
      <c r="X97" s="12"/>
      <c r="Y97" s="11"/>
      <c r="Z97" s="12">
        <v>1.0</v>
      </c>
      <c r="AA97" s="12"/>
      <c r="AB97" s="12"/>
    </row>
    <row r="98" ht="45.0" hidden="1" customHeight="1">
      <c r="A98" s="11">
        <v>100.0</v>
      </c>
      <c r="B98" s="11" t="s">
        <v>173</v>
      </c>
      <c r="C98" s="93" t="s">
        <v>450</v>
      </c>
      <c r="D98" s="11" t="s">
        <v>449</v>
      </c>
      <c r="E98" s="12"/>
      <c r="F98" s="12"/>
      <c r="G98" s="12"/>
      <c r="H98" s="12"/>
      <c r="I98" s="12" t="s">
        <v>2063</v>
      </c>
      <c r="J98" s="216">
        <v>15.0</v>
      </c>
      <c r="K98" s="215" t="s">
        <v>415</v>
      </c>
      <c r="L98" s="216">
        <v>15.0</v>
      </c>
      <c r="M98" s="216">
        <v>250.0</v>
      </c>
      <c r="N98" s="11">
        <f t="shared" si="5"/>
        <v>3750</v>
      </c>
      <c r="O98" s="11" t="s">
        <v>178</v>
      </c>
      <c r="P98" s="93"/>
      <c r="Q98" s="93" t="s">
        <v>249</v>
      </c>
      <c r="R98" s="93" t="s">
        <v>1937</v>
      </c>
      <c r="S98" s="217" t="s">
        <v>451</v>
      </c>
      <c r="T98" s="11" t="str">
        <f>IMAGE("https://m.media-amazon.com/images/I/61rcnccrByL._SL1238_.jpg",1)</f>
        <v/>
      </c>
      <c r="U98" s="78" t="s">
        <v>1688</v>
      </c>
      <c r="V98" s="74"/>
      <c r="W98" s="75"/>
      <c r="X98" s="5"/>
      <c r="Y98" s="14"/>
      <c r="Z98" s="12">
        <v>1.0</v>
      </c>
      <c r="AA98" s="12"/>
      <c r="AB98" s="12"/>
    </row>
    <row r="99" ht="45.0" hidden="1" customHeight="1">
      <c r="A99" s="11">
        <v>101.0</v>
      </c>
      <c r="B99" s="11" t="s">
        <v>173</v>
      </c>
      <c r="C99" s="93" t="s">
        <v>454</v>
      </c>
      <c r="D99" s="11" t="s">
        <v>453</v>
      </c>
      <c r="E99" s="12"/>
      <c r="F99" s="12"/>
      <c r="G99" s="12"/>
      <c r="H99" s="12"/>
      <c r="I99" s="12" t="s">
        <v>2064</v>
      </c>
      <c r="J99" s="216">
        <v>15.0</v>
      </c>
      <c r="K99" s="215" t="s">
        <v>415</v>
      </c>
      <c r="L99" s="216">
        <v>15.0</v>
      </c>
      <c r="M99" s="216">
        <v>400.0</v>
      </c>
      <c r="N99" s="11">
        <f t="shared" si="5"/>
        <v>6000</v>
      </c>
      <c r="O99" s="11" t="s">
        <v>178</v>
      </c>
      <c r="P99" s="93"/>
      <c r="Q99" s="93" t="s">
        <v>66</v>
      </c>
      <c r="R99" s="93" t="s">
        <v>455</v>
      </c>
      <c r="S99" s="217" t="s">
        <v>456</v>
      </c>
      <c r="T99" s="11" t="str">
        <f>IMAGE("https://m.media-amazon.com/images/W/MEDIAX_792452-T2/images/I/61t+lNeiChL._SL1443_.jpg",1)</f>
        <v/>
      </c>
      <c r="U99" s="78" t="s">
        <v>1688</v>
      </c>
      <c r="V99" s="74"/>
      <c r="W99" s="75"/>
      <c r="X99" s="5"/>
      <c r="Y99" s="14"/>
      <c r="Z99" s="12">
        <v>1.0</v>
      </c>
      <c r="AA99" s="12"/>
      <c r="AB99" s="12"/>
    </row>
    <row r="100" ht="45.0" hidden="1" customHeight="1">
      <c r="A100" s="11">
        <v>102.0</v>
      </c>
      <c r="B100" s="11" t="s">
        <v>173</v>
      </c>
      <c r="C100" s="107" t="s">
        <v>459</v>
      </c>
      <c r="D100" s="11" t="s">
        <v>458</v>
      </c>
      <c r="E100" s="12"/>
      <c r="F100" s="12"/>
      <c r="G100" s="12"/>
      <c r="H100" s="12"/>
      <c r="I100" s="12" t="s">
        <v>2064</v>
      </c>
      <c r="J100" s="216">
        <v>10.0</v>
      </c>
      <c r="K100" s="215" t="s">
        <v>415</v>
      </c>
      <c r="L100" s="216">
        <v>10.0</v>
      </c>
      <c r="M100" s="216">
        <v>500.0</v>
      </c>
      <c r="N100" s="11">
        <f t="shared" si="5"/>
        <v>5000</v>
      </c>
      <c r="O100" s="11" t="s">
        <v>178</v>
      </c>
      <c r="P100" s="93"/>
      <c r="Q100" s="93" t="s">
        <v>66</v>
      </c>
      <c r="R100" s="93" t="s">
        <v>455</v>
      </c>
      <c r="S100" s="217" t="s">
        <v>460</v>
      </c>
      <c r="T100" s="11" t="str">
        <f>IMAGE("https://m.media-amazon.com/images/W/MEDIAX_792452-T2/images/I/61xb9SMx4AL._SL1440_.jpg",1)</f>
        <v/>
      </c>
      <c r="U100" s="78" t="s">
        <v>1688</v>
      </c>
      <c r="V100" s="74"/>
      <c r="W100" s="75"/>
      <c r="X100" s="12"/>
      <c r="Y100" s="11"/>
      <c r="Z100" s="12">
        <v>1.0</v>
      </c>
      <c r="AA100" s="12"/>
      <c r="AB100" s="12"/>
    </row>
    <row r="101" ht="45.0" hidden="1" customHeight="1">
      <c r="A101" s="222">
        <v>103.0</v>
      </c>
      <c r="B101" s="222" t="s">
        <v>461</v>
      </c>
      <c r="C101" s="232" t="s">
        <v>464</v>
      </c>
      <c r="D101" s="222" t="s">
        <v>463</v>
      </c>
      <c r="E101" s="299"/>
      <c r="F101" s="299"/>
      <c r="G101" s="299"/>
      <c r="H101" s="299"/>
      <c r="I101" s="12" t="s">
        <v>2363</v>
      </c>
      <c r="J101" s="234">
        <v>5.0</v>
      </c>
      <c r="K101" s="233" t="s">
        <v>465</v>
      </c>
      <c r="L101" s="234">
        <v>5.0</v>
      </c>
      <c r="M101" s="234">
        <v>1200.0</v>
      </c>
      <c r="N101" s="222">
        <f t="shared" si="5"/>
        <v>6000</v>
      </c>
      <c r="O101" s="222" t="s">
        <v>466</v>
      </c>
      <c r="P101" s="232" t="s">
        <v>47</v>
      </c>
      <c r="Q101" s="232" t="s">
        <v>467</v>
      </c>
      <c r="R101" s="232" t="s">
        <v>1938</v>
      </c>
      <c r="S101" s="235" t="s">
        <v>468</v>
      </c>
      <c r="T101" s="222" t="str">
        <f>IMAGE("https://5.imimg.com/data5/SELLER/Default/2020/10/MN/BG/IF/24066098/sunlu-sl-300-3d-pen-green-500x500.jpg",1)</f>
        <v/>
      </c>
      <c r="U101" s="619" t="s">
        <v>1684</v>
      </c>
      <c r="V101" s="359">
        <f>3*60</f>
        <v>180</v>
      </c>
      <c r="W101" s="336"/>
      <c r="X101" s="360"/>
      <c r="Y101" s="222"/>
      <c r="Z101" s="299">
        <v>1.0</v>
      </c>
      <c r="AA101" s="12"/>
      <c r="AB101" s="12"/>
    </row>
    <row r="102" ht="45.0" customHeight="1">
      <c r="A102" s="11">
        <v>405.0</v>
      </c>
      <c r="B102" s="11" t="s">
        <v>461</v>
      </c>
      <c r="C102" s="93" t="s">
        <v>483</v>
      </c>
      <c r="D102" s="11" t="s">
        <v>482</v>
      </c>
      <c r="E102" s="12"/>
      <c r="F102" s="12"/>
      <c r="G102" s="12"/>
      <c r="H102" s="12"/>
      <c r="I102" s="12" t="s">
        <v>2066</v>
      </c>
      <c r="J102" s="216">
        <v>1.0</v>
      </c>
      <c r="K102" s="215" t="s">
        <v>465</v>
      </c>
      <c r="L102" s="216">
        <v>1.0</v>
      </c>
      <c r="M102" s="216">
        <v>28000.0</v>
      </c>
      <c r="N102" s="11">
        <f t="shared" si="5"/>
        <v>28000</v>
      </c>
      <c r="O102" s="11" t="s">
        <v>466</v>
      </c>
      <c r="P102" s="37" t="s">
        <v>47</v>
      </c>
      <c r="Q102" s="123" t="s">
        <v>65</v>
      </c>
      <c r="R102" s="93" t="s">
        <v>1991</v>
      </c>
      <c r="S102" s="217" t="s">
        <v>484</v>
      </c>
      <c r="T102" s="11" t="str">
        <f>IMAGE("https://robu.in/wp-content/uploads/2022/12/Creality-X-Ender-CR-Laser-Falcon-Laser-Engraver-10W-1.jpg",1)</f>
        <v/>
      </c>
      <c r="U102" s="73" t="s">
        <v>1684</v>
      </c>
      <c r="V102" s="74">
        <v>55.0</v>
      </c>
      <c r="W102" s="75"/>
      <c r="X102" s="12"/>
      <c r="Y102" s="11"/>
      <c r="Z102" s="12">
        <v>3.0</v>
      </c>
      <c r="AA102" s="616" t="s">
        <v>2430</v>
      </c>
      <c r="AB102" s="616">
        <v>1.0</v>
      </c>
    </row>
    <row r="103" ht="45.0" hidden="1" customHeight="1">
      <c r="A103" s="11">
        <v>105.0</v>
      </c>
      <c r="B103" s="11" t="s">
        <v>461</v>
      </c>
      <c r="C103" s="93" t="s">
        <v>475</v>
      </c>
      <c r="D103" s="11" t="s">
        <v>474</v>
      </c>
      <c r="E103" s="12"/>
      <c r="F103" s="12"/>
      <c r="G103" s="12"/>
      <c r="H103" s="12"/>
      <c r="I103" s="12" t="s">
        <v>2366</v>
      </c>
      <c r="J103" s="216">
        <v>1.0</v>
      </c>
      <c r="K103" s="215" t="s">
        <v>465</v>
      </c>
      <c r="L103" s="216" t="s">
        <v>56</v>
      </c>
      <c r="M103" s="216">
        <v>500.0</v>
      </c>
      <c r="N103" s="11">
        <f t="shared" si="5"/>
        <v>500</v>
      </c>
      <c r="O103" s="11" t="s">
        <v>466</v>
      </c>
      <c r="P103" s="11"/>
      <c r="Q103" s="93" t="s">
        <v>476</v>
      </c>
      <c r="R103" s="93" t="s">
        <v>1938</v>
      </c>
      <c r="S103" s="217"/>
      <c r="T103" s="11"/>
      <c r="U103" s="73"/>
      <c r="V103" s="74"/>
      <c r="W103" s="75"/>
      <c r="X103" s="12"/>
      <c r="Y103" s="11"/>
      <c r="Z103" s="12">
        <v>1.0</v>
      </c>
      <c r="AA103" s="12"/>
      <c r="AB103" s="12"/>
    </row>
    <row r="104" ht="45.0" hidden="1" customHeight="1">
      <c r="A104" s="222">
        <v>106.0</v>
      </c>
      <c r="B104" s="222" t="s">
        <v>461</v>
      </c>
      <c r="C104" s="232" t="s">
        <v>479</v>
      </c>
      <c r="D104" s="222" t="s">
        <v>478</v>
      </c>
      <c r="E104" s="299"/>
      <c r="F104" s="299"/>
      <c r="G104" s="299"/>
      <c r="H104" s="299"/>
      <c r="I104" s="299" t="s">
        <v>2366</v>
      </c>
      <c r="J104" s="234">
        <v>3.0</v>
      </c>
      <c r="K104" s="233" t="s">
        <v>465</v>
      </c>
      <c r="L104" s="234">
        <v>3.0</v>
      </c>
      <c r="M104" s="234">
        <v>500.0</v>
      </c>
      <c r="N104" s="222">
        <f t="shared" si="5"/>
        <v>1500</v>
      </c>
      <c r="O104" s="222" t="s">
        <v>466</v>
      </c>
      <c r="P104" s="232"/>
      <c r="Q104" s="232" t="s">
        <v>1940</v>
      </c>
      <c r="R104" s="232" t="s">
        <v>1938</v>
      </c>
      <c r="S104" s="235" t="s">
        <v>481</v>
      </c>
      <c r="T104" s="222" t="str">
        <f>IMAGE("https://5.imimg.com/data5/LA/TM/JO/SELLER-79394111/3d-printer-nylon-filament-500x500.jpg",1)</f>
        <v/>
      </c>
      <c r="U104" s="619" t="s">
        <v>1684</v>
      </c>
      <c r="V104" s="359"/>
      <c r="W104" s="336"/>
      <c r="X104" s="360"/>
      <c r="Y104" s="222"/>
      <c r="Z104" s="299">
        <v>1.0</v>
      </c>
      <c r="AA104" s="299"/>
      <c r="AB104" s="299"/>
    </row>
    <row r="105" ht="45.0" hidden="1" customHeight="1">
      <c r="A105" s="11">
        <v>107.0</v>
      </c>
      <c r="B105" s="11" t="s">
        <v>173</v>
      </c>
      <c r="C105" s="93" t="s">
        <v>488</v>
      </c>
      <c r="D105" s="11" t="s">
        <v>487</v>
      </c>
      <c r="E105" s="12"/>
      <c r="F105" s="12"/>
      <c r="G105" s="12"/>
      <c r="H105" s="12"/>
      <c r="I105" s="12" t="s">
        <v>1802</v>
      </c>
      <c r="J105" s="216">
        <v>20.0</v>
      </c>
      <c r="K105" s="215" t="s">
        <v>489</v>
      </c>
      <c r="L105" s="216">
        <v>20.0</v>
      </c>
      <c r="M105" s="216">
        <v>40.0</v>
      </c>
      <c r="N105" s="11">
        <f t="shared" si="5"/>
        <v>800</v>
      </c>
      <c r="O105" s="11" t="s">
        <v>178</v>
      </c>
      <c r="P105" s="93"/>
      <c r="Q105" s="93" t="s">
        <v>193</v>
      </c>
      <c r="R105" s="93" t="s">
        <v>1941</v>
      </c>
      <c r="S105" s="217" t="s">
        <v>490</v>
      </c>
      <c r="T105" s="11" t="str">
        <f>IMAGE("https://m.media-amazon.com/images/I/51BByYhTjOL._SX425_.jpg",1)</f>
        <v/>
      </c>
      <c r="U105" s="78" t="s">
        <v>1688</v>
      </c>
      <c r="V105" s="79"/>
      <c r="W105" s="80"/>
      <c r="X105" s="12"/>
      <c r="Y105" s="11"/>
      <c r="Z105" s="12">
        <v>1.0</v>
      </c>
      <c r="AA105" s="12"/>
      <c r="AB105" s="12"/>
    </row>
    <row r="106" ht="45.0" hidden="1" customHeight="1">
      <c r="A106" s="11">
        <v>108.0</v>
      </c>
      <c r="B106" s="11" t="s">
        <v>173</v>
      </c>
      <c r="C106" s="93" t="s">
        <v>1942</v>
      </c>
      <c r="D106" s="11" t="s">
        <v>492</v>
      </c>
      <c r="E106" s="12"/>
      <c r="F106" s="12"/>
      <c r="G106" s="12"/>
      <c r="H106" s="12"/>
      <c r="I106" s="12" t="s">
        <v>2071</v>
      </c>
      <c r="J106" s="216">
        <v>10.0</v>
      </c>
      <c r="K106" s="215" t="s">
        <v>489</v>
      </c>
      <c r="L106" s="216">
        <v>10.0</v>
      </c>
      <c r="M106" s="216">
        <v>60.0</v>
      </c>
      <c r="N106" s="11">
        <f t="shared" si="5"/>
        <v>600</v>
      </c>
      <c r="O106" s="11" t="s">
        <v>178</v>
      </c>
      <c r="P106" s="93"/>
      <c r="Q106" s="93" t="s">
        <v>249</v>
      </c>
      <c r="R106" s="93" t="s">
        <v>493</v>
      </c>
      <c r="S106" s="217" t="s">
        <v>494</v>
      </c>
      <c r="T106" s="11" t="str">
        <f>IMAGE("https://5.imimg.com/data5/SR/JZ/RD/SELLER-80355495/large-breadboard-800-points--500x500.jpg",1)</f>
        <v/>
      </c>
      <c r="U106" s="78" t="s">
        <v>1688</v>
      </c>
      <c r="V106" s="74"/>
      <c r="W106" s="75"/>
      <c r="X106" s="12"/>
      <c r="Y106" s="11"/>
      <c r="Z106" s="12">
        <v>1.0</v>
      </c>
      <c r="AA106" s="12"/>
      <c r="AB106" s="12"/>
    </row>
    <row r="107" ht="45.0" hidden="1" customHeight="1">
      <c r="A107" s="11">
        <v>109.0</v>
      </c>
      <c r="B107" s="11" t="s">
        <v>173</v>
      </c>
      <c r="C107" s="93" t="s">
        <v>497</v>
      </c>
      <c r="D107" s="11" t="s">
        <v>496</v>
      </c>
      <c r="E107" s="12"/>
      <c r="F107" s="12"/>
      <c r="G107" s="12"/>
      <c r="H107" s="12"/>
      <c r="I107" s="12" t="s">
        <v>2072</v>
      </c>
      <c r="J107" s="216">
        <v>10.0</v>
      </c>
      <c r="K107" s="215" t="s">
        <v>489</v>
      </c>
      <c r="L107" s="216">
        <v>10.0</v>
      </c>
      <c r="M107" s="216">
        <v>40.0</v>
      </c>
      <c r="N107" s="11">
        <f t="shared" si="5"/>
        <v>400</v>
      </c>
      <c r="O107" s="11" t="s">
        <v>178</v>
      </c>
      <c r="P107" s="93"/>
      <c r="Q107" s="93" t="s">
        <v>249</v>
      </c>
      <c r="R107" s="93" t="s">
        <v>493</v>
      </c>
      <c r="S107" s="217" t="s">
        <v>498</v>
      </c>
      <c r="T107" s="11" t="str">
        <f>IMAGE("https://5.imimg.com/data5/SELLER/Default/2020/12/GY/DK/LM/59387089/400-point-solderless-breadboard-500x500.jpg",1)</f>
        <v/>
      </c>
      <c r="U107" s="78" t="s">
        <v>1688</v>
      </c>
      <c r="V107" s="74"/>
      <c r="W107" s="75"/>
      <c r="X107" s="12"/>
      <c r="Y107" s="11"/>
      <c r="Z107" s="12">
        <v>1.0</v>
      </c>
      <c r="AA107" s="12"/>
      <c r="AB107" s="12"/>
    </row>
    <row r="108" ht="45.0" hidden="1" customHeight="1">
      <c r="A108" s="11">
        <v>110.0</v>
      </c>
      <c r="B108" s="11" t="s">
        <v>173</v>
      </c>
      <c r="C108" s="93" t="s">
        <v>501</v>
      </c>
      <c r="D108" s="11" t="s">
        <v>500</v>
      </c>
      <c r="E108" s="12"/>
      <c r="F108" s="12"/>
      <c r="G108" s="12"/>
      <c r="H108" s="12"/>
      <c r="I108" s="12" t="s">
        <v>2073</v>
      </c>
      <c r="J108" s="216">
        <v>10.0</v>
      </c>
      <c r="K108" s="215" t="s">
        <v>489</v>
      </c>
      <c r="L108" s="216">
        <v>10.0</v>
      </c>
      <c r="M108" s="216">
        <v>200.0</v>
      </c>
      <c r="N108" s="11">
        <f t="shared" si="5"/>
        <v>2000</v>
      </c>
      <c r="O108" s="11" t="s">
        <v>178</v>
      </c>
      <c r="P108" s="93"/>
      <c r="Q108" s="93" t="s">
        <v>179</v>
      </c>
      <c r="R108" s="93" t="s">
        <v>493</v>
      </c>
      <c r="S108" s="238" t="s">
        <v>502</v>
      </c>
      <c r="T108" s="11" t="str">
        <f>IMAGE("https://1ohm.in/wp-content/uploads/2021/07/MB102-3.3V5V-Breadboard-Power-Supply-Module.png",1)</f>
        <v/>
      </c>
      <c r="U108" s="78" t="s">
        <v>1688</v>
      </c>
      <c r="V108" s="74"/>
      <c r="W108" s="75"/>
      <c r="X108" s="12"/>
      <c r="Y108" s="11"/>
      <c r="Z108" s="12">
        <v>1.0</v>
      </c>
      <c r="AA108" s="12"/>
      <c r="AB108" s="12"/>
    </row>
    <row r="109" ht="45.0" hidden="1" customHeight="1">
      <c r="A109" s="11">
        <v>111.0</v>
      </c>
      <c r="B109" s="11" t="s">
        <v>173</v>
      </c>
      <c r="C109" s="93" t="s">
        <v>505</v>
      </c>
      <c r="D109" s="11" t="s">
        <v>504</v>
      </c>
      <c r="E109" s="12"/>
      <c r="F109" s="12"/>
      <c r="G109" s="12"/>
      <c r="H109" s="12"/>
      <c r="I109" s="12" t="s">
        <v>2449</v>
      </c>
      <c r="J109" s="216">
        <v>100.0</v>
      </c>
      <c r="K109" s="215" t="s">
        <v>489</v>
      </c>
      <c r="L109" s="216">
        <v>100.0</v>
      </c>
      <c r="M109" s="216">
        <v>10.0</v>
      </c>
      <c r="N109" s="11">
        <f t="shared" si="5"/>
        <v>1000</v>
      </c>
      <c r="O109" s="11" t="s">
        <v>178</v>
      </c>
      <c r="P109" s="93"/>
      <c r="Q109" s="93" t="s">
        <v>193</v>
      </c>
      <c r="R109" s="93" t="s">
        <v>23</v>
      </c>
      <c r="S109" s="217" t="s">
        <v>506</v>
      </c>
      <c r="T109" s="11" t="str">
        <f>IMAGE("https://rukminim2.flixcart.com/image/832/832/ks243gw0/electronic-hobby-kit/x/f/2/2mm-pitch-female-burg-strip-40-pin-5-pcs-prime-intact-original-imag5pxpqjxcdsgh.jpeg?q=70",1)</f>
        <v/>
      </c>
      <c r="U109" s="78" t="s">
        <v>1688</v>
      </c>
      <c r="V109" s="74"/>
      <c r="W109" s="75"/>
      <c r="X109" s="12"/>
      <c r="Y109" s="11"/>
      <c r="Z109" s="12">
        <v>1.0</v>
      </c>
      <c r="AA109" s="12"/>
      <c r="AB109" s="12"/>
    </row>
    <row r="110" ht="45.0" hidden="1" customHeight="1">
      <c r="A110" s="11">
        <v>112.0</v>
      </c>
      <c r="B110" s="11" t="s">
        <v>173</v>
      </c>
      <c r="C110" s="93" t="s">
        <v>509</v>
      </c>
      <c r="D110" s="11" t="s">
        <v>508</v>
      </c>
      <c r="E110" s="12"/>
      <c r="F110" s="12"/>
      <c r="G110" s="12"/>
      <c r="H110" s="12"/>
      <c r="I110" s="12" t="s">
        <v>2450</v>
      </c>
      <c r="J110" s="216">
        <v>50.0</v>
      </c>
      <c r="K110" s="215" t="s">
        <v>489</v>
      </c>
      <c r="L110" s="216">
        <v>50.0</v>
      </c>
      <c r="M110" s="216">
        <v>15.0</v>
      </c>
      <c r="N110" s="11">
        <f t="shared" si="5"/>
        <v>750</v>
      </c>
      <c r="O110" s="11" t="s">
        <v>178</v>
      </c>
      <c r="P110" s="93"/>
      <c r="Q110" s="93" t="s">
        <v>193</v>
      </c>
      <c r="R110" s="93" t="s">
        <v>237</v>
      </c>
      <c r="S110" s="217" t="s">
        <v>510</v>
      </c>
      <c r="T110" s="11" t="str">
        <f>IMAGE("https://5.imimg.com/data5/OF/VW/IL/SELLER-9316309/burg-strips-500x500.jpg",1)</f>
        <v/>
      </c>
      <c r="U110" s="78" t="s">
        <v>1688</v>
      </c>
      <c r="V110" s="74"/>
      <c r="W110" s="75"/>
      <c r="X110" s="12"/>
      <c r="Y110" s="11"/>
      <c r="Z110" s="12">
        <v>1.0</v>
      </c>
      <c r="AA110" s="12"/>
      <c r="AB110" s="12"/>
    </row>
    <row r="111" ht="45.0" hidden="1" customHeight="1">
      <c r="A111" s="11">
        <v>113.0</v>
      </c>
      <c r="B111" s="11" t="s">
        <v>173</v>
      </c>
      <c r="C111" s="93" t="s">
        <v>513</v>
      </c>
      <c r="D111" s="11" t="s">
        <v>512</v>
      </c>
      <c r="E111" s="12"/>
      <c r="F111" s="12"/>
      <c r="G111" s="12"/>
      <c r="H111" s="12"/>
      <c r="I111" s="12" t="s">
        <v>2451</v>
      </c>
      <c r="J111" s="216">
        <v>50.0</v>
      </c>
      <c r="K111" s="215" t="s">
        <v>489</v>
      </c>
      <c r="L111" s="216">
        <v>50.0</v>
      </c>
      <c r="M111" s="216">
        <v>20.0</v>
      </c>
      <c r="N111" s="11">
        <f t="shared" si="5"/>
        <v>1000</v>
      </c>
      <c r="O111" s="11" t="s">
        <v>178</v>
      </c>
      <c r="P111" s="93"/>
      <c r="Q111" s="93" t="s">
        <v>193</v>
      </c>
      <c r="R111" s="93" t="s">
        <v>237</v>
      </c>
      <c r="S111" s="217" t="s">
        <v>514</v>
      </c>
      <c r="T111" s="11" t="str">
        <f>IMAGE("https://www.tomsonelectronics.com/cdn/shop/products/40X1MALERAI_2048x2048.jpg?v=1602835171",1)</f>
        <v/>
      </c>
      <c r="U111" s="78" t="s">
        <v>1688</v>
      </c>
      <c r="V111" s="74"/>
      <c r="W111" s="75"/>
      <c r="X111" s="12"/>
      <c r="Y111" s="11"/>
      <c r="Z111" s="12">
        <v>1.0</v>
      </c>
      <c r="AA111" s="12"/>
      <c r="AB111" s="12"/>
    </row>
    <row r="112" ht="45.0" hidden="1" customHeight="1">
      <c r="A112" s="11">
        <v>114.0</v>
      </c>
      <c r="B112" s="11" t="s">
        <v>173</v>
      </c>
      <c r="C112" s="93" t="s">
        <v>517</v>
      </c>
      <c r="D112" s="11" t="s">
        <v>516</v>
      </c>
      <c r="E112" s="12"/>
      <c r="F112" s="12"/>
      <c r="G112" s="12"/>
      <c r="H112" s="12"/>
      <c r="I112" s="12"/>
      <c r="J112" s="216">
        <v>100.0</v>
      </c>
      <c r="K112" s="215" t="s">
        <v>489</v>
      </c>
      <c r="L112" s="216">
        <v>100.0</v>
      </c>
      <c r="M112" s="216">
        <v>5.0</v>
      </c>
      <c r="N112" s="11">
        <f t="shared" si="5"/>
        <v>500</v>
      </c>
      <c r="O112" s="11" t="s">
        <v>178</v>
      </c>
      <c r="P112" s="93" t="s">
        <v>65</v>
      </c>
      <c r="Q112" s="93" t="s">
        <v>518</v>
      </c>
      <c r="R112" s="93" t="s">
        <v>1943</v>
      </c>
      <c r="S112" s="217" t="s">
        <v>519</v>
      </c>
      <c r="T112" s="11" t="str">
        <f>IMAGE("https://projectpoint.in/image/cache/catalog/102-672x504.jpg",1)</f>
        <v/>
      </c>
      <c r="U112" s="78" t="s">
        <v>1688</v>
      </c>
      <c r="V112" s="74"/>
      <c r="W112" s="75"/>
      <c r="X112" s="12"/>
      <c r="Y112" s="11"/>
      <c r="Z112" s="12">
        <v>1.0</v>
      </c>
      <c r="AA112" s="12"/>
      <c r="AB112" s="12"/>
    </row>
    <row r="113" ht="45.0" hidden="1" customHeight="1">
      <c r="A113" s="11">
        <v>115.0</v>
      </c>
      <c r="B113" s="11" t="s">
        <v>173</v>
      </c>
      <c r="C113" s="93" t="s">
        <v>522</v>
      </c>
      <c r="D113" s="11" t="s">
        <v>521</v>
      </c>
      <c r="E113" s="12"/>
      <c r="F113" s="12"/>
      <c r="G113" s="12"/>
      <c r="H113" s="12"/>
      <c r="I113" s="12"/>
      <c r="J113" s="216">
        <v>100.0</v>
      </c>
      <c r="K113" s="215" t="s">
        <v>489</v>
      </c>
      <c r="L113" s="216">
        <v>100.0</v>
      </c>
      <c r="M113" s="216">
        <v>5.0</v>
      </c>
      <c r="N113" s="11">
        <f t="shared" si="5"/>
        <v>500</v>
      </c>
      <c r="O113" s="11" t="s">
        <v>178</v>
      </c>
      <c r="P113" s="93" t="s">
        <v>65</v>
      </c>
      <c r="Q113" s="93" t="s">
        <v>518</v>
      </c>
      <c r="R113" s="93" t="s">
        <v>1943</v>
      </c>
      <c r="S113" s="217" t="s">
        <v>523</v>
      </c>
      <c r="T113" s="11" t="str">
        <f t="shared" ref="T113:T114" si="6">IMAGE("https://projectpoint.in/image/cache/catalog/103-672x504.jpg",1)</f>
        <v/>
      </c>
      <c r="U113" s="78" t="s">
        <v>1688</v>
      </c>
      <c r="V113" s="74"/>
      <c r="W113" s="75"/>
      <c r="X113" s="12"/>
      <c r="Y113" s="11"/>
      <c r="Z113" s="12">
        <v>1.0</v>
      </c>
      <c r="AA113" s="12"/>
      <c r="AB113" s="12"/>
    </row>
    <row r="114" ht="45.0" hidden="1" customHeight="1">
      <c r="A114" s="11">
        <v>116.0</v>
      </c>
      <c r="B114" s="11" t="s">
        <v>173</v>
      </c>
      <c r="C114" s="93" t="s">
        <v>526</v>
      </c>
      <c r="D114" s="11" t="s">
        <v>525</v>
      </c>
      <c r="E114" s="12"/>
      <c r="F114" s="12"/>
      <c r="G114" s="12"/>
      <c r="H114" s="12"/>
      <c r="I114" s="12"/>
      <c r="J114" s="216">
        <v>100.0</v>
      </c>
      <c r="K114" s="215" t="s">
        <v>489</v>
      </c>
      <c r="L114" s="216">
        <v>100.0</v>
      </c>
      <c r="M114" s="216">
        <v>5.0</v>
      </c>
      <c r="N114" s="11">
        <f t="shared" si="5"/>
        <v>500</v>
      </c>
      <c r="O114" s="11" t="s">
        <v>178</v>
      </c>
      <c r="P114" s="93" t="s">
        <v>65</v>
      </c>
      <c r="Q114" s="93" t="s">
        <v>518</v>
      </c>
      <c r="R114" s="93" t="s">
        <v>1943</v>
      </c>
      <c r="S114" s="217" t="s">
        <v>527</v>
      </c>
      <c r="T114" s="11" t="str">
        <f t="shared" si="6"/>
        <v/>
      </c>
      <c r="U114" s="78" t="s">
        <v>1688</v>
      </c>
      <c r="V114" s="74"/>
      <c r="W114" s="75"/>
      <c r="X114" s="12"/>
      <c r="Y114" s="11"/>
      <c r="Z114" s="12">
        <v>1.0</v>
      </c>
      <c r="AA114" s="12"/>
      <c r="AB114" s="12"/>
    </row>
    <row r="115" ht="45.0" hidden="1" customHeight="1">
      <c r="A115" s="11">
        <v>117.0</v>
      </c>
      <c r="B115" s="11" t="s">
        <v>173</v>
      </c>
      <c r="C115" s="93" t="s">
        <v>530</v>
      </c>
      <c r="D115" s="11" t="s">
        <v>529</v>
      </c>
      <c r="E115" s="12"/>
      <c r="F115" s="12"/>
      <c r="G115" s="12"/>
      <c r="H115" s="12"/>
      <c r="I115" s="12"/>
      <c r="J115" s="216">
        <v>100.0</v>
      </c>
      <c r="K115" s="215" t="s">
        <v>489</v>
      </c>
      <c r="L115" s="216">
        <v>100.0</v>
      </c>
      <c r="M115" s="216">
        <v>5.0</v>
      </c>
      <c r="N115" s="11">
        <f t="shared" si="5"/>
        <v>500</v>
      </c>
      <c r="O115" s="11" t="s">
        <v>178</v>
      </c>
      <c r="P115" s="93" t="s">
        <v>65</v>
      </c>
      <c r="Q115" s="93" t="s">
        <v>518</v>
      </c>
      <c r="R115" s="93" t="s">
        <v>1943</v>
      </c>
      <c r="S115" s="217" t="s">
        <v>531</v>
      </c>
      <c r="T115" s="11" t="str">
        <f t="shared" ref="T115:T116" si="7">IMAGE("https://www.ato.com/content/images/thumbs/0011952_01f-50v-disc-ceramic-capacitor_550.jpeg",1)</f>
        <v/>
      </c>
      <c r="U115" s="78" t="s">
        <v>1688</v>
      </c>
      <c r="V115" s="74"/>
      <c r="W115" s="75"/>
      <c r="X115" s="12"/>
      <c r="Y115" s="11"/>
      <c r="Z115" s="12">
        <v>1.0</v>
      </c>
      <c r="AA115" s="12"/>
      <c r="AB115" s="12"/>
    </row>
    <row r="116" ht="45.0" hidden="1" customHeight="1">
      <c r="A116" s="11">
        <v>118.0</v>
      </c>
      <c r="B116" s="11" t="s">
        <v>173</v>
      </c>
      <c r="C116" s="93" t="s">
        <v>534</v>
      </c>
      <c r="D116" s="11" t="s">
        <v>533</v>
      </c>
      <c r="E116" s="12"/>
      <c r="F116" s="12"/>
      <c r="G116" s="12"/>
      <c r="H116" s="12"/>
      <c r="I116" s="12"/>
      <c r="J116" s="216">
        <v>50.0</v>
      </c>
      <c r="K116" s="215" t="s">
        <v>489</v>
      </c>
      <c r="L116" s="216">
        <v>50.0</v>
      </c>
      <c r="M116" s="216">
        <v>10.0</v>
      </c>
      <c r="N116" s="11">
        <f t="shared" si="5"/>
        <v>500</v>
      </c>
      <c r="O116" s="11" t="s">
        <v>178</v>
      </c>
      <c r="P116" s="93" t="s">
        <v>65</v>
      </c>
      <c r="Q116" s="93" t="s">
        <v>518</v>
      </c>
      <c r="R116" s="93" t="s">
        <v>1943</v>
      </c>
      <c r="S116" s="217" t="s">
        <v>535</v>
      </c>
      <c r="T116" s="11" t="str">
        <f t="shared" si="7"/>
        <v/>
      </c>
      <c r="U116" s="78" t="s">
        <v>1688</v>
      </c>
      <c r="V116" s="74"/>
      <c r="W116" s="75"/>
      <c r="X116" s="12"/>
      <c r="Y116" s="11"/>
      <c r="Z116" s="12">
        <v>1.0</v>
      </c>
      <c r="AA116" s="12"/>
      <c r="AB116" s="12"/>
    </row>
    <row r="117" ht="45.0" hidden="1" customHeight="1">
      <c r="A117" s="11">
        <v>119.0</v>
      </c>
      <c r="B117" s="11" t="s">
        <v>173</v>
      </c>
      <c r="C117" s="93" t="s">
        <v>538</v>
      </c>
      <c r="D117" s="11" t="s">
        <v>537</v>
      </c>
      <c r="E117" s="12"/>
      <c r="F117" s="12"/>
      <c r="G117" s="12"/>
      <c r="H117" s="12"/>
      <c r="I117" s="12"/>
      <c r="J117" s="216">
        <v>50.0</v>
      </c>
      <c r="K117" s="215" t="s">
        <v>489</v>
      </c>
      <c r="L117" s="216">
        <v>50.0</v>
      </c>
      <c r="M117" s="216">
        <v>15.0</v>
      </c>
      <c r="N117" s="11">
        <f t="shared" si="5"/>
        <v>750</v>
      </c>
      <c r="O117" s="11" t="s">
        <v>178</v>
      </c>
      <c r="P117" s="93" t="s">
        <v>65</v>
      </c>
      <c r="Q117" s="93" t="s">
        <v>518</v>
      </c>
      <c r="R117" s="93" t="s">
        <v>1943</v>
      </c>
      <c r="S117" s="217" t="s">
        <v>539</v>
      </c>
      <c r="T117" s="11" t="str">
        <f>IMAGE("https://new.sunrobotics.in/web/image/product.product/7775/image_1024/%5B10061%5D%2010uF%20Electrolytic%20Capacitor?unique=2e60387",1)</f>
        <v/>
      </c>
      <c r="U117" s="78" t="s">
        <v>1688</v>
      </c>
      <c r="V117" s="74"/>
      <c r="W117" s="75"/>
      <c r="X117" s="12"/>
      <c r="Y117" s="11"/>
      <c r="Z117" s="12">
        <v>1.0</v>
      </c>
      <c r="AA117" s="12"/>
      <c r="AB117" s="12"/>
    </row>
    <row r="118" ht="45.0" hidden="1" customHeight="1">
      <c r="A118" s="11">
        <v>120.0</v>
      </c>
      <c r="B118" s="11" t="s">
        <v>173</v>
      </c>
      <c r="C118" s="93" t="s">
        <v>542</v>
      </c>
      <c r="D118" s="11" t="s">
        <v>541</v>
      </c>
      <c r="E118" s="12"/>
      <c r="F118" s="12"/>
      <c r="G118" s="12"/>
      <c r="H118" s="12"/>
      <c r="I118" s="12"/>
      <c r="J118" s="216">
        <v>20.0</v>
      </c>
      <c r="K118" s="215" t="s">
        <v>489</v>
      </c>
      <c r="L118" s="216">
        <v>20.0</v>
      </c>
      <c r="M118" s="216">
        <v>20.0</v>
      </c>
      <c r="N118" s="11">
        <f t="shared" si="5"/>
        <v>400</v>
      </c>
      <c r="O118" s="11" t="s">
        <v>178</v>
      </c>
      <c r="P118" s="93" t="s">
        <v>65</v>
      </c>
      <c r="Q118" s="93" t="s">
        <v>518</v>
      </c>
      <c r="R118" s="93" t="s">
        <v>1943</v>
      </c>
      <c r="S118" s="217" t="s">
        <v>543</v>
      </c>
      <c r="T118" s="11" t="str">
        <f>IMAGE("https://www.sunrobotics.in/web/image/product.product/3164/image_1024/%5B10042%5D%201000UF-25V%20Electrolytic%20Capacitor?unique=acd9ab2",1)</f>
        <v/>
      </c>
      <c r="U118" s="78" t="s">
        <v>1688</v>
      </c>
      <c r="V118" s="74"/>
      <c r="W118" s="75"/>
      <c r="X118" s="12"/>
      <c r="Y118" s="11"/>
      <c r="Z118" s="12">
        <v>1.0</v>
      </c>
      <c r="AA118" s="12"/>
      <c r="AB118" s="12"/>
    </row>
    <row r="119" ht="45.0" hidden="1" customHeight="1">
      <c r="A119" s="11">
        <v>121.0</v>
      </c>
      <c r="B119" s="11" t="s">
        <v>173</v>
      </c>
      <c r="C119" s="93" t="s">
        <v>546</v>
      </c>
      <c r="D119" s="11" t="s">
        <v>545</v>
      </c>
      <c r="E119" s="12"/>
      <c r="F119" s="12"/>
      <c r="G119" s="12"/>
      <c r="H119" s="12"/>
      <c r="I119" s="12"/>
      <c r="J119" s="216">
        <v>20.0</v>
      </c>
      <c r="K119" s="215" t="s">
        <v>489</v>
      </c>
      <c r="L119" s="216">
        <v>20.0</v>
      </c>
      <c r="M119" s="216">
        <v>30.0</v>
      </c>
      <c r="N119" s="11">
        <f t="shared" si="5"/>
        <v>600</v>
      </c>
      <c r="O119" s="11" t="s">
        <v>178</v>
      </c>
      <c r="P119" s="93" t="s">
        <v>65</v>
      </c>
      <c r="Q119" s="93" t="s">
        <v>518</v>
      </c>
      <c r="R119" s="93" t="s">
        <v>1943</v>
      </c>
      <c r="S119" s="217" t="s">
        <v>547</v>
      </c>
      <c r="T119" s="11" t="str">
        <f>IMAGE("https://res.cloudinary.com/rsc/image/upload/b_rgb:FFFFFF,c_pad,dpr_1.0,f_auto,q_auto,w_700/c_pad,w_700/F5201539-01",1)</f>
        <v/>
      </c>
      <c r="U119" s="78" t="s">
        <v>1688</v>
      </c>
      <c r="V119" s="74"/>
      <c r="W119" s="75"/>
      <c r="X119" s="12"/>
      <c r="Y119" s="11"/>
      <c r="Z119" s="12">
        <v>1.0</v>
      </c>
      <c r="AA119" s="12"/>
      <c r="AB119" s="12"/>
    </row>
    <row r="120" ht="45.0" hidden="1" customHeight="1">
      <c r="A120" s="11">
        <v>122.0</v>
      </c>
      <c r="B120" s="11" t="s">
        <v>173</v>
      </c>
      <c r="C120" s="93" t="s">
        <v>550</v>
      </c>
      <c r="D120" s="11" t="s">
        <v>549</v>
      </c>
      <c r="E120" s="12"/>
      <c r="F120" s="12"/>
      <c r="G120" s="12"/>
      <c r="H120" s="12"/>
      <c r="I120" s="12"/>
      <c r="J120" s="216">
        <v>50.0</v>
      </c>
      <c r="K120" s="215" t="s">
        <v>489</v>
      </c>
      <c r="L120" s="216">
        <v>50.0</v>
      </c>
      <c r="M120" s="216">
        <v>10.0</v>
      </c>
      <c r="N120" s="11">
        <f t="shared" si="5"/>
        <v>500</v>
      </c>
      <c r="O120" s="11" t="s">
        <v>178</v>
      </c>
      <c r="P120" s="93" t="s">
        <v>65</v>
      </c>
      <c r="Q120" s="93" t="s">
        <v>518</v>
      </c>
      <c r="R120" s="93" t="s">
        <v>1943</v>
      </c>
      <c r="S120" s="217" t="s">
        <v>551</v>
      </c>
      <c r="T120" s="11" t="str">
        <f>IMAGE("https://sharvielectronics.com/wp-content/uploads/2020/02/2.2uF-50V-Electrolytic-Capacitor.jpg",1)</f>
        <v/>
      </c>
      <c r="U120" s="78" t="s">
        <v>1688</v>
      </c>
      <c r="V120" s="74"/>
      <c r="W120" s="75"/>
      <c r="X120" s="12"/>
      <c r="Y120" s="11"/>
      <c r="Z120" s="12">
        <v>1.0</v>
      </c>
      <c r="AA120" s="12"/>
      <c r="AB120" s="12"/>
    </row>
    <row r="121" ht="45.0" hidden="1" customHeight="1">
      <c r="A121" s="11">
        <v>123.0</v>
      </c>
      <c r="B121" s="11" t="s">
        <v>173</v>
      </c>
      <c r="C121" s="93" t="s">
        <v>554</v>
      </c>
      <c r="D121" s="11" t="s">
        <v>553</v>
      </c>
      <c r="E121" s="12"/>
      <c r="F121" s="12"/>
      <c r="G121" s="12"/>
      <c r="H121" s="12"/>
      <c r="I121" s="12"/>
      <c r="J121" s="216">
        <v>50.0</v>
      </c>
      <c r="K121" s="215" t="s">
        <v>489</v>
      </c>
      <c r="L121" s="216">
        <v>50.0</v>
      </c>
      <c r="M121" s="216">
        <v>15.0</v>
      </c>
      <c r="N121" s="11">
        <f t="shared" si="5"/>
        <v>750</v>
      </c>
      <c r="O121" s="11" t="s">
        <v>178</v>
      </c>
      <c r="P121" s="93" t="s">
        <v>65</v>
      </c>
      <c r="Q121" s="93" t="s">
        <v>518</v>
      </c>
      <c r="R121" s="93" t="s">
        <v>1943</v>
      </c>
      <c r="S121" s="217" t="s">
        <v>555</v>
      </c>
      <c r="T121" s="11" t="str">
        <f>IMAGE("https://projectpoint.in/image/cache/catalog/22uf-450v-672x504.jpg",1)</f>
        <v/>
      </c>
      <c r="U121" s="78" t="s">
        <v>1688</v>
      </c>
      <c r="V121" s="79"/>
      <c r="W121" s="80"/>
      <c r="X121" s="12"/>
      <c r="Y121" s="11"/>
      <c r="Z121" s="12">
        <v>1.0</v>
      </c>
      <c r="AA121" s="12"/>
      <c r="AB121" s="12"/>
    </row>
    <row r="122" ht="45.0" hidden="1" customHeight="1">
      <c r="A122" s="11">
        <v>124.0</v>
      </c>
      <c r="B122" s="11" t="s">
        <v>173</v>
      </c>
      <c r="C122" s="93" t="s">
        <v>558</v>
      </c>
      <c r="D122" s="11" t="s">
        <v>557</v>
      </c>
      <c r="E122" s="12"/>
      <c r="F122" s="12"/>
      <c r="G122" s="12"/>
      <c r="H122" s="12"/>
      <c r="I122" s="12"/>
      <c r="J122" s="216">
        <v>20.0</v>
      </c>
      <c r="K122" s="215" t="s">
        <v>489</v>
      </c>
      <c r="L122" s="216">
        <v>20.0</v>
      </c>
      <c r="M122" s="216">
        <v>20.0</v>
      </c>
      <c r="N122" s="11">
        <f t="shared" si="5"/>
        <v>400</v>
      </c>
      <c r="O122" s="11" t="s">
        <v>178</v>
      </c>
      <c r="P122" s="93" t="s">
        <v>65</v>
      </c>
      <c r="Q122" s="93" t="s">
        <v>518</v>
      </c>
      <c r="R122" s="93" t="s">
        <v>1943</v>
      </c>
      <c r="S122" s="217" t="s">
        <v>559</v>
      </c>
      <c r="T122" s="11" t="str">
        <f>IMAGE("https://5.imimg.com/data5/SP/GM/AD/SELLER-84581978/keltron-2200uf-35-v-electrolytic-capacitors-500x500.jpg",1)</f>
        <v/>
      </c>
      <c r="U122" s="78" t="s">
        <v>1688</v>
      </c>
      <c r="V122" s="79"/>
      <c r="W122" s="80"/>
      <c r="X122" s="12"/>
      <c r="Y122" s="11"/>
      <c r="Z122" s="12">
        <v>1.0</v>
      </c>
      <c r="AA122" s="12"/>
      <c r="AB122" s="12"/>
    </row>
    <row r="123" ht="45.0" hidden="1" customHeight="1">
      <c r="A123" s="11">
        <v>125.0</v>
      </c>
      <c r="B123" s="11" t="s">
        <v>173</v>
      </c>
      <c r="C123" s="93" t="s">
        <v>562</v>
      </c>
      <c r="D123" s="11" t="s">
        <v>561</v>
      </c>
      <c r="E123" s="12"/>
      <c r="F123" s="12"/>
      <c r="G123" s="12"/>
      <c r="H123" s="12"/>
      <c r="I123" s="12"/>
      <c r="J123" s="216">
        <v>20.0</v>
      </c>
      <c r="K123" s="215" t="s">
        <v>489</v>
      </c>
      <c r="L123" s="216">
        <v>20.0</v>
      </c>
      <c r="M123" s="216">
        <v>30.0</v>
      </c>
      <c r="N123" s="11">
        <f t="shared" si="5"/>
        <v>600</v>
      </c>
      <c r="O123" s="11" t="s">
        <v>178</v>
      </c>
      <c r="P123" s="93" t="s">
        <v>65</v>
      </c>
      <c r="Q123" s="93" t="s">
        <v>518</v>
      </c>
      <c r="R123" s="93" t="s">
        <v>1943</v>
      </c>
      <c r="S123" s="217" t="s">
        <v>563</v>
      </c>
      <c r="T123" s="11" t="str">
        <f>IMAGE("https://5.imimg.com/data5/QO/AU/MY-77080729/uge-electrolytic-capacitors-500x375-500x500.jpg",1)</f>
        <v/>
      </c>
      <c r="U123" s="78" t="s">
        <v>1688</v>
      </c>
      <c r="V123" s="74"/>
      <c r="W123" s="75"/>
      <c r="X123" s="12"/>
      <c r="Y123" s="11"/>
      <c r="Z123" s="12">
        <v>1.0</v>
      </c>
      <c r="AA123" s="12"/>
      <c r="AB123" s="12"/>
    </row>
    <row r="124" ht="45.0" hidden="1" customHeight="1">
      <c r="A124" s="11">
        <v>126.0</v>
      </c>
      <c r="B124" s="11" t="s">
        <v>173</v>
      </c>
      <c r="C124" s="93" t="s">
        <v>566</v>
      </c>
      <c r="D124" s="11" t="s">
        <v>565</v>
      </c>
      <c r="E124" s="12"/>
      <c r="F124" s="12"/>
      <c r="G124" s="12"/>
      <c r="H124" s="12"/>
      <c r="I124" s="12"/>
      <c r="J124" s="216">
        <v>100.0</v>
      </c>
      <c r="K124" s="215" t="s">
        <v>489</v>
      </c>
      <c r="L124" s="216">
        <v>100.0</v>
      </c>
      <c r="M124" s="216">
        <v>5.0</v>
      </c>
      <c r="N124" s="11">
        <f t="shared" si="5"/>
        <v>500</v>
      </c>
      <c r="O124" s="11" t="s">
        <v>178</v>
      </c>
      <c r="P124" s="93" t="s">
        <v>65</v>
      </c>
      <c r="Q124" s="93" t="s">
        <v>518</v>
      </c>
      <c r="R124" s="93" t="s">
        <v>1943</v>
      </c>
      <c r="S124" s="217" t="s">
        <v>567</v>
      </c>
      <c r="T124" s="11" t="str">
        <f t="shared" ref="T124:T125" si="8">IMAGE("https://5.imimg.com/data5/SP/GM/AD/SELLER-84581978/keltron-2200uf-35-v-electrolytic-capacitors-500x500.jpg",1)</f>
        <v/>
      </c>
      <c r="U124" s="78" t="s">
        <v>1688</v>
      </c>
      <c r="V124" s="79"/>
      <c r="W124" s="80"/>
      <c r="X124" s="12"/>
      <c r="Y124" s="11"/>
      <c r="Z124" s="12">
        <v>1.0</v>
      </c>
      <c r="AA124" s="12"/>
      <c r="AB124" s="12"/>
    </row>
    <row r="125" ht="45.0" hidden="1" customHeight="1">
      <c r="A125" s="11">
        <v>127.0</v>
      </c>
      <c r="B125" s="11" t="s">
        <v>173</v>
      </c>
      <c r="C125" s="93" t="s">
        <v>570</v>
      </c>
      <c r="D125" s="11" t="s">
        <v>569</v>
      </c>
      <c r="E125" s="12"/>
      <c r="F125" s="12"/>
      <c r="G125" s="12"/>
      <c r="H125" s="12"/>
      <c r="I125" s="12"/>
      <c r="J125" s="216">
        <v>100.0</v>
      </c>
      <c r="K125" s="215" t="s">
        <v>489</v>
      </c>
      <c r="L125" s="216">
        <v>100.0</v>
      </c>
      <c r="M125" s="216">
        <v>5.0</v>
      </c>
      <c r="N125" s="11">
        <f t="shared" si="5"/>
        <v>500</v>
      </c>
      <c r="O125" s="11" t="s">
        <v>178</v>
      </c>
      <c r="P125" s="93" t="s">
        <v>65</v>
      </c>
      <c r="Q125" s="93" t="s">
        <v>518</v>
      </c>
      <c r="R125" s="93" t="s">
        <v>1943</v>
      </c>
      <c r="S125" s="217" t="s">
        <v>571</v>
      </c>
      <c r="T125" s="11" t="str">
        <f t="shared" si="8"/>
        <v/>
      </c>
      <c r="U125" s="78" t="s">
        <v>1688</v>
      </c>
      <c r="V125" s="79"/>
      <c r="W125" s="80"/>
      <c r="X125" s="12"/>
      <c r="Y125" s="11"/>
      <c r="Z125" s="12">
        <v>1.0</v>
      </c>
      <c r="AA125" s="12"/>
      <c r="AB125" s="12"/>
    </row>
    <row r="126" ht="45.0" hidden="1" customHeight="1">
      <c r="A126" s="11">
        <v>128.0</v>
      </c>
      <c r="B126" s="11" t="s">
        <v>173</v>
      </c>
      <c r="C126" s="93" t="s">
        <v>574</v>
      </c>
      <c r="D126" s="11" t="s">
        <v>573</v>
      </c>
      <c r="E126" s="12"/>
      <c r="F126" s="12"/>
      <c r="G126" s="12"/>
      <c r="H126" s="12"/>
      <c r="I126" s="12"/>
      <c r="J126" s="216">
        <v>50.0</v>
      </c>
      <c r="K126" s="215" t="s">
        <v>489</v>
      </c>
      <c r="L126" s="216">
        <v>50.0</v>
      </c>
      <c r="M126" s="216">
        <v>10.0</v>
      </c>
      <c r="N126" s="11">
        <f t="shared" si="5"/>
        <v>500</v>
      </c>
      <c r="O126" s="11" t="s">
        <v>178</v>
      </c>
      <c r="P126" s="93" t="s">
        <v>65</v>
      </c>
      <c r="Q126" s="93" t="s">
        <v>518</v>
      </c>
      <c r="R126" s="93" t="s">
        <v>1943</v>
      </c>
      <c r="S126" s="217" t="s">
        <v>575</v>
      </c>
      <c r="T126" s="11" t="str">
        <f>IMAGE("https://5.imimg.com/data5/JL/JS/ZA/SELLER-21614932/4-7uf-400v-keltron-capacitor-500x500.jpg",1)</f>
        <v/>
      </c>
      <c r="U126" s="78" t="s">
        <v>1688</v>
      </c>
      <c r="V126" s="79"/>
      <c r="W126" s="80"/>
      <c r="X126" s="12"/>
      <c r="Y126" s="11"/>
      <c r="Z126" s="12">
        <v>1.0</v>
      </c>
      <c r="AA126" s="12"/>
      <c r="AB126" s="12"/>
    </row>
    <row r="127" ht="45.0" hidden="1" customHeight="1">
      <c r="A127" s="11">
        <v>129.0</v>
      </c>
      <c r="B127" s="11" t="s">
        <v>173</v>
      </c>
      <c r="C127" s="93" t="s">
        <v>578</v>
      </c>
      <c r="D127" s="11" t="s">
        <v>577</v>
      </c>
      <c r="E127" s="12"/>
      <c r="F127" s="12"/>
      <c r="G127" s="12"/>
      <c r="H127" s="12"/>
      <c r="I127" s="12"/>
      <c r="J127" s="216">
        <v>50.0</v>
      </c>
      <c r="K127" s="215" t="s">
        <v>489</v>
      </c>
      <c r="L127" s="216">
        <v>50.0</v>
      </c>
      <c r="M127" s="216">
        <v>15.0</v>
      </c>
      <c r="N127" s="11">
        <f t="shared" si="5"/>
        <v>750</v>
      </c>
      <c r="O127" s="11" t="s">
        <v>178</v>
      </c>
      <c r="P127" s="93" t="s">
        <v>65</v>
      </c>
      <c r="Q127" s="93" t="s">
        <v>518</v>
      </c>
      <c r="R127" s="93" t="s">
        <v>1943</v>
      </c>
      <c r="S127" s="217" t="s">
        <v>579</v>
      </c>
      <c r="T127" s="11" t="str">
        <f>IMAGE("https://projectpoint.in/image/cache/catalog/47uf-250v-672x504.jpg",1)</f>
        <v/>
      </c>
      <c r="U127" s="78" t="s">
        <v>1688</v>
      </c>
      <c r="V127" s="74"/>
      <c r="W127" s="75"/>
      <c r="X127" s="12"/>
      <c r="Y127" s="11"/>
      <c r="Z127" s="12">
        <v>1.0</v>
      </c>
      <c r="AA127" s="12"/>
      <c r="AB127" s="12"/>
    </row>
    <row r="128" ht="45.0" hidden="1" customHeight="1">
      <c r="A128" s="11">
        <v>130.0</v>
      </c>
      <c r="B128" s="11" t="s">
        <v>173</v>
      </c>
      <c r="C128" s="93" t="s">
        <v>582</v>
      </c>
      <c r="D128" s="11" t="s">
        <v>581</v>
      </c>
      <c r="E128" s="12"/>
      <c r="F128" s="12"/>
      <c r="G128" s="12"/>
      <c r="H128" s="12"/>
      <c r="I128" s="12"/>
      <c r="J128" s="216">
        <v>20.0</v>
      </c>
      <c r="K128" s="215" t="s">
        <v>489</v>
      </c>
      <c r="L128" s="216">
        <v>20.0</v>
      </c>
      <c r="M128" s="216">
        <v>20.0</v>
      </c>
      <c r="N128" s="11">
        <f t="shared" si="5"/>
        <v>400</v>
      </c>
      <c r="O128" s="11" t="s">
        <v>178</v>
      </c>
      <c r="P128" s="93" t="s">
        <v>65</v>
      </c>
      <c r="Q128" s="93" t="s">
        <v>518</v>
      </c>
      <c r="R128" s="93" t="s">
        <v>1943</v>
      </c>
      <c r="S128" s="217" t="s">
        <v>583</v>
      </c>
      <c r="T128" s="11" t="str">
        <f>IMAGE("https://5.imimg.com/data5/QO/AU/MY-77080729/uge-electrolytic-capacitors-500x375-500x500.jpg",1)</f>
        <v/>
      </c>
      <c r="U128" s="78" t="s">
        <v>1688</v>
      </c>
      <c r="V128" s="74"/>
      <c r="W128" s="75"/>
      <c r="X128" s="12"/>
      <c r="Y128" s="11"/>
      <c r="Z128" s="12">
        <v>1.0</v>
      </c>
      <c r="AA128" s="12"/>
      <c r="AB128" s="12"/>
    </row>
    <row r="129" ht="45.0" hidden="1" customHeight="1">
      <c r="A129" s="11">
        <v>131.0</v>
      </c>
      <c r="B129" s="11" t="s">
        <v>173</v>
      </c>
      <c r="C129" s="93" t="s">
        <v>1860</v>
      </c>
      <c r="D129" s="11" t="s">
        <v>585</v>
      </c>
      <c r="E129" s="12"/>
      <c r="F129" s="12"/>
      <c r="G129" s="12"/>
      <c r="H129" s="12"/>
      <c r="I129" s="12"/>
      <c r="J129" s="216">
        <v>20.0</v>
      </c>
      <c r="K129" s="215" t="s">
        <v>489</v>
      </c>
      <c r="L129" s="216">
        <v>20.0</v>
      </c>
      <c r="M129" s="216">
        <v>25.0</v>
      </c>
      <c r="N129" s="11">
        <f t="shared" si="5"/>
        <v>500</v>
      </c>
      <c r="O129" s="11" t="s">
        <v>178</v>
      </c>
      <c r="P129" s="93"/>
      <c r="Q129" s="93" t="s">
        <v>193</v>
      </c>
      <c r="R129" s="93" t="s">
        <v>1944</v>
      </c>
      <c r="S129" s="217" t="s">
        <v>587</v>
      </c>
      <c r="T129" s="11" t="str">
        <f>IMAGE("https://www.electronicscomp.com/image/cache/catalog/cd4033-5-stage-johnson-decade-counter-ic-dip-16-800x800.jpg",1)</f>
        <v/>
      </c>
      <c r="U129" s="78" t="s">
        <v>1688</v>
      </c>
      <c r="V129" s="74"/>
      <c r="W129" s="75"/>
      <c r="X129" s="12"/>
      <c r="Y129" s="11"/>
      <c r="Z129" s="12">
        <v>1.0</v>
      </c>
      <c r="AA129" s="12"/>
      <c r="AB129" s="12"/>
    </row>
    <row r="130" ht="45.0" hidden="1" customHeight="1">
      <c r="A130" s="11">
        <v>132.0</v>
      </c>
      <c r="B130" s="11" t="s">
        <v>173</v>
      </c>
      <c r="C130" s="93" t="s">
        <v>590</v>
      </c>
      <c r="D130" s="11" t="s">
        <v>589</v>
      </c>
      <c r="E130" s="12"/>
      <c r="F130" s="12"/>
      <c r="G130" s="12"/>
      <c r="H130" s="12"/>
      <c r="I130" s="12"/>
      <c r="J130" s="216">
        <v>20.0</v>
      </c>
      <c r="K130" s="215" t="s">
        <v>489</v>
      </c>
      <c r="L130" s="216">
        <v>20.0</v>
      </c>
      <c r="M130" s="216">
        <v>5.0</v>
      </c>
      <c r="N130" s="11">
        <f t="shared" si="5"/>
        <v>100</v>
      </c>
      <c r="O130" s="11" t="s">
        <v>178</v>
      </c>
      <c r="P130" s="93"/>
      <c r="Q130" s="93" t="s">
        <v>518</v>
      </c>
      <c r="R130" s="93" t="s">
        <v>1945</v>
      </c>
      <c r="S130" s="243" t="s">
        <v>591</v>
      </c>
      <c r="T130" s="11" t="str">
        <f t="shared" ref="T130:T131" si="9">IMAGE("https://m.media-amazon.com/images/W/MEDIAX_792452-T2/images/I/41A+MQfyyEL.jpg",1)</f>
        <v/>
      </c>
      <c r="U130" s="78" t="s">
        <v>1688</v>
      </c>
      <c r="V130" s="74"/>
      <c r="W130" s="75"/>
      <c r="X130" s="12"/>
      <c r="Y130" s="11"/>
      <c r="Z130" s="12">
        <v>1.0</v>
      </c>
      <c r="AA130" s="12"/>
      <c r="AB130" s="12"/>
    </row>
    <row r="131" ht="45.0" hidden="1" customHeight="1">
      <c r="A131" s="11">
        <v>133.0</v>
      </c>
      <c r="B131" s="11" t="s">
        <v>173</v>
      </c>
      <c r="C131" s="93" t="s">
        <v>594</v>
      </c>
      <c r="D131" s="11" t="s">
        <v>593</v>
      </c>
      <c r="E131" s="12"/>
      <c r="F131" s="12"/>
      <c r="G131" s="12"/>
      <c r="H131" s="12"/>
      <c r="I131" s="12"/>
      <c r="J131" s="216">
        <v>20.0</v>
      </c>
      <c r="K131" s="215" t="s">
        <v>489</v>
      </c>
      <c r="L131" s="216">
        <v>20.0</v>
      </c>
      <c r="M131" s="216">
        <v>5.0</v>
      </c>
      <c r="N131" s="11">
        <f t="shared" si="5"/>
        <v>100</v>
      </c>
      <c r="O131" s="11" t="s">
        <v>178</v>
      </c>
      <c r="P131" s="93"/>
      <c r="Q131" s="93" t="s">
        <v>518</v>
      </c>
      <c r="R131" s="93" t="s">
        <v>1945</v>
      </c>
      <c r="S131" s="217" t="s">
        <v>595</v>
      </c>
      <c r="T131" s="11" t="str">
        <f t="shared" si="9"/>
        <v/>
      </c>
      <c r="U131" s="78" t="s">
        <v>1688</v>
      </c>
      <c r="V131" s="74"/>
      <c r="W131" s="75"/>
      <c r="X131" s="12"/>
      <c r="Y131" s="11"/>
      <c r="Z131" s="12">
        <v>1.0</v>
      </c>
      <c r="AA131" s="12"/>
      <c r="AB131" s="12"/>
    </row>
    <row r="132" ht="45.0" hidden="1" customHeight="1">
      <c r="A132" s="11">
        <v>134.0</v>
      </c>
      <c r="B132" s="11" t="s">
        <v>173</v>
      </c>
      <c r="C132" s="93" t="s">
        <v>1862</v>
      </c>
      <c r="D132" s="11" t="s">
        <v>597</v>
      </c>
      <c r="E132" s="12"/>
      <c r="F132" s="12"/>
      <c r="G132" s="12"/>
      <c r="H132" s="12"/>
      <c r="I132" s="12"/>
      <c r="J132" s="216">
        <v>20.0</v>
      </c>
      <c r="K132" s="215" t="s">
        <v>489</v>
      </c>
      <c r="L132" s="216">
        <v>20.0</v>
      </c>
      <c r="M132" s="216">
        <v>30.0</v>
      </c>
      <c r="N132" s="11">
        <f t="shared" si="5"/>
        <v>600</v>
      </c>
      <c r="O132" s="11" t="s">
        <v>178</v>
      </c>
      <c r="P132" s="93"/>
      <c r="Q132" s="93" t="s">
        <v>599</v>
      </c>
      <c r="R132" s="93" t="s">
        <v>1944</v>
      </c>
      <c r="S132" s="217" t="s">
        <v>600</v>
      </c>
      <c r="T132" s="11" t="str">
        <f>IMAGE("https://robu.in/wp-content/uploads/2018/11/LM358P-PDIP-8-High-Gain-Operational-Amplifier-Pack-of-5-ICs-9.jpg",1)</f>
        <v/>
      </c>
      <c r="U132" s="78" t="s">
        <v>1688</v>
      </c>
      <c r="V132" s="74"/>
      <c r="W132" s="75"/>
      <c r="X132" s="12"/>
      <c r="Y132" s="11"/>
      <c r="Z132" s="12">
        <v>1.0</v>
      </c>
      <c r="AA132" s="12"/>
      <c r="AB132" s="12"/>
    </row>
    <row r="133" ht="45.0" hidden="1" customHeight="1">
      <c r="A133" s="11">
        <v>135.0</v>
      </c>
      <c r="B133" s="11" t="s">
        <v>173</v>
      </c>
      <c r="C133" s="93" t="s">
        <v>603</v>
      </c>
      <c r="D133" s="11" t="s">
        <v>602</v>
      </c>
      <c r="E133" s="12"/>
      <c r="F133" s="12"/>
      <c r="G133" s="12"/>
      <c r="H133" s="12"/>
      <c r="I133" s="12"/>
      <c r="J133" s="216">
        <v>500.0</v>
      </c>
      <c r="K133" s="215" t="s">
        <v>489</v>
      </c>
      <c r="L133" s="216">
        <v>500.0</v>
      </c>
      <c r="M133" s="216">
        <v>1.5</v>
      </c>
      <c r="N133" s="11">
        <f t="shared" si="5"/>
        <v>750</v>
      </c>
      <c r="O133" s="11" t="s">
        <v>178</v>
      </c>
      <c r="P133" s="93"/>
      <c r="Q133" s="93" t="s">
        <v>518</v>
      </c>
      <c r="R133" s="93" t="s">
        <v>1946</v>
      </c>
      <c r="S133" s="217" t="s">
        <v>604</v>
      </c>
      <c r="T133" s="11" t="str">
        <f>IMAGE("https://rukminim2.flixcart.com/image/832/832/xif0q/electronic-hobby-kit/d/o/s/50-pcs-blue-led-5mm-kitsguru-original-imaghfqbjbn4hshz.jpeg?q=70",1)</f>
        <v/>
      </c>
      <c r="U133" s="78" t="s">
        <v>1688</v>
      </c>
      <c r="V133" s="79"/>
      <c r="W133" s="80"/>
      <c r="X133" s="12"/>
      <c r="Y133" s="11"/>
      <c r="Z133" s="12">
        <v>1.0</v>
      </c>
      <c r="AA133" s="12"/>
      <c r="AB133" s="12"/>
    </row>
    <row r="134" ht="45.0" hidden="1" customHeight="1">
      <c r="A134" s="11">
        <v>136.0</v>
      </c>
      <c r="B134" s="11" t="s">
        <v>173</v>
      </c>
      <c r="C134" s="93" t="s">
        <v>607</v>
      </c>
      <c r="D134" s="11" t="s">
        <v>606</v>
      </c>
      <c r="E134" s="12"/>
      <c r="F134" s="12"/>
      <c r="G134" s="12"/>
      <c r="H134" s="12"/>
      <c r="I134" s="12"/>
      <c r="J134" s="216">
        <v>500.0</v>
      </c>
      <c r="K134" s="215" t="s">
        <v>489</v>
      </c>
      <c r="L134" s="216">
        <v>500.0</v>
      </c>
      <c r="M134" s="216">
        <v>1.5</v>
      </c>
      <c r="N134" s="11">
        <f t="shared" si="5"/>
        <v>750</v>
      </c>
      <c r="O134" s="11" t="s">
        <v>178</v>
      </c>
      <c r="P134" s="93"/>
      <c r="Q134" s="93" t="s">
        <v>518</v>
      </c>
      <c r="R134" s="93" t="s">
        <v>1946</v>
      </c>
      <c r="S134" s="217"/>
      <c r="T134" s="11" t="str">
        <f>IMAGE("https://rukminim2.flixcart.com/image/832/832/krz97rk0/electronic-hobby-kit/r/p/r/5mm-green-led-light-emitting-diode-highlight-for-arduino-pack-of-original-imag5n63ad6pnxqe.jpeg?q=70", 1)</f>
        <v/>
      </c>
      <c r="U134" s="78" t="s">
        <v>1688</v>
      </c>
      <c r="V134" s="79"/>
      <c r="W134" s="80"/>
      <c r="X134" s="12"/>
      <c r="Y134" s="11"/>
      <c r="Z134" s="12">
        <v>1.0</v>
      </c>
      <c r="AA134" s="12"/>
      <c r="AB134" s="12"/>
    </row>
    <row r="135" ht="45.0" hidden="1" customHeight="1">
      <c r="A135" s="11">
        <v>137.0</v>
      </c>
      <c r="B135" s="11" t="s">
        <v>173</v>
      </c>
      <c r="C135" s="93" t="s">
        <v>610</v>
      </c>
      <c r="D135" s="11" t="s">
        <v>609</v>
      </c>
      <c r="E135" s="12"/>
      <c r="F135" s="12"/>
      <c r="G135" s="12"/>
      <c r="H135" s="12"/>
      <c r="I135" s="12"/>
      <c r="J135" s="216">
        <v>500.0</v>
      </c>
      <c r="K135" s="215" t="s">
        <v>489</v>
      </c>
      <c r="L135" s="216">
        <v>500.0</v>
      </c>
      <c r="M135" s="216">
        <v>1.5</v>
      </c>
      <c r="N135" s="11">
        <f t="shared" si="5"/>
        <v>750</v>
      </c>
      <c r="O135" s="11" t="s">
        <v>178</v>
      </c>
      <c r="P135" s="93"/>
      <c r="Q135" s="93" t="s">
        <v>518</v>
      </c>
      <c r="R135" s="93" t="s">
        <v>1946</v>
      </c>
      <c r="S135" s="217" t="s">
        <v>611</v>
      </c>
      <c r="T135" s="11" t="str">
        <f>IMAGE("https://rukminim2.flixcart.com/image/832/832/ktrk13k0/electronic-hobby-kit/u/f/w/10-pcs-5mm-round-diffused-red-color-led-light-bulb-lamp-light-original-imag7ff6rchccrbz.jpeg?q=70", 1)</f>
        <v/>
      </c>
      <c r="U135" s="78" t="s">
        <v>1688</v>
      </c>
      <c r="V135" s="74"/>
      <c r="W135" s="75"/>
      <c r="X135" s="12"/>
      <c r="Y135" s="11"/>
      <c r="Z135" s="12">
        <v>1.0</v>
      </c>
      <c r="AA135" s="12"/>
      <c r="AB135" s="12"/>
    </row>
    <row r="136" ht="45.0" hidden="1" customHeight="1">
      <c r="A136" s="11">
        <v>138.0</v>
      </c>
      <c r="B136" s="11" t="s">
        <v>173</v>
      </c>
      <c r="C136" s="93" t="s">
        <v>614</v>
      </c>
      <c r="D136" s="11" t="s">
        <v>613</v>
      </c>
      <c r="E136" s="12"/>
      <c r="F136" s="12"/>
      <c r="G136" s="12"/>
      <c r="H136" s="12"/>
      <c r="I136" s="12"/>
      <c r="J136" s="216">
        <v>500.0</v>
      </c>
      <c r="K136" s="215" t="s">
        <v>489</v>
      </c>
      <c r="L136" s="216">
        <v>500.0</v>
      </c>
      <c r="M136" s="216">
        <v>1.5</v>
      </c>
      <c r="N136" s="11">
        <f t="shared" si="5"/>
        <v>750</v>
      </c>
      <c r="O136" s="11" t="s">
        <v>178</v>
      </c>
      <c r="P136" s="93"/>
      <c r="Q136" s="93" t="s">
        <v>518</v>
      </c>
      <c r="R136" s="93" t="s">
        <v>1946</v>
      </c>
      <c r="S136" s="217" t="s">
        <v>615</v>
      </c>
      <c r="T136" s="11" t="str">
        <f>IMAGE("https://robu.in/wp-content/uploads/2020/10/5mm-DIP-Led-White.png", 1)</f>
        <v/>
      </c>
      <c r="U136" s="78" t="s">
        <v>1688</v>
      </c>
      <c r="V136" s="74"/>
      <c r="W136" s="75"/>
      <c r="X136" s="12"/>
      <c r="Y136" s="11"/>
      <c r="Z136" s="12">
        <v>1.0</v>
      </c>
      <c r="AA136" s="12"/>
      <c r="AB136" s="12"/>
    </row>
    <row r="137" ht="45.0" hidden="1" customHeight="1">
      <c r="A137" s="11">
        <v>139.0</v>
      </c>
      <c r="B137" s="11" t="s">
        <v>173</v>
      </c>
      <c r="C137" s="93" t="s">
        <v>618</v>
      </c>
      <c r="D137" s="11" t="s">
        <v>617</v>
      </c>
      <c r="E137" s="12"/>
      <c r="F137" s="12"/>
      <c r="G137" s="12"/>
      <c r="H137" s="12"/>
      <c r="I137" s="12"/>
      <c r="J137" s="216">
        <v>500.0</v>
      </c>
      <c r="K137" s="215" t="s">
        <v>489</v>
      </c>
      <c r="L137" s="216">
        <v>500.0</v>
      </c>
      <c r="M137" s="216">
        <v>1.5</v>
      </c>
      <c r="N137" s="11">
        <f t="shared" si="5"/>
        <v>750</v>
      </c>
      <c r="O137" s="11" t="s">
        <v>178</v>
      </c>
      <c r="P137" s="93"/>
      <c r="Q137" s="93" t="s">
        <v>518</v>
      </c>
      <c r="R137" s="93" t="s">
        <v>1946</v>
      </c>
      <c r="S137" s="223" t="s">
        <v>619</v>
      </c>
      <c r="T137" s="11" t="str">
        <f>IMAGE("https://robu.in/wp-content/uploads/2020/10/5-mm-DIP-Led-Yellow.png", 1)</f>
        <v/>
      </c>
      <c r="U137" s="78" t="s">
        <v>1688</v>
      </c>
      <c r="V137" s="74"/>
      <c r="W137" s="75"/>
      <c r="X137" s="12"/>
      <c r="Y137" s="11"/>
      <c r="Z137" s="12">
        <v>1.0</v>
      </c>
      <c r="AA137" s="12"/>
      <c r="AB137" s="12"/>
    </row>
    <row r="138" ht="45.0" hidden="1" customHeight="1">
      <c r="A138" s="11">
        <v>140.0</v>
      </c>
      <c r="B138" s="11" t="s">
        <v>173</v>
      </c>
      <c r="C138" s="93" t="s">
        <v>622</v>
      </c>
      <c r="D138" s="11" t="s">
        <v>621</v>
      </c>
      <c r="E138" s="12"/>
      <c r="F138" s="12"/>
      <c r="G138" s="12"/>
      <c r="H138" s="12"/>
      <c r="I138" s="12"/>
      <c r="J138" s="216">
        <v>100.0</v>
      </c>
      <c r="K138" s="215" t="s">
        <v>489</v>
      </c>
      <c r="L138" s="216">
        <v>100.0</v>
      </c>
      <c r="M138" s="216">
        <v>20.0</v>
      </c>
      <c r="N138" s="11">
        <f t="shared" si="5"/>
        <v>2000</v>
      </c>
      <c r="O138" s="11" t="s">
        <v>178</v>
      </c>
      <c r="P138" s="93"/>
      <c r="Q138" s="93" t="s">
        <v>518</v>
      </c>
      <c r="R138" s="93" t="s">
        <v>1946</v>
      </c>
      <c r="S138" s="217" t="s">
        <v>623</v>
      </c>
      <c r="T138" s="11" t="str">
        <f>IMAGE("https://image.robotistan.com/5mm-transparent-rgb-led-2633-11-O.jpg", 1)</f>
        <v/>
      </c>
      <c r="U138" s="78" t="s">
        <v>1688</v>
      </c>
      <c r="V138" s="79"/>
      <c r="W138" s="80"/>
      <c r="X138" s="12"/>
      <c r="Y138" s="11"/>
      <c r="Z138" s="12">
        <v>1.0</v>
      </c>
      <c r="AA138" s="12"/>
      <c r="AB138" s="12"/>
    </row>
    <row r="139" ht="45.0" hidden="1" customHeight="1">
      <c r="A139" s="11">
        <v>141.0</v>
      </c>
      <c r="B139" s="11" t="s">
        <v>173</v>
      </c>
      <c r="C139" s="93" t="s">
        <v>626</v>
      </c>
      <c r="D139" s="11" t="s">
        <v>625</v>
      </c>
      <c r="E139" s="12"/>
      <c r="F139" s="12"/>
      <c r="G139" s="12"/>
      <c r="H139" s="12"/>
      <c r="I139" s="12"/>
      <c r="J139" s="216">
        <v>20.0</v>
      </c>
      <c r="K139" s="215" t="s">
        <v>489</v>
      </c>
      <c r="L139" s="216">
        <v>20.0</v>
      </c>
      <c r="M139" s="216">
        <v>15.0</v>
      </c>
      <c r="N139" s="11">
        <f t="shared" si="5"/>
        <v>300</v>
      </c>
      <c r="O139" s="11" t="s">
        <v>178</v>
      </c>
      <c r="P139" s="93"/>
      <c r="Q139" s="93" t="s">
        <v>518</v>
      </c>
      <c r="R139" s="93" t="s">
        <v>1947</v>
      </c>
      <c r="S139" s="217" t="s">
        <v>627</v>
      </c>
      <c r="T139" s="11" t="str">
        <f>IMAGE("https://5.imimg.com/data5/AH/OG/AM/SELLER-5278310/mkc-27701-changeover-reed-switch-500x500.jpg",1)</f>
        <v/>
      </c>
      <c r="U139" s="78" t="s">
        <v>1688</v>
      </c>
      <c r="V139" s="74"/>
      <c r="W139" s="75"/>
      <c r="X139" s="12"/>
      <c r="Y139" s="11"/>
      <c r="Z139" s="12">
        <v>1.0</v>
      </c>
      <c r="AA139" s="12"/>
      <c r="AB139" s="12"/>
    </row>
    <row r="140" ht="45.0" hidden="1" customHeight="1">
      <c r="A140" s="11">
        <v>142.0</v>
      </c>
      <c r="B140" s="11" t="s">
        <v>173</v>
      </c>
      <c r="C140" s="93" t="s">
        <v>630</v>
      </c>
      <c r="D140" s="11" t="s">
        <v>629</v>
      </c>
      <c r="E140" s="12"/>
      <c r="F140" s="12"/>
      <c r="G140" s="12"/>
      <c r="H140" s="12"/>
      <c r="I140" s="12"/>
      <c r="J140" s="216">
        <v>20.0</v>
      </c>
      <c r="K140" s="215" t="s">
        <v>489</v>
      </c>
      <c r="L140" s="216">
        <v>20.0</v>
      </c>
      <c r="M140" s="216">
        <v>20.0</v>
      </c>
      <c r="N140" s="11">
        <f t="shared" si="5"/>
        <v>400</v>
      </c>
      <c r="O140" s="11" t="s">
        <v>178</v>
      </c>
      <c r="P140" s="93"/>
      <c r="Q140" s="93" t="s">
        <v>518</v>
      </c>
      <c r="R140" s="93" t="s">
        <v>1948</v>
      </c>
      <c r="S140" s="217" t="s">
        <v>631</v>
      </c>
      <c r="T140" s="11" t="str">
        <f t="shared" ref="T140:T141" si="10">IMAGE("https://www.electronicscomp.com/image/cache/catalog/irfz44-n-channel-power-mosfet-1-800x800.JPG",1)</f>
        <v/>
      </c>
      <c r="U140" s="78" t="s">
        <v>1688</v>
      </c>
      <c r="V140" s="74"/>
      <c r="W140" s="75"/>
      <c r="X140" s="12"/>
      <c r="Y140" s="11"/>
      <c r="Z140" s="12">
        <v>1.0</v>
      </c>
      <c r="AA140" s="12"/>
      <c r="AB140" s="12"/>
    </row>
    <row r="141" ht="45.0" hidden="1" customHeight="1">
      <c r="A141" s="11">
        <v>143.0</v>
      </c>
      <c r="B141" s="11" t="s">
        <v>173</v>
      </c>
      <c r="C141" s="93" t="s">
        <v>634</v>
      </c>
      <c r="D141" s="11" t="s">
        <v>633</v>
      </c>
      <c r="E141" s="12"/>
      <c r="F141" s="12"/>
      <c r="G141" s="12"/>
      <c r="H141" s="12"/>
      <c r="I141" s="12"/>
      <c r="J141" s="216">
        <v>20.0</v>
      </c>
      <c r="K141" s="215" t="s">
        <v>489</v>
      </c>
      <c r="L141" s="216">
        <v>20.0</v>
      </c>
      <c r="M141" s="216">
        <v>30.0</v>
      </c>
      <c r="N141" s="11">
        <f t="shared" si="5"/>
        <v>600</v>
      </c>
      <c r="O141" s="11" t="s">
        <v>178</v>
      </c>
      <c r="P141" s="93"/>
      <c r="Q141" s="93" t="s">
        <v>518</v>
      </c>
      <c r="R141" s="93" t="s">
        <v>1948</v>
      </c>
      <c r="S141" s="217" t="s">
        <v>635</v>
      </c>
      <c r="T141" s="11" t="str">
        <f t="shared" si="10"/>
        <v/>
      </c>
      <c r="U141" s="78" t="s">
        <v>1688</v>
      </c>
      <c r="V141" s="74"/>
      <c r="W141" s="75"/>
      <c r="X141" s="12"/>
      <c r="Y141" s="11"/>
      <c r="Z141" s="12">
        <v>1.0</v>
      </c>
      <c r="AA141" s="12"/>
      <c r="AB141" s="12"/>
    </row>
    <row r="142" ht="45.0" hidden="1" customHeight="1">
      <c r="A142" s="11">
        <v>144.0</v>
      </c>
      <c r="B142" s="11" t="s">
        <v>173</v>
      </c>
      <c r="C142" s="93" t="s">
        <v>1804</v>
      </c>
      <c r="D142" s="11" t="s">
        <v>637</v>
      </c>
      <c r="E142" s="12"/>
      <c r="F142" s="12"/>
      <c r="G142" s="12"/>
      <c r="H142" s="12"/>
      <c r="I142" s="12"/>
      <c r="J142" s="216">
        <v>20.0</v>
      </c>
      <c r="K142" s="215" t="s">
        <v>489</v>
      </c>
      <c r="L142" s="216">
        <v>20.0</v>
      </c>
      <c r="M142" s="216">
        <v>50.0</v>
      </c>
      <c r="N142" s="11">
        <f t="shared" si="5"/>
        <v>1000</v>
      </c>
      <c r="O142" s="11" t="s">
        <v>178</v>
      </c>
      <c r="P142" s="93"/>
      <c r="Q142" s="93" t="s">
        <v>193</v>
      </c>
      <c r="R142" s="93" t="s">
        <v>1941</v>
      </c>
      <c r="S142" s="217" t="s">
        <v>639</v>
      </c>
      <c r="T142" s="11" t="str">
        <f>IMAGE("https://5.imimg.com/data5/FI/FV/DZ/SELLER-22718366/27-mm-3p-piezoelectric-buzzer-plate-500x500.jpg",1)</f>
        <v/>
      </c>
      <c r="U142" s="78" t="s">
        <v>1688</v>
      </c>
      <c r="V142" s="74"/>
      <c r="W142" s="75"/>
      <c r="X142" s="12"/>
      <c r="Y142" s="11"/>
      <c r="Z142" s="12">
        <v>1.0</v>
      </c>
      <c r="AA142" s="12"/>
      <c r="AB142" s="12"/>
    </row>
    <row r="143" ht="45.0" hidden="1" customHeight="1">
      <c r="A143" s="11">
        <v>145.0</v>
      </c>
      <c r="B143" s="11" t="s">
        <v>173</v>
      </c>
      <c r="C143" s="93" t="s">
        <v>642</v>
      </c>
      <c r="D143" s="11" t="s">
        <v>641</v>
      </c>
      <c r="E143" s="12"/>
      <c r="F143" s="12"/>
      <c r="G143" s="12"/>
      <c r="H143" s="12"/>
      <c r="I143" s="12"/>
      <c r="J143" s="216">
        <v>20.0</v>
      </c>
      <c r="K143" s="215" t="s">
        <v>489</v>
      </c>
      <c r="L143" s="216">
        <v>20.0</v>
      </c>
      <c r="M143" s="216">
        <v>20.0</v>
      </c>
      <c r="N143" s="11">
        <f t="shared" si="5"/>
        <v>400</v>
      </c>
      <c r="O143" s="11" t="s">
        <v>178</v>
      </c>
      <c r="P143" s="93"/>
      <c r="Q143" s="93" t="s">
        <v>193</v>
      </c>
      <c r="R143" s="93" t="s">
        <v>1949</v>
      </c>
      <c r="S143" s="217" t="s">
        <v>643</v>
      </c>
      <c r="T143" s="11" t="str">
        <f t="shared" ref="T143:T146" si="11">IMAGE("https://m.media-amazon.com/images/I/31ALofIyvBL._SX466_.jpg",1)</f>
        <v/>
      </c>
      <c r="U143" s="78" t="s">
        <v>1688</v>
      </c>
      <c r="V143" s="74"/>
      <c r="W143" s="75"/>
      <c r="X143" s="12"/>
      <c r="Y143" s="11"/>
      <c r="Z143" s="12">
        <v>1.0</v>
      </c>
      <c r="AA143" s="12"/>
      <c r="AB143" s="12"/>
    </row>
    <row r="144" ht="45.0" hidden="1" customHeight="1">
      <c r="A144" s="11">
        <v>146.0</v>
      </c>
      <c r="B144" s="11" t="s">
        <v>173</v>
      </c>
      <c r="C144" s="93" t="s">
        <v>646</v>
      </c>
      <c r="D144" s="11" t="s">
        <v>645</v>
      </c>
      <c r="E144" s="12"/>
      <c r="F144" s="12"/>
      <c r="G144" s="12"/>
      <c r="H144" s="12"/>
      <c r="I144" s="12"/>
      <c r="J144" s="216">
        <v>20.0</v>
      </c>
      <c r="K144" s="215" t="s">
        <v>489</v>
      </c>
      <c r="L144" s="216">
        <v>20.0</v>
      </c>
      <c r="M144" s="216">
        <v>15.0</v>
      </c>
      <c r="N144" s="11">
        <f t="shared" si="5"/>
        <v>300</v>
      </c>
      <c r="O144" s="11" t="s">
        <v>178</v>
      </c>
      <c r="P144" s="93"/>
      <c r="Q144" s="93" t="s">
        <v>193</v>
      </c>
      <c r="R144" s="93" t="s">
        <v>1949</v>
      </c>
      <c r="S144" s="217" t="s">
        <v>647</v>
      </c>
      <c r="T144" s="11" t="str">
        <f t="shared" si="11"/>
        <v/>
      </c>
      <c r="U144" s="78" t="s">
        <v>1688</v>
      </c>
      <c r="V144" s="74"/>
      <c r="W144" s="75"/>
      <c r="X144" s="12"/>
      <c r="Y144" s="11"/>
      <c r="Z144" s="12">
        <v>1.0</v>
      </c>
      <c r="AA144" s="12"/>
      <c r="AB144" s="12"/>
    </row>
    <row r="145" ht="45.0" hidden="1" customHeight="1">
      <c r="A145" s="11">
        <v>147.0</v>
      </c>
      <c r="B145" s="11" t="s">
        <v>173</v>
      </c>
      <c r="C145" s="93" t="s">
        <v>650</v>
      </c>
      <c r="D145" s="11" t="s">
        <v>649</v>
      </c>
      <c r="E145" s="12"/>
      <c r="F145" s="12"/>
      <c r="G145" s="12"/>
      <c r="H145" s="12"/>
      <c r="I145" s="12"/>
      <c r="J145" s="216">
        <v>20.0</v>
      </c>
      <c r="K145" s="215" t="s">
        <v>489</v>
      </c>
      <c r="L145" s="216">
        <v>20.0</v>
      </c>
      <c r="M145" s="216">
        <v>10.0</v>
      </c>
      <c r="N145" s="11">
        <f t="shared" si="5"/>
        <v>200</v>
      </c>
      <c r="O145" s="11" t="s">
        <v>178</v>
      </c>
      <c r="P145" s="93"/>
      <c r="Q145" s="93" t="s">
        <v>193</v>
      </c>
      <c r="R145" s="93" t="s">
        <v>1949</v>
      </c>
      <c r="S145" s="217" t="s">
        <v>651</v>
      </c>
      <c r="T145" s="11" t="str">
        <f t="shared" si="11"/>
        <v/>
      </c>
      <c r="U145" s="78" t="s">
        <v>1688</v>
      </c>
      <c r="V145" s="74"/>
      <c r="W145" s="75"/>
      <c r="X145" s="12"/>
      <c r="Y145" s="11"/>
      <c r="Z145" s="12">
        <v>1.0</v>
      </c>
      <c r="AA145" s="12"/>
      <c r="AB145" s="12"/>
    </row>
    <row r="146" ht="45.0" hidden="1" customHeight="1">
      <c r="A146" s="11">
        <v>148.0</v>
      </c>
      <c r="B146" s="11" t="s">
        <v>173</v>
      </c>
      <c r="C146" s="93" t="s">
        <v>654</v>
      </c>
      <c r="D146" s="11" t="s">
        <v>653</v>
      </c>
      <c r="E146" s="12"/>
      <c r="F146" s="12"/>
      <c r="G146" s="12"/>
      <c r="H146" s="12"/>
      <c r="I146" s="12"/>
      <c r="J146" s="216">
        <v>20.0</v>
      </c>
      <c r="K146" s="215" t="s">
        <v>489</v>
      </c>
      <c r="L146" s="216">
        <v>20.0</v>
      </c>
      <c r="M146" s="216">
        <v>25.0</v>
      </c>
      <c r="N146" s="11">
        <f t="shared" si="5"/>
        <v>500</v>
      </c>
      <c r="O146" s="11" t="s">
        <v>178</v>
      </c>
      <c r="P146" s="93"/>
      <c r="Q146" s="93" t="s">
        <v>193</v>
      </c>
      <c r="R146" s="93" t="s">
        <v>1949</v>
      </c>
      <c r="S146" s="217" t="s">
        <v>655</v>
      </c>
      <c r="T146" s="11" t="str">
        <f t="shared" si="11"/>
        <v/>
      </c>
      <c r="U146" s="78" t="s">
        <v>1688</v>
      </c>
      <c r="V146" s="79"/>
      <c r="W146" s="80"/>
      <c r="X146" s="12"/>
      <c r="Y146" s="11"/>
      <c r="Z146" s="12">
        <v>1.0</v>
      </c>
      <c r="AA146" s="12"/>
      <c r="AB146" s="12"/>
    </row>
    <row r="147" ht="45.0" hidden="1" customHeight="1">
      <c r="A147" s="11">
        <v>149.0</v>
      </c>
      <c r="B147" s="11" t="s">
        <v>173</v>
      </c>
      <c r="C147" s="93" t="s">
        <v>658</v>
      </c>
      <c r="D147" s="11" t="s">
        <v>657</v>
      </c>
      <c r="E147" s="12"/>
      <c r="F147" s="12"/>
      <c r="G147" s="12"/>
      <c r="H147" s="12"/>
      <c r="I147" s="12"/>
      <c r="J147" s="216">
        <v>100.0</v>
      </c>
      <c r="K147" s="215" t="s">
        <v>489</v>
      </c>
      <c r="L147" s="216">
        <v>100.0</v>
      </c>
      <c r="M147" s="216">
        <v>1.0</v>
      </c>
      <c r="N147" s="11">
        <f t="shared" si="5"/>
        <v>100</v>
      </c>
      <c r="O147" s="11" t="s">
        <v>178</v>
      </c>
      <c r="P147" s="93"/>
      <c r="Q147" s="93" t="s">
        <v>518</v>
      </c>
      <c r="R147" s="93" t="s">
        <v>1950</v>
      </c>
      <c r="S147" s="217" t="s">
        <v>659</v>
      </c>
      <c r="T147" s="11" t="str">
        <f t="shared" ref="T147:T188" si="12">IMAGE("https://projectpoint.in/image/cache/catalog/CFR_Resistor_Kit-672x504.jpg",1)</f>
        <v/>
      </c>
      <c r="U147" s="78" t="s">
        <v>1688</v>
      </c>
      <c r="V147" s="74"/>
      <c r="W147" s="75"/>
      <c r="X147" s="12"/>
      <c r="Y147" s="11"/>
      <c r="Z147" s="12">
        <v>1.0</v>
      </c>
      <c r="AA147" s="12"/>
      <c r="AB147" s="12"/>
    </row>
    <row r="148" ht="45.0" hidden="1" customHeight="1">
      <c r="A148" s="11">
        <v>150.0</v>
      </c>
      <c r="B148" s="11" t="s">
        <v>173</v>
      </c>
      <c r="C148" s="93" t="s">
        <v>662</v>
      </c>
      <c r="D148" s="11" t="s">
        <v>661</v>
      </c>
      <c r="E148" s="12"/>
      <c r="F148" s="12"/>
      <c r="G148" s="12"/>
      <c r="H148" s="12"/>
      <c r="I148" s="12"/>
      <c r="J148" s="216">
        <v>100.0</v>
      </c>
      <c r="K148" s="215" t="s">
        <v>489</v>
      </c>
      <c r="L148" s="216">
        <v>100.0</v>
      </c>
      <c r="M148" s="216">
        <v>1.0</v>
      </c>
      <c r="N148" s="11">
        <f t="shared" si="5"/>
        <v>100</v>
      </c>
      <c r="O148" s="11" t="s">
        <v>178</v>
      </c>
      <c r="P148" s="93"/>
      <c r="Q148" s="93" t="s">
        <v>518</v>
      </c>
      <c r="R148" s="93" t="s">
        <v>1950</v>
      </c>
      <c r="S148" s="217" t="s">
        <v>663</v>
      </c>
      <c r="T148" s="11" t="str">
        <f t="shared" si="12"/>
        <v/>
      </c>
      <c r="U148" s="78" t="s">
        <v>1688</v>
      </c>
      <c r="V148" s="74"/>
      <c r="W148" s="75"/>
      <c r="X148" s="12"/>
      <c r="Y148" s="11"/>
      <c r="Z148" s="12">
        <v>1.0</v>
      </c>
      <c r="AA148" s="12"/>
      <c r="AB148" s="12"/>
    </row>
    <row r="149" ht="45.0" hidden="1" customHeight="1">
      <c r="A149" s="11">
        <v>151.0</v>
      </c>
      <c r="B149" s="11" t="s">
        <v>173</v>
      </c>
      <c r="C149" s="93" t="s">
        <v>666</v>
      </c>
      <c r="D149" s="11" t="s">
        <v>665</v>
      </c>
      <c r="E149" s="12"/>
      <c r="F149" s="12"/>
      <c r="G149" s="12"/>
      <c r="H149" s="12"/>
      <c r="I149" s="12"/>
      <c r="J149" s="216">
        <v>100.0</v>
      </c>
      <c r="K149" s="215" t="s">
        <v>489</v>
      </c>
      <c r="L149" s="216">
        <v>100.0</v>
      </c>
      <c r="M149" s="216">
        <v>1.0</v>
      </c>
      <c r="N149" s="11">
        <f t="shared" si="5"/>
        <v>100</v>
      </c>
      <c r="O149" s="11" t="s">
        <v>178</v>
      </c>
      <c r="P149" s="93"/>
      <c r="Q149" s="93" t="s">
        <v>518</v>
      </c>
      <c r="R149" s="93" t="s">
        <v>1950</v>
      </c>
      <c r="S149" s="217" t="s">
        <v>667</v>
      </c>
      <c r="T149" s="11" t="str">
        <f t="shared" si="12"/>
        <v/>
      </c>
      <c r="U149" s="78" t="s">
        <v>1688</v>
      </c>
      <c r="V149" s="74"/>
      <c r="W149" s="75"/>
      <c r="X149" s="12"/>
      <c r="Y149" s="11"/>
      <c r="Z149" s="12">
        <v>1.0</v>
      </c>
      <c r="AA149" s="12"/>
      <c r="AB149" s="12"/>
    </row>
    <row r="150" ht="45.0" hidden="1" customHeight="1">
      <c r="A150" s="11">
        <v>152.0</v>
      </c>
      <c r="B150" s="11" t="s">
        <v>173</v>
      </c>
      <c r="C150" s="93" t="s">
        <v>670</v>
      </c>
      <c r="D150" s="11" t="s">
        <v>669</v>
      </c>
      <c r="E150" s="12"/>
      <c r="F150" s="12"/>
      <c r="G150" s="12"/>
      <c r="H150" s="12"/>
      <c r="I150" s="12"/>
      <c r="J150" s="216">
        <v>100.0</v>
      </c>
      <c r="K150" s="215" t="s">
        <v>489</v>
      </c>
      <c r="L150" s="216">
        <v>100.0</v>
      </c>
      <c r="M150" s="216">
        <v>1.0</v>
      </c>
      <c r="N150" s="11">
        <f t="shared" si="5"/>
        <v>100</v>
      </c>
      <c r="O150" s="11" t="s">
        <v>178</v>
      </c>
      <c r="P150" s="93"/>
      <c r="Q150" s="93" t="s">
        <v>518</v>
      </c>
      <c r="R150" s="93" t="s">
        <v>1950</v>
      </c>
      <c r="S150" s="217" t="s">
        <v>671</v>
      </c>
      <c r="T150" s="11" t="str">
        <f t="shared" si="12"/>
        <v/>
      </c>
      <c r="U150" s="78" t="s">
        <v>1688</v>
      </c>
      <c r="V150" s="74"/>
      <c r="W150" s="75"/>
      <c r="X150" s="12"/>
      <c r="Y150" s="11"/>
      <c r="Z150" s="12">
        <v>1.0</v>
      </c>
      <c r="AA150" s="12"/>
      <c r="AB150" s="12"/>
    </row>
    <row r="151" ht="45.0" hidden="1" customHeight="1">
      <c r="A151" s="11">
        <v>153.0</v>
      </c>
      <c r="B151" s="11" t="s">
        <v>173</v>
      </c>
      <c r="C151" s="93" t="s">
        <v>674</v>
      </c>
      <c r="D151" s="11" t="s">
        <v>673</v>
      </c>
      <c r="E151" s="12"/>
      <c r="F151" s="12"/>
      <c r="G151" s="12"/>
      <c r="H151" s="12"/>
      <c r="I151" s="12"/>
      <c r="J151" s="216">
        <v>100.0</v>
      </c>
      <c r="K151" s="215" t="s">
        <v>489</v>
      </c>
      <c r="L151" s="216">
        <v>100.0</v>
      </c>
      <c r="M151" s="216">
        <v>1.0</v>
      </c>
      <c r="N151" s="11">
        <f t="shared" si="5"/>
        <v>100</v>
      </c>
      <c r="O151" s="11" t="s">
        <v>178</v>
      </c>
      <c r="P151" s="93"/>
      <c r="Q151" s="93" t="s">
        <v>518</v>
      </c>
      <c r="R151" s="93" t="s">
        <v>1950</v>
      </c>
      <c r="S151" s="217" t="s">
        <v>675</v>
      </c>
      <c r="T151" s="11" t="str">
        <f t="shared" si="12"/>
        <v/>
      </c>
      <c r="U151" s="78" t="s">
        <v>1688</v>
      </c>
      <c r="V151" s="74"/>
      <c r="W151" s="75"/>
      <c r="X151" s="12"/>
      <c r="Y151" s="11"/>
      <c r="Z151" s="12">
        <v>1.0</v>
      </c>
      <c r="AA151" s="12"/>
      <c r="AB151" s="12"/>
    </row>
    <row r="152" ht="45.0" hidden="1" customHeight="1">
      <c r="A152" s="11">
        <v>154.0</v>
      </c>
      <c r="B152" s="11" t="s">
        <v>173</v>
      </c>
      <c r="C152" s="93" t="s">
        <v>678</v>
      </c>
      <c r="D152" s="11" t="s">
        <v>677</v>
      </c>
      <c r="E152" s="12"/>
      <c r="F152" s="12"/>
      <c r="G152" s="12"/>
      <c r="H152" s="12"/>
      <c r="I152" s="12"/>
      <c r="J152" s="216">
        <v>100.0</v>
      </c>
      <c r="K152" s="215" t="s">
        <v>489</v>
      </c>
      <c r="L152" s="216">
        <v>100.0</v>
      </c>
      <c r="M152" s="216">
        <v>1.0</v>
      </c>
      <c r="N152" s="11">
        <f t="shared" si="5"/>
        <v>100</v>
      </c>
      <c r="O152" s="11" t="s">
        <v>178</v>
      </c>
      <c r="P152" s="93"/>
      <c r="Q152" s="93" t="s">
        <v>518</v>
      </c>
      <c r="R152" s="93" t="s">
        <v>1950</v>
      </c>
      <c r="S152" s="217" t="s">
        <v>679</v>
      </c>
      <c r="T152" s="11" t="str">
        <f t="shared" si="12"/>
        <v/>
      </c>
      <c r="U152" s="78" t="s">
        <v>1688</v>
      </c>
      <c r="V152" s="74"/>
      <c r="W152" s="75"/>
      <c r="X152" s="12"/>
      <c r="Y152" s="11"/>
      <c r="Z152" s="12">
        <v>1.0</v>
      </c>
      <c r="AA152" s="12"/>
      <c r="AB152" s="12"/>
    </row>
    <row r="153" ht="45.0" hidden="1" customHeight="1">
      <c r="A153" s="11">
        <v>155.0</v>
      </c>
      <c r="B153" s="11" t="s">
        <v>173</v>
      </c>
      <c r="C153" s="93" t="s">
        <v>682</v>
      </c>
      <c r="D153" s="11" t="s">
        <v>681</v>
      </c>
      <c r="E153" s="12"/>
      <c r="F153" s="12"/>
      <c r="G153" s="12"/>
      <c r="H153" s="12"/>
      <c r="I153" s="12"/>
      <c r="J153" s="216">
        <v>100.0</v>
      </c>
      <c r="K153" s="215" t="s">
        <v>489</v>
      </c>
      <c r="L153" s="216">
        <v>100.0</v>
      </c>
      <c r="M153" s="216">
        <v>1.0</v>
      </c>
      <c r="N153" s="11">
        <f t="shared" si="5"/>
        <v>100</v>
      </c>
      <c r="O153" s="11" t="s">
        <v>178</v>
      </c>
      <c r="P153" s="93"/>
      <c r="Q153" s="93" t="s">
        <v>518</v>
      </c>
      <c r="R153" s="93" t="s">
        <v>1950</v>
      </c>
      <c r="S153" s="217" t="s">
        <v>683</v>
      </c>
      <c r="T153" s="11" t="str">
        <f t="shared" si="12"/>
        <v/>
      </c>
      <c r="U153" s="78" t="s">
        <v>1688</v>
      </c>
      <c r="V153" s="74"/>
      <c r="W153" s="75"/>
      <c r="X153" s="12"/>
      <c r="Y153" s="11"/>
      <c r="Z153" s="12">
        <v>1.0</v>
      </c>
      <c r="AA153" s="12"/>
      <c r="AB153" s="12"/>
    </row>
    <row r="154" ht="45.0" hidden="1" customHeight="1">
      <c r="A154" s="11">
        <v>156.0</v>
      </c>
      <c r="B154" s="11" t="s">
        <v>173</v>
      </c>
      <c r="C154" s="93" t="s">
        <v>686</v>
      </c>
      <c r="D154" s="11" t="s">
        <v>685</v>
      </c>
      <c r="E154" s="12"/>
      <c r="F154" s="12"/>
      <c r="G154" s="12"/>
      <c r="H154" s="12"/>
      <c r="I154" s="12"/>
      <c r="J154" s="216">
        <v>100.0</v>
      </c>
      <c r="K154" s="215" t="s">
        <v>489</v>
      </c>
      <c r="L154" s="216">
        <v>100.0</v>
      </c>
      <c r="M154" s="216">
        <v>1.0</v>
      </c>
      <c r="N154" s="11">
        <f t="shared" si="5"/>
        <v>100</v>
      </c>
      <c r="O154" s="11" t="s">
        <v>178</v>
      </c>
      <c r="P154" s="93"/>
      <c r="Q154" s="93" t="s">
        <v>518</v>
      </c>
      <c r="R154" s="93" t="s">
        <v>1950</v>
      </c>
      <c r="S154" s="217" t="s">
        <v>687</v>
      </c>
      <c r="T154" s="11" t="str">
        <f t="shared" si="12"/>
        <v/>
      </c>
      <c r="U154" s="78" t="s">
        <v>1688</v>
      </c>
      <c r="V154" s="74"/>
      <c r="W154" s="75"/>
      <c r="X154" s="12"/>
      <c r="Y154" s="11"/>
      <c r="Z154" s="12">
        <v>1.0</v>
      </c>
      <c r="AA154" s="12"/>
      <c r="AB154" s="12"/>
    </row>
    <row r="155" ht="45.0" hidden="1" customHeight="1">
      <c r="A155" s="11">
        <v>157.0</v>
      </c>
      <c r="B155" s="11" t="s">
        <v>173</v>
      </c>
      <c r="C155" s="93" t="s">
        <v>690</v>
      </c>
      <c r="D155" s="11" t="s">
        <v>689</v>
      </c>
      <c r="E155" s="12"/>
      <c r="F155" s="12"/>
      <c r="G155" s="12"/>
      <c r="H155" s="12"/>
      <c r="I155" s="12"/>
      <c r="J155" s="216">
        <v>100.0</v>
      </c>
      <c r="K155" s="215" t="s">
        <v>489</v>
      </c>
      <c r="L155" s="216">
        <v>100.0</v>
      </c>
      <c r="M155" s="216">
        <v>1.0</v>
      </c>
      <c r="N155" s="11">
        <f t="shared" si="5"/>
        <v>100</v>
      </c>
      <c r="O155" s="11" t="s">
        <v>178</v>
      </c>
      <c r="P155" s="93"/>
      <c r="Q155" s="93" t="s">
        <v>518</v>
      </c>
      <c r="R155" s="93" t="s">
        <v>1950</v>
      </c>
      <c r="S155" s="217" t="s">
        <v>691</v>
      </c>
      <c r="T155" s="11" t="str">
        <f t="shared" si="12"/>
        <v/>
      </c>
      <c r="U155" s="78" t="s">
        <v>1688</v>
      </c>
      <c r="V155" s="74"/>
      <c r="W155" s="75"/>
      <c r="X155" s="12"/>
      <c r="Y155" s="11"/>
      <c r="Z155" s="12">
        <v>1.0</v>
      </c>
      <c r="AA155" s="12"/>
      <c r="AB155" s="12"/>
    </row>
    <row r="156" ht="45.0" hidden="1" customHeight="1">
      <c r="A156" s="11">
        <v>158.0</v>
      </c>
      <c r="B156" s="11" t="s">
        <v>173</v>
      </c>
      <c r="C156" s="93" t="s">
        <v>694</v>
      </c>
      <c r="D156" s="11" t="s">
        <v>693</v>
      </c>
      <c r="E156" s="12"/>
      <c r="F156" s="12"/>
      <c r="G156" s="12"/>
      <c r="H156" s="12"/>
      <c r="I156" s="12"/>
      <c r="J156" s="216">
        <v>100.0</v>
      </c>
      <c r="K156" s="215" t="s">
        <v>489</v>
      </c>
      <c r="L156" s="216">
        <v>100.0</v>
      </c>
      <c r="M156" s="216">
        <v>1.0</v>
      </c>
      <c r="N156" s="11">
        <f t="shared" si="5"/>
        <v>100</v>
      </c>
      <c r="O156" s="11" t="s">
        <v>178</v>
      </c>
      <c r="P156" s="93"/>
      <c r="Q156" s="93" t="s">
        <v>518</v>
      </c>
      <c r="R156" s="93" t="s">
        <v>1950</v>
      </c>
      <c r="S156" s="217" t="s">
        <v>695</v>
      </c>
      <c r="T156" s="11" t="str">
        <f t="shared" si="12"/>
        <v/>
      </c>
      <c r="U156" s="78" t="s">
        <v>1688</v>
      </c>
      <c r="V156" s="74"/>
      <c r="W156" s="75"/>
      <c r="X156" s="12"/>
      <c r="Y156" s="11"/>
      <c r="Z156" s="12">
        <v>1.0</v>
      </c>
      <c r="AA156" s="12"/>
      <c r="AB156" s="12"/>
    </row>
    <row r="157" ht="45.0" hidden="1" customHeight="1">
      <c r="A157" s="11">
        <v>159.0</v>
      </c>
      <c r="B157" s="11" t="s">
        <v>173</v>
      </c>
      <c r="C157" s="93" t="s">
        <v>698</v>
      </c>
      <c r="D157" s="11" t="s">
        <v>697</v>
      </c>
      <c r="E157" s="12"/>
      <c r="F157" s="12"/>
      <c r="G157" s="12"/>
      <c r="H157" s="12"/>
      <c r="I157" s="12"/>
      <c r="J157" s="216">
        <v>100.0</v>
      </c>
      <c r="K157" s="215" t="s">
        <v>489</v>
      </c>
      <c r="L157" s="216">
        <v>100.0</v>
      </c>
      <c r="M157" s="216">
        <v>1.0</v>
      </c>
      <c r="N157" s="11">
        <f t="shared" si="5"/>
        <v>100</v>
      </c>
      <c r="O157" s="11" t="s">
        <v>178</v>
      </c>
      <c r="P157" s="93"/>
      <c r="Q157" s="93" t="s">
        <v>518</v>
      </c>
      <c r="R157" s="93" t="s">
        <v>1950</v>
      </c>
      <c r="S157" s="217" t="s">
        <v>699</v>
      </c>
      <c r="T157" s="11" t="str">
        <f t="shared" si="12"/>
        <v/>
      </c>
      <c r="U157" s="78" t="s">
        <v>1688</v>
      </c>
      <c r="V157" s="74"/>
      <c r="W157" s="75"/>
      <c r="X157" s="5"/>
      <c r="Y157" s="14"/>
      <c r="Z157" s="12">
        <v>1.0</v>
      </c>
      <c r="AA157" s="12"/>
      <c r="AB157" s="12"/>
    </row>
    <row r="158" ht="45.0" hidden="1" customHeight="1">
      <c r="A158" s="11">
        <v>160.0</v>
      </c>
      <c r="B158" s="11" t="s">
        <v>173</v>
      </c>
      <c r="C158" s="93" t="s">
        <v>702</v>
      </c>
      <c r="D158" s="11" t="s">
        <v>701</v>
      </c>
      <c r="E158" s="12"/>
      <c r="F158" s="12"/>
      <c r="G158" s="12"/>
      <c r="H158" s="12"/>
      <c r="I158" s="12"/>
      <c r="J158" s="216">
        <v>100.0</v>
      </c>
      <c r="K158" s="215" t="s">
        <v>489</v>
      </c>
      <c r="L158" s="216">
        <v>100.0</v>
      </c>
      <c r="M158" s="216">
        <v>1.0</v>
      </c>
      <c r="N158" s="11">
        <f t="shared" si="5"/>
        <v>100</v>
      </c>
      <c r="O158" s="11" t="s">
        <v>178</v>
      </c>
      <c r="P158" s="93"/>
      <c r="Q158" s="93" t="s">
        <v>518</v>
      </c>
      <c r="R158" s="93" t="s">
        <v>1950</v>
      </c>
      <c r="S158" s="217" t="s">
        <v>703</v>
      </c>
      <c r="T158" s="11" t="str">
        <f t="shared" si="12"/>
        <v/>
      </c>
      <c r="U158" s="78" t="s">
        <v>1688</v>
      </c>
      <c r="V158" s="74"/>
      <c r="W158" s="75"/>
      <c r="X158" s="12"/>
      <c r="Y158" s="11"/>
      <c r="Z158" s="12">
        <v>1.0</v>
      </c>
      <c r="AA158" s="12"/>
      <c r="AB158" s="12"/>
    </row>
    <row r="159" ht="45.0" hidden="1" customHeight="1">
      <c r="A159" s="11">
        <v>161.0</v>
      </c>
      <c r="B159" s="11" t="s">
        <v>173</v>
      </c>
      <c r="C159" s="93" t="s">
        <v>706</v>
      </c>
      <c r="D159" s="11" t="s">
        <v>705</v>
      </c>
      <c r="E159" s="12"/>
      <c r="F159" s="12"/>
      <c r="G159" s="12"/>
      <c r="H159" s="12"/>
      <c r="I159" s="12"/>
      <c r="J159" s="216">
        <v>100.0</v>
      </c>
      <c r="K159" s="215" t="s">
        <v>489</v>
      </c>
      <c r="L159" s="216">
        <v>100.0</v>
      </c>
      <c r="M159" s="216">
        <v>1.0</v>
      </c>
      <c r="N159" s="11">
        <f t="shared" si="5"/>
        <v>100</v>
      </c>
      <c r="O159" s="11" t="s">
        <v>178</v>
      </c>
      <c r="P159" s="93"/>
      <c r="Q159" s="93" t="s">
        <v>518</v>
      </c>
      <c r="R159" s="93" t="s">
        <v>1950</v>
      </c>
      <c r="S159" s="217" t="s">
        <v>707</v>
      </c>
      <c r="T159" s="11" t="str">
        <f t="shared" si="12"/>
        <v/>
      </c>
      <c r="U159" s="78" t="s">
        <v>1688</v>
      </c>
      <c r="V159" s="74"/>
      <c r="W159" s="75"/>
      <c r="X159" s="12"/>
      <c r="Y159" s="11"/>
      <c r="Z159" s="12">
        <v>1.0</v>
      </c>
      <c r="AA159" s="12"/>
      <c r="AB159" s="12"/>
    </row>
    <row r="160" ht="45.0" hidden="1" customHeight="1">
      <c r="A160" s="11">
        <v>162.0</v>
      </c>
      <c r="B160" s="11" t="s">
        <v>173</v>
      </c>
      <c r="C160" s="93" t="s">
        <v>710</v>
      </c>
      <c r="D160" s="11" t="s">
        <v>709</v>
      </c>
      <c r="E160" s="12"/>
      <c r="F160" s="12"/>
      <c r="G160" s="12"/>
      <c r="H160" s="12"/>
      <c r="I160" s="12"/>
      <c r="J160" s="216">
        <v>100.0</v>
      </c>
      <c r="K160" s="215" t="s">
        <v>489</v>
      </c>
      <c r="L160" s="216">
        <v>100.0</v>
      </c>
      <c r="M160" s="216">
        <v>1.0</v>
      </c>
      <c r="N160" s="11">
        <f t="shared" si="5"/>
        <v>100</v>
      </c>
      <c r="O160" s="11" t="s">
        <v>178</v>
      </c>
      <c r="P160" s="93"/>
      <c r="Q160" s="93" t="s">
        <v>518</v>
      </c>
      <c r="R160" s="93" t="s">
        <v>1950</v>
      </c>
      <c r="S160" s="217" t="s">
        <v>711</v>
      </c>
      <c r="T160" s="11" t="str">
        <f t="shared" si="12"/>
        <v/>
      </c>
      <c r="U160" s="78" t="s">
        <v>1688</v>
      </c>
      <c r="V160" s="74"/>
      <c r="W160" s="75"/>
      <c r="X160" s="12"/>
      <c r="Y160" s="11"/>
      <c r="Z160" s="12">
        <v>1.0</v>
      </c>
      <c r="AA160" s="12"/>
      <c r="AB160" s="12"/>
    </row>
    <row r="161" ht="45.0" hidden="1" customHeight="1">
      <c r="A161" s="11">
        <v>163.0</v>
      </c>
      <c r="B161" s="11" t="s">
        <v>173</v>
      </c>
      <c r="C161" s="93" t="s">
        <v>714</v>
      </c>
      <c r="D161" s="11" t="s">
        <v>713</v>
      </c>
      <c r="E161" s="12"/>
      <c r="F161" s="12"/>
      <c r="G161" s="12"/>
      <c r="H161" s="12"/>
      <c r="I161" s="12"/>
      <c r="J161" s="216">
        <v>100.0</v>
      </c>
      <c r="K161" s="215" t="s">
        <v>489</v>
      </c>
      <c r="L161" s="216">
        <v>100.0</v>
      </c>
      <c r="M161" s="216">
        <v>1.0</v>
      </c>
      <c r="N161" s="11">
        <f t="shared" si="5"/>
        <v>100</v>
      </c>
      <c r="O161" s="11" t="s">
        <v>178</v>
      </c>
      <c r="P161" s="93"/>
      <c r="Q161" s="93" t="s">
        <v>518</v>
      </c>
      <c r="R161" s="93" t="s">
        <v>1950</v>
      </c>
      <c r="S161" s="217" t="s">
        <v>715</v>
      </c>
      <c r="T161" s="11" t="str">
        <f t="shared" si="12"/>
        <v/>
      </c>
      <c r="U161" s="78" t="s">
        <v>1688</v>
      </c>
      <c r="V161" s="74"/>
      <c r="W161" s="75"/>
      <c r="X161" s="12"/>
      <c r="Y161" s="11"/>
      <c r="Z161" s="12">
        <v>1.0</v>
      </c>
      <c r="AA161" s="12"/>
      <c r="AB161" s="12"/>
    </row>
    <row r="162" ht="45.0" hidden="1" customHeight="1">
      <c r="A162" s="11">
        <v>164.0</v>
      </c>
      <c r="B162" s="11" t="s">
        <v>173</v>
      </c>
      <c r="C162" s="93" t="s">
        <v>718</v>
      </c>
      <c r="D162" s="11" t="s">
        <v>717</v>
      </c>
      <c r="E162" s="12"/>
      <c r="F162" s="12"/>
      <c r="G162" s="12"/>
      <c r="H162" s="12"/>
      <c r="I162" s="12"/>
      <c r="J162" s="216">
        <v>100.0</v>
      </c>
      <c r="K162" s="215" t="s">
        <v>489</v>
      </c>
      <c r="L162" s="216">
        <v>100.0</v>
      </c>
      <c r="M162" s="216">
        <v>1.0</v>
      </c>
      <c r="N162" s="11">
        <f t="shared" si="5"/>
        <v>100</v>
      </c>
      <c r="O162" s="11" t="s">
        <v>178</v>
      </c>
      <c r="P162" s="93"/>
      <c r="Q162" s="93" t="s">
        <v>518</v>
      </c>
      <c r="R162" s="93" t="s">
        <v>1950</v>
      </c>
      <c r="S162" s="217" t="s">
        <v>719</v>
      </c>
      <c r="T162" s="11" t="str">
        <f t="shared" si="12"/>
        <v/>
      </c>
      <c r="U162" s="78" t="s">
        <v>1688</v>
      </c>
      <c r="V162" s="74"/>
      <c r="W162" s="75"/>
      <c r="X162" s="12"/>
      <c r="Y162" s="11"/>
      <c r="Z162" s="12">
        <v>1.0</v>
      </c>
      <c r="AA162" s="12"/>
      <c r="AB162" s="12"/>
    </row>
    <row r="163" ht="45.0" hidden="1" customHeight="1">
      <c r="A163" s="11">
        <v>165.0</v>
      </c>
      <c r="B163" s="11" t="s">
        <v>173</v>
      </c>
      <c r="C163" s="93" t="s">
        <v>722</v>
      </c>
      <c r="D163" s="11" t="s">
        <v>721</v>
      </c>
      <c r="E163" s="12"/>
      <c r="F163" s="12"/>
      <c r="G163" s="12"/>
      <c r="H163" s="12"/>
      <c r="I163" s="12"/>
      <c r="J163" s="216">
        <v>100.0</v>
      </c>
      <c r="K163" s="215" t="s">
        <v>489</v>
      </c>
      <c r="L163" s="216">
        <v>100.0</v>
      </c>
      <c r="M163" s="216">
        <v>1.0</v>
      </c>
      <c r="N163" s="11">
        <f t="shared" si="5"/>
        <v>100</v>
      </c>
      <c r="O163" s="11" t="s">
        <v>178</v>
      </c>
      <c r="P163" s="93"/>
      <c r="Q163" s="93" t="s">
        <v>518</v>
      </c>
      <c r="R163" s="93" t="s">
        <v>1950</v>
      </c>
      <c r="S163" s="217" t="s">
        <v>723</v>
      </c>
      <c r="T163" s="11" t="str">
        <f t="shared" si="12"/>
        <v/>
      </c>
      <c r="U163" s="78" t="s">
        <v>1688</v>
      </c>
      <c r="V163" s="74"/>
      <c r="W163" s="75"/>
      <c r="X163" s="12"/>
      <c r="Y163" s="11"/>
      <c r="Z163" s="12">
        <v>1.0</v>
      </c>
      <c r="AA163" s="12"/>
      <c r="AB163" s="12"/>
    </row>
    <row r="164" ht="45.0" hidden="1" customHeight="1">
      <c r="A164" s="11">
        <v>166.0</v>
      </c>
      <c r="B164" s="11" t="s">
        <v>173</v>
      </c>
      <c r="C164" s="93" t="s">
        <v>726</v>
      </c>
      <c r="D164" s="11" t="s">
        <v>725</v>
      </c>
      <c r="E164" s="12"/>
      <c r="F164" s="12"/>
      <c r="G164" s="12"/>
      <c r="H164" s="12"/>
      <c r="I164" s="12"/>
      <c r="J164" s="216">
        <v>100.0</v>
      </c>
      <c r="K164" s="215" t="s">
        <v>489</v>
      </c>
      <c r="L164" s="216">
        <v>100.0</v>
      </c>
      <c r="M164" s="216">
        <v>1.0</v>
      </c>
      <c r="N164" s="11">
        <f t="shared" si="5"/>
        <v>100</v>
      </c>
      <c r="O164" s="11" t="s">
        <v>178</v>
      </c>
      <c r="P164" s="93"/>
      <c r="Q164" s="93" t="s">
        <v>518</v>
      </c>
      <c r="R164" s="93" t="s">
        <v>1950</v>
      </c>
      <c r="S164" s="217" t="s">
        <v>727</v>
      </c>
      <c r="T164" s="11" t="str">
        <f t="shared" si="12"/>
        <v/>
      </c>
      <c r="U164" s="78" t="s">
        <v>1688</v>
      </c>
      <c r="V164" s="74"/>
      <c r="W164" s="75"/>
      <c r="X164" s="12"/>
      <c r="Y164" s="11"/>
      <c r="Z164" s="12">
        <v>1.0</v>
      </c>
      <c r="AA164" s="12"/>
      <c r="AB164" s="12"/>
    </row>
    <row r="165" ht="45.0" hidden="1" customHeight="1">
      <c r="A165" s="11">
        <v>167.0</v>
      </c>
      <c r="B165" s="11" t="s">
        <v>173</v>
      </c>
      <c r="C165" s="93" t="s">
        <v>730</v>
      </c>
      <c r="D165" s="11" t="s">
        <v>729</v>
      </c>
      <c r="E165" s="12"/>
      <c r="F165" s="12"/>
      <c r="G165" s="12"/>
      <c r="H165" s="12"/>
      <c r="I165" s="12"/>
      <c r="J165" s="216">
        <v>100.0</v>
      </c>
      <c r="K165" s="215" t="s">
        <v>489</v>
      </c>
      <c r="L165" s="216">
        <v>100.0</v>
      </c>
      <c r="M165" s="216">
        <v>1.0</v>
      </c>
      <c r="N165" s="11">
        <f t="shared" si="5"/>
        <v>100</v>
      </c>
      <c r="O165" s="11" t="s">
        <v>178</v>
      </c>
      <c r="P165" s="93"/>
      <c r="Q165" s="93" t="s">
        <v>518</v>
      </c>
      <c r="R165" s="93" t="s">
        <v>1950</v>
      </c>
      <c r="S165" s="217" t="s">
        <v>731</v>
      </c>
      <c r="T165" s="11" t="str">
        <f t="shared" si="12"/>
        <v/>
      </c>
      <c r="U165" s="78" t="s">
        <v>1688</v>
      </c>
      <c r="V165" s="74"/>
      <c r="W165" s="75"/>
      <c r="X165" s="12"/>
      <c r="Y165" s="11"/>
      <c r="Z165" s="12">
        <v>1.0</v>
      </c>
      <c r="AA165" s="12"/>
      <c r="AB165" s="12"/>
    </row>
    <row r="166" ht="45.0" hidden="1" customHeight="1">
      <c r="A166" s="11">
        <v>168.0</v>
      </c>
      <c r="B166" s="11" t="s">
        <v>173</v>
      </c>
      <c r="C166" s="93" t="s">
        <v>734</v>
      </c>
      <c r="D166" s="11" t="s">
        <v>733</v>
      </c>
      <c r="E166" s="12"/>
      <c r="F166" s="12"/>
      <c r="G166" s="12"/>
      <c r="H166" s="12"/>
      <c r="I166" s="12"/>
      <c r="J166" s="216">
        <v>100.0</v>
      </c>
      <c r="K166" s="215" t="s">
        <v>489</v>
      </c>
      <c r="L166" s="216">
        <v>100.0</v>
      </c>
      <c r="M166" s="216">
        <v>1.0</v>
      </c>
      <c r="N166" s="11">
        <f t="shared" si="5"/>
        <v>100</v>
      </c>
      <c r="O166" s="11" t="s">
        <v>178</v>
      </c>
      <c r="P166" s="93"/>
      <c r="Q166" s="93" t="s">
        <v>518</v>
      </c>
      <c r="R166" s="93" t="s">
        <v>1950</v>
      </c>
      <c r="S166" s="217" t="s">
        <v>735</v>
      </c>
      <c r="T166" s="11" t="str">
        <f t="shared" si="12"/>
        <v/>
      </c>
      <c r="U166" s="78" t="s">
        <v>1688</v>
      </c>
      <c r="V166" s="74"/>
      <c r="W166" s="75"/>
      <c r="X166" s="5"/>
      <c r="Y166" s="14"/>
      <c r="Z166" s="12">
        <v>1.0</v>
      </c>
      <c r="AA166" s="12"/>
      <c r="AB166" s="12"/>
    </row>
    <row r="167" ht="45.0" hidden="1" customHeight="1">
      <c r="A167" s="11">
        <v>169.0</v>
      </c>
      <c r="B167" s="11" t="s">
        <v>173</v>
      </c>
      <c r="C167" s="93" t="s">
        <v>738</v>
      </c>
      <c r="D167" s="11" t="s">
        <v>737</v>
      </c>
      <c r="E167" s="12"/>
      <c r="F167" s="12"/>
      <c r="G167" s="12"/>
      <c r="H167" s="12"/>
      <c r="I167" s="12"/>
      <c r="J167" s="216">
        <v>100.0</v>
      </c>
      <c r="K167" s="215" t="s">
        <v>489</v>
      </c>
      <c r="L167" s="216">
        <v>100.0</v>
      </c>
      <c r="M167" s="216">
        <v>1.0</v>
      </c>
      <c r="N167" s="11">
        <f t="shared" si="5"/>
        <v>100</v>
      </c>
      <c r="O167" s="11" t="s">
        <v>178</v>
      </c>
      <c r="P167" s="93"/>
      <c r="Q167" s="93" t="s">
        <v>518</v>
      </c>
      <c r="R167" s="93" t="s">
        <v>1950</v>
      </c>
      <c r="S167" s="217" t="s">
        <v>739</v>
      </c>
      <c r="T167" s="11" t="str">
        <f t="shared" si="12"/>
        <v/>
      </c>
      <c r="U167" s="78" t="s">
        <v>1688</v>
      </c>
      <c r="V167" s="74"/>
      <c r="W167" s="75"/>
      <c r="X167" s="12"/>
      <c r="Y167" s="11"/>
      <c r="Z167" s="12">
        <v>1.0</v>
      </c>
      <c r="AA167" s="12"/>
      <c r="AB167" s="12"/>
    </row>
    <row r="168" ht="45.0" hidden="1" customHeight="1">
      <c r="A168" s="11">
        <v>170.0</v>
      </c>
      <c r="B168" s="11" t="s">
        <v>173</v>
      </c>
      <c r="C168" s="93" t="s">
        <v>742</v>
      </c>
      <c r="D168" s="11" t="s">
        <v>741</v>
      </c>
      <c r="E168" s="12"/>
      <c r="F168" s="12"/>
      <c r="G168" s="12"/>
      <c r="H168" s="12"/>
      <c r="I168" s="12"/>
      <c r="J168" s="216">
        <v>100.0</v>
      </c>
      <c r="K168" s="215" t="s">
        <v>489</v>
      </c>
      <c r="L168" s="216">
        <v>100.0</v>
      </c>
      <c r="M168" s="216">
        <v>1.0</v>
      </c>
      <c r="N168" s="11">
        <f t="shared" si="5"/>
        <v>100</v>
      </c>
      <c r="O168" s="11" t="s">
        <v>178</v>
      </c>
      <c r="P168" s="93"/>
      <c r="Q168" s="93" t="s">
        <v>518</v>
      </c>
      <c r="R168" s="93" t="s">
        <v>1950</v>
      </c>
      <c r="S168" s="217" t="s">
        <v>743</v>
      </c>
      <c r="T168" s="11" t="str">
        <f t="shared" si="12"/>
        <v/>
      </c>
      <c r="U168" s="78" t="s">
        <v>1688</v>
      </c>
      <c r="V168" s="74"/>
      <c r="W168" s="75"/>
      <c r="X168" s="12"/>
      <c r="Y168" s="11"/>
      <c r="Z168" s="12">
        <v>1.0</v>
      </c>
      <c r="AA168" s="12"/>
      <c r="AB168" s="12"/>
    </row>
    <row r="169" ht="45.0" hidden="1" customHeight="1">
      <c r="A169" s="11">
        <v>171.0</v>
      </c>
      <c r="B169" s="11" t="s">
        <v>173</v>
      </c>
      <c r="C169" s="93" t="s">
        <v>746</v>
      </c>
      <c r="D169" s="11" t="s">
        <v>745</v>
      </c>
      <c r="E169" s="12"/>
      <c r="F169" s="12"/>
      <c r="G169" s="12"/>
      <c r="H169" s="12"/>
      <c r="I169" s="12"/>
      <c r="J169" s="216">
        <v>100.0</v>
      </c>
      <c r="K169" s="215" t="s">
        <v>489</v>
      </c>
      <c r="L169" s="216">
        <v>100.0</v>
      </c>
      <c r="M169" s="216">
        <v>1.0</v>
      </c>
      <c r="N169" s="11">
        <f t="shared" si="5"/>
        <v>100</v>
      </c>
      <c r="O169" s="11" t="s">
        <v>178</v>
      </c>
      <c r="P169" s="93"/>
      <c r="Q169" s="93" t="s">
        <v>518</v>
      </c>
      <c r="R169" s="93" t="s">
        <v>1950</v>
      </c>
      <c r="S169" s="217" t="s">
        <v>747</v>
      </c>
      <c r="T169" s="11" t="str">
        <f t="shared" si="12"/>
        <v/>
      </c>
      <c r="U169" s="78" t="s">
        <v>1688</v>
      </c>
      <c r="V169" s="74"/>
      <c r="W169" s="75"/>
      <c r="X169" s="12"/>
      <c r="Y169" s="11"/>
      <c r="Z169" s="12">
        <v>1.0</v>
      </c>
      <c r="AA169" s="12"/>
      <c r="AB169" s="12"/>
    </row>
    <row r="170" ht="45.0" hidden="1" customHeight="1">
      <c r="A170" s="11">
        <v>172.0</v>
      </c>
      <c r="B170" s="11" t="s">
        <v>173</v>
      </c>
      <c r="C170" s="93" t="s">
        <v>750</v>
      </c>
      <c r="D170" s="11" t="s">
        <v>749</v>
      </c>
      <c r="E170" s="12"/>
      <c r="F170" s="12"/>
      <c r="G170" s="12"/>
      <c r="H170" s="12"/>
      <c r="I170" s="12"/>
      <c r="J170" s="216">
        <v>100.0</v>
      </c>
      <c r="K170" s="215" t="s">
        <v>489</v>
      </c>
      <c r="L170" s="216">
        <v>100.0</v>
      </c>
      <c r="M170" s="216">
        <v>1.0</v>
      </c>
      <c r="N170" s="11">
        <f t="shared" si="5"/>
        <v>100</v>
      </c>
      <c r="O170" s="11" t="s">
        <v>178</v>
      </c>
      <c r="P170" s="93"/>
      <c r="Q170" s="93" t="s">
        <v>518</v>
      </c>
      <c r="R170" s="93" t="s">
        <v>1950</v>
      </c>
      <c r="S170" s="217" t="s">
        <v>751</v>
      </c>
      <c r="T170" s="11" t="str">
        <f t="shared" si="12"/>
        <v/>
      </c>
      <c r="U170" s="78" t="s">
        <v>1688</v>
      </c>
      <c r="V170" s="74"/>
      <c r="W170" s="75"/>
      <c r="X170" s="12"/>
      <c r="Y170" s="11"/>
      <c r="Z170" s="12">
        <v>1.0</v>
      </c>
      <c r="AA170" s="12"/>
      <c r="AB170" s="12"/>
    </row>
    <row r="171" ht="45.0" hidden="1" customHeight="1">
      <c r="A171" s="11">
        <v>173.0</v>
      </c>
      <c r="B171" s="11" t="s">
        <v>173</v>
      </c>
      <c r="C171" s="93" t="s">
        <v>754</v>
      </c>
      <c r="D171" s="11" t="s">
        <v>753</v>
      </c>
      <c r="E171" s="12"/>
      <c r="F171" s="12"/>
      <c r="G171" s="12"/>
      <c r="H171" s="12"/>
      <c r="I171" s="12"/>
      <c r="J171" s="216">
        <v>100.0</v>
      </c>
      <c r="K171" s="215" t="s">
        <v>489</v>
      </c>
      <c r="L171" s="216">
        <v>100.0</v>
      </c>
      <c r="M171" s="216">
        <v>1.0</v>
      </c>
      <c r="N171" s="11">
        <f t="shared" si="5"/>
        <v>100</v>
      </c>
      <c r="O171" s="11" t="s">
        <v>178</v>
      </c>
      <c r="P171" s="93"/>
      <c r="Q171" s="93" t="s">
        <v>518</v>
      </c>
      <c r="R171" s="93" t="s">
        <v>1950</v>
      </c>
      <c r="S171" s="217" t="s">
        <v>755</v>
      </c>
      <c r="T171" s="11" t="str">
        <f t="shared" si="12"/>
        <v/>
      </c>
      <c r="U171" s="78" t="s">
        <v>1688</v>
      </c>
      <c r="V171" s="74"/>
      <c r="W171" s="75"/>
      <c r="X171" s="12"/>
      <c r="Y171" s="11"/>
      <c r="Z171" s="12">
        <v>1.0</v>
      </c>
      <c r="AA171" s="12"/>
      <c r="AB171" s="12"/>
    </row>
    <row r="172" ht="45.0" hidden="1" customHeight="1">
      <c r="A172" s="11">
        <v>174.0</v>
      </c>
      <c r="B172" s="11" t="s">
        <v>173</v>
      </c>
      <c r="C172" s="93" t="s">
        <v>758</v>
      </c>
      <c r="D172" s="11" t="s">
        <v>757</v>
      </c>
      <c r="E172" s="12"/>
      <c r="F172" s="12"/>
      <c r="G172" s="12"/>
      <c r="H172" s="12"/>
      <c r="I172" s="12"/>
      <c r="J172" s="216">
        <v>100.0</v>
      </c>
      <c r="K172" s="215" t="s">
        <v>489</v>
      </c>
      <c r="L172" s="216">
        <v>100.0</v>
      </c>
      <c r="M172" s="216">
        <v>1.0</v>
      </c>
      <c r="N172" s="11">
        <f t="shared" si="5"/>
        <v>100</v>
      </c>
      <c r="O172" s="11" t="s">
        <v>178</v>
      </c>
      <c r="P172" s="93"/>
      <c r="Q172" s="93" t="s">
        <v>518</v>
      </c>
      <c r="R172" s="93" t="s">
        <v>1950</v>
      </c>
      <c r="S172" s="217" t="s">
        <v>759</v>
      </c>
      <c r="T172" s="11" t="str">
        <f t="shared" si="12"/>
        <v/>
      </c>
      <c r="U172" s="78" t="s">
        <v>1688</v>
      </c>
      <c r="V172" s="74"/>
      <c r="W172" s="75"/>
      <c r="X172" s="12"/>
      <c r="Y172" s="11"/>
      <c r="Z172" s="12">
        <v>1.0</v>
      </c>
      <c r="AA172" s="12"/>
      <c r="AB172" s="12"/>
    </row>
    <row r="173" ht="45.0" hidden="1" customHeight="1">
      <c r="A173" s="11">
        <v>175.0</v>
      </c>
      <c r="B173" s="11" t="s">
        <v>173</v>
      </c>
      <c r="C173" s="93" t="s">
        <v>762</v>
      </c>
      <c r="D173" s="11" t="s">
        <v>761</v>
      </c>
      <c r="E173" s="12"/>
      <c r="F173" s="12"/>
      <c r="G173" s="12"/>
      <c r="H173" s="12"/>
      <c r="I173" s="12"/>
      <c r="J173" s="216">
        <v>100.0</v>
      </c>
      <c r="K173" s="215" t="s">
        <v>489</v>
      </c>
      <c r="L173" s="216">
        <v>100.0</v>
      </c>
      <c r="M173" s="216">
        <v>1.0</v>
      </c>
      <c r="N173" s="11">
        <f t="shared" si="5"/>
        <v>100</v>
      </c>
      <c r="O173" s="11" t="s">
        <v>178</v>
      </c>
      <c r="P173" s="93"/>
      <c r="Q173" s="93" t="s">
        <v>518</v>
      </c>
      <c r="R173" s="93" t="s">
        <v>1950</v>
      </c>
      <c r="S173" s="217" t="s">
        <v>763</v>
      </c>
      <c r="T173" s="11" t="str">
        <f t="shared" si="12"/>
        <v/>
      </c>
      <c r="U173" s="78" t="s">
        <v>1688</v>
      </c>
      <c r="V173" s="74"/>
      <c r="W173" s="75"/>
      <c r="X173" s="12"/>
      <c r="Y173" s="11"/>
      <c r="Z173" s="12">
        <v>1.0</v>
      </c>
      <c r="AA173" s="12"/>
      <c r="AB173" s="12"/>
    </row>
    <row r="174" ht="45.0" hidden="1" customHeight="1">
      <c r="A174" s="11">
        <v>176.0</v>
      </c>
      <c r="B174" s="11" t="s">
        <v>173</v>
      </c>
      <c r="C174" s="93" t="s">
        <v>766</v>
      </c>
      <c r="D174" s="11" t="s">
        <v>765</v>
      </c>
      <c r="E174" s="12"/>
      <c r="F174" s="12"/>
      <c r="G174" s="12"/>
      <c r="H174" s="12"/>
      <c r="I174" s="12"/>
      <c r="J174" s="216">
        <v>100.0</v>
      </c>
      <c r="K174" s="215" t="s">
        <v>489</v>
      </c>
      <c r="L174" s="216">
        <v>100.0</v>
      </c>
      <c r="M174" s="216">
        <v>1.0</v>
      </c>
      <c r="N174" s="11">
        <f t="shared" si="5"/>
        <v>100</v>
      </c>
      <c r="O174" s="11" t="s">
        <v>178</v>
      </c>
      <c r="P174" s="93"/>
      <c r="Q174" s="93" t="s">
        <v>518</v>
      </c>
      <c r="R174" s="93" t="s">
        <v>1950</v>
      </c>
      <c r="S174" s="217" t="s">
        <v>767</v>
      </c>
      <c r="T174" s="11" t="str">
        <f t="shared" si="12"/>
        <v/>
      </c>
      <c r="U174" s="78" t="s">
        <v>1688</v>
      </c>
      <c r="V174" s="74"/>
      <c r="W174" s="75"/>
      <c r="X174" s="12"/>
      <c r="Y174" s="11"/>
      <c r="Z174" s="12">
        <v>1.0</v>
      </c>
      <c r="AA174" s="12"/>
      <c r="AB174" s="12"/>
    </row>
    <row r="175" ht="45.0" hidden="1" customHeight="1">
      <c r="A175" s="11">
        <v>177.0</v>
      </c>
      <c r="B175" s="11" t="s">
        <v>173</v>
      </c>
      <c r="C175" s="93" t="s">
        <v>770</v>
      </c>
      <c r="D175" s="11" t="s">
        <v>769</v>
      </c>
      <c r="E175" s="12"/>
      <c r="F175" s="12"/>
      <c r="G175" s="12"/>
      <c r="H175" s="12"/>
      <c r="I175" s="12"/>
      <c r="J175" s="216">
        <v>100.0</v>
      </c>
      <c r="K175" s="215" t="s">
        <v>489</v>
      </c>
      <c r="L175" s="216">
        <v>100.0</v>
      </c>
      <c r="M175" s="216">
        <v>1.0</v>
      </c>
      <c r="N175" s="11">
        <f t="shared" si="5"/>
        <v>100</v>
      </c>
      <c r="O175" s="11" t="s">
        <v>178</v>
      </c>
      <c r="P175" s="93"/>
      <c r="Q175" s="93" t="s">
        <v>518</v>
      </c>
      <c r="R175" s="93" t="s">
        <v>1950</v>
      </c>
      <c r="S175" s="217" t="s">
        <v>771</v>
      </c>
      <c r="T175" s="11" t="str">
        <f t="shared" si="12"/>
        <v/>
      </c>
      <c r="U175" s="78" t="s">
        <v>1688</v>
      </c>
      <c r="V175" s="74"/>
      <c r="W175" s="75"/>
      <c r="X175" s="12"/>
      <c r="Y175" s="11"/>
      <c r="Z175" s="12">
        <v>1.0</v>
      </c>
      <c r="AA175" s="12"/>
      <c r="AB175" s="12"/>
    </row>
    <row r="176" ht="45.0" hidden="1" customHeight="1">
      <c r="A176" s="11">
        <v>178.0</v>
      </c>
      <c r="B176" s="11" t="s">
        <v>173</v>
      </c>
      <c r="C176" s="93" t="s">
        <v>774</v>
      </c>
      <c r="D176" s="11" t="s">
        <v>773</v>
      </c>
      <c r="E176" s="12"/>
      <c r="F176" s="12"/>
      <c r="G176" s="12"/>
      <c r="H176" s="12"/>
      <c r="I176" s="12"/>
      <c r="J176" s="216">
        <v>100.0</v>
      </c>
      <c r="K176" s="215" t="s">
        <v>489</v>
      </c>
      <c r="L176" s="216">
        <v>100.0</v>
      </c>
      <c r="M176" s="216">
        <v>1.0</v>
      </c>
      <c r="N176" s="11">
        <f t="shared" si="5"/>
        <v>100</v>
      </c>
      <c r="O176" s="11" t="s">
        <v>178</v>
      </c>
      <c r="P176" s="93"/>
      <c r="Q176" s="93" t="s">
        <v>518</v>
      </c>
      <c r="R176" s="93" t="s">
        <v>1950</v>
      </c>
      <c r="S176" s="217" t="s">
        <v>775</v>
      </c>
      <c r="T176" s="11" t="str">
        <f t="shared" si="12"/>
        <v/>
      </c>
      <c r="U176" s="78" t="s">
        <v>1688</v>
      </c>
      <c r="V176" s="74"/>
      <c r="W176" s="75"/>
      <c r="X176" s="12"/>
      <c r="Y176" s="11"/>
      <c r="Z176" s="12">
        <v>1.0</v>
      </c>
      <c r="AA176" s="12"/>
      <c r="AB176" s="12"/>
    </row>
    <row r="177" ht="45.0" hidden="1" customHeight="1">
      <c r="A177" s="11">
        <v>179.0</v>
      </c>
      <c r="B177" s="11" t="s">
        <v>173</v>
      </c>
      <c r="C177" s="93" t="s">
        <v>778</v>
      </c>
      <c r="D177" s="11" t="s">
        <v>777</v>
      </c>
      <c r="E177" s="12"/>
      <c r="F177" s="12"/>
      <c r="G177" s="12"/>
      <c r="H177" s="12"/>
      <c r="I177" s="12"/>
      <c r="J177" s="216">
        <v>100.0</v>
      </c>
      <c r="K177" s="215" t="s">
        <v>489</v>
      </c>
      <c r="L177" s="216">
        <v>100.0</v>
      </c>
      <c r="M177" s="216">
        <v>1.0</v>
      </c>
      <c r="N177" s="11">
        <f t="shared" si="5"/>
        <v>100</v>
      </c>
      <c r="O177" s="11" t="s">
        <v>178</v>
      </c>
      <c r="P177" s="93"/>
      <c r="Q177" s="93" t="s">
        <v>518</v>
      </c>
      <c r="R177" s="93" t="s">
        <v>1950</v>
      </c>
      <c r="S177" s="217" t="s">
        <v>779</v>
      </c>
      <c r="T177" s="11" t="str">
        <f t="shared" si="12"/>
        <v/>
      </c>
      <c r="U177" s="78" t="s">
        <v>1688</v>
      </c>
      <c r="V177" s="74"/>
      <c r="W177" s="75"/>
      <c r="X177" s="12"/>
      <c r="Y177" s="11"/>
      <c r="Z177" s="12">
        <v>1.0</v>
      </c>
      <c r="AA177" s="12"/>
      <c r="AB177" s="12"/>
    </row>
    <row r="178" ht="45.0" hidden="1" customHeight="1">
      <c r="A178" s="11">
        <v>180.0</v>
      </c>
      <c r="B178" s="11" t="s">
        <v>173</v>
      </c>
      <c r="C178" s="93" t="s">
        <v>782</v>
      </c>
      <c r="D178" s="11" t="s">
        <v>781</v>
      </c>
      <c r="E178" s="12"/>
      <c r="F178" s="12"/>
      <c r="G178" s="12"/>
      <c r="H178" s="12"/>
      <c r="I178" s="12"/>
      <c r="J178" s="216">
        <v>100.0</v>
      </c>
      <c r="K178" s="215" t="s">
        <v>489</v>
      </c>
      <c r="L178" s="216">
        <v>100.0</v>
      </c>
      <c r="M178" s="216">
        <v>1.0</v>
      </c>
      <c r="N178" s="11">
        <f t="shared" si="5"/>
        <v>100</v>
      </c>
      <c r="O178" s="11" t="s">
        <v>178</v>
      </c>
      <c r="P178" s="93"/>
      <c r="Q178" s="93" t="s">
        <v>518</v>
      </c>
      <c r="R178" s="93" t="s">
        <v>1950</v>
      </c>
      <c r="S178" s="217" t="s">
        <v>783</v>
      </c>
      <c r="T178" s="11" t="str">
        <f t="shared" si="12"/>
        <v/>
      </c>
      <c r="U178" s="78" t="s">
        <v>1688</v>
      </c>
      <c r="V178" s="74"/>
      <c r="W178" s="75"/>
      <c r="X178" s="12"/>
      <c r="Y178" s="11"/>
      <c r="Z178" s="12">
        <v>1.0</v>
      </c>
      <c r="AA178" s="12"/>
      <c r="AB178" s="12"/>
    </row>
    <row r="179" ht="45.0" hidden="1" customHeight="1">
      <c r="A179" s="11">
        <v>181.0</v>
      </c>
      <c r="B179" s="11" t="s">
        <v>173</v>
      </c>
      <c r="C179" s="93" t="s">
        <v>786</v>
      </c>
      <c r="D179" s="11" t="s">
        <v>785</v>
      </c>
      <c r="E179" s="12"/>
      <c r="F179" s="12"/>
      <c r="G179" s="12"/>
      <c r="H179" s="12"/>
      <c r="I179" s="12"/>
      <c r="J179" s="216">
        <v>100.0</v>
      </c>
      <c r="K179" s="215" t="s">
        <v>489</v>
      </c>
      <c r="L179" s="216">
        <v>100.0</v>
      </c>
      <c r="M179" s="216">
        <v>1.0</v>
      </c>
      <c r="N179" s="11">
        <f t="shared" si="5"/>
        <v>100</v>
      </c>
      <c r="O179" s="11" t="s">
        <v>178</v>
      </c>
      <c r="P179" s="93"/>
      <c r="Q179" s="93" t="s">
        <v>518</v>
      </c>
      <c r="R179" s="93" t="s">
        <v>1950</v>
      </c>
      <c r="S179" s="217" t="s">
        <v>787</v>
      </c>
      <c r="T179" s="11" t="str">
        <f t="shared" si="12"/>
        <v/>
      </c>
      <c r="U179" s="78" t="s">
        <v>1688</v>
      </c>
      <c r="V179" s="74"/>
      <c r="W179" s="75"/>
      <c r="X179" s="12"/>
      <c r="Y179" s="11"/>
      <c r="Z179" s="12">
        <v>1.0</v>
      </c>
      <c r="AA179" s="12"/>
      <c r="AB179" s="12"/>
    </row>
    <row r="180" ht="45.0" hidden="1" customHeight="1">
      <c r="A180" s="11">
        <v>182.0</v>
      </c>
      <c r="B180" s="11" t="s">
        <v>173</v>
      </c>
      <c r="C180" s="93" t="s">
        <v>790</v>
      </c>
      <c r="D180" s="11" t="s">
        <v>789</v>
      </c>
      <c r="E180" s="12"/>
      <c r="F180" s="12"/>
      <c r="G180" s="12"/>
      <c r="H180" s="12"/>
      <c r="I180" s="12"/>
      <c r="J180" s="216">
        <v>100.0</v>
      </c>
      <c r="K180" s="215" t="s">
        <v>489</v>
      </c>
      <c r="L180" s="216">
        <v>100.0</v>
      </c>
      <c r="M180" s="216">
        <v>1.0</v>
      </c>
      <c r="N180" s="11">
        <f t="shared" si="5"/>
        <v>100</v>
      </c>
      <c r="O180" s="11" t="s">
        <v>178</v>
      </c>
      <c r="P180" s="93"/>
      <c r="Q180" s="93" t="s">
        <v>518</v>
      </c>
      <c r="R180" s="93" t="s">
        <v>1950</v>
      </c>
      <c r="S180" s="217" t="s">
        <v>791</v>
      </c>
      <c r="T180" s="11" t="str">
        <f t="shared" si="12"/>
        <v/>
      </c>
      <c r="U180" s="78" t="s">
        <v>1688</v>
      </c>
      <c r="V180" s="74"/>
      <c r="W180" s="75"/>
      <c r="X180" s="12"/>
      <c r="Y180" s="11"/>
      <c r="Z180" s="12">
        <v>1.0</v>
      </c>
      <c r="AA180" s="12"/>
      <c r="AB180" s="12"/>
    </row>
    <row r="181" ht="45.0" hidden="1" customHeight="1">
      <c r="A181" s="11">
        <v>183.0</v>
      </c>
      <c r="B181" s="11" t="s">
        <v>173</v>
      </c>
      <c r="C181" s="93" t="s">
        <v>794</v>
      </c>
      <c r="D181" s="11" t="s">
        <v>793</v>
      </c>
      <c r="E181" s="12"/>
      <c r="F181" s="12"/>
      <c r="G181" s="12"/>
      <c r="H181" s="12"/>
      <c r="I181" s="12"/>
      <c r="J181" s="216">
        <v>100.0</v>
      </c>
      <c r="K181" s="215" t="s">
        <v>489</v>
      </c>
      <c r="L181" s="216">
        <v>100.0</v>
      </c>
      <c r="M181" s="216">
        <v>1.0</v>
      </c>
      <c r="N181" s="11">
        <f t="shared" si="5"/>
        <v>100</v>
      </c>
      <c r="O181" s="11" t="s">
        <v>178</v>
      </c>
      <c r="P181" s="93"/>
      <c r="Q181" s="93" t="s">
        <v>518</v>
      </c>
      <c r="R181" s="93" t="s">
        <v>1950</v>
      </c>
      <c r="S181" s="217" t="s">
        <v>795</v>
      </c>
      <c r="T181" s="11" t="str">
        <f t="shared" si="12"/>
        <v/>
      </c>
      <c r="U181" s="78" t="s">
        <v>1688</v>
      </c>
      <c r="V181" s="74"/>
      <c r="W181" s="75"/>
      <c r="X181" s="12"/>
      <c r="Y181" s="11"/>
      <c r="Z181" s="12">
        <v>1.0</v>
      </c>
      <c r="AA181" s="12"/>
      <c r="AB181" s="12"/>
    </row>
    <row r="182" ht="45.0" hidden="1" customHeight="1">
      <c r="A182" s="11">
        <v>184.0</v>
      </c>
      <c r="B182" s="11" t="s">
        <v>173</v>
      </c>
      <c r="C182" s="93" t="s">
        <v>798</v>
      </c>
      <c r="D182" s="11" t="s">
        <v>797</v>
      </c>
      <c r="E182" s="12"/>
      <c r="F182" s="12"/>
      <c r="G182" s="12"/>
      <c r="H182" s="12"/>
      <c r="I182" s="12"/>
      <c r="J182" s="216">
        <v>100.0</v>
      </c>
      <c r="K182" s="215" t="s">
        <v>489</v>
      </c>
      <c r="L182" s="216">
        <v>100.0</v>
      </c>
      <c r="M182" s="216">
        <v>1.0</v>
      </c>
      <c r="N182" s="11">
        <f t="shared" si="5"/>
        <v>100</v>
      </c>
      <c r="O182" s="11" t="s">
        <v>178</v>
      </c>
      <c r="P182" s="93"/>
      <c r="Q182" s="93" t="s">
        <v>518</v>
      </c>
      <c r="R182" s="93" t="s">
        <v>1950</v>
      </c>
      <c r="S182" s="217" t="s">
        <v>799</v>
      </c>
      <c r="T182" s="11" t="str">
        <f t="shared" si="12"/>
        <v/>
      </c>
      <c r="U182" s="78" t="s">
        <v>1688</v>
      </c>
      <c r="V182" s="74"/>
      <c r="W182" s="75"/>
      <c r="X182" s="12"/>
      <c r="Y182" s="11"/>
      <c r="Z182" s="12">
        <v>1.0</v>
      </c>
      <c r="AA182" s="12"/>
      <c r="AB182" s="12"/>
    </row>
    <row r="183" ht="45.0" hidden="1" customHeight="1">
      <c r="A183" s="11">
        <v>185.0</v>
      </c>
      <c r="B183" s="11" t="s">
        <v>173</v>
      </c>
      <c r="C183" s="93" t="s">
        <v>802</v>
      </c>
      <c r="D183" s="11" t="s">
        <v>801</v>
      </c>
      <c r="E183" s="12"/>
      <c r="F183" s="12"/>
      <c r="G183" s="12"/>
      <c r="H183" s="12"/>
      <c r="I183" s="12"/>
      <c r="J183" s="216">
        <v>100.0</v>
      </c>
      <c r="K183" s="215" t="s">
        <v>489</v>
      </c>
      <c r="L183" s="216">
        <v>100.0</v>
      </c>
      <c r="M183" s="216">
        <v>1.0</v>
      </c>
      <c r="N183" s="11">
        <f t="shared" si="5"/>
        <v>100</v>
      </c>
      <c r="O183" s="11" t="s">
        <v>178</v>
      </c>
      <c r="P183" s="93"/>
      <c r="Q183" s="93" t="s">
        <v>518</v>
      </c>
      <c r="R183" s="93" t="s">
        <v>1950</v>
      </c>
      <c r="S183" s="217" t="s">
        <v>803</v>
      </c>
      <c r="T183" s="11" t="str">
        <f t="shared" si="12"/>
        <v/>
      </c>
      <c r="U183" s="78" t="s">
        <v>1688</v>
      </c>
      <c r="V183" s="74"/>
      <c r="W183" s="75"/>
      <c r="X183" s="12"/>
      <c r="Y183" s="11"/>
      <c r="Z183" s="12">
        <v>1.0</v>
      </c>
      <c r="AA183" s="12"/>
      <c r="AB183" s="12"/>
    </row>
    <row r="184" ht="45.0" hidden="1" customHeight="1">
      <c r="A184" s="11">
        <v>186.0</v>
      </c>
      <c r="B184" s="11" t="s">
        <v>173</v>
      </c>
      <c r="C184" s="93" t="s">
        <v>806</v>
      </c>
      <c r="D184" s="11" t="s">
        <v>805</v>
      </c>
      <c r="E184" s="12"/>
      <c r="F184" s="12"/>
      <c r="G184" s="12"/>
      <c r="H184" s="12"/>
      <c r="I184" s="12"/>
      <c r="J184" s="216">
        <v>100.0</v>
      </c>
      <c r="K184" s="215" t="s">
        <v>489</v>
      </c>
      <c r="L184" s="216">
        <v>100.0</v>
      </c>
      <c r="M184" s="216">
        <v>1.0</v>
      </c>
      <c r="N184" s="11">
        <f t="shared" si="5"/>
        <v>100</v>
      </c>
      <c r="O184" s="11" t="s">
        <v>178</v>
      </c>
      <c r="P184" s="93"/>
      <c r="Q184" s="93" t="s">
        <v>518</v>
      </c>
      <c r="R184" s="93" t="s">
        <v>1950</v>
      </c>
      <c r="S184" s="217" t="s">
        <v>807</v>
      </c>
      <c r="T184" s="11" t="str">
        <f t="shared" si="12"/>
        <v/>
      </c>
      <c r="U184" s="78" t="s">
        <v>1688</v>
      </c>
      <c r="V184" s="74"/>
      <c r="W184" s="75"/>
      <c r="X184" s="12"/>
      <c r="Y184" s="11"/>
      <c r="Z184" s="12">
        <v>1.0</v>
      </c>
      <c r="AA184" s="12"/>
      <c r="AB184" s="12"/>
    </row>
    <row r="185" ht="45.0" hidden="1" customHeight="1">
      <c r="A185" s="11">
        <v>187.0</v>
      </c>
      <c r="B185" s="11" t="s">
        <v>173</v>
      </c>
      <c r="C185" s="93" t="s">
        <v>810</v>
      </c>
      <c r="D185" s="11" t="s">
        <v>809</v>
      </c>
      <c r="E185" s="12"/>
      <c r="F185" s="12"/>
      <c r="G185" s="12"/>
      <c r="H185" s="12"/>
      <c r="I185" s="12"/>
      <c r="J185" s="216">
        <v>100.0</v>
      </c>
      <c r="K185" s="215" t="s">
        <v>489</v>
      </c>
      <c r="L185" s="216">
        <v>100.0</v>
      </c>
      <c r="M185" s="216">
        <v>1.0</v>
      </c>
      <c r="N185" s="11">
        <f t="shared" si="5"/>
        <v>100</v>
      </c>
      <c r="O185" s="11" t="s">
        <v>178</v>
      </c>
      <c r="P185" s="93"/>
      <c r="Q185" s="93" t="s">
        <v>518</v>
      </c>
      <c r="R185" s="93" t="s">
        <v>1950</v>
      </c>
      <c r="S185" s="217" t="s">
        <v>811</v>
      </c>
      <c r="T185" s="11" t="str">
        <f t="shared" si="12"/>
        <v/>
      </c>
      <c r="U185" s="78" t="s">
        <v>1688</v>
      </c>
      <c r="V185" s="74"/>
      <c r="W185" s="75"/>
      <c r="X185" s="12"/>
      <c r="Y185" s="11"/>
      <c r="Z185" s="12">
        <v>1.0</v>
      </c>
      <c r="AA185" s="12"/>
      <c r="AB185" s="12"/>
    </row>
    <row r="186" ht="45.0" hidden="1" customHeight="1">
      <c r="A186" s="11">
        <v>188.0</v>
      </c>
      <c r="B186" s="11" t="s">
        <v>173</v>
      </c>
      <c r="C186" s="93" t="s">
        <v>814</v>
      </c>
      <c r="D186" s="11" t="s">
        <v>813</v>
      </c>
      <c r="E186" s="12"/>
      <c r="F186" s="12"/>
      <c r="G186" s="12"/>
      <c r="H186" s="12"/>
      <c r="I186" s="12"/>
      <c r="J186" s="216">
        <v>100.0</v>
      </c>
      <c r="K186" s="215" t="s">
        <v>489</v>
      </c>
      <c r="L186" s="216">
        <v>100.0</v>
      </c>
      <c r="M186" s="216">
        <v>1.0</v>
      </c>
      <c r="N186" s="11">
        <f t="shared" si="5"/>
        <v>100</v>
      </c>
      <c r="O186" s="11" t="s">
        <v>178</v>
      </c>
      <c r="P186" s="93"/>
      <c r="Q186" s="93" t="s">
        <v>518</v>
      </c>
      <c r="R186" s="93" t="s">
        <v>1950</v>
      </c>
      <c r="S186" s="217" t="s">
        <v>815</v>
      </c>
      <c r="T186" s="11" t="str">
        <f t="shared" si="12"/>
        <v/>
      </c>
      <c r="U186" s="78" t="s">
        <v>1688</v>
      </c>
      <c r="V186" s="74"/>
      <c r="W186" s="75"/>
      <c r="X186" s="12"/>
      <c r="Y186" s="11"/>
      <c r="Z186" s="12">
        <v>1.0</v>
      </c>
      <c r="AA186" s="12"/>
      <c r="AB186" s="12"/>
    </row>
    <row r="187" ht="45.0" hidden="1" customHeight="1">
      <c r="A187" s="11">
        <v>189.0</v>
      </c>
      <c r="B187" s="11" t="s">
        <v>173</v>
      </c>
      <c r="C187" s="93" t="s">
        <v>818</v>
      </c>
      <c r="D187" s="11" t="s">
        <v>817</v>
      </c>
      <c r="E187" s="12"/>
      <c r="F187" s="12"/>
      <c r="G187" s="12"/>
      <c r="H187" s="12"/>
      <c r="I187" s="12"/>
      <c r="J187" s="216">
        <v>100.0</v>
      </c>
      <c r="K187" s="215" t="s">
        <v>489</v>
      </c>
      <c r="L187" s="216">
        <v>100.0</v>
      </c>
      <c r="M187" s="216">
        <v>1.0</v>
      </c>
      <c r="N187" s="11">
        <f t="shared" si="5"/>
        <v>100</v>
      </c>
      <c r="O187" s="11" t="s">
        <v>178</v>
      </c>
      <c r="P187" s="93"/>
      <c r="Q187" s="93" t="s">
        <v>518</v>
      </c>
      <c r="R187" s="93" t="s">
        <v>1950</v>
      </c>
      <c r="S187" s="217" t="s">
        <v>819</v>
      </c>
      <c r="T187" s="11" t="str">
        <f t="shared" si="12"/>
        <v/>
      </c>
      <c r="U187" s="78" t="s">
        <v>1688</v>
      </c>
      <c r="V187" s="74"/>
      <c r="W187" s="75"/>
      <c r="X187" s="12"/>
      <c r="Y187" s="11"/>
      <c r="Z187" s="12">
        <v>1.0</v>
      </c>
      <c r="AA187" s="12"/>
      <c r="AB187" s="12"/>
    </row>
    <row r="188" ht="45.0" hidden="1" customHeight="1">
      <c r="A188" s="11">
        <v>190.0</v>
      </c>
      <c r="B188" s="11" t="s">
        <v>173</v>
      </c>
      <c r="C188" s="93" t="s">
        <v>822</v>
      </c>
      <c r="D188" s="11" t="s">
        <v>821</v>
      </c>
      <c r="E188" s="12"/>
      <c r="F188" s="12"/>
      <c r="G188" s="12"/>
      <c r="H188" s="12"/>
      <c r="I188" s="12"/>
      <c r="J188" s="216">
        <v>100.0</v>
      </c>
      <c r="K188" s="215" t="s">
        <v>489</v>
      </c>
      <c r="L188" s="216">
        <v>100.0</v>
      </c>
      <c r="M188" s="216">
        <v>1.0</v>
      </c>
      <c r="N188" s="11">
        <f t="shared" si="5"/>
        <v>100</v>
      </c>
      <c r="O188" s="11" t="s">
        <v>178</v>
      </c>
      <c r="P188" s="93"/>
      <c r="Q188" s="93" t="s">
        <v>518</v>
      </c>
      <c r="R188" s="93" t="s">
        <v>1950</v>
      </c>
      <c r="S188" s="217" t="s">
        <v>823</v>
      </c>
      <c r="T188" s="11" t="str">
        <f t="shared" si="12"/>
        <v/>
      </c>
      <c r="U188" s="78" t="s">
        <v>1688</v>
      </c>
      <c r="V188" s="74"/>
      <c r="W188" s="75"/>
      <c r="X188" s="12"/>
      <c r="Y188" s="11"/>
      <c r="Z188" s="12">
        <v>1.0</v>
      </c>
      <c r="AA188" s="12"/>
      <c r="AB188" s="12"/>
    </row>
    <row r="189" ht="45.0" hidden="1" customHeight="1">
      <c r="A189" s="11">
        <v>191.0</v>
      </c>
      <c r="B189" s="11" t="s">
        <v>173</v>
      </c>
      <c r="C189" s="93" t="s">
        <v>826</v>
      </c>
      <c r="D189" s="11" t="s">
        <v>825</v>
      </c>
      <c r="E189" s="12"/>
      <c r="F189" s="12"/>
      <c r="G189" s="12"/>
      <c r="H189" s="12"/>
      <c r="I189" s="12"/>
      <c r="J189" s="216">
        <v>100.0</v>
      </c>
      <c r="K189" s="215" t="s">
        <v>489</v>
      </c>
      <c r="L189" s="216">
        <v>100.0</v>
      </c>
      <c r="M189" s="216">
        <v>3.0</v>
      </c>
      <c r="N189" s="11">
        <f t="shared" si="5"/>
        <v>300</v>
      </c>
      <c r="O189" s="11" t="s">
        <v>178</v>
      </c>
      <c r="P189" s="93"/>
      <c r="Q189" s="93" t="s">
        <v>193</v>
      </c>
      <c r="R189" s="93" t="s">
        <v>1951</v>
      </c>
      <c r="S189" s="217" t="s">
        <v>827</v>
      </c>
      <c r="T189" s="11" t="str">
        <f>IMAGE("https://encrypted-tbn0.gstatic.com/images?q=tbn:ANd9GcR-ur1Cl_3Rq82qZ9KbLtZX3U_7cevDQWdUVA&amp;usqp=CAU",1)</f>
        <v/>
      </c>
      <c r="U189" s="78" t="s">
        <v>1688</v>
      </c>
      <c r="V189" s="74"/>
      <c r="W189" s="75"/>
      <c r="X189" s="12"/>
      <c r="Y189" s="11"/>
      <c r="Z189" s="12">
        <v>1.0</v>
      </c>
      <c r="AA189" s="12"/>
      <c r="AB189" s="12"/>
    </row>
    <row r="190" ht="45.0" hidden="1" customHeight="1">
      <c r="A190" s="11">
        <v>192.0</v>
      </c>
      <c r="B190" s="11" t="s">
        <v>173</v>
      </c>
      <c r="C190" s="93" t="s">
        <v>830</v>
      </c>
      <c r="D190" s="11" t="s">
        <v>829</v>
      </c>
      <c r="E190" s="12"/>
      <c r="F190" s="12"/>
      <c r="G190" s="12"/>
      <c r="H190" s="12"/>
      <c r="I190" s="12"/>
      <c r="J190" s="216">
        <v>50.0</v>
      </c>
      <c r="K190" s="215" t="s">
        <v>489</v>
      </c>
      <c r="L190" s="216">
        <v>50.0</v>
      </c>
      <c r="M190" s="216">
        <v>10.0</v>
      </c>
      <c r="N190" s="11">
        <f t="shared" si="5"/>
        <v>500</v>
      </c>
      <c r="O190" s="11" t="s">
        <v>178</v>
      </c>
      <c r="P190" s="93"/>
      <c r="Q190" s="93" t="s">
        <v>193</v>
      </c>
      <c r="R190" s="93" t="s">
        <v>1951</v>
      </c>
      <c r="S190" s="217" t="s">
        <v>831</v>
      </c>
      <c r="T190" s="11" t="str">
        <f>IMAGE("https://m.media-amazon.com/images/I/51khY6g46VL._AC_SL1500_.jpg",1)</f>
        <v/>
      </c>
      <c r="U190" s="78" t="s">
        <v>1688</v>
      </c>
      <c r="V190" s="74"/>
      <c r="W190" s="75"/>
      <c r="X190" s="12"/>
      <c r="Y190" s="11"/>
      <c r="Z190" s="12">
        <v>1.0</v>
      </c>
      <c r="AA190" s="12"/>
      <c r="AB190" s="12"/>
    </row>
    <row r="191" ht="45.0" hidden="1" customHeight="1">
      <c r="A191" s="11">
        <v>193.0</v>
      </c>
      <c r="B191" s="11" t="s">
        <v>173</v>
      </c>
      <c r="C191" s="93" t="s">
        <v>834</v>
      </c>
      <c r="D191" s="11" t="s">
        <v>833</v>
      </c>
      <c r="E191" s="12"/>
      <c r="F191" s="12"/>
      <c r="G191" s="12"/>
      <c r="H191" s="12"/>
      <c r="I191" s="12"/>
      <c r="J191" s="216">
        <v>50.0</v>
      </c>
      <c r="K191" s="215" t="s">
        <v>489</v>
      </c>
      <c r="L191" s="216">
        <v>50.0</v>
      </c>
      <c r="M191" s="216">
        <v>10.0</v>
      </c>
      <c r="N191" s="11">
        <f t="shared" si="5"/>
        <v>500</v>
      </c>
      <c r="O191" s="11" t="s">
        <v>178</v>
      </c>
      <c r="P191" s="93"/>
      <c r="Q191" s="93" t="s">
        <v>193</v>
      </c>
      <c r="R191" s="93" t="s">
        <v>1951</v>
      </c>
      <c r="S191" s="217" t="s">
        <v>835</v>
      </c>
      <c r="T191" s="11" t="str">
        <f>IMAGE("https://etstore.in/wp-content/uploads/2021/12/IMG_20201130_100203.png",1)</f>
        <v/>
      </c>
      <c r="U191" s="78" t="s">
        <v>1688</v>
      </c>
      <c r="V191" s="79"/>
      <c r="W191" s="80"/>
      <c r="X191" s="12"/>
      <c r="Y191" s="11"/>
      <c r="Z191" s="12">
        <v>1.0</v>
      </c>
      <c r="AA191" s="12"/>
      <c r="AB191" s="12"/>
    </row>
    <row r="192" ht="45.0" hidden="1" customHeight="1">
      <c r="A192" s="11">
        <v>194.0</v>
      </c>
      <c r="B192" s="11" t="s">
        <v>173</v>
      </c>
      <c r="C192" s="93" t="s">
        <v>838</v>
      </c>
      <c r="D192" s="11" t="s">
        <v>837</v>
      </c>
      <c r="E192" s="12"/>
      <c r="F192" s="12"/>
      <c r="G192" s="12"/>
      <c r="H192" s="12"/>
      <c r="I192" s="12"/>
      <c r="J192" s="216">
        <v>50.0</v>
      </c>
      <c r="K192" s="215" t="s">
        <v>489</v>
      </c>
      <c r="L192" s="216">
        <v>50.0</v>
      </c>
      <c r="M192" s="216">
        <v>10.0</v>
      </c>
      <c r="N192" s="11">
        <f t="shared" si="5"/>
        <v>500</v>
      </c>
      <c r="O192" s="11" t="s">
        <v>178</v>
      </c>
      <c r="P192" s="93"/>
      <c r="Q192" s="93" t="s">
        <v>193</v>
      </c>
      <c r="R192" s="93" t="s">
        <v>1951</v>
      </c>
      <c r="S192" s="217" t="s">
        <v>839</v>
      </c>
      <c r="T192" s="11" t="str">
        <f>IMAGE("https://m.media-amazon.com/images/I/71UDXftBeaL._SX466_.jpg",1)</f>
        <v/>
      </c>
      <c r="U192" s="78" t="s">
        <v>1688</v>
      </c>
      <c r="V192" s="74"/>
      <c r="W192" s="75"/>
      <c r="X192" s="12"/>
      <c r="Y192" s="11"/>
      <c r="Z192" s="12">
        <v>1.0</v>
      </c>
      <c r="AA192" s="12"/>
      <c r="AB192" s="12"/>
    </row>
    <row r="193" ht="45.0" hidden="1" customHeight="1">
      <c r="A193" s="11">
        <v>195.0</v>
      </c>
      <c r="B193" s="11" t="s">
        <v>173</v>
      </c>
      <c r="C193" s="93" t="s">
        <v>842</v>
      </c>
      <c r="D193" s="11" t="s">
        <v>841</v>
      </c>
      <c r="E193" s="12"/>
      <c r="F193" s="12"/>
      <c r="G193" s="12"/>
      <c r="H193" s="12"/>
      <c r="I193" s="12"/>
      <c r="J193" s="216">
        <v>50.0</v>
      </c>
      <c r="K193" s="215" t="s">
        <v>489</v>
      </c>
      <c r="L193" s="216">
        <v>50.0</v>
      </c>
      <c r="M193" s="216">
        <v>10.0</v>
      </c>
      <c r="N193" s="11">
        <f t="shared" si="5"/>
        <v>500</v>
      </c>
      <c r="O193" s="11" t="s">
        <v>178</v>
      </c>
      <c r="P193" s="93"/>
      <c r="Q193" s="93" t="s">
        <v>193</v>
      </c>
      <c r="R193" s="93" t="s">
        <v>1951</v>
      </c>
      <c r="S193" s="217" t="s">
        <v>843</v>
      </c>
      <c r="T193" s="11" t="str">
        <f>IMAGE("https://m.media-amazon.com/images/I/4116hBQx0XL._SX425_.jpg",1)</f>
        <v/>
      </c>
      <c r="U193" s="78" t="s">
        <v>1688</v>
      </c>
      <c r="V193" s="79"/>
      <c r="W193" s="80"/>
      <c r="X193" s="12"/>
      <c r="Y193" s="11"/>
      <c r="Z193" s="12">
        <v>1.0</v>
      </c>
      <c r="AA193" s="12"/>
      <c r="AB193" s="12"/>
    </row>
    <row r="194" ht="45.0" hidden="1" customHeight="1">
      <c r="A194" s="11">
        <v>196.0</v>
      </c>
      <c r="B194" s="11" t="s">
        <v>173</v>
      </c>
      <c r="C194" s="93" t="s">
        <v>846</v>
      </c>
      <c r="D194" s="11" t="s">
        <v>845</v>
      </c>
      <c r="E194" s="12"/>
      <c r="F194" s="12"/>
      <c r="G194" s="12"/>
      <c r="H194" s="12"/>
      <c r="I194" s="12"/>
      <c r="J194" s="216">
        <v>20.0</v>
      </c>
      <c r="K194" s="215" t="s">
        <v>489</v>
      </c>
      <c r="L194" s="216">
        <v>20.0</v>
      </c>
      <c r="M194" s="216">
        <v>5.0</v>
      </c>
      <c r="N194" s="11">
        <f t="shared" si="5"/>
        <v>100</v>
      </c>
      <c r="O194" s="11" t="s">
        <v>178</v>
      </c>
      <c r="P194" s="93"/>
      <c r="Q194" s="93" t="s">
        <v>193</v>
      </c>
      <c r="R194" s="93" t="s">
        <v>1944</v>
      </c>
      <c r="S194" s="217" t="s">
        <v>847</v>
      </c>
      <c r="T194" s="11" t="str">
        <f>IMAGE("https://potentiallabs.com/cart/image/cache/catalog/2021/555-timer-ic-400x400.jpeg",1)</f>
        <v/>
      </c>
      <c r="U194" s="78" t="s">
        <v>1688</v>
      </c>
      <c r="V194" s="74"/>
      <c r="W194" s="75"/>
      <c r="X194" s="12"/>
      <c r="Y194" s="11"/>
      <c r="Z194" s="12">
        <v>1.0</v>
      </c>
      <c r="AA194" s="12"/>
      <c r="AB194" s="12"/>
    </row>
    <row r="195" ht="45.0" hidden="1" customHeight="1">
      <c r="A195" s="11">
        <v>197.0</v>
      </c>
      <c r="B195" s="11" t="s">
        <v>173</v>
      </c>
      <c r="C195" s="93" t="s">
        <v>850</v>
      </c>
      <c r="D195" s="11" t="s">
        <v>849</v>
      </c>
      <c r="E195" s="12"/>
      <c r="F195" s="12"/>
      <c r="G195" s="12"/>
      <c r="H195" s="12"/>
      <c r="I195" s="12"/>
      <c r="J195" s="216">
        <v>100.0</v>
      </c>
      <c r="K195" s="215" t="s">
        <v>489</v>
      </c>
      <c r="L195" s="216">
        <v>100.0</v>
      </c>
      <c r="M195" s="216">
        <v>5.0</v>
      </c>
      <c r="N195" s="11">
        <f t="shared" si="5"/>
        <v>500</v>
      </c>
      <c r="O195" s="11" t="s">
        <v>178</v>
      </c>
      <c r="P195" s="93"/>
      <c r="Q195" s="93" t="s">
        <v>518</v>
      </c>
      <c r="R195" s="93" t="s">
        <v>1953</v>
      </c>
      <c r="S195" s="217" t="s">
        <v>851</v>
      </c>
      <c r="T195" s="11" t="str">
        <f>IMAGE("https://5.imimg.com/data5/SELLER/Default/2020/8/IJ/BD/HA/84543611/2n3904-transistor-500x500.jpg",1)</f>
        <v/>
      </c>
      <c r="U195" s="78" t="s">
        <v>1688</v>
      </c>
      <c r="V195" s="74"/>
      <c r="W195" s="75"/>
      <c r="X195" s="12"/>
      <c r="Y195" s="11"/>
      <c r="Z195" s="12">
        <v>1.0</v>
      </c>
      <c r="AA195" s="12"/>
      <c r="AB195" s="12"/>
    </row>
    <row r="196" ht="45.0" hidden="1" customHeight="1">
      <c r="A196" s="11">
        <v>198.0</v>
      </c>
      <c r="B196" s="11" t="s">
        <v>173</v>
      </c>
      <c r="C196" s="93" t="s">
        <v>854</v>
      </c>
      <c r="D196" s="11" t="s">
        <v>853</v>
      </c>
      <c r="E196" s="12"/>
      <c r="F196" s="12"/>
      <c r="G196" s="12"/>
      <c r="H196" s="12"/>
      <c r="I196" s="12"/>
      <c r="J196" s="216">
        <v>100.0</v>
      </c>
      <c r="K196" s="215" t="s">
        <v>489</v>
      </c>
      <c r="L196" s="216">
        <v>100.0</v>
      </c>
      <c r="M196" s="216">
        <v>5.0</v>
      </c>
      <c r="N196" s="11">
        <f t="shared" si="5"/>
        <v>500</v>
      </c>
      <c r="O196" s="11" t="s">
        <v>178</v>
      </c>
      <c r="P196" s="93"/>
      <c r="Q196" s="93" t="s">
        <v>518</v>
      </c>
      <c r="R196" s="93" t="s">
        <v>1953</v>
      </c>
      <c r="S196" s="217" t="s">
        <v>855</v>
      </c>
      <c r="T196" s="11" t="str">
        <f>IMAGE("https://rukminim2.flixcart.com/image/832/832/k44hksw0/transistor/d/m/d/100-pics-bc547-npn-transistor-sme-original-imafn3dfw2fqwgxg.jpeg?q=70",1)</f>
        <v/>
      </c>
      <c r="U196" s="78" t="s">
        <v>1688</v>
      </c>
      <c r="V196" s="74"/>
      <c r="W196" s="75"/>
      <c r="X196" s="12"/>
      <c r="Y196" s="11"/>
      <c r="Z196" s="12">
        <v>1.0</v>
      </c>
      <c r="AA196" s="12"/>
      <c r="AB196" s="12"/>
    </row>
    <row r="197" ht="45.0" hidden="1" customHeight="1">
      <c r="A197" s="11">
        <v>199.0</v>
      </c>
      <c r="B197" s="11" t="s">
        <v>173</v>
      </c>
      <c r="C197" s="93" t="s">
        <v>858</v>
      </c>
      <c r="D197" s="11" t="s">
        <v>857</v>
      </c>
      <c r="E197" s="12"/>
      <c r="F197" s="12"/>
      <c r="G197" s="12"/>
      <c r="H197" s="12"/>
      <c r="I197" s="12"/>
      <c r="J197" s="216">
        <v>100.0</v>
      </c>
      <c r="K197" s="215" t="s">
        <v>489</v>
      </c>
      <c r="L197" s="216">
        <v>100.0</v>
      </c>
      <c r="M197" s="216">
        <v>5.0</v>
      </c>
      <c r="N197" s="11">
        <f t="shared" si="5"/>
        <v>500</v>
      </c>
      <c r="O197" s="11" t="s">
        <v>178</v>
      </c>
      <c r="P197" s="93"/>
      <c r="Q197" s="93" t="s">
        <v>518</v>
      </c>
      <c r="R197" s="93" t="s">
        <v>1953</v>
      </c>
      <c r="S197" s="217" t="s">
        <v>859</v>
      </c>
      <c r="T197" s="11" t="str">
        <f>IMAGE("https://m.media-amazon.com/images/W/MEDIAX_792452-T2/images/I/31po6g2eu+L.jpg",1)</f>
        <v/>
      </c>
      <c r="U197" s="78" t="s">
        <v>1688</v>
      </c>
      <c r="V197" s="74"/>
      <c r="W197" s="75"/>
      <c r="X197" s="12"/>
      <c r="Y197" s="11"/>
      <c r="Z197" s="12">
        <v>1.0</v>
      </c>
      <c r="AA197" s="12"/>
      <c r="AB197" s="12"/>
    </row>
    <row r="198" ht="45.0" hidden="1" customHeight="1">
      <c r="A198" s="11">
        <v>200.0</v>
      </c>
      <c r="B198" s="11" t="s">
        <v>173</v>
      </c>
      <c r="C198" s="93" t="s">
        <v>862</v>
      </c>
      <c r="D198" s="11" t="s">
        <v>861</v>
      </c>
      <c r="E198" s="12"/>
      <c r="F198" s="12"/>
      <c r="G198" s="12"/>
      <c r="H198" s="12"/>
      <c r="I198" s="12"/>
      <c r="J198" s="216">
        <v>100.0</v>
      </c>
      <c r="K198" s="215" t="s">
        <v>489</v>
      </c>
      <c r="L198" s="216">
        <v>100.0</v>
      </c>
      <c r="M198" s="216">
        <v>5.0</v>
      </c>
      <c r="N198" s="11">
        <f t="shared" si="5"/>
        <v>500</v>
      </c>
      <c r="O198" s="11" t="s">
        <v>178</v>
      </c>
      <c r="P198" s="93"/>
      <c r="Q198" s="93" t="s">
        <v>518</v>
      </c>
      <c r="R198" s="93" t="s">
        <v>1953</v>
      </c>
      <c r="S198" s="217" t="s">
        <v>863</v>
      </c>
      <c r="T198" s="11" t="str">
        <f>IMAGE("https://5.imimg.com/data5/MA/XW/GW/SELLER-84581978/cdil-transistor-bc557-500x500.jpg",1)</f>
        <v/>
      </c>
      <c r="U198" s="78" t="s">
        <v>1688</v>
      </c>
      <c r="V198" s="74"/>
      <c r="W198" s="75"/>
      <c r="X198" s="12"/>
      <c r="Y198" s="11"/>
      <c r="Z198" s="12">
        <v>1.0</v>
      </c>
      <c r="AA198" s="12"/>
      <c r="AB198" s="12"/>
    </row>
    <row r="199" ht="45.0" hidden="1" customHeight="1">
      <c r="A199" s="11">
        <v>201.0</v>
      </c>
      <c r="B199" s="11" t="s">
        <v>173</v>
      </c>
      <c r="C199" s="93" t="s">
        <v>866</v>
      </c>
      <c r="D199" s="11" t="s">
        <v>865</v>
      </c>
      <c r="E199" s="12"/>
      <c r="F199" s="12"/>
      <c r="G199" s="12"/>
      <c r="H199" s="12"/>
      <c r="I199" s="12"/>
      <c r="J199" s="216">
        <v>100.0</v>
      </c>
      <c r="K199" s="215" t="s">
        <v>489</v>
      </c>
      <c r="L199" s="216">
        <v>100.0</v>
      </c>
      <c r="M199" s="216">
        <v>5.0</v>
      </c>
      <c r="N199" s="11">
        <f t="shared" si="5"/>
        <v>500</v>
      </c>
      <c r="O199" s="11" t="s">
        <v>178</v>
      </c>
      <c r="P199" s="93"/>
      <c r="Q199" s="93" t="s">
        <v>518</v>
      </c>
      <c r="R199" s="93" t="s">
        <v>1953</v>
      </c>
      <c r="S199" s="217" t="s">
        <v>867</v>
      </c>
      <c r="T199" s="11" t="str">
        <f>IMAGE("https://www.chipmart.in/wp-content/uploads/2022/08/SL100-NPN-General-Purpose-Medium-Power-Transistor-50V-500mA.png",1)</f>
        <v/>
      </c>
      <c r="U199" s="78" t="s">
        <v>1688</v>
      </c>
      <c r="V199" s="74"/>
      <c r="W199" s="75"/>
      <c r="X199" s="12"/>
      <c r="Y199" s="11"/>
      <c r="Z199" s="12">
        <v>1.0</v>
      </c>
      <c r="AA199" s="12"/>
      <c r="AB199" s="12"/>
    </row>
    <row r="200" ht="45.0" hidden="1" customHeight="1">
      <c r="A200" s="11">
        <v>202.0</v>
      </c>
      <c r="B200" s="11" t="s">
        <v>173</v>
      </c>
      <c r="C200" s="93" t="s">
        <v>870</v>
      </c>
      <c r="D200" s="11" t="s">
        <v>869</v>
      </c>
      <c r="E200" s="12"/>
      <c r="F200" s="12"/>
      <c r="G200" s="12"/>
      <c r="H200" s="12"/>
      <c r="I200" s="12"/>
      <c r="J200" s="216">
        <v>100.0</v>
      </c>
      <c r="K200" s="215" t="s">
        <v>489</v>
      </c>
      <c r="L200" s="216">
        <v>100.0</v>
      </c>
      <c r="M200" s="216">
        <v>5.0</v>
      </c>
      <c r="N200" s="11">
        <f t="shared" si="5"/>
        <v>500</v>
      </c>
      <c r="O200" s="11" t="s">
        <v>178</v>
      </c>
      <c r="P200" s="93"/>
      <c r="Q200" s="93" t="s">
        <v>518</v>
      </c>
      <c r="R200" s="93" t="s">
        <v>1953</v>
      </c>
      <c r="S200" s="217" t="s">
        <v>871</v>
      </c>
      <c r="T200" s="11" t="str">
        <f>IMAGE("https://5.imimg.com/data5/WJ/EW/MY-25117786/2n2222-npn-transistors-500x500.jpg",1)</f>
        <v/>
      </c>
      <c r="U200" s="78" t="s">
        <v>1688</v>
      </c>
      <c r="V200" s="74"/>
      <c r="W200" s="75"/>
      <c r="X200" s="12"/>
      <c r="Y200" s="11"/>
      <c r="Z200" s="12">
        <v>1.0</v>
      </c>
      <c r="AA200" s="12"/>
      <c r="AB200" s="12"/>
    </row>
    <row r="201" ht="45.0" hidden="1" customHeight="1">
      <c r="A201" s="11">
        <v>203.0</v>
      </c>
      <c r="B201" s="11" t="s">
        <v>173</v>
      </c>
      <c r="C201" s="93" t="s">
        <v>874</v>
      </c>
      <c r="D201" s="11" t="s">
        <v>873</v>
      </c>
      <c r="E201" s="12"/>
      <c r="F201" s="12"/>
      <c r="G201" s="12"/>
      <c r="H201" s="12"/>
      <c r="I201" s="12"/>
      <c r="J201" s="216">
        <v>20.0</v>
      </c>
      <c r="K201" s="215" t="s">
        <v>489</v>
      </c>
      <c r="L201" s="216">
        <v>20.0</v>
      </c>
      <c r="M201" s="216">
        <v>10.0</v>
      </c>
      <c r="N201" s="11">
        <f t="shared" si="5"/>
        <v>200</v>
      </c>
      <c r="O201" s="11" t="s">
        <v>178</v>
      </c>
      <c r="P201" s="93"/>
      <c r="Q201" s="93" t="s">
        <v>518</v>
      </c>
      <c r="R201" s="93" t="s">
        <v>1949</v>
      </c>
      <c r="S201" s="217" t="s">
        <v>875</v>
      </c>
      <c r="T201" s="11" t="str">
        <f t="shared" ref="T201:T203" si="13">IMAGE("https://probots.co.in/pub/media/catalog/product/cache/d8ddd0f9b0cd008b57085cd218b48832/1/k/1k_ohm_variable_resistor_potentiometer1-1000x1000_12.jpg",1)</f>
        <v/>
      </c>
      <c r="U201" s="78" t="s">
        <v>1688</v>
      </c>
      <c r="V201" s="74"/>
      <c r="W201" s="75"/>
      <c r="X201" s="12"/>
      <c r="Y201" s="11"/>
      <c r="Z201" s="12">
        <v>1.0</v>
      </c>
      <c r="AA201" s="12"/>
      <c r="AB201" s="12"/>
    </row>
    <row r="202" ht="45.0" hidden="1" customHeight="1">
      <c r="A202" s="11">
        <v>204.0</v>
      </c>
      <c r="B202" s="11" t="s">
        <v>173</v>
      </c>
      <c r="C202" s="93" t="s">
        <v>878</v>
      </c>
      <c r="D202" s="11" t="s">
        <v>877</v>
      </c>
      <c r="E202" s="12"/>
      <c r="F202" s="12"/>
      <c r="G202" s="12"/>
      <c r="H202" s="12"/>
      <c r="I202" s="12"/>
      <c r="J202" s="216">
        <v>20.0</v>
      </c>
      <c r="K202" s="215" t="s">
        <v>489</v>
      </c>
      <c r="L202" s="216">
        <v>20.0</v>
      </c>
      <c r="M202" s="216">
        <v>10.0</v>
      </c>
      <c r="N202" s="11">
        <f t="shared" si="5"/>
        <v>200</v>
      </c>
      <c r="O202" s="11" t="s">
        <v>178</v>
      </c>
      <c r="P202" s="93"/>
      <c r="Q202" s="93" t="s">
        <v>518</v>
      </c>
      <c r="R202" s="93" t="s">
        <v>1949</v>
      </c>
      <c r="S202" s="217" t="s">
        <v>879</v>
      </c>
      <c r="T202" s="11" t="str">
        <f t="shared" si="13"/>
        <v/>
      </c>
      <c r="U202" s="78" t="s">
        <v>1688</v>
      </c>
      <c r="V202" s="74"/>
      <c r="W202" s="75"/>
      <c r="X202" s="12"/>
      <c r="Y202" s="11"/>
      <c r="Z202" s="12">
        <v>1.0</v>
      </c>
      <c r="AA202" s="12"/>
      <c r="AB202" s="12"/>
    </row>
    <row r="203" ht="45.0" hidden="1" customHeight="1">
      <c r="A203" s="11">
        <v>205.0</v>
      </c>
      <c r="B203" s="11" t="s">
        <v>173</v>
      </c>
      <c r="C203" s="93" t="s">
        <v>882</v>
      </c>
      <c r="D203" s="11" t="s">
        <v>881</v>
      </c>
      <c r="E203" s="12"/>
      <c r="F203" s="12"/>
      <c r="G203" s="12"/>
      <c r="H203" s="12"/>
      <c r="I203" s="12"/>
      <c r="J203" s="216">
        <v>20.0</v>
      </c>
      <c r="K203" s="215" t="s">
        <v>489</v>
      </c>
      <c r="L203" s="216">
        <v>20.0</v>
      </c>
      <c r="M203" s="216">
        <v>10.0</v>
      </c>
      <c r="N203" s="11">
        <f t="shared" si="5"/>
        <v>200</v>
      </c>
      <c r="O203" s="11" t="s">
        <v>178</v>
      </c>
      <c r="P203" s="93"/>
      <c r="Q203" s="93" t="s">
        <v>518</v>
      </c>
      <c r="R203" s="93" t="s">
        <v>1949</v>
      </c>
      <c r="S203" s="217" t="s">
        <v>883</v>
      </c>
      <c r="T203" s="11" t="str">
        <f t="shared" si="13"/>
        <v/>
      </c>
      <c r="U203" s="78" t="s">
        <v>1688</v>
      </c>
      <c r="V203" s="74"/>
      <c r="W203" s="75"/>
      <c r="X203" s="12"/>
      <c r="Y203" s="11"/>
      <c r="Z203" s="12">
        <v>1.0</v>
      </c>
      <c r="AA203" s="12"/>
      <c r="AB203" s="12"/>
    </row>
    <row r="204" ht="45.0" hidden="1" customHeight="1">
      <c r="A204" s="11">
        <v>206.0</v>
      </c>
      <c r="B204" s="11" t="s">
        <v>173</v>
      </c>
      <c r="C204" s="93" t="s">
        <v>886</v>
      </c>
      <c r="D204" s="11" t="s">
        <v>885</v>
      </c>
      <c r="E204" s="12"/>
      <c r="F204" s="12"/>
      <c r="G204" s="12"/>
      <c r="H204" s="12"/>
      <c r="I204" s="12"/>
      <c r="J204" s="216">
        <v>20.0</v>
      </c>
      <c r="K204" s="215" t="s">
        <v>489</v>
      </c>
      <c r="L204" s="216">
        <v>20.0</v>
      </c>
      <c r="M204" s="216">
        <v>20.0</v>
      </c>
      <c r="N204" s="11">
        <f t="shared" si="5"/>
        <v>400</v>
      </c>
      <c r="O204" s="11" t="s">
        <v>178</v>
      </c>
      <c r="P204" s="93"/>
      <c r="Q204" s="93" t="s">
        <v>193</v>
      </c>
      <c r="R204" s="93" t="s">
        <v>1954</v>
      </c>
      <c r="S204" s="217" t="s">
        <v>887</v>
      </c>
      <c r="T204" s="11" t="str">
        <f>IMAGE("https://www.olelectronics.in/wp-content/uploads/Miniature-Vibration-Motor.png",1)</f>
        <v/>
      </c>
      <c r="U204" s="78" t="s">
        <v>1688</v>
      </c>
      <c r="V204" s="74"/>
      <c r="W204" s="75"/>
      <c r="X204" s="12"/>
      <c r="Y204" s="11"/>
      <c r="Z204" s="12">
        <v>1.0</v>
      </c>
      <c r="AA204" s="12"/>
      <c r="AB204" s="12"/>
    </row>
    <row r="205" ht="45.0" hidden="1" customHeight="1">
      <c r="A205" s="11">
        <v>207.0</v>
      </c>
      <c r="B205" s="11" t="s">
        <v>173</v>
      </c>
      <c r="C205" s="93" t="s">
        <v>1754</v>
      </c>
      <c r="D205" s="11" t="s">
        <v>889</v>
      </c>
      <c r="E205" s="12"/>
      <c r="F205" s="12"/>
      <c r="G205" s="12"/>
      <c r="H205" s="12"/>
      <c r="I205" s="12"/>
      <c r="J205" s="216">
        <v>10.0</v>
      </c>
      <c r="K205" s="215" t="s">
        <v>891</v>
      </c>
      <c r="L205" s="216">
        <v>10.0</v>
      </c>
      <c r="M205" s="216">
        <v>300.0</v>
      </c>
      <c r="N205" s="11">
        <f t="shared" si="5"/>
        <v>3000</v>
      </c>
      <c r="O205" s="11" t="s">
        <v>178</v>
      </c>
      <c r="P205" s="93"/>
      <c r="Q205" s="93" t="s">
        <v>599</v>
      </c>
      <c r="R205" s="93" t="s">
        <v>1947</v>
      </c>
      <c r="S205" s="217" t="s">
        <v>892</v>
      </c>
      <c r="T205" s="11" t="str">
        <f>IMAGE("https://encrypted-tbn0.gstatic.com/images?q=tbn:ANd9GcQ9HdcUbkhENGQnNmIni640zFk33IAUdUx_x0uluq_AFf1Hud04FBhhZQFZXM2xrHw_7W4&amp;usqp=CAU",1)</f>
        <v/>
      </c>
      <c r="U205" s="78" t="s">
        <v>1688</v>
      </c>
      <c r="V205" s="74"/>
      <c r="W205" s="75"/>
      <c r="X205" s="12"/>
      <c r="Y205" s="11"/>
      <c r="Z205" s="12">
        <v>1.0</v>
      </c>
      <c r="AA205" s="12"/>
      <c r="AB205" s="12"/>
    </row>
    <row r="206" ht="45.0" hidden="1" customHeight="1">
      <c r="A206" s="11">
        <v>208.0</v>
      </c>
      <c r="B206" s="11" t="s">
        <v>173</v>
      </c>
      <c r="C206" s="93" t="s">
        <v>895</v>
      </c>
      <c r="D206" s="11" t="s">
        <v>894</v>
      </c>
      <c r="E206" s="12"/>
      <c r="F206" s="12"/>
      <c r="G206" s="12"/>
      <c r="H206" s="12"/>
      <c r="I206" s="12"/>
      <c r="J206" s="216">
        <v>10.0</v>
      </c>
      <c r="K206" s="215" t="s">
        <v>891</v>
      </c>
      <c r="L206" s="216">
        <v>10.0</v>
      </c>
      <c r="M206" s="216">
        <v>200.0</v>
      </c>
      <c r="N206" s="11">
        <f t="shared" si="5"/>
        <v>2000</v>
      </c>
      <c r="O206" s="11" t="s">
        <v>178</v>
      </c>
      <c r="P206" s="93"/>
      <c r="Q206" s="93" t="s">
        <v>599</v>
      </c>
      <c r="R206" s="93" t="s">
        <v>1947</v>
      </c>
      <c r="S206" s="217" t="s">
        <v>896</v>
      </c>
      <c r="T206" s="11" t="str">
        <f>IMAGE("https://m.media-amazon.com/images/W/MEDIAX_792452-T2/images/I/612Fb4y5P6S._SL1100_.jpg",1)</f>
        <v/>
      </c>
      <c r="U206" s="78" t="s">
        <v>1688</v>
      </c>
      <c r="V206" s="74"/>
      <c r="W206" s="75"/>
      <c r="X206" s="12"/>
      <c r="Y206" s="11"/>
      <c r="Z206" s="12">
        <v>1.0</v>
      </c>
      <c r="AA206" s="12"/>
      <c r="AB206" s="12"/>
    </row>
    <row r="207" ht="45.0" customHeight="1">
      <c r="A207" s="11">
        <v>407.0</v>
      </c>
      <c r="B207" s="11"/>
      <c r="C207" s="260" t="s">
        <v>1995</v>
      </c>
      <c r="D207" s="259" t="s">
        <v>1994</v>
      </c>
      <c r="E207" s="620"/>
      <c r="F207" s="620"/>
      <c r="G207" s="620"/>
      <c r="H207" s="620"/>
      <c r="I207" s="12" t="s">
        <v>2066</v>
      </c>
      <c r="J207" s="216">
        <v>1.0</v>
      </c>
      <c r="K207" s="215" t="s">
        <v>465</v>
      </c>
      <c r="L207" s="216"/>
      <c r="M207" s="216"/>
      <c r="N207" s="11"/>
      <c r="O207" s="11" t="s">
        <v>466</v>
      </c>
      <c r="P207" s="93" t="s">
        <v>47</v>
      </c>
      <c r="Q207" s="123"/>
      <c r="R207" s="93" t="s">
        <v>1991</v>
      </c>
      <c r="S207" s="217"/>
      <c r="T207" s="11"/>
      <c r="U207" s="353"/>
      <c r="V207" s="331"/>
      <c r="W207" s="75"/>
      <c r="X207" s="253"/>
      <c r="Y207" s="11"/>
      <c r="Z207" s="12">
        <v>3.0</v>
      </c>
      <c r="AA207" s="616"/>
      <c r="AB207" s="616"/>
    </row>
    <row r="208" ht="45.0" hidden="1" customHeight="1">
      <c r="A208" s="11">
        <v>210.0</v>
      </c>
      <c r="B208" s="11" t="s">
        <v>173</v>
      </c>
      <c r="C208" s="93" t="s">
        <v>903</v>
      </c>
      <c r="D208" s="11" t="s">
        <v>902</v>
      </c>
      <c r="E208" s="12"/>
      <c r="F208" s="12"/>
      <c r="G208" s="12"/>
      <c r="H208" s="12"/>
      <c r="I208" s="12"/>
      <c r="J208" s="216">
        <v>5.0</v>
      </c>
      <c r="K208" s="215" t="s">
        <v>891</v>
      </c>
      <c r="L208" s="216">
        <v>5.0</v>
      </c>
      <c r="M208" s="216">
        <v>150.0</v>
      </c>
      <c r="N208" s="11">
        <f t="shared" ref="N208:N267" si="14">M208*J208</f>
        <v>750</v>
      </c>
      <c r="O208" s="11" t="s">
        <v>178</v>
      </c>
      <c r="P208" s="93"/>
      <c r="Q208" s="93" t="s">
        <v>66</v>
      </c>
      <c r="R208" s="93" t="s">
        <v>1954</v>
      </c>
      <c r="S208" s="217" t="s">
        <v>904</v>
      </c>
      <c r="T208" s="11" t="str">
        <f>IMAGE("https://makerbazar.in/cdn/shop/files/6015fanwithwire_600x.jpg?v=1695792315",1)</f>
        <v/>
      </c>
      <c r="U208" s="78" t="s">
        <v>1688</v>
      </c>
      <c r="V208" s="74"/>
      <c r="W208" s="75"/>
      <c r="X208" s="12"/>
      <c r="Y208" s="11"/>
      <c r="Z208" s="12">
        <v>1.0</v>
      </c>
      <c r="AA208" s="12"/>
      <c r="AB208" s="12"/>
    </row>
    <row r="209" ht="45.0" hidden="1" customHeight="1">
      <c r="A209" s="11">
        <v>211.0</v>
      </c>
      <c r="B209" s="11" t="s">
        <v>173</v>
      </c>
      <c r="C209" s="93" t="s">
        <v>1955</v>
      </c>
      <c r="D209" s="11" t="s">
        <v>906</v>
      </c>
      <c r="E209" s="12"/>
      <c r="F209" s="12"/>
      <c r="G209" s="12"/>
      <c r="H209" s="12"/>
      <c r="I209" s="12"/>
      <c r="J209" s="216">
        <v>10.0</v>
      </c>
      <c r="K209" s="215" t="s">
        <v>891</v>
      </c>
      <c r="L209" s="216">
        <v>10.0</v>
      </c>
      <c r="M209" s="216">
        <v>200.0</v>
      </c>
      <c r="N209" s="11">
        <f t="shared" si="14"/>
        <v>2000</v>
      </c>
      <c r="O209" s="11" t="s">
        <v>178</v>
      </c>
      <c r="P209" s="93"/>
      <c r="Q209" s="93" t="s">
        <v>249</v>
      </c>
      <c r="R209" s="93" t="s">
        <v>1956</v>
      </c>
      <c r="S209" s="217" t="s">
        <v>908</v>
      </c>
      <c r="T209" s="11" t="str">
        <f>IMAGE("https://5.imimg.com/data5/II/UT/SO/SELLER-1968074/16x2-lcd-display-500x500.jpg",1)</f>
        <v/>
      </c>
      <c r="U209" s="78" t="s">
        <v>1688</v>
      </c>
      <c r="V209" s="74"/>
      <c r="W209" s="75"/>
      <c r="X209" s="12"/>
      <c r="Y209" s="11"/>
      <c r="Z209" s="12">
        <v>1.0</v>
      </c>
      <c r="AA209" s="12"/>
      <c r="AB209" s="12"/>
    </row>
    <row r="210" ht="45.0" hidden="1" customHeight="1">
      <c r="A210" s="11">
        <v>212.0</v>
      </c>
      <c r="B210" s="11" t="s">
        <v>173</v>
      </c>
      <c r="C210" s="93" t="s">
        <v>911</v>
      </c>
      <c r="D210" s="11" t="s">
        <v>910</v>
      </c>
      <c r="E210" s="12"/>
      <c r="F210" s="12"/>
      <c r="G210" s="12"/>
      <c r="H210" s="12"/>
      <c r="I210" s="12"/>
      <c r="J210" s="216">
        <v>20.0</v>
      </c>
      <c r="K210" s="215" t="s">
        <v>891</v>
      </c>
      <c r="L210" s="216">
        <v>20.0</v>
      </c>
      <c r="M210" s="216">
        <v>15.0</v>
      </c>
      <c r="N210" s="11">
        <f t="shared" si="14"/>
        <v>300</v>
      </c>
      <c r="O210" s="11" t="s">
        <v>178</v>
      </c>
      <c r="P210" s="93"/>
      <c r="Q210" s="93" t="s">
        <v>193</v>
      </c>
      <c r="R210" s="93" t="s">
        <v>1903</v>
      </c>
      <c r="S210" s="217" t="s">
        <v>912</v>
      </c>
      <c r="T210" s="11" t="str">
        <f>IMAGE("https://ashokaonlineshop.in/wp-content/uploads/2022/11/650nm-Mini-Laser-Dot-Diode-Module1.jpeg",1)</f>
        <v/>
      </c>
      <c r="U210" s="78" t="s">
        <v>1688</v>
      </c>
      <c r="V210" s="79"/>
      <c r="W210" s="80"/>
      <c r="X210" s="12"/>
      <c r="Y210" s="11"/>
      <c r="Z210" s="12">
        <v>1.0</v>
      </c>
      <c r="AA210" s="12"/>
      <c r="AB210" s="12"/>
    </row>
    <row r="211" ht="45.0" hidden="1" customHeight="1">
      <c r="A211" s="11">
        <v>213.0</v>
      </c>
      <c r="B211" s="11" t="s">
        <v>173</v>
      </c>
      <c r="C211" s="93" t="s">
        <v>1811</v>
      </c>
      <c r="D211" s="11" t="s">
        <v>914</v>
      </c>
      <c r="E211" s="12"/>
      <c r="F211" s="12"/>
      <c r="G211" s="12"/>
      <c r="H211" s="12"/>
      <c r="I211" s="12"/>
      <c r="J211" s="216">
        <v>10.0</v>
      </c>
      <c r="K211" s="215" t="s">
        <v>891</v>
      </c>
      <c r="L211" s="216">
        <v>10.0</v>
      </c>
      <c r="M211" s="216">
        <v>300.0</v>
      </c>
      <c r="N211" s="11">
        <f t="shared" si="14"/>
        <v>3000</v>
      </c>
      <c r="O211" s="11" t="s">
        <v>178</v>
      </c>
      <c r="P211" s="93"/>
      <c r="Q211" s="93" t="s">
        <v>179</v>
      </c>
      <c r="R211" s="93" t="s">
        <v>1956</v>
      </c>
      <c r="S211" s="217" t="s">
        <v>916</v>
      </c>
      <c r="T211" s="11" t="str">
        <f>IMAGE("https://m.media-amazon.com/images/I/51l+Qhaiu3L._SL1000_.jpg",1)</f>
        <v/>
      </c>
      <c r="U211" s="78" t="s">
        <v>1688</v>
      </c>
      <c r="V211" s="74"/>
      <c r="W211" s="75"/>
      <c r="X211" s="12"/>
      <c r="Y211" s="11"/>
      <c r="Z211" s="12">
        <v>1.0</v>
      </c>
      <c r="AA211" s="12"/>
      <c r="AB211" s="12"/>
    </row>
    <row r="212" ht="45.0" hidden="1" customHeight="1">
      <c r="A212" s="11">
        <v>214.0</v>
      </c>
      <c r="B212" s="11" t="s">
        <v>173</v>
      </c>
      <c r="C212" s="93" t="s">
        <v>1820</v>
      </c>
      <c r="D212" s="11" t="s">
        <v>918</v>
      </c>
      <c r="E212" s="12"/>
      <c r="F212" s="12"/>
      <c r="G212" s="12"/>
      <c r="H212" s="12"/>
      <c r="I212" s="12"/>
      <c r="J212" s="216">
        <v>10.0</v>
      </c>
      <c r="K212" s="215" t="s">
        <v>891</v>
      </c>
      <c r="L212" s="216">
        <v>10.0</v>
      </c>
      <c r="M212" s="216">
        <v>100.0</v>
      </c>
      <c r="N212" s="11">
        <f t="shared" si="14"/>
        <v>1000</v>
      </c>
      <c r="O212" s="11" t="s">
        <v>178</v>
      </c>
      <c r="P212" s="93"/>
      <c r="Q212" s="93" t="s">
        <v>1957</v>
      </c>
      <c r="R212" s="93" t="s">
        <v>1905</v>
      </c>
      <c r="S212" s="217" t="s">
        <v>920</v>
      </c>
      <c r="T212" s="11" t="str">
        <f>IMAGE("https://rukminim1.flixcart.com/image/850/1000/k62i5jk0/solar-panel/7/g/q/diy-projects-6v-80ma-wire-attached-mini-power-solar-cells-for-original-imafzm93vcqqnsat.jpeg?q=20")</f>
        <v/>
      </c>
      <c r="U212" s="78" t="s">
        <v>1688</v>
      </c>
      <c r="V212" s="74"/>
      <c r="W212" s="75"/>
      <c r="X212" s="12"/>
      <c r="Y212" s="11"/>
      <c r="Z212" s="12">
        <v>1.0</v>
      </c>
      <c r="AA212" s="12"/>
      <c r="AB212" s="12"/>
    </row>
    <row r="213" ht="45.0" hidden="1" customHeight="1">
      <c r="A213" s="11">
        <v>215.0</v>
      </c>
      <c r="B213" s="11" t="s">
        <v>173</v>
      </c>
      <c r="C213" s="93" t="s">
        <v>923</v>
      </c>
      <c r="D213" s="11" t="s">
        <v>922</v>
      </c>
      <c r="E213" s="12"/>
      <c r="F213" s="12"/>
      <c r="G213" s="12"/>
      <c r="H213" s="12"/>
      <c r="I213" s="12"/>
      <c r="J213" s="216">
        <v>5.0</v>
      </c>
      <c r="K213" s="215" t="s">
        <v>891</v>
      </c>
      <c r="L213" s="216">
        <v>5.0</v>
      </c>
      <c r="M213" s="216">
        <v>250.0</v>
      </c>
      <c r="N213" s="11">
        <f t="shared" si="14"/>
        <v>1250</v>
      </c>
      <c r="O213" s="11" t="s">
        <v>178</v>
      </c>
      <c r="P213" s="93"/>
      <c r="Q213" s="93" t="s">
        <v>249</v>
      </c>
      <c r="R213" s="93" t="s">
        <v>1947</v>
      </c>
      <c r="S213" s="217" t="s">
        <v>924</v>
      </c>
      <c r="T213" s="11" t="str">
        <f>IMAGE("https://robu.in/wp-content/uploads/2017/06/robu-3-13.jpg",1)</f>
        <v/>
      </c>
      <c r="U213" s="78" t="s">
        <v>1688</v>
      </c>
      <c r="V213" s="74"/>
      <c r="W213" s="75"/>
      <c r="X213" s="12"/>
      <c r="Y213" s="11"/>
      <c r="Z213" s="12">
        <v>1.0</v>
      </c>
      <c r="AA213" s="12"/>
      <c r="AB213" s="12"/>
    </row>
    <row r="214" ht="45.0" hidden="1" customHeight="1">
      <c r="A214" s="11">
        <v>216.0</v>
      </c>
      <c r="B214" s="11" t="s">
        <v>173</v>
      </c>
      <c r="C214" s="93" t="s">
        <v>927</v>
      </c>
      <c r="D214" s="11" t="s">
        <v>926</v>
      </c>
      <c r="E214" s="12"/>
      <c r="F214" s="12"/>
      <c r="G214" s="12"/>
      <c r="H214" s="12"/>
      <c r="I214" s="12"/>
      <c r="J214" s="216">
        <v>10.0</v>
      </c>
      <c r="K214" s="215" t="s">
        <v>891</v>
      </c>
      <c r="L214" s="216">
        <v>10.0</v>
      </c>
      <c r="M214" s="216">
        <v>50.0</v>
      </c>
      <c r="N214" s="11">
        <f t="shared" si="14"/>
        <v>500</v>
      </c>
      <c r="O214" s="11" t="s">
        <v>178</v>
      </c>
      <c r="P214" s="93"/>
      <c r="Q214" s="93" t="s">
        <v>179</v>
      </c>
      <c r="R214" s="93" t="s">
        <v>1941</v>
      </c>
      <c r="S214" s="217"/>
      <c r="T214" s="11" t="str">
        <f>IMAGE("https://robu.in/wp-content/uploads/2021/05/0.5W-8OHM-Trumpet-Diameter-36mm-1.jpeg",1)</f>
        <v/>
      </c>
      <c r="U214" s="78" t="s">
        <v>1688</v>
      </c>
      <c r="V214" s="74"/>
      <c r="W214" s="75"/>
      <c r="X214" s="12"/>
      <c r="Y214" s="11"/>
      <c r="Z214" s="12">
        <v>1.0</v>
      </c>
      <c r="AA214" s="12"/>
      <c r="AB214" s="12"/>
    </row>
    <row r="215" ht="45.0" hidden="1" customHeight="1">
      <c r="A215" s="11">
        <v>217.0</v>
      </c>
      <c r="B215" s="11" t="s">
        <v>173</v>
      </c>
      <c r="C215" s="93" t="s">
        <v>930</v>
      </c>
      <c r="D215" s="11" t="s">
        <v>929</v>
      </c>
      <c r="E215" s="12"/>
      <c r="F215" s="12"/>
      <c r="G215" s="12"/>
      <c r="H215" s="12"/>
      <c r="I215" s="12"/>
      <c r="J215" s="216">
        <v>10.0</v>
      </c>
      <c r="K215" s="215" t="s">
        <v>891</v>
      </c>
      <c r="L215" s="216">
        <v>10.0</v>
      </c>
      <c r="M215" s="216">
        <v>40.0</v>
      </c>
      <c r="N215" s="11">
        <f t="shared" si="14"/>
        <v>400</v>
      </c>
      <c r="O215" s="11" t="s">
        <v>178</v>
      </c>
      <c r="P215" s="93"/>
      <c r="Q215" s="93" t="s">
        <v>193</v>
      </c>
      <c r="R215" s="93" t="s">
        <v>1954</v>
      </c>
      <c r="S215" s="217" t="s">
        <v>931</v>
      </c>
      <c r="T215" s="11" t="str">
        <f>IMAGE("https://5.imimg.com/data5/SELLER/Default/2023/2/OP/GV/HH/182244990/water-pump-module-1000x1000.jpg",1)</f>
        <v/>
      </c>
      <c r="U215" s="78" t="s">
        <v>1688</v>
      </c>
      <c r="V215" s="74"/>
      <c r="W215" s="75"/>
      <c r="X215" s="12"/>
      <c r="Y215" s="11"/>
      <c r="Z215" s="12">
        <v>1.0</v>
      </c>
      <c r="AA215" s="12"/>
      <c r="AB215" s="12"/>
    </row>
    <row r="216" ht="45.0" customHeight="1">
      <c r="A216" s="222">
        <v>268.0</v>
      </c>
      <c r="B216" s="222" t="s">
        <v>342</v>
      </c>
      <c r="C216" s="232" t="s">
        <v>1125</v>
      </c>
      <c r="D216" s="222" t="s">
        <v>1124</v>
      </c>
      <c r="E216" s="299"/>
      <c r="F216" s="299"/>
      <c r="G216" s="299"/>
      <c r="H216" s="299"/>
      <c r="I216" s="299" t="s">
        <v>2106</v>
      </c>
      <c r="J216" s="234">
        <v>1.0</v>
      </c>
      <c r="K216" s="233" t="s">
        <v>1032</v>
      </c>
      <c r="L216" s="234">
        <v>1.0</v>
      </c>
      <c r="M216" s="234">
        <v>100.0</v>
      </c>
      <c r="N216" s="222">
        <f t="shared" si="14"/>
        <v>100</v>
      </c>
      <c r="O216" s="222" t="s">
        <v>466</v>
      </c>
      <c r="P216" s="232"/>
      <c r="Q216" s="232"/>
      <c r="R216" s="233" t="s">
        <v>1032</v>
      </c>
      <c r="S216" s="235"/>
      <c r="T216" s="222" t="str">
        <f>IMAGE("https://cdn.shopify.com/s/files/1/0276/7382/1286/products/57_1a2e82a1-0306-49dc-8a29-0c0b2110ddb8_600x.jpg?v=1632245164",1)</f>
        <v/>
      </c>
      <c r="U216" s="358"/>
      <c r="V216" s="621"/>
      <c r="W216" s="339"/>
      <c r="X216" s="360"/>
      <c r="Y216" s="222"/>
      <c r="Z216" s="299">
        <v>3.0</v>
      </c>
      <c r="AA216" s="616"/>
      <c r="AB216" s="616"/>
    </row>
    <row r="217" ht="45.0" hidden="1" customHeight="1">
      <c r="A217" s="11">
        <v>219.0</v>
      </c>
      <c r="B217" s="11" t="s">
        <v>173</v>
      </c>
      <c r="C217" s="93" t="s">
        <v>940</v>
      </c>
      <c r="D217" s="11" t="s">
        <v>939</v>
      </c>
      <c r="E217" s="12"/>
      <c r="F217" s="12"/>
      <c r="G217" s="12"/>
      <c r="H217" s="12"/>
      <c r="I217" s="12"/>
      <c r="J217" s="216">
        <v>5.0</v>
      </c>
      <c r="K217" s="215" t="s">
        <v>891</v>
      </c>
      <c r="L217" s="216">
        <v>5.0</v>
      </c>
      <c r="M217" s="216">
        <v>250.0</v>
      </c>
      <c r="N217" s="11">
        <f t="shared" si="14"/>
        <v>1250</v>
      </c>
      <c r="O217" s="11" t="s">
        <v>178</v>
      </c>
      <c r="P217" s="93"/>
      <c r="Q217" s="93" t="s">
        <v>599</v>
      </c>
      <c r="R217" s="93" t="s">
        <v>1947</v>
      </c>
      <c r="S217" s="217"/>
      <c r="T217" s="11" t="str">
        <f>IMAGE("https://robu.in/wp-content/uploads/2016/03/Ublox-Neo-6M-GPS.jpg",1)</f>
        <v/>
      </c>
      <c r="U217" s="78" t="s">
        <v>1688</v>
      </c>
      <c r="V217" s="74"/>
      <c r="W217" s="75"/>
      <c r="X217" s="12"/>
      <c r="Y217" s="11"/>
      <c r="Z217" s="12">
        <v>1.0</v>
      </c>
      <c r="AA217" s="12"/>
      <c r="AB217" s="12"/>
    </row>
    <row r="218" ht="45.0" hidden="1" customHeight="1">
      <c r="A218" s="11">
        <v>220.0</v>
      </c>
      <c r="B218" s="11" t="s">
        <v>173</v>
      </c>
      <c r="C218" s="93" t="s">
        <v>943</v>
      </c>
      <c r="D218" s="11" t="s">
        <v>942</v>
      </c>
      <c r="E218" s="12"/>
      <c r="F218" s="12"/>
      <c r="G218" s="12"/>
      <c r="H218" s="12"/>
      <c r="I218" s="12"/>
      <c r="J218" s="216">
        <v>5.0</v>
      </c>
      <c r="K218" s="215" t="s">
        <v>891</v>
      </c>
      <c r="L218" s="216">
        <v>5.0</v>
      </c>
      <c r="M218" s="216">
        <v>40.0</v>
      </c>
      <c r="N218" s="11">
        <f t="shared" si="14"/>
        <v>200</v>
      </c>
      <c r="O218" s="11" t="s">
        <v>178</v>
      </c>
      <c r="P218" s="93"/>
      <c r="Q218" s="93" t="s">
        <v>599</v>
      </c>
      <c r="R218" s="93" t="s">
        <v>1947</v>
      </c>
      <c r="S218" s="217" t="s">
        <v>944</v>
      </c>
      <c r="T218" s="11" t="str">
        <f>IMAGE("https://m.media-amazon.com/images/W/MEDIAX_792452-T2/images/I/51cWZAAMiWL._SL1000_.jpg",1)</f>
        <v/>
      </c>
      <c r="U218" s="78" t="s">
        <v>1688</v>
      </c>
      <c r="V218" s="74"/>
      <c r="W218" s="75"/>
      <c r="X218" s="12"/>
      <c r="Y218" s="11"/>
      <c r="Z218" s="12">
        <v>1.0</v>
      </c>
      <c r="AA218" s="12"/>
      <c r="AB218" s="12"/>
    </row>
    <row r="219" ht="45.0" hidden="1" customHeight="1">
      <c r="A219" s="11">
        <v>221.0</v>
      </c>
      <c r="B219" s="11" t="s">
        <v>173</v>
      </c>
      <c r="C219" s="93" t="s">
        <v>947</v>
      </c>
      <c r="D219" s="11" t="s">
        <v>946</v>
      </c>
      <c r="E219" s="12"/>
      <c r="F219" s="12"/>
      <c r="G219" s="12"/>
      <c r="H219" s="12"/>
      <c r="I219" s="12"/>
      <c r="J219" s="216">
        <v>5.0</v>
      </c>
      <c r="K219" s="215" t="s">
        <v>891</v>
      </c>
      <c r="L219" s="216">
        <v>5.0</v>
      </c>
      <c r="M219" s="216">
        <v>40.0</v>
      </c>
      <c r="N219" s="11">
        <f t="shared" si="14"/>
        <v>200</v>
      </c>
      <c r="O219" s="11" t="s">
        <v>178</v>
      </c>
      <c r="P219" s="93"/>
      <c r="Q219" s="93" t="s">
        <v>599</v>
      </c>
      <c r="R219" s="93" t="s">
        <v>1947</v>
      </c>
      <c r="S219" s="217"/>
      <c r="T219" s="11" t="str">
        <f>IMAGE("https://m.media-amazon.com/images/W/MEDIAX_792452-T2/images/I/61wbYlIdx0L._SL1500_.jpg",1)</f>
        <v/>
      </c>
      <c r="U219" s="78" t="s">
        <v>1688</v>
      </c>
      <c r="V219" s="74"/>
      <c r="W219" s="75"/>
      <c r="X219" s="12"/>
      <c r="Y219" s="11"/>
      <c r="Z219" s="12">
        <v>1.0</v>
      </c>
      <c r="AA219" s="12"/>
      <c r="AB219" s="12"/>
    </row>
    <row r="220" ht="45.0" hidden="1" customHeight="1">
      <c r="A220" s="11">
        <v>222.0</v>
      </c>
      <c r="B220" s="11" t="s">
        <v>173</v>
      </c>
      <c r="C220" s="93" t="s">
        <v>950</v>
      </c>
      <c r="D220" s="11" t="s">
        <v>949</v>
      </c>
      <c r="E220" s="12"/>
      <c r="F220" s="12"/>
      <c r="G220" s="12"/>
      <c r="H220" s="12"/>
      <c r="I220" s="12"/>
      <c r="J220" s="216">
        <v>10.0</v>
      </c>
      <c r="K220" s="215" t="s">
        <v>891</v>
      </c>
      <c r="L220" s="216">
        <v>10.0</v>
      </c>
      <c r="M220" s="216">
        <v>40.0</v>
      </c>
      <c r="N220" s="11">
        <f t="shared" si="14"/>
        <v>400</v>
      </c>
      <c r="O220" s="11" t="s">
        <v>178</v>
      </c>
      <c r="P220" s="93"/>
      <c r="Q220" s="93" t="s">
        <v>599</v>
      </c>
      <c r="R220" s="93" t="s">
        <v>1947</v>
      </c>
      <c r="S220" s="217" t="s">
        <v>951</v>
      </c>
      <c r="T220" s="11" t="str">
        <f>IMAGE("https://5.imimg.com/data5/SELLER/Default/2022/9/HX/YZ/GJ/43948449/micro-sd-card-adapter-with-level-shifter-500x500.png",1)</f>
        <v/>
      </c>
      <c r="U220" s="78" t="s">
        <v>1688</v>
      </c>
      <c r="V220" s="74"/>
      <c r="W220" s="75"/>
      <c r="X220" s="12"/>
      <c r="Y220" s="11"/>
      <c r="Z220" s="12">
        <v>1.0</v>
      </c>
      <c r="AA220" s="12"/>
      <c r="AB220" s="12"/>
    </row>
    <row r="221" ht="45.0" hidden="1" customHeight="1">
      <c r="A221" s="11">
        <v>223.0</v>
      </c>
      <c r="B221" s="11" t="s">
        <v>173</v>
      </c>
      <c r="C221" s="93" t="s">
        <v>1958</v>
      </c>
      <c r="D221" s="11" t="s">
        <v>953</v>
      </c>
      <c r="E221" s="12"/>
      <c r="F221" s="12"/>
      <c r="G221" s="12"/>
      <c r="H221" s="12"/>
      <c r="I221" s="12" t="s">
        <v>2448</v>
      </c>
      <c r="J221" s="216">
        <v>10.0</v>
      </c>
      <c r="K221" s="215" t="s">
        <v>891</v>
      </c>
      <c r="L221" s="216">
        <v>10.0</v>
      </c>
      <c r="M221" s="216">
        <v>200.0</v>
      </c>
      <c r="N221" s="11">
        <f t="shared" si="14"/>
        <v>2000</v>
      </c>
      <c r="O221" s="11" t="s">
        <v>178</v>
      </c>
      <c r="P221" s="93"/>
      <c r="Q221" s="93" t="s">
        <v>66</v>
      </c>
      <c r="R221" s="93" t="s">
        <v>1947</v>
      </c>
      <c r="S221" s="223" t="s">
        <v>955</v>
      </c>
      <c r="T221" s="11" t="str">
        <f>IMAGE("https://robu.in/wp-content/uploads/2020/09/L298P-Motor-Driver-Shield-for-Arduino-3.jpg",1)</f>
        <v/>
      </c>
      <c r="U221" s="78" t="s">
        <v>1688</v>
      </c>
      <c r="V221" s="74"/>
      <c r="W221" s="75"/>
      <c r="X221" s="12"/>
      <c r="Y221" s="11"/>
      <c r="Z221" s="12">
        <v>1.0</v>
      </c>
      <c r="AA221" s="12"/>
      <c r="AB221" s="12"/>
    </row>
    <row r="222" ht="45.0" hidden="1" customHeight="1">
      <c r="A222" s="11">
        <v>224.0</v>
      </c>
      <c r="B222" s="11" t="s">
        <v>173</v>
      </c>
      <c r="C222" s="93" t="s">
        <v>1760</v>
      </c>
      <c r="D222" s="11" t="s">
        <v>957</v>
      </c>
      <c r="E222" s="12"/>
      <c r="F222" s="12"/>
      <c r="G222" s="12"/>
      <c r="H222" s="12"/>
      <c r="I222" s="12"/>
      <c r="J222" s="216">
        <v>5.0</v>
      </c>
      <c r="K222" s="215" t="s">
        <v>891</v>
      </c>
      <c r="L222" s="216">
        <v>5.0</v>
      </c>
      <c r="M222" s="216">
        <v>95.0</v>
      </c>
      <c r="N222" s="11">
        <f t="shared" si="14"/>
        <v>475</v>
      </c>
      <c r="O222" s="11" t="s">
        <v>178</v>
      </c>
      <c r="P222" s="93"/>
      <c r="Q222" s="93" t="s">
        <v>599</v>
      </c>
      <c r="R222" s="93" t="s">
        <v>1947</v>
      </c>
      <c r="S222" s="217" t="s">
        <v>959</v>
      </c>
      <c r="T222" s="11" t="str">
        <f>IMAGE("https://m.media-amazon.com/images/I/41Y-5b4TQcL.jpg",1)</f>
        <v/>
      </c>
      <c r="U222" s="78" t="s">
        <v>1688</v>
      </c>
      <c r="V222" s="74"/>
      <c r="W222" s="75"/>
      <c r="X222" s="12"/>
      <c r="Y222" s="11"/>
      <c r="Z222" s="12">
        <v>1.0</v>
      </c>
      <c r="AA222" s="12"/>
      <c r="AB222" s="12"/>
    </row>
    <row r="223" ht="45.0" hidden="1" customHeight="1">
      <c r="A223" s="11">
        <v>225.0</v>
      </c>
      <c r="B223" s="11" t="s">
        <v>173</v>
      </c>
      <c r="C223" s="93" t="s">
        <v>962</v>
      </c>
      <c r="D223" s="11" t="s">
        <v>961</v>
      </c>
      <c r="E223" s="12"/>
      <c r="F223" s="12"/>
      <c r="G223" s="12"/>
      <c r="H223" s="12"/>
      <c r="I223" s="12"/>
      <c r="J223" s="216">
        <v>10.0</v>
      </c>
      <c r="K223" s="215" t="s">
        <v>891</v>
      </c>
      <c r="L223" s="216">
        <v>10.0</v>
      </c>
      <c r="M223" s="216">
        <v>500.0</v>
      </c>
      <c r="N223" s="11">
        <f t="shared" si="14"/>
        <v>5000</v>
      </c>
      <c r="O223" s="11" t="s">
        <v>178</v>
      </c>
      <c r="P223" s="93"/>
      <c r="Q223" s="93" t="s">
        <v>599</v>
      </c>
      <c r="R223" s="93" t="s">
        <v>1947</v>
      </c>
      <c r="S223" s="217" t="s">
        <v>963</v>
      </c>
      <c r="T223" s="11" t="str">
        <f>IMAGE("https://robu.in/wp-content/uploads/2016/02/617hpF6cJbL._SL1000_.jpg",1)</f>
        <v/>
      </c>
      <c r="U223" s="78" t="s">
        <v>1688</v>
      </c>
      <c r="V223" s="74"/>
      <c r="W223" s="75"/>
      <c r="X223" s="5"/>
      <c r="Y223" s="14"/>
      <c r="Z223" s="12">
        <v>1.0</v>
      </c>
      <c r="AA223" s="12"/>
      <c r="AB223" s="12"/>
    </row>
    <row r="224" ht="45.0" hidden="1" customHeight="1">
      <c r="A224" s="222">
        <v>226.0</v>
      </c>
      <c r="B224" s="222" t="s">
        <v>321</v>
      </c>
      <c r="C224" s="232" t="s">
        <v>1959</v>
      </c>
      <c r="D224" s="222" t="s">
        <v>965</v>
      </c>
      <c r="E224" s="299"/>
      <c r="F224" s="299"/>
      <c r="G224" s="299"/>
      <c r="H224" s="299"/>
      <c r="I224" s="299" t="s">
        <v>2370</v>
      </c>
      <c r="J224" s="234">
        <v>6.0</v>
      </c>
      <c r="K224" s="233" t="s">
        <v>326</v>
      </c>
      <c r="L224" s="234">
        <v>6.0</v>
      </c>
      <c r="M224" s="234">
        <v>600.0</v>
      </c>
      <c r="N224" s="222">
        <f t="shared" si="14"/>
        <v>3600</v>
      </c>
      <c r="O224" s="222" t="s">
        <v>326</v>
      </c>
      <c r="P224" s="622"/>
      <c r="Q224" s="232" t="s">
        <v>1960</v>
      </c>
      <c r="R224" s="232" t="s">
        <v>1901</v>
      </c>
      <c r="S224" s="357" t="s">
        <v>967</v>
      </c>
      <c r="T224" s="222" t="str">
        <f>IMAGE("https://www.220converters.com/resize/Shared/images/Product/Seven-Star-ES5C-220-Volt-Universal-5-Outlet-Power-Strip-With-Surge-Protection-220V-240V/es5c.jpg?bw=500&amp;bh=500",1)</f>
        <v/>
      </c>
      <c r="U224" s="358"/>
      <c r="V224" s="359"/>
      <c r="W224" s="336"/>
      <c r="X224" s="623"/>
      <c r="Y224" s="222"/>
      <c r="Z224" s="299">
        <v>1.0</v>
      </c>
      <c r="AA224" s="299"/>
      <c r="AB224" s="299"/>
    </row>
    <row r="225" ht="45.0" customHeight="1">
      <c r="A225" s="624">
        <v>396.0</v>
      </c>
      <c r="B225" s="624" t="s">
        <v>173</v>
      </c>
      <c r="C225" s="625" t="s">
        <v>1646</v>
      </c>
      <c r="D225" s="624" t="s">
        <v>1645</v>
      </c>
      <c r="E225" s="626"/>
      <c r="F225" s="626"/>
      <c r="G225" s="626"/>
      <c r="H225" s="626"/>
      <c r="I225" s="12" t="s">
        <v>2261</v>
      </c>
      <c r="J225" s="627">
        <v>5.0</v>
      </c>
      <c r="K225" s="628" t="s">
        <v>1628</v>
      </c>
      <c r="L225" s="627">
        <v>5.0</v>
      </c>
      <c r="M225" s="627">
        <v>20.0</v>
      </c>
      <c r="N225" s="624">
        <f t="shared" si="14"/>
        <v>100</v>
      </c>
      <c r="O225" s="624" t="s">
        <v>178</v>
      </c>
      <c r="P225" s="625"/>
      <c r="Q225" s="625" t="s">
        <v>110</v>
      </c>
      <c r="R225" s="625" t="s">
        <v>1628</v>
      </c>
      <c r="S225" s="629" t="s">
        <v>1647</v>
      </c>
      <c r="T225" s="624" t="str">
        <f>IMAGE("https://5.imimg.com/data5/SELLER/Default/2022/1/IK/KY/AC/131638211/31tvrpe7ijl-500x500.jpg")</f>
        <v/>
      </c>
      <c r="U225" s="630" t="s">
        <v>1725</v>
      </c>
      <c r="V225" s="631"/>
      <c r="W225" s="632"/>
      <c r="X225" s="633"/>
      <c r="Y225" s="624"/>
      <c r="Z225" s="12">
        <v>2.0</v>
      </c>
      <c r="AA225" s="616" t="s">
        <v>2430</v>
      </c>
      <c r="AB225" s="616">
        <v>1.0</v>
      </c>
    </row>
    <row r="226" ht="45.0" customHeight="1">
      <c r="A226" s="624">
        <v>397.0</v>
      </c>
      <c r="B226" s="624" t="s">
        <v>173</v>
      </c>
      <c r="C226" s="625" t="s">
        <v>1650</v>
      </c>
      <c r="D226" s="624" t="s">
        <v>1649</v>
      </c>
      <c r="E226" s="626"/>
      <c r="F226" s="626"/>
      <c r="G226" s="626"/>
      <c r="H226" s="626"/>
      <c r="I226" s="12" t="s">
        <v>2261</v>
      </c>
      <c r="J226" s="627">
        <v>10.0</v>
      </c>
      <c r="K226" s="628" t="s">
        <v>1628</v>
      </c>
      <c r="L226" s="627">
        <v>10.0</v>
      </c>
      <c r="M226" s="627">
        <v>20.0</v>
      </c>
      <c r="N226" s="624">
        <f t="shared" si="14"/>
        <v>200</v>
      </c>
      <c r="O226" s="624" t="s">
        <v>178</v>
      </c>
      <c r="P226" s="625"/>
      <c r="Q226" s="625" t="s">
        <v>110</v>
      </c>
      <c r="R226" s="625" t="s">
        <v>1628</v>
      </c>
      <c r="S226" s="629" t="s">
        <v>1651</v>
      </c>
      <c r="T226" s="624" t="str">
        <f>IMAGE("https://i0.wp.com/roboticsdna.in/wp-content/uploads/2020/11/IRON-TIP-1.png?fit=1000%2C1000&amp;ssl=1",1)</f>
        <v/>
      </c>
      <c r="U226" s="634" t="s">
        <v>1725</v>
      </c>
      <c r="V226" s="635"/>
      <c r="W226" s="632"/>
      <c r="X226" s="626"/>
      <c r="Y226" s="624"/>
      <c r="Z226" s="12">
        <v>2.0</v>
      </c>
      <c r="AA226" s="616" t="s">
        <v>2430</v>
      </c>
      <c r="AB226" s="616">
        <v>1.0</v>
      </c>
    </row>
    <row r="227" ht="45.0" customHeight="1">
      <c r="A227" s="624">
        <v>398.0</v>
      </c>
      <c r="B227" s="624" t="s">
        <v>173</v>
      </c>
      <c r="C227" s="625" t="s">
        <v>1654</v>
      </c>
      <c r="D227" s="624" t="s">
        <v>1653</v>
      </c>
      <c r="E227" s="626"/>
      <c r="F227" s="626"/>
      <c r="G227" s="626"/>
      <c r="H227" s="626"/>
      <c r="I227" s="12" t="s">
        <v>2261</v>
      </c>
      <c r="J227" s="627">
        <v>10.0</v>
      </c>
      <c r="K227" s="628" t="s">
        <v>1628</v>
      </c>
      <c r="L227" s="627">
        <v>10.0</v>
      </c>
      <c r="M227" s="627">
        <v>20.0</v>
      </c>
      <c r="N227" s="624">
        <f t="shared" si="14"/>
        <v>200</v>
      </c>
      <c r="O227" s="624" t="s">
        <v>178</v>
      </c>
      <c r="P227" s="625"/>
      <c r="Q227" s="625" t="s">
        <v>110</v>
      </c>
      <c r="R227" s="625" t="s">
        <v>1628</v>
      </c>
      <c r="S227" s="629" t="s">
        <v>1655</v>
      </c>
      <c r="T227" s="624" t="str">
        <f>IMAGE("https://www.toolworld.in/storage/media/product/1656317774.jpg",1)</f>
        <v/>
      </c>
      <c r="U227" s="630" t="s">
        <v>1725</v>
      </c>
      <c r="V227" s="631"/>
      <c r="W227" s="632"/>
      <c r="X227" s="633"/>
      <c r="Y227" s="624"/>
      <c r="Z227" s="12">
        <v>2.0</v>
      </c>
      <c r="AA227" s="616" t="s">
        <v>2430</v>
      </c>
      <c r="AB227" s="616">
        <v>1.0</v>
      </c>
    </row>
    <row r="228" ht="45.0" hidden="1" customHeight="1">
      <c r="A228" s="11">
        <v>230.0</v>
      </c>
      <c r="B228" s="11" t="s">
        <v>15</v>
      </c>
      <c r="C228" s="93" t="s">
        <v>980</v>
      </c>
      <c r="D228" s="11" t="s">
        <v>979</v>
      </c>
      <c r="E228" s="12"/>
      <c r="F228" s="12"/>
      <c r="G228" s="12"/>
      <c r="H228" s="12"/>
      <c r="I228" s="12"/>
      <c r="J228" s="216">
        <v>5.0</v>
      </c>
      <c r="K228" s="215" t="s">
        <v>981</v>
      </c>
      <c r="L228" s="216">
        <v>5.0</v>
      </c>
      <c r="M228" s="218">
        <v>20.0</v>
      </c>
      <c r="N228" s="11">
        <f t="shared" si="14"/>
        <v>100</v>
      </c>
      <c r="O228" s="11" t="s">
        <v>20</v>
      </c>
      <c r="P228" s="93" t="s">
        <v>77</v>
      </c>
      <c r="Q228" s="93" t="s">
        <v>65</v>
      </c>
      <c r="R228" s="215" t="s">
        <v>981</v>
      </c>
      <c r="S228" s="217" t="s">
        <v>982</v>
      </c>
      <c r="T228" s="11" t="str">
        <f t="shared" ref="T228:T230" si="15">IMAGE("https://encrypted-tbn0.gstatic.com/=IMAGEs?q=tbn:ANd9GcSdcvov5296EXdnf0Fj0qF-G6iK-nu0n6Z4THAWosUzBx_wQ7GuJyrL0Rnbt1uBxLroiao&amp;usqp=CAU",1)</f>
        <v/>
      </c>
      <c r="U228" s="78"/>
      <c r="V228" s="74"/>
      <c r="W228" s="75"/>
      <c r="X228" s="12"/>
      <c r="Y228" s="11"/>
      <c r="Z228" s="12">
        <v>1.0</v>
      </c>
      <c r="AA228" s="12"/>
      <c r="AB228" s="12"/>
    </row>
    <row r="229" ht="45.0" hidden="1" customHeight="1">
      <c r="A229" s="11">
        <v>231.0</v>
      </c>
      <c r="B229" s="11" t="s">
        <v>15</v>
      </c>
      <c r="C229" s="93" t="s">
        <v>985</v>
      </c>
      <c r="D229" s="11" t="s">
        <v>984</v>
      </c>
      <c r="E229" s="12"/>
      <c r="F229" s="12"/>
      <c r="G229" s="12"/>
      <c r="H229" s="12"/>
      <c r="I229" s="12"/>
      <c r="J229" s="216">
        <v>5.0</v>
      </c>
      <c r="K229" s="215" t="s">
        <v>981</v>
      </c>
      <c r="L229" s="216">
        <v>5.0</v>
      </c>
      <c r="M229" s="218">
        <v>40.0</v>
      </c>
      <c r="N229" s="11">
        <f t="shared" si="14"/>
        <v>200</v>
      </c>
      <c r="O229" s="11" t="s">
        <v>20</v>
      </c>
      <c r="P229" s="93" t="s">
        <v>77</v>
      </c>
      <c r="Q229" s="93" t="s">
        <v>65</v>
      </c>
      <c r="R229" s="215" t="s">
        <v>981</v>
      </c>
      <c r="S229" s="217" t="s">
        <v>986</v>
      </c>
      <c r="T229" s="11" t="str">
        <f t="shared" si="15"/>
        <v/>
      </c>
      <c r="U229" s="78"/>
      <c r="V229" s="74"/>
      <c r="W229" s="75"/>
      <c r="X229" s="12"/>
      <c r="Y229" s="11"/>
      <c r="Z229" s="12">
        <v>1.0</v>
      </c>
      <c r="AA229" s="12"/>
      <c r="AB229" s="12"/>
    </row>
    <row r="230" ht="45.0" hidden="1" customHeight="1">
      <c r="A230" s="11">
        <v>232.0</v>
      </c>
      <c r="B230" s="11" t="s">
        <v>15</v>
      </c>
      <c r="C230" s="93" t="s">
        <v>989</v>
      </c>
      <c r="D230" s="11" t="s">
        <v>988</v>
      </c>
      <c r="E230" s="12"/>
      <c r="F230" s="12"/>
      <c r="G230" s="12"/>
      <c r="H230" s="12"/>
      <c r="I230" s="12"/>
      <c r="J230" s="216">
        <v>2.0</v>
      </c>
      <c r="K230" s="215" t="s">
        <v>981</v>
      </c>
      <c r="L230" s="216">
        <v>2.0</v>
      </c>
      <c r="M230" s="218">
        <v>50.0</v>
      </c>
      <c r="N230" s="11">
        <f t="shared" si="14"/>
        <v>100</v>
      </c>
      <c r="O230" s="11" t="s">
        <v>20</v>
      </c>
      <c r="P230" s="93" t="s">
        <v>77</v>
      </c>
      <c r="Q230" s="93" t="s">
        <v>65</v>
      </c>
      <c r="R230" s="93" t="s">
        <v>981</v>
      </c>
      <c r="S230" s="217" t="s">
        <v>990</v>
      </c>
      <c r="T230" s="11" t="str">
        <f t="shared" si="15"/>
        <v/>
      </c>
      <c r="U230" s="78"/>
      <c r="V230" s="74"/>
      <c r="W230" s="75"/>
      <c r="X230" s="12"/>
      <c r="Y230" s="11"/>
      <c r="Z230" s="12">
        <v>1.0</v>
      </c>
      <c r="AA230" s="12"/>
      <c r="AB230" s="12"/>
    </row>
    <row r="231" ht="45.0" hidden="1" customHeight="1">
      <c r="A231" s="222">
        <v>233.0</v>
      </c>
      <c r="B231" s="222" t="s">
        <v>15</v>
      </c>
      <c r="C231" s="232" t="s">
        <v>993</v>
      </c>
      <c r="D231" s="222" t="s">
        <v>992</v>
      </c>
      <c r="E231" s="299"/>
      <c r="F231" s="299"/>
      <c r="G231" s="299"/>
      <c r="H231" s="299"/>
      <c r="I231" s="299"/>
      <c r="J231" s="234">
        <v>5.0</v>
      </c>
      <c r="K231" s="233" t="s">
        <v>981</v>
      </c>
      <c r="L231" s="234">
        <v>5.0</v>
      </c>
      <c r="M231" s="337">
        <v>50.0</v>
      </c>
      <c r="N231" s="222">
        <f t="shared" si="14"/>
        <v>250</v>
      </c>
      <c r="O231" s="222" t="s">
        <v>20</v>
      </c>
      <c r="P231" s="232" t="s">
        <v>77</v>
      </c>
      <c r="Q231" s="232" t="s">
        <v>65</v>
      </c>
      <c r="R231" s="233" t="s">
        <v>981</v>
      </c>
      <c r="S231" s="235" t="s">
        <v>994</v>
      </c>
      <c r="T231" s="222" t="str">
        <f t="shared" ref="T231:T233" si="16">IMAGE("https://encrypted-tbn0.gstatic.com/=IMAGEs?q=tbn:ANd9GcTv3YU2gmM00qoI79XpKhq-dV1wM5aPXrLsmrVwQWwEda0tuTarN0ncQ0DMg_JUYk4IBe4&amp;usqp=CAU",1)</f>
        <v/>
      </c>
      <c r="U231" s="358"/>
      <c r="V231" s="359"/>
      <c r="W231" s="336"/>
      <c r="X231" s="360"/>
      <c r="Y231" s="222"/>
      <c r="Z231" s="299">
        <v>1.0</v>
      </c>
      <c r="AA231" s="299"/>
      <c r="AB231" s="299"/>
    </row>
    <row r="232" ht="45.0" hidden="1" customHeight="1">
      <c r="A232" s="222">
        <v>234.0</v>
      </c>
      <c r="B232" s="222" t="s">
        <v>15</v>
      </c>
      <c r="C232" s="232" t="s">
        <v>997</v>
      </c>
      <c r="D232" s="222" t="s">
        <v>996</v>
      </c>
      <c r="E232" s="299"/>
      <c r="F232" s="299"/>
      <c r="G232" s="299"/>
      <c r="H232" s="299"/>
      <c r="I232" s="299"/>
      <c r="J232" s="234">
        <v>5.0</v>
      </c>
      <c r="K232" s="233" t="s">
        <v>981</v>
      </c>
      <c r="L232" s="234">
        <v>5.0</v>
      </c>
      <c r="M232" s="337">
        <v>130.0</v>
      </c>
      <c r="N232" s="222">
        <f t="shared" si="14"/>
        <v>650</v>
      </c>
      <c r="O232" s="222" t="s">
        <v>20</v>
      </c>
      <c r="P232" s="232" t="s">
        <v>77</v>
      </c>
      <c r="Q232" s="232" t="s">
        <v>65</v>
      </c>
      <c r="R232" s="233" t="s">
        <v>981</v>
      </c>
      <c r="S232" s="235" t="s">
        <v>994</v>
      </c>
      <c r="T232" s="222" t="str">
        <f t="shared" si="16"/>
        <v/>
      </c>
      <c r="U232" s="358"/>
      <c r="V232" s="621"/>
      <c r="W232" s="339"/>
      <c r="X232" s="360"/>
      <c r="Y232" s="222"/>
      <c r="Z232" s="299">
        <v>1.0</v>
      </c>
      <c r="AA232" s="299"/>
      <c r="AB232" s="299"/>
    </row>
    <row r="233" ht="45.0" hidden="1" customHeight="1">
      <c r="A233" s="222">
        <v>235.0</v>
      </c>
      <c r="B233" s="222" t="s">
        <v>15</v>
      </c>
      <c r="C233" s="232" t="s">
        <v>1000</v>
      </c>
      <c r="D233" s="222" t="s">
        <v>999</v>
      </c>
      <c r="E233" s="299"/>
      <c r="F233" s="299"/>
      <c r="G233" s="299"/>
      <c r="H233" s="299"/>
      <c r="I233" s="299"/>
      <c r="J233" s="234">
        <v>5.0</v>
      </c>
      <c r="K233" s="233" t="s">
        <v>981</v>
      </c>
      <c r="L233" s="234">
        <v>5.0</v>
      </c>
      <c r="M233" s="337">
        <v>180.0</v>
      </c>
      <c r="N233" s="222">
        <f t="shared" si="14"/>
        <v>900</v>
      </c>
      <c r="O233" s="222" t="s">
        <v>20</v>
      </c>
      <c r="P233" s="232" t="s">
        <v>77</v>
      </c>
      <c r="Q233" s="232" t="s">
        <v>65</v>
      </c>
      <c r="R233" s="233" t="s">
        <v>981</v>
      </c>
      <c r="S233" s="235" t="s">
        <v>1001</v>
      </c>
      <c r="T233" s="222" t="str">
        <f t="shared" si="16"/>
        <v/>
      </c>
      <c r="U233" s="358"/>
      <c r="V233" s="359"/>
      <c r="W233" s="336"/>
      <c r="X233" s="360"/>
      <c r="Y233" s="222"/>
      <c r="Z233" s="299">
        <v>1.0</v>
      </c>
      <c r="AA233" s="299"/>
      <c r="AB233" s="299"/>
    </row>
    <row r="234" ht="45.0" hidden="1" customHeight="1">
      <c r="A234" s="222">
        <v>236.0</v>
      </c>
      <c r="B234" s="222" t="s">
        <v>15</v>
      </c>
      <c r="C234" s="232" t="s">
        <v>1004</v>
      </c>
      <c r="D234" s="222" t="s">
        <v>1003</v>
      </c>
      <c r="E234" s="299"/>
      <c r="F234" s="299"/>
      <c r="G234" s="299"/>
      <c r="H234" s="299"/>
      <c r="I234" s="299" t="s">
        <v>2434</v>
      </c>
      <c r="J234" s="234">
        <v>1.0</v>
      </c>
      <c r="K234" s="233" t="s">
        <v>981</v>
      </c>
      <c r="L234" s="234">
        <v>1.0</v>
      </c>
      <c r="M234" s="234">
        <v>250.0</v>
      </c>
      <c r="N234" s="222">
        <f t="shared" si="14"/>
        <v>250</v>
      </c>
      <c r="O234" s="222" t="s">
        <v>20</v>
      </c>
      <c r="P234" s="232" t="s">
        <v>77</v>
      </c>
      <c r="Q234" s="232" t="s">
        <v>65</v>
      </c>
      <c r="R234" s="233" t="s">
        <v>981</v>
      </c>
      <c r="S234" s="235" t="s">
        <v>1005</v>
      </c>
      <c r="T234" s="222" t="str">
        <f>IMAGE("https://3.imimg.com/data3/QQ/JR/MY-2/plastic-twine-500x500.jpg",1)</f>
        <v/>
      </c>
      <c r="U234" s="358"/>
      <c r="V234" s="359"/>
      <c r="W234" s="336"/>
      <c r="X234" s="360"/>
      <c r="Y234" s="222"/>
      <c r="Z234" s="299">
        <v>1.0</v>
      </c>
      <c r="AA234" s="299"/>
      <c r="AB234" s="299"/>
    </row>
    <row r="235" ht="45.0" hidden="1" customHeight="1">
      <c r="A235" s="11">
        <v>237.0</v>
      </c>
      <c r="B235" s="11" t="s">
        <v>15</v>
      </c>
      <c r="C235" s="93" t="s">
        <v>1008</v>
      </c>
      <c r="D235" s="11" t="s">
        <v>1007</v>
      </c>
      <c r="E235" s="12"/>
      <c r="F235" s="12"/>
      <c r="G235" s="12"/>
      <c r="H235" s="12"/>
      <c r="I235" s="12"/>
      <c r="J235" s="216">
        <v>1.0</v>
      </c>
      <c r="K235" s="215" t="s">
        <v>981</v>
      </c>
      <c r="L235" s="216">
        <v>1.0</v>
      </c>
      <c r="M235" s="216">
        <v>200.0</v>
      </c>
      <c r="N235" s="11">
        <f t="shared" si="14"/>
        <v>200</v>
      </c>
      <c r="O235" s="11" t="s">
        <v>20</v>
      </c>
      <c r="P235" s="93" t="s">
        <v>77</v>
      </c>
      <c r="Q235" s="93" t="s">
        <v>110</v>
      </c>
      <c r="R235" s="93" t="s">
        <v>111</v>
      </c>
      <c r="S235" s="217" t="s">
        <v>1009</v>
      </c>
      <c r="T235" s="11" t="str">
        <f>IMAGE("https://5.imimg.com/data5/KE/BV/MY-37063415/elastic-rubber-band-500x500.jpg",1)</f>
        <v/>
      </c>
      <c r="U235" s="78"/>
      <c r="V235" s="74"/>
      <c r="W235" s="75"/>
      <c r="X235" s="12"/>
      <c r="Y235" s="11"/>
      <c r="Z235" s="12">
        <v>1.0</v>
      </c>
      <c r="AA235" s="12"/>
      <c r="AB235" s="12"/>
    </row>
    <row r="236" ht="45.0" hidden="1" customHeight="1">
      <c r="A236" s="11">
        <v>238.0</v>
      </c>
      <c r="B236" s="11" t="s">
        <v>15</v>
      </c>
      <c r="C236" s="93" t="s">
        <v>1012</v>
      </c>
      <c r="D236" s="11" t="s">
        <v>1011</v>
      </c>
      <c r="E236" s="12"/>
      <c r="F236" s="12"/>
      <c r="G236" s="12"/>
      <c r="H236" s="12"/>
      <c r="I236" s="12"/>
      <c r="J236" s="216">
        <v>1.0</v>
      </c>
      <c r="K236" s="215" t="s">
        <v>981</v>
      </c>
      <c r="L236" s="216">
        <v>1.0</v>
      </c>
      <c r="M236" s="216">
        <v>200.0</v>
      </c>
      <c r="N236" s="11">
        <f t="shared" si="14"/>
        <v>200</v>
      </c>
      <c r="O236" s="11" t="s">
        <v>20</v>
      </c>
      <c r="P236" s="93" t="s">
        <v>77</v>
      </c>
      <c r="Q236" s="93" t="s">
        <v>110</v>
      </c>
      <c r="R236" s="93" t="s">
        <v>111</v>
      </c>
      <c r="S236" s="217" t="s">
        <v>1013</v>
      </c>
      <c r="T236" s="11" t="str">
        <f>IMAGE("https://5.imimg.com/data5/BN/VV/MY-31202642/rubber-band-500x500.jpg",1)</f>
        <v/>
      </c>
      <c r="U236" s="78"/>
      <c r="V236" s="74"/>
      <c r="W236" s="75"/>
      <c r="X236" s="12"/>
      <c r="Y236" s="11"/>
      <c r="Z236" s="12">
        <v>1.0</v>
      </c>
      <c r="AA236" s="12"/>
      <c r="AB236" s="12"/>
    </row>
    <row r="237" ht="45.0" hidden="1" customHeight="1">
      <c r="A237" s="11">
        <v>239.0</v>
      </c>
      <c r="B237" s="11" t="s">
        <v>15</v>
      </c>
      <c r="C237" s="93" t="s">
        <v>1016</v>
      </c>
      <c r="D237" s="11" t="s">
        <v>1015</v>
      </c>
      <c r="E237" s="12"/>
      <c r="F237" s="12"/>
      <c r="G237" s="12"/>
      <c r="H237" s="12"/>
      <c r="I237" s="12"/>
      <c r="J237" s="216">
        <v>1.0</v>
      </c>
      <c r="K237" s="215" t="s">
        <v>981</v>
      </c>
      <c r="L237" s="216">
        <v>1.0</v>
      </c>
      <c r="M237" s="216">
        <v>200.0</v>
      </c>
      <c r="N237" s="11">
        <f t="shared" si="14"/>
        <v>200</v>
      </c>
      <c r="O237" s="11" t="s">
        <v>20</v>
      </c>
      <c r="P237" s="93" t="s">
        <v>77</v>
      </c>
      <c r="Q237" s="93" t="s">
        <v>110</v>
      </c>
      <c r="R237" s="93" t="s">
        <v>111</v>
      </c>
      <c r="S237" s="217"/>
      <c r="T237" s="11" t="str">
        <f>IMAGE("https://5.imimg.com/data5/YV/DJ/MY-7514996/rubber-band-500x500.jpg",1)</f>
        <v/>
      </c>
      <c r="U237" s="78"/>
      <c r="V237" s="74"/>
      <c r="W237" s="75"/>
      <c r="X237" s="12"/>
      <c r="Y237" s="11"/>
      <c r="Z237" s="12">
        <v>1.0</v>
      </c>
      <c r="AA237" s="12"/>
      <c r="AB237" s="12"/>
    </row>
    <row r="238" ht="45.0" hidden="1" customHeight="1">
      <c r="A238" s="222">
        <v>240.0</v>
      </c>
      <c r="B238" s="222" t="s">
        <v>15</v>
      </c>
      <c r="C238" s="232" t="s">
        <v>1019</v>
      </c>
      <c r="D238" s="222" t="s">
        <v>1018</v>
      </c>
      <c r="E238" s="299"/>
      <c r="F238" s="299"/>
      <c r="G238" s="299"/>
      <c r="H238" s="299"/>
      <c r="I238" s="299"/>
      <c r="J238" s="234">
        <v>1.0</v>
      </c>
      <c r="K238" s="233" t="s">
        <v>981</v>
      </c>
      <c r="L238" s="234">
        <v>1.0</v>
      </c>
      <c r="M238" s="234">
        <v>200.0</v>
      </c>
      <c r="N238" s="222">
        <f t="shared" si="14"/>
        <v>200</v>
      </c>
      <c r="O238" s="222" t="s">
        <v>20</v>
      </c>
      <c r="P238" s="232" t="s">
        <v>77</v>
      </c>
      <c r="Q238" s="232"/>
      <c r="R238" s="233" t="s">
        <v>981</v>
      </c>
      <c r="S238" s="235" t="s">
        <v>1020</v>
      </c>
      <c r="T238" s="222" t="str">
        <f>IMAGE("https://m.media-amazon.com/images/I/51XnX9DfiFL._SL1166_.jpg",1)</f>
        <v/>
      </c>
      <c r="U238" s="358"/>
      <c r="V238" s="359"/>
      <c r="W238" s="336"/>
      <c r="X238" s="360"/>
      <c r="Y238" s="222"/>
      <c r="Z238" s="299">
        <v>1.0</v>
      </c>
      <c r="AA238" s="299"/>
      <c r="AB238" s="299"/>
    </row>
    <row r="239" ht="45.0" hidden="1" customHeight="1">
      <c r="A239" s="11">
        <v>241.0</v>
      </c>
      <c r="B239" s="11" t="s">
        <v>342</v>
      </c>
      <c r="C239" s="93" t="s">
        <v>1023</v>
      </c>
      <c r="D239" s="11" t="s">
        <v>1022</v>
      </c>
      <c r="E239" s="12"/>
      <c r="F239" s="12"/>
      <c r="G239" s="12"/>
      <c r="H239" s="12"/>
      <c r="I239" s="12"/>
      <c r="J239" s="216">
        <v>10.0</v>
      </c>
      <c r="K239" s="215" t="s">
        <v>981</v>
      </c>
      <c r="L239" s="216">
        <v>10.0</v>
      </c>
      <c r="M239" s="216">
        <v>100.0</v>
      </c>
      <c r="N239" s="11">
        <f t="shared" si="14"/>
        <v>1000</v>
      </c>
      <c r="O239" s="11" t="s">
        <v>347</v>
      </c>
      <c r="P239" s="93" t="s">
        <v>77</v>
      </c>
      <c r="Q239" s="123" t="s">
        <v>65</v>
      </c>
      <c r="R239" s="215" t="s">
        <v>981</v>
      </c>
      <c r="S239" s="217" t="s">
        <v>1024</v>
      </c>
      <c r="T239" s="11" t="str">
        <f>IMAGE("https://www.shaanstationery.com/image/cache/catalog/kangaro/kangaro-stapler-no-10-corner-view-1000x1000.jpg",1)</f>
        <v/>
      </c>
      <c r="U239" s="78"/>
      <c r="V239" s="74"/>
      <c r="W239" s="75"/>
      <c r="X239" s="12"/>
      <c r="Y239" s="11"/>
      <c r="Z239" s="12">
        <v>1.0</v>
      </c>
      <c r="AA239" s="12"/>
      <c r="AB239" s="12"/>
    </row>
    <row r="240" ht="45.0" hidden="1" customHeight="1">
      <c r="A240" s="11">
        <v>242.0</v>
      </c>
      <c r="B240" s="11" t="s">
        <v>342</v>
      </c>
      <c r="C240" s="93" t="s">
        <v>1027</v>
      </c>
      <c r="D240" s="11" t="s">
        <v>1026</v>
      </c>
      <c r="E240" s="12"/>
      <c r="F240" s="12"/>
      <c r="G240" s="12"/>
      <c r="H240" s="12"/>
      <c r="I240" s="12"/>
      <c r="J240" s="216">
        <v>10.0</v>
      </c>
      <c r="K240" s="215" t="s">
        <v>981</v>
      </c>
      <c r="L240" s="216">
        <v>5.0</v>
      </c>
      <c r="M240" s="216">
        <v>50.0</v>
      </c>
      <c r="N240" s="11">
        <f t="shared" si="14"/>
        <v>500</v>
      </c>
      <c r="O240" s="11" t="s">
        <v>347</v>
      </c>
      <c r="P240" s="93" t="s">
        <v>77</v>
      </c>
      <c r="Q240" s="123" t="s">
        <v>65</v>
      </c>
      <c r="R240" s="215" t="s">
        <v>981</v>
      </c>
      <c r="S240" s="217" t="s">
        <v>1028</v>
      </c>
      <c r="T240" s="11" t="str">
        <f>IMAGE("https://sc04.alicdn.com/kf/HTB1f9mqOZbpK1RjSZFyq6x_qFXaz.jpg",1)</f>
        <v/>
      </c>
      <c r="U240" s="78"/>
      <c r="V240" s="74"/>
      <c r="W240" s="75"/>
      <c r="X240" s="12"/>
      <c r="Y240" s="11"/>
      <c r="Z240" s="12">
        <v>1.0</v>
      </c>
      <c r="AA240" s="12"/>
      <c r="AB240" s="12"/>
    </row>
    <row r="241" ht="45.0" customHeight="1">
      <c r="A241" s="222">
        <v>402.0</v>
      </c>
      <c r="B241" s="222" t="s">
        <v>173</v>
      </c>
      <c r="C241" s="232" t="s">
        <v>1670</v>
      </c>
      <c r="D241" s="222" t="s">
        <v>1669</v>
      </c>
      <c r="E241" s="299"/>
      <c r="F241" s="299"/>
      <c r="G241" s="299"/>
      <c r="H241" s="299"/>
      <c r="I241" s="12" t="s">
        <v>2261</v>
      </c>
      <c r="J241" s="234">
        <v>1.0</v>
      </c>
      <c r="K241" s="233" t="s">
        <v>1628</v>
      </c>
      <c r="L241" s="234">
        <v>1.0</v>
      </c>
      <c r="M241" s="234">
        <v>200.0</v>
      </c>
      <c r="N241" s="222">
        <f t="shared" si="14"/>
        <v>200</v>
      </c>
      <c r="O241" s="222" t="s">
        <v>178</v>
      </c>
      <c r="P241" s="232" t="s">
        <v>47</v>
      </c>
      <c r="Q241" s="232"/>
      <c r="R241" s="232" t="s">
        <v>1628</v>
      </c>
      <c r="S241" s="235" t="s">
        <v>1671</v>
      </c>
      <c r="T241" s="222" t="str">
        <f>IMAGE("https://m.media-amazon.com/images/I/71Nb2wKaZgS._SL1500_.jpg", 1)</f>
        <v/>
      </c>
      <c r="U241" s="340" t="s">
        <v>1684</v>
      </c>
      <c r="V241" s="335">
        <v>60.0</v>
      </c>
      <c r="W241" s="336"/>
      <c r="X241" s="299"/>
      <c r="Y241" s="222"/>
      <c r="Z241" s="299">
        <v>3.0</v>
      </c>
      <c r="AA241" s="616" t="s">
        <v>2430</v>
      </c>
      <c r="AB241" s="616">
        <v>1.0</v>
      </c>
    </row>
    <row r="242" ht="45.0" customHeight="1">
      <c r="A242" s="11">
        <v>320.0</v>
      </c>
      <c r="B242" s="11" t="s">
        <v>173</v>
      </c>
      <c r="C242" s="93" t="s">
        <v>1329</v>
      </c>
      <c r="D242" s="11" t="s">
        <v>1328</v>
      </c>
      <c r="E242" s="12"/>
      <c r="F242" s="12"/>
      <c r="G242" s="12"/>
      <c r="H242" s="12"/>
      <c r="I242" s="266" t="s">
        <v>2126</v>
      </c>
      <c r="J242" s="11">
        <v>100.0</v>
      </c>
      <c r="K242" s="215" t="s">
        <v>1330</v>
      </c>
      <c r="L242" s="11">
        <v>100.0</v>
      </c>
      <c r="M242" s="11">
        <v>10.0</v>
      </c>
      <c r="N242" s="11">
        <f t="shared" si="14"/>
        <v>1000</v>
      </c>
      <c r="O242" s="11" t="s">
        <v>178</v>
      </c>
      <c r="P242" s="93" t="s">
        <v>65</v>
      </c>
      <c r="Q242" s="93"/>
      <c r="R242" s="93" t="s">
        <v>1331</v>
      </c>
      <c r="S242" s="217" t="s">
        <v>1332</v>
      </c>
      <c r="T242" s="11" t="str">
        <f>IMAGE("https://m.media-amazon.com/images/I/61vUDUTouNL._SL1500_.jpg",1)</f>
        <v/>
      </c>
      <c r="U242" s="78" t="s">
        <v>56</v>
      </c>
      <c r="V242" s="74"/>
      <c r="W242" s="75"/>
      <c r="X242" s="12"/>
      <c r="Y242" s="11"/>
      <c r="Z242" s="12">
        <v>4.0</v>
      </c>
      <c r="AA242" s="616" t="s">
        <v>2430</v>
      </c>
      <c r="AB242" s="616">
        <v>2.0</v>
      </c>
    </row>
    <row r="243" ht="45.0" customHeight="1">
      <c r="A243" s="11">
        <v>321.0</v>
      </c>
      <c r="B243" s="11" t="s">
        <v>173</v>
      </c>
      <c r="C243" s="93" t="s">
        <v>1335</v>
      </c>
      <c r="D243" s="11" t="s">
        <v>1334</v>
      </c>
      <c r="E243" s="12"/>
      <c r="F243" s="12"/>
      <c r="G243" s="12"/>
      <c r="H243" s="12"/>
      <c r="I243" s="266" t="s">
        <v>2126</v>
      </c>
      <c r="J243" s="11">
        <v>100.0</v>
      </c>
      <c r="K243" s="215" t="s">
        <v>1330</v>
      </c>
      <c r="L243" s="11">
        <v>100.0</v>
      </c>
      <c r="M243" s="11">
        <v>35.0</v>
      </c>
      <c r="N243" s="11">
        <f t="shared" si="14"/>
        <v>3500</v>
      </c>
      <c r="O243" s="11" t="s">
        <v>178</v>
      </c>
      <c r="P243" s="93"/>
      <c r="Q243" s="93"/>
      <c r="R243" s="93" t="s">
        <v>1331</v>
      </c>
      <c r="S243" s="217" t="s">
        <v>1336</v>
      </c>
      <c r="T243" s="11" t="str">
        <f>IMAGE("https://m.media-amazon.com/images/I/31ye7Xw2PpL.jpg",1)</f>
        <v/>
      </c>
      <c r="U243" s="78"/>
      <c r="V243" s="74"/>
      <c r="W243" s="75"/>
      <c r="X243" s="12"/>
      <c r="Y243" s="11"/>
      <c r="Z243" s="12">
        <v>4.0</v>
      </c>
      <c r="AA243" s="616" t="s">
        <v>2430</v>
      </c>
      <c r="AB243" s="616">
        <v>1.0</v>
      </c>
    </row>
    <row r="244" ht="45.0" customHeight="1">
      <c r="A244" s="11">
        <v>323.0</v>
      </c>
      <c r="B244" s="11" t="s">
        <v>173</v>
      </c>
      <c r="C244" s="93" t="s">
        <v>1344</v>
      </c>
      <c r="D244" s="11" t="s">
        <v>1343</v>
      </c>
      <c r="E244" s="12"/>
      <c r="F244" s="12"/>
      <c r="G244" s="12"/>
      <c r="H244" s="12"/>
      <c r="I244" s="266" t="s">
        <v>2126</v>
      </c>
      <c r="J244" s="11">
        <v>100.0</v>
      </c>
      <c r="K244" s="215" t="s">
        <v>1330</v>
      </c>
      <c r="L244" s="11">
        <v>100.0</v>
      </c>
      <c r="M244" s="11">
        <v>20.0</v>
      </c>
      <c r="N244" s="11">
        <f t="shared" si="14"/>
        <v>2000</v>
      </c>
      <c r="O244" s="11" t="s">
        <v>178</v>
      </c>
      <c r="P244" s="93" t="s">
        <v>65</v>
      </c>
      <c r="Q244" s="93"/>
      <c r="R244" s="93" t="s">
        <v>1331</v>
      </c>
      <c r="S244" s="217" t="s">
        <v>1347</v>
      </c>
      <c r="T244" s="11" t="str">
        <f>IMAGE("https://m.media-amazon.com/images/I/31nb9BadkoL.jpg",1)</f>
        <v/>
      </c>
      <c r="U244" s="78"/>
      <c r="V244" s="74"/>
      <c r="W244" s="75"/>
      <c r="X244" s="12"/>
      <c r="Y244" s="11"/>
      <c r="Z244" s="12">
        <v>4.0</v>
      </c>
      <c r="AA244" s="616" t="s">
        <v>2430</v>
      </c>
      <c r="AB244" s="616">
        <v>1.0</v>
      </c>
    </row>
    <row r="245" ht="45.0" customHeight="1">
      <c r="A245" s="11">
        <v>256.0</v>
      </c>
      <c r="B245" s="11" t="s">
        <v>342</v>
      </c>
      <c r="C245" s="93" t="s">
        <v>1082</v>
      </c>
      <c r="D245" s="11" t="s">
        <v>1081</v>
      </c>
      <c r="E245" s="12"/>
      <c r="F245" s="12"/>
      <c r="G245" s="12"/>
      <c r="H245" s="12"/>
      <c r="I245" s="12" t="s">
        <v>2104</v>
      </c>
      <c r="J245" s="216">
        <v>1.0</v>
      </c>
      <c r="K245" s="215" t="s">
        <v>1032</v>
      </c>
      <c r="L245" s="216">
        <v>1.0</v>
      </c>
      <c r="M245" s="216">
        <v>200.0</v>
      </c>
      <c r="N245" s="11">
        <f t="shared" si="14"/>
        <v>200</v>
      </c>
      <c r="O245" s="11" t="s">
        <v>347</v>
      </c>
      <c r="P245" s="93"/>
      <c r="Q245" s="93"/>
      <c r="R245" s="215" t="s">
        <v>1032</v>
      </c>
      <c r="S245" s="217" t="s">
        <v>1083</v>
      </c>
      <c r="T245" s="11" t="str">
        <f>IMAGE("https://m.media-amazon.com/images/I/41XSpNsGoiL._SL1024_.jpg",1)</f>
        <v/>
      </c>
      <c r="U245" s="73" t="s">
        <v>1689</v>
      </c>
      <c r="V245" s="74" t="s">
        <v>1710</v>
      </c>
      <c r="W245" s="75"/>
      <c r="X245" s="12"/>
      <c r="Y245" s="11"/>
      <c r="Z245" s="12">
        <v>3.0</v>
      </c>
      <c r="AA245" s="616" t="s">
        <v>2430</v>
      </c>
      <c r="AB245" s="616">
        <v>1.0</v>
      </c>
    </row>
    <row r="246" ht="45.0" customHeight="1">
      <c r="A246" s="11">
        <v>301.0</v>
      </c>
      <c r="B246" s="11" t="s">
        <v>173</v>
      </c>
      <c r="C246" s="93" t="s">
        <v>1258</v>
      </c>
      <c r="D246" s="11" t="s">
        <v>1257</v>
      </c>
      <c r="E246" s="12"/>
      <c r="F246" s="12"/>
      <c r="G246" s="12"/>
      <c r="H246" s="12"/>
      <c r="I246" s="12" t="s">
        <v>2104</v>
      </c>
      <c r="J246" s="216">
        <v>1.0</v>
      </c>
      <c r="K246" s="215" t="s">
        <v>1250</v>
      </c>
      <c r="L246" s="216">
        <v>1.0</v>
      </c>
      <c r="M246" s="216">
        <v>25000.0</v>
      </c>
      <c r="N246" s="11">
        <f t="shared" si="14"/>
        <v>25000</v>
      </c>
      <c r="O246" s="11" t="s">
        <v>178</v>
      </c>
      <c r="P246" s="93" t="s">
        <v>47</v>
      </c>
      <c r="Q246" s="93"/>
      <c r="R246" s="93" t="s">
        <v>1964</v>
      </c>
      <c r="S246" s="217" t="s">
        <v>1259</v>
      </c>
      <c r="T246" s="11" t="str">
        <f>IMAGE("https://m.media-amazon.com/images/I/51LxodXCiyS._SL1000_.jpg",1)</f>
        <v/>
      </c>
      <c r="U246" s="73" t="s">
        <v>1724</v>
      </c>
      <c r="V246" s="74"/>
      <c r="W246" s="75"/>
      <c r="X246" s="12"/>
      <c r="Y246" s="11"/>
      <c r="Z246" s="12">
        <v>3.0</v>
      </c>
      <c r="AA246" s="616" t="s">
        <v>2430</v>
      </c>
      <c r="AB246" s="616">
        <v>1.0</v>
      </c>
    </row>
    <row r="247" ht="45.0" customHeight="1">
      <c r="A247" s="222">
        <v>302.0</v>
      </c>
      <c r="B247" s="222" t="s">
        <v>173</v>
      </c>
      <c r="C247" s="232" t="s">
        <v>1262</v>
      </c>
      <c r="D247" s="222" t="s">
        <v>1261</v>
      </c>
      <c r="E247" s="299"/>
      <c r="F247" s="299"/>
      <c r="G247" s="299"/>
      <c r="H247" s="299"/>
      <c r="I247" s="299" t="s">
        <v>2104</v>
      </c>
      <c r="J247" s="234">
        <v>1.0</v>
      </c>
      <c r="K247" s="233" t="s">
        <v>1250</v>
      </c>
      <c r="L247" s="234">
        <v>1.0</v>
      </c>
      <c r="M247" s="234">
        <v>2500.0</v>
      </c>
      <c r="N247" s="222">
        <f t="shared" si="14"/>
        <v>2500</v>
      </c>
      <c r="O247" s="222" t="s">
        <v>178</v>
      </c>
      <c r="P247" s="232" t="s">
        <v>47</v>
      </c>
      <c r="Q247" s="232"/>
      <c r="R247" s="232" t="s">
        <v>1907</v>
      </c>
      <c r="S247" s="235" t="s">
        <v>1263</v>
      </c>
      <c r="T247" s="222" t="str">
        <f>IMAGE("https://m.media-amazon.com/images/I/61WLNOGJ4JS.jpg")</f>
        <v/>
      </c>
      <c r="U247" s="340" t="s">
        <v>1724</v>
      </c>
      <c r="V247" s="335"/>
      <c r="W247" s="336"/>
      <c r="X247" s="299"/>
      <c r="Y247" s="222"/>
      <c r="Z247" s="299">
        <v>3.0</v>
      </c>
      <c r="AA247" s="616" t="s">
        <v>2430</v>
      </c>
      <c r="AB247" s="616">
        <v>1.0</v>
      </c>
    </row>
    <row r="248" ht="45.0" customHeight="1">
      <c r="A248" s="11">
        <v>303.0</v>
      </c>
      <c r="B248" s="11" t="s">
        <v>173</v>
      </c>
      <c r="C248" s="93" t="s">
        <v>1266</v>
      </c>
      <c r="D248" s="11" t="s">
        <v>1265</v>
      </c>
      <c r="E248" s="12"/>
      <c r="F248" s="12"/>
      <c r="G248" s="12"/>
      <c r="H248" s="12"/>
      <c r="I248" s="12" t="s">
        <v>2104</v>
      </c>
      <c r="J248" s="216">
        <v>1.0</v>
      </c>
      <c r="K248" s="215" t="s">
        <v>1250</v>
      </c>
      <c r="L248" s="216">
        <v>1.0</v>
      </c>
      <c r="M248" s="216">
        <v>2500.0</v>
      </c>
      <c r="N248" s="11">
        <f t="shared" si="14"/>
        <v>2500</v>
      </c>
      <c r="O248" s="11" t="s">
        <v>178</v>
      </c>
      <c r="P248" s="93"/>
      <c r="Q248" s="93"/>
      <c r="R248" s="93" t="s">
        <v>1628</v>
      </c>
      <c r="S248" s="217" t="s">
        <v>1267</v>
      </c>
      <c r="T248" s="11" t="str">
        <f>IMAGE("https://cdn.shopify.com/s/files/1/0559/1970/6265/products/4_61325b1b-840f-41dd-a6d9-0ddb00c5c7bc_1024x1024@2x.png?v=1670588177",1)</f>
        <v/>
      </c>
      <c r="U248" s="78" t="s">
        <v>1725</v>
      </c>
      <c r="V248" s="74"/>
      <c r="W248" s="75"/>
      <c r="X248" s="12"/>
      <c r="Y248" s="11"/>
      <c r="Z248" s="12">
        <v>3.0</v>
      </c>
      <c r="AA248" s="616" t="s">
        <v>2430</v>
      </c>
      <c r="AB248" s="616">
        <v>1.0</v>
      </c>
    </row>
    <row r="249" ht="45.0" customHeight="1">
      <c r="A249" s="624">
        <v>400.0</v>
      </c>
      <c r="B249" s="624" t="s">
        <v>173</v>
      </c>
      <c r="C249" s="625" t="s">
        <v>1662</v>
      </c>
      <c r="D249" s="624" t="s">
        <v>1661</v>
      </c>
      <c r="E249" s="626"/>
      <c r="F249" s="626"/>
      <c r="G249" s="626"/>
      <c r="H249" s="626"/>
      <c r="I249" s="266" t="s">
        <v>2104</v>
      </c>
      <c r="J249" s="627">
        <v>2.0</v>
      </c>
      <c r="K249" s="628" t="s">
        <v>1628</v>
      </c>
      <c r="L249" s="627">
        <v>2.0</v>
      </c>
      <c r="M249" s="627">
        <v>500.0</v>
      </c>
      <c r="N249" s="624">
        <f t="shared" si="14"/>
        <v>1000</v>
      </c>
      <c r="O249" s="624" t="s">
        <v>178</v>
      </c>
      <c r="P249" s="625" t="s">
        <v>47</v>
      </c>
      <c r="Q249" s="625"/>
      <c r="R249" s="625" t="s">
        <v>1628</v>
      </c>
      <c r="S249" s="629" t="s">
        <v>1663</v>
      </c>
      <c r="T249" s="624" t="str">
        <f>IMAGE("https://m.media-amazon.com/images/W/MEDIAX_792452-T2/images/I/61gvV3Wc-NL._SL1024_.jpg")</f>
        <v/>
      </c>
      <c r="U249" s="636" t="s">
        <v>1684</v>
      </c>
      <c r="V249" s="631">
        <v>120.0</v>
      </c>
      <c r="W249" s="632"/>
      <c r="X249" s="633"/>
      <c r="Y249" s="624"/>
      <c r="Z249" s="12">
        <v>3.0</v>
      </c>
      <c r="AA249" s="616" t="s">
        <v>2430</v>
      </c>
      <c r="AB249" s="616">
        <v>2.0</v>
      </c>
    </row>
    <row r="250" ht="45.0" customHeight="1">
      <c r="A250" s="11">
        <v>324.0</v>
      </c>
      <c r="B250" s="11" t="s">
        <v>342</v>
      </c>
      <c r="C250" s="93" t="s">
        <v>1350</v>
      </c>
      <c r="D250" s="11" t="s">
        <v>1349</v>
      </c>
      <c r="E250" s="12"/>
      <c r="F250" s="12"/>
      <c r="G250" s="12"/>
      <c r="H250" s="12"/>
      <c r="I250" s="12" t="s">
        <v>2128</v>
      </c>
      <c r="J250" s="11">
        <v>1.0</v>
      </c>
      <c r="K250" s="215" t="s">
        <v>1330</v>
      </c>
      <c r="L250" s="11">
        <v>1.0</v>
      </c>
      <c r="M250" s="11">
        <v>1000.0</v>
      </c>
      <c r="N250" s="11">
        <f t="shared" si="14"/>
        <v>1000</v>
      </c>
      <c r="O250" s="11" t="s">
        <v>347</v>
      </c>
      <c r="P250" s="93" t="s">
        <v>47</v>
      </c>
      <c r="Q250" s="123" t="s">
        <v>65</v>
      </c>
      <c r="R250" s="93" t="s">
        <v>1331</v>
      </c>
      <c r="S250" s="217" t="s">
        <v>1351</v>
      </c>
      <c r="T250" s="11" t="str">
        <f>IMAGE("https://5.imimg.com/data5/SELLER/Default/2023/1/CR/QN/CU/119456209/b22-cap-punching-tool-1000x1000.jpg",1)</f>
        <v/>
      </c>
      <c r="U250" s="78"/>
      <c r="V250" s="74"/>
      <c r="W250" s="75"/>
      <c r="X250" s="12"/>
      <c r="Y250" s="11"/>
      <c r="Z250" s="12">
        <v>3.0</v>
      </c>
      <c r="AA250" s="616" t="s">
        <v>2430</v>
      </c>
      <c r="AB250" s="616">
        <v>1.0</v>
      </c>
    </row>
    <row r="251" ht="45.0" customHeight="1">
      <c r="A251" s="11">
        <v>325.0</v>
      </c>
      <c r="B251" s="11" t="s">
        <v>342</v>
      </c>
      <c r="C251" s="93" t="s">
        <v>1354</v>
      </c>
      <c r="D251" s="11" t="s">
        <v>1353</v>
      </c>
      <c r="E251" s="12"/>
      <c r="F251" s="12"/>
      <c r="G251" s="12"/>
      <c r="H251" s="12"/>
      <c r="I251" s="12" t="s">
        <v>2128</v>
      </c>
      <c r="J251" s="11">
        <v>1.0</v>
      </c>
      <c r="K251" s="215" t="s">
        <v>1330</v>
      </c>
      <c r="L251" s="11">
        <v>1.0</v>
      </c>
      <c r="M251" s="11">
        <v>1800.0</v>
      </c>
      <c r="N251" s="11">
        <f t="shared" si="14"/>
        <v>1800</v>
      </c>
      <c r="O251" s="11" t="s">
        <v>347</v>
      </c>
      <c r="P251" s="93" t="s">
        <v>47</v>
      </c>
      <c r="Q251" s="93"/>
      <c r="R251" s="93" t="s">
        <v>1331</v>
      </c>
      <c r="S251" s="217" t="s">
        <v>1355</v>
      </c>
      <c r="T251" s="11" t="str">
        <f>IMAGE("https://m.media-amazon.com/images/I/31xTdt3sfiL.jpg",1)</f>
        <v/>
      </c>
      <c r="U251" s="330"/>
      <c r="V251" s="331"/>
      <c r="W251" s="75"/>
      <c r="X251" s="253"/>
      <c r="Y251" s="11"/>
      <c r="Z251" s="12">
        <v>3.0</v>
      </c>
      <c r="AA251" s="616" t="s">
        <v>2430</v>
      </c>
      <c r="AB251" s="616">
        <v>10.0</v>
      </c>
    </row>
    <row r="252" ht="45.0" customHeight="1">
      <c r="A252" s="11">
        <v>228.0</v>
      </c>
      <c r="B252" s="11" t="s">
        <v>137</v>
      </c>
      <c r="C252" s="93" t="s">
        <v>974</v>
      </c>
      <c r="D252" s="11" t="s">
        <v>973</v>
      </c>
      <c r="E252" s="12"/>
      <c r="F252" s="12"/>
      <c r="G252" s="12"/>
      <c r="H252" s="12"/>
      <c r="I252" s="12" t="s">
        <v>2096</v>
      </c>
      <c r="J252" s="216">
        <v>1.0</v>
      </c>
      <c r="K252" s="215" t="s">
        <v>326</v>
      </c>
      <c r="L252" s="216">
        <v>1.0</v>
      </c>
      <c r="M252" s="216">
        <v>32000.0</v>
      </c>
      <c r="N252" s="11">
        <f t="shared" si="14"/>
        <v>32000</v>
      </c>
      <c r="O252" s="11" t="s">
        <v>142</v>
      </c>
      <c r="P252" s="93"/>
      <c r="Q252" s="93"/>
      <c r="R252" s="93" t="s">
        <v>1901</v>
      </c>
      <c r="S252" s="217"/>
      <c r="T252" s="11" t="str">
        <f>IMAGE("https://cdn.ttgtmedia.com/rms/onlineimages/hp_elitebook_mobile.jpg",1)</f>
        <v/>
      </c>
      <c r="U252" s="73"/>
      <c r="V252" s="74"/>
      <c r="W252" s="75"/>
      <c r="X252" s="12"/>
      <c r="Y252" s="11"/>
      <c r="Z252" s="12">
        <v>3.0</v>
      </c>
      <c r="AA252" s="616" t="s">
        <v>2430</v>
      </c>
      <c r="AB252" s="616">
        <v>4.0</v>
      </c>
    </row>
    <row r="253" ht="45.0" hidden="1" customHeight="1">
      <c r="A253" s="11">
        <v>255.0</v>
      </c>
      <c r="B253" s="11" t="s">
        <v>342</v>
      </c>
      <c r="C253" s="93" t="s">
        <v>1078</v>
      </c>
      <c r="D253" s="11" t="s">
        <v>1077</v>
      </c>
      <c r="E253" s="12"/>
      <c r="F253" s="12"/>
      <c r="G253" s="12"/>
      <c r="H253" s="12"/>
      <c r="I253" s="12" t="s">
        <v>2452</v>
      </c>
      <c r="J253" s="216">
        <v>50.0</v>
      </c>
      <c r="K253" s="215" t="s">
        <v>1032</v>
      </c>
      <c r="L253" s="216">
        <v>50.0</v>
      </c>
      <c r="M253" s="216">
        <v>8.0</v>
      </c>
      <c r="N253" s="11">
        <f t="shared" si="14"/>
        <v>400</v>
      </c>
      <c r="O253" s="11" t="s">
        <v>347</v>
      </c>
      <c r="P253" s="93" t="s">
        <v>47</v>
      </c>
      <c r="Q253" s="93" t="s">
        <v>22</v>
      </c>
      <c r="R253" s="93" t="s">
        <v>23</v>
      </c>
      <c r="S253" s="217" t="s">
        <v>1079</v>
      </c>
      <c r="T253" s="11" t="str">
        <f>IMAGE("https://m.media-amazon.com/images/I/51OTKanSUXL._SL1024_.jpg",1)</f>
        <v/>
      </c>
      <c r="U253" s="78"/>
      <c r="V253" s="74"/>
      <c r="W253" s="75"/>
      <c r="X253" s="12"/>
      <c r="Y253" s="11"/>
      <c r="Z253" s="12">
        <v>1.0</v>
      </c>
      <c r="AA253" s="12"/>
      <c r="AB253" s="12"/>
    </row>
    <row r="254" ht="45.0" customHeight="1">
      <c r="A254" s="11">
        <v>28.0</v>
      </c>
      <c r="B254" s="11" t="s">
        <v>137</v>
      </c>
      <c r="C254" s="93" t="s">
        <v>140</v>
      </c>
      <c r="D254" s="11" t="s">
        <v>139</v>
      </c>
      <c r="E254" s="12"/>
      <c r="F254" s="12"/>
      <c r="G254" s="12"/>
      <c r="H254" s="12"/>
      <c r="I254" s="12" t="s">
        <v>2025</v>
      </c>
      <c r="J254" s="11">
        <v>1.0</v>
      </c>
      <c r="K254" s="215" t="s">
        <v>141</v>
      </c>
      <c r="L254" s="11">
        <v>1.0</v>
      </c>
      <c r="M254" s="11">
        <v>2500.0</v>
      </c>
      <c r="N254" s="11">
        <f t="shared" si="14"/>
        <v>2500</v>
      </c>
      <c r="O254" s="11" t="s">
        <v>142</v>
      </c>
      <c r="P254" s="93"/>
      <c r="Q254" s="93"/>
      <c r="R254" s="93" t="s">
        <v>1901</v>
      </c>
      <c r="S254" s="217" t="s">
        <v>143</v>
      </c>
      <c r="T254" s="11" t="e">
        <v>#VALUE!</v>
      </c>
      <c r="U254" s="73" t="s">
        <v>1684</v>
      </c>
      <c r="V254" s="74">
        <v>60.0</v>
      </c>
      <c r="W254" s="75"/>
      <c r="X254" s="12"/>
      <c r="Y254" s="11"/>
      <c r="Z254" s="12">
        <v>3.0</v>
      </c>
      <c r="AA254" s="616" t="s">
        <v>2430</v>
      </c>
      <c r="AB254" s="616">
        <v>1.0</v>
      </c>
    </row>
    <row r="255" ht="45.0" customHeight="1">
      <c r="A255" s="11">
        <v>31.0</v>
      </c>
      <c r="B255" s="11" t="s">
        <v>137</v>
      </c>
      <c r="C255" s="93" t="s">
        <v>155</v>
      </c>
      <c r="D255" s="11" t="s">
        <v>154</v>
      </c>
      <c r="E255" s="12"/>
      <c r="F255" s="12"/>
      <c r="G255" s="12"/>
      <c r="H255" s="12"/>
      <c r="I255" s="12" t="s">
        <v>2028</v>
      </c>
      <c r="J255" s="216">
        <v>1.0</v>
      </c>
      <c r="K255" s="215" t="s">
        <v>141</v>
      </c>
      <c r="L255" s="216">
        <v>1.0</v>
      </c>
      <c r="M255" s="216">
        <v>2000.0</v>
      </c>
      <c r="N255" s="11">
        <f t="shared" si="14"/>
        <v>2000</v>
      </c>
      <c r="O255" s="11" t="s">
        <v>142</v>
      </c>
      <c r="P255" s="93"/>
      <c r="Q255" s="93"/>
      <c r="R255" s="93" t="s">
        <v>1901</v>
      </c>
      <c r="S255" s="217" t="s">
        <v>156</v>
      </c>
      <c r="T255" s="11" t="str">
        <f>IMAGE("https://m.media-amazon.com/images/I/61Zlcg+2mNL.jpg")</f>
        <v/>
      </c>
      <c r="U255" s="637" t="s">
        <v>1684</v>
      </c>
      <c r="V255" s="74">
        <v>55.0</v>
      </c>
      <c r="W255" s="75"/>
      <c r="X255" s="12"/>
      <c r="Y255" s="11"/>
      <c r="Z255" s="12">
        <v>3.0</v>
      </c>
      <c r="AA255" s="616" t="s">
        <v>2430</v>
      </c>
      <c r="AB255" s="616">
        <v>1.0</v>
      </c>
    </row>
    <row r="256" ht="45.0" customHeight="1">
      <c r="A256" s="222">
        <v>227.0</v>
      </c>
      <c r="B256" s="222" t="s">
        <v>321</v>
      </c>
      <c r="C256" s="232" t="s">
        <v>970</v>
      </c>
      <c r="D256" s="222" t="s">
        <v>969</v>
      </c>
      <c r="E256" s="299"/>
      <c r="F256" s="299"/>
      <c r="G256" s="299"/>
      <c r="H256" s="299"/>
      <c r="I256" s="299" t="s">
        <v>2095</v>
      </c>
      <c r="J256" s="234">
        <v>1.0</v>
      </c>
      <c r="K256" s="233" t="s">
        <v>326</v>
      </c>
      <c r="L256" s="234">
        <v>1.0</v>
      </c>
      <c r="M256" s="234">
        <v>2000.0</v>
      </c>
      <c r="N256" s="222">
        <f t="shared" si="14"/>
        <v>2000</v>
      </c>
      <c r="O256" s="222" t="s">
        <v>326</v>
      </c>
      <c r="P256" s="232"/>
      <c r="Q256" s="232"/>
      <c r="R256" s="232" t="s">
        <v>1901</v>
      </c>
      <c r="S256" s="235" t="s">
        <v>971</v>
      </c>
      <c r="T256" s="222" t="str">
        <f>IMAGE("https://www.jiomart.com/images/product/original/491503417/mi-home-security-camera-digital-o491503417-p590045677-0-202010110622.jpeg")</f>
        <v/>
      </c>
      <c r="U256" s="340" t="s">
        <v>1684</v>
      </c>
      <c r="V256" s="335">
        <v>55.0</v>
      </c>
      <c r="W256" s="336"/>
      <c r="X256" s="299"/>
      <c r="Y256" s="222"/>
      <c r="Z256" s="299">
        <v>3.0</v>
      </c>
      <c r="AA256" s="616" t="s">
        <v>2430</v>
      </c>
      <c r="AB256" s="616">
        <v>2.0</v>
      </c>
    </row>
    <row r="257" ht="45.0" customHeight="1">
      <c r="A257" s="222">
        <v>229.0</v>
      </c>
      <c r="B257" s="222" t="s">
        <v>137</v>
      </c>
      <c r="C257" s="232" t="s">
        <v>977</v>
      </c>
      <c r="D257" s="222" t="s">
        <v>976</v>
      </c>
      <c r="E257" s="299"/>
      <c r="F257" s="299"/>
      <c r="G257" s="299"/>
      <c r="H257" s="299"/>
      <c r="I257" s="299" t="s">
        <v>2095</v>
      </c>
      <c r="J257" s="234">
        <v>1.0</v>
      </c>
      <c r="K257" s="233" t="s">
        <v>326</v>
      </c>
      <c r="L257" s="234">
        <v>1.0</v>
      </c>
      <c r="M257" s="234">
        <v>1500.0</v>
      </c>
      <c r="N257" s="222">
        <f t="shared" si="14"/>
        <v>1500</v>
      </c>
      <c r="O257" s="222" t="s">
        <v>142</v>
      </c>
      <c r="P257" s="232"/>
      <c r="Q257" s="232"/>
      <c r="R257" s="232" t="s">
        <v>1901</v>
      </c>
      <c r="S257" s="235"/>
      <c r="T257" s="222" t="str">
        <f>IMAGE("https://m.media-amazon.com/images/W/MEDIAX_792452-T2/images/I/51UzU+2x3OS._SL1000_.jpg")</f>
        <v/>
      </c>
      <c r="U257" s="340" t="s">
        <v>1700</v>
      </c>
      <c r="V257" s="335"/>
      <c r="W257" s="336"/>
      <c r="X257" s="299"/>
      <c r="Y257" s="222"/>
      <c r="Z257" s="299">
        <v>3.0</v>
      </c>
      <c r="AA257" s="616" t="s">
        <v>2430</v>
      </c>
      <c r="AB257" s="616">
        <v>2.0</v>
      </c>
    </row>
    <row r="258" ht="45.0" customHeight="1">
      <c r="A258" s="11">
        <v>34.0</v>
      </c>
      <c r="B258" s="11" t="s">
        <v>137</v>
      </c>
      <c r="C258" s="93" t="s">
        <v>167</v>
      </c>
      <c r="D258" s="11" t="s">
        <v>166</v>
      </c>
      <c r="E258" s="12"/>
      <c r="F258" s="12"/>
      <c r="G258" s="12"/>
      <c r="H258" s="12"/>
      <c r="I258" s="12" t="s">
        <v>2031</v>
      </c>
      <c r="J258" s="216">
        <v>1.0</v>
      </c>
      <c r="K258" s="215" t="s">
        <v>141</v>
      </c>
      <c r="L258" s="216">
        <v>1.0</v>
      </c>
      <c r="M258" s="216">
        <v>1500.0</v>
      </c>
      <c r="N258" s="11">
        <f t="shared" si="14"/>
        <v>1500</v>
      </c>
      <c r="O258" s="11" t="s">
        <v>142</v>
      </c>
      <c r="P258" s="93"/>
      <c r="Q258" s="93"/>
      <c r="R258" s="93" t="s">
        <v>1901</v>
      </c>
      <c r="S258" s="217" t="s">
        <v>168</v>
      </c>
      <c r="T258" s="11" t="str">
        <f>IMAGE("https://encrypted-tbn1.gstatic.com/shopping?q=tbn:ANd9GcSwk1vUmWwFhmXgluT27_kpt_1XbFeMGM9voPktN2V8FycBha0_9qycLyoE5G3LsPm9IAaz9ZK9JsFmIAo5gwJtywrUheHD9Zzv6NIaMNLbw1go2XSC6Z0l&amp;usqp=CAE",1)</f>
        <v/>
      </c>
      <c r="U258" s="73" t="s">
        <v>1684</v>
      </c>
      <c r="V258" s="74">
        <v>60.0</v>
      </c>
      <c r="W258" s="75"/>
      <c r="X258" s="12"/>
      <c r="Y258" s="11"/>
      <c r="Z258" s="12">
        <v>3.0</v>
      </c>
      <c r="AA258" s="616"/>
      <c r="AB258" s="616"/>
    </row>
    <row r="259" ht="45.0" customHeight="1">
      <c r="A259" s="11">
        <v>33.0</v>
      </c>
      <c r="B259" s="11" t="s">
        <v>137</v>
      </c>
      <c r="C259" s="93" t="s">
        <v>163</v>
      </c>
      <c r="D259" s="11" t="s">
        <v>162</v>
      </c>
      <c r="E259" s="12"/>
      <c r="F259" s="12"/>
      <c r="G259" s="12"/>
      <c r="H259" s="12"/>
      <c r="I259" s="12" t="s">
        <v>2030</v>
      </c>
      <c r="J259" s="216">
        <v>1.0</v>
      </c>
      <c r="K259" s="215" t="s">
        <v>141</v>
      </c>
      <c r="L259" s="216">
        <v>1.0</v>
      </c>
      <c r="M259" s="216">
        <v>1000.0</v>
      </c>
      <c r="N259" s="11">
        <f t="shared" si="14"/>
        <v>1000</v>
      </c>
      <c r="O259" s="11" t="s">
        <v>142</v>
      </c>
      <c r="P259" s="93"/>
      <c r="Q259" s="93"/>
      <c r="R259" s="93" t="s">
        <v>1901</v>
      </c>
      <c r="S259" s="217" t="s">
        <v>164</v>
      </c>
      <c r="T259" s="11" t="str">
        <f>IMAGE("https://m.media-amazon.com/images/I/6100FnINmsL._SL1468_.jpg",1)</f>
        <v/>
      </c>
      <c r="U259" s="78" t="s">
        <v>1686</v>
      </c>
      <c r="V259" s="74">
        <v>55.0</v>
      </c>
      <c r="W259" s="75"/>
      <c r="X259" s="12"/>
      <c r="Y259" s="11"/>
      <c r="Z259" s="12">
        <v>3.0</v>
      </c>
      <c r="AA259" s="616" t="s">
        <v>2430</v>
      </c>
      <c r="AB259" s="616">
        <v>1.0</v>
      </c>
    </row>
    <row r="260" ht="45.0" customHeight="1">
      <c r="A260" s="11">
        <v>32.0</v>
      </c>
      <c r="B260" s="11" t="s">
        <v>137</v>
      </c>
      <c r="C260" s="93" t="s">
        <v>159</v>
      </c>
      <c r="D260" s="11" t="s">
        <v>158</v>
      </c>
      <c r="E260" s="12"/>
      <c r="F260" s="12"/>
      <c r="G260" s="12"/>
      <c r="H260" s="12"/>
      <c r="I260" s="12" t="s">
        <v>2029</v>
      </c>
      <c r="J260" s="216">
        <v>1.0</v>
      </c>
      <c r="K260" s="215" t="s">
        <v>141</v>
      </c>
      <c r="L260" s="216">
        <v>1.0</v>
      </c>
      <c r="M260" s="216">
        <v>35000.0</v>
      </c>
      <c r="N260" s="11">
        <f t="shared" si="14"/>
        <v>35000</v>
      </c>
      <c r="O260" s="11" t="s">
        <v>142</v>
      </c>
      <c r="P260" s="93"/>
      <c r="Q260" s="93"/>
      <c r="R260" s="93" t="s">
        <v>1901</v>
      </c>
      <c r="S260" s="217" t="s">
        <v>160</v>
      </c>
      <c r="T260" s="11" t="str">
        <f>IMAGE("https://c1.neweggimages.com/Productimage/24-001-864-04.jpg",1)</f>
        <v/>
      </c>
      <c r="U260" s="73" t="s">
        <v>1685</v>
      </c>
      <c r="V260" s="74"/>
      <c r="W260" s="75"/>
      <c r="X260" s="12"/>
      <c r="Y260" s="11"/>
      <c r="Z260" s="12">
        <v>3.0</v>
      </c>
      <c r="AA260" s="616" t="s">
        <v>2430</v>
      </c>
      <c r="AB260" s="616">
        <v>1.0</v>
      </c>
    </row>
    <row r="261" ht="45.0" customHeight="1">
      <c r="A261" s="222">
        <v>354.0</v>
      </c>
      <c r="B261" s="222" t="s">
        <v>1472</v>
      </c>
      <c r="C261" s="232" t="s">
        <v>1475</v>
      </c>
      <c r="D261" s="222" t="s">
        <v>1474</v>
      </c>
      <c r="E261" s="299"/>
      <c r="F261" s="299"/>
      <c r="G261" s="299"/>
      <c r="H261" s="299"/>
      <c r="I261" s="299" t="s">
        <v>2144</v>
      </c>
      <c r="J261" s="234">
        <v>1.0</v>
      </c>
      <c r="K261" s="233" t="s">
        <v>1476</v>
      </c>
      <c r="L261" s="234">
        <v>1.0</v>
      </c>
      <c r="M261" s="234">
        <v>500.0</v>
      </c>
      <c r="N261" s="222">
        <f t="shared" si="14"/>
        <v>500</v>
      </c>
      <c r="O261" s="222" t="s">
        <v>1477</v>
      </c>
      <c r="P261" s="232"/>
      <c r="Q261" s="232"/>
      <c r="R261" s="232" t="s">
        <v>1986</v>
      </c>
      <c r="S261" s="235" t="s">
        <v>1478</v>
      </c>
      <c r="T261" s="222" t="str">
        <f>IMAGE("https://rukminim1.flixcart.com/image/416/416/jj367bk0/fire-extinguisher-mount/w/s/y/2-kg-abc-type-fire-extinguisher-safepro-original-imaf6h7fkdngmbqd.jpeg?q=70",1)</f>
        <v/>
      </c>
      <c r="U261" s="334"/>
      <c r="V261" s="335"/>
      <c r="W261" s="336"/>
      <c r="X261" s="299"/>
      <c r="Y261" s="222"/>
      <c r="Z261" s="299">
        <v>3.0</v>
      </c>
      <c r="AA261" s="616" t="s">
        <v>2430</v>
      </c>
      <c r="AB261" s="616">
        <v>1.0</v>
      </c>
    </row>
    <row r="262" ht="45.0" customHeight="1">
      <c r="A262" s="222">
        <v>355.0</v>
      </c>
      <c r="B262" s="222" t="s">
        <v>1472</v>
      </c>
      <c r="C262" s="232" t="s">
        <v>1481</v>
      </c>
      <c r="D262" s="222" t="s">
        <v>1480</v>
      </c>
      <c r="E262" s="299"/>
      <c r="F262" s="299"/>
      <c r="G262" s="299"/>
      <c r="H262" s="299"/>
      <c r="I262" s="299" t="s">
        <v>2144</v>
      </c>
      <c r="J262" s="234">
        <v>1.0</v>
      </c>
      <c r="K262" s="233" t="s">
        <v>1476</v>
      </c>
      <c r="L262" s="234">
        <v>1.0</v>
      </c>
      <c r="M262" s="234">
        <v>850.0</v>
      </c>
      <c r="N262" s="222">
        <f t="shared" si="14"/>
        <v>850</v>
      </c>
      <c r="O262" s="222" t="s">
        <v>1477</v>
      </c>
      <c r="P262" s="232"/>
      <c r="Q262" s="232"/>
      <c r="R262" s="232" t="s">
        <v>1986</v>
      </c>
      <c r="S262" s="235" t="s">
        <v>1482</v>
      </c>
      <c r="T262" s="222" t="str">
        <f>IMAGE("https://m.media-amazon.com/images/I/61UHX6mp+wL._AC_UF894,1000_QL80_.jpg",1)</f>
        <v/>
      </c>
      <c r="U262" s="334" t="s">
        <v>56</v>
      </c>
      <c r="V262" s="335"/>
      <c r="W262" s="336"/>
      <c r="X262" s="361"/>
      <c r="Y262" s="222"/>
      <c r="Z262" s="299">
        <v>3.0</v>
      </c>
      <c r="AA262" s="616" t="s">
        <v>2430</v>
      </c>
      <c r="AB262" s="616">
        <v>1.0</v>
      </c>
    </row>
    <row r="263" ht="45.0" customHeight="1">
      <c r="A263" s="222">
        <v>356.0</v>
      </c>
      <c r="B263" s="222" t="s">
        <v>1472</v>
      </c>
      <c r="C263" s="232" t="s">
        <v>1485</v>
      </c>
      <c r="D263" s="222" t="s">
        <v>1484</v>
      </c>
      <c r="E263" s="299"/>
      <c r="F263" s="299"/>
      <c r="G263" s="299"/>
      <c r="H263" s="299"/>
      <c r="I263" s="299" t="s">
        <v>2144</v>
      </c>
      <c r="J263" s="234">
        <v>1.0</v>
      </c>
      <c r="K263" s="233" t="s">
        <v>1476</v>
      </c>
      <c r="L263" s="234">
        <v>1.0</v>
      </c>
      <c r="M263" s="234">
        <v>500.0</v>
      </c>
      <c r="N263" s="222">
        <f t="shared" si="14"/>
        <v>500</v>
      </c>
      <c r="O263" s="222" t="s">
        <v>1477</v>
      </c>
      <c r="P263" s="232"/>
      <c r="Q263" s="232"/>
      <c r="R263" s="232" t="s">
        <v>1986</v>
      </c>
      <c r="S263" s="235" t="s">
        <v>1486</v>
      </c>
      <c r="T263" s="222" t="str">
        <f>IMAGE("https://m.media-amazon.com/images/I/41yRsXk89rS._SX355_.jpg",1)</f>
        <v/>
      </c>
      <c r="U263" s="334"/>
      <c r="V263" s="335"/>
      <c r="W263" s="336"/>
      <c r="X263" s="361"/>
      <c r="Y263" s="222"/>
      <c r="Z263" s="299">
        <v>3.0</v>
      </c>
      <c r="AA263" s="616" t="s">
        <v>2430</v>
      </c>
      <c r="AB263" s="616">
        <v>1.0</v>
      </c>
    </row>
    <row r="264" ht="45.0" customHeight="1">
      <c r="A264" s="222">
        <v>285.0</v>
      </c>
      <c r="B264" s="222" t="s">
        <v>1152</v>
      </c>
      <c r="C264" s="232" t="s">
        <v>1192</v>
      </c>
      <c r="D264" s="222" t="s">
        <v>1191</v>
      </c>
      <c r="E264" s="299"/>
      <c r="F264" s="299"/>
      <c r="G264" s="299"/>
      <c r="H264" s="299"/>
      <c r="I264" s="299" t="s">
        <v>2117</v>
      </c>
      <c r="J264" s="222">
        <v>1.0</v>
      </c>
      <c r="K264" s="233" t="s">
        <v>1156</v>
      </c>
      <c r="L264" s="222">
        <v>1.0</v>
      </c>
      <c r="M264" s="222">
        <v>1000.0</v>
      </c>
      <c r="N264" s="222">
        <f t="shared" si="14"/>
        <v>1000</v>
      </c>
      <c r="O264" s="222" t="s">
        <v>1157</v>
      </c>
      <c r="P264" s="232"/>
      <c r="Q264" s="232"/>
      <c r="R264" s="232" t="s">
        <v>1971</v>
      </c>
      <c r="S264" s="235" t="s">
        <v>1193</v>
      </c>
      <c r="T264" s="299" t="str">
        <f>IMAGE("https://5.imimg.com/data5/SI/VL/MY-6819814/multi-volume-adjustable-micropipette.jpg",1)</f>
        <v/>
      </c>
      <c r="U264" s="340"/>
      <c r="V264" s="335"/>
      <c r="W264" s="336"/>
      <c r="X264" s="299"/>
      <c r="Y264" s="222"/>
      <c r="Z264" s="299">
        <v>3.0</v>
      </c>
      <c r="AA264" s="616" t="s">
        <v>2430</v>
      </c>
      <c r="AB264" s="616">
        <v>1.0</v>
      </c>
    </row>
    <row r="265" ht="45.0" customHeight="1">
      <c r="A265" s="11">
        <v>289.0</v>
      </c>
      <c r="B265" s="11" t="s">
        <v>1152</v>
      </c>
      <c r="C265" s="93" t="s">
        <v>1209</v>
      </c>
      <c r="D265" s="11" t="s">
        <v>1208</v>
      </c>
      <c r="E265" s="12"/>
      <c r="F265" s="12"/>
      <c r="G265" s="12"/>
      <c r="H265" s="12"/>
      <c r="I265" s="12" t="s">
        <v>2117</v>
      </c>
      <c r="J265" s="11">
        <v>2.0</v>
      </c>
      <c r="K265" s="215" t="s">
        <v>1156</v>
      </c>
      <c r="L265" s="11">
        <v>2.0</v>
      </c>
      <c r="M265" s="11">
        <v>500.0</v>
      </c>
      <c r="N265" s="11">
        <f t="shared" si="14"/>
        <v>1000</v>
      </c>
      <c r="O265" s="11" t="s">
        <v>1157</v>
      </c>
      <c r="P265" s="93"/>
      <c r="Q265" s="93"/>
      <c r="R265" s="93" t="s">
        <v>1968</v>
      </c>
      <c r="S265" s="217" t="s">
        <v>1210</v>
      </c>
      <c r="T265" s="12" t="str">
        <f>IMAGE("https://pim-resources.coleparmer.com/product/l/dwk-life-sciences-kimble-dwk-kimble-babcock-pipettes-14663.jpg",1)</f>
        <v/>
      </c>
      <c r="U265" s="78"/>
      <c r="V265" s="74"/>
      <c r="W265" s="75"/>
      <c r="X265" s="12"/>
      <c r="Y265" s="11"/>
      <c r="Z265" s="12">
        <v>3.0</v>
      </c>
      <c r="AA265" s="616" t="s">
        <v>2430</v>
      </c>
      <c r="AB265" s="616">
        <v>1.0</v>
      </c>
    </row>
    <row r="266" ht="45.0" customHeight="1">
      <c r="A266" s="11">
        <v>357.0</v>
      </c>
      <c r="B266" s="11" t="s">
        <v>1472</v>
      </c>
      <c r="C266" s="93" t="s">
        <v>1489</v>
      </c>
      <c r="D266" s="11" t="s">
        <v>1488</v>
      </c>
      <c r="E266" s="12"/>
      <c r="F266" s="12"/>
      <c r="G266" s="12"/>
      <c r="H266" s="12"/>
      <c r="I266" s="266" t="s">
        <v>2145</v>
      </c>
      <c r="J266" s="11">
        <v>5.0</v>
      </c>
      <c r="K266" s="215" t="s">
        <v>1476</v>
      </c>
      <c r="L266" s="11">
        <v>5.0</v>
      </c>
      <c r="M266" s="11">
        <v>500.0</v>
      </c>
      <c r="N266" s="11">
        <f t="shared" si="14"/>
        <v>2500</v>
      </c>
      <c r="O266" s="11" t="s">
        <v>1477</v>
      </c>
      <c r="P266" s="93"/>
      <c r="Q266" s="93"/>
      <c r="R266" s="93" t="s">
        <v>1986</v>
      </c>
      <c r="S266" s="217" t="s">
        <v>1490</v>
      </c>
      <c r="T266" s="11" t="str">
        <f>IMAGE("https://5.imimg.com/data5/AR/LM/NG/SELLER-21409398/lab-uniform-500x500.jpg",1)</f>
        <v/>
      </c>
      <c r="U266" s="330"/>
      <c r="V266" s="331"/>
      <c r="W266" s="75"/>
      <c r="X266" s="638"/>
      <c r="Y266" s="11"/>
      <c r="Z266" s="12">
        <v>3.0</v>
      </c>
      <c r="AA266" s="616" t="s">
        <v>2430</v>
      </c>
      <c r="AB266" s="616">
        <v>1.0</v>
      </c>
    </row>
    <row r="267" ht="45.0" customHeight="1">
      <c r="A267" s="11">
        <v>358.0</v>
      </c>
      <c r="B267" s="11" t="s">
        <v>1472</v>
      </c>
      <c r="C267" s="93" t="s">
        <v>1493</v>
      </c>
      <c r="D267" s="11" t="s">
        <v>1492</v>
      </c>
      <c r="E267" s="12"/>
      <c r="F267" s="12"/>
      <c r="G267" s="12"/>
      <c r="H267" s="12"/>
      <c r="I267" s="266" t="s">
        <v>2145</v>
      </c>
      <c r="J267" s="216">
        <v>2.0</v>
      </c>
      <c r="K267" s="215" t="s">
        <v>1476</v>
      </c>
      <c r="L267" s="216">
        <v>2.0</v>
      </c>
      <c r="M267" s="216">
        <v>100.0</v>
      </c>
      <c r="N267" s="11">
        <f t="shared" si="14"/>
        <v>200</v>
      </c>
      <c r="O267" s="11" t="s">
        <v>1477</v>
      </c>
      <c r="P267" s="93"/>
      <c r="Q267" s="93"/>
      <c r="R267" s="93" t="s">
        <v>1986</v>
      </c>
      <c r="S267" s="217" t="s">
        <v>1494</v>
      </c>
      <c r="T267" s="11" t="str">
        <f>IMAGE("https://cdn.moglix.com/p/oBWcDtePyNEFP.jpg",1)</f>
        <v/>
      </c>
      <c r="U267" s="78"/>
      <c r="V267" s="74"/>
      <c r="W267" s="75"/>
      <c r="X267" s="33"/>
      <c r="Y267" s="11"/>
      <c r="Z267" s="12">
        <v>3.0</v>
      </c>
      <c r="AA267" s="616" t="s">
        <v>2430</v>
      </c>
      <c r="AB267" s="616">
        <v>1.0</v>
      </c>
    </row>
    <row r="268" ht="45.0" customHeight="1">
      <c r="A268" s="222">
        <v>359.0</v>
      </c>
      <c r="B268" s="222" t="s">
        <v>1472</v>
      </c>
      <c r="C268" s="232" t="s">
        <v>1497</v>
      </c>
      <c r="D268" s="222" t="s">
        <v>1496</v>
      </c>
      <c r="E268" s="299"/>
      <c r="F268" s="299"/>
      <c r="G268" s="299"/>
      <c r="H268" s="299"/>
      <c r="I268" s="266" t="s">
        <v>2145</v>
      </c>
      <c r="J268" s="222">
        <v>5.0</v>
      </c>
      <c r="K268" s="233" t="s">
        <v>1476</v>
      </c>
      <c r="L268" s="222">
        <v>5.0</v>
      </c>
      <c r="M268" s="222"/>
      <c r="N268" s="222">
        <v>100.0</v>
      </c>
      <c r="O268" s="222" t="s">
        <v>1477</v>
      </c>
      <c r="P268" s="232"/>
      <c r="Q268" s="232" t="s">
        <v>249</v>
      </c>
      <c r="R268" s="232" t="s">
        <v>1986</v>
      </c>
      <c r="S268" s="235" t="s">
        <v>1498</v>
      </c>
      <c r="T268" s="222" t="str">
        <f>IMAGE("https://5.imimg.com/data5/SELLER/Default/2023/5/311302937/IM/IY/MO/34533827/safety-rubber-apron-1000x1000.jpg", 1)</f>
        <v/>
      </c>
      <c r="U268" s="358"/>
      <c r="V268" s="359"/>
      <c r="W268" s="336"/>
      <c r="X268" s="639"/>
      <c r="Y268" s="222"/>
      <c r="Z268" s="299">
        <v>3.0</v>
      </c>
      <c r="AA268" s="616"/>
      <c r="AB268" s="616"/>
    </row>
    <row r="269" ht="45.0" customHeight="1">
      <c r="A269" s="222">
        <v>292.0</v>
      </c>
      <c r="B269" s="222" t="s">
        <v>1152</v>
      </c>
      <c r="C269" s="232" t="s">
        <v>1221</v>
      </c>
      <c r="D269" s="222" t="s">
        <v>1220</v>
      </c>
      <c r="E269" s="299"/>
      <c r="F269" s="299"/>
      <c r="G269" s="299"/>
      <c r="H269" s="299"/>
      <c r="I269" s="299" t="s">
        <v>2203</v>
      </c>
      <c r="J269" s="222">
        <v>1.0</v>
      </c>
      <c r="K269" s="233" t="s">
        <v>1156</v>
      </c>
      <c r="L269" s="222">
        <v>1.0</v>
      </c>
      <c r="M269" s="222">
        <v>4000.0</v>
      </c>
      <c r="N269" s="222">
        <f t="shared" ref="N269:N286" si="17">M269*J269</f>
        <v>4000</v>
      </c>
      <c r="O269" s="222" t="s">
        <v>1157</v>
      </c>
      <c r="P269" s="232"/>
      <c r="Q269" s="232"/>
      <c r="R269" s="232" t="s">
        <v>1969</v>
      </c>
      <c r="S269" s="235" t="s">
        <v>1222</v>
      </c>
      <c r="T269" s="222" t="str">
        <f>IMAGE("https://5.imimg.com/data5/SELLER/Default/2021/3/XX/WV/MR/4080247/lab-sinks-500x500.jpeg",1)</f>
        <v/>
      </c>
      <c r="U269" s="334"/>
      <c r="V269" s="335"/>
      <c r="W269" s="336"/>
      <c r="X269" s="299"/>
      <c r="Y269" s="222"/>
      <c r="Z269" s="299">
        <v>3.0</v>
      </c>
      <c r="AA269" s="616" t="s">
        <v>2430</v>
      </c>
      <c r="AB269" s="616">
        <v>1.0</v>
      </c>
    </row>
    <row r="270" ht="45.0" hidden="1" customHeight="1">
      <c r="A270" s="11">
        <v>272.0</v>
      </c>
      <c r="B270" s="11" t="s">
        <v>342</v>
      </c>
      <c r="C270" s="217" t="s">
        <v>1140</v>
      </c>
      <c r="D270" s="11" t="s">
        <v>1139</v>
      </c>
      <c r="E270" s="12"/>
      <c r="F270" s="12"/>
      <c r="G270" s="12"/>
      <c r="H270" s="12"/>
      <c r="I270" s="12" t="s">
        <v>2385</v>
      </c>
      <c r="J270" s="11">
        <v>10.0</v>
      </c>
      <c r="K270" s="215" t="s">
        <v>1032</v>
      </c>
      <c r="L270" s="11">
        <v>10.0</v>
      </c>
      <c r="M270" s="11">
        <v>100.0</v>
      </c>
      <c r="N270" s="11">
        <f t="shared" si="17"/>
        <v>1000</v>
      </c>
      <c r="O270" s="11" t="s">
        <v>347</v>
      </c>
      <c r="P270" s="93"/>
      <c r="Q270" s="93" t="s">
        <v>66</v>
      </c>
      <c r="R270" s="215" t="s">
        <v>1032</v>
      </c>
      <c r="S270" s="217" t="s">
        <v>1141</v>
      </c>
      <c r="T270" s="11" t="str">
        <f>IMAGE("https://m.media-amazon.com/images/I/61O+7azby+L.jpg",1)</f>
        <v/>
      </c>
      <c r="U270" s="78"/>
      <c r="V270" s="74"/>
      <c r="W270" s="75"/>
      <c r="X270" s="12"/>
      <c r="Y270" s="11"/>
      <c r="Z270" s="12">
        <v>1.0</v>
      </c>
      <c r="AA270" s="12"/>
      <c r="AB270" s="12"/>
    </row>
    <row r="271" ht="45.0" customHeight="1">
      <c r="A271" s="11">
        <v>30.0</v>
      </c>
      <c r="B271" s="11" t="s">
        <v>137</v>
      </c>
      <c r="C271" s="93" t="s">
        <v>151</v>
      </c>
      <c r="D271" s="11" t="s">
        <v>150</v>
      </c>
      <c r="E271" s="12"/>
      <c r="F271" s="12"/>
      <c r="G271" s="12"/>
      <c r="H271" s="12"/>
      <c r="I271" s="299" t="s">
        <v>2027</v>
      </c>
      <c r="J271" s="216">
        <v>2.0</v>
      </c>
      <c r="K271" s="215" t="s">
        <v>141</v>
      </c>
      <c r="L271" s="216">
        <v>2.0</v>
      </c>
      <c r="M271" s="216">
        <v>250.0</v>
      </c>
      <c r="N271" s="11">
        <f t="shared" si="17"/>
        <v>500</v>
      </c>
      <c r="O271" s="11" t="s">
        <v>1157</v>
      </c>
      <c r="P271" s="93"/>
      <c r="Q271" s="93"/>
      <c r="R271" s="93" t="s">
        <v>1903</v>
      </c>
      <c r="S271" s="217" t="s">
        <v>152</v>
      </c>
      <c r="T271" s="11" t="str">
        <f>IMAGE("https://m.media-amazon.com/images/I/51KO2QtXE8L._SL1000_.jpg", 1)</f>
        <v/>
      </c>
      <c r="U271" s="353" t="s">
        <v>1684</v>
      </c>
      <c r="V271" s="331">
        <v>120.0</v>
      </c>
      <c r="W271" s="75"/>
      <c r="X271" s="253"/>
      <c r="Y271" s="11"/>
      <c r="Z271" s="12">
        <v>3.0</v>
      </c>
      <c r="AA271" s="616" t="s">
        <v>2430</v>
      </c>
      <c r="AB271" s="616">
        <v>1.0</v>
      </c>
    </row>
    <row r="272" ht="45.0" customHeight="1">
      <c r="A272" s="11">
        <v>294.0</v>
      </c>
      <c r="B272" s="11" t="s">
        <v>1152</v>
      </c>
      <c r="C272" s="93" t="s">
        <v>1229</v>
      </c>
      <c r="D272" s="11" t="s">
        <v>1228</v>
      </c>
      <c r="E272" s="12"/>
      <c r="F272" s="12"/>
      <c r="G272" s="12"/>
      <c r="H272" s="12"/>
      <c r="I272" s="12" t="s">
        <v>2027</v>
      </c>
      <c r="J272" s="11">
        <v>1.0</v>
      </c>
      <c r="K272" s="215" t="s">
        <v>1156</v>
      </c>
      <c r="L272" s="11">
        <v>1.0</v>
      </c>
      <c r="M272" s="11">
        <v>150.0</v>
      </c>
      <c r="N272" s="11">
        <f t="shared" si="17"/>
        <v>150</v>
      </c>
      <c r="O272" s="11" t="s">
        <v>1157</v>
      </c>
      <c r="P272" s="93"/>
      <c r="Q272" s="93"/>
      <c r="R272" s="93" t="s">
        <v>1968</v>
      </c>
      <c r="S272" s="217" t="s">
        <v>1230</v>
      </c>
      <c r="T272" s="11" t="str">
        <f>IMAGE("https://m.media-amazon.com/images/I/51+vdFGMMML._SL1001_.jpg",1)</f>
        <v/>
      </c>
      <c r="U272" s="78"/>
      <c r="V272" s="74"/>
      <c r="W272" s="75"/>
      <c r="X272" s="12"/>
      <c r="Y272" s="11"/>
      <c r="Z272" s="12">
        <v>3.0</v>
      </c>
      <c r="AA272" s="616" t="s">
        <v>2430</v>
      </c>
      <c r="AB272" s="616">
        <v>1.0</v>
      </c>
    </row>
    <row r="273" ht="45.0" customHeight="1">
      <c r="A273" s="11">
        <v>296.0</v>
      </c>
      <c r="B273" s="11" t="s">
        <v>1152</v>
      </c>
      <c r="C273" s="93" t="s">
        <v>1237</v>
      </c>
      <c r="D273" s="11" t="s">
        <v>1236</v>
      </c>
      <c r="E273" s="12"/>
      <c r="F273" s="12"/>
      <c r="G273" s="12"/>
      <c r="H273" s="12"/>
      <c r="I273" s="12" t="s">
        <v>2027</v>
      </c>
      <c r="J273" s="216">
        <v>2.0</v>
      </c>
      <c r="K273" s="215" t="s">
        <v>1156</v>
      </c>
      <c r="L273" s="216">
        <v>1.0</v>
      </c>
      <c r="M273" s="216">
        <v>150.0</v>
      </c>
      <c r="N273" s="11">
        <f t="shared" si="17"/>
        <v>300</v>
      </c>
      <c r="O273" s="11" t="s">
        <v>1157</v>
      </c>
      <c r="P273" s="93"/>
      <c r="Q273" s="93"/>
      <c r="R273" s="93" t="s">
        <v>1968</v>
      </c>
      <c r="S273" s="217" t="s">
        <v>1238</v>
      </c>
      <c r="T273" s="11" t="str">
        <f>IMAGE("https://www.abdoslifesciences.com/wp-content/uploads/p10.jpg", 1)</f>
        <v/>
      </c>
      <c r="U273" s="78"/>
      <c r="V273" s="74"/>
      <c r="W273" s="75"/>
      <c r="X273" s="12"/>
      <c r="Y273" s="11"/>
      <c r="Z273" s="12">
        <v>3.0</v>
      </c>
      <c r="AA273" s="616" t="s">
        <v>2430</v>
      </c>
      <c r="AB273" s="616">
        <v>2.0</v>
      </c>
    </row>
    <row r="274" ht="45.0" customHeight="1">
      <c r="A274" s="11">
        <v>304.0</v>
      </c>
      <c r="B274" s="11" t="s">
        <v>1152</v>
      </c>
      <c r="C274" s="93" t="s">
        <v>1270</v>
      </c>
      <c r="D274" s="11" t="s">
        <v>1269</v>
      </c>
      <c r="E274" s="12"/>
      <c r="F274" s="12"/>
      <c r="G274" s="12"/>
      <c r="H274" s="12"/>
      <c r="I274" s="12" t="s">
        <v>2027</v>
      </c>
      <c r="J274" s="11">
        <v>1.0</v>
      </c>
      <c r="K274" s="215" t="s">
        <v>1250</v>
      </c>
      <c r="L274" s="11">
        <v>1.0</v>
      </c>
      <c r="M274" s="11">
        <v>2000.0</v>
      </c>
      <c r="N274" s="11">
        <f t="shared" si="17"/>
        <v>2000</v>
      </c>
      <c r="O274" s="11" t="s">
        <v>1157</v>
      </c>
      <c r="P274" s="93"/>
      <c r="Q274" s="93"/>
      <c r="R274" s="93" t="s">
        <v>1975</v>
      </c>
      <c r="S274" s="217" t="s">
        <v>1271</v>
      </c>
      <c r="T274" s="11" t="str">
        <f>IMAGE("https://m.media-amazon.com/images/I/61USTYJ+OPL._SL1500_.jpg",1)</f>
        <v/>
      </c>
      <c r="U274" s="78"/>
      <c r="V274" s="74"/>
      <c r="W274" s="75"/>
      <c r="X274" s="12"/>
      <c r="Y274" s="11"/>
      <c r="Z274" s="12">
        <v>3.0</v>
      </c>
      <c r="AA274" s="616" t="s">
        <v>2430</v>
      </c>
      <c r="AB274" s="616">
        <v>1.0</v>
      </c>
    </row>
    <row r="275" ht="45.0" customHeight="1">
      <c r="A275" s="11">
        <v>313.0</v>
      </c>
      <c r="B275" s="11" t="s">
        <v>1152</v>
      </c>
      <c r="C275" s="93" t="s">
        <v>1302</v>
      </c>
      <c r="D275" s="11" t="s">
        <v>1301</v>
      </c>
      <c r="E275" s="12"/>
      <c r="F275" s="12"/>
      <c r="G275" s="12"/>
      <c r="H275" s="12"/>
      <c r="I275" s="12" t="s">
        <v>2027</v>
      </c>
      <c r="J275" s="216">
        <v>1.0</v>
      </c>
      <c r="K275" s="215" t="s">
        <v>1250</v>
      </c>
      <c r="L275" s="216">
        <v>1.0</v>
      </c>
      <c r="M275" s="216">
        <v>1500.0</v>
      </c>
      <c r="N275" s="11">
        <f t="shared" si="17"/>
        <v>1500</v>
      </c>
      <c r="O275" s="11" t="s">
        <v>1157</v>
      </c>
      <c r="P275" s="93" t="s">
        <v>47</v>
      </c>
      <c r="Q275" s="93"/>
      <c r="R275" s="93" t="s">
        <v>1975</v>
      </c>
      <c r="S275" s="217" t="s">
        <v>1303</v>
      </c>
      <c r="T275" s="11" t="str">
        <f>IMAGE("https://5.imimg.com/data5/XG/YW/VV/SELLER-219478/hot-plate-round-250x250.jpg",1)</f>
        <v/>
      </c>
      <c r="U275" s="73" t="s">
        <v>1684</v>
      </c>
      <c r="V275" s="74">
        <v>60.0</v>
      </c>
      <c r="W275" s="75"/>
      <c r="X275" s="12"/>
      <c r="Y275" s="11"/>
      <c r="Z275" s="12">
        <v>3.0</v>
      </c>
      <c r="AA275" s="616" t="s">
        <v>2430</v>
      </c>
      <c r="AB275" s="616">
        <v>1.0</v>
      </c>
    </row>
    <row r="276" ht="45.0" customHeight="1">
      <c r="A276" s="11">
        <v>314.0</v>
      </c>
      <c r="B276" s="11" t="s">
        <v>1152</v>
      </c>
      <c r="C276" s="93" t="s">
        <v>1306</v>
      </c>
      <c r="D276" s="11" t="s">
        <v>1305</v>
      </c>
      <c r="E276" s="12"/>
      <c r="F276" s="12"/>
      <c r="G276" s="12"/>
      <c r="H276" s="12"/>
      <c r="I276" s="12" t="s">
        <v>2027</v>
      </c>
      <c r="J276" s="216">
        <v>1.0</v>
      </c>
      <c r="K276" s="215" t="s">
        <v>1250</v>
      </c>
      <c r="L276" s="216">
        <v>1.0</v>
      </c>
      <c r="M276" s="216">
        <v>500.0</v>
      </c>
      <c r="N276" s="11">
        <f t="shared" si="17"/>
        <v>500</v>
      </c>
      <c r="O276" s="11" t="s">
        <v>1157</v>
      </c>
      <c r="P276" s="93"/>
      <c r="Q276" s="93"/>
      <c r="R276" s="93" t="s">
        <v>1964</v>
      </c>
      <c r="S276" s="217" t="s">
        <v>1307</v>
      </c>
      <c r="T276" s="11" t="str">
        <f>IMAGE("https://image.made-in-china.com/202f0j00DeSTmvGBnZpR/Electronic-Weighing-Scale-Digital-Scale-of-High-Precision-HWA-.jpg",1)</f>
        <v/>
      </c>
      <c r="U276" s="73" t="s">
        <v>1684</v>
      </c>
      <c r="V276" s="74"/>
      <c r="W276" s="75"/>
      <c r="X276" s="12"/>
      <c r="Y276" s="11"/>
      <c r="Z276" s="12">
        <v>3.0</v>
      </c>
      <c r="AA276" s="616" t="s">
        <v>2430</v>
      </c>
      <c r="AB276" s="616">
        <v>1.0</v>
      </c>
    </row>
    <row r="277" ht="45.0" customHeight="1">
      <c r="A277" s="222">
        <v>315.0</v>
      </c>
      <c r="B277" s="222" t="s">
        <v>1152</v>
      </c>
      <c r="C277" s="232" t="s">
        <v>1310</v>
      </c>
      <c r="D277" s="222" t="s">
        <v>1309</v>
      </c>
      <c r="E277" s="299"/>
      <c r="F277" s="299"/>
      <c r="G277" s="299"/>
      <c r="H277" s="299"/>
      <c r="I277" s="299" t="s">
        <v>2027</v>
      </c>
      <c r="J277" s="234">
        <v>1.0</v>
      </c>
      <c r="K277" s="233" t="s">
        <v>1250</v>
      </c>
      <c r="L277" s="234">
        <v>1.0</v>
      </c>
      <c r="M277" s="234">
        <v>500.0</v>
      </c>
      <c r="N277" s="222">
        <f t="shared" si="17"/>
        <v>500</v>
      </c>
      <c r="O277" s="222" t="s">
        <v>1157</v>
      </c>
      <c r="P277" s="232" t="s">
        <v>47</v>
      </c>
      <c r="Q277" s="232"/>
      <c r="R277" s="232" t="s">
        <v>1964</v>
      </c>
      <c r="S277" s="235" t="s">
        <v>1311</v>
      </c>
      <c r="T277" s="222" t="str">
        <f>IMAGE("https://m.media-amazon.com/images/I/71-uBViGV+L._SX522_.jpg",1)</f>
        <v/>
      </c>
      <c r="U277" s="340" t="s">
        <v>1724</v>
      </c>
      <c r="V277" s="335"/>
      <c r="W277" s="336"/>
      <c r="X277" s="299"/>
      <c r="Y277" s="222"/>
      <c r="Z277" s="299">
        <v>3.0</v>
      </c>
      <c r="AA277" s="616" t="s">
        <v>2430</v>
      </c>
      <c r="AB277" s="616">
        <v>1.0</v>
      </c>
    </row>
    <row r="278" ht="45.0" hidden="1" customHeight="1">
      <c r="A278" s="11">
        <v>280.0</v>
      </c>
      <c r="B278" s="11" t="s">
        <v>1152</v>
      </c>
      <c r="C278" s="93" t="s">
        <v>1172</v>
      </c>
      <c r="D278" s="11" t="s">
        <v>1171</v>
      </c>
      <c r="E278" s="12"/>
      <c r="F278" s="12"/>
      <c r="G278" s="12"/>
      <c r="H278" s="12"/>
      <c r="I278" s="12" t="s">
        <v>2453</v>
      </c>
      <c r="J278" s="255">
        <v>1.0</v>
      </c>
      <c r="K278" s="215" t="s">
        <v>1156</v>
      </c>
      <c r="L278" s="255">
        <v>1.0</v>
      </c>
      <c r="M278" s="255">
        <v>200.0</v>
      </c>
      <c r="N278" s="11">
        <f t="shared" si="17"/>
        <v>200</v>
      </c>
      <c r="O278" s="11" t="s">
        <v>1157</v>
      </c>
      <c r="P278" s="93" t="s">
        <v>77</v>
      </c>
      <c r="Q278" s="93" t="s">
        <v>179</v>
      </c>
      <c r="R278" s="215" t="s">
        <v>111</v>
      </c>
      <c r="S278" s="217" t="s">
        <v>1173</v>
      </c>
      <c r="T278" s="11" t="str">
        <f>IMAGE("https://www.sigmaaldrich.com/deepweb/content/dam/sigma-aldrich/product2/017/wha2200110.tif/_jcr_content/renditions/wha2200110-large.jpg", 1)</f>
        <v/>
      </c>
      <c r="U278" s="78"/>
      <c r="V278" s="74"/>
      <c r="W278" s="75"/>
      <c r="X278" s="12"/>
      <c r="Y278" s="11"/>
      <c r="Z278" s="12">
        <v>1.0</v>
      </c>
      <c r="AA278" s="12"/>
      <c r="AB278" s="12"/>
    </row>
    <row r="279" ht="45.0" customHeight="1">
      <c r="A279" s="11">
        <v>316.0</v>
      </c>
      <c r="B279" s="11" t="s">
        <v>1152</v>
      </c>
      <c r="C279" s="93" t="s">
        <v>1314</v>
      </c>
      <c r="D279" s="11" t="s">
        <v>1313</v>
      </c>
      <c r="E279" s="12"/>
      <c r="F279" s="12"/>
      <c r="G279" s="12"/>
      <c r="H279" s="12"/>
      <c r="I279" s="12" t="s">
        <v>2027</v>
      </c>
      <c r="J279" s="11">
        <v>1.0</v>
      </c>
      <c r="K279" s="215" t="s">
        <v>1250</v>
      </c>
      <c r="L279" s="11">
        <v>1.0</v>
      </c>
      <c r="M279" s="11">
        <v>12500.0</v>
      </c>
      <c r="N279" s="11">
        <f t="shared" si="17"/>
        <v>12500</v>
      </c>
      <c r="O279" s="11" t="s">
        <v>1157</v>
      </c>
      <c r="P279" s="93"/>
      <c r="Q279" s="93"/>
      <c r="R279" s="93" t="s">
        <v>1971</v>
      </c>
      <c r="S279" s="217" t="s">
        <v>1315</v>
      </c>
      <c r="T279" s="11" t="str">
        <f>IMAGE("https://m.media-amazon.com/images/I/61MstERkLZL._SL1500_.jpg",1)</f>
        <v/>
      </c>
      <c r="U279" s="78"/>
      <c r="V279" s="74"/>
      <c r="W279" s="75"/>
      <c r="X279" s="12"/>
      <c r="Y279" s="11"/>
      <c r="Z279" s="12">
        <v>3.0</v>
      </c>
      <c r="AA279" s="616" t="s">
        <v>2430</v>
      </c>
      <c r="AB279" s="616">
        <v>1.0</v>
      </c>
    </row>
    <row r="280" ht="45.0" hidden="1" customHeight="1">
      <c r="A280" s="222">
        <v>282.0</v>
      </c>
      <c r="B280" s="222" t="s">
        <v>1152</v>
      </c>
      <c r="C280" s="232" t="s">
        <v>1180</v>
      </c>
      <c r="D280" s="222" t="s">
        <v>1179</v>
      </c>
      <c r="E280" s="299"/>
      <c r="F280" s="299"/>
      <c r="G280" s="299"/>
      <c r="H280" s="299"/>
      <c r="I280" s="299" t="s">
        <v>2368</v>
      </c>
      <c r="J280" s="234">
        <v>20.0</v>
      </c>
      <c r="K280" s="233" t="s">
        <v>1156</v>
      </c>
      <c r="L280" s="234">
        <v>20.0</v>
      </c>
      <c r="M280" s="234">
        <v>100.0</v>
      </c>
      <c r="N280" s="222">
        <f t="shared" si="17"/>
        <v>2000</v>
      </c>
      <c r="O280" s="222" t="s">
        <v>1157</v>
      </c>
      <c r="P280" s="232"/>
      <c r="Q280" s="232" t="s">
        <v>249</v>
      </c>
      <c r="R280" s="232" t="s">
        <v>1970</v>
      </c>
      <c r="S280" s="235" t="s">
        <v>1181</v>
      </c>
      <c r="T280" s="222" t="str">
        <f>IMAGE("https://www.domo.in/image/cache/catalog/nHance/LNSS4201/Display-228x228.jpg")</f>
        <v/>
      </c>
      <c r="U280" s="358" t="s">
        <v>56</v>
      </c>
      <c r="V280" s="359"/>
      <c r="W280" s="336"/>
      <c r="X280" s="360"/>
      <c r="Y280" s="222"/>
      <c r="Z280" s="299">
        <v>1.0</v>
      </c>
      <c r="AA280" s="616"/>
      <c r="AB280" s="616"/>
    </row>
    <row r="281" ht="45.0" customHeight="1">
      <c r="A281" s="222">
        <v>318.0</v>
      </c>
      <c r="B281" s="222" t="s">
        <v>1152</v>
      </c>
      <c r="C281" s="232" t="s">
        <v>1322</v>
      </c>
      <c r="D281" s="222" t="s">
        <v>1321</v>
      </c>
      <c r="E281" s="299"/>
      <c r="F281" s="299"/>
      <c r="G281" s="299"/>
      <c r="H281" s="299"/>
      <c r="I281" s="299" t="s">
        <v>2027</v>
      </c>
      <c r="J281" s="234">
        <v>1.0</v>
      </c>
      <c r="K281" s="233" t="s">
        <v>1250</v>
      </c>
      <c r="L281" s="234">
        <v>1.0</v>
      </c>
      <c r="M281" s="234">
        <v>1000.0</v>
      </c>
      <c r="N281" s="222">
        <f t="shared" si="17"/>
        <v>1000</v>
      </c>
      <c r="O281" s="222" t="s">
        <v>1157</v>
      </c>
      <c r="P281" s="232"/>
      <c r="Q281" s="232"/>
      <c r="R281" s="232" t="s">
        <v>1971</v>
      </c>
      <c r="S281" s="235"/>
      <c r="T281" s="222" t="str">
        <f>IMAGE("https://m.media-amazon.com/images/I/61yYBr4qxBL._SL1276_.jpg",1)</f>
        <v/>
      </c>
      <c r="U281" s="340" t="s">
        <v>1684</v>
      </c>
      <c r="V281" s="335">
        <v>120.0</v>
      </c>
      <c r="W281" s="336"/>
      <c r="X281" s="299"/>
      <c r="Y281" s="222"/>
      <c r="Z281" s="299">
        <v>3.0</v>
      </c>
      <c r="AA281" s="616" t="s">
        <v>2430</v>
      </c>
      <c r="AB281" s="616">
        <v>1.0</v>
      </c>
    </row>
    <row r="282" ht="45.0" customHeight="1">
      <c r="A282" s="11">
        <v>279.0</v>
      </c>
      <c r="B282" s="11" t="s">
        <v>1152</v>
      </c>
      <c r="C282" s="93" t="s">
        <v>1168</v>
      </c>
      <c r="D282" s="11" t="s">
        <v>1167</v>
      </c>
      <c r="E282" s="12"/>
      <c r="F282" s="12"/>
      <c r="G282" s="12"/>
      <c r="H282" s="12"/>
      <c r="I282" s="12" t="s">
        <v>2155</v>
      </c>
      <c r="J282" s="11">
        <v>2.0</v>
      </c>
      <c r="K282" s="215" t="s">
        <v>1156</v>
      </c>
      <c r="L282" s="11">
        <v>2.0</v>
      </c>
      <c r="M282" s="11">
        <v>200.0</v>
      </c>
      <c r="N282" s="11">
        <f t="shared" si="17"/>
        <v>400</v>
      </c>
      <c r="O282" s="11" t="s">
        <v>1157</v>
      </c>
      <c r="P282" s="93" t="s">
        <v>77</v>
      </c>
      <c r="Q282" s="93"/>
      <c r="R282" s="93" t="s">
        <v>1969</v>
      </c>
      <c r="S282" s="217" t="s">
        <v>1169</v>
      </c>
      <c r="T282" s="11" t="str">
        <f>IMAGE("https://m.media-amazon.com/images/W/MEDIAX_792452-T2/images/I/71veIL4opPL.jpg",1)</f>
        <v/>
      </c>
      <c r="U282" s="78"/>
      <c r="V282" s="74"/>
      <c r="W282" s="75"/>
      <c r="X282" s="12"/>
      <c r="Y282" s="11"/>
      <c r="Z282" s="12">
        <v>3.0</v>
      </c>
      <c r="AA282" s="616" t="s">
        <v>2430</v>
      </c>
      <c r="AB282" s="616">
        <v>3.0</v>
      </c>
    </row>
    <row r="283" ht="45.0" customHeight="1">
      <c r="A283" s="11">
        <v>281.0</v>
      </c>
      <c r="B283" s="11" t="s">
        <v>1152</v>
      </c>
      <c r="C283" s="93" t="s">
        <v>1176</v>
      </c>
      <c r="D283" s="11" t="s">
        <v>1175</v>
      </c>
      <c r="E283" s="12"/>
      <c r="F283" s="12"/>
      <c r="G283" s="12"/>
      <c r="H283" s="12"/>
      <c r="I283" s="12" t="s">
        <v>2155</v>
      </c>
      <c r="J283" s="216">
        <v>1.0</v>
      </c>
      <c r="K283" s="215" t="s">
        <v>1156</v>
      </c>
      <c r="L283" s="216">
        <v>1.0</v>
      </c>
      <c r="M283" s="216">
        <v>150.0</v>
      </c>
      <c r="N283" s="11">
        <f t="shared" si="17"/>
        <v>150</v>
      </c>
      <c r="O283" s="11" t="s">
        <v>1157</v>
      </c>
      <c r="P283" s="93"/>
      <c r="Q283" s="93" t="s">
        <v>179</v>
      </c>
      <c r="R283" s="93" t="s">
        <v>1968</v>
      </c>
      <c r="S283" s="217" t="s">
        <v>1177</v>
      </c>
      <c r="T283" s="11" t="str">
        <f>IMAGE("https://m.media-amazon.com/images/I/A1PFWcAysAL.jpg", 1)</f>
        <v/>
      </c>
      <c r="U283" s="330"/>
      <c r="V283" s="331"/>
      <c r="W283" s="75"/>
      <c r="X283" s="253"/>
      <c r="Y283" s="11"/>
      <c r="Z283" s="12">
        <v>3.0</v>
      </c>
      <c r="AA283" s="616" t="s">
        <v>2430</v>
      </c>
      <c r="AB283" s="616">
        <v>1.0</v>
      </c>
    </row>
    <row r="284" ht="45.0" hidden="1" customHeight="1">
      <c r="A284" s="11">
        <v>286.0</v>
      </c>
      <c r="B284" s="11" t="s">
        <v>1152</v>
      </c>
      <c r="C284" s="93" t="s">
        <v>1196</v>
      </c>
      <c r="D284" s="11" t="s">
        <v>1195</v>
      </c>
      <c r="E284" s="12"/>
      <c r="F284" s="12"/>
      <c r="G284" s="12"/>
      <c r="H284" s="12"/>
      <c r="I284" s="299" t="s">
        <v>2195</v>
      </c>
      <c r="J284" s="216">
        <v>1.0</v>
      </c>
      <c r="K284" s="215" t="s">
        <v>1156</v>
      </c>
      <c r="L284" s="216">
        <v>2.0</v>
      </c>
      <c r="M284" s="216">
        <v>200.0</v>
      </c>
      <c r="N284" s="11">
        <f t="shared" si="17"/>
        <v>200</v>
      </c>
      <c r="O284" s="11" t="s">
        <v>1157</v>
      </c>
      <c r="P284" s="93"/>
      <c r="Q284" s="93" t="s">
        <v>179</v>
      </c>
      <c r="R284" s="93" t="s">
        <v>1971</v>
      </c>
      <c r="S284" s="217" t="s">
        <v>1198</v>
      </c>
      <c r="T284" s="11" t="str">
        <f>IMAGE("https://5.imimg.com/data5/SELLER/Default/2021/7/IF/DT/PV/116258883/microscope-cover-glass-250x250.JPG",1)</f>
        <v/>
      </c>
      <c r="U284" s="78"/>
      <c r="V284" s="74"/>
      <c r="W284" s="75"/>
      <c r="X284" s="12"/>
      <c r="Y284" s="11"/>
      <c r="Z284" s="12">
        <v>1.0</v>
      </c>
      <c r="AA284" s="299"/>
      <c r="AB284" s="299"/>
    </row>
    <row r="285" ht="45.0" hidden="1" customHeight="1">
      <c r="A285" s="11">
        <v>287.0</v>
      </c>
      <c r="B285" s="11" t="s">
        <v>1152</v>
      </c>
      <c r="C285" s="93" t="s">
        <v>1201</v>
      </c>
      <c r="D285" s="11" t="s">
        <v>1200</v>
      </c>
      <c r="E285" s="12"/>
      <c r="F285" s="12"/>
      <c r="G285" s="12"/>
      <c r="H285" s="12"/>
      <c r="I285" s="299" t="s">
        <v>2195</v>
      </c>
      <c r="J285" s="216">
        <v>1.0</v>
      </c>
      <c r="K285" s="215" t="s">
        <v>1156</v>
      </c>
      <c r="L285" s="216">
        <v>2.0</v>
      </c>
      <c r="M285" s="218">
        <v>100.0</v>
      </c>
      <c r="N285" s="11">
        <f t="shared" si="17"/>
        <v>100</v>
      </c>
      <c r="O285" s="11" t="s">
        <v>1157</v>
      </c>
      <c r="P285" s="93"/>
      <c r="Q285" s="93" t="s">
        <v>179</v>
      </c>
      <c r="R285" s="93" t="s">
        <v>1971</v>
      </c>
      <c r="S285" s="217" t="s">
        <v>1202</v>
      </c>
      <c r="T285" s="11" t="str">
        <f>IMAGE("https://5.imimg.com/data5/AZ/OD/EC/SELLER-20177713/laboratory-slides-500x500.jpg",1)</f>
        <v/>
      </c>
      <c r="U285" s="78"/>
      <c r="V285" s="74"/>
      <c r="W285" s="75"/>
      <c r="X285" s="12"/>
      <c r="Y285" s="11"/>
      <c r="Z285" s="12">
        <v>1.0</v>
      </c>
      <c r="AA285" s="299"/>
      <c r="AB285" s="299"/>
    </row>
    <row r="286" ht="45.0" hidden="1" customHeight="1">
      <c r="A286" s="222">
        <v>288.0</v>
      </c>
      <c r="B286" s="222" t="s">
        <v>1152</v>
      </c>
      <c r="C286" s="232" t="s">
        <v>1205</v>
      </c>
      <c r="D286" s="222" t="s">
        <v>1204</v>
      </c>
      <c r="E286" s="299"/>
      <c r="F286" s="299"/>
      <c r="G286" s="299"/>
      <c r="H286" s="299"/>
      <c r="I286" s="299" t="s">
        <v>2426</v>
      </c>
      <c r="J286" s="234">
        <v>30.0</v>
      </c>
      <c r="K286" s="233" t="s">
        <v>1156</v>
      </c>
      <c r="L286" s="234">
        <v>30.0</v>
      </c>
      <c r="M286" s="234">
        <v>15.0</v>
      </c>
      <c r="N286" s="222">
        <f t="shared" si="17"/>
        <v>450</v>
      </c>
      <c r="O286" s="222" t="s">
        <v>1157</v>
      </c>
      <c r="P286" s="232"/>
      <c r="Q286" s="232" t="s">
        <v>22</v>
      </c>
      <c r="R286" s="232" t="s">
        <v>1968</v>
      </c>
      <c r="S286" s="235" t="s">
        <v>1206</v>
      </c>
      <c r="T286" s="222" t="str">
        <f>IMAGE("https://www.abdoslifesciences.com/wp-content/uploads/Abdos_Delhi2-107_P10911-to-P10918-2.png",1)</f>
        <v/>
      </c>
      <c r="U286" s="358" t="s">
        <v>56</v>
      </c>
      <c r="V286" s="359"/>
      <c r="W286" s="336"/>
      <c r="X286" s="360"/>
      <c r="Y286" s="222"/>
      <c r="Z286" s="299">
        <v>1.0</v>
      </c>
      <c r="AA286" s="299"/>
      <c r="AB286" s="299"/>
    </row>
    <row r="287" ht="45.0" customHeight="1">
      <c r="A287" s="11">
        <v>409.0</v>
      </c>
      <c r="B287" s="11"/>
      <c r="C287" s="260" t="s">
        <v>1999</v>
      </c>
      <c r="D287" s="259" t="s">
        <v>1998</v>
      </c>
      <c r="E287" s="620"/>
      <c r="F287" s="620"/>
      <c r="G287" s="620"/>
      <c r="H287" s="620"/>
      <c r="I287" s="12" t="s">
        <v>2155</v>
      </c>
      <c r="J287" s="281">
        <v>4.0</v>
      </c>
      <c r="K287" s="215" t="s">
        <v>1156</v>
      </c>
      <c r="L287" s="216"/>
      <c r="M287" s="216"/>
      <c r="N287" s="11"/>
      <c r="O287" s="11" t="s">
        <v>1157</v>
      </c>
      <c r="P287" s="93"/>
      <c r="Q287" s="123"/>
      <c r="R287" s="93"/>
      <c r="S287" s="217"/>
      <c r="T287" s="11"/>
      <c r="U287" s="73"/>
      <c r="V287" s="74"/>
      <c r="W287" s="75"/>
      <c r="X287" s="12"/>
      <c r="Y287" s="11"/>
      <c r="Z287" s="12">
        <v>3.0</v>
      </c>
      <c r="AA287" s="616" t="s">
        <v>2430</v>
      </c>
      <c r="AB287" s="616">
        <v>1.0</v>
      </c>
    </row>
    <row r="288" ht="45.0" hidden="1" customHeight="1">
      <c r="A288" s="11">
        <v>290.0</v>
      </c>
      <c r="B288" s="11" t="s">
        <v>1152</v>
      </c>
      <c r="C288" s="93" t="s">
        <v>1213</v>
      </c>
      <c r="D288" s="11" t="s">
        <v>1212</v>
      </c>
      <c r="E288" s="12"/>
      <c r="F288" s="12"/>
      <c r="G288" s="12"/>
      <c r="H288" s="12"/>
      <c r="I288" s="12" t="s">
        <v>2453</v>
      </c>
      <c r="J288" s="216">
        <v>10.0</v>
      </c>
      <c r="K288" s="215" t="s">
        <v>1156</v>
      </c>
      <c r="L288" s="216">
        <v>10.0</v>
      </c>
      <c r="M288" s="216">
        <v>20.0</v>
      </c>
      <c r="N288" s="11">
        <f t="shared" ref="N288:N322" si="18">M288*J288</f>
        <v>200</v>
      </c>
      <c r="O288" s="11" t="s">
        <v>1157</v>
      </c>
      <c r="P288" s="93"/>
      <c r="Q288" s="93" t="s">
        <v>1972</v>
      </c>
      <c r="R288" s="93" t="s">
        <v>1969</v>
      </c>
      <c r="S288" s="217" t="s">
        <v>1214</v>
      </c>
      <c r="T288" s="11" t="str">
        <f>IMAGE("https://5.imimg.com/data5/QC/NX/MY-932240/clear-plastic-funnel-250x250.jpg", 1)</f>
        <v/>
      </c>
      <c r="U288" s="78"/>
      <c r="V288" s="74"/>
      <c r="W288" s="75"/>
      <c r="X288" s="12"/>
      <c r="Y288" s="11"/>
      <c r="Z288" s="12">
        <v>1.0</v>
      </c>
      <c r="AA288" s="12"/>
      <c r="AB288" s="12"/>
    </row>
    <row r="289" ht="45.0" hidden="1" customHeight="1">
      <c r="A289" s="11">
        <v>291.0</v>
      </c>
      <c r="B289" s="11" t="s">
        <v>1152</v>
      </c>
      <c r="C289" s="93" t="s">
        <v>1217</v>
      </c>
      <c r="D289" s="11" t="s">
        <v>1216</v>
      </c>
      <c r="E289" s="12"/>
      <c r="F289" s="12"/>
      <c r="G289" s="12"/>
      <c r="H289" s="12"/>
      <c r="I289" s="12" t="s">
        <v>2453</v>
      </c>
      <c r="J289" s="216">
        <v>10.0</v>
      </c>
      <c r="K289" s="215" t="s">
        <v>1156</v>
      </c>
      <c r="L289" s="216">
        <v>10.0</v>
      </c>
      <c r="M289" s="216">
        <v>20.0</v>
      </c>
      <c r="N289" s="11">
        <f t="shared" si="18"/>
        <v>200</v>
      </c>
      <c r="O289" s="11" t="s">
        <v>1157</v>
      </c>
      <c r="P289" s="93"/>
      <c r="Q289" s="93" t="s">
        <v>179</v>
      </c>
      <c r="R289" s="93" t="s">
        <v>1969</v>
      </c>
      <c r="S289" s="217" t="s">
        <v>1218</v>
      </c>
      <c r="T289" s="11" t="str">
        <f>IMAGE("https://www.reagecon.com/product/image/medium/6267270_1.jpg",1)</f>
        <v/>
      </c>
      <c r="U289" s="78"/>
      <c r="V289" s="74"/>
      <c r="W289" s="75"/>
      <c r="X289" s="12"/>
      <c r="Y289" s="11"/>
      <c r="Z289" s="12">
        <v>1.0</v>
      </c>
      <c r="AA289" s="12"/>
      <c r="AB289" s="12"/>
    </row>
    <row r="290" ht="45.0" customHeight="1">
      <c r="A290" s="222">
        <v>305.0</v>
      </c>
      <c r="B290" s="222" t="s">
        <v>1152</v>
      </c>
      <c r="C290" s="232" t="s">
        <v>1274</v>
      </c>
      <c r="D290" s="222" t="s">
        <v>1273</v>
      </c>
      <c r="E290" s="299"/>
      <c r="F290" s="299"/>
      <c r="G290" s="299"/>
      <c r="H290" s="299"/>
      <c r="I290" s="299" t="s">
        <v>2124</v>
      </c>
      <c r="J290" s="222">
        <v>1.0</v>
      </c>
      <c r="K290" s="233" t="s">
        <v>1250</v>
      </c>
      <c r="L290" s="222">
        <v>1.0</v>
      </c>
      <c r="M290" s="222">
        <v>1700.0</v>
      </c>
      <c r="N290" s="222">
        <f t="shared" si="18"/>
        <v>1700</v>
      </c>
      <c r="O290" s="222" t="s">
        <v>1157</v>
      </c>
      <c r="P290" s="232" t="s">
        <v>47</v>
      </c>
      <c r="Q290" s="232"/>
      <c r="R290" s="232" t="s">
        <v>1964</v>
      </c>
      <c r="S290" s="235" t="s">
        <v>1275</v>
      </c>
      <c r="T290" s="222" t="str">
        <f>IMAGE("https://htcinstrument.com/wp-content/uploads/2021/05/AVM-06L.jpg",1)</f>
        <v/>
      </c>
      <c r="U290" s="358" t="s">
        <v>1724</v>
      </c>
      <c r="V290" s="359"/>
      <c r="W290" s="336"/>
      <c r="X290" s="360"/>
      <c r="Y290" s="222"/>
      <c r="Z290" s="299">
        <v>3.0</v>
      </c>
      <c r="AA290" s="616"/>
      <c r="AB290" s="616"/>
    </row>
    <row r="291" ht="45.0" hidden="1" customHeight="1">
      <c r="A291" s="222">
        <v>293.0</v>
      </c>
      <c r="B291" s="222" t="s">
        <v>1152</v>
      </c>
      <c r="C291" s="232" t="s">
        <v>1225</v>
      </c>
      <c r="D291" s="222" t="s">
        <v>1224</v>
      </c>
      <c r="E291" s="299"/>
      <c r="F291" s="299"/>
      <c r="G291" s="299"/>
      <c r="H291" s="299"/>
      <c r="I291" s="299" t="s">
        <v>2195</v>
      </c>
      <c r="J291" s="234">
        <v>100.0</v>
      </c>
      <c r="K291" s="233" t="s">
        <v>1156</v>
      </c>
      <c r="L291" s="234">
        <v>100.0</v>
      </c>
      <c r="M291" s="234">
        <v>20.0</v>
      </c>
      <c r="N291" s="222">
        <f t="shared" si="18"/>
        <v>2000</v>
      </c>
      <c r="O291" s="222" t="s">
        <v>1157</v>
      </c>
      <c r="P291" s="232"/>
      <c r="Q291" s="232" t="s">
        <v>22</v>
      </c>
      <c r="R291" s="232" t="s">
        <v>1969</v>
      </c>
      <c r="S291" s="235" t="s">
        <v>1226</v>
      </c>
      <c r="T291" s="222" t="str">
        <f>IMAGE("https://5.imimg.com/data5/GX/OE/MY-972879/30ml-specimen-container-500x500.jpg", 1)</f>
        <v/>
      </c>
      <c r="U291" s="358"/>
      <c r="V291" s="359"/>
      <c r="W291" s="336"/>
      <c r="X291" s="360"/>
      <c r="Y291" s="222"/>
      <c r="Z291" s="299">
        <v>1.0</v>
      </c>
      <c r="AA291" s="299"/>
      <c r="AB291" s="299"/>
    </row>
    <row r="292" ht="45.0" customHeight="1">
      <c r="A292" s="222">
        <v>307.0</v>
      </c>
      <c r="B292" s="222" t="s">
        <v>1152</v>
      </c>
      <c r="C292" s="232" t="s">
        <v>1281</v>
      </c>
      <c r="D292" s="222" t="s">
        <v>1280</v>
      </c>
      <c r="E292" s="299"/>
      <c r="F292" s="299"/>
      <c r="G292" s="299"/>
      <c r="H292" s="299"/>
      <c r="I292" s="299" t="s">
        <v>2124</v>
      </c>
      <c r="J292" s="222">
        <v>1.0</v>
      </c>
      <c r="K292" s="233" t="s">
        <v>1250</v>
      </c>
      <c r="L292" s="222">
        <v>1.0</v>
      </c>
      <c r="M292" s="222">
        <v>1700.0</v>
      </c>
      <c r="N292" s="222">
        <f t="shared" si="18"/>
        <v>1700</v>
      </c>
      <c r="O292" s="222" t="s">
        <v>1157</v>
      </c>
      <c r="P292" s="232" t="s">
        <v>47</v>
      </c>
      <c r="Q292" s="232"/>
      <c r="R292" s="232" t="s">
        <v>1964</v>
      </c>
      <c r="S292" s="235" t="s">
        <v>1282</v>
      </c>
      <c r="T292" s="222" t="str">
        <f>IMAGE("https://www.toolworld.in/storage/media/product/UT382-1.jpg",1)</f>
        <v/>
      </c>
      <c r="U292" s="334" t="s">
        <v>1724</v>
      </c>
      <c r="V292" s="335"/>
      <c r="W292" s="336"/>
      <c r="X292" s="299"/>
      <c r="Y292" s="222"/>
      <c r="Z292" s="299">
        <v>3.0</v>
      </c>
      <c r="AA292" s="616" t="s">
        <v>2430</v>
      </c>
      <c r="AB292" s="616">
        <v>1.0</v>
      </c>
    </row>
    <row r="293" ht="45.0" hidden="1" customHeight="1">
      <c r="A293" s="11">
        <v>295.0</v>
      </c>
      <c r="B293" s="11" t="s">
        <v>1152</v>
      </c>
      <c r="C293" s="93" t="s">
        <v>1233</v>
      </c>
      <c r="D293" s="11" t="s">
        <v>1232</v>
      </c>
      <c r="E293" s="12"/>
      <c r="F293" s="12"/>
      <c r="G293" s="12"/>
      <c r="H293" s="12"/>
      <c r="I293" s="12" t="s">
        <v>2454</v>
      </c>
      <c r="J293" s="216">
        <v>10.0</v>
      </c>
      <c r="K293" s="215" t="s">
        <v>1156</v>
      </c>
      <c r="L293" s="216">
        <v>10.0</v>
      </c>
      <c r="M293" s="216">
        <v>15.0</v>
      </c>
      <c r="N293" s="11">
        <f t="shared" si="18"/>
        <v>150</v>
      </c>
      <c r="O293" s="11" t="s">
        <v>1157</v>
      </c>
      <c r="P293" s="93"/>
      <c r="Q293" s="93"/>
      <c r="R293" s="93" t="s">
        <v>1968</v>
      </c>
      <c r="S293" s="217" t="s">
        <v>1234</v>
      </c>
      <c r="T293" s="11" t="str">
        <f>IMAGE("https://5.imimg.com/data5/SELLER/Default/2022/10/RF/ME/PW/7444604/12x100mm-glass-test-tube-500x500.jpg", 1)</f>
        <v/>
      </c>
      <c r="U293" s="78"/>
      <c r="V293" s="74"/>
      <c r="W293" s="75"/>
      <c r="X293" s="12"/>
      <c r="Y293" s="11"/>
      <c r="Z293" s="12">
        <v>1.0</v>
      </c>
      <c r="AA293" s="12"/>
      <c r="AB293" s="12"/>
    </row>
    <row r="294" ht="45.0" customHeight="1">
      <c r="A294" s="11">
        <v>308.0</v>
      </c>
      <c r="B294" s="11" t="s">
        <v>1152</v>
      </c>
      <c r="C294" s="93" t="s">
        <v>1285</v>
      </c>
      <c r="D294" s="11" t="s">
        <v>1284</v>
      </c>
      <c r="E294" s="12"/>
      <c r="F294" s="12"/>
      <c r="G294" s="12"/>
      <c r="H294" s="12"/>
      <c r="I294" s="299" t="s">
        <v>2124</v>
      </c>
      <c r="J294" s="11">
        <v>1.0</v>
      </c>
      <c r="K294" s="215" t="s">
        <v>1250</v>
      </c>
      <c r="L294" s="11">
        <v>1.0</v>
      </c>
      <c r="M294" s="11">
        <v>3000.0</v>
      </c>
      <c r="N294" s="11">
        <f t="shared" si="18"/>
        <v>3000</v>
      </c>
      <c r="O294" s="11" t="s">
        <v>1157</v>
      </c>
      <c r="P294" s="93"/>
      <c r="Q294" s="93"/>
      <c r="R294" s="93" t="s">
        <v>1964</v>
      </c>
      <c r="S294" s="217"/>
      <c r="T294" s="11"/>
      <c r="U294" s="78" t="s">
        <v>1726</v>
      </c>
      <c r="V294" s="74"/>
      <c r="W294" s="75"/>
      <c r="X294" s="12"/>
      <c r="Y294" s="11"/>
      <c r="Z294" s="12">
        <v>3.0</v>
      </c>
      <c r="AA294" s="616" t="s">
        <v>2430</v>
      </c>
      <c r="AB294" s="640">
        <v>2.0</v>
      </c>
    </row>
    <row r="295" ht="45.0" customHeight="1">
      <c r="A295" s="222">
        <v>309.0</v>
      </c>
      <c r="B295" s="222" t="s">
        <v>1152</v>
      </c>
      <c r="C295" s="232" t="s">
        <v>1288</v>
      </c>
      <c r="D295" s="222" t="s">
        <v>1287</v>
      </c>
      <c r="E295" s="299"/>
      <c r="F295" s="299"/>
      <c r="G295" s="299"/>
      <c r="H295" s="299"/>
      <c r="I295" s="299" t="s">
        <v>2124</v>
      </c>
      <c r="J295" s="222">
        <v>1.0</v>
      </c>
      <c r="K295" s="233" t="s">
        <v>1250</v>
      </c>
      <c r="L295" s="222">
        <v>1.0</v>
      </c>
      <c r="M295" s="222">
        <v>1000.0</v>
      </c>
      <c r="N295" s="222">
        <f t="shared" si="18"/>
        <v>1000</v>
      </c>
      <c r="O295" s="222" t="s">
        <v>1157</v>
      </c>
      <c r="P295" s="232"/>
      <c r="Q295" s="232"/>
      <c r="R295" s="232" t="s">
        <v>1964</v>
      </c>
      <c r="S295" s="235"/>
      <c r="T295" s="222" t="str">
        <f>IMAGE("https://m.media-amazon.com/images/I/41d6N8TdSTL._SL1001_.jpg",1)</f>
        <v/>
      </c>
      <c r="U295" s="334"/>
      <c r="V295" s="335"/>
      <c r="W295" s="336"/>
      <c r="X295" s="299"/>
      <c r="Y295" s="222"/>
      <c r="Z295" s="299">
        <v>3.0</v>
      </c>
      <c r="AA295" s="616" t="s">
        <v>2430</v>
      </c>
      <c r="AB295" s="616">
        <v>2.0</v>
      </c>
    </row>
    <row r="296" ht="45.0" hidden="1" customHeight="1">
      <c r="A296" s="11">
        <v>298.0</v>
      </c>
      <c r="B296" s="11" t="s">
        <v>1152</v>
      </c>
      <c r="C296" s="93" t="s">
        <v>1245</v>
      </c>
      <c r="D296" s="11" t="s">
        <v>1244</v>
      </c>
      <c r="E296" s="12"/>
      <c r="F296" s="12"/>
      <c r="G296" s="12"/>
      <c r="H296" s="12"/>
      <c r="I296" s="12" t="s">
        <v>2419</v>
      </c>
      <c r="J296" s="11">
        <v>10.0</v>
      </c>
      <c r="K296" s="215" t="s">
        <v>1156</v>
      </c>
      <c r="L296" s="11">
        <v>10.0</v>
      </c>
      <c r="M296" s="11">
        <v>10.0</v>
      </c>
      <c r="N296" s="11">
        <f t="shared" si="18"/>
        <v>100</v>
      </c>
      <c r="O296" s="11" t="s">
        <v>1157</v>
      </c>
      <c r="P296" s="93"/>
      <c r="Q296" s="93" t="s">
        <v>179</v>
      </c>
      <c r="R296" s="93" t="s">
        <v>1968</v>
      </c>
      <c r="S296" s="217" t="s">
        <v>1246</v>
      </c>
      <c r="T296" s="11" t="str">
        <f>IMAGE("https://m.media-amazon.com/images/I/31U00ndDv2L._SX679_.jpg",1)</f>
        <v/>
      </c>
      <c r="U296" s="78"/>
      <c r="V296" s="74"/>
      <c r="W296" s="75"/>
      <c r="X296" s="12"/>
      <c r="Y296" s="11"/>
      <c r="Z296" s="12">
        <v>1.0</v>
      </c>
      <c r="AA296" s="12"/>
      <c r="AB296" s="12"/>
    </row>
    <row r="297" ht="45.0" hidden="1" customHeight="1">
      <c r="A297" s="11">
        <v>299.0</v>
      </c>
      <c r="B297" s="11" t="s">
        <v>173</v>
      </c>
      <c r="C297" s="93" t="s">
        <v>1249</v>
      </c>
      <c r="D297" s="11" t="s">
        <v>1248</v>
      </c>
      <c r="E297" s="12"/>
      <c r="F297" s="12"/>
      <c r="G297" s="12"/>
      <c r="H297" s="12"/>
      <c r="I297" s="12"/>
      <c r="J297" s="216">
        <v>7.0</v>
      </c>
      <c r="K297" s="215" t="s">
        <v>1250</v>
      </c>
      <c r="L297" s="216">
        <v>7.0</v>
      </c>
      <c r="M297" s="216">
        <v>500.0</v>
      </c>
      <c r="N297" s="11">
        <f t="shared" si="18"/>
        <v>3500</v>
      </c>
      <c r="O297" s="11" t="s">
        <v>178</v>
      </c>
      <c r="P297" s="93" t="s">
        <v>47</v>
      </c>
      <c r="Q297" s="93" t="s">
        <v>1973</v>
      </c>
      <c r="R297" s="93" t="s">
        <v>1964</v>
      </c>
      <c r="S297" s="217" t="s">
        <v>1251</v>
      </c>
      <c r="T297" s="11" t="str">
        <f>IMAGE("https://www.atel-electronics.eu/pic_cache/10/06158.jpg",1)</f>
        <v/>
      </c>
      <c r="U297" s="73" t="s">
        <v>1724</v>
      </c>
      <c r="V297" s="74"/>
      <c r="W297" s="75"/>
      <c r="X297" s="12"/>
      <c r="Y297" s="11"/>
      <c r="Z297" s="12">
        <v>1.0</v>
      </c>
      <c r="AA297" s="12"/>
      <c r="AB297" s="12"/>
    </row>
    <row r="298" ht="45.0" hidden="1" customHeight="1">
      <c r="A298" s="11">
        <v>300.0</v>
      </c>
      <c r="B298" s="11" t="s">
        <v>173</v>
      </c>
      <c r="C298" s="93" t="s">
        <v>1254</v>
      </c>
      <c r="D298" s="11" t="s">
        <v>1253</v>
      </c>
      <c r="E298" s="12"/>
      <c r="F298" s="12"/>
      <c r="G298" s="12"/>
      <c r="H298" s="12"/>
      <c r="I298" s="12"/>
      <c r="J298" s="216">
        <v>1.0</v>
      </c>
      <c r="K298" s="215" t="s">
        <v>1250</v>
      </c>
      <c r="L298" s="216">
        <v>1.0</v>
      </c>
      <c r="M298" s="216">
        <v>1000.0</v>
      </c>
      <c r="N298" s="11">
        <f t="shared" si="18"/>
        <v>1000</v>
      </c>
      <c r="O298" s="11" t="s">
        <v>178</v>
      </c>
      <c r="P298" s="93" t="s">
        <v>47</v>
      </c>
      <c r="Q298" s="93" t="s">
        <v>1973</v>
      </c>
      <c r="R298" s="93" t="s">
        <v>1964</v>
      </c>
      <c r="S298" s="217" t="s">
        <v>1255</v>
      </c>
      <c r="T298" s="11" t="str">
        <f>IMAGE("https://in.element14.com/productimages/large/en_GB/IN07444-40.jpg",1)</f>
        <v/>
      </c>
      <c r="U298" s="73" t="s">
        <v>1724</v>
      </c>
      <c r="V298" s="74"/>
      <c r="W298" s="75"/>
      <c r="X298" s="12"/>
      <c r="Y298" s="11"/>
      <c r="Z298" s="12">
        <v>1.0</v>
      </c>
      <c r="AA298" s="12"/>
      <c r="AB298" s="12"/>
    </row>
    <row r="299" ht="45.0" customHeight="1">
      <c r="A299" s="222">
        <v>310.0</v>
      </c>
      <c r="B299" s="222" t="s">
        <v>1152</v>
      </c>
      <c r="C299" s="232" t="s">
        <v>1291</v>
      </c>
      <c r="D299" s="222" t="s">
        <v>1290</v>
      </c>
      <c r="E299" s="299"/>
      <c r="F299" s="299"/>
      <c r="G299" s="299"/>
      <c r="H299" s="299"/>
      <c r="I299" s="299" t="s">
        <v>2124</v>
      </c>
      <c r="J299" s="222">
        <v>1.0</v>
      </c>
      <c r="K299" s="233" t="s">
        <v>1250</v>
      </c>
      <c r="L299" s="222">
        <v>1.0</v>
      </c>
      <c r="M299" s="222">
        <v>1500.0</v>
      </c>
      <c r="N299" s="222">
        <f t="shared" si="18"/>
        <v>1500</v>
      </c>
      <c r="O299" s="222" t="s">
        <v>1157</v>
      </c>
      <c r="P299" s="232" t="s">
        <v>47</v>
      </c>
      <c r="Q299" s="232"/>
      <c r="R299" s="232" t="s">
        <v>1964</v>
      </c>
      <c r="S299" s="235"/>
      <c r="T299" s="222" t="str">
        <f>IMAGE("https://htcinstrument.com/wp-content/uploads/2021/06/SL-1350L.jpg",1)</f>
        <v/>
      </c>
      <c r="U299" s="334" t="s">
        <v>1724</v>
      </c>
      <c r="V299" s="335"/>
      <c r="W299" s="336"/>
      <c r="X299" s="299"/>
      <c r="Y299" s="222"/>
      <c r="Z299" s="299">
        <v>3.0</v>
      </c>
      <c r="AA299" s="616" t="s">
        <v>2430</v>
      </c>
      <c r="AB299" s="616">
        <v>1.0</v>
      </c>
    </row>
    <row r="300" ht="45.0" customHeight="1">
      <c r="A300" s="222">
        <v>311.0</v>
      </c>
      <c r="B300" s="222" t="s">
        <v>1152</v>
      </c>
      <c r="C300" s="232" t="s">
        <v>1294</v>
      </c>
      <c r="D300" s="222" t="s">
        <v>1293</v>
      </c>
      <c r="E300" s="299"/>
      <c r="F300" s="299"/>
      <c r="G300" s="299"/>
      <c r="H300" s="299"/>
      <c r="I300" s="299" t="s">
        <v>2124</v>
      </c>
      <c r="J300" s="222">
        <v>1.0</v>
      </c>
      <c r="K300" s="233" t="s">
        <v>1250</v>
      </c>
      <c r="L300" s="222">
        <v>1.0</v>
      </c>
      <c r="M300" s="222">
        <v>2000.0</v>
      </c>
      <c r="N300" s="222">
        <f t="shared" si="18"/>
        <v>2000</v>
      </c>
      <c r="O300" s="222" t="s">
        <v>1157</v>
      </c>
      <c r="P300" s="232" t="s">
        <v>47</v>
      </c>
      <c r="Q300" s="232"/>
      <c r="R300" s="232" t="s">
        <v>1964</v>
      </c>
      <c r="S300" s="235" t="s">
        <v>1295</v>
      </c>
      <c r="T300" s="222" t="str">
        <f>IMAGE("https://htcinstrument.com/wp-content/uploads/2021/04/HT-306L.jpg",1)</f>
        <v/>
      </c>
      <c r="U300" s="358" t="s">
        <v>1724</v>
      </c>
      <c r="V300" s="359"/>
      <c r="W300" s="336"/>
      <c r="X300" s="360"/>
      <c r="Y300" s="222"/>
      <c r="Z300" s="299">
        <v>3.0</v>
      </c>
      <c r="AA300" s="616" t="s">
        <v>2430</v>
      </c>
      <c r="AB300" s="616">
        <v>1.0</v>
      </c>
    </row>
    <row r="301" ht="45.0" customHeight="1">
      <c r="A301" s="11">
        <v>283.0</v>
      </c>
      <c r="B301" s="11" t="s">
        <v>1152</v>
      </c>
      <c r="C301" s="93" t="s">
        <v>1184</v>
      </c>
      <c r="D301" s="11" t="s">
        <v>1183</v>
      </c>
      <c r="E301" s="12"/>
      <c r="F301" s="12"/>
      <c r="G301" s="12"/>
      <c r="H301" s="12"/>
      <c r="I301" s="12" t="s">
        <v>2115</v>
      </c>
      <c r="J301" s="11">
        <v>1.0</v>
      </c>
      <c r="K301" s="215" t="s">
        <v>1156</v>
      </c>
      <c r="L301" s="11">
        <v>1.0</v>
      </c>
      <c r="M301" s="11">
        <v>100.0</v>
      </c>
      <c r="N301" s="11">
        <f t="shared" si="18"/>
        <v>100</v>
      </c>
      <c r="O301" s="11" t="s">
        <v>1157</v>
      </c>
      <c r="P301" s="93"/>
      <c r="Q301" s="93"/>
      <c r="R301" s="93" t="s">
        <v>1975</v>
      </c>
      <c r="S301" s="217" t="s">
        <v>1185</v>
      </c>
      <c r="T301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U301" s="78" t="s">
        <v>56</v>
      </c>
      <c r="V301" s="74"/>
      <c r="W301" s="75"/>
      <c r="X301" s="12"/>
      <c r="Y301" s="11"/>
      <c r="Z301" s="12">
        <v>3.0</v>
      </c>
      <c r="AA301" s="616" t="s">
        <v>2430</v>
      </c>
      <c r="AB301" s="616">
        <v>1.0</v>
      </c>
    </row>
    <row r="302" ht="45.0" customHeight="1">
      <c r="A302" s="11">
        <v>276.0</v>
      </c>
      <c r="B302" s="11" t="s">
        <v>1152</v>
      </c>
      <c r="C302" s="93" t="s">
        <v>1155</v>
      </c>
      <c r="D302" s="11" t="s">
        <v>1154</v>
      </c>
      <c r="E302" s="12"/>
      <c r="F302" s="12"/>
      <c r="G302" s="12"/>
      <c r="H302" s="12"/>
      <c r="I302" s="12" t="s">
        <v>2204</v>
      </c>
      <c r="J302" s="216">
        <v>10.0</v>
      </c>
      <c r="K302" s="215" t="s">
        <v>1156</v>
      </c>
      <c r="L302" s="216">
        <v>10.0</v>
      </c>
      <c r="M302" s="216">
        <v>100.0</v>
      </c>
      <c r="N302" s="11">
        <f t="shared" si="18"/>
        <v>1000</v>
      </c>
      <c r="O302" s="11" t="s">
        <v>1157</v>
      </c>
      <c r="P302" s="93"/>
      <c r="Q302" s="93"/>
      <c r="R302" s="93" t="s">
        <v>1968</v>
      </c>
      <c r="S302" s="217"/>
      <c r="T302" s="11" t="str">
        <f>IMAGE("https://5.imimg.com/data5/SB/TW/SA/SELLER-91497159/glass-beaker-500x500.jpg",1)</f>
        <v/>
      </c>
      <c r="U302" s="78"/>
      <c r="V302" s="74"/>
      <c r="W302" s="75"/>
      <c r="X302" s="12"/>
      <c r="Y302" s="11"/>
      <c r="Z302" s="11">
        <v>3.0</v>
      </c>
      <c r="AA302" s="616" t="s">
        <v>2430</v>
      </c>
      <c r="AB302" s="616">
        <v>1.0</v>
      </c>
    </row>
    <row r="303" ht="45.0" customHeight="1">
      <c r="A303" s="11">
        <v>277.0</v>
      </c>
      <c r="B303" s="11" t="s">
        <v>1152</v>
      </c>
      <c r="C303" s="93" t="s">
        <v>1160</v>
      </c>
      <c r="D303" s="11" t="s">
        <v>1159</v>
      </c>
      <c r="E303" s="12"/>
      <c r="F303" s="12"/>
      <c r="G303" s="12"/>
      <c r="H303" s="12"/>
      <c r="I303" s="12" t="s">
        <v>2204</v>
      </c>
      <c r="J303" s="11">
        <v>5.0</v>
      </c>
      <c r="K303" s="215" t="s">
        <v>1156</v>
      </c>
      <c r="L303" s="11">
        <v>5.0</v>
      </c>
      <c r="M303" s="11">
        <v>300.0</v>
      </c>
      <c r="N303" s="11">
        <f t="shared" si="18"/>
        <v>1500</v>
      </c>
      <c r="O303" s="11" t="s">
        <v>1157</v>
      </c>
      <c r="P303" s="93"/>
      <c r="Q303" s="93"/>
      <c r="R303" s="93" t="s">
        <v>1968</v>
      </c>
      <c r="S303" s="223" t="s">
        <v>1161</v>
      </c>
      <c r="T303" s="11" t="str">
        <f>IMAGE("https://m.media-amazon.com/images/I/41vGxqzVasL.jpg",1)</f>
        <v/>
      </c>
      <c r="U303" s="330"/>
      <c r="V303" s="331"/>
      <c r="W303" s="75"/>
      <c r="X303" s="253"/>
      <c r="Y303" s="11"/>
      <c r="Z303" s="11">
        <v>3.0</v>
      </c>
      <c r="AA303" s="616" t="s">
        <v>2430</v>
      </c>
      <c r="AB303" s="616">
        <v>1.0</v>
      </c>
    </row>
    <row r="304" ht="45.0" customHeight="1">
      <c r="A304" s="11">
        <v>278.0</v>
      </c>
      <c r="B304" s="11" t="s">
        <v>1152</v>
      </c>
      <c r="C304" s="93" t="s">
        <v>1164</v>
      </c>
      <c r="D304" s="11" t="s">
        <v>1163</v>
      </c>
      <c r="E304" s="12"/>
      <c r="F304" s="12"/>
      <c r="G304" s="12"/>
      <c r="H304" s="12"/>
      <c r="I304" s="12" t="s">
        <v>2204</v>
      </c>
      <c r="J304" s="216">
        <v>8.0</v>
      </c>
      <c r="K304" s="215" t="s">
        <v>1156</v>
      </c>
      <c r="L304" s="216">
        <v>10.0</v>
      </c>
      <c r="M304" s="216">
        <v>100.0</v>
      </c>
      <c r="N304" s="11">
        <f t="shared" si="18"/>
        <v>800</v>
      </c>
      <c r="O304" s="11" t="s">
        <v>1157</v>
      </c>
      <c r="P304" s="93"/>
      <c r="Q304" s="93"/>
      <c r="R304" s="93" t="s">
        <v>1968</v>
      </c>
      <c r="S304" s="217" t="s">
        <v>1165</v>
      </c>
      <c r="T304" s="11" t="str">
        <f>IMAGE("https://m.media-amazon.com/images/I/31b1KCUwqyL.jpg", 1)</f>
        <v/>
      </c>
      <c r="U304" s="330" t="s">
        <v>56</v>
      </c>
      <c r="V304" s="331"/>
      <c r="W304" s="75"/>
      <c r="X304" s="253"/>
      <c r="Y304" s="11"/>
      <c r="Z304" s="11">
        <v>3.0</v>
      </c>
      <c r="AA304" s="616" t="s">
        <v>2430</v>
      </c>
      <c r="AB304" s="616">
        <v>1.0</v>
      </c>
    </row>
    <row r="305" ht="45.0" customHeight="1">
      <c r="A305" s="11">
        <v>284.0</v>
      </c>
      <c r="B305" s="11" t="s">
        <v>1152</v>
      </c>
      <c r="C305" s="93" t="s">
        <v>1188</v>
      </c>
      <c r="D305" s="11" t="s">
        <v>1187</v>
      </c>
      <c r="E305" s="12"/>
      <c r="F305" s="12"/>
      <c r="G305" s="12"/>
      <c r="H305" s="12"/>
      <c r="I305" s="12" t="s">
        <v>2116</v>
      </c>
      <c r="J305" s="216">
        <v>1.0</v>
      </c>
      <c r="K305" s="215" t="s">
        <v>1156</v>
      </c>
      <c r="L305" s="216">
        <v>1.0</v>
      </c>
      <c r="M305" s="216">
        <v>350.0</v>
      </c>
      <c r="N305" s="11">
        <f t="shared" si="18"/>
        <v>350</v>
      </c>
      <c r="O305" s="11" t="s">
        <v>1157</v>
      </c>
      <c r="P305" s="93"/>
      <c r="Q305" s="93"/>
      <c r="R305" s="93" t="s">
        <v>1975</v>
      </c>
      <c r="S305" s="217" t="s">
        <v>1189</v>
      </c>
      <c r="T305" s="11" t="str">
        <f>IMAGE("https://m.media-amazon.com/images/I/61ra1C535pL._SL1500_.jpg", 1)</f>
        <v/>
      </c>
      <c r="U305" s="330"/>
      <c r="V305" s="331"/>
      <c r="W305" s="75"/>
      <c r="X305" s="253"/>
      <c r="Y305" s="11"/>
      <c r="Z305" s="11">
        <v>3.0</v>
      </c>
      <c r="AA305" s="616" t="s">
        <v>2430</v>
      </c>
      <c r="AB305" s="616">
        <v>1.0</v>
      </c>
    </row>
    <row r="306" ht="45.0" customHeight="1">
      <c r="A306" s="11">
        <v>297.0</v>
      </c>
      <c r="B306" s="11" t="s">
        <v>1152</v>
      </c>
      <c r="C306" s="93" t="s">
        <v>1241</v>
      </c>
      <c r="D306" s="11" t="s">
        <v>1240</v>
      </c>
      <c r="E306" s="12"/>
      <c r="F306" s="12"/>
      <c r="G306" s="12"/>
      <c r="H306" s="12"/>
      <c r="I306" s="12" t="s">
        <v>2205</v>
      </c>
      <c r="J306" s="216">
        <v>2.0</v>
      </c>
      <c r="K306" s="215" t="s">
        <v>1156</v>
      </c>
      <c r="L306" s="216">
        <v>2.0</v>
      </c>
      <c r="M306" s="216">
        <v>100.0</v>
      </c>
      <c r="N306" s="11">
        <f t="shared" si="18"/>
        <v>200</v>
      </c>
      <c r="O306" s="11" t="s">
        <v>1157</v>
      </c>
      <c r="P306" s="93"/>
      <c r="Q306" s="93"/>
      <c r="R306" s="93" t="s">
        <v>1969</v>
      </c>
      <c r="S306" s="238" t="s">
        <v>1242</v>
      </c>
      <c r="T306" s="11" t="str">
        <f>IMAGE("https://www.abdoslifesciences.com/wp-content/uploads/Wash-Bottle-LDPE-day-20376.jpg", 1)</f>
        <v/>
      </c>
      <c r="U306" s="78"/>
      <c r="V306" s="74"/>
      <c r="W306" s="75"/>
      <c r="X306" s="12"/>
      <c r="Y306" s="11"/>
      <c r="Z306" s="11">
        <v>3.0</v>
      </c>
      <c r="AA306" s="616" t="s">
        <v>2430</v>
      </c>
      <c r="AB306" s="616">
        <v>1.0</v>
      </c>
    </row>
    <row r="307" ht="45.0" customHeight="1">
      <c r="A307" s="222">
        <v>251.0</v>
      </c>
      <c r="B307" s="222" t="s">
        <v>342</v>
      </c>
      <c r="C307" s="232" t="s">
        <v>1063</v>
      </c>
      <c r="D307" s="222" t="s">
        <v>1062</v>
      </c>
      <c r="E307" s="299"/>
      <c r="F307" s="299"/>
      <c r="G307" s="299"/>
      <c r="H307" s="299"/>
      <c r="I307" s="299" t="s">
        <v>2195</v>
      </c>
      <c r="J307" s="234">
        <v>2.0</v>
      </c>
      <c r="K307" s="233" t="s">
        <v>1032</v>
      </c>
      <c r="L307" s="234">
        <v>2.0</v>
      </c>
      <c r="M307" s="234">
        <v>500.0</v>
      </c>
      <c r="N307" s="222">
        <f t="shared" si="18"/>
        <v>1000</v>
      </c>
      <c r="O307" s="222" t="s">
        <v>347</v>
      </c>
      <c r="P307" s="232"/>
      <c r="Q307" s="232"/>
      <c r="R307" s="233" t="s">
        <v>1032</v>
      </c>
      <c r="S307" s="235" t="s">
        <v>1064</v>
      </c>
      <c r="T307" s="222" t="str">
        <f>IMAGE("https://i.ebayimg.com/images/g/QLMAAOSwETxj4~0j/s-l1600.jpg",1)</f>
        <v/>
      </c>
      <c r="U307" s="358"/>
      <c r="V307" s="359"/>
      <c r="W307" s="336"/>
      <c r="X307" s="360"/>
      <c r="Y307" s="222"/>
      <c r="Z307" s="222">
        <v>3.0</v>
      </c>
      <c r="AA307" s="616" t="s">
        <v>2430</v>
      </c>
      <c r="AB307" s="616">
        <v>1.0</v>
      </c>
    </row>
    <row r="308" ht="45.0" customHeight="1">
      <c r="A308" s="11">
        <v>75.0</v>
      </c>
      <c r="B308" s="11" t="s">
        <v>342</v>
      </c>
      <c r="C308" s="93" t="s">
        <v>351</v>
      </c>
      <c r="D308" s="11" t="s">
        <v>350</v>
      </c>
      <c r="E308" s="12"/>
      <c r="F308" s="12"/>
      <c r="G308" s="12"/>
      <c r="H308" s="12"/>
      <c r="I308" s="12" t="s">
        <v>2051</v>
      </c>
      <c r="J308" s="216">
        <v>2.0</v>
      </c>
      <c r="K308" s="215" t="s">
        <v>346</v>
      </c>
      <c r="L308" s="216">
        <v>1.0</v>
      </c>
      <c r="M308" s="216">
        <v>180.0</v>
      </c>
      <c r="N308" s="11">
        <f t="shared" si="18"/>
        <v>360</v>
      </c>
      <c r="O308" s="11" t="s">
        <v>347</v>
      </c>
      <c r="P308" s="93"/>
      <c r="Q308" s="93"/>
      <c r="R308" s="215" t="s">
        <v>346</v>
      </c>
      <c r="S308" s="217" t="s">
        <v>353</v>
      </c>
      <c r="T308" s="11" t="str">
        <f>IMAGE("https://m.media-amazon.com/images/I/41GBeFsg3kL.jpg",1)</f>
        <v/>
      </c>
      <c r="U308" s="330"/>
      <c r="V308" s="331"/>
      <c r="W308" s="75"/>
      <c r="X308" s="253"/>
      <c r="Y308" s="11"/>
      <c r="Z308" s="11">
        <v>3.0</v>
      </c>
      <c r="AA308" s="616" t="s">
        <v>2430</v>
      </c>
      <c r="AB308" s="616">
        <v>1.0</v>
      </c>
    </row>
    <row r="309" ht="45.0" customHeight="1">
      <c r="A309" s="11">
        <v>79.0</v>
      </c>
      <c r="B309" s="11" t="s">
        <v>342</v>
      </c>
      <c r="C309" s="93" t="s">
        <v>368</v>
      </c>
      <c r="D309" s="11" t="s">
        <v>367</v>
      </c>
      <c r="E309" s="12"/>
      <c r="F309" s="12"/>
      <c r="G309" s="12"/>
      <c r="H309" s="12"/>
      <c r="I309" s="12" t="s">
        <v>2051</v>
      </c>
      <c r="J309" s="216">
        <v>20.0</v>
      </c>
      <c r="K309" s="215" t="s">
        <v>346</v>
      </c>
      <c r="L309" s="216">
        <v>20.0</v>
      </c>
      <c r="M309" s="216">
        <v>5.0</v>
      </c>
      <c r="N309" s="11">
        <f t="shared" si="18"/>
        <v>100</v>
      </c>
      <c r="O309" s="11" t="s">
        <v>347</v>
      </c>
      <c r="P309" s="93"/>
      <c r="Q309" s="93"/>
      <c r="R309" s="215" t="s">
        <v>346</v>
      </c>
      <c r="S309" s="217" t="s">
        <v>369</v>
      </c>
      <c r="T309" s="11" t="str">
        <f>IMAGE("https://res.cloudinary.com/rsc/image/upload/b_rgb:FFFFFF,c_pad,dpr_1.0,f_auto,q_auto,w_700/c_pad,w_700/C4847566-05",1)</f>
        <v/>
      </c>
      <c r="U309" s="330"/>
      <c r="V309" s="331"/>
      <c r="W309" s="75"/>
      <c r="X309" s="371"/>
      <c r="Y309" s="14"/>
      <c r="Z309" s="11">
        <v>3.0</v>
      </c>
      <c r="AA309" s="616" t="s">
        <v>2430</v>
      </c>
      <c r="AB309" s="616">
        <v>1.0</v>
      </c>
    </row>
    <row r="310" ht="45.0" hidden="1" customHeight="1">
      <c r="A310" s="11">
        <v>312.0</v>
      </c>
      <c r="B310" s="11" t="s">
        <v>1152</v>
      </c>
      <c r="C310" s="93" t="s">
        <v>1976</v>
      </c>
      <c r="D310" s="11" t="s">
        <v>1297</v>
      </c>
      <c r="E310" s="12"/>
      <c r="F310" s="12"/>
      <c r="G310" s="12"/>
      <c r="H310" s="12"/>
      <c r="I310" s="299" t="s">
        <v>2195</v>
      </c>
      <c r="J310" s="216">
        <v>20.0</v>
      </c>
      <c r="K310" s="215" t="s">
        <v>1250</v>
      </c>
      <c r="L310" s="216">
        <v>20.0</v>
      </c>
      <c r="M310" s="216">
        <v>2500.0</v>
      </c>
      <c r="N310" s="11">
        <f t="shared" si="18"/>
        <v>50000</v>
      </c>
      <c r="O310" s="11" t="s">
        <v>1157</v>
      </c>
      <c r="P310" s="93"/>
      <c r="Q310" s="93" t="s">
        <v>1977</v>
      </c>
      <c r="R310" s="93" t="s">
        <v>1971</v>
      </c>
      <c r="S310" s="217" t="s">
        <v>1299</v>
      </c>
      <c r="T310" s="11" t="str">
        <f>IMAGE("https://m.media-amazon.com/images/I/71O3EMayekL.jpg",1)</f>
        <v/>
      </c>
      <c r="U310" s="73" t="s">
        <v>1684</v>
      </c>
      <c r="V310" s="74">
        <v>1200.0</v>
      </c>
      <c r="W310" s="75"/>
      <c r="X310" s="12"/>
      <c r="Y310" s="11"/>
      <c r="Z310" s="11">
        <v>1.0</v>
      </c>
      <c r="AA310" s="299"/>
      <c r="AB310" s="299"/>
    </row>
    <row r="311" ht="45.0" customHeight="1">
      <c r="A311" s="11">
        <v>83.0</v>
      </c>
      <c r="B311" s="11" t="s">
        <v>342</v>
      </c>
      <c r="C311" s="93" t="s">
        <v>382</v>
      </c>
      <c r="D311" s="11" t="s">
        <v>381</v>
      </c>
      <c r="E311" s="12"/>
      <c r="F311" s="12"/>
      <c r="G311" s="12"/>
      <c r="H311" s="12"/>
      <c r="I311" s="12" t="s">
        <v>2051</v>
      </c>
      <c r="J311" s="216">
        <v>10.0</v>
      </c>
      <c r="K311" s="215" t="s">
        <v>346</v>
      </c>
      <c r="L311" s="216">
        <v>10.0</v>
      </c>
      <c r="M311" s="216">
        <v>80.0</v>
      </c>
      <c r="N311" s="11">
        <f t="shared" si="18"/>
        <v>800</v>
      </c>
      <c r="O311" s="11" t="s">
        <v>347</v>
      </c>
      <c r="P311" s="93"/>
      <c r="Q311" s="93"/>
      <c r="R311" s="215" t="s">
        <v>346</v>
      </c>
      <c r="S311" s="217" t="s">
        <v>383</v>
      </c>
      <c r="T311" s="11" t="str">
        <f>IMAGE("https://sc04.alicdn.com/kf/HTB1fK8lXPvuK1Rjy0Faq6x2aVXa5.jpg",1)</f>
        <v/>
      </c>
      <c r="U311" s="73" t="s">
        <v>1689</v>
      </c>
      <c r="V311" s="74"/>
      <c r="W311" s="75"/>
      <c r="X311" s="12"/>
      <c r="Y311" s="11"/>
      <c r="Z311" s="11">
        <v>3.0</v>
      </c>
      <c r="AA311" s="616" t="s">
        <v>2430</v>
      </c>
      <c r="AB311" s="616">
        <v>1.0</v>
      </c>
    </row>
    <row r="312" ht="45.0" customHeight="1">
      <c r="A312" s="11">
        <v>260.0</v>
      </c>
      <c r="B312" s="11" t="s">
        <v>342</v>
      </c>
      <c r="C312" s="93" t="s">
        <v>1098</v>
      </c>
      <c r="D312" s="11" t="s">
        <v>1097</v>
      </c>
      <c r="E312" s="12"/>
      <c r="F312" s="12"/>
      <c r="G312" s="12"/>
      <c r="H312" s="12"/>
      <c r="I312" s="12" t="s">
        <v>2051</v>
      </c>
      <c r="J312" s="216">
        <v>25.0</v>
      </c>
      <c r="K312" s="215" t="s">
        <v>1032</v>
      </c>
      <c r="L312" s="216">
        <v>25.0</v>
      </c>
      <c r="M312" s="216">
        <v>20.0</v>
      </c>
      <c r="N312" s="11">
        <f t="shared" si="18"/>
        <v>500</v>
      </c>
      <c r="O312" s="11" t="s">
        <v>347</v>
      </c>
      <c r="P312" s="93"/>
      <c r="Q312" s="93"/>
      <c r="R312" s="215" t="s">
        <v>1032</v>
      </c>
      <c r="S312" s="217" t="s">
        <v>481</v>
      </c>
      <c r="T312" s="11" t="str">
        <f>IMAGE("https://5.imimg.com/data5/UF/DF/MY-45635244/sand-paper-500x500.jpg",1)</f>
        <v/>
      </c>
      <c r="U312" s="78"/>
      <c r="V312" s="74"/>
      <c r="W312" s="75"/>
      <c r="X312" s="12"/>
      <c r="Y312" s="11"/>
      <c r="Z312" s="11">
        <v>3.0</v>
      </c>
      <c r="AA312" s="616" t="s">
        <v>2430</v>
      </c>
      <c r="AB312" s="616">
        <v>1.0</v>
      </c>
    </row>
    <row r="313" ht="45.0" customHeight="1">
      <c r="A313" s="222">
        <v>336.0</v>
      </c>
      <c r="B313" s="222" t="s">
        <v>342</v>
      </c>
      <c r="C313" s="232" t="s">
        <v>1399</v>
      </c>
      <c r="D313" s="222" t="s">
        <v>1398</v>
      </c>
      <c r="E313" s="299"/>
      <c r="F313" s="299"/>
      <c r="G313" s="299"/>
      <c r="H313" s="299"/>
      <c r="I313" s="299" t="s">
        <v>2136</v>
      </c>
      <c r="J313" s="222">
        <v>1.0</v>
      </c>
      <c r="K313" s="233" t="s">
        <v>1400</v>
      </c>
      <c r="L313" s="222">
        <v>1.0</v>
      </c>
      <c r="M313" s="222"/>
      <c r="N313" s="222">
        <f t="shared" si="18"/>
        <v>0</v>
      </c>
      <c r="O313" s="222" t="s">
        <v>347</v>
      </c>
      <c r="P313" s="232"/>
      <c r="Q313" s="232"/>
      <c r="R313" s="232" t="s">
        <v>1980</v>
      </c>
      <c r="S313" s="235" t="s">
        <v>1401</v>
      </c>
      <c r="T313" s="222" t="str">
        <f>IMAGE("https://m.media-amazon.com/images/I/41giw5t2ycL.jpg",1)</f>
        <v/>
      </c>
      <c r="U313" s="619" t="s">
        <v>1689</v>
      </c>
      <c r="V313" s="359"/>
      <c r="W313" s="336"/>
      <c r="X313" s="360"/>
      <c r="Y313" s="222"/>
      <c r="Z313" s="222">
        <v>4.0</v>
      </c>
      <c r="AA313" s="616" t="s">
        <v>2430</v>
      </c>
      <c r="AB313" s="616">
        <v>1.0</v>
      </c>
    </row>
    <row r="314" ht="45.0" customHeight="1">
      <c r="A314" s="11">
        <v>337.0</v>
      </c>
      <c r="B314" s="11" t="s">
        <v>342</v>
      </c>
      <c r="C314" s="93" t="s">
        <v>1404</v>
      </c>
      <c r="D314" s="11" t="s">
        <v>1403</v>
      </c>
      <c r="E314" s="12"/>
      <c r="F314" s="12"/>
      <c r="G314" s="12"/>
      <c r="H314" s="12"/>
      <c r="I314" s="299" t="s">
        <v>2136</v>
      </c>
      <c r="J314" s="11">
        <v>1.0</v>
      </c>
      <c r="K314" s="215" t="s">
        <v>1400</v>
      </c>
      <c r="L314" s="11">
        <v>1.0</v>
      </c>
      <c r="M314" s="11">
        <v>700.0</v>
      </c>
      <c r="N314" s="11">
        <f t="shared" si="18"/>
        <v>700</v>
      </c>
      <c r="O314" s="11" t="s">
        <v>347</v>
      </c>
      <c r="P314" s="93"/>
      <c r="Q314" s="93"/>
      <c r="R314" s="93" t="s">
        <v>1980</v>
      </c>
      <c r="S314" s="217"/>
      <c r="T314" s="11" t="str">
        <f>IMAGE("https://m.media-amazon.com/images/I/71vAZkeQh9L._SL1500_.jpg",1)</f>
        <v/>
      </c>
      <c r="U314" s="73" t="s">
        <v>1689</v>
      </c>
      <c r="V314" s="74"/>
      <c r="W314" s="75"/>
      <c r="X314" s="12"/>
      <c r="Y314" s="11"/>
      <c r="Z314" s="11">
        <v>4.0</v>
      </c>
      <c r="AA314" s="616" t="s">
        <v>2430</v>
      </c>
      <c r="AB314" s="616">
        <v>1.0</v>
      </c>
    </row>
    <row r="315" ht="45.0" customHeight="1">
      <c r="A315" s="222">
        <v>338.0</v>
      </c>
      <c r="B315" s="222" t="s">
        <v>342</v>
      </c>
      <c r="C315" s="232" t="s">
        <v>1407</v>
      </c>
      <c r="D315" s="222" t="s">
        <v>1406</v>
      </c>
      <c r="E315" s="299"/>
      <c r="F315" s="299"/>
      <c r="G315" s="299"/>
      <c r="H315" s="299"/>
      <c r="I315" s="299" t="s">
        <v>2136</v>
      </c>
      <c r="J315" s="222">
        <v>2.0</v>
      </c>
      <c r="K315" s="233" t="s">
        <v>1400</v>
      </c>
      <c r="L315" s="222"/>
      <c r="M315" s="222"/>
      <c r="N315" s="222">
        <f t="shared" si="18"/>
        <v>0</v>
      </c>
      <c r="O315" s="222" t="s">
        <v>347</v>
      </c>
      <c r="P315" s="232" t="s">
        <v>65</v>
      </c>
      <c r="Q315" s="232" t="s">
        <v>249</v>
      </c>
      <c r="R315" s="232" t="s">
        <v>1980</v>
      </c>
      <c r="S315" s="235" t="s">
        <v>1409</v>
      </c>
      <c r="T315" s="222" t="str">
        <f>IMAGE("https://www.racknsell.com/public/thumbs/products/1138/pvc-solvent7_500_500.jpg",1)</f>
        <v/>
      </c>
      <c r="U315" s="358"/>
      <c r="V315" s="359"/>
      <c r="W315" s="336"/>
      <c r="X315" s="360"/>
      <c r="Y315" s="222"/>
      <c r="Z315" s="222">
        <v>4.0</v>
      </c>
      <c r="AA315" s="616" t="s">
        <v>2430</v>
      </c>
      <c r="AB315" s="616">
        <v>2.0</v>
      </c>
    </row>
    <row r="316" ht="45.0" customHeight="1">
      <c r="A316" s="11">
        <v>340.0</v>
      </c>
      <c r="B316" s="11" t="s">
        <v>342</v>
      </c>
      <c r="C316" s="93" t="s">
        <v>1416</v>
      </c>
      <c r="D316" s="11" t="s">
        <v>1415</v>
      </c>
      <c r="E316" s="12"/>
      <c r="F316" s="12"/>
      <c r="G316" s="12"/>
      <c r="H316" s="12"/>
      <c r="I316" s="299" t="s">
        <v>2136</v>
      </c>
      <c r="J316" s="11">
        <v>1.0</v>
      </c>
      <c r="K316" s="215" t="s">
        <v>1400</v>
      </c>
      <c r="L316" s="11">
        <v>1.0</v>
      </c>
      <c r="M316" s="11"/>
      <c r="N316" s="11">
        <f t="shared" si="18"/>
        <v>0</v>
      </c>
      <c r="O316" s="11" t="s">
        <v>347</v>
      </c>
      <c r="P316" s="93"/>
      <c r="Q316" s="93"/>
      <c r="R316" s="93" t="s">
        <v>1980</v>
      </c>
      <c r="S316" s="217" t="s">
        <v>1417</v>
      </c>
      <c r="T316" s="11" t="str">
        <f>IMAGE("https://m.media-amazon.com/images/I/61zRix8Lt0L._SL1500_.jpg",1)</f>
        <v/>
      </c>
      <c r="U316" s="353" t="s">
        <v>1689</v>
      </c>
      <c r="V316" s="331"/>
      <c r="W316" s="75" t="s">
        <v>1729</v>
      </c>
      <c r="X316" s="253"/>
      <c r="Y316" s="11"/>
      <c r="Z316" s="11">
        <v>4.0</v>
      </c>
      <c r="AA316" s="616" t="s">
        <v>2430</v>
      </c>
      <c r="AB316" s="616">
        <v>1.0</v>
      </c>
    </row>
    <row r="317" ht="45.0" customHeight="1">
      <c r="A317" s="11">
        <v>74.0</v>
      </c>
      <c r="B317" s="11" t="s">
        <v>342</v>
      </c>
      <c r="C317" s="93" t="s">
        <v>345</v>
      </c>
      <c r="D317" s="11" t="s">
        <v>344</v>
      </c>
      <c r="E317" s="12"/>
      <c r="F317" s="12"/>
      <c r="G317" s="12"/>
      <c r="H317" s="12"/>
      <c r="I317" s="12" t="s">
        <v>2050</v>
      </c>
      <c r="J317" s="216">
        <v>2.0</v>
      </c>
      <c r="K317" s="215" t="s">
        <v>346</v>
      </c>
      <c r="L317" s="216">
        <v>1.0</v>
      </c>
      <c r="M317" s="216">
        <v>200.0</v>
      </c>
      <c r="N317" s="11">
        <f t="shared" si="18"/>
        <v>400</v>
      </c>
      <c r="O317" s="11" t="s">
        <v>347</v>
      </c>
      <c r="P317" s="93" t="s">
        <v>21</v>
      </c>
      <c r="Q317" s="11"/>
      <c r="R317" s="215" t="s">
        <v>346</v>
      </c>
      <c r="S317" s="217" t="s">
        <v>348</v>
      </c>
      <c r="T317" s="11" t="str">
        <f>IMAGE("https://m.media-amazon.com/images/I/71NdWJD1LKL._SL1500_.jpg",1)</f>
        <v/>
      </c>
      <c r="U317" s="78" t="s">
        <v>1689</v>
      </c>
      <c r="V317" s="74" t="s">
        <v>1691</v>
      </c>
      <c r="W317" s="75"/>
      <c r="X317" s="12"/>
      <c r="Y317" s="11"/>
      <c r="Z317" s="11">
        <v>3.0</v>
      </c>
      <c r="AA317" s="616" t="s">
        <v>2430</v>
      </c>
      <c r="AB317" s="616">
        <v>1.0</v>
      </c>
    </row>
    <row r="318" ht="45.0" customHeight="1">
      <c r="A318" s="11">
        <v>76.0</v>
      </c>
      <c r="B318" s="11" t="s">
        <v>342</v>
      </c>
      <c r="C318" s="93" t="s">
        <v>356</v>
      </c>
      <c r="D318" s="11" t="s">
        <v>355</v>
      </c>
      <c r="E318" s="11"/>
      <c r="F318" s="11"/>
      <c r="G318" s="11"/>
      <c r="H318" s="11"/>
      <c r="I318" s="11" t="s">
        <v>2050</v>
      </c>
      <c r="J318" s="216">
        <v>1.0</v>
      </c>
      <c r="K318" s="215" t="s">
        <v>346</v>
      </c>
      <c r="L318" s="216">
        <v>1.0</v>
      </c>
      <c r="M318" s="216">
        <v>300.0</v>
      </c>
      <c r="N318" s="11">
        <f t="shared" si="18"/>
        <v>300</v>
      </c>
      <c r="O318" s="11" t="s">
        <v>347</v>
      </c>
      <c r="P318" s="93" t="s">
        <v>77</v>
      </c>
      <c r="Q318" s="93"/>
      <c r="R318" s="215" t="s">
        <v>346</v>
      </c>
      <c r="S318" s="217" t="s">
        <v>357</v>
      </c>
      <c r="T318" s="11" t="str">
        <f>IMAGE("https://services.ibo.com/media/v1/products/images/db78032d-e5ba-4c4c-bc8f-110fa0021b77/stanley-sta7221xjin-16-pc-drilling-and-screwdriving-set-1.jpeg",1)</f>
        <v/>
      </c>
      <c r="U318" s="73" t="s">
        <v>1689</v>
      </c>
      <c r="V318" s="74" t="s">
        <v>1692</v>
      </c>
      <c r="W318" s="75"/>
      <c r="X318" s="12"/>
      <c r="Y318" s="11"/>
      <c r="Z318" s="11">
        <v>3.0</v>
      </c>
      <c r="AA318" s="616" t="s">
        <v>2430</v>
      </c>
      <c r="AB318" s="616">
        <v>1.0</v>
      </c>
    </row>
    <row r="319" ht="45.0" customHeight="1">
      <c r="A319" s="11">
        <v>77.0</v>
      </c>
      <c r="B319" s="11" t="s">
        <v>342</v>
      </c>
      <c r="C319" s="93" t="s">
        <v>360</v>
      </c>
      <c r="D319" s="11" t="s">
        <v>359</v>
      </c>
      <c r="E319" s="11"/>
      <c r="F319" s="11"/>
      <c r="G319" s="11"/>
      <c r="H319" s="11"/>
      <c r="I319" s="11" t="s">
        <v>2050</v>
      </c>
      <c r="J319" s="216">
        <v>1.0</v>
      </c>
      <c r="K319" s="215" t="s">
        <v>346</v>
      </c>
      <c r="L319" s="216">
        <v>1.0</v>
      </c>
      <c r="M319" s="216">
        <v>2500.0</v>
      </c>
      <c r="N319" s="11">
        <f t="shared" si="18"/>
        <v>2500</v>
      </c>
      <c r="O319" s="11" t="s">
        <v>347</v>
      </c>
      <c r="P319" s="93" t="s">
        <v>21</v>
      </c>
      <c r="Q319" s="93"/>
      <c r="R319" s="215" t="s">
        <v>346</v>
      </c>
      <c r="S319" s="217" t="s">
        <v>361</v>
      </c>
      <c r="T319" s="11" t="str">
        <f>IMAGE("https://cdn.moglix.com/p/Rn8lZopeAizs5-xxlarge.jpg",1)</f>
        <v/>
      </c>
      <c r="U319" s="73" t="s">
        <v>1689</v>
      </c>
      <c r="V319" s="74" t="s">
        <v>1693</v>
      </c>
      <c r="W319" s="75"/>
      <c r="X319" s="12"/>
      <c r="Y319" s="11"/>
      <c r="Z319" s="11">
        <v>3.0</v>
      </c>
      <c r="AA319" s="616"/>
      <c r="AB319" s="616"/>
    </row>
    <row r="320" ht="45.0" hidden="1" customHeight="1">
      <c r="A320" s="11">
        <v>322.0</v>
      </c>
      <c r="B320" s="11" t="s">
        <v>173</v>
      </c>
      <c r="C320" s="93" t="s">
        <v>1339</v>
      </c>
      <c r="D320" s="11" t="s">
        <v>1338</v>
      </c>
      <c r="E320" s="12"/>
      <c r="F320" s="12"/>
      <c r="G320" s="12"/>
      <c r="H320" s="12"/>
      <c r="I320" s="12" t="s">
        <v>2261</v>
      </c>
      <c r="J320" s="11">
        <v>10.0</v>
      </c>
      <c r="K320" s="215" t="s">
        <v>1330</v>
      </c>
      <c r="L320" s="11">
        <v>10.0</v>
      </c>
      <c r="M320" s="11">
        <v>100.0</v>
      </c>
      <c r="N320" s="11">
        <f t="shared" si="18"/>
        <v>1000</v>
      </c>
      <c r="O320" s="11" t="s">
        <v>178</v>
      </c>
      <c r="P320" s="93" t="s">
        <v>65</v>
      </c>
      <c r="Q320" s="93"/>
      <c r="R320" s="93" t="s">
        <v>1331</v>
      </c>
      <c r="S320" s="217" t="s">
        <v>1341</v>
      </c>
      <c r="T320" s="11" t="str">
        <f>IMAGE("https://m.media-amazon.com/images/I/414cC-M+nlL._SL1000_.jpg",1)</f>
        <v/>
      </c>
      <c r="U320" s="78"/>
      <c r="V320" s="74"/>
      <c r="W320" s="75"/>
      <c r="X320" s="12"/>
      <c r="Y320" s="11"/>
      <c r="Z320" s="11">
        <v>1.0</v>
      </c>
      <c r="AA320" s="616"/>
      <c r="AB320" s="616"/>
    </row>
    <row r="321" ht="45.0" customHeight="1">
      <c r="A321" s="11">
        <v>78.0</v>
      </c>
      <c r="B321" s="11" t="s">
        <v>342</v>
      </c>
      <c r="C321" s="93" t="s">
        <v>364</v>
      </c>
      <c r="D321" s="11" t="s">
        <v>363</v>
      </c>
      <c r="E321" s="11"/>
      <c r="F321" s="11"/>
      <c r="G321" s="11"/>
      <c r="H321" s="11"/>
      <c r="I321" s="11" t="s">
        <v>2050</v>
      </c>
      <c r="J321" s="216">
        <v>1.0</v>
      </c>
      <c r="K321" s="215" t="s">
        <v>346</v>
      </c>
      <c r="L321" s="216">
        <v>1.0</v>
      </c>
      <c r="M321" s="216">
        <v>500.0</v>
      </c>
      <c r="N321" s="11">
        <f t="shared" si="18"/>
        <v>500</v>
      </c>
      <c r="O321" s="11" t="s">
        <v>347</v>
      </c>
      <c r="P321" s="93"/>
      <c r="Q321" s="93"/>
      <c r="R321" s="215" t="s">
        <v>346</v>
      </c>
      <c r="S321" s="217" t="s">
        <v>365</v>
      </c>
      <c r="T321" s="11" t="str">
        <f>IMAGE("https://m.media-amazon.com/images/I/51wli9aWH9S._SL1000_.jpg",1)</f>
        <v/>
      </c>
      <c r="U321" s="73" t="s">
        <v>1684</v>
      </c>
      <c r="V321" s="74">
        <v>60.0</v>
      </c>
      <c r="W321" s="75"/>
      <c r="X321" s="12"/>
      <c r="Y321" s="11"/>
      <c r="Z321" s="11">
        <v>3.0</v>
      </c>
      <c r="AA321" s="616"/>
      <c r="AB321" s="616"/>
    </row>
    <row r="322" ht="45.0" customHeight="1">
      <c r="A322" s="11">
        <v>82.0</v>
      </c>
      <c r="B322" s="11" t="s">
        <v>342</v>
      </c>
      <c r="C322" s="93" t="s">
        <v>379</v>
      </c>
      <c r="D322" s="11" t="s">
        <v>378</v>
      </c>
      <c r="E322" s="12"/>
      <c r="F322" s="12"/>
      <c r="G322" s="12"/>
      <c r="H322" s="12"/>
      <c r="I322" s="12" t="s">
        <v>2050</v>
      </c>
      <c r="J322" s="216">
        <v>2.0</v>
      </c>
      <c r="K322" s="215" t="s">
        <v>346</v>
      </c>
      <c r="L322" s="216">
        <v>2.0</v>
      </c>
      <c r="M322" s="216">
        <v>500.0</v>
      </c>
      <c r="N322" s="11">
        <f t="shared" si="18"/>
        <v>1000</v>
      </c>
      <c r="O322" s="11" t="s">
        <v>347</v>
      </c>
      <c r="P322" s="93"/>
      <c r="Q322" s="93"/>
      <c r="R322" s="215" t="s">
        <v>346</v>
      </c>
      <c r="S322" s="217" t="s">
        <v>156</v>
      </c>
      <c r="T322" s="11" t="str">
        <f>IMAGE("https://www.stanleytools.me/EMEA/PRODUCT/IMAGES/HIRES/STHT0-10194/STHT0-10194_1.jpg?resize=530x530",1)</f>
        <v/>
      </c>
      <c r="U322" s="73" t="s">
        <v>1689</v>
      </c>
      <c r="V322" s="74" t="s">
        <v>1695</v>
      </c>
      <c r="W322" s="75"/>
      <c r="X322" s="5"/>
      <c r="Y322" s="14"/>
      <c r="Z322" s="11">
        <v>3.0</v>
      </c>
      <c r="AA322" s="616" t="s">
        <v>2430</v>
      </c>
      <c r="AB322" s="616">
        <v>1.0</v>
      </c>
    </row>
    <row r="323" ht="45.0" customHeight="1">
      <c r="A323" s="11">
        <v>84.0</v>
      </c>
      <c r="B323" s="11" t="s">
        <v>342</v>
      </c>
      <c r="C323" s="93" t="s">
        <v>1926</v>
      </c>
      <c r="D323" s="11" t="s">
        <v>385</v>
      </c>
      <c r="E323" s="12"/>
      <c r="F323" s="12"/>
      <c r="G323" s="12"/>
      <c r="H323" s="12"/>
      <c r="I323" s="12" t="s">
        <v>2050</v>
      </c>
      <c r="J323" s="11">
        <v>1.0</v>
      </c>
      <c r="K323" s="215" t="s">
        <v>346</v>
      </c>
      <c r="L323" s="11">
        <v>1.0</v>
      </c>
      <c r="M323" s="11">
        <v>3500.0</v>
      </c>
      <c r="N323" s="11">
        <v>3500.0</v>
      </c>
      <c r="O323" s="11" t="s">
        <v>347</v>
      </c>
      <c r="P323" s="93"/>
      <c r="Q323" s="93"/>
      <c r="R323" s="215" t="s">
        <v>346</v>
      </c>
      <c r="S323" s="217"/>
      <c r="T323" s="11" t="str">
        <f>IMAGE("https://asia.blackanddecker.global/ASIA/PRODUCT/IMAGES/HIRES/RT18KA-B1/RT18KA_1.jpg?resize=530x530", 1)</f>
        <v/>
      </c>
      <c r="U323" s="73" t="s">
        <v>1689</v>
      </c>
      <c r="V323" s="74"/>
      <c r="W323" s="75"/>
      <c r="X323" s="12"/>
      <c r="Y323" s="11"/>
      <c r="Z323" s="11">
        <v>3.0</v>
      </c>
      <c r="AA323" s="616" t="s">
        <v>2430</v>
      </c>
      <c r="AB323" s="616">
        <v>1.0</v>
      </c>
    </row>
    <row r="324" ht="45.0" hidden="1" customHeight="1">
      <c r="A324" s="11">
        <v>326.0</v>
      </c>
      <c r="B324" s="11" t="s">
        <v>173</v>
      </c>
      <c r="C324" s="93" t="s">
        <v>1358</v>
      </c>
      <c r="D324" s="11" t="s">
        <v>1357</v>
      </c>
      <c r="E324" s="12"/>
      <c r="F324" s="12"/>
      <c r="G324" s="12"/>
      <c r="H324" s="12"/>
      <c r="I324" s="12"/>
      <c r="J324" s="216">
        <v>15.0</v>
      </c>
      <c r="K324" s="215" t="s">
        <v>1359</v>
      </c>
      <c r="L324" s="216">
        <v>15.0</v>
      </c>
      <c r="M324" s="216">
        <v>250.0</v>
      </c>
      <c r="N324" s="11">
        <f t="shared" ref="N324:N349" si="19">M324*J324</f>
        <v>3750</v>
      </c>
      <c r="O324" s="11" t="s">
        <v>178</v>
      </c>
      <c r="P324" s="93"/>
      <c r="Q324" s="93" t="s">
        <v>22</v>
      </c>
      <c r="R324" s="93" t="s">
        <v>1954</v>
      </c>
      <c r="S324" s="217" t="s">
        <v>1360</v>
      </c>
      <c r="T324" s="11" t="str">
        <f>IMAGE("https://robu.in/wp-content/uploads/2017/11/mg995-high-speed-digital-metal-gear-2bb-torque-rc-for-servo-hpi-savage-xl-2.jpg",1)</f>
        <v/>
      </c>
      <c r="U324" s="78" t="s">
        <v>1688</v>
      </c>
      <c r="V324" s="74"/>
      <c r="W324" s="75"/>
      <c r="X324" s="12"/>
      <c r="Y324" s="11"/>
      <c r="Z324" s="12">
        <v>1.0</v>
      </c>
      <c r="AA324" s="12"/>
      <c r="AB324" s="12"/>
    </row>
    <row r="325" ht="45.0" hidden="1" customHeight="1">
      <c r="A325" s="11">
        <v>327.0</v>
      </c>
      <c r="B325" s="11" t="s">
        <v>173</v>
      </c>
      <c r="C325" s="93" t="s">
        <v>1363</v>
      </c>
      <c r="D325" s="11" t="s">
        <v>1362</v>
      </c>
      <c r="E325" s="12"/>
      <c r="F325" s="12"/>
      <c r="G325" s="12"/>
      <c r="H325" s="12"/>
      <c r="I325" s="12"/>
      <c r="J325" s="216">
        <v>30.0</v>
      </c>
      <c r="K325" s="215" t="s">
        <v>1359</v>
      </c>
      <c r="L325" s="216">
        <v>30.0</v>
      </c>
      <c r="M325" s="216">
        <v>55.0</v>
      </c>
      <c r="N325" s="11">
        <f t="shared" si="19"/>
        <v>1650</v>
      </c>
      <c r="O325" s="11" t="s">
        <v>178</v>
      </c>
      <c r="P325" s="93"/>
      <c r="Q325" s="93" t="s">
        <v>249</v>
      </c>
      <c r="R325" s="93" t="s">
        <v>1954</v>
      </c>
      <c r="S325" s="217" t="s">
        <v>1364</v>
      </c>
      <c r="T325" s="11" t="str">
        <f t="shared" ref="T325:T326" si="20">IMAGE("https://m.media-amazon.com/images/W/MEDIAX_792452-T2/images/I/21bgQSzvxLL.jpg",1)</f>
        <v/>
      </c>
      <c r="U325" s="78" t="s">
        <v>1688</v>
      </c>
      <c r="V325" s="74"/>
      <c r="W325" s="75"/>
      <c r="X325" s="12"/>
      <c r="Y325" s="11"/>
      <c r="Z325" s="12">
        <v>1.0</v>
      </c>
      <c r="AA325" s="12"/>
      <c r="AB325" s="12"/>
    </row>
    <row r="326" ht="45.0" hidden="1" customHeight="1">
      <c r="A326" s="11">
        <v>328.0</v>
      </c>
      <c r="B326" s="11" t="s">
        <v>173</v>
      </c>
      <c r="C326" s="93" t="s">
        <v>1367</v>
      </c>
      <c r="D326" s="11" t="s">
        <v>1366</v>
      </c>
      <c r="E326" s="12"/>
      <c r="F326" s="12"/>
      <c r="G326" s="12"/>
      <c r="H326" s="12"/>
      <c r="I326" s="12"/>
      <c r="J326" s="216">
        <v>30.0</v>
      </c>
      <c r="K326" s="215" t="s">
        <v>1359</v>
      </c>
      <c r="L326" s="216">
        <v>30.0</v>
      </c>
      <c r="M326" s="216">
        <v>55.0</v>
      </c>
      <c r="N326" s="11">
        <f t="shared" si="19"/>
        <v>1650</v>
      </c>
      <c r="O326" s="11" t="s">
        <v>178</v>
      </c>
      <c r="P326" s="93"/>
      <c r="Q326" s="93" t="s">
        <v>249</v>
      </c>
      <c r="R326" s="93" t="s">
        <v>1954</v>
      </c>
      <c r="S326" s="217" t="s">
        <v>1369</v>
      </c>
      <c r="T326" s="11" t="str">
        <f t="shared" si="20"/>
        <v/>
      </c>
      <c r="U326" s="78" t="s">
        <v>1688</v>
      </c>
      <c r="V326" s="74"/>
      <c r="W326" s="75"/>
      <c r="X326" s="12"/>
      <c r="Y326" s="11"/>
      <c r="Z326" s="12">
        <v>1.0</v>
      </c>
      <c r="AA326" s="12"/>
      <c r="AB326" s="12"/>
    </row>
    <row r="327" ht="45.0" hidden="1" customHeight="1">
      <c r="A327" s="11">
        <v>329.0</v>
      </c>
      <c r="B327" s="11" t="s">
        <v>173</v>
      </c>
      <c r="C327" s="93" t="s">
        <v>1372</v>
      </c>
      <c r="D327" s="11" t="s">
        <v>1371</v>
      </c>
      <c r="E327" s="12"/>
      <c r="F327" s="12"/>
      <c r="G327" s="12"/>
      <c r="H327" s="12"/>
      <c r="I327" s="12"/>
      <c r="J327" s="216">
        <v>30.0</v>
      </c>
      <c r="K327" s="215" t="s">
        <v>1359</v>
      </c>
      <c r="L327" s="216">
        <v>30.0</v>
      </c>
      <c r="M327" s="216">
        <v>30.0</v>
      </c>
      <c r="N327" s="11">
        <f t="shared" si="19"/>
        <v>900</v>
      </c>
      <c r="O327" s="11" t="s">
        <v>178</v>
      </c>
      <c r="P327" s="93"/>
      <c r="Q327" s="93" t="s">
        <v>22</v>
      </c>
      <c r="R327" s="93" t="s">
        <v>1954</v>
      </c>
      <c r="S327" s="217" t="s">
        <v>1373</v>
      </c>
      <c r="T327" s="11" t="str">
        <f>IMAGE("https://5.imimg.com/data5/DJ/PF/TV/SELLER-95692783/bo-wheel-500x500.jpg",1)</f>
        <v/>
      </c>
      <c r="U327" s="78" t="s">
        <v>1688</v>
      </c>
      <c r="V327" s="74"/>
      <c r="W327" s="75"/>
      <c r="X327" s="12"/>
      <c r="Y327" s="11"/>
      <c r="Z327" s="12">
        <v>1.0</v>
      </c>
      <c r="AA327" s="12"/>
      <c r="AB327" s="12"/>
    </row>
    <row r="328" ht="45.0" hidden="1" customHeight="1">
      <c r="A328" s="11">
        <v>330.0</v>
      </c>
      <c r="B328" s="11" t="s">
        <v>173</v>
      </c>
      <c r="C328" s="93" t="s">
        <v>1376</v>
      </c>
      <c r="D328" s="11" t="s">
        <v>1375</v>
      </c>
      <c r="E328" s="12"/>
      <c r="F328" s="12"/>
      <c r="G328" s="12"/>
      <c r="H328" s="12"/>
      <c r="I328" s="12"/>
      <c r="J328" s="216">
        <v>20.0</v>
      </c>
      <c r="K328" s="215" t="s">
        <v>1359</v>
      </c>
      <c r="L328" s="216">
        <v>20.0</v>
      </c>
      <c r="M328" s="216">
        <v>50.0</v>
      </c>
      <c r="N328" s="11">
        <f t="shared" si="19"/>
        <v>1000</v>
      </c>
      <c r="O328" s="11" t="s">
        <v>178</v>
      </c>
      <c r="P328" s="93"/>
      <c r="Q328" s="93" t="s">
        <v>193</v>
      </c>
      <c r="R328" s="93" t="s">
        <v>1954</v>
      </c>
      <c r="S328" s="217" t="s">
        <v>1377</v>
      </c>
      <c r="T328" s="11" t="str">
        <f>IMAGE("https://aryabot.in/wp-content/uploads/2023/10/castor-wheel-big-550x550w.webp",1)</f>
        <v/>
      </c>
      <c r="U328" s="78" t="s">
        <v>1688</v>
      </c>
      <c r="V328" s="74"/>
      <c r="W328" s="75"/>
      <c r="X328" s="12"/>
      <c r="Y328" s="11"/>
      <c r="Z328" s="12">
        <v>1.0</v>
      </c>
      <c r="AA328" s="12"/>
      <c r="AB328" s="12"/>
    </row>
    <row r="329" ht="45.0" hidden="1" customHeight="1">
      <c r="A329" s="11">
        <v>331.0</v>
      </c>
      <c r="B329" s="11" t="s">
        <v>173</v>
      </c>
      <c r="C329" s="93" t="s">
        <v>1380</v>
      </c>
      <c r="D329" s="11" t="s">
        <v>1379</v>
      </c>
      <c r="E329" s="12"/>
      <c r="F329" s="12"/>
      <c r="G329" s="12"/>
      <c r="H329" s="12"/>
      <c r="I329" s="12"/>
      <c r="J329" s="216">
        <v>10.0</v>
      </c>
      <c r="K329" s="215" t="s">
        <v>1359</v>
      </c>
      <c r="L329" s="216">
        <v>10.0</v>
      </c>
      <c r="M329" s="216">
        <v>20.0</v>
      </c>
      <c r="N329" s="11">
        <f t="shared" si="19"/>
        <v>200</v>
      </c>
      <c r="O329" s="11" t="s">
        <v>178</v>
      </c>
      <c r="P329" s="93"/>
      <c r="Q329" s="93" t="s">
        <v>193</v>
      </c>
      <c r="R329" s="93" t="s">
        <v>1954</v>
      </c>
      <c r="S329" s="217" t="s">
        <v>1381</v>
      </c>
      <c r="T329" s="11" t="str">
        <f>IMAGE("https://robu.in/wp-content/uploads/2020/09/DC3-6V-130-DIY-Toy-Motor-2-Pcs.-1.png",1)</f>
        <v/>
      </c>
      <c r="U329" s="78" t="s">
        <v>1688</v>
      </c>
      <c r="V329" s="79"/>
      <c r="W329" s="80"/>
      <c r="X329" s="12"/>
      <c r="Y329" s="11"/>
      <c r="Z329" s="12">
        <v>1.0</v>
      </c>
      <c r="AA329" s="12"/>
      <c r="AB329" s="12"/>
    </row>
    <row r="330" ht="45.0" hidden="1" customHeight="1">
      <c r="A330" s="11">
        <v>332.0</v>
      </c>
      <c r="B330" s="11" t="s">
        <v>173</v>
      </c>
      <c r="C330" s="93" t="s">
        <v>1384</v>
      </c>
      <c r="D330" s="11" t="s">
        <v>1383</v>
      </c>
      <c r="E330" s="12"/>
      <c r="F330" s="12"/>
      <c r="G330" s="12"/>
      <c r="H330" s="12"/>
      <c r="I330" s="12"/>
      <c r="J330" s="216">
        <v>30.0</v>
      </c>
      <c r="K330" s="215" t="s">
        <v>1359</v>
      </c>
      <c r="L330" s="216">
        <v>30.0</v>
      </c>
      <c r="M330" s="216">
        <v>250.0</v>
      </c>
      <c r="N330" s="11">
        <f t="shared" si="19"/>
        <v>7500</v>
      </c>
      <c r="O330" s="11" t="s">
        <v>178</v>
      </c>
      <c r="P330" s="93"/>
      <c r="Q330" s="93"/>
      <c r="R330" s="93" t="s">
        <v>1954</v>
      </c>
      <c r="S330" s="217" t="s">
        <v>1385</v>
      </c>
      <c r="T330" s="11" t="str">
        <f>IMAGE("https://i0.wp.com/www.circuituncle.com/wp-content/uploads/2019/10/mg90s.png?fit=1001%2C1001&amp;ssl=1",1)</f>
        <v/>
      </c>
      <c r="U330" s="78" t="s">
        <v>1688</v>
      </c>
      <c r="V330" s="74"/>
      <c r="W330" s="75"/>
      <c r="X330" s="12"/>
      <c r="Y330" s="11"/>
      <c r="Z330" s="12">
        <v>1.0</v>
      </c>
      <c r="AA330" s="12"/>
      <c r="AB330" s="12"/>
    </row>
    <row r="331" ht="45.0" hidden="1" customHeight="1">
      <c r="A331" s="11">
        <v>333.0</v>
      </c>
      <c r="B331" s="11" t="s">
        <v>173</v>
      </c>
      <c r="C331" s="93" t="s">
        <v>1388</v>
      </c>
      <c r="D331" s="11" t="s">
        <v>1387</v>
      </c>
      <c r="E331" s="12"/>
      <c r="F331" s="12"/>
      <c r="G331" s="12"/>
      <c r="H331" s="12"/>
      <c r="I331" s="12"/>
      <c r="J331" s="216">
        <v>5.0</v>
      </c>
      <c r="K331" s="215" t="s">
        <v>1359</v>
      </c>
      <c r="L331" s="216">
        <v>5.0</v>
      </c>
      <c r="M331" s="216">
        <v>90.0</v>
      </c>
      <c r="N331" s="11">
        <f t="shared" si="19"/>
        <v>450</v>
      </c>
      <c r="O331" s="11" t="s">
        <v>178</v>
      </c>
      <c r="P331" s="93"/>
      <c r="Q331" s="93" t="s">
        <v>599</v>
      </c>
      <c r="R331" s="93" t="s">
        <v>1954</v>
      </c>
      <c r="S331" s="217"/>
      <c r="T331" s="11" t="str">
        <f>IMAGE("https://robu.in/wp-content/uploads/2016/04/61nEdk-NxSL._SY355_.jpg",1)</f>
        <v/>
      </c>
      <c r="U331" s="78" t="s">
        <v>1688</v>
      </c>
      <c r="V331" s="74"/>
      <c r="W331" s="75"/>
      <c r="X331" s="12"/>
      <c r="Y331" s="11"/>
      <c r="Z331" s="12">
        <v>1.0</v>
      </c>
      <c r="AA331" s="12"/>
      <c r="AB331" s="12"/>
    </row>
    <row r="332" ht="45.0" customHeight="1">
      <c r="A332" s="11">
        <v>243.0</v>
      </c>
      <c r="B332" s="11" t="s">
        <v>342</v>
      </c>
      <c r="C332" s="93" t="s">
        <v>1031</v>
      </c>
      <c r="D332" s="11" t="s">
        <v>1030</v>
      </c>
      <c r="E332" s="12"/>
      <c r="F332" s="12"/>
      <c r="G332" s="12"/>
      <c r="H332" s="12"/>
      <c r="I332" s="12" t="s">
        <v>2050</v>
      </c>
      <c r="J332" s="11">
        <v>1.0</v>
      </c>
      <c r="K332" s="215" t="s">
        <v>1032</v>
      </c>
      <c r="L332" s="11">
        <v>1.0</v>
      </c>
      <c r="M332" s="11">
        <v>350.0</v>
      </c>
      <c r="N332" s="11">
        <f t="shared" si="19"/>
        <v>350</v>
      </c>
      <c r="O332" s="11" t="s">
        <v>347</v>
      </c>
      <c r="P332" s="93"/>
      <c r="Q332" s="93"/>
      <c r="R332" s="215" t="s">
        <v>1032</v>
      </c>
      <c r="S332" s="219" t="s">
        <v>1033</v>
      </c>
      <c r="T332" s="11" t="str">
        <f>IMAGE("https://m.media-amazon.com/images/I/61+L7sYwiBL._SL1500_.jpg",1)</f>
        <v/>
      </c>
      <c r="U332" s="353" t="s">
        <v>1689</v>
      </c>
      <c r="V332" s="331"/>
      <c r="W332" s="75"/>
      <c r="X332" s="253"/>
      <c r="Y332" s="11"/>
      <c r="Z332" s="11">
        <v>3.0</v>
      </c>
      <c r="AA332" s="616"/>
      <c r="AB332" s="616"/>
    </row>
    <row r="333" ht="45.0" hidden="1" customHeight="1">
      <c r="A333" s="11">
        <v>335.0</v>
      </c>
      <c r="B333" s="11" t="s">
        <v>173</v>
      </c>
      <c r="C333" s="93" t="s">
        <v>1395</v>
      </c>
      <c r="D333" s="11" t="s">
        <v>1394</v>
      </c>
      <c r="E333" s="12"/>
      <c r="F333" s="12"/>
      <c r="G333" s="12"/>
      <c r="H333" s="12"/>
      <c r="I333" s="12"/>
      <c r="J333" s="216">
        <v>15.0</v>
      </c>
      <c r="K333" s="215" t="s">
        <v>1359</v>
      </c>
      <c r="L333" s="216">
        <v>15.0</v>
      </c>
      <c r="M333" s="216">
        <v>400.0</v>
      </c>
      <c r="N333" s="11">
        <f t="shared" si="19"/>
        <v>6000</v>
      </c>
      <c r="O333" s="11" t="s">
        <v>178</v>
      </c>
      <c r="P333" s="93"/>
      <c r="Q333" s="93" t="s">
        <v>249</v>
      </c>
      <c r="R333" s="93" t="s">
        <v>1954</v>
      </c>
      <c r="S333" s="217" t="s">
        <v>1396</v>
      </c>
      <c r="T333" s="11" t="str">
        <f>IMAGE("https://cdn.shopify.com/s/files/1/0088/0056/7392/products/Stepper_motor_with_Driver_board.jpg?v=1552579276",1)</f>
        <v/>
      </c>
      <c r="U333" s="78" t="s">
        <v>1688</v>
      </c>
      <c r="V333" s="74"/>
      <c r="W333" s="75"/>
      <c r="X333" s="12"/>
      <c r="Y333" s="11"/>
      <c r="Z333" s="11">
        <v>1.0</v>
      </c>
      <c r="AA333" s="12"/>
      <c r="AB333" s="12"/>
    </row>
    <row r="334" ht="45.0" customHeight="1">
      <c r="A334" s="11">
        <v>244.0</v>
      </c>
      <c r="B334" s="11" t="s">
        <v>342</v>
      </c>
      <c r="C334" s="93" t="s">
        <v>1036</v>
      </c>
      <c r="D334" s="11" t="s">
        <v>1035</v>
      </c>
      <c r="E334" s="12"/>
      <c r="F334" s="12"/>
      <c r="G334" s="12"/>
      <c r="H334" s="12"/>
      <c r="I334" s="12" t="s">
        <v>2050</v>
      </c>
      <c r="J334" s="216">
        <v>2.0</v>
      </c>
      <c r="K334" s="215" t="s">
        <v>1032</v>
      </c>
      <c r="L334" s="216"/>
      <c r="M334" s="216">
        <v>250.0</v>
      </c>
      <c r="N334" s="11">
        <f t="shared" si="19"/>
        <v>500</v>
      </c>
      <c r="O334" s="11" t="s">
        <v>347</v>
      </c>
      <c r="P334" s="93"/>
      <c r="Q334" s="93"/>
      <c r="R334" s="215" t="s">
        <v>1032</v>
      </c>
      <c r="S334" s="217"/>
      <c r="T334" s="11" t="e">
        <v>#VALUE!</v>
      </c>
      <c r="U334" s="330"/>
      <c r="V334" s="331"/>
      <c r="W334" s="75"/>
      <c r="X334" s="253"/>
      <c r="Y334" s="11"/>
      <c r="Z334" s="11">
        <v>3.0</v>
      </c>
      <c r="AA334" s="616" t="s">
        <v>2430</v>
      </c>
      <c r="AB334" s="616">
        <v>1.0</v>
      </c>
    </row>
    <row r="335" ht="45.0" customHeight="1">
      <c r="A335" s="11">
        <v>245.0</v>
      </c>
      <c r="B335" s="11" t="s">
        <v>342</v>
      </c>
      <c r="C335" s="93" t="s">
        <v>1039</v>
      </c>
      <c r="D335" s="11" t="s">
        <v>1038</v>
      </c>
      <c r="E335" s="12"/>
      <c r="F335" s="12"/>
      <c r="G335" s="12"/>
      <c r="H335" s="12"/>
      <c r="I335" s="12" t="s">
        <v>2050</v>
      </c>
      <c r="J335" s="216">
        <v>1.0</v>
      </c>
      <c r="K335" s="215" t="s">
        <v>1032</v>
      </c>
      <c r="L335" s="216">
        <v>1.0</v>
      </c>
      <c r="M335" s="216">
        <v>100.0</v>
      </c>
      <c r="N335" s="11">
        <f t="shared" si="19"/>
        <v>100</v>
      </c>
      <c r="O335" s="11" t="s">
        <v>347</v>
      </c>
      <c r="P335" s="93"/>
      <c r="Q335" s="93"/>
      <c r="R335" s="215" t="s">
        <v>1032</v>
      </c>
      <c r="S335" s="217" t="s">
        <v>1040</v>
      </c>
      <c r="T335" s="11" t="str">
        <f>IMAGE("https://m.media-amazon.com/images/I/71qyUXJ5i6L._AC_UF1000,1000_QL80_.jpg",1)</f>
        <v/>
      </c>
      <c r="U335" s="78" t="s">
        <v>1689</v>
      </c>
      <c r="V335" s="74" t="s">
        <v>1703</v>
      </c>
      <c r="W335" s="75"/>
      <c r="X335" s="12"/>
      <c r="Y335" s="11"/>
      <c r="Z335" s="11">
        <v>3.0</v>
      </c>
      <c r="AA335" s="616" t="s">
        <v>2430</v>
      </c>
      <c r="AB335" s="616">
        <v>1.0</v>
      </c>
    </row>
    <row r="336" ht="45.0" customHeight="1">
      <c r="A336" s="11">
        <v>246.0</v>
      </c>
      <c r="B336" s="11" t="s">
        <v>342</v>
      </c>
      <c r="C336" s="93" t="s">
        <v>1043</v>
      </c>
      <c r="D336" s="11" t="s">
        <v>1042</v>
      </c>
      <c r="E336" s="12"/>
      <c r="F336" s="12"/>
      <c r="G336" s="12"/>
      <c r="H336" s="12"/>
      <c r="I336" s="12" t="s">
        <v>2050</v>
      </c>
      <c r="J336" s="216">
        <v>1.0</v>
      </c>
      <c r="K336" s="215" t="s">
        <v>1032</v>
      </c>
      <c r="L336" s="216">
        <v>1.0</v>
      </c>
      <c r="M336" s="216">
        <v>200.0</v>
      </c>
      <c r="N336" s="11">
        <f t="shared" si="19"/>
        <v>200</v>
      </c>
      <c r="O336" s="11" t="s">
        <v>347</v>
      </c>
      <c r="P336" s="93"/>
      <c r="Q336" s="93"/>
      <c r="R336" s="215" t="s">
        <v>1032</v>
      </c>
      <c r="S336" s="223" t="s">
        <v>1044</v>
      </c>
      <c r="T336" s="11" t="str">
        <f>IMAGE("https://5.imimg.com/data5/TS/AU/MY-11200044/steel-shaft-claw-hammer-500x500.jpg",1)</f>
        <v/>
      </c>
      <c r="U336" s="353" t="s">
        <v>1689</v>
      </c>
      <c r="V336" s="331" t="s">
        <v>1704</v>
      </c>
      <c r="W336" s="75"/>
      <c r="X336" s="253"/>
      <c r="Y336" s="11"/>
      <c r="Z336" s="11">
        <v>3.0</v>
      </c>
      <c r="AA336" s="616"/>
      <c r="AB336" s="616"/>
    </row>
    <row r="337" ht="45.0" hidden="1" customHeight="1">
      <c r="A337" s="222">
        <v>339.0</v>
      </c>
      <c r="B337" s="222" t="s">
        <v>342</v>
      </c>
      <c r="C337" s="232" t="s">
        <v>1412</v>
      </c>
      <c r="D337" s="222" t="s">
        <v>1411</v>
      </c>
      <c r="E337" s="299"/>
      <c r="F337" s="299"/>
      <c r="G337" s="299"/>
      <c r="H337" s="299"/>
      <c r="I337" s="299" t="s">
        <v>2138</v>
      </c>
      <c r="J337" s="222">
        <v>5.0</v>
      </c>
      <c r="K337" s="233" t="s">
        <v>1400</v>
      </c>
      <c r="L337" s="222">
        <v>5.0</v>
      </c>
      <c r="M337" s="222">
        <v>20.0</v>
      </c>
      <c r="N337" s="222">
        <f t="shared" si="19"/>
        <v>100</v>
      </c>
      <c r="O337" s="222" t="s">
        <v>347</v>
      </c>
      <c r="P337" s="232"/>
      <c r="Q337" s="232" t="s">
        <v>2455</v>
      </c>
      <c r="R337" s="232" t="s">
        <v>1980</v>
      </c>
      <c r="S337" s="374" t="s">
        <v>1413</v>
      </c>
      <c r="T337" s="222" t="str">
        <f>IMAGE("https://m.media-amazon.com/images/I/61saUYFEn9L._SL1500_.jpg",1)</f>
        <v/>
      </c>
      <c r="U337" s="358"/>
      <c r="V337" s="359"/>
      <c r="W337" s="336"/>
      <c r="X337" s="360"/>
      <c r="Y337" s="222"/>
      <c r="Z337" s="222">
        <v>1.0</v>
      </c>
      <c r="AA337" s="299"/>
      <c r="AB337" s="299"/>
    </row>
    <row r="338" ht="45.0" customHeight="1">
      <c r="A338" s="11">
        <v>247.0</v>
      </c>
      <c r="B338" s="11" t="s">
        <v>342</v>
      </c>
      <c r="C338" s="93" t="s">
        <v>1047</v>
      </c>
      <c r="D338" s="11" t="s">
        <v>1046</v>
      </c>
      <c r="E338" s="12"/>
      <c r="F338" s="12"/>
      <c r="G338" s="12"/>
      <c r="H338" s="12"/>
      <c r="I338" s="12" t="s">
        <v>2050</v>
      </c>
      <c r="J338" s="216">
        <v>1.0</v>
      </c>
      <c r="K338" s="215" t="s">
        <v>1032</v>
      </c>
      <c r="L338" s="216">
        <v>1.0</v>
      </c>
      <c r="M338" s="216">
        <v>500.0</v>
      </c>
      <c r="N338" s="11">
        <f t="shared" si="19"/>
        <v>500</v>
      </c>
      <c r="O338" s="11" t="s">
        <v>347</v>
      </c>
      <c r="P338" s="93"/>
      <c r="Q338" s="93"/>
      <c r="R338" s="215" t="s">
        <v>1032</v>
      </c>
      <c r="S338" s="217" t="s">
        <v>1048</v>
      </c>
      <c r="T338" s="11" t="str">
        <f>IMAGE("https://5.imimg.com/data5/GU/RT/MY-2970994/bench-clamp.jpg",1)</f>
        <v/>
      </c>
      <c r="U338" s="73" t="s">
        <v>1689</v>
      </c>
      <c r="V338" s="74"/>
      <c r="W338" s="75"/>
      <c r="X338" s="12"/>
      <c r="Y338" s="11"/>
      <c r="Z338" s="11">
        <v>3.0</v>
      </c>
      <c r="AA338" s="616" t="s">
        <v>2430</v>
      </c>
      <c r="AB338" s="616">
        <v>1.0</v>
      </c>
    </row>
    <row r="339" ht="45.0" customHeight="1">
      <c r="A339" s="11">
        <v>248.0</v>
      </c>
      <c r="B339" s="11" t="s">
        <v>342</v>
      </c>
      <c r="C339" s="93" t="s">
        <v>1051</v>
      </c>
      <c r="D339" s="11" t="s">
        <v>1050</v>
      </c>
      <c r="E339" s="12"/>
      <c r="F339" s="12"/>
      <c r="G339" s="12"/>
      <c r="H339" s="12"/>
      <c r="I339" s="12" t="s">
        <v>2050</v>
      </c>
      <c r="J339" s="216">
        <v>1.0</v>
      </c>
      <c r="K339" s="215" t="s">
        <v>1032</v>
      </c>
      <c r="L339" s="216">
        <v>1.0</v>
      </c>
      <c r="M339" s="216">
        <v>100.0</v>
      </c>
      <c r="N339" s="11">
        <f t="shared" si="19"/>
        <v>100</v>
      </c>
      <c r="O339" s="11" t="s">
        <v>347</v>
      </c>
      <c r="P339" s="93"/>
      <c r="Q339" s="93"/>
      <c r="R339" s="215" t="s">
        <v>1032</v>
      </c>
      <c r="S339" s="217" t="s">
        <v>1052</v>
      </c>
      <c r="T339" s="11" t="str">
        <f>IMAGE("https://images.jdmagicbox.com/quickquotes/images_main/plier-381885296-5n4zf.jpg",1)</f>
        <v/>
      </c>
      <c r="U339" s="353" t="s">
        <v>1689</v>
      </c>
      <c r="V339" s="331" t="s">
        <v>1705</v>
      </c>
      <c r="W339" s="75"/>
      <c r="X339" s="253"/>
      <c r="Y339" s="11"/>
      <c r="Z339" s="11">
        <v>3.0</v>
      </c>
      <c r="AA339" s="616"/>
      <c r="AB339" s="616"/>
    </row>
    <row r="340" ht="45.0" hidden="1" customHeight="1">
      <c r="A340" s="11">
        <v>342.0</v>
      </c>
      <c r="B340" s="11" t="s">
        <v>15</v>
      </c>
      <c r="C340" s="93" t="s">
        <v>1425</v>
      </c>
      <c r="D340" s="11" t="s">
        <v>1424</v>
      </c>
      <c r="E340" s="12"/>
      <c r="F340" s="12"/>
      <c r="G340" s="12"/>
      <c r="H340" s="12"/>
      <c r="I340" s="12"/>
      <c r="J340" s="11">
        <v>5.0</v>
      </c>
      <c r="K340" s="215" t="s">
        <v>1421</v>
      </c>
      <c r="L340" s="11">
        <v>5.0</v>
      </c>
      <c r="M340" s="11">
        <v>300.0</v>
      </c>
      <c r="N340" s="11">
        <f t="shared" si="19"/>
        <v>1500</v>
      </c>
      <c r="O340" s="11" t="s">
        <v>20</v>
      </c>
      <c r="P340" s="93" t="s">
        <v>65</v>
      </c>
      <c r="Q340" s="93" t="s">
        <v>66</v>
      </c>
      <c r="R340" s="93" t="s">
        <v>1892</v>
      </c>
      <c r="S340" s="217" t="s">
        <v>1427</v>
      </c>
      <c r="T340" s="11" t="str">
        <f>IMAGE("https://imgs.michaels.com/MAM/assets/1/5E3C12034D34434F8A9BAAFDDF0F8E1B/img/5CDBB82051B44720A8F8901B4AABD77C/10446567_2.jpg",1)</f>
        <v/>
      </c>
      <c r="U340" s="333"/>
      <c r="V340" s="74"/>
      <c r="W340" s="75"/>
      <c r="X340" s="12"/>
      <c r="Y340" s="11"/>
      <c r="Z340" s="11">
        <v>1.0</v>
      </c>
      <c r="AA340" s="12"/>
      <c r="AB340" s="12"/>
    </row>
    <row r="341" ht="45.0" hidden="1" customHeight="1">
      <c r="A341" s="11">
        <v>343.0</v>
      </c>
      <c r="B341" s="11" t="s">
        <v>15</v>
      </c>
      <c r="C341" s="93" t="s">
        <v>1981</v>
      </c>
      <c r="D341" s="11" t="s">
        <v>1429</v>
      </c>
      <c r="E341" s="12"/>
      <c r="F341" s="12"/>
      <c r="G341" s="12"/>
      <c r="H341" s="12"/>
      <c r="I341" s="12" t="s">
        <v>2139</v>
      </c>
      <c r="J341" s="11">
        <v>5.0</v>
      </c>
      <c r="K341" s="215" t="s">
        <v>1421</v>
      </c>
      <c r="L341" s="11">
        <v>5.0</v>
      </c>
      <c r="M341" s="11">
        <v>200.0</v>
      </c>
      <c r="N341" s="11">
        <f t="shared" si="19"/>
        <v>1000</v>
      </c>
      <c r="O341" s="11" t="s">
        <v>20</v>
      </c>
      <c r="P341" s="93" t="s">
        <v>65</v>
      </c>
      <c r="Q341" s="93" t="s">
        <v>66</v>
      </c>
      <c r="R341" s="93" t="s">
        <v>1892</v>
      </c>
      <c r="S341" s="217"/>
      <c r="T341" s="11" t="str">
        <f>IMAGE("https://upload.wikimedia.org/wikipedia/commons/7/79/Polymer_clay_examples.jpg",1)</f>
        <v/>
      </c>
      <c r="U341" s="78"/>
      <c r="V341" s="74"/>
      <c r="W341" s="75"/>
      <c r="X341" s="12"/>
      <c r="Y341" s="11"/>
      <c r="Z341" s="11">
        <v>1.0</v>
      </c>
      <c r="AA341" s="12"/>
      <c r="AB341" s="12"/>
    </row>
    <row r="342" ht="45.0" customHeight="1">
      <c r="A342" s="11">
        <v>249.0</v>
      </c>
      <c r="B342" s="11" t="s">
        <v>342</v>
      </c>
      <c r="C342" s="93" t="s">
        <v>1055</v>
      </c>
      <c r="D342" s="11" t="s">
        <v>1054</v>
      </c>
      <c r="E342" s="12"/>
      <c r="F342" s="12"/>
      <c r="G342" s="12"/>
      <c r="H342" s="12"/>
      <c r="I342" s="12" t="s">
        <v>2050</v>
      </c>
      <c r="J342" s="216">
        <v>1.0</v>
      </c>
      <c r="K342" s="215" t="s">
        <v>1032</v>
      </c>
      <c r="L342" s="216">
        <v>1.0</v>
      </c>
      <c r="M342" s="216">
        <v>150.0</v>
      </c>
      <c r="N342" s="11">
        <f t="shared" si="19"/>
        <v>150</v>
      </c>
      <c r="O342" s="11" t="s">
        <v>347</v>
      </c>
      <c r="P342" s="93"/>
      <c r="Q342" s="93"/>
      <c r="R342" s="215" t="s">
        <v>1032</v>
      </c>
      <c r="S342" s="217" t="s">
        <v>1056</v>
      </c>
      <c r="T342" s="11" t="str">
        <f>IMAGE("https://m.media-amazon.com/images/I/613WSFIoSjL._SL1500_.jpg",1)</f>
        <v/>
      </c>
      <c r="U342" s="353" t="s">
        <v>1689</v>
      </c>
      <c r="V342" s="331" t="s">
        <v>1706</v>
      </c>
      <c r="W342" s="75"/>
      <c r="X342" s="253"/>
      <c r="Y342" s="11"/>
      <c r="Z342" s="11">
        <v>3.0</v>
      </c>
      <c r="AA342" s="616"/>
      <c r="AB342" s="616"/>
    </row>
    <row r="343" ht="45.0" customHeight="1">
      <c r="A343" s="11">
        <v>250.0</v>
      </c>
      <c r="B343" s="11" t="s">
        <v>342</v>
      </c>
      <c r="C343" s="93" t="s">
        <v>1059</v>
      </c>
      <c r="D343" s="11" t="s">
        <v>1058</v>
      </c>
      <c r="E343" s="12"/>
      <c r="F343" s="12"/>
      <c r="G343" s="12"/>
      <c r="H343" s="12"/>
      <c r="I343" s="12" t="s">
        <v>2050</v>
      </c>
      <c r="J343" s="216">
        <v>1.0</v>
      </c>
      <c r="K343" s="215" t="s">
        <v>1032</v>
      </c>
      <c r="L343" s="216">
        <v>1.0</v>
      </c>
      <c r="M343" s="216">
        <v>100.0</v>
      </c>
      <c r="N343" s="11">
        <f t="shared" si="19"/>
        <v>100</v>
      </c>
      <c r="O343" s="11" t="s">
        <v>347</v>
      </c>
      <c r="P343" s="93"/>
      <c r="Q343" s="93"/>
      <c r="R343" s="215" t="s">
        <v>1032</v>
      </c>
      <c r="S343" s="217" t="s">
        <v>1060</v>
      </c>
      <c r="T343" s="11" t="str">
        <f>IMAGE("https://in.misumi-ec.com/linked/material/fs/FUJ1/PHOTO/223000817171_001.jpg?$product_main$",1)</f>
        <v/>
      </c>
      <c r="U343" s="73" t="s">
        <v>1689</v>
      </c>
      <c r="V343" s="74" t="s">
        <v>1707</v>
      </c>
      <c r="W343" s="75"/>
      <c r="X343" s="5"/>
      <c r="Y343" s="14"/>
      <c r="Z343" s="11">
        <v>3.0</v>
      </c>
      <c r="AA343" s="616"/>
      <c r="AB343" s="616"/>
    </row>
    <row r="344" ht="45.0" hidden="1" customHeight="1">
      <c r="A344" s="222">
        <v>346.0</v>
      </c>
      <c r="B344" s="222" t="s">
        <v>15</v>
      </c>
      <c r="C344" s="232" t="s">
        <v>936</v>
      </c>
      <c r="D344" s="222" t="s">
        <v>1442</v>
      </c>
      <c r="E344" s="299"/>
      <c r="F344" s="299"/>
      <c r="G344" s="299"/>
      <c r="H344" s="299"/>
      <c r="I344" s="299" t="s">
        <v>2438</v>
      </c>
      <c r="J344" s="234">
        <v>4.0</v>
      </c>
      <c r="K344" s="233" t="s">
        <v>1421</v>
      </c>
      <c r="L344" s="234">
        <v>4.0</v>
      </c>
      <c r="M344" s="234">
        <v>20.0</v>
      </c>
      <c r="N344" s="222">
        <f t="shared" si="19"/>
        <v>80</v>
      </c>
      <c r="O344" s="222" t="s">
        <v>20</v>
      </c>
      <c r="P344" s="222"/>
      <c r="Q344" s="232" t="s">
        <v>66</v>
      </c>
      <c r="R344" s="232" t="s">
        <v>111</v>
      </c>
      <c r="S344" s="235" t="s">
        <v>1443</v>
      </c>
      <c r="T344" s="222" t="str">
        <f>IMAGE("https://m.media-amazon.com/images/I/61ywjiydpbS._SL1500_.jpg",1)</f>
        <v/>
      </c>
      <c r="U344" s="358"/>
      <c r="V344" s="359"/>
      <c r="W344" s="336"/>
      <c r="X344" s="360"/>
      <c r="Y344" s="222"/>
      <c r="Z344" s="222">
        <v>1.0</v>
      </c>
      <c r="AA344" s="299"/>
      <c r="AB344" s="299"/>
    </row>
    <row r="345" ht="45.0" customHeight="1">
      <c r="A345" s="11">
        <v>252.0</v>
      </c>
      <c r="B345" s="11" t="s">
        <v>342</v>
      </c>
      <c r="C345" s="93" t="s">
        <v>1067</v>
      </c>
      <c r="D345" s="11" t="s">
        <v>1066</v>
      </c>
      <c r="E345" s="12"/>
      <c r="F345" s="12"/>
      <c r="G345" s="12"/>
      <c r="H345" s="12"/>
      <c r="I345" s="12" t="s">
        <v>2050</v>
      </c>
      <c r="J345" s="216">
        <v>1.0</v>
      </c>
      <c r="K345" s="215" t="s">
        <v>1032</v>
      </c>
      <c r="L345" s="216">
        <v>1.0</v>
      </c>
      <c r="M345" s="216">
        <v>200.0</v>
      </c>
      <c r="N345" s="11">
        <f t="shared" si="19"/>
        <v>200</v>
      </c>
      <c r="O345" s="11" t="s">
        <v>347</v>
      </c>
      <c r="P345" s="93"/>
      <c r="Q345" s="93"/>
      <c r="R345" s="215" t="s">
        <v>1032</v>
      </c>
      <c r="S345" s="217" t="s">
        <v>1068</v>
      </c>
      <c r="T345" s="11" t="str">
        <f>IMAGE("https://res.cloudinary.com/rsc/image/upload/b_rgb:FFFFFF,c_pad,dpr_1.0,f_auto,q_auto,w_700/c_pad,w_700/C1985249-01",1)</f>
        <v/>
      </c>
      <c r="U345" s="73" t="s">
        <v>1689</v>
      </c>
      <c r="V345" s="74" t="s">
        <v>1708</v>
      </c>
      <c r="W345" s="75"/>
      <c r="X345" s="12"/>
      <c r="Y345" s="11"/>
      <c r="Z345" s="11">
        <v>3.0</v>
      </c>
      <c r="AA345" s="616"/>
      <c r="AB345" s="616"/>
    </row>
    <row r="346" ht="45.0" customHeight="1">
      <c r="A346" s="11">
        <v>254.0</v>
      </c>
      <c r="B346" s="11" t="s">
        <v>342</v>
      </c>
      <c r="C346" s="93" t="s">
        <v>1075</v>
      </c>
      <c r="D346" s="11" t="s">
        <v>1074</v>
      </c>
      <c r="E346" s="12"/>
      <c r="F346" s="12"/>
      <c r="G346" s="12"/>
      <c r="H346" s="12"/>
      <c r="I346" s="12" t="s">
        <v>2050</v>
      </c>
      <c r="J346" s="216">
        <v>4.0</v>
      </c>
      <c r="K346" s="215" t="s">
        <v>1032</v>
      </c>
      <c r="L346" s="216">
        <v>4.0</v>
      </c>
      <c r="M346" s="216">
        <v>500.0</v>
      </c>
      <c r="N346" s="11">
        <f t="shared" si="19"/>
        <v>2000</v>
      </c>
      <c r="O346" s="11" t="s">
        <v>347</v>
      </c>
      <c r="P346" s="93"/>
      <c r="Q346" s="93"/>
      <c r="R346" s="215" t="s">
        <v>1032</v>
      </c>
      <c r="S346" s="217" t="s">
        <v>284</v>
      </c>
      <c r="T346" s="11" t="str">
        <f>IMAGE("https://cdn.shopify.com/s/files/1/0088/0056/7392/products/71GahpQFYhL._SL1500_1024x.jpg?v=1634034762",1)</f>
        <v/>
      </c>
      <c r="U346" s="73" t="s">
        <v>1689</v>
      </c>
      <c r="V346" s="74" t="s">
        <v>1709</v>
      </c>
      <c r="W346" s="75"/>
      <c r="X346" s="12"/>
      <c r="Y346" s="11"/>
      <c r="Z346" s="11">
        <v>3.0</v>
      </c>
      <c r="AA346" s="616"/>
      <c r="AB346" s="616"/>
    </row>
    <row r="347" ht="45.0" customHeight="1">
      <c r="A347" s="11">
        <v>257.0</v>
      </c>
      <c r="B347" s="11" t="s">
        <v>342</v>
      </c>
      <c r="C347" s="93" t="s">
        <v>1086</v>
      </c>
      <c r="D347" s="11" t="s">
        <v>1085</v>
      </c>
      <c r="E347" s="12"/>
      <c r="F347" s="12"/>
      <c r="G347" s="12"/>
      <c r="H347" s="12"/>
      <c r="I347" s="12" t="s">
        <v>2050</v>
      </c>
      <c r="J347" s="216">
        <v>2.0</v>
      </c>
      <c r="K347" s="215" t="s">
        <v>1032</v>
      </c>
      <c r="L347" s="216">
        <v>2.0</v>
      </c>
      <c r="M347" s="216">
        <v>100.0</v>
      </c>
      <c r="N347" s="11">
        <f t="shared" si="19"/>
        <v>200</v>
      </c>
      <c r="O347" s="11" t="s">
        <v>347</v>
      </c>
      <c r="P347" s="93"/>
      <c r="Q347" s="93"/>
      <c r="R347" s="93" t="s">
        <v>1964</v>
      </c>
      <c r="S347" s="217" t="s">
        <v>1087</v>
      </c>
      <c r="T347" s="11" t="str">
        <f>IMAGE("https://m.media-amazon.com/images/I/513ZkVzGbdL._AC_.jpg", 1)</f>
        <v/>
      </c>
      <c r="U347" s="78"/>
      <c r="V347" s="74"/>
      <c r="W347" s="75"/>
      <c r="X347" s="12"/>
      <c r="Y347" s="11"/>
      <c r="Z347" s="11">
        <v>3.0</v>
      </c>
      <c r="AA347" s="616"/>
      <c r="AB347" s="616"/>
    </row>
    <row r="348" ht="45.0" customHeight="1">
      <c r="A348" s="11">
        <v>258.0</v>
      </c>
      <c r="B348" s="11" t="s">
        <v>342</v>
      </c>
      <c r="C348" s="93" t="s">
        <v>1090</v>
      </c>
      <c r="D348" s="11" t="s">
        <v>1089</v>
      </c>
      <c r="E348" s="12"/>
      <c r="F348" s="12"/>
      <c r="G348" s="12"/>
      <c r="H348" s="12"/>
      <c r="I348" s="12" t="s">
        <v>2050</v>
      </c>
      <c r="J348" s="216">
        <v>2.0</v>
      </c>
      <c r="K348" s="215" t="s">
        <v>1032</v>
      </c>
      <c r="L348" s="216">
        <v>1.0</v>
      </c>
      <c r="M348" s="216">
        <v>200.0</v>
      </c>
      <c r="N348" s="11">
        <f t="shared" si="19"/>
        <v>400</v>
      </c>
      <c r="O348" s="11" t="s">
        <v>347</v>
      </c>
      <c r="P348" s="93"/>
      <c r="Q348" s="93"/>
      <c r="R348" s="93" t="s">
        <v>1964</v>
      </c>
      <c r="S348" s="217" t="s">
        <v>1091</v>
      </c>
      <c r="T348" s="11" t="str">
        <f>IMAGE("https://m.media-amazon.com/images/I/41V47za3aNL.jpg",1)</f>
        <v/>
      </c>
      <c r="U348" s="73" t="s">
        <v>1689</v>
      </c>
      <c r="V348" s="74" t="s">
        <v>1711</v>
      </c>
      <c r="W348" s="75"/>
      <c r="X348" s="12"/>
      <c r="Y348" s="11"/>
      <c r="Z348" s="11">
        <v>3.0</v>
      </c>
      <c r="AA348" s="616"/>
      <c r="AB348" s="616"/>
    </row>
    <row r="349" ht="45.0" customHeight="1">
      <c r="A349" s="11">
        <v>259.0</v>
      </c>
      <c r="B349" s="11" t="s">
        <v>342</v>
      </c>
      <c r="C349" s="93" t="s">
        <v>1094</v>
      </c>
      <c r="D349" s="11" t="s">
        <v>1093</v>
      </c>
      <c r="E349" s="12"/>
      <c r="F349" s="12"/>
      <c r="G349" s="12"/>
      <c r="H349" s="12"/>
      <c r="I349" s="12" t="s">
        <v>2050</v>
      </c>
      <c r="J349" s="216">
        <v>2.0</v>
      </c>
      <c r="K349" s="215" t="s">
        <v>1032</v>
      </c>
      <c r="L349" s="216" t="s">
        <v>56</v>
      </c>
      <c r="M349" s="216">
        <v>350.0</v>
      </c>
      <c r="N349" s="11">
        <f t="shared" si="19"/>
        <v>700</v>
      </c>
      <c r="O349" s="11" t="s">
        <v>347</v>
      </c>
      <c r="P349" s="93"/>
      <c r="Q349" s="93"/>
      <c r="R349" s="215" t="s">
        <v>1032</v>
      </c>
      <c r="S349" s="217" t="s">
        <v>1095</v>
      </c>
      <c r="T349" s="11" t="str">
        <f>IMAGE("https://m.media-amazon.com/images/I/41pgJCdOd0L._AC_SX522_.jpg", 1)</f>
        <v/>
      </c>
      <c r="U349" s="73" t="s">
        <v>1689</v>
      </c>
      <c r="V349" s="74" t="s">
        <v>1712</v>
      </c>
      <c r="W349" s="75"/>
      <c r="X349" s="12"/>
      <c r="Y349" s="11"/>
      <c r="Z349" s="11">
        <v>3.0</v>
      </c>
      <c r="AA349" s="616"/>
      <c r="AB349" s="616"/>
    </row>
    <row r="350" ht="45.0" customHeight="1">
      <c r="A350" s="11">
        <v>261.0</v>
      </c>
      <c r="B350" s="11" t="s">
        <v>342</v>
      </c>
      <c r="C350" s="93" t="s">
        <v>1101</v>
      </c>
      <c r="D350" s="11" t="s">
        <v>1100</v>
      </c>
      <c r="E350" s="12"/>
      <c r="F350" s="12"/>
      <c r="G350" s="12"/>
      <c r="H350" s="12"/>
      <c r="I350" s="12" t="s">
        <v>2050</v>
      </c>
      <c r="J350" s="216">
        <v>1.0</v>
      </c>
      <c r="K350" s="215" t="s">
        <v>1032</v>
      </c>
      <c r="L350" s="216" t="s">
        <v>56</v>
      </c>
      <c r="M350" s="216" t="s">
        <v>56</v>
      </c>
      <c r="N350" s="216" t="s">
        <v>56</v>
      </c>
      <c r="O350" s="11" t="s">
        <v>347</v>
      </c>
      <c r="P350" s="93"/>
      <c r="Q350" s="93"/>
      <c r="R350" s="215" t="s">
        <v>1032</v>
      </c>
      <c r="S350" s="216" t="s">
        <v>56</v>
      </c>
      <c r="T350" s="218" t="e">
        <v>#VALUE!</v>
      </c>
      <c r="U350" s="73" t="s">
        <v>1689</v>
      </c>
      <c r="V350" s="74" t="s">
        <v>1713</v>
      </c>
      <c r="W350" s="75"/>
      <c r="X350" s="12"/>
      <c r="Y350" s="11"/>
      <c r="Z350" s="11">
        <v>3.0</v>
      </c>
      <c r="AA350" s="616"/>
      <c r="AB350" s="616"/>
    </row>
    <row r="351" ht="45.0" customHeight="1">
      <c r="A351" s="11">
        <v>262.0</v>
      </c>
      <c r="B351" s="11" t="s">
        <v>342</v>
      </c>
      <c r="C351" s="93" t="s">
        <v>1104</v>
      </c>
      <c r="D351" s="11" t="s">
        <v>1103</v>
      </c>
      <c r="E351" s="12"/>
      <c r="F351" s="12"/>
      <c r="G351" s="12"/>
      <c r="H351" s="12"/>
      <c r="I351" s="12" t="s">
        <v>2050</v>
      </c>
      <c r="J351" s="216" t="s">
        <v>56</v>
      </c>
      <c r="K351" s="215" t="s">
        <v>1032</v>
      </c>
      <c r="L351" s="216" t="s">
        <v>56</v>
      </c>
      <c r="M351" s="216" t="s">
        <v>56</v>
      </c>
      <c r="N351" s="216" t="s">
        <v>56</v>
      </c>
      <c r="O351" s="11" t="s">
        <v>347</v>
      </c>
      <c r="P351" s="93"/>
      <c r="Q351" s="93"/>
      <c r="R351" s="215" t="s">
        <v>1032</v>
      </c>
      <c r="S351" s="216" t="s">
        <v>56</v>
      </c>
      <c r="T351" s="218" t="e">
        <v>#VALUE!</v>
      </c>
      <c r="U351" s="73" t="s">
        <v>1689</v>
      </c>
      <c r="V351" s="74" t="s">
        <v>1714</v>
      </c>
      <c r="W351" s="75"/>
      <c r="X351" s="12"/>
      <c r="Y351" s="11"/>
      <c r="Z351" s="11">
        <v>3.0</v>
      </c>
      <c r="AA351" s="616"/>
      <c r="AB351" s="616"/>
    </row>
    <row r="352" ht="45.0" customHeight="1">
      <c r="A352" s="11">
        <v>263.0</v>
      </c>
      <c r="B352" s="11" t="s">
        <v>342</v>
      </c>
      <c r="C352" s="107" t="s">
        <v>1107</v>
      </c>
      <c r="D352" s="11" t="s">
        <v>1106</v>
      </c>
      <c r="E352" s="12"/>
      <c r="F352" s="12"/>
      <c r="G352" s="12"/>
      <c r="H352" s="12"/>
      <c r="I352" s="12" t="s">
        <v>2050</v>
      </c>
      <c r="J352" s="216" t="s">
        <v>56</v>
      </c>
      <c r="K352" s="215" t="s">
        <v>1032</v>
      </c>
      <c r="L352" s="216" t="s">
        <v>56</v>
      </c>
      <c r="M352" s="216" t="s">
        <v>56</v>
      </c>
      <c r="N352" s="216" t="s">
        <v>56</v>
      </c>
      <c r="O352" s="11" t="s">
        <v>347</v>
      </c>
      <c r="P352" s="93"/>
      <c r="Q352" s="93"/>
      <c r="R352" s="215" t="s">
        <v>1032</v>
      </c>
      <c r="S352" s="216" t="s">
        <v>56</v>
      </c>
      <c r="T352" s="218" t="e">
        <v>#VALUE!</v>
      </c>
      <c r="U352" s="353" t="s">
        <v>1689</v>
      </c>
      <c r="V352" s="331" t="s">
        <v>1715</v>
      </c>
      <c r="W352" s="75"/>
      <c r="X352" s="253"/>
      <c r="Y352" s="11"/>
      <c r="Z352" s="11">
        <v>3.0</v>
      </c>
      <c r="AA352" s="616" t="s">
        <v>2430</v>
      </c>
      <c r="AB352" s="616">
        <v>1.0</v>
      </c>
    </row>
    <row r="353" ht="45.0" customHeight="1">
      <c r="A353" s="11">
        <v>264.0</v>
      </c>
      <c r="B353" s="11" t="s">
        <v>342</v>
      </c>
      <c r="C353" s="107" t="s">
        <v>1110</v>
      </c>
      <c r="D353" s="11" t="s">
        <v>1109</v>
      </c>
      <c r="E353" s="12"/>
      <c r="F353" s="12"/>
      <c r="G353" s="12"/>
      <c r="H353" s="12"/>
      <c r="I353" s="12" t="s">
        <v>2050</v>
      </c>
      <c r="J353" s="216" t="s">
        <v>56</v>
      </c>
      <c r="K353" s="215" t="s">
        <v>1032</v>
      </c>
      <c r="L353" s="216" t="s">
        <v>56</v>
      </c>
      <c r="M353" s="216" t="s">
        <v>56</v>
      </c>
      <c r="N353" s="216" t="s">
        <v>56</v>
      </c>
      <c r="O353" s="11" t="s">
        <v>347</v>
      </c>
      <c r="P353" s="93"/>
      <c r="Q353" s="93"/>
      <c r="R353" s="215" t="s">
        <v>1032</v>
      </c>
      <c r="S353" s="217" t="s">
        <v>1111</v>
      </c>
      <c r="T353" s="216" t="e">
        <v>#VALUE!</v>
      </c>
      <c r="U353" s="353" t="s">
        <v>1689</v>
      </c>
      <c r="V353" s="331" t="s">
        <v>1716</v>
      </c>
      <c r="W353" s="75"/>
      <c r="X353" s="253"/>
      <c r="Y353" s="11"/>
      <c r="Z353" s="11">
        <v>3.0</v>
      </c>
      <c r="AA353" s="616" t="s">
        <v>2430</v>
      </c>
      <c r="AB353" s="616">
        <v>1.0</v>
      </c>
    </row>
    <row r="354" ht="45.0" customHeight="1">
      <c r="A354" s="11">
        <v>265.0</v>
      </c>
      <c r="B354" s="11" t="s">
        <v>342</v>
      </c>
      <c r="C354" s="93" t="s">
        <v>1114</v>
      </c>
      <c r="D354" s="11" t="s">
        <v>1113</v>
      </c>
      <c r="E354" s="12"/>
      <c r="F354" s="12"/>
      <c r="G354" s="12"/>
      <c r="H354" s="12"/>
      <c r="I354" s="12" t="s">
        <v>2050</v>
      </c>
      <c r="J354" s="216" t="s">
        <v>56</v>
      </c>
      <c r="K354" s="215" t="s">
        <v>1032</v>
      </c>
      <c r="L354" s="216" t="s">
        <v>56</v>
      </c>
      <c r="M354" s="216" t="s">
        <v>56</v>
      </c>
      <c r="N354" s="216" t="s">
        <v>56</v>
      </c>
      <c r="O354" s="11" t="s">
        <v>347</v>
      </c>
      <c r="P354" s="93"/>
      <c r="Q354" s="93"/>
      <c r="R354" s="215" t="s">
        <v>1032</v>
      </c>
      <c r="S354" s="216" t="s">
        <v>56</v>
      </c>
      <c r="T354" s="216" t="e">
        <v>#VALUE!</v>
      </c>
      <c r="U354" s="353" t="s">
        <v>1689</v>
      </c>
      <c r="V354" s="331">
        <v>60449.0</v>
      </c>
      <c r="W354" s="75"/>
      <c r="X354" s="253"/>
      <c r="Y354" s="11"/>
      <c r="Z354" s="11">
        <v>3.0</v>
      </c>
      <c r="AA354" s="616" t="s">
        <v>2430</v>
      </c>
      <c r="AB354" s="616">
        <v>1.0</v>
      </c>
    </row>
    <row r="355" ht="45.0" customHeight="1">
      <c r="A355" s="11">
        <v>266.0</v>
      </c>
      <c r="B355" s="11" t="s">
        <v>342</v>
      </c>
      <c r="C355" s="93" t="s">
        <v>1117</v>
      </c>
      <c r="D355" s="11" t="s">
        <v>1116</v>
      </c>
      <c r="E355" s="11"/>
      <c r="F355" s="11"/>
      <c r="G355" s="11"/>
      <c r="H355" s="11"/>
      <c r="I355" s="11" t="s">
        <v>2050</v>
      </c>
      <c r="J355" s="216" t="s">
        <v>56</v>
      </c>
      <c r="K355" s="215" t="s">
        <v>1032</v>
      </c>
      <c r="L355" s="216" t="s">
        <v>56</v>
      </c>
      <c r="M355" s="216" t="s">
        <v>56</v>
      </c>
      <c r="N355" s="216" t="s">
        <v>56</v>
      </c>
      <c r="O355" s="11" t="s">
        <v>347</v>
      </c>
      <c r="P355" s="93"/>
      <c r="Q355" s="93"/>
      <c r="R355" s="215" t="s">
        <v>1032</v>
      </c>
      <c r="S355" s="217" t="s">
        <v>1118</v>
      </c>
      <c r="T355" s="216" t="e">
        <v>#VALUE!</v>
      </c>
      <c r="U355" s="73" t="s">
        <v>1689</v>
      </c>
      <c r="V355" s="74" t="s">
        <v>1717</v>
      </c>
      <c r="W355" s="75"/>
      <c r="X355" s="12"/>
      <c r="Y355" s="11"/>
      <c r="Z355" s="11">
        <v>3.0</v>
      </c>
      <c r="AA355" s="616" t="s">
        <v>2430</v>
      </c>
      <c r="AB355" s="616">
        <v>1.0</v>
      </c>
    </row>
    <row r="356" ht="45.0" customHeight="1">
      <c r="A356" s="11">
        <v>267.0</v>
      </c>
      <c r="B356" s="11" t="s">
        <v>342</v>
      </c>
      <c r="C356" s="93" t="s">
        <v>1121</v>
      </c>
      <c r="D356" s="11" t="s">
        <v>1120</v>
      </c>
      <c r="E356" s="11"/>
      <c r="F356" s="11"/>
      <c r="G356" s="11"/>
      <c r="H356" s="11"/>
      <c r="I356" s="11" t="s">
        <v>2050</v>
      </c>
      <c r="J356" s="216">
        <v>1.0</v>
      </c>
      <c r="K356" s="215" t="s">
        <v>1032</v>
      </c>
      <c r="L356" s="216">
        <v>1.0</v>
      </c>
      <c r="M356" s="216">
        <v>300.0</v>
      </c>
      <c r="N356" s="11">
        <f t="shared" ref="N356:N403" si="21">M356*J356</f>
        <v>300</v>
      </c>
      <c r="O356" s="11" t="s">
        <v>347</v>
      </c>
      <c r="P356" s="93"/>
      <c r="Q356" s="93"/>
      <c r="R356" s="215" t="s">
        <v>1032</v>
      </c>
      <c r="S356" s="217" t="s">
        <v>1122</v>
      </c>
      <c r="T356" s="11" t="str">
        <f>IMAGE("https://5.imimg.com/data5/DH/NE/PV/SELLER-4135781/6-pc-precision-screwdriver-set-500x500.jpg",1)</f>
        <v/>
      </c>
      <c r="U356" s="73" t="s">
        <v>1689</v>
      </c>
      <c r="V356" s="74" t="s">
        <v>1718</v>
      </c>
      <c r="W356" s="75"/>
      <c r="X356" s="12"/>
      <c r="Y356" s="11"/>
      <c r="Z356" s="11">
        <v>3.0</v>
      </c>
      <c r="AA356" s="616" t="s">
        <v>2430</v>
      </c>
      <c r="AB356" s="616">
        <v>1.0</v>
      </c>
    </row>
    <row r="357" ht="45.0" customHeight="1">
      <c r="A357" s="11">
        <v>269.0</v>
      </c>
      <c r="B357" s="11" t="s">
        <v>342</v>
      </c>
      <c r="C357" s="93" t="s">
        <v>1128</v>
      </c>
      <c r="D357" s="11" t="s">
        <v>1127</v>
      </c>
      <c r="E357" s="11"/>
      <c r="F357" s="11"/>
      <c r="G357" s="11"/>
      <c r="H357" s="11"/>
      <c r="I357" s="11" t="s">
        <v>2050</v>
      </c>
      <c r="J357" s="216">
        <v>1.0</v>
      </c>
      <c r="K357" s="215" t="s">
        <v>1032</v>
      </c>
      <c r="L357" s="216">
        <v>1.0</v>
      </c>
      <c r="M357" s="216">
        <v>200.0</v>
      </c>
      <c r="N357" s="11">
        <f t="shared" si="21"/>
        <v>200</v>
      </c>
      <c r="O357" s="11" t="s">
        <v>347</v>
      </c>
      <c r="P357" s="93"/>
      <c r="Q357" s="93"/>
      <c r="R357" s="93" t="s">
        <v>23</v>
      </c>
      <c r="S357" s="217" t="s">
        <v>1129</v>
      </c>
      <c r="T357" s="11" t="str">
        <f>IMAGE("https://cdn.bmstores.co.uk/images/hpcProductImage/imgFull/369783-stanley-sealant-gun-diy.jpg",1)</f>
        <v/>
      </c>
      <c r="U357" s="353" t="s">
        <v>1689</v>
      </c>
      <c r="V357" s="331" t="s">
        <v>1719</v>
      </c>
      <c r="W357" s="75"/>
      <c r="X357" s="253"/>
      <c r="Y357" s="11"/>
      <c r="Z357" s="11">
        <v>3.0</v>
      </c>
      <c r="AA357" s="616" t="s">
        <v>2430</v>
      </c>
      <c r="AB357" s="616">
        <v>1.0</v>
      </c>
    </row>
    <row r="358" ht="45.0" hidden="1" customHeight="1">
      <c r="A358" s="254">
        <v>360.0</v>
      </c>
      <c r="B358" s="254" t="s">
        <v>1472</v>
      </c>
      <c r="C358" s="362" t="s">
        <v>1501</v>
      </c>
      <c r="D358" s="254" t="s">
        <v>1500</v>
      </c>
      <c r="E358" s="373"/>
      <c r="F358" s="373"/>
      <c r="G358" s="373"/>
      <c r="H358" s="373"/>
      <c r="I358" s="12" t="s">
        <v>2124</v>
      </c>
      <c r="J358" s="364">
        <v>15.0</v>
      </c>
      <c r="K358" s="363" t="s">
        <v>1476</v>
      </c>
      <c r="L358" s="364">
        <v>15.0</v>
      </c>
      <c r="M358" s="364">
        <v>70.0</v>
      </c>
      <c r="N358" s="254">
        <f t="shared" si="21"/>
        <v>1050</v>
      </c>
      <c r="O358" s="254" t="s">
        <v>1477</v>
      </c>
      <c r="P358" s="362"/>
      <c r="Q358" s="362" t="s">
        <v>66</v>
      </c>
      <c r="R358" s="362" t="s">
        <v>1986</v>
      </c>
      <c r="S358" s="365" t="s">
        <v>1502</v>
      </c>
      <c r="T358" s="254" t="str">
        <f>IMAGE("https://5.imimg.com/data5/DM/UP/MY-3422722/latex-coated-gloves-500x500.jpg",1)</f>
        <v/>
      </c>
      <c r="U358" s="641"/>
      <c r="V358" s="642"/>
      <c r="W358" s="368"/>
      <c r="X358" s="643"/>
      <c r="Y358" s="254"/>
      <c r="Z358" s="254">
        <v>1.0</v>
      </c>
      <c r="AA358" s="12"/>
      <c r="AB358" s="12"/>
    </row>
    <row r="359" ht="45.0" hidden="1" customHeight="1">
      <c r="A359" s="222">
        <v>361.0</v>
      </c>
      <c r="B359" s="222" t="s">
        <v>1472</v>
      </c>
      <c r="C359" s="232" t="s">
        <v>1505</v>
      </c>
      <c r="D359" s="222" t="s">
        <v>1504</v>
      </c>
      <c r="E359" s="299"/>
      <c r="F359" s="299"/>
      <c r="G359" s="299"/>
      <c r="H359" s="299"/>
      <c r="I359" s="12" t="s">
        <v>2124</v>
      </c>
      <c r="J359" s="234">
        <v>30.0</v>
      </c>
      <c r="K359" s="233" t="s">
        <v>1476</v>
      </c>
      <c r="L359" s="234">
        <v>30.0</v>
      </c>
      <c r="M359" s="234">
        <v>20.0</v>
      </c>
      <c r="N359" s="222">
        <f t="shared" si="21"/>
        <v>600</v>
      </c>
      <c r="O359" s="222" t="s">
        <v>1477</v>
      </c>
      <c r="P359" s="232"/>
      <c r="Q359" s="232" t="s">
        <v>22</v>
      </c>
      <c r="R359" s="232" t="s">
        <v>1986</v>
      </c>
      <c r="S359" s="235" t="s">
        <v>1506</v>
      </c>
      <c r="T359" s="222" t="str">
        <f>IMAGE("https://5.imimg.com/data5/RD/NQ/ZF/SELLER-67911650/safety-goggles.jpg")</f>
        <v/>
      </c>
      <c r="U359" s="644"/>
      <c r="V359" s="359"/>
      <c r="W359" s="336"/>
      <c r="X359" s="639"/>
      <c r="Y359" s="222"/>
      <c r="Z359" s="222">
        <v>1.0</v>
      </c>
      <c r="AA359" s="12"/>
      <c r="AB359" s="12"/>
    </row>
    <row r="360" ht="45.0" hidden="1" customHeight="1">
      <c r="A360" s="222">
        <v>362.0</v>
      </c>
      <c r="B360" s="222" t="s">
        <v>1472</v>
      </c>
      <c r="C360" s="232" t="s">
        <v>1509</v>
      </c>
      <c r="D360" s="222" t="s">
        <v>1508</v>
      </c>
      <c r="E360" s="299"/>
      <c r="F360" s="299"/>
      <c r="G360" s="299"/>
      <c r="H360" s="299"/>
      <c r="I360" s="12" t="s">
        <v>2124</v>
      </c>
      <c r="J360" s="234">
        <v>60.0</v>
      </c>
      <c r="K360" s="233" t="s">
        <v>1476</v>
      </c>
      <c r="L360" s="234">
        <v>60.0</v>
      </c>
      <c r="M360" s="234">
        <v>150.0</v>
      </c>
      <c r="N360" s="222">
        <f t="shared" si="21"/>
        <v>9000</v>
      </c>
      <c r="O360" s="222" t="s">
        <v>1477</v>
      </c>
      <c r="P360" s="232"/>
      <c r="Q360" s="232" t="s">
        <v>66</v>
      </c>
      <c r="R360" s="232" t="s">
        <v>1986</v>
      </c>
      <c r="S360" s="235" t="s">
        <v>1510</v>
      </c>
      <c r="T360" s="222" t="str">
        <f>IMAGE("https://img2.exportersindia.com/product_images/bc-full/dir_151/4514764/dust-masks-1499837104-3125900.jpg",1)</f>
        <v/>
      </c>
      <c r="U360" s="358"/>
      <c r="V360" s="359"/>
      <c r="W360" s="336"/>
      <c r="X360" s="639"/>
      <c r="Y360" s="222"/>
      <c r="Z360" s="222">
        <v>1.0</v>
      </c>
      <c r="AA360" s="12"/>
      <c r="AB360" s="12"/>
    </row>
    <row r="361" ht="45.0" hidden="1" customHeight="1">
      <c r="A361" s="11">
        <v>363.0</v>
      </c>
      <c r="B361" s="11" t="s">
        <v>173</v>
      </c>
      <c r="C361" s="37" t="s">
        <v>1767</v>
      </c>
      <c r="D361" s="11" t="s">
        <v>1512</v>
      </c>
      <c r="E361" s="12"/>
      <c r="F361" s="12"/>
      <c r="G361" s="12"/>
      <c r="H361" s="12"/>
      <c r="I361" s="12"/>
      <c r="J361" s="216">
        <v>10.0</v>
      </c>
      <c r="K361" s="215" t="s">
        <v>1514</v>
      </c>
      <c r="L361" s="216">
        <v>10.0</v>
      </c>
      <c r="M361" s="216">
        <v>300.0</v>
      </c>
      <c r="N361" s="11">
        <f t="shared" si="21"/>
        <v>3000</v>
      </c>
      <c r="O361" s="11" t="s">
        <v>178</v>
      </c>
      <c r="P361" s="93"/>
      <c r="Q361" s="93" t="s">
        <v>599</v>
      </c>
      <c r="R361" s="215" t="s">
        <v>1514</v>
      </c>
      <c r="S361" s="217" t="s">
        <v>1515</v>
      </c>
      <c r="T361" s="11" t="str">
        <f>IMAGE("https://m.media-amazon.com/images/I/61PFvg8BbeL._SL1500_.jpg",1)</f>
        <v/>
      </c>
      <c r="U361" s="78" t="s">
        <v>1688</v>
      </c>
      <c r="V361" s="74"/>
      <c r="W361" s="75"/>
      <c r="X361" s="12"/>
      <c r="Y361" s="11"/>
      <c r="Z361" s="12">
        <v>1.0</v>
      </c>
      <c r="AA361" s="12"/>
      <c r="AB361" s="12"/>
    </row>
    <row r="362" ht="45.0" hidden="1" customHeight="1">
      <c r="A362" s="11">
        <v>364.0</v>
      </c>
      <c r="B362" s="11" t="s">
        <v>173</v>
      </c>
      <c r="C362" s="93" t="s">
        <v>1824</v>
      </c>
      <c r="D362" s="11" t="s">
        <v>1517</v>
      </c>
      <c r="E362" s="12"/>
      <c r="F362" s="12"/>
      <c r="G362" s="12"/>
      <c r="H362" s="12"/>
      <c r="I362" s="12"/>
      <c r="J362" s="216">
        <v>5.0</v>
      </c>
      <c r="K362" s="215" t="s">
        <v>1514</v>
      </c>
      <c r="L362" s="216">
        <v>5.0</v>
      </c>
      <c r="M362" s="216">
        <v>30.0</v>
      </c>
      <c r="N362" s="11">
        <f t="shared" si="21"/>
        <v>150</v>
      </c>
      <c r="O362" s="11" t="s">
        <v>178</v>
      </c>
      <c r="P362" s="93"/>
      <c r="Q362" s="93" t="s">
        <v>599</v>
      </c>
      <c r="R362" s="215" t="s">
        <v>1514</v>
      </c>
      <c r="S362" s="217" t="s">
        <v>1519</v>
      </c>
      <c r="T362" s="11" t="str">
        <f>IMAGE("https://robu.in/wp-content/uploads/2017/06/31100-2.jpg",1)</f>
        <v/>
      </c>
      <c r="U362" s="78" t="s">
        <v>1688</v>
      </c>
      <c r="V362" s="74"/>
      <c r="W362" s="75"/>
      <c r="X362" s="12"/>
      <c r="Y362" s="11"/>
      <c r="Z362" s="12">
        <v>1.0</v>
      </c>
      <c r="AA362" s="12"/>
      <c r="AB362" s="12"/>
    </row>
    <row r="363" ht="45.0" hidden="1" customHeight="1">
      <c r="A363" s="11">
        <v>365.0</v>
      </c>
      <c r="B363" s="11" t="s">
        <v>173</v>
      </c>
      <c r="C363" s="93" t="s">
        <v>1744</v>
      </c>
      <c r="D363" s="11" t="s">
        <v>1521</v>
      </c>
      <c r="E363" s="12"/>
      <c r="F363" s="12"/>
      <c r="G363" s="12"/>
      <c r="H363" s="12"/>
      <c r="I363" s="12"/>
      <c r="J363" s="216">
        <v>5.0</v>
      </c>
      <c r="K363" s="215" t="s">
        <v>1514</v>
      </c>
      <c r="L363" s="216">
        <v>5.0</v>
      </c>
      <c r="M363" s="216">
        <v>200.0</v>
      </c>
      <c r="N363" s="11">
        <f t="shared" si="21"/>
        <v>1000</v>
      </c>
      <c r="O363" s="11" t="s">
        <v>178</v>
      </c>
      <c r="P363" s="93"/>
      <c r="Q363" s="93" t="s">
        <v>599</v>
      </c>
      <c r="R363" s="215" t="s">
        <v>1514</v>
      </c>
      <c r="S363" s="217" t="s">
        <v>1523</v>
      </c>
      <c r="T363" s="11" t="str">
        <f>IMAGE("https://m.media-amazon.com/images/W/MEDIAX_792452-T2/images/I/71PSVpNRPuL._SL1500_.jpg",1)</f>
        <v/>
      </c>
      <c r="U363" s="78" t="s">
        <v>1688</v>
      </c>
      <c r="V363" s="74"/>
      <c r="W363" s="75"/>
      <c r="X363" s="12"/>
      <c r="Y363" s="11"/>
      <c r="Z363" s="12">
        <v>1.0</v>
      </c>
      <c r="AA363" s="12"/>
      <c r="AB363" s="12"/>
    </row>
    <row r="364" ht="45.0" hidden="1" customHeight="1">
      <c r="A364" s="11">
        <v>366.0</v>
      </c>
      <c r="B364" s="11" t="s">
        <v>173</v>
      </c>
      <c r="C364" s="93" t="s">
        <v>1526</v>
      </c>
      <c r="D364" s="11" t="s">
        <v>1525</v>
      </c>
      <c r="E364" s="12"/>
      <c r="F364" s="12"/>
      <c r="G364" s="12"/>
      <c r="H364" s="12"/>
      <c r="I364" s="12"/>
      <c r="J364" s="216">
        <v>5.0</v>
      </c>
      <c r="K364" s="215" t="s">
        <v>1514</v>
      </c>
      <c r="L364" s="216">
        <v>5.0</v>
      </c>
      <c r="M364" s="216">
        <v>250.0</v>
      </c>
      <c r="N364" s="11">
        <f t="shared" si="21"/>
        <v>1250</v>
      </c>
      <c r="O364" s="11" t="s">
        <v>178</v>
      </c>
      <c r="P364" s="93"/>
      <c r="Q364" s="93" t="s">
        <v>179</v>
      </c>
      <c r="R364" s="215" t="s">
        <v>1514</v>
      </c>
      <c r="S364" s="217" t="s">
        <v>1527</v>
      </c>
      <c r="T364" s="11" t="str">
        <f>IMAGE("https://robu.in/wp-content/uploads/2016/08/2-1.jpg",1)</f>
        <v/>
      </c>
      <c r="U364" s="78" t="s">
        <v>1688</v>
      </c>
      <c r="V364" s="74"/>
      <c r="W364" s="75"/>
      <c r="X364" s="12"/>
      <c r="Y364" s="11"/>
      <c r="Z364" s="12">
        <v>1.0</v>
      </c>
      <c r="AA364" s="12"/>
      <c r="AB364" s="12"/>
    </row>
    <row r="365" ht="45.0" hidden="1" customHeight="1">
      <c r="A365" s="11">
        <v>367.0</v>
      </c>
      <c r="B365" s="11" t="s">
        <v>173</v>
      </c>
      <c r="C365" s="93" t="s">
        <v>1530</v>
      </c>
      <c r="D365" s="11" t="s">
        <v>1529</v>
      </c>
      <c r="E365" s="12"/>
      <c r="F365" s="12"/>
      <c r="G365" s="12"/>
      <c r="H365" s="12"/>
      <c r="I365" s="12"/>
      <c r="J365" s="216">
        <v>5.0</v>
      </c>
      <c r="K365" s="215" t="s">
        <v>1514</v>
      </c>
      <c r="L365" s="216">
        <v>5.0</v>
      </c>
      <c r="M365" s="216">
        <v>250.0</v>
      </c>
      <c r="N365" s="11">
        <f t="shared" si="21"/>
        <v>1250</v>
      </c>
      <c r="O365" s="11" t="s">
        <v>178</v>
      </c>
      <c r="P365" s="93"/>
      <c r="Q365" s="93" t="s">
        <v>599</v>
      </c>
      <c r="R365" s="215" t="s">
        <v>1514</v>
      </c>
      <c r="S365" s="217" t="s">
        <v>1531</v>
      </c>
      <c r="T365" s="11" t="str">
        <f>IMAGE("https://5.imimg.com/data5/SELLER/Default/2023/1/KQ/RE/WN/37611021/unique-india-force-pressure-sensor-square-500x500.jpg",1)</f>
        <v/>
      </c>
      <c r="U365" s="78" t="s">
        <v>1688</v>
      </c>
      <c r="V365" s="74"/>
      <c r="W365" s="75"/>
      <c r="X365" s="12"/>
      <c r="Y365" s="11"/>
      <c r="Z365" s="12">
        <v>1.0</v>
      </c>
      <c r="AA365" s="12"/>
      <c r="AB365" s="12"/>
    </row>
    <row r="366" ht="45.0" hidden="1" customHeight="1">
      <c r="A366" s="11">
        <v>368.0</v>
      </c>
      <c r="B366" s="11" t="s">
        <v>173</v>
      </c>
      <c r="C366" s="93" t="s">
        <v>1781</v>
      </c>
      <c r="D366" s="11" t="s">
        <v>1533</v>
      </c>
      <c r="E366" s="12"/>
      <c r="F366" s="12"/>
      <c r="G366" s="12"/>
      <c r="H366" s="12"/>
      <c r="I366" s="12"/>
      <c r="J366" s="216">
        <v>10.0</v>
      </c>
      <c r="K366" s="215" t="s">
        <v>1514</v>
      </c>
      <c r="L366" s="216">
        <v>10.0</v>
      </c>
      <c r="M366" s="216">
        <v>300.0</v>
      </c>
      <c r="N366" s="11">
        <f t="shared" si="21"/>
        <v>3000</v>
      </c>
      <c r="O366" s="11" t="s">
        <v>178</v>
      </c>
      <c r="P366" s="93"/>
      <c r="Q366" s="93" t="s">
        <v>599</v>
      </c>
      <c r="R366" s="215" t="s">
        <v>1514</v>
      </c>
      <c r="S366" s="217" t="s">
        <v>1535</v>
      </c>
      <c r="T366" s="11" t="str">
        <f>IMAGE("https://m.media-amazon.com/images/W/MEDIAX_792452-T2/images/I/61e+2rew8OL._SL1011_.jpg",1)</f>
        <v/>
      </c>
      <c r="U366" s="78" t="s">
        <v>1688</v>
      </c>
      <c r="V366" s="74"/>
      <c r="W366" s="75"/>
      <c r="X366" s="12"/>
      <c r="Y366" s="11"/>
      <c r="Z366" s="12">
        <v>1.0</v>
      </c>
      <c r="AA366" s="12"/>
      <c r="AB366" s="12"/>
    </row>
    <row r="367" ht="45.0" hidden="1" customHeight="1">
      <c r="A367" s="11">
        <v>369.0</v>
      </c>
      <c r="B367" s="11" t="s">
        <v>173</v>
      </c>
      <c r="C367" s="93" t="s">
        <v>1791</v>
      </c>
      <c r="D367" s="11" t="s">
        <v>1537</v>
      </c>
      <c r="E367" s="12"/>
      <c r="F367" s="12"/>
      <c r="G367" s="12"/>
      <c r="H367" s="12"/>
      <c r="I367" s="12"/>
      <c r="J367" s="216">
        <v>5.0</v>
      </c>
      <c r="K367" s="215" t="s">
        <v>1514</v>
      </c>
      <c r="L367" s="216">
        <v>5.0</v>
      </c>
      <c r="M367" s="216">
        <v>30.0</v>
      </c>
      <c r="N367" s="11">
        <f t="shared" si="21"/>
        <v>150</v>
      </c>
      <c r="O367" s="11" t="s">
        <v>178</v>
      </c>
      <c r="P367" s="93"/>
      <c r="Q367" s="93" t="s">
        <v>599</v>
      </c>
      <c r="R367" s="215" t="s">
        <v>1514</v>
      </c>
      <c r="S367" s="217" t="s">
        <v>1539</v>
      </c>
      <c r="T367" s="11" t="str">
        <f>IMAGE("https://makerbazar.in/cdn/shop/products/IR_transmitter-receiver_-_TSOP_1738_600x.jpg?v=1582114496",1)</f>
        <v/>
      </c>
      <c r="U367" s="78" t="s">
        <v>1688</v>
      </c>
      <c r="V367" s="74"/>
      <c r="W367" s="75"/>
      <c r="X367" s="12"/>
      <c r="Y367" s="11"/>
      <c r="Z367" s="12">
        <v>1.0</v>
      </c>
      <c r="AA367" s="12"/>
      <c r="AB367" s="12"/>
    </row>
    <row r="368" ht="45.0" hidden="1" customHeight="1">
      <c r="A368" s="11">
        <v>370.0</v>
      </c>
      <c r="B368" s="11" t="s">
        <v>173</v>
      </c>
      <c r="C368" s="93" t="s">
        <v>1786</v>
      </c>
      <c r="D368" s="11" t="s">
        <v>1541</v>
      </c>
      <c r="E368" s="12"/>
      <c r="F368" s="12"/>
      <c r="G368" s="12"/>
      <c r="H368" s="12"/>
      <c r="I368" s="12"/>
      <c r="J368" s="216">
        <v>5.0</v>
      </c>
      <c r="K368" s="215" t="s">
        <v>1514</v>
      </c>
      <c r="L368" s="216">
        <v>5.0</v>
      </c>
      <c r="M368" s="216">
        <v>250.0</v>
      </c>
      <c r="N368" s="11">
        <f t="shared" si="21"/>
        <v>1250</v>
      </c>
      <c r="O368" s="11" t="s">
        <v>178</v>
      </c>
      <c r="P368" s="93"/>
      <c r="Q368" s="93" t="s">
        <v>599</v>
      </c>
      <c r="R368" s="215" t="s">
        <v>1514</v>
      </c>
      <c r="S368" s="217" t="s">
        <v>1543</v>
      </c>
      <c r="T368" s="11" t="str">
        <f>IMAGE("https://makerbazar.in/cdn/shop/products/IR-Array_2048x2048_29f53719-c65f-4f67-a7f9-06b99966bf49_400x.jpg?v=1628014848",1)</f>
        <v/>
      </c>
      <c r="U368" s="78" t="s">
        <v>1688</v>
      </c>
      <c r="V368" s="74"/>
      <c r="W368" s="75"/>
      <c r="X368" s="12"/>
      <c r="Y368" s="11"/>
      <c r="Z368" s="12">
        <v>1.0</v>
      </c>
      <c r="AA368" s="12"/>
      <c r="AB368" s="12"/>
    </row>
    <row r="369" ht="45.0" hidden="1" customHeight="1">
      <c r="A369" s="11">
        <v>371.0</v>
      </c>
      <c r="B369" s="11" t="s">
        <v>173</v>
      </c>
      <c r="C369" s="93" t="s">
        <v>1546</v>
      </c>
      <c r="D369" s="11" t="s">
        <v>1545</v>
      </c>
      <c r="E369" s="12"/>
      <c r="F369" s="12"/>
      <c r="G369" s="12"/>
      <c r="H369" s="12"/>
      <c r="I369" s="12"/>
      <c r="J369" s="216">
        <v>10.0</v>
      </c>
      <c r="K369" s="215" t="s">
        <v>1514</v>
      </c>
      <c r="L369" s="216">
        <v>10.0</v>
      </c>
      <c r="M369" s="216">
        <v>30.0</v>
      </c>
      <c r="N369" s="11">
        <f t="shared" si="21"/>
        <v>300</v>
      </c>
      <c r="O369" s="11" t="s">
        <v>178</v>
      </c>
      <c r="P369" s="93"/>
      <c r="Q369" s="93" t="s">
        <v>599</v>
      </c>
      <c r="R369" s="215" t="s">
        <v>1514</v>
      </c>
      <c r="S369" s="217" t="s">
        <v>1547</v>
      </c>
      <c r="T369" s="11" t="str">
        <f>IMAGE("https://robu.in/wp-content/uploads/2017/05/LDR-module-1.png",1)</f>
        <v/>
      </c>
      <c r="U369" s="78" t="s">
        <v>1688</v>
      </c>
      <c r="V369" s="74"/>
      <c r="W369" s="75"/>
      <c r="X369" s="12"/>
      <c r="Y369" s="11"/>
      <c r="Z369" s="12">
        <v>1.0</v>
      </c>
      <c r="AA369" s="12"/>
      <c r="AB369" s="12"/>
    </row>
    <row r="370" ht="45.0" hidden="1" customHeight="1">
      <c r="A370" s="11">
        <v>372.0</v>
      </c>
      <c r="B370" s="11" t="s">
        <v>173</v>
      </c>
      <c r="C370" s="93" t="s">
        <v>1775</v>
      </c>
      <c r="D370" s="11" t="s">
        <v>1549</v>
      </c>
      <c r="E370" s="12"/>
      <c r="F370" s="12"/>
      <c r="G370" s="12"/>
      <c r="H370" s="12"/>
      <c r="I370" s="12"/>
      <c r="J370" s="216">
        <v>5.0</v>
      </c>
      <c r="K370" s="215" t="s">
        <v>1514</v>
      </c>
      <c r="L370" s="216">
        <v>5.0</v>
      </c>
      <c r="M370" s="216">
        <v>90.0</v>
      </c>
      <c r="N370" s="11">
        <f t="shared" si="21"/>
        <v>450</v>
      </c>
      <c r="O370" s="11" t="s">
        <v>178</v>
      </c>
      <c r="P370" s="93"/>
      <c r="Q370" s="93" t="s">
        <v>599</v>
      </c>
      <c r="R370" s="215" t="s">
        <v>1514</v>
      </c>
      <c r="S370" s="217" t="s">
        <v>1551</v>
      </c>
      <c r="T370" s="11" t="str">
        <f>IMAGE("https://m.media-amazon.com/images/W/MEDIAX_792452-T2/images/I/7158I82c4bL._SL1500_.jpg",1)</f>
        <v/>
      </c>
      <c r="U370" s="78" t="s">
        <v>1688</v>
      </c>
      <c r="V370" s="74"/>
      <c r="W370" s="75"/>
      <c r="X370" s="12"/>
      <c r="Y370" s="11"/>
      <c r="Z370" s="12">
        <v>1.0</v>
      </c>
      <c r="AA370" s="12"/>
      <c r="AB370" s="12"/>
    </row>
    <row r="371" ht="45.0" hidden="1" customHeight="1">
      <c r="A371" s="11">
        <v>373.0</v>
      </c>
      <c r="B371" s="11" t="s">
        <v>173</v>
      </c>
      <c r="C371" s="93" t="s">
        <v>1822</v>
      </c>
      <c r="D371" s="11" t="s">
        <v>1553</v>
      </c>
      <c r="E371" s="12"/>
      <c r="F371" s="12"/>
      <c r="G371" s="12"/>
      <c r="H371" s="12"/>
      <c r="I371" s="12"/>
      <c r="J371" s="216">
        <v>5.0</v>
      </c>
      <c r="K371" s="215" t="s">
        <v>1514</v>
      </c>
      <c r="L371" s="216">
        <v>5.0</v>
      </c>
      <c r="M371" s="216">
        <v>150.0</v>
      </c>
      <c r="N371" s="11">
        <f t="shared" si="21"/>
        <v>750</v>
      </c>
      <c r="O371" s="11" t="s">
        <v>178</v>
      </c>
      <c r="P371" s="93"/>
      <c r="Q371" s="93" t="s">
        <v>599</v>
      </c>
      <c r="R371" s="215" t="s">
        <v>1514</v>
      </c>
      <c r="S371" s="217" t="s">
        <v>1555</v>
      </c>
      <c r="T371" s="11" t="str">
        <f>IMAGE("https://robu.in/wp-content/uploads/2017/09/download-1-2.jpg",1)</f>
        <v/>
      </c>
      <c r="U371" s="78" t="s">
        <v>1688</v>
      </c>
      <c r="V371" s="74"/>
      <c r="W371" s="75"/>
      <c r="X371" s="12"/>
      <c r="Y371" s="11"/>
      <c r="Z371" s="12">
        <v>1.0</v>
      </c>
      <c r="AA371" s="12"/>
      <c r="AB371" s="12"/>
    </row>
    <row r="372" ht="45.0" hidden="1" customHeight="1">
      <c r="A372" s="11">
        <v>374.0</v>
      </c>
      <c r="B372" s="11" t="s">
        <v>173</v>
      </c>
      <c r="C372" s="93" t="s">
        <v>1758</v>
      </c>
      <c r="D372" s="11" t="s">
        <v>1557</v>
      </c>
      <c r="E372" s="12"/>
      <c r="F372" s="12"/>
      <c r="G372" s="12"/>
      <c r="H372" s="12"/>
      <c r="I372" s="12"/>
      <c r="J372" s="216">
        <v>10.0</v>
      </c>
      <c r="K372" s="215" t="s">
        <v>1514</v>
      </c>
      <c r="L372" s="216">
        <v>10.0</v>
      </c>
      <c r="M372" s="216">
        <v>40.0</v>
      </c>
      <c r="N372" s="11">
        <f t="shared" si="21"/>
        <v>400</v>
      </c>
      <c r="O372" s="11" t="s">
        <v>178</v>
      </c>
      <c r="P372" s="93"/>
      <c r="Q372" s="93" t="s">
        <v>599</v>
      </c>
      <c r="R372" s="215" t="s">
        <v>1514</v>
      </c>
      <c r="S372" s="217"/>
      <c r="T372" s="11" t="str">
        <f>IMAGE("https://cdn.shopify.com/s/files/1/0088/0056/7392/products/Sound_Detector_Module.jpg?v=1566646449",1)</f>
        <v/>
      </c>
      <c r="U372" s="78" t="s">
        <v>1688</v>
      </c>
      <c r="V372" s="74"/>
      <c r="W372" s="75"/>
      <c r="X372" s="12"/>
      <c r="Y372" s="11"/>
      <c r="Z372" s="12">
        <v>1.0</v>
      </c>
      <c r="AA372" s="12"/>
      <c r="AB372" s="12"/>
    </row>
    <row r="373" ht="45.0" hidden="1" customHeight="1">
      <c r="A373" s="11">
        <v>375.0</v>
      </c>
      <c r="B373" s="11" t="s">
        <v>173</v>
      </c>
      <c r="C373" s="93" t="s">
        <v>1789</v>
      </c>
      <c r="D373" s="11" t="s">
        <v>1560</v>
      </c>
      <c r="E373" s="12"/>
      <c r="F373" s="12"/>
      <c r="G373" s="12"/>
      <c r="H373" s="12"/>
      <c r="I373" s="12"/>
      <c r="J373" s="216">
        <v>10.0</v>
      </c>
      <c r="K373" s="215" t="s">
        <v>1514</v>
      </c>
      <c r="L373" s="216">
        <v>10.0</v>
      </c>
      <c r="M373" s="216">
        <v>200.0</v>
      </c>
      <c r="N373" s="11">
        <f t="shared" si="21"/>
        <v>2000</v>
      </c>
      <c r="O373" s="11" t="s">
        <v>178</v>
      </c>
      <c r="P373" s="93"/>
      <c r="Q373" s="93" t="s">
        <v>599</v>
      </c>
      <c r="R373" s="215" t="s">
        <v>1514</v>
      </c>
      <c r="S373" s="217" t="s">
        <v>1562</v>
      </c>
      <c r="T373" s="11" t="str">
        <f>IMAGE("https://encrypted-tbn0.gstatic.com/images?q=tbn:ANd9GcRrIyUWjQ1rnIJDwYms78skSv9zbdkdml4sTR1WfoKl6GFD5OWnZULG8H98AB-i394c3VQ&amp;usqp=CAU",1)</f>
        <v/>
      </c>
      <c r="U373" s="78" t="s">
        <v>1688</v>
      </c>
      <c r="V373" s="74"/>
      <c r="W373" s="75"/>
      <c r="X373" s="12"/>
      <c r="Y373" s="11"/>
      <c r="Z373" s="12">
        <v>1.0</v>
      </c>
      <c r="AA373" s="12"/>
      <c r="AB373" s="12"/>
    </row>
    <row r="374" ht="45.0" hidden="1" customHeight="1">
      <c r="A374" s="11">
        <v>376.0</v>
      </c>
      <c r="B374" s="11" t="s">
        <v>173</v>
      </c>
      <c r="C374" s="93" t="s">
        <v>1565</v>
      </c>
      <c r="D374" s="11" t="s">
        <v>1564</v>
      </c>
      <c r="E374" s="12"/>
      <c r="F374" s="12"/>
      <c r="G374" s="12"/>
      <c r="H374" s="12"/>
      <c r="I374" s="12"/>
      <c r="J374" s="216">
        <v>5.0</v>
      </c>
      <c r="K374" s="215" t="s">
        <v>1514</v>
      </c>
      <c r="L374" s="216">
        <v>5.0</v>
      </c>
      <c r="M374" s="216">
        <v>95.0</v>
      </c>
      <c r="N374" s="11">
        <f t="shared" si="21"/>
        <v>475</v>
      </c>
      <c r="O374" s="11" t="s">
        <v>178</v>
      </c>
      <c r="P374" s="93"/>
      <c r="Q374" s="93" t="s">
        <v>599</v>
      </c>
      <c r="R374" s="215" t="s">
        <v>1514</v>
      </c>
      <c r="S374" s="217" t="s">
        <v>1566</v>
      </c>
      <c r="T374" s="11" t="str">
        <f>IMAGE("https://robu.in/wp-content/uploads/2019/05/MAX30100-Pulse-Oximeter-Heart-Rate-Sensor-Module-2.jpg",1)</f>
        <v/>
      </c>
      <c r="U374" s="78" t="s">
        <v>1688</v>
      </c>
      <c r="V374" s="74"/>
      <c r="W374" s="75"/>
      <c r="X374" s="12"/>
      <c r="Y374" s="11"/>
      <c r="Z374" s="12">
        <v>1.0</v>
      </c>
      <c r="AA374" s="12"/>
      <c r="AB374" s="12"/>
    </row>
    <row r="375" ht="45.0" hidden="1" customHeight="1">
      <c r="A375" s="11">
        <v>377.0</v>
      </c>
      <c r="B375" s="11" t="s">
        <v>173</v>
      </c>
      <c r="C375" s="93" t="s">
        <v>1769</v>
      </c>
      <c r="D375" s="11" t="s">
        <v>1568</v>
      </c>
      <c r="E375" s="12"/>
      <c r="F375" s="12"/>
      <c r="G375" s="12"/>
      <c r="H375" s="12"/>
      <c r="I375" s="12"/>
      <c r="J375" s="216">
        <v>5.0</v>
      </c>
      <c r="K375" s="215" t="s">
        <v>1514</v>
      </c>
      <c r="L375" s="216">
        <v>5.0</v>
      </c>
      <c r="M375" s="216">
        <v>125.0</v>
      </c>
      <c r="N375" s="11">
        <f t="shared" si="21"/>
        <v>625</v>
      </c>
      <c r="O375" s="11" t="s">
        <v>178</v>
      </c>
      <c r="P375" s="93"/>
      <c r="Q375" s="93" t="s">
        <v>599</v>
      </c>
      <c r="R375" s="215" t="s">
        <v>1514</v>
      </c>
      <c r="S375" s="217"/>
      <c r="T375" s="11" t="str">
        <f>IMAGE("https://makerbazar.in/cdn/shop/products/Untitled-1_39_1_60x.jpg?v=1637233670",1)</f>
        <v/>
      </c>
      <c r="U375" s="78" t="s">
        <v>1688</v>
      </c>
      <c r="V375" s="74"/>
      <c r="W375" s="75"/>
      <c r="X375" s="12"/>
      <c r="Y375" s="11"/>
      <c r="Z375" s="12">
        <v>1.0</v>
      </c>
      <c r="AA375" s="12"/>
      <c r="AB375" s="12"/>
    </row>
    <row r="376" ht="45.0" hidden="1" customHeight="1">
      <c r="A376" s="11">
        <v>378.0</v>
      </c>
      <c r="B376" s="11" t="s">
        <v>173</v>
      </c>
      <c r="C376" s="93" t="s">
        <v>1772</v>
      </c>
      <c r="D376" s="11" t="s">
        <v>1571</v>
      </c>
      <c r="E376" s="12"/>
      <c r="F376" s="12"/>
      <c r="G376" s="12"/>
      <c r="H376" s="12"/>
      <c r="I376" s="12"/>
      <c r="J376" s="216">
        <v>5.0</v>
      </c>
      <c r="K376" s="215" t="s">
        <v>1514</v>
      </c>
      <c r="L376" s="216">
        <v>5.0</v>
      </c>
      <c r="M376" s="216">
        <v>75.0</v>
      </c>
      <c r="N376" s="11">
        <f t="shared" si="21"/>
        <v>375</v>
      </c>
      <c r="O376" s="11" t="s">
        <v>178</v>
      </c>
      <c r="P376" s="93"/>
      <c r="Q376" s="93" t="s">
        <v>599</v>
      </c>
      <c r="R376" s="215" t="s">
        <v>1514</v>
      </c>
      <c r="S376" s="217" t="s">
        <v>1573</v>
      </c>
      <c r="T376" s="11" t="str">
        <f>IMAGE("https://5.imimg.com/data5/SELLER/Default/2021/6/XN/UI/NS/84973740/mq2-flammable-gas-and-smoke-sensor-module-500x500.jpg",1)</f>
        <v/>
      </c>
      <c r="U376" s="78" t="s">
        <v>1688</v>
      </c>
      <c r="V376" s="74"/>
      <c r="W376" s="75"/>
      <c r="X376" s="12"/>
      <c r="Y376" s="11"/>
      <c r="Z376" s="12">
        <v>1.0</v>
      </c>
      <c r="AA376" s="12"/>
      <c r="AB376" s="12"/>
    </row>
    <row r="377" ht="45.0" hidden="1" customHeight="1">
      <c r="A377" s="11">
        <v>379.0</v>
      </c>
      <c r="B377" s="11" t="s">
        <v>173</v>
      </c>
      <c r="C377" s="93" t="s">
        <v>1576</v>
      </c>
      <c r="D377" s="11" t="s">
        <v>1575</v>
      </c>
      <c r="E377" s="12"/>
      <c r="F377" s="12"/>
      <c r="G377" s="12"/>
      <c r="H377" s="12"/>
      <c r="I377" s="12"/>
      <c r="J377" s="216">
        <v>10.0</v>
      </c>
      <c r="K377" s="215" t="s">
        <v>1514</v>
      </c>
      <c r="L377" s="216">
        <v>10.0</v>
      </c>
      <c r="M377" s="216">
        <v>40.0</v>
      </c>
      <c r="N377" s="11">
        <f t="shared" si="21"/>
        <v>400</v>
      </c>
      <c r="O377" s="11" t="s">
        <v>178</v>
      </c>
      <c r="P377" s="93"/>
      <c r="Q377" s="93" t="s">
        <v>599</v>
      </c>
      <c r="R377" s="215" t="s">
        <v>1514</v>
      </c>
      <c r="S377" s="217" t="s">
        <v>1577</v>
      </c>
      <c r="T377" s="11" t="str">
        <f>IMAGE("https://robu.in/wp-content/uploads/2016/03/12251.jpg",1)</f>
        <v/>
      </c>
      <c r="U377" s="78" t="s">
        <v>1688</v>
      </c>
      <c r="V377" s="74"/>
      <c r="W377" s="75"/>
      <c r="X377" s="12"/>
      <c r="Y377" s="11"/>
      <c r="Z377" s="12">
        <v>1.0</v>
      </c>
      <c r="AA377" s="12"/>
      <c r="AB377" s="12"/>
    </row>
    <row r="378" ht="45.0" hidden="1" customHeight="1">
      <c r="A378" s="11">
        <v>380.0</v>
      </c>
      <c r="B378" s="11" t="s">
        <v>173</v>
      </c>
      <c r="C378" s="258" t="s">
        <v>1763</v>
      </c>
      <c r="D378" s="11" t="s">
        <v>1579</v>
      </c>
      <c r="E378" s="12"/>
      <c r="F378" s="12"/>
      <c r="G378" s="12"/>
      <c r="H378" s="12"/>
      <c r="I378" s="12"/>
      <c r="J378" s="216">
        <v>5.0</v>
      </c>
      <c r="K378" s="215" t="s">
        <v>1514</v>
      </c>
      <c r="L378" s="216">
        <v>5.0</v>
      </c>
      <c r="M378" s="216">
        <v>130.0</v>
      </c>
      <c r="N378" s="11">
        <f t="shared" si="21"/>
        <v>650</v>
      </c>
      <c r="O378" s="11" t="s">
        <v>178</v>
      </c>
      <c r="P378" s="93"/>
      <c r="Q378" s="93" t="s">
        <v>599</v>
      </c>
      <c r="R378" s="215" t="s">
        <v>1514</v>
      </c>
      <c r="S378" s="217" t="s">
        <v>1581</v>
      </c>
      <c r="T378" s="11" t="str">
        <f>IMAGE("https://m.media-amazon.com/images/W/MEDIAX_792452-T2/images/I/61QNSpIV-GL._SL1000_.jpg",1)</f>
        <v/>
      </c>
      <c r="U378" s="78" t="s">
        <v>1688</v>
      </c>
      <c r="V378" s="74"/>
      <c r="W378" s="75"/>
      <c r="X378" s="12"/>
      <c r="Y378" s="11"/>
      <c r="Z378" s="12">
        <v>1.0</v>
      </c>
      <c r="AA378" s="12"/>
      <c r="AB378" s="12"/>
    </row>
    <row r="379" ht="45.0" hidden="1" customHeight="1">
      <c r="A379" s="11">
        <v>381.0</v>
      </c>
      <c r="B379" s="11" t="s">
        <v>173</v>
      </c>
      <c r="C379" s="93" t="s">
        <v>1584</v>
      </c>
      <c r="D379" s="11" t="s">
        <v>1583</v>
      </c>
      <c r="E379" s="12"/>
      <c r="F379" s="12"/>
      <c r="G379" s="12"/>
      <c r="H379" s="12"/>
      <c r="I379" s="12"/>
      <c r="J379" s="216">
        <v>10.0</v>
      </c>
      <c r="K379" s="215" t="s">
        <v>1514</v>
      </c>
      <c r="L379" s="216">
        <v>10.0</v>
      </c>
      <c r="M379" s="216">
        <v>60.0</v>
      </c>
      <c r="N379" s="11">
        <f t="shared" si="21"/>
        <v>600</v>
      </c>
      <c r="O379" s="11" t="s">
        <v>178</v>
      </c>
      <c r="P379" s="93"/>
      <c r="Q379" s="93" t="s">
        <v>599</v>
      </c>
      <c r="R379" s="215" t="s">
        <v>1514</v>
      </c>
      <c r="S379" s="217" t="s">
        <v>1585</v>
      </c>
      <c r="T379" s="11" t="str">
        <f>IMAGE("https://projecthubbharat.com/wp-content/uploads/2022/02/dht-11-sensor-module-india-800x800-1.jpg",1)</f>
        <v/>
      </c>
      <c r="U379" s="78" t="s">
        <v>1688</v>
      </c>
      <c r="V379" s="74"/>
      <c r="W379" s="75"/>
      <c r="X379" s="12"/>
      <c r="Y379" s="11"/>
      <c r="Z379" s="12">
        <v>1.0</v>
      </c>
      <c r="AA379" s="12"/>
      <c r="AB379" s="12"/>
    </row>
    <row r="380" ht="45.0" hidden="1" customHeight="1">
      <c r="A380" s="11">
        <v>382.0</v>
      </c>
      <c r="B380" s="11" t="s">
        <v>173</v>
      </c>
      <c r="C380" s="93" t="s">
        <v>1795</v>
      </c>
      <c r="D380" s="11" t="s">
        <v>1587</v>
      </c>
      <c r="E380" s="12"/>
      <c r="F380" s="12"/>
      <c r="G380" s="12"/>
      <c r="H380" s="12"/>
      <c r="I380" s="12"/>
      <c r="J380" s="216">
        <v>10.0</v>
      </c>
      <c r="K380" s="215" t="s">
        <v>1514</v>
      </c>
      <c r="L380" s="216">
        <v>10.0</v>
      </c>
      <c r="M380" s="216">
        <v>50.0</v>
      </c>
      <c r="N380" s="11">
        <f t="shared" si="21"/>
        <v>500</v>
      </c>
      <c r="O380" s="11" t="s">
        <v>178</v>
      </c>
      <c r="P380" s="93"/>
      <c r="Q380" s="93" t="s">
        <v>518</v>
      </c>
      <c r="R380" s="215" t="s">
        <v>1514</v>
      </c>
      <c r="S380" s="217" t="s">
        <v>1589</v>
      </c>
      <c r="T380" s="11" t="str">
        <f>IMAGE("https://potentiallabs.com/cart/image/cache/catalog/nov-dec/DS18B20-500x500-500x500.jpg",1)</f>
        <v/>
      </c>
      <c r="U380" s="78" t="s">
        <v>1688</v>
      </c>
      <c r="V380" s="74"/>
      <c r="W380" s="75"/>
      <c r="X380" s="12"/>
      <c r="Y380" s="11"/>
      <c r="Z380" s="12">
        <v>1.0</v>
      </c>
      <c r="AA380" s="12"/>
      <c r="AB380" s="12"/>
    </row>
    <row r="381" ht="45.0" hidden="1" customHeight="1">
      <c r="A381" s="11">
        <v>383.0</v>
      </c>
      <c r="B381" s="11" t="s">
        <v>173</v>
      </c>
      <c r="C381" s="93" t="s">
        <v>1798</v>
      </c>
      <c r="D381" s="11" t="s">
        <v>1591</v>
      </c>
      <c r="E381" s="12"/>
      <c r="F381" s="12"/>
      <c r="G381" s="12"/>
      <c r="H381" s="12"/>
      <c r="I381" s="12"/>
      <c r="J381" s="216">
        <v>20.0</v>
      </c>
      <c r="K381" s="215" t="s">
        <v>1514</v>
      </c>
      <c r="L381" s="216">
        <v>20.0</v>
      </c>
      <c r="M381" s="216">
        <v>5.0</v>
      </c>
      <c r="N381" s="11">
        <f t="shared" si="21"/>
        <v>100</v>
      </c>
      <c r="O381" s="11" t="s">
        <v>178</v>
      </c>
      <c r="P381" s="93"/>
      <c r="Q381" s="93" t="s">
        <v>518</v>
      </c>
      <c r="R381" s="215" t="s">
        <v>1514</v>
      </c>
      <c r="S381" s="217" t="s">
        <v>1593</v>
      </c>
      <c r="T381" s="216" t="str">
        <f>IMAGE("https://5.imimg.com/data5/SELLER/Default/2021/9/HF/RK/UF/37611021/10k-ohm-ntc-thermistor-500x500.jpg",1)</f>
        <v/>
      </c>
      <c r="U381" s="78" t="s">
        <v>1688</v>
      </c>
      <c r="V381" s="74"/>
      <c r="W381" s="75"/>
      <c r="X381" s="12"/>
      <c r="Y381" s="11"/>
      <c r="Z381" s="12">
        <v>1.0</v>
      </c>
      <c r="AA381" s="12"/>
      <c r="AB381" s="12"/>
    </row>
    <row r="382" ht="45.0" hidden="1" customHeight="1">
      <c r="A382" s="11">
        <v>384.0</v>
      </c>
      <c r="B382" s="11" t="s">
        <v>173</v>
      </c>
      <c r="C382" s="93" t="s">
        <v>1777</v>
      </c>
      <c r="D382" s="11" t="s">
        <v>1595</v>
      </c>
      <c r="E382" s="12"/>
      <c r="F382" s="12"/>
      <c r="G382" s="12"/>
      <c r="H382" s="12"/>
      <c r="I382" s="12"/>
      <c r="J382" s="216">
        <v>5.0</v>
      </c>
      <c r="K382" s="215" t="s">
        <v>1514</v>
      </c>
      <c r="L382" s="216">
        <v>5.0</v>
      </c>
      <c r="M382" s="216">
        <v>150.0</v>
      </c>
      <c r="N382" s="11">
        <f t="shared" si="21"/>
        <v>750</v>
      </c>
      <c r="O382" s="11" t="s">
        <v>178</v>
      </c>
      <c r="P382" s="93"/>
      <c r="Q382" s="93" t="s">
        <v>599</v>
      </c>
      <c r="R382" s="215" t="s">
        <v>1514</v>
      </c>
      <c r="S382" s="217" t="s">
        <v>1597</v>
      </c>
      <c r="T382" s="11" t="str">
        <f>IMAGE("https://media.distrelec.com/Web/WebShopImages/landscape_large/7-/01/Adafruit_163_30129187-01.jpg",1)</f>
        <v/>
      </c>
      <c r="U382" s="78" t="s">
        <v>1688</v>
      </c>
      <c r="V382" s="74"/>
      <c r="W382" s="75"/>
      <c r="X382" s="12"/>
      <c r="Y382" s="11"/>
      <c r="Z382" s="12">
        <v>1.0</v>
      </c>
      <c r="AA382" s="12"/>
      <c r="AB382" s="12"/>
    </row>
    <row r="383" ht="45.0" hidden="1" customHeight="1">
      <c r="A383" s="11">
        <v>385.0</v>
      </c>
      <c r="B383" s="11" t="s">
        <v>173</v>
      </c>
      <c r="C383" s="93" t="s">
        <v>1619</v>
      </c>
      <c r="D383" s="11" t="s">
        <v>1618</v>
      </c>
      <c r="E383" s="12"/>
      <c r="F383" s="12"/>
      <c r="G383" s="12"/>
      <c r="H383" s="12"/>
      <c r="I383" s="12"/>
      <c r="J383" s="216">
        <v>10.0</v>
      </c>
      <c r="K383" s="215" t="s">
        <v>1514</v>
      </c>
      <c r="L383" s="216">
        <v>10.0</v>
      </c>
      <c r="M383" s="216">
        <v>50.0</v>
      </c>
      <c r="N383" s="11">
        <f t="shared" si="21"/>
        <v>500</v>
      </c>
      <c r="O383" s="11" t="s">
        <v>178</v>
      </c>
      <c r="P383" s="93"/>
      <c r="Q383" s="93" t="s">
        <v>599</v>
      </c>
      <c r="R383" s="215" t="s">
        <v>1514</v>
      </c>
      <c r="S383" s="217" t="s">
        <v>1620</v>
      </c>
      <c r="T383" s="11" t="str">
        <f>IMAGE("https://i0.wp.com/superbtech.in/wp-content/uploads/2020/07/2-60.jpg?fit=500%2C500&amp;ssl=1",1)</f>
        <v/>
      </c>
      <c r="U383" s="78" t="s">
        <v>1688</v>
      </c>
      <c r="V383" s="74"/>
      <c r="W383" s="75"/>
      <c r="X383" s="12"/>
      <c r="Y383" s="11"/>
      <c r="Z383" s="12">
        <v>1.0</v>
      </c>
      <c r="AA383" s="12"/>
      <c r="AB383" s="12"/>
    </row>
    <row r="384" ht="45.0" hidden="1" customHeight="1">
      <c r="A384" s="11">
        <v>386.0</v>
      </c>
      <c r="B384" s="11" t="s">
        <v>173</v>
      </c>
      <c r="C384" s="93" t="s">
        <v>1623</v>
      </c>
      <c r="D384" s="11" t="s">
        <v>1622</v>
      </c>
      <c r="E384" s="12"/>
      <c r="F384" s="12"/>
      <c r="G384" s="12"/>
      <c r="H384" s="12"/>
      <c r="I384" s="12"/>
      <c r="J384" s="216">
        <v>5.0</v>
      </c>
      <c r="K384" s="215" t="s">
        <v>1514</v>
      </c>
      <c r="L384" s="216">
        <v>5.0</v>
      </c>
      <c r="M384" s="216">
        <v>150.0</v>
      </c>
      <c r="N384" s="11">
        <f t="shared" si="21"/>
        <v>750</v>
      </c>
      <c r="O384" s="11" t="s">
        <v>178</v>
      </c>
      <c r="P384" s="93"/>
      <c r="Q384" s="93" t="s">
        <v>249</v>
      </c>
      <c r="R384" s="215" t="s">
        <v>1514</v>
      </c>
      <c r="S384" s="217" t="s">
        <v>1624</v>
      </c>
      <c r="T384" s="11" t="str">
        <f>IMAGE("https://cdn.shopify.com/s/files/1/0559/1970/6265/products/1_9713a8db-db1e-42d0-a3e7-eebb7f66c4e9.jpg?v=1670581925",1)</f>
        <v/>
      </c>
      <c r="U384" s="78" t="s">
        <v>1688</v>
      </c>
      <c r="V384" s="74"/>
      <c r="W384" s="75"/>
      <c r="X384" s="12"/>
      <c r="Y384" s="11"/>
      <c r="Z384" s="12">
        <v>1.0</v>
      </c>
      <c r="AA384" s="12"/>
      <c r="AB384" s="12"/>
    </row>
    <row r="385" ht="45.0" customHeight="1">
      <c r="A385" s="11">
        <v>271.0</v>
      </c>
      <c r="B385" s="11" t="s">
        <v>342</v>
      </c>
      <c r="C385" s="93" t="s">
        <v>1136</v>
      </c>
      <c r="D385" s="11" t="s">
        <v>1135</v>
      </c>
      <c r="E385" s="12"/>
      <c r="F385" s="12"/>
      <c r="G385" s="12"/>
      <c r="H385" s="12"/>
      <c r="I385" s="12" t="s">
        <v>2050</v>
      </c>
      <c r="J385" s="216">
        <v>1.0</v>
      </c>
      <c r="K385" s="215" t="s">
        <v>1032</v>
      </c>
      <c r="L385" s="216">
        <v>1.0</v>
      </c>
      <c r="M385" s="216">
        <v>180.0</v>
      </c>
      <c r="N385" s="11">
        <f t="shared" si="21"/>
        <v>180</v>
      </c>
      <c r="O385" s="11" t="s">
        <v>347</v>
      </c>
      <c r="P385" s="93"/>
      <c r="Q385" s="93"/>
      <c r="R385" s="215" t="s">
        <v>1032</v>
      </c>
      <c r="S385" s="238" t="s">
        <v>1137</v>
      </c>
      <c r="T385" s="11" t="str">
        <f>IMAGE("https://ravimachines.com/wp-content/uploads/2016/07/full_13.jpg",1)</f>
        <v/>
      </c>
      <c r="U385" s="353" t="s">
        <v>1689</v>
      </c>
      <c r="V385" s="331" t="s">
        <v>1720</v>
      </c>
      <c r="W385" s="75"/>
      <c r="X385" s="253"/>
      <c r="Y385" s="11"/>
      <c r="Z385" s="12">
        <v>3.0</v>
      </c>
      <c r="AA385" s="645"/>
      <c r="AB385" s="645"/>
    </row>
    <row r="386" ht="45.0" customHeight="1">
      <c r="A386" s="254">
        <v>273.0</v>
      </c>
      <c r="B386" s="254" t="s">
        <v>342</v>
      </c>
      <c r="C386" s="93" t="s">
        <v>1144</v>
      </c>
      <c r="D386" s="11" t="s">
        <v>1143</v>
      </c>
      <c r="E386" s="12"/>
      <c r="F386" s="12"/>
      <c r="G386" s="12"/>
      <c r="H386" s="12"/>
      <c r="I386" s="12" t="s">
        <v>2050</v>
      </c>
      <c r="J386" s="216">
        <v>1.0</v>
      </c>
      <c r="K386" s="215" t="s">
        <v>1032</v>
      </c>
      <c r="L386" s="216">
        <v>1.0</v>
      </c>
      <c r="M386" s="216">
        <v>1500.0</v>
      </c>
      <c r="N386" s="11">
        <f t="shared" si="21"/>
        <v>1500</v>
      </c>
      <c r="O386" s="11" t="s">
        <v>347</v>
      </c>
      <c r="P386" s="93"/>
      <c r="Q386" s="93"/>
      <c r="R386" s="215" t="s">
        <v>1032</v>
      </c>
      <c r="S386" s="217" t="s">
        <v>1145</v>
      </c>
      <c r="T386" s="11" t="str">
        <f>IMAGE("https://5.imimg.com/data5/SELLER/Default/2021/4/UH/ZY/EE/41301440/machine.jpeg",1)</f>
        <v/>
      </c>
      <c r="U386" s="372" t="s">
        <v>1689</v>
      </c>
      <c r="V386" s="367" t="s">
        <v>1721</v>
      </c>
      <c r="W386" s="368"/>
      <c r="X386" s="373"/>
      <c r="Y386" s="254"/>
      <c r="Z386" s="373">
        <v>2.0</v>
      </c>
      <c r="AA386" s="616"/>
      <c r="AB386" s="616"/>
    </row>
    <row r="387" ht="45.0" customHeight="1">
      <c r="A387" s="222">
        <v>306.0</v>
      </c>
      <c r="B387" s="222" t="s">
        <v>1152</v>
      </c>
      <c r="C387" s="232" t="s">
        <v>1278</v>
      </c>
      <c r="D387" s="222" t="s">
        <v>1277</v>
      </c>
      <c r="E387" s="299"/>
      <c r="F387" s="299"/>
      <c r="G387" s="299"/>
      <c r="H387" s="299"/>
      <c r="I387" s="299" t="s">
        <v>2050</v>
      </c>
      <c r="J387" s="222">
        <v>1.0</v>
      </c>
      <c r="K387" s="233" t="s">
        <v>1032</v>
      </c>
      <c r="L387" s="222">
        <v>1.0</v>
      </c>
      <c r="M387" s="222">
        <v>3000.0</v>
      </c>
      <c r="N387" s="222">
        <f t="shared" si="21"/>
        <v>3000</v>
      </c>
      <c r="O387" s="222" t="s">
        <v>347</v>
      </c>
      <c r="P387" s="232"/>
      <c r="Q387" s="232"/>
      <c r="R387" s="232" t="s">
        <v>1964</v>
      </c>
      <c r="S387" s="235"/>
      <c r="T387" s="222" t="str">
        <f>IMAGE("https://www.toolworld.in/storage/media/product/1696831532.jpg",1)</f>
        <v/>
      </c>
      <c r="U387" s="334" t="s">
        <v>1724</v>
      </c>
      <c r="V387" s="335"/>
      <c r="W387" s="336"/>
      <c r="X387" s="299"/>
      <c r="Y387" s="222"/>
      <c r="Z387" s="299">
        <v>3.0</v>
      </c>
      <c r="AA387" s="616"/>
      <c r="AB387" s="616"/>
    </row>
    <row r="388" ht="45.0" customHeight="1">
      <c r="A388" s="222">
        <v>317.0</v>
      </c>
      <c r="B388" s="222" t="s">
        <v>1152</v>
      </c>
      <c r="C388" s="232" t="s">
        <v>1318</v>
      </c>
      <c r="D388" s="222" t="s">
        <v>1317</v>
      </c>
      <c r="E388" s="299"/>
      <c r="F388" s="299"/>
      <c r="G388" s="299"/>
      <c r="H388" s="299"/>
      <c r="I388" s="299" t="s">
        <v>2050</v>
      </c>
      <c r="J388" s="234">
        <v>2.0</v>
      </c>
      <c r="K388" s="233" t="s">
        <v>1250</v>
      </c>
      <c r="L388" s="234">
        <v>2.0</v>
      </c>
      <c r="M388" s="234">
        <v>160.0</v>
      </c>
      <c r="N388" s="222">
        <f t="shared" si="21"/>
        <v>320</v>
      </c>
      <c r="O388" s="222" t="s">
        <v>347</v>
      </c>
      <c r="P388" s="232"/>
      <c r="Q388" s="232"/>
      <c r="R388" s="232" t="s">
        <v>1964</v>
      </c>
      <c r="S388" s="235" t="s">
        <v>1319</v>
      </c>
      <c r="T388" s="222" t="str">
        <f>IMAGE("https://5.imimg.com/data5/UM/JA/MY-39609002/screw-gauge-500x500.jpg",1)</f>
        <v/>
      </c>
      <c r="U388" s="334"/>
      <c r="V388" s="335"/>
      <c r="W388" s="336"/>
      <c r="X388" s="299"/>
      <c r="Y388" s="222"/>
      <c r="Z388" s="299">
        <v>3.0</v>
      </c>
      <c r="AA388" s="616"/>
      <c r="AB388" s="616"/>
    </row>
    <row r="389" ht="45.0" customHeight="1">
      <c r="A389" s="11">
        <v>319.0</v>
      </c>
      <c r="B389" s="11" t="s">
        <v>342</v>
      </c>
      <c r="C389" s="93" t="s">
        <v>1325</v>
      </c>
      <c r="D389" s="11" t="s">
        <v>1324</v>
      </c>
      <c r="E389" s="12"/>
      <c r="F389" s="12"/>
      <c r="G389" s="12"/>
      <c r="H389" s="12"/>
      <c r="I389" s="12" t="s">
        <v>2050</v>
      </c>
      <c r="J389" s="216">
        <v>1.0</v>
      </c>
      <c r="K389" s="215" t="s">
        <v>1250</v>
      </c>
      <c r="L389" s="216">
        <v>1.0</v>
      </c>
      <c r="M389" s="216">
        <v>2000.0</v>
      </c>
      <c r="N389" s="11">
        <f t="shared" si="21"/>
        <v>2000</v>
      </c>
      <c r="O389" s="11" t="s">
        <v>347</v>
      </c>
      <c r="P389" s="93"/>
      <c r="Q389" s="93"/>
      <c r="R389" s="93" t="s">
        <v>1964</v>
      </c>
      <c r="S389" s="217" t="s">
        <v>1326</v>
      </c>
      <c r="T389" s="11" t="e">
        <v>#VALUE!</v>
      </c>
      <c r="U389" s="73" t="s">
        <v>1684</v>
      </c>
      <c r="V389" s="74">
        <v>60.0</v>
      </c>
      <c r="W389" s="75"/>
      <c r="X389" s="12"/>
      <c r="Y389" s="11"/>
      <c r="Z389" s="12">
        <v>3.0</v>
      </c>
      <c r="AA389" s="616"/>
      <c r="AB389" s="616"/>
    </row>
    <row r="390" ht="45.0" hidden="1" customHeight="1">
      <c r="A390" s="11">
        <v>392.0</v>
      </c>
      <c r="B390" s="11" t="s">
        <v>173</v>
      </c>
      <c r="C390" s="93" t="s">
        <v>1627</v>
      </c>
      <c r="D390" s="11" t="s">
        <v>1626</v>
      </c>
      <c r="E390" s="12"/>
      <c r="F390" s="12"/>
      <c r="G390" s="12"/>
      <c r="H390" s="12"/>
      <c r="I390" s="12" t="s">
        <v>2261</v>
      </c>
      <c r="J390" s="216">
        <v>10.0</v>
      </c>
      <c r="K390" s="215" t="s">
        <v>1628</v>
      </c>
      <c r="L390" s="216">
        <v>10.0</v>
      </c>
      <c r="M390" s="216">
        <v>20.0</v>
      </c>
      <c r="N390" s="11">
        <f t="shared" si="21"/>
        <v>200</v>
      </c>
      <c r="O390" s="11" t="s">
        <v>178</v>
      </c>
      <c r="P390" s="93"/>
      <c r="Q390" s="93" t="s">
        <v>110</v>
      </c>
      <c r="R390" s="93" t="s">
        <v>1628</v>
      </c>
      <c r="S390" s="217" t="s">
        <v>1630</v>
      </c>
      <c r="T390" s="11" t="str">
        <f>IMAGE("https://m.media-amazon.com/images/W/MEDIAX_792452-T2/images/I/419leG1YjXL.jpg",1)</f>
        <v/>
      </c>
      <c r="U390" s="78" t="s">
        <v>1688</v>
      </c>
      <c r="V390" s="74"/>
      <c r="W390" s="75"/>
      <c r="X390" s="12"/>
      <c r="Y390" s="11"/>
      <c r="Z390" s="12">
        <v>1.0</v>
      </c>
      <c r="AA390" s="12"/>
      <c r="AB390" s="12"/>
    </row>
    <row r="391" ht="45.0" hidden="1" customHeight="1">
      <c r="A391" s="11">
        <v>393.0</v>
      </c>
      <c r="B391" s="11" t="s">
        <v>173</v>
      </c>
      <c r="C391" s="93" t="s">
        <v>1633</v>
      </c>
      <c r="D391" s="11" t="s">
        <v>1632</v>
      </c>
      <c r="E391" s="12"/>
      <c r="F391" s="12"/>
      <c r="G391" s="12"/>
      <c r="H391" s="12"/>
      <c r="I391" s="12" t="s">
        <v>2261</v>
      </c>
      <c r="J391" s="216">
        <v>10.0</v>
      </c>
      <c r="K391" s="215" t="s">
        <v>1628</v>
      </c>
      <c r="L391" s="216">
        <v>10.0</v>
      </c>
      <c r="M391" s="216">
        <v>100.0</v>
      </c>
      <c r="N391" s="11">
        <f t="shared" si="21"/>
        <v>1000</v>
      </c>
      <c r="O391" s="11" t="s">
        <v>178</v>
      </c>
      <c r="P391" s="93"/>
      <c r="Q391" s="93" t="s">
        <v>110</v>
      </c>
      <c r="R391" s="93" t="s">
        <v>1628</v>
      </c>
      <c r="S391" s="217" t="s">
        <v>1634</v>
      </c>
      <c r="T391" s="11" t="str">
        <f>IMAGE("https://i0.wp.com/armsol.in/wp-content/uploads/2021/08/1-5-rotated.jpg?fit=600%2C600&amp;ssl=1",1)</f>
        <v/>
      </c>
      <c r="U391" s="78" t="s">
        <v>1688</v>
      </c>
      <c r="V391" s="74"/>
      <c r="W391" s="75"/>
      <c r="X391" s="12"/>
      <c r="Y391" s="11"/>
      <c r="Z391" s="12">
        <v>1.0</v>
      </c>
      <c r="AA391" s="12"/>
      <c r="AB391" s="12"/>
    </row>
    <row r="392" ht="45.0" hidden="1" customHeight="1">
      <c r="A392" s="11">
        <v>394.0</v>
      </c>
      <c r="B392" s="11" t="s">
        <v>173</v>
      </c>
      <c r="C392" s="93" t="s">
        <v>1988</v>
      </c>
      <c r="D392" s="11" t="s">
        <v>1636</v>
      </c>
      <c r="E392" s="12"/>
      <c r="F392" s="12"/>
      <c r="G392" s="12"/>
      <c r="H392" s="12"/>
      <c r="I392" s="12" t="s">
        <v>2261</v>
      </c>
      <c r="J392" s="216">
        <v>30.0</v>
      </c>
      <c r="K392" s="215" t="s">
        <v>1628</v>
      </c>
      <c r="L392" s="216">
        <v>30.0</v>
      </c>
      <c r="M392" s="216">
        <v>20.0</v>
      </c>
      <c r="N392" s="11">
        <f t="shared" si="21"/>
        <v>600</v>
      </c>
      <c r="O392" s="11" t="s">
        <v>178</v>
      </c>
      <c r="P392" s="93"/>
      <c r="Q392" s="93" t="s">
        <v>179</v>
      </c>
      <c r="R392" s="93" t="s">
        <v>1628</v>
      </c>
      <c r="S392" s="217" t="s">
        <v>1639</v>
      </c>
      <c r="T392" s="11" t="str">
        <f>IMAGE("https://www.voltaat.com/cdn/shop/products/voltaat-soldering-board-5cm-x-7cm-10728457568358_1024x1024.jpg?v=1628445244")</f>
        <v/>
      </c>
      <c r="U392" s="78" t="s">
        <v>1688</v>
      </c>
      <c r="V392" s="74"/>
      <c r="W392" s="75"/>
      <c r="X392" s="12"/>
      <c r="Y392" s="11"/>
      <c r="Z392" s="12">
        <v>1.0</v>
      </c>
      <c r="AA392" s="12"/>
      <c r="AB392" s="12"/>
    </row>
    <row r="393" ht="45.0" hidden="1" customHeight="1">
      <c r="A393" s="11">
        <v>395.0</v>
      </c>
      <c r="B393" s="11" t="s">
        <v>173</v>
      </c>
      <c r="C393" s="93" t="s">
        <v>1989</v>
      </c>
      <c r="D393" s="11" t="s">
        <v>1641</v>
      </c>
      <c r="E393" s="12"/>
      <c r="F393" s="12"/>
      <c r="G393" s="12"/>
      <c r="H393" s="12"/>
      <c r="I393" s="12" t="s">
        <v>2261</v>
      </c>
      <c r="J393" s="216">
        <v>10.0</v>
      </c>
      <c r="K393" s="215" t="s">
        <v>1628</v>
      </c>
      <c r="L393" s="216">
        <v>10.0</v>
      </c>
      <c r="M393" s="216">
        <v>30.0</v>
      </c>
      <c r="N393" s="11">
        <f t="shared" si="21"/>
        <v>300</v>
      </c>
      <c r="O393" s="11" t="s">
        <v>178</v>
      </c>
      <c r="P393" s="93"/>
      <c r="Q393" s="93" t="s">
        <v>179</v>
      </c>
      <c r="R393" s="93" t="s">
        <v>1628</v>
      </c>
      <c r="S393" s="217" t="s">
        <v>1643</v>
      </c>
      <c r="T393" s="11" t="str">
        <f>IMAGE("https://m.media-amazon.com/images/W/MEDIAX_792452-T2/images/I/91hMIBtDtPS._SL1500_.jpg")</f>
        <v/>
      </c>
      <c r="U393" s="78" t="s">
        <v>1688</v>
      </c>
      <c r="V393" s="74"/>
      <c r="W393" s="75"/>
      <c r="X393" s="12"/>
      <c r="Y393" s="11"/>
      <c r="Z393" s="12">
        <v>1.0</v>
      </c>
      <c r="AA393" s="12"/>
      <c r="AB393" s="12"/>
    </row>
    <row r="394" ht="45.0" customHeight="1">
      <c r="A394" s="11">
        <v>80.0</v>
      </c>
      <c r="B394" s="11" t="s">
        <v>342</v>
      </c>
      <c r="C394" s="93" t="s">
        <v>372</v>
      </c>
      <c r="D394" s="11" t="s">
        <v>371</v>
      </c>
      <c r="E394" s="12"/>
      <c r="F394" s="12"/>
      <c r="G394" s="12"/>
      <c r="H394" s="12"/>
      <c r="I394" s="12" t="s">
        <v>2053</v>
      </c>
      <c r="J394" s="216">
        <v>2.0</v>
      </c>
      <c r="K394" s="215" t="s">
        <v>346</v>
      </c>
      <c r="L394" s="216">
        <v>1.0</v>
      </c>
      <c r="M394" s="216">
        <v>150.0</v>
      </c>
      <c r="N394" s="11">
        <f t="shared" si="21"/>
        <v>300</v>
      </c>
      <c r="O394" s="11" t="s">
        <v>347</v>
      </c>
      <c r="P394" s="93"/>
      <c r="Q394" s="93"/>
      <c r="R394" s="215" t="s">
        <v>346</v>
      </c>
      <c r="S394" s="217"/>
      <c r="T394" s="11" t="str">
        <f>IMAGE("https://5.imimg.com/data5/JR/LF/GK/SELLER-30390418/hacksaw-500x500.png",1)</f>
        <v/>
      </c>
      <c r="U394" s="353" t="s">
        <v>1689</v>
      </c>
      <c r="V394" s="331"/>
      <c r="W394" s="75"/>
      <c r="X394" s="371"/>
      <c r="Y394" s="14"/>
      <c r="Z394" s="12">
        <v>3.0</v>
      </c>
      <c r="AA394" s="616"/>
      <c r="AB394" s="616"/>
    </row>
    <row r="395" ht="45.0" customHeight="1">
      <c r="A395" s="11">
        <v>81.0</v>
      </c>
      <c r="B395" s="11" t="s">
        <v>342</v>
      </c>
      <c r="C395" s="93" t="s">
        <v>375</v>
      </c>
      <c r="D395" s="11" t="s">
        <v>374</v>
      </c>
      <c r="E395" s="12"/>
      <c r="F395" s="12"/>
      <c r="G395" s="12"/>
      <c r="H395" s="12"/>
      <c r="I395" s="12" t="s">
        <v>2053</v>
      </c>
      <c r="J395" s="216">
        <v>5.0</v>
      </c>
      <c r="K395" s="215" t="s">
        <v>346</v>
      </c>
      <c r="L395" s="216">
        <v>5.0</v>
      </c>
      <c r="M395" s="216">
        <v>170.0</v>
      </c>
      <c r="N395" s="11">
        <f t="shared" si="21"/>
        <v>850</v>
      </c>
      <c r="O395" s="11" t="s">
        <v>347</v>
      </c>
      <c r="P395" s="93"/>
      <c r="Q395" s="93"/>
      <c r="R395" s="215" t="s">
        <v>346</v>
      </c>
      <c r="S395" s="217" t="s">
        <v>376</v>
      </c>
      <c r="T395" s="11" t="str">
        <f>IMAGE("https://encrypted-tbn0.gstatic.com/images?q=tbn:ANd9GcRnlFGDkPLnXJSjTXFe7fzQ2kj51brspxAcjVtkmgU5NgUWN5-EbmbNTptE-Y3t4g8lr84&amp;usqp=CAU",1)</f>
        <v/>
      </c>
      <c r="U395" s="353" t="s">
        <v>1689</v>
      </c>
      <c r="V395" s="331" t="s">
        <v>1694</v>
      </c>
      <c r="W395" s="75"/>
      <c r="X395" s="371"/>
      <c r="Y395" s="14"/>
      <c r="Z395" s="12">
        <v>3.0</v>
      </c>
      <c r="AA395" s="616"/>
      <c r="AB395" s="616"/>
    </row>
    <row r="396" ht="45.0" customHeight="1">
      <c r="A396" s="11">
        <v>275.0</v>
      </c>
      <c r="B396" s="11" t="s">
        <v>342</v>
      </c>
      <c r="C396" s="93" t="s">
        <v>1151</v>
      </c>
      <c r="D396" s="11" t="s">
        <v>1150</v>
      </c>
      <c r="E396" s="12"/>
      <c r="F396" s="12"/>
      <c r="G396" s="12"/>
      <c r="H396" s="12"/>
      <c r="I396" s="12" t="s">
        <v>2109</v>
      </c>
      <c r="J396" s="216">
        <v>10.0</v>
      </c>
      <c r="K396" s="215" t="s">
        <v>1032</v>
      </c>
      <c r="L396" s="216">
        <v>10.0</v>
      </c>
      <c r="M396" s="216">
        <v>100.0</v>
      </c>
      <c r="N396" s="11">
        <f t="shared" si="21"/>
        <v>1000</v>
      </c>
      <c r="O396" s="11" t="s">
        <v>347</v>
      </c>
      <c r="P396" s="93" t="s">
        <v>21</v>
      </c>
      <c r="Q396" s="93"/>
      <c r="R396" s="215" t="s">
        <v>1032</v>
      </c>
      <c r="S396" s="217"/>
      <c r="T396" s="11" t="str">
        <f>IMAGE("https://5.imimg.com/data5/SELLER/Default/2020/10/KC/AV/BY/25174136/150b-cutter-stripper-250x250.jpg",1)</f>
        <v/>
      </c>
      <c r="U396" s="353" t="s">
        <v>1689</v>
      </c>
      <c r="V396" s="331"/>
      <c r="W396" s="75"/>
      <c r="X396" s="253"/>
      <c r="Y396" s="11"/>
      <c r="Z396" s="12">
        <v>3.0</v>
      </c>
      <c r="AA396" s="616"/>
      <c r="AB396" s="616"/>
    </row>
    <row r="397" ht="45.0" hidden="1" customHeight="1">
      <c r="A397" s="11">
        <v>399.0</v>
      </c>
      <c r="B397" s="11" t="s">
        <v>173</v>
      </c>
      <c r="C397" s="93" t="s">
        <v>1658</v>
      </c>
      <c r="D397" s="11" t="s">
        <v>1657</v>
      </c>
      <c r="E397" s="12"/>
      <c r="F397" s="12"/>
      <c r="G397" s="12"/>
      <c r="H397" s="12"/>
      <c r="I397" s="12" t="s">
        <v>2261</v>
      </c>
      <c r="J397" s="216">
        <v>10.0</v>
      </c>
      <c r="K397" s="215" t="s">
        <v>1628</v>
      </c>
      <c r="L397" s="216">
        <v>10.0</v>
      </c>
      <c r="M397" s="216">
        <v>50.0</v>
      </c>
      <c r="N397" s="11">
        <f t="shared" si="21"/>
        <v>500</v>
      </c>
      <c r="O397" s="11" t="s">
        <v>178</v>
      </c>
      <c r="P397" s="93"/>
      <c r="Q397" s="93" t="s">
        <v>110</v>
      </c>
      <c r="R397" s="93" t="s">
        <v>1628</v>
      </c>
      <c r="S397" s="217" t="s">
        <v>1659</v>
      </c>
      <c r="T397" s="11" t="str">
        <f>IMAGE("https://m.media-amazon.com/images/W/MEDIAX_792452-T2/images/I/41OjS3jnL4L.jpg",1)</f>
        <v/>
      </c>
      <c r="U397" s="78" t="s">
        <v>1688</v>
      </c>
      <c r="V397" s="74"/>
      <c r="W397" s="75"/>
      <c r="X397" s="12"/>
      <c r="Y397" s="11"/>
      <c r="Z397" s="12">
        <v>1.0</v>
      </c>
      <c r="AA397" s="12"/>
      <c r="AB397" s="12"/>
    </row>
    <row r="398" ht="45.0" customHeight="1">
      <c r="A398" s="222">
        <v>253.0</v>
      </c>
      <c r="B398" s="222" t="s">
        <v>342</v>
      </c>
      <c r="C398" s="232" t="s">
        <v>1071</v>
      </c>
      <c r="D398" s="222" t="s">
        <v>1070</v>
      </c>
      <c r="E398" s="299"/>
      <c r="F398" s="299"/>
      <c r="G398" s="299"/>
      <c r="H398" s="299"/>
      <c r="I398" s="299" t="s">
        <v>2209</v>
      </c>
      <c r="J398" s="234">
        <v>10.0</v>
      </c>
      <c r="K398" s="233" t="s">
        <v>1032</v>
      </c>
      <c r="L398" s="234">
        <v>10.0</v>
      </c>
      <c r="M398" s="234">
        <v>200.0</v>
      </c>
      <c r="N398" s="222">
        <f t="shared" si="21"/>
        <v>2000</v>
      </c>
      <c r="O398" s="222" t="s">
        <v>347</v>
      </c>
      <c r="P398" s="232" t="s">
        <v>47</v>
      </c>
      <c r="Q398" s="341" t="s">
        <v>65</v>
      </c>
      <c r="R398" s="233" t="s">
        <v>1032</v>
      </c>
      <c r="S398" s="235" t="s">
        <v>1072</v>
      </c>
      <c r="T398" s="222" t="str">
        <f>IMAGE("https://cdn.shopify.com/s/files/1/0064/3412/7939/products/71vpWrfPgFL._SL1000_9c7ae600-0e17-44f0-97b0-7a8fa32a55cc_2048x.jpg?v=1540199513",1)</f>
        <v/>
      </c>
      <c r="U398" s="644"/>
      <c r="V398" s="359"/>
      <c r="W398" s="336"/>
      <c r="X398" s="360"/>
      <c r="Y398" s="222"/>
      <c r="Z398" s="299">
        <v>3.0</v>
      </c>
      <c r="AA398" s="646" t="s">
        <v>2430</v>
      </c>
      <c r="AB398" s="646">
        <v>1.0</v>
      </c>
    </row>
    <row r="399" ht="45.0" hidden="1" customHeight="1">
      <c r="A399" s="11">
        <v>401.0</v>
      </c>
      <c r="B399" s="11" t="s">
        <v>173</v>
      </c>
      <c r="C399" s="93" t="s">
        <v>1666</v>
      </c>
      <c r="D399" s="11" t="s">
        <v>1665</v>
      </c>
      <c r="E399" s="12"/>
      <c r="F399" s="12"/>
      <c r="G399" s="12"/>
      <c r="H399" s="12"/>
      <c r="I399" s="12" t="s">
        <v>2261</v>
      </c>
      <c r="J399" s="216">
        <v>10.0</v>
      </c>
      <c r="K399" s="215" t="s">
        <v>1628</v>
      </c>
      <c r="L399" s="216">
        <v>10.0</v>
      </c>
      <c r="M399" s="216">
        <v>300.0</v>
      </c>
      <c r="N399" s="11">
        <f t="shared" si="21"/>
        <v>3000</v>
      </c>
      <c r="O399" s="11" t="s">
        <v>178</v>
      </c>
      <c r="P399" s="93"/>
      <c r="Q399" s="93" t="s">
        <v>110</v>
      </c>
      <c r="R399" s="93" t="s">
        <v>1628</v>
      </c>
      <c r="S399" s="217" t="s">
        <v>1667</v>
      </c>
      <c r="T399" s="11" t="str">
        <f>IMAGE("https://robu.in/wp-content/uploads/2015/10/Soldron-25-Watt-Iron-Soldering-Gun-5.jpg")</f>
        <v/>
      </c>
      <c r="U399" s="78" t="s">
        <v>1725</v>
      </c>
      <c r="V399" s="74"/>
      <c r="W399" s="75"/>
      <c r="X399" s="12"/>
      <c r="Y399" s="11"/>
      <c r="Z399" s="12">
        <v>1.0</v>
      </c>
      <c r="AA399" s="12"/>
      <c r="AB399" s="12"/>
    </row>
    <row r="400" ht="45.0" customHeight="1">
      <c r="A400" s="11">
        <v>274.0</v>
      </c>
      <c r="B400" s="11" t="s">
        <v>342</v>
      </c>
      <c r="C400" s="93" t="s">
        <v>1148</v>
      </c>
      <c r="D400" s="11" t="s">
        <v>1147</v>
      </c>
      <c r="E400" s="12"/>
      <c r="F400" s="12"/>
      <c r="G400" s="12"/>
      <c r="H400" s="12"/>
      <c r="I400" s="12" t="s">
        <v>2108</v>
      </c>
      <c r="J400" s="216">
        <v>2.0</v>
      </c>
      <c r="K400" s="215" t="s">
        <v>1032</v>
      </c>
      <c r="L400" s="216">
        <v>2.0</v>
      </c>
      <c r="M400" s="216">
        <v>250.0</v>
      </c>
      <c r="N400" s="11">
        <f t="shared" si="21"/>
        <v>500</v>
      </c>
      <c r="O400" s="11" t="s">
        <v>347</v>
      </c>
      <c r="P400" s="93"/>
      <c r="Q400" s="93" t="s">
        <v>2456</v>
      </c>
      <c r="R400" s="215" t="s">
        <v>1032</v>
      </c>
      <c r="S400" s="217"/>
      <c r="T400" s="11"/>
      <c r="U400" s="353"/>
      <c r="V400" s="331"/>
      <c r="W400" s="75"/>
      <c r="X400" s="253"/>
      <c r="Y400" s="11"/>
      <c r="Z400" s="12">
        <v>3.0</v>
      </c>
      <c r="AA400" s="616" t="s">
        <v>2430</v>
      </c>
      <c r="AB400" s="616">
        <v>1.0</v>
      </c>
    </row>
    <row r="401" ht="45.0" hidden="1" customHeight="1">
      <c r="A401" s="11">
        <v>403.0</v>
      </c>
      <c r="B401" s="11" t="s">
        <v>173</v>
      </c>
      <c r="C401" s="93" t="s">
        <v>1674</v>
      </c>
      <c r="D401" s="11" t="s">
        <v>1673</v>
      </c>
      <c r="E401" s="12"/>
      <c r="F401" s="12"/>
      <c r="G401" s="12"/>
      <c r="H401" s="12"/>
      <c r="I401" s="12" t="s">
        <v>2261</v>
      </c>
      <c r="J401" s="216">
        <v>10.0</v>
      </c>
      <c r="K401" s="215" t="s">
        <v>1628</v>
      </c>
      <c r="L401" s="216">
        <v>10.0</v>
      </c>
      <c r="M401" s="216">
        <v>65.0</v>
      </c>
      <c r="N401" s="11">
        <f t="shared" si="21"/>
        <v>650</v>
      </c>
      <c r="O401" s="11" t="s">
        <v>178</v>
      </c>
      <c r="P401" s="93"/>
      <c r="Q401" s="93" t="s">
        <v>110</v>
      </c>
      <c r="R401" s="93" t="s">
        <v>1628</v>
      </c>
      <c r="S401" s="217" t="s">
        <v>1675</v>
      </c>
      <c r="T401" s="11" t="str">
        <f>IMAGE("https://m.media-amazon.com/images/W/MEDIAX_792452-T2/images/I/511g3IePVzL.jpg",1)</f>
        <v/>
      </c>
      <c r="U401" s="78" t="s">
        <v>1725</v>
      </c>
      <c r="V401" s="74"/>
      <c r="W401" s="75"/>
      <c r="X401" s="12"/>
      <c r="Y401" s="11"/>
      <c r="Z401" s="12">
        <v>1.0</v>
      </c>
      <c r="AA401" s="12"/>
      <c r="AB401" s="12"/>
    </row>
    <row r="402" ht="45.0" hidden="1" customHeight="1">
      <c r="A402" s="11">
        <v>404.0</v>
      </c>
      <c r="B402" s="11" t="s">
        <v>173</v>
      </c>
      <c r="C402" s="93" t="s">
        <v>1678</v>
      </c>
      <c r="D402" s="11" t="s">
        <v>1677</v>
      </c>
      <c r="E402" s="12"/>
      <c r="F402" s="12"/>
      <c r="G402" s="12"/>
      <c r="H402" s="12"/>
      <c r="I402" s="12" t="s">
        <v>2261</v>
      </c>
      <c r="J402" s="216">
        <v>10.0</v>
      </c>
      <c r="K402" s="215" t="s">
        <v>1628</v>
      </c>
      <c r="L402" s="216">
        <v>10.0</v>
      </c>
      <c r="M402" s="216">
        <v>100.0</v>
      </c>
      <c r="N402" s="11">
        <f t="shared" si="21"/>
        <v>1000</v>
      </c>
      <c r="O402" s="11" t="s">
        <v>178</v>
      </c>
      <c r="P402" s="93"/>
      <c r="Q402" s="93" t="s">
        <v>110</v>
      </c>
      <c r="R402" s="93" t="s">
        <v>1628</v>
      </c>
      <c r="S402" s="217" t="s">
        <v>1679</v>
      </c>
      <c r="T402" s="11" t="str">
        <f>IMAGE("https://5.imimg.com/data5/FT/MG/MY-9316309/soldering-wire-500x500.jpg",1)</f>
        <v/>
      </c>
      <c r="U402" s="78" t="s">
        <v>1688</v>
      </c>
      <c r="V402" s="79"/>
      <c r="W402" s="80"/>
      <c r="X402" s="12"/>
      <c r="Y402" s="11"/>
      <c r="Z402" s="12">
        <v>1.0</v>
      </c>
      <c r="AA402" s="12"/>
      <c r="AB402" s="12"/>
    </row>
    <row r="403" ht="45.0" customHeight="1">
      <c r="A403" s="222">
        <v>209.0</v>
      </c>
      <c r="B403" s="222" t="s">
        <v>173</v>
      </c>
      <c r="C403" s="232" t="s">
        <v>899</v>
      </c>
      <c r="D403" s="222" t="s">
        <v>898</v>
      </c>
      <c r="E403" s="299"/>
      <c r="F403" s="299"/>
      <c r="G403" s="299"/>
      <c r="H403" s="299"/>
      <c r="I403" s="299"/>
      <c r="J403" s="222">
        <v>1.0</v>
      </c>
      <c r="K403" s="233" t="s">
        <v>891</v>
      </c>
      <c r="L403" s="222" t="s">
        <v>56</v>
      </c>
      <c r="M403" s="222">
        <v>75.0</v>
      </c>
      <c r="N403" s="222">
        <f t="shared" si="21"/>
        <v>75</v>
      </c>
      <c r="O403" s="222" t="s">
        <v>178</v>
      </c>
      <c r="P403" s="232"/>
      <c r="Q403" s="232" t="s">
        <v>599</v>
      </c>
      <c r="R403" s="232" t="s">
        <v>1947</v>
      </c>
      <c r="S403" s="235" t="s">
        <v>900</v>
      </c>
      <c r="T403" s="222" t="str">
        <f>IMAGE("https://robu.in/wp-content/uploads/2021/05/DC-DC-Boost-Module-0.9V5V-to-5V-600MA-USB-Step-up-Board-5V-Output-1.png",1)</f>
        <v/>
      </c>
      <c r="U403" s="334"/>
      <c r="V403" s="335"/>
      <c r="W403" s="336"/>
      <c r="X403" s="299"/>
      <c r="Y403" s="222"/>
      <c r="Z403" s="299">
        <v>2.0</v>
      </c>
      <c r="AA403" s="616" t="s">
        <v>2430</v>
      </c>
      <c r="AB403" s="616">
        <v>1.0</v>
      </c>
    </row>
    <row r="404" ht="45.0" hidden="1" customHeight="1">
      <c r="A404" s="11">
        <v>406.0</v>
      </c>
      <c r="B404" s="11"/>
      <c r="C404" s="93" t="s">
        <v>1993</v>
      </c>
      <c r="D404" s="259" t="s">
        <v>1992</v>
      </c>
      <c r="E404" s="620"/>
      <c r="F404" s="620"/>
      <c r="G404" s="620"/>
      <c r="H404" s="620"/>
      <c r="I404" s="12" t="s">
        <v>2366</v>
      </c>
      <c r="J404" s="216">
        <v>1.0</v>
      </c>
      <c r="K404" s="215" t="s">
        <v>465</v>
      </c>
      <c r="L404" s="216"/>
      <c r="M404" s="216"/>
      <c r="N404" s="11"/>
      <c r="O404" s="11" t="s">
        <v>466</v>
      </c>
      <c r="P404" s="93"/>
      <c r="Q404" s="123"/>
      <c r="R404" s="93" t="s">
        <v>1991</v>
      </c>
      <c r="S404" s="217"/>
      <c r="T404" s="11"/>
      <c r="U404" s="73"/>
      <c r="V404" s="74"/>
      <c r="W404" s="75"/>
      <c r="X404" s="12"/>
      <c r="Y404" s="11"/>
      <c r="Z404" s="12">
        <v>1.0</v>
      </c>
      <c r="AA404" s="12"/>
      <c r="AB404" s="12"/>
    </row>
    <row r="405" ht="45.0" customHeight="1">
      <c r="A405" s="222">
        <v>218.0</v>
      </c>
      <c r="B405" s="222" t="s">
        <v>173</v>
      </c>
      <c r="C405" s="232" t="s">
        <v>934</v>
      </c>
      <c r="D405" s="222" t="s">
        <v>933</v>
      </c>
      <c r="E405" s="299"/>
      <c r="F405" s="299"/>
      <c r="G405" s="299"/>
      <c r="H405" s="299"/>
      <c r="I405" s="299"/>
      <c r="J405" s="222">
        <v>15.0</v>
      </c>
      <c r="K405" s="233" t="s">
        <v>891</v>
      </c>
      <c r="L405" s="222">
        <v>15.0</v>
      </c>
      <c r="M405" s="222">
        <v>21.0</v>
      </c>
      <c r="N405" s="222">
        <f>M405*J405</f>
        <v>315</v>
      </c>
      <c r="O405" s="222" t="s">
        <v>178</v>
      </c>
      <c r="P405" s="232"/>
      <c r="Q405" s="232" t="s">
        <v>935</v>
      </c>
      <c r="R405" s="232" t="s">
        <v>1909</v>
      </c>
      <c r="S405" s="235" t="s">
        <v>937</v>
      </c>
      <c r="T405" s="222" t="str">
        <f>IMAGE("https://robu.in/wp-content/uploads/2020/10/TP4056-1A-Li-ion-lithium-Battery-Charging-Module-With-Current-Protection-Type-C-2.png",1)</f>
        <v/>
      </c>
      <c r="U405" s="334"/>
      <c r="V405" s="335"/>
      <c r="W405" s="336"/>
      <c r="X405" s="299"/>
      <c r="Y405" s="222"/>
      <c r="Z405" s="299">
        <v>2.0</v>
      </c>
      <c r="AA405" s="616" t="s">
        <v>2430</v>
      </c>
      <c r="AB405" s="616">
        <v>1.0</v>
      </c>
    </row>
  </sheetData>
  <autoFilter ref="$A$1:$Z$405">
    <filterColumn colId="25">
      <filters>
        <filter val="2"/>
        <filter val="3"/>
        <filter val="4"/>
      </filters>
    </filterColumn>
    <sortState ref="A1:Z405">
      <sortCondition ref="I1:I405"/>
    </sortState>
  </autoFilter>
  <conditionalFormatting sqref="A2:H2 K2 B92">
    <cfRule type="containsBlanks" dxfId="0" priority="1">
      <formula>LEN(TRIM(A2))=0</formula>
    </cfRule>
  </conditionalFormatting>
  <conditionalFormatting sqref="Z1:Z405 I274:I276 I295 I318:I319 I321 I355:I357">
    <cfRule type="cellIs" dxfId="3" priority="2" operator="equal">
      <formula>1</formula>
    </cfRule>
  </conditionalFormatting>
  <conditionalFormatting sqref="Z1:Z398 I274:I276 I295 I318:I319 I321 I355:I357">
    <cfRule type="cellIs" dxfId="8" priority="3" operator="equal">
      <formula>2</formula>
    </cfRule>
  </conditionalFormatting>
  <conditionalFormatting sqref="Z1:Z405 I274:I276 I295 I318:I319 I321 I355:I357">
    <cfRule type="cellIs" dxfId="9" priority="4" operator="equal">
      <formula>3</formula>
    </cfRule>
  </conditionalFormatting>
  <conditionalFormatting sqref="Z1:Z405 I274:I276 I295 I318:I319 I321 I355:I357">
    <cfRule type="cellIs" dxfId="5" priority="5" operator="equal">
      <formula>4</formula>
    </cfRule>
  </conditionalFormatting>
  <conditionalFormatting sqref="Y1:Y405">
    <cfRule type="cellIs" dxfId="3" priority="6" operator="equal">
      <formula>1</formula>
    </cfRule>
  </conditionalFormatting>
  <conditionalFormatting sqref="I1:I405">
    <cfRule type="notContainsBlanks" dxfId="10" priority="7">
      <formula>LEN(TRIM(I1))&gt;0</formula>
    </cfRule>
  </conditionalFormatting>
  <conditionalFormatting sqref="AA1:AB405">
    <cfRule type="notContainsBlanks" dxfId="3" priority="8">
      <formula>LEN(TRIM(AA1))&gt;0</formula>
    </cfRule>
  </conditionalFormatting>
  <dataValidations>
    <dataValidation type="list" allowBlank="1" showErrorMessage="1" sqref="O1:O100 O102:O405">
      <formula1>Sheet1!$C$1:$C$8</formula1>
    </dataValidation>
    <dataValidation type="list" allowBlank="1" showErrorMessage="1" sqref="R3 R13 R15:R17 R20:R21 R25:R26 R28:R29 R31:R34 R36 R73:R75 R82 R123:R128 R140 R144 R204 R224:R227 R241 R248:R249 R252 R256:R260 R264 R279 R281 R284:R285 R295 R299 R310 R313:R314 R324:R331 R333 R341 R388:R393 R397 R399 R401:R402 K1:K405">
      <formula1>Sheet1!$A$1:$A$24</formula1>
    </dataValidation>
  </dataValidations>
  <printOptions gridLines="1"/>
  <pageMargins bottom="0.75" footer="0.0" header="0.0" left="0.25" right="0.25" top="0.75"/>
  <pageSetup fitToHeight="0"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7" width="9.86"/>
    <col customWidth="1" min="8" max="8" width="8.0"/>
    <col customWidth="1" min="9" max="10" width="9.86"/>
  </cols>
  <sheetData>
    <row r="1">
      <c r="A1" s="647" t="s">
        <v>2457</v>
      </c>
      <c r="B1" s="647" t="s">
        <v>2458</v>
      </c>
      <c r="C1" s="647" t="s">
        <v>2459</v>
      </c>
      <c r="D1" s="647" t="s">
        <v>2460</v>
      </c>
      <c r="E1" s="647" t="s">
        <v>2461</v>
      </c>
      <c r="F1" s="647" t="s">
        <v>2462</v>
      </c>
      <c r="G1" s="647" t="s">
        <v>2463</v>
      </c>
      <c r="H1" s="647" t="s">
        <v>2464</v>
      </c>
      <c r="I1" s="647" t="s">
        <v>2465</v>
      </c>
      <c r="J1" s="647" t="s">
        <v>2466</v>
      </c>
    </row>
    <row r="2">
      <c r="A2" s="648" t="s">
        <v>2467</v>
      </c>
      <c r="B2" s="649">
        <v>23.0</v>
      </c>
      <c r="C2" s="416">
        <v>14.0</v>
      </c>
      <c r="D2" s="251"/>
      <c r="E2" s="251">
        <v>1.0</v>
      </c>
      <c r="F2" s="251">
        <v>2.0</v>
      </c>
      <c r="G2" s="251">
        <v>2.0</v>
      </c>
      <c r="H2" s="251"/>
      <c r="I2" s="650">
        <f t="shared" ref="I2:I10" si="1">B2-J2</f>
        <v>19</v>
      </c>
      <c r="J2" s="650">
        <f t="shared" ref="J2:J10" si="2">B2- sum(C2:H2)</f>
        <v>4</v>
      </c>
    </row>
    <row r="3">
      <c r="A3" s="648" t="s">
        <v>2468</v>
      </c>
      <c r="B3" s="649">
        <v>23.0</v>
      </c>
      <c r="C3" s="421">
        <v>12.0</v>
      </c>
      <c r="D3" s="251">
        <v>1.0</v>
      </c>
      <c r="E3" s="251"/>
      <c r="F3" s="251">
        <v>5.0</v>
      </c>
      <c r="G3" s="251"/>
      <c r="H3" s="251"/>
      <c r="I3" s="650">
        <f t="shared" si="1"/>
        <v>18</v>
      </c>
      <c r="J3" s="650">
        <f t="shared" si="2"/>
        <v>5</v>
      </c>
    </row>
    <row r="4">
      <c r="A4" s="648" t="s">
        <v>2469</v>
      </c>
      <c r="B4" s="649">
        <v>24.0</v>
      </c>
      <c r="C4" s="416">
        <v>11.0</v>
      </c>
      <c r="D4" s="251">
        <v>1.0</v>
      </c>
      <c r="E4" s="251">
        <v>1.0</v>
      </c>
      <c r="F4" s="251">
        <v>6.0</v>
      </c>
      <c r="G4" s="251">
        <v>2.0</v>
      </c>
      <c r="H4" s="251"/>
      <c r="I4" s="650">
        <f t="shared" si="1"/>
        <v>21</v>
      </c>
      <c r="J4" s="650">
        <f t="shared" si="2"/>
        <v>3</v>
      </c>
    </row>
    <row r="5">
      <c r="A5" s="648" t="s">
        <v>2470</v>
      </c>
      <c r="B5" s="649">
        <v>11.0</v>
      </c>
      <c r="C5" s="416">
        <v>3.0</v>
      </c>
      <c r="D5" s="251">
        <v>1.0</v>
      </c>
      <c r="E5" s="251"/>
      <c r="F5" s="251">
        <v>2.0</v>
      </c>
      <c r="G5" s="251">
        <v>4.0</v>
      </c>
      <c r="H5" s="251"/>
      <c r="I5" s="650">
        <f t="shared" si="1"/>
        <v>10</v>
      </c>
      <c r="J5" s="650">
        <f t="shared" si="2"/>
        <v>1</v>
      </c>
    </row>
    <row r="6">
      <c r="A6" s="651" t="s">
        <v>1902</v>
      </c>
      <c r="B6" s="650">
        <v>6.0</v>
      </c>
      <c r="C6" s="251"/>
      <c r="D6" s="251">
        <v>1.0</v>
      </c>
      <c r="E6" s="251"/>
      <c r="F6" s="251">
        <v>3.0</v>
      </c>
      <c r="G6" s="652">
        <v>1.0</v>
      </c>
      <c r="H6" s="251"/>
      <c r="I6" s="650">
        <f t="shared" si="1"/>
        <v>5</v>
      </c>
      <c r="J6" s="650">
        <f t="shared" si="2"/>
        <v>1</v>
      </c>
    </row>
    <row r="7">
      <c r="A7" s="651" t="s">
        <v>2471</v>
      </c>
      <c r="B7" s="650">
        <v>1.0</v>
      </c>
      <c r="C7" s="251"/>
      <c r="D7" s="251"/>
      <c r="E7" s="251">
        <v>1.0</v>
      </c>
      <c r="F7" s="251"/>
      <c r="G7" s="251"/>
      <c r="H7" s="251"/>
      <c r="I7" s="650">
        <f t="shared" si="1"/>
        <v>1</v>
      </c>
      <c r="J7" s="650">
        <f t="shared" si="2"/>
        <v>0</v>
      </c>
    </row>
    <row r="8">
      <c r="A8" s="651" t="s">
        <v>1960</v>
      </c>
      <c r="B8" s="650">
        <v>5.0</v>
      </c>
      <c r="C8" s="251">
        <v>1.0</v>
      </c>
      <c r="D8" s="251">
        <v>1.0</v>
      </c>
      <c r="E8" s="251"/>
      <c r="F8" s="251"/>
      <c r="G8" s="251"/>
      <c r="H8" s="251"/>
      <c r="I8" s="650">
        <f t="shared" si="1"/>
        <v>2</v>
      </c>
      <c r="J8" s="650">
        <f t="shared" si="2"/>
        <v>3</v>
      </c>
    </row>
    <row r="9">
      <c r="A9" s="651" t="s">
        <v>2472</v>
      </c>
      <c r="B9" s="650">
        <v>2.0</v>
      </c>
      <c r="C9" s="251"/>
      <c r="D9" s="251"/>
      <c r="E9" s="251"/>
      <c r="F9" s="251"/>
      <c r="G9" s="251"/>
      <c r="H9" s="251"/>
      <c r="I9" s="650">
        <f t="shared" si="1"/>
        <v>0</v>
      </c>
      <c r="J9" s="650">
        <f t="shared" si="2"/>
        <v>2</v>
      </c>
    </row>
    <row r="10">
      <c r="A10" s="651" t="s">
        <v>2473</v>
      </c>
      <c r="B10" s="653">
        <v>6.0</v>
      </c>
      <c r="C10" s="251">
        <v>1.0</v>
      </c>
      <c r="D10" s="251"/>
      <c r="E10" s="251"/>
      <c r="F10" s="251"/>
      <c r="G10" s="652">
        <v>1.0</v>
      </c>
      <c r="H10" s="251">
        <v>4.0</v>
      </c>
      <c r="I10" s="650">
        <f t="shared" si="1"/>
        <v>6</v>
      </c>
      <c r="J10" s="650">
        <f t="shared" si="2"/>
        <v>0</v>
      </c>
    </row>
    <row r="13">
      <c r="J13" s="32">
        <f>SUM(J2:J10)</f>
        <v>19</v>
      </c>
    </row>
  </sheetData>
  <conditionalFormatting sqref="I2:J10">
    <cfRule type="cellIs" dxfId="14" priority="1" operator="lessThan">
      <formula>1</formula>
    </cfRule>
  </conditionalFormatting>
  <printOptions/>
  <pageMargins bottom="0.75" footer="0.0" header="0.0" left="0.25" right="0.25" top="0.75"/>
  <pageSetup paperSize="9" scale="150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8" width="22.14"/>
  </cols>
  <sheetData>
    <row r="1" ht="123.75" customHeight="1">
      <c r="A1" s="654" t="s">
        <v>1202</v>
      </c>
      <c r="B1" s="655"/>
      <c r="C1" s="655"/>
      <c r="D1" s="655"/>
      <c r="E1" s="655"/>
      <c r="F1" s="655"/>
      <c r="G1" s="655"/>
      <c r="H1" s="655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  <c r="Y1" s="656"/>
      <c r="Z1" s="656"/>
      <c r="AA1" s="656"/>
    </row>
    <row r="2">
      <c r="A2" s="251"/>
      <c r="B2" s="657" t="s">
        <v>2474</v>
      </c>
      <c r="C2" s="658" t="s">
        <v>2475</v>
      </c>
      <c r="D2" s="658" t="s">
        <v>2476</v>
      </c>
      <c r="E2" s="657" t="s">
        <v>2477</v>
      </c>
      <c r="F2" s="657" t="s">
        <v>2478</v>
      </c>
      <c r="G2" s="657" t="s">
        <v>2479</v>
      </c>
      <c r="H2" s="657" t="s">
        <v>2480</v>
      </c>
    </row>
    <row r="3" ht="15.75" customHeight="1">
      <c r="A3" s="647" t="s">
        <v>2459</v>
      </c>
      <c r="B3" s="251">
        <v>2.0</v>
      </c>
      <c r="C3" s="652">
        <v>4.0</v>
      </c>
      <c r="D3" s="652">
        <v>2.0</v>
      </c>
      <c r="E3" s="251">
        <v>3.0</v>
      </c>
      <c r="F3" s="251">
        <v>1.0</v>
      </c>
      <c r="G3" s="251">
        <v>0.0</v>
      </c>
      <c r="H3" s="251">
        <v>1.0</v>
      </c>
    </row>
    <row r="4">
      <c r="A4" s="647" t="s">
        <v>2460</v>
      </c>
      <c r="B4" s="251">
        <v>0.0</v>
      </c>
      <c r="C4" s="251">
        <v>0.0</v>
      </c>
      <c r="D4" s="652">
        <v>0.0</v>
      </c>
      <c r="E4" s="251">
        <v>0.0</v>
      </c>
      <c r="F4" s="251">
        <v>1.0</v>
      </c>
      <c r="G4" s="251">
        <v>2.0</v>
      </c>
      <c r="H4" s="251">
        <v>1.0</v>
      </c>
    </row>
    <row r="5">
      <c r="A5" s="647" t="s">
        <v>2463</v>
      </c>
      <c r="B5" s="251">
        <v>2.0</v>
      </c>
      <c r="C5" s="251">
        <v>4.0</v>
      </c>
      <c r="D5" s="652">
        <v>1.0</v>
      </c>
      <c r="E5" s="251">
        <v>2.0</v>
      </c>
      <c r="F5" s="251">
        <v>2.0</v>
      </c>
      <c r="G5" s="251">
        <v>0.0</v>
      </c>
      <c r="H5" s="251">
        <v>1.0</v>
      </c>
    </row>
    <row r="6">
      <c r="A6" s="647" t="s">
        <v>2481</v>
      </c>
      <c r="B6" s="251">
        <v>0.0</v>
      </c>
      <c r="C6" s="251">
        <v>0.0</v>
      </c>
      <c r="D6" s="652">
        <v>0.0</v>
      </c>
      <c r="E6" s="251">
        <v>2.0</v>
      </c>
      <c r="F6" s="251">
        <v>2.0</v>
      </c>
      <c r="G6" s="251">
        <v>0.0</v>
      </c>
      <c r="H6" s="251">
        <v>1.0</v>
      </c>
    </row>
    <row r="7">
      <c r="A7" s="647" t="s">
        <v>2482</v>
      </c>
      <c r="B7" s="251">
        <v>2.0</v>
      </c>
      <c r="C7" s="652">
        <v>8.0</v>
      </c>
      <c r="D7" s="652">
        <v>5.0</v>
      </c>
      <c r="E7" s="251">
        <v>3.0</v>
      </c>
      <c r="F7" s="251">
        <v>3.0</v>
      </c>
      <c r="G7" s="251">
        <v>4.0</v>
      </c>
      <c r="H7" s="251">
        <v>2.0</v>
      </c>
    </row>
    <row r="8">
      <c r="A8" s="647" t="s">
        <v>2483</v>
      </c>
      <c r="B8" s="251">
        <v>0.0</v>
      </c>
      <c r="C8" s="251">
        <v>0.0</v>
      </c>
      <c r="D8" s="652">
        <v>0.0</v>
      </c>
      <c r="E8" s="251">
        <v>4.0</v>
      </c>
      <c r="F8" s="251">
        <v>2.0</v>
      </c>
      <c r="G8" s="251">
        <v>0.0</v>
      </c>
      <c r="H8" s="251">
        <v>2.0</v>
      </c>
    </row>
    <row r="9">
      <c r="A9" s="647" t="s">
        <v>2484</v>
      </c>
      <c r="B9" s="251">
        <v>2.0</v>
      </c>
      <c r="C9" s="652">
        <v>0.0</v>
      </c>
      <c r="D9" s="652">
        <v>2.0</v>
      </c>
      <c r="E9" s="251">
        <v>6.0</v>
      </c>
      <c r="F9" s="251">
        <v>4.0</v>
      </c>
      <c r="G9" s="251">
        <v>2.0</v>
      </c>
      <c r="H9" s="251">
        <v>2.0</v>
      </c>
    </row>
    <row r="10">
      <c r="A10" s="659" t="s">
        <v>7</v>
      </c>
      <c r="B10" s="660">
        <f t="shared" ref="B10:H10" si="1">SUM(B3:B9)</f>
        <v>8</v>
      </c>
      <c r="C10" s="660">
        <f t="shared" si="1"/>
        <v>16</v>
      </c>
      <c r="D10" s="660">
        <f t="shared" si="1"/>
        <v>10</v>
      </c>
      <c r="E10" s="660">
        <f t="shared" si="1"/>
        <v>20</v>
      </c>
      <c r="F10" s="660">
        <f t="shared" si="1"/>
        <v>15</v>
      </c>
      <c r="G10" s="660">
        <f t="shared" si="1"/>
        <v>8</v>
      </c>
      <c r="H10" s="660">
        <f t="shared" si="1"/>
        <v>10</v>
      </c>
    </row>
    <row r="25">
      <c r="G25" s="552">
        <v>10.0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8.43"/>
    <col customWidth="1" min="3" max="3" width="29.86"/>
    <col customWidth="1" hidden="1" min="4" max="4" width="9.29"/>
    <col hidden="1" min="5" max="5" width="14.43"/>
  </cols>
  <sheetData>
    <row r="1" ht="45.0" customHeight="1">
      <c r="A1" s="210" t="s">
        <v>1</v>
      </c>
      <c r="B1" s="328" t="s">
        <v>1751</v>
      </c>
      <c r="C1" s="211" t="s">
        <v>2</v>
      </c>
      <c r="D1" s="615" t="s">
        <v>2428</v>
      </c>
    </row>
    <row r="2" ht="44.25" hidden="1" customHeight="1">
      <c r="A2" s="11" t="s">
        <v>17</v>
      </c>
      <c r="B2" s="12" t="s">
        <v>2429</v>
      </c>
      <c r="C2" s="93" t="s">
        <v>18</v>
      </c>
      <c r="D2" s="12"/>
    </row>
    <row r="3" ht="45.0" customHeight="1">
      <c r="A3" s="11" t="s">
        <v>26</v>
      </c>
      <c r="B3" s="11" t="s">
        <v>2007</v>
      </c>
      <c r="C3" s="93" t="s">
        <v>27</v>
      </c>
      <c r="D3" s="661">
        <v>2.0</v>
      </c>
    </row>
    <row r="4" ht="45.0" customHeight="1">
      <c r="A4" s="11" t="s">
        <v>26</v>
      </c>
      <c r="B4" s="11" t="s">
        <v>2007</v>
      </c>
      <c r="C4" s="93" t="s">
        <v>27</v>
      </c>
      <c r="D4" s="661">
        <v>2.0</v>
      </c>
    </row>
    <row r="5" ht="45.0" hidden="1" customHeight="1">
      <c r="A5" s="11" t="s">
        <v>30</v>
      </c>
      <c r="B5" s="11" t="s">
        <v>2431</v>
      </c>
      <c r="C5" s="93" t="s">
        <v>31</v>
      </c>
      <c r="D5" s="11"/>
    </row>
    <row r="6" ht="45.0" hidden="1" customHeight="1">
      <c r="A6" s="11" t="s">
        <v>34</v>
      </c>
      <c r="B6" s="11" t="s">
        <v>2429</v>
      </c>
      <c r="C6" s="93" t="s">
        <v>35</v>
      </c>
      <c r="D6" s="11"/>
    </row>
    <row r="7" ht="45.0" hidden="1" customHeight="1">
      <c r="A7" s="11" t="s">
        <v>37</v>
      </c>
      <c r="B7" s="11" t="s">
        <v>2431</v>
      </c>
      <c r="C7" s="93" t="s">
        <v>1886</v>
      </c>
      <c r="D7" s="11"/>
    </row>
    <row r="8" ht="45.0" hidden="1" customHeight="1">
      <c r="A8" s="11" t="s">
        <v>41</v>
      </c>
      <c r="B8" s="11" t="s">
        <v>2432</v>
      </c>
      <c r="C8" s="93" t="s">
        <v>42</v>
      </c>
      <c r="D8" s="11"/>
    </row>
    <row r="9" ht="45.0" hidden="1" customHeight="1">
      <c r="A9" s="11" t="s">
        <v>45</v>
      </c>
      <c r="B9" s="11" t="s">
        <v>2433</v>
      </c>
      <c r="C9" s="93" t="s">
        <v>46</v>
      </c>
      <c r="D9" s="11"/>
    </row>
    <row r="10" ht="45.0" hidden="1" customHeight="1">
      <c r="A10" s="11" t="s">
        <v>50</v>
      </c>
      <c r="B10" s="11" t="s">
        <v>2434</v>
      </c>
      <c r="C10" s="93" t="s">
        <v>51</v>
      </c>
      <c r="D10" s="11"/>
    </row>
    <row r="11" ht="45.0" hidden="1" customHeight="1">
      <c r="A11" s="11" t="s">
        <v>54</v>
      </c>
      <c r="B11" s="11" t="s">
        <v>2433</v>
      </c>
      <c r="C11" s="93" t="s">
        <v>1887</v>
      </c>
      <c r="D11" s="11"/>
    </row>
    <row r="12" ht="45.0" hidden="1" customHeight="1">
      <c r="A12" s="11" t="s">
        <v>58</v>
      </c>
      <c r="B12" s="11" t="s">
        <v>2433</v>
      </c>
      <c r="C12" s="93" t="s">
        <v>1888</v>
      </c>
      <c r="D12" s="11"/>
    </row>
    <row r="13" ht="45.0" hidden="1" customHeight="1">
      <c r="A13" s="11" t="s">
        <v>62</v>
      </c>
      <c r="B13" s="11" t="s">
        <v>2435</v>
      </c>
      <c r="C13" s="93" t="s">
        <v>1889</v>
      </c>
      <c r="D13" s="11"/>
    </row>
    <row r="14" ht="45.0" hidden="1" customHeight="1">
      <c r="A14" s="11" t="s">
        <v>75</v>
      </c>
      <c r="B14" s="11" t="s">
        <v>2015</v>
      </c>
      <c r="C14" s="93" t="s">
        <v>1891</v>
      </c>
      <c r="D14" s="11"/>
    </row>
    <row r="15" ht="45.0" hidden="1" customHeight="1">
      <c r="A15" s="11" t="s">
        <v>86</v>
      </c>
      <c r="B15" s="11" t="s">
        <v>2016</v>
      </c>
      <c r="C15" s="93" t="s">
        <v>1893</v>
      </c>
      <c r="D15" s="11"/>
    </row>
    <row r="16" ht="45.0" hidden="1" customHeight="1">
      <c r="A16" s="11" t="s">
        <v>90</v>
      </c>
      <c r="B16" s="11" t="s">
        <v>2016</v>
      </c>
      <c r="C16" s="93" t="s">
        <v>91</v>
      </c>
      <c r="D16" s="11"/>
    </row>
    <row r="17" ht="45.0" hidden="1" customHeight="1">
      <c r="A17" s="11" t="s">
        <v>94</v>
      </c>
      <c r="B17" s="11" t="s">
        <v>2016</v>
      </c>
      <c r="C17" s="93" t="s">
        <v>95</v>
      </c>
      <c r="D17" s="11"/>
    </row>
    <row r="18" ht="45.0" hidden="1" customHeight="1">
      <c r="A18" s="11" t="s">
        <v>97</v>
      </c>
      <c r="B18" s="11" t="s">
        <v>2016</v>
      </c>
      <c r="C18" s="93" t="s">
        <v>1894</v>
      </c>
      <c r="D18" s="11"/>
    </row>
    <row r="19" ht="45.0" hidden="1" customHeight="1">
      <c r="A19" s="11" t="s">
        <v>100</v>
      </c>
      <c r="B19" s="11" t="s">
        <v>2436</v>
      </c>
      <c r="C19" s="93" t="s">
        <v>101</v>
      </c>
      <c r="D19" s="11"/>
    </row>
    <row r="20" ht="45.0" hidden="1" customHeight="1">
      <c r="A20" s="11" t="s">
        <v>104</v>
      </c>
      <c r="B20" s="11" t="s">
        <v>2437</v>
      </c>
      <c r="C20" s="93" t="s">
        <v>105</v>
      </c>
      <c r="D20" s="11"/>
    </row>
    <row r="21" ht="45.0" hidden="1" customHeight="1">
      <c r="A21" s="11" t="s">
        <v>108</v>
      </c>
      <c r="B21" s="11" t="s">
        <v>2438</v>
      </c>
      <c r="C21" s="93" t="s">
        <v>1896</v>
      </c>
      <c r="D21" s="11"/>
    </row>
    <row r="22" ht="45.0" hidden="1" customHeight="1">
      <c r="A22" s="11" t="s">
        <v>114</v>
      </c>
      <c r="B22" s="11" t="s">
        <v>2439</v>
      </c>
      <c r="C22" s="93" t="s">
        <v>115</v>
      </c>
      <c r="D22" s="11"/>
    </row>
    <row r="23" ht="45.0" hidden="1" customHeight="1">
      <c r="A23" s="11" t="s">
        <v>118</v>
      </c>
      <c r="B23" s="11" t="s">
        <v>2021</v>
      </c>
      <c r="C23" s="93" t="s">
        <v>1897</v>
      </c>
      <c r="D23" s="11"/>
    </row>
    <row r="24" ht="45.0" hidden="1" customHeight="1">
      <c r="A24" s="11" t="s">
        <v>122</v>
      </c>
      <c r="B24" s="11" t="s">
        <v>2440</v>
      </c>
      <c r="C24" s="93" t="s">
        <v>123</v>
      </c>
      <c r="D24" s="11"/>
    </row>
    <row r="25" ht="45.0" hidden="1" customHeight="1">
      <c r="A25" s="11" t="s">
        <v>130</v>
      </c>
      <c r="B25" s="11" t="s">
        <v>2016</v>
      </c>
      <c r="C25" s="93" t="s">
        <v>131</v>
      </c>
      <c r="D25" s="11"/>
    </row>
    <row r="26" ht="45.0" hidden="1" customHeight="1">
      <c r="A26" s="11" t="s">
        <v>134</v>
      </c>
      <c r="B26" s="11" t="s">
        <v>2024</v>
      </c>
      <c r="C26" s="93" t="s">
        <v>135</v>
      </c>
      <c r="D26" s="11"/>
    </row>
    <row r="27" ht="45.0" customHeight="1">
      <c r="A27" s="11" t="s">
        <v>139</v>
      </c>
      <c r="B27" s="11" t="s">
        <v>2025</v>
      </c>
      <c r="C27" s="93" t="s">
        <v>140</v>
      </c>
      <c r="D27" s="661">
        <v>1.0</v>
      </c>
    </row>
    <row r="28" ht="45.0" hidden="1" customHeight="1">
      <c r="A28" s="11" t="s">
        <v>146</v>
      </c>
      <c r="B28" s="11" t="s">
        <v>2025</v>
      </c>
      <c r="C28" s="93" t="s">
        <v>147</v>
      </c>
      <c r="D28" s="11"/>
    </row>
    <row r="29" ht="45.0" customHeight="1">
      <c r="A29" s="11" t="s">
        <v>150</v>
      </c>
      <c r="B29" s="11" t="s">
        <v>2027</v>
      </c>
      <c r="C29" s="93" t="s">
        <v>151</v>
      </c>
      <c r="D29" s="661">
        <v>2.0</v>
      </c>
    </row>
    <row r="30" ht="45.0" customHeight="1">
      <c r="A30" s="11" t="s">
        <v>150</v>
      </c>
      <c r="B30" s="11" t="s">
        <v>2027</v>
      </c>
      <c r="C30" s="93" t="s">
        <v>151</v>
      </c>
      <c r="D30" s="661">
        <v>2.0</v>
      </c>
    </row>
    <row r="31" ht="45.0" customHeight="1">
      <c r="A31" s="11" t="s">
        <v>154</v>
      </c>
      <c r="B31" s="11" t="s">
        <v>2028</v>
      </c>
      <c r="C31" s="93" t="s">
        <v>155</v>
      </c>
      <c r="D31" s="661">
        <v>1.0</v>
      </c>
    </row>
    <row r="32" ht="45.0" customHeight="1">
      <c r="A32" s="11" t="s">
        <v>158</v>
      </c>
      <c r="B32" s="11" t="s">
        <v>2029</v>
      </c>
      <c r="C32" s="93" t="s">
        <v>159</v>
      </c>
      <c r="D32" s="661">
        <v>1.0</v>
      </c>
    </row>
    <row r="33" ht="45.0" customHeight="1">
      <c r="A33" s="11" t="s">
        <v>162</v>
      </c>
      <c r="B33" s="11" t="s">
        <v>2030</v>
      </c>
      <c r="C33" s="93" t="s">
        <v>163</v>
      </c>
      <c r="D33" s="661">
        <v>1.0</v>
      </c>
    </row>
    <row r="34" ht="45.0" customHeight="1">
      <c r="A34" s="11" t="s">
        <v>166</v>
      </c>
      <c r="B34" s="11" t="s">
        <v>2031</v>
      </c>
      <c r="C34" s="93" t="s">
        <v>167</v>
      </c>
      <c r="D34" s="661">
        <v>1.0</v>
      </c>
    </row>
    <row r="35" ht="45.0" hidden="1" customHeight="1">
      <c r="A35" s="11" t="s">
        <v>170</v>
      </c>
      <c r="B35" s="11" t="s">
        <v>2368</v>
      </c>
      <c r="C35" s="93" t="s">
        <v>171</v>
      </c>
      <c r="D35" s="11"/>
    </row>
    <row r="36" ht="45.0" hidden="1" customHeight="1">
      <c r="A36" s="11" t="s">
        <v>175</v>
      </c>
      <c r="B36" s="11" t="s">
        <v>2033</v>
      </c>
      <c r="C36" s="93" t="s">
        <v>176</v>
      </c>
      <c r="D36" s="11"/>
    </row>
    <row r="37" ht="45.0" hidden="1" customHeight="1">
      <c r="A37" s="11" t="s">
        <v>182</v>
      </c>
      <c r="B37" s="11" t="s">
        <v>2034</v>
      </c>
      <c r="C37" s="93" t="s">
        <v>1906</v>
      </c>
      <c r="D37" s="11"/>
    </row>
    <row r="38" ht="45.0" hidden="1" customHeight="1">
      <c r="A38" s="11" t="s">
        <v>187</v>
      </c>
      <c r="B38" s="11" t="s">
        <v>2035</v>
      </c>
      <c r="C38" s="93" t="s">
        <v>1908</v>
      </c>
      <c r="D38" s="11"/>
    </row>
    <row r="39" ht="45.0" hidden="1" customHeight="1">
      <c r="A39" s="11" t="s">
        <v>191</v>
      </c>
      <c r="B39" s="11" t="s">
        <v>2441</v>
      </c>
      <c r="C39" s="93" t="s">
        <v>1910</v>
      </c>
      <c r="D39" s="11"/>
    </row>
    <row r="40" ht="45.0" hidden="1" customHeight="1">
      <c r="A40" s="11" t="s">
        <v>197</v>
      </c>
      <c r="B40" s="11" t="s">
        <v>2441</v>
      </c>
      <c r="C40" s="93" t="s">
        <v>1911</v>
      </c>
      <c r="D40" s="11"/>
    </row>
    <row r="41" ht="45.0" hidden="1" customHeight="1">
      <c r="A41" s="11" t="s">
        <v>201</v>
      </c>
      <c r="B41" s="11" t="s">
        <v>2037</v>
      </c>
      <c r="C41" s="93" t="s">
        <v>1912</v>
      </c>
      <c r="D41" s="11"/>
    </row>
    <row r="42" ht="45.0" hidden="1" customHeight="1">
      <c r="A42" s="11" t="s">
        <v>206</v>
      </c>
      <c r="B42" s="11" t="s">
        <v>2037</v>
      </c>
      <c r="C42" s="93" t="s">
        <v>1913</v>
      </c>
      <c r="D42" s="11"/>
    </row>
    <row r="43" ht="45.0" hidden="1" customHeight="1">
      <c r="A43" s="11" t="s">
        <v>210</v>
      </c>
      <c r="B43" s="11" t="s">
        <v>2037</v>
      </c>
      <c r="C43" s="93" t="s">
        <v>1914</v>
      </c>
      <c r="D43" s="11"/>
    </row>
    <row r="44" ht="45.0" hidden="1" customHeight="1">
      <c r="A44" s="11" t="s">
        <v>214</v>
      </c>
      <c r="B44" s="11" t="s">
        <v>2038</v>
      </c>
      <c r="C44" s="93" t="s">
        <v>1915</v>
      </c>
      <c r="D44" s="11"/>
    </row>
    <row r="45" ht="45.0" hidden="1" customHeight="1">
      <c r="A45" s="11" t="s">
        <v>219</v>
      </c>
      <c r="B45" s="11" t="s">
        <v>2442</v>
      </c>
      <c r="C45" s="93" t="s">
        <v>220</v>
      </c>
      <c r="D45" s="11"/>
    </row>
    <row r="46" ht="45.0" hidden="1" customHeight="1">
      <c r="A46" s="11" t="s">
        <v>223</v>
      </c>
      <c r="B46" s="11" t="s">
        <v>2040</v>
      </c>
      <c r="C46" s="93" t="s">
        <v>1741</v>
      </c>
      <c r="D46" s="11"/>
    </row>
    <row r="47" ht="45.0" hidden="1" customHeight="1">
      <c r="A47" s="11" t="s">
        <v>227</v>
      </c>
      <c r="B47" s="11" t="s">
        <v>2038</v>
      </c>
      <c r="C47" s="93" t="s">
        <v>228</v>
      </c>
      <c r="D47" s="11"/>
    </row>
    <row r="48" ht="45.0" hidden="1" customHeight="1">
      <c r="A48" s="11" t="s">
        <v>231</v>
      </c>
      <c r="B48" s="11" t="s">
        <v>2041</v>
      </c>
      <c r="C48" s="93" t="s">
        <v>232</v>
      </c>
      <c r="D48" s="11"/>
    </row>
    <row r="49" ht="45.0" hidden="1" customHeight="1">
      <c r="A49" s="11" t="s">
        <v>235</v>
      </c>
      <c r="B49" s="11" t="s">
        <v>2042</v>
      </c>
      <c r="C49" s="93" t="s">
        <v>1916</v>
      </c>
      <c r="D49" s="11"/>
    </row>
    <row r="50" ht="45.0" hidden="1" customHeight="1">
      <c r="A50" s="11" t="s">
        <v>240</v>
      </c>
      <c r="B50" s="11" t="s">
        <v>2441</v>
      </c>
      <c r="C50" s="93" t="s">
        <v>241</v>
      </c>
      <c r="D50" s="11"/>
    </row>
    <row r="51" ht="45.0" hidden="1" customHeight="1">
      <c r="A51" s="11" t="s">
        <v>244</v>
      </c>
      <c r="B51" s="11" t="s">
        <v>2026</v>
      </c>
      <c r="C51" s="93" t="s">
        <v>245</v>
      </c>
      <c r="D51" s="11"/>
    </row>
    <row r="52" ht="45.0" hidden="1" customHeight="1">
      <c r="A52" s="11" t="s">
        <v>247</v>
      </c>
      <c r="B52" s="11" t="s">
        <v>2043</v>
      </c>
      <c r="C52" s="93" t="s">
        <v>1918</v>
      </c>
      <c r="D52" s="11"/>
    </row>
    <row r="53" ht="45.0" hidden="1" customHeight="1">
      <c r="A53" s="11" t="s">
        <v>253</v>
      </c>
      <c r="B53" s="11" t="s">
        <v>2043</v>
      </c>
      <c r="C53" s="93" t="s">
        <v>1919</v>
      </c>
      <c r="D53" s="11"/>
    </row>
    <row r="54" ht="45.0" hidden="1" customHeight="1">
      <c r="A54" s="11" t="s">
        <v>257</v>
      </c>
      <c r="B54" s="11" t="s">
        <v>2043</v>
      </c>
      <c r="C54" s="93" t="s">
        <v>1920</v>
      </c>
      <c r="D54" s="11"/>
    </row>
    <row r="55" ht="45.0" hidden="1" customHeight="1">
      <c r="A55" s="11" t="s">
        <v>261</v>
      </c>
      <c r="B55" s="11" t="s">
        <v>2043</v>
      </c>
      <c r="C55" s="93" t="s">
        <v>1921</v>
      </c>
      <c r="D55" s="11"/>
    </row>
    <row r="56" ht="45.0" hidden="1" customHeight="1">
      <c r="A56" s="11" t="s">
        <v>265</v>
      </c>
      <c r="B56" s="11" t="s">
        <v>2044</v>
      </c>
      <c r="C56" s="93" t="s">
        <v>266</v>
      </c>
      <c r="D56" s="11"/>
    </row>
    <row r="57" ht="45.0" hidden="1" customHeight="1">
      <c r="A57" s="11" t="s">
        <v>270</v>
      </c>
      <c r="B57" s="11" t="s">
        <v>2044</v>
      </c>
      <c r="C57" s="93" t="s">
        <v>271</v>
      </c>
      <c r="D57" s="11"/>
    </row>
    <row r="58" ht="45.0" hidden="1" customHeight="1">
      <c r="A58" s="11" t="s">
        <v>274</v>
      </c>
      <c r="B58" s="11" t="s">
        <v>2044</v>
      </c>
      <c r="C58" s="93" t="s">
        <v>275</v>
      </c>
      <c r="D58" s="11"/>
    </row>
    <row r="59" ht="45.0" hidden="1" customHeight="1">
      <c r="A59" s="11" t="s">
        <v>278</v>
      </c>
      <c r="B59" s="11" t="s">
        <v>2044</v>
      </c>
      <c r="C59" s="93" t="s">
        <v>279</v>
      </c>
      <c r="D59" s="11"/>
    </row>
    <row r="60" ht="45.0" hidden="1" customHeight="1">
      <c r="A60" s="11" t="s">
        <v>282</v>
      </c>
      <c r="B60" s="11" t="s">
        <v>2044</v>
      </c>
      <c r="C60" s="93" t="s">
        <v>283</v>
      </c>
      <c r="D60" s="11"/>
    </row>
    <row r="61" ht="45.0" hidden="1" customHeight="1">
      <c r="A61" s="11" t="s">
        <v>286</v>
      </c>
      <c r="B61" s="11" t="s">
        <v>2443</v>
      </c>
      <c r="C61" s="93" t="s">
        <v>287</v>
      </c>
      <c r="D61" s="11"/>
    </row>
    <row r="62" ht="45.0" hidden="1" customHeight="1">
      <c r="A62" s="11" t="s">
        <v>291</v>
      </c>
      <c r="B62" s="11" t="s">
        <v>2443</v>
      </c>
      <c r="C62" s="93" t="s">
        <v>292</v>
      </c>
      <c r="D62" s="11"/>
    </row>
    <row r="63" ht="45.0" hidden="1" customHeight="1">
      <c r="A63" s="11" t="s">
        <v>295</v>
      </c>
      <c r="B63" s="11" t="s">
        <v>2443</v>
      </c>
      <c r="C63" s="93" t="s">
        <v>296</v>
      </c>
      <c r="D63" s="11"/>
    </row>
    <row r="64" ht="45.0" hidden="1" customHeight="1">
      <c r="A64" s="11" t="s">
        <v>299</v>
      </c>
      <c r="B64" s="11" t="s">
        <v>2046</v>
      </c>
      <c r="C64" s="93" t="s">
        <v>300</v>
      </c>
      <c r="D64" s="11"/>
    </row>
    <row r="65" ht="45.0" hidden="1" customHeight="1">
      <c r="A65" s="11" t="s">
        <v>303</v>
      </c>
      <c r="B65" s="11" t="s">
        <v>2444</v>
      </c>
      <c r="C65" s="93" t="s">
        <v>304</v>
      </c>
      <c r="D65" s="11"/>
    </row>
    <row r="66" ht="45.0" hidden="1" customHeight="1">
      <c r="A66" s="11" t="s">
        <v>313</v>
      </c>
      <c r="B66" s="11" t="s">
        <v>2026</v>
      </c>
      <c r="C66" s="93" t="s">
        <v>314</v>
      </c>
      <c r="D66" s="11"/>
    </row>
    <row r="67" ht="45.0" hidden="1" customHeight="1">
      <c r="A67" s="11" t="s">
        <v>317</v>
      </c>
      <c r="B67" s="11" t="s">
        <v>2441</v>
      </c>
      <c r="C67" s="93" t="s">
        <v>1924</v>
      </c>
      <c r="D67" s="11"/>
    </row>
    <row r="68" ht="45.0" customHeight="1">
      <c r="A68" s="11" t="s">
        <v>323</v>
      </c>
      <c r="B68" s="11" t="s">
        <v>2049</v>
      </c>
      <c r="C68" s="93" t="s">
        <v>324</v>
      </c>
      <c r="D68" s="661">
        <v>1.0</v>
      </c>
    </row>
    <row r="69" ht="45.0" customHeight="1">
      <c r="A69" s="11" t="s">
        <v>328</v>
      </c>
      <c r="B69" s="11" t="s">
        <v>2049</v>
      </c>
      <c r="C69" s="93" t="s">
        <v>329</v>
      </c>
      <c r="D69" s="661">
        <v>1.0</v>
      </c>
    </row>
    <row r="70" ht="45.0" customHeight="1">
      <c r="A70" s="11" t="s">
        <v>336</v>
      </c>
      <c r="B70" s="11" t="s">
        <v>2049</v>
      </c>
      <c r="C70" s="93" t="s">
        <v>337</v>
      </c>
      <c r="D70" s="661">
        <v>1.0</v>
      </c>
    </row>
    <row r="71" ht="45.0" customHeight="1">
      <c r="A71" s="11" t="s">
        <v>340</v>
      </c>
      <c r="B71" s="11" t="s">
        <v>2049</v>
      </c>
      <c r="C71" s="93" t="s">
        <v>341</v>
      </c>
      <c r="D71" s="661">
        <v>3.0</v>
      </c>
    </row>
    <row r="72" ht="45.0" customHeight="1">
      <c r="A72" s="11" t="s">
        <v>340</v>
      </c>
      <c r="B72" s="11" t="s">
        <v>2049</v>
      </c>
      <c r="C72" s="93" t="s">
        <v>341</v>
      </c>
      <c r="D72" s="661">
        <v>3.0</v>
      </c>
    </row>
    <row r="73" ht="45.0" customHeight="1">
      <c r="A73" s="11" t="s">
        <v>340</v>
      </c>
      <c r="B73" s="11" t="s">
        <v>2049</v>
      </c>
      <c r="C73" s="93" t="s">
        <v>341</v>
      </c>
      <c r="D73" s="661">
        <v>3.0</v>
      </c>
    </row>
    <row r="74" ht="45.0" customHeight="1">
      <c r="A74" s="11" t="s">
        <v>344</v>
      </c>
      <c r="B74" s="11" t="s">
        <v>2050</v>
      </c>
      <c r="C74" s="93" t="s">
        <v>345</v>
      </c>
      <c r="D74" s="661">
        <v>2.0</v>
      </c>
    </row>
    <row r="75" ht="45.0" customHeight="1">
      <c r="A75" s="11" t="s">
        <v>344</v>
      </c>
      <c r="B75" s="11" t="s">
        <v>2050</v>
      </c>
      <c r="C75" s="93" t="s">
        <v>345</v>
      </c>
      <c r="D75" s="661">
        <v>2.0</v>
      </c>
    </row>
    <row r="76" ht="45.0" customHeight="1">
      <c r="A76" s="11" t="s">
        <v>355</v>
      </c>
      <c r="B76" s="11" t="s">
        <v>2050</v>
      </c>
      <c r="C76" s="93" t="s">
        <v>356</v>
      </c>
      <c r="D76" s="661">
        <v>1.0</v>
      </c>
    </row>
    <row r="77" ht="45.0" customHeight="1">
      <c r="A77" s="11" t="s">
        <v>359</v>
      </c>
      <c r="B77" s="11" t="s">
        <v>2050</v>
      </c>
      <c r="C77" s="93" t="s">
        <v>360</v>
      </c>
      <c r="D77" s="661">
        <v>1.0</v>
      </c>
    </row>
    <row r="78" ht="45.0" customHeight="1">
      <c r="A78" s="11" t="s">
        <v>363</v>
      </c>
      <c r="B78" s="11" t="s">
        <v>2050</v>
      </c>
      <c r="C78" s="93" t="s">
        <v>364</v>
      </c>
      <c r="D78" s="661">
        <v>1.0</v>
      </c>
    </row>
    <row r="79" ht="45.0" customHeight="1">
      <c r="A79" s="11" t="s">
        <v>371</v>
      </c>
      <c r="B79" s="11" t="s">
        <v>2053</v>
      </c>
      <c r="C79" s="93" t="s">
        <v>372</v>
      </c>
      <c r="D79" s="661">
        <v>1.0</v>
      </c>
    </row>
    <row r="80" ht="45.0" customHeight="1">
      <c r="A80" s="11" t="s">
        <v>374</v>
      </c>
      <c r="B80" s="11" t="s">
        <v>2053</v>
      </c>
      <c r="C80" s="93" t="s">
        <v>375</v>
      </c>
      <c r="D80" s="661">
        <v>5.0</v>
      </c>
    </row>
    <row r="81" ht="45.0" customHeight="1">
      <c r="A81" s="11" t="s">
        <v>374</v>
      </c>
      <c r="B81" s="11" t="s">
        <v>2053</v>
      </c>
      <c r="C81" s="93" t="s">
        <v>375</v>
      </c>
      <c r="D81" s="661">
        <v>5.0</v>
      </c>
    </row>
    <row r="82" ht="45.0" customHeight="1">
      <c r="A82" s="662" t="s">
        <v>374</v>
      </c>
      <c r="B82" s="662" t="s">
        <v>2053</v>
      </c>
      <c r="C82" s="663" t="s">
        <v>375</v>
      </c>
      <c r="D82" s="664">
        <v>5.0</v>
      </c>
    </row>
    <row r="83" ht="45.0" customHeight="1">
      <c r="A83" s="662" t="s">
        <v>374</v>
      </c>
      <c r="B83" s="662" t="s">
        <v>2053</v>
      </c>
      <c r="C83" s="663" t="s">
        <v>375</v>
      </c>
      <c r="D83" s="664">
        <v>5.0</v>
      </c>
    </row>
    <row r="84" ht="45.0" customHeight="1">
      <c r="A84" s="662" t="s">
        <v>374</v>
      </c>
      <c r="B84" s="662" t="s">
        <v>2053</v>
      </c>
      <c r="C84" s="663" t="s">
        <v>375</v>
      </c>
      <c r="D84" s="664">
        <v>5.0</v>
      </c>
    </row>
    <row r="85" ht="45.0" customHeight="1">
      <c r="A85" s="11" t="s">
        <v>378</v>
      </c>
      <c r="B85" s="11" t="s">
        <v>2050</v>
      </c>
      <c r="C85" s="93" t="s">
        <v>379</v>
      </c>
      <c r="D85" s="661">
        <v>2.0</v>
      </c>
    </row>
    <row r="86" ht="45.0" customHeight="1">
      <c r="A86" s="11" t="s">
        <v>378</v>
      </c>
      <c r="B86" s="11" t="s">
        <v>2050</v>
      </c>
      <c r="C86" s="93" t="s">
        <v>379</v>
      </c>
      <c r="D86" s="661">
        <v>2.0</v>
      </c>
    </row>
    <row r="87" ht="45.0" customHeight="1">
      <c r="A87" s="11" t="s">
        <v>385</v>
      </c>
      <c r="B87" s="11" t="s">
        <v>2050</v>
      </c>
      <c r="C87" s="93" t="s">
        <v>1926</v>
      </c>
      <c r="D87" s="661">
        <v>1.0</v>
      </c>
    </row>
    <row r="88" ht="45.0" hidden="1" customHeight="1">
      <c r="A88" s="11" t="s">
        <v>388</v>
      </c>
      <c r="B88" s="11" t="s">
        <v>2445</v>
      </c>
      <c r="C88" s="93" t="s">
        <v>1927</v>
      </c>
      <c r="D88" s="11"/>
    </row>
    <row r="89" ht="45.0" hidden="1" customHeight="1">
      <c r="A89" s="11" t="s">
        <v>392</v>
      </c>
      <c r="B89" s="11" t="s">
        <v>2445</v>
      </c>
      <c r="C89" s="93" t="s">
        <v>1928</v>
      </c>
      <c r="D89" s="11"/>
    </row>
    <row r="90" ht="45.0" hidden="1" customHeight="1">
      <c r="A90" s="11" t="s">
        <v>396</v>
      </c>
      <c r="B90" s="11" t="s">
        <v>2446</v>
      </c>
      <c r="C90" s="93" t="s">
        <v>1929</v>
      </c>
      <c r="D90" s="11"/>
    </row>
    <row r="91" ht="45.0" hidden="1" customHeight="1">
      <c r="A91" s="11" t="s">
        <v>400</v>
      </c>
      <c r="B91" s="11" t="s">
        <v>2446</v>
      </c>
      <c r="C91" s="93" t="s">
        <v>1930</v>
      </c>
      <c r="D91" s="11"/>
    </row>
    <row r="92" ht="45.0" hidden="1" customHeight="1">
      <c r="A92" s="11" t="s">
        <v>404</v>
      </c>
      <c r="B92" s="11" t="s">
        <v>2447</v>
      </c>
      <c r="C92" s="93" t="s">
        <v>405</v>
      </c>
      <c r="D92" s="11"/>
    </row>
    <row r="93" ht="45.0" hidden="1" customHeight="1">
      <c r="A93" s="11" t="s">
        <v>407</v>
      </c>
      <c r="B93" s="11" t="s">
        <v>2447</v>
      </c>
      <c r="C93" s="93" t="s">
        <v>408</v>
      </c>
      <c r="D93" s="11"/>
    </row>
    <row r="94" ht="45.0" hidden="1" customHeight="1">
      <c r="A94" s="222" t="s">
        <v>410</v>
      </c>
      <c r="B94" s="11" t="s">
        <v>2385</v>
      </c>
      <c r="C94" s="232" t="s">
        <v>411</v>
      </c>
      <c r="D94" s="11"/>
    </row>
    <row r="95" ht="45.0" hidden="1" customHeight="1">
      <c r="A95" s="11" t="s">
        <v>419</v>
      </c>
      <c r="B95" s="11" t="s">
        <v>2060</v>
      </c>
      <c r="C95" s="93" t="s">
        <v>420</v>
      </c>
      <c r="D95" s="11"/>
    </row>
    <row r="96" ht="45.0" hidden="1" customHeight="1">
      <c r="A96" s="11" t="s">
        <v>424</v>
      </c>
      <c r="B96" s="11" t="s">
        <v>2448</v>
      </c>
      <c r="C96" s="93" t="s">
        <v>1933</v>
      </c>
      <c r="D96" s="11"/>
    </row>
    <row r="97" ht="45.0" hidden="1" customHeight="1">
      <c r="A97" s="11" t="s">
        <v>428</v>
      </c>
      <c r="B97" s="11" t="s">
        <v>2060</v>
      </c>
      <c r="C97" s="93" t="s">
        <v>1934</v>
      </c>
      <c r="D97" s="11"/>
    </row>
    <row r="98" ht="45.0" hidden="1" customHeight="1">
      <c r="A98" s="11" t="s">
        <v>437</v>
      </c>
      <c r="B98" s="107" t="s">
        <v>1806</v>
      </c>
      <c r="C98" s="93" t="s">
        <v>438</v>
      </c>
      <c r="D98" s="107"/>
    </row>
    <row r="99" ht="45.0" hidden="1" customHeight="1">
      <c r="A99" s="11" t="s">
        <v>440</v>
      </c>
      <c r="B99" s="107" t="s">
        <v>1803</v>
      </c>
      <c r="C99" s="93" t="s">
        <v>441</v>
      </c>
      <c r="D99" s="107"/>
    </row>
    <row r="100" ht="45.0" hidden="1" customHeight="1">
      <c r="A100" s="11" t="s">
        <v>445</v>
      </c>
      <c r="B100" s="11" t="s">
        <v>2063</v>
      </c>
      <c r="C100" s="93" t="s">
        <v>446</v>
      </c>
      <c r="D100" s="11"/>
    </row>
    <row r="101" ht="45.0" hidden="1" customHeight="1">
      <c r="A101" s="11" t="s">
        <v>449</v>
      </c>
      <c r="B101" s="11" t="s">
        <v>2063</v>
      </c>
      <c r="C101" s="93" t="s">
        <v>450</v>
      </c>
      <c r="D101" s="11"/>
    </row>
    <row r="102" ht="45.0" hidden="1" customHeight="1">
      <c r="A102" s="11" t="s">
        <v>453</v>
      </c>
      <c r="B102" s="11" t="s">
        <v>2064</v>
      </c>
      <c r="C102" s="93" t="s">
        <v>454</v>
      </c>
      <c r="D102" s="11"/>
    </row>
    <row r="103" ht="45.0" hidden="1" customHeight="1">
      <c r="A103" s="11" t="s">
        <v>458</v>
      </c>
      <c r="B103" s="11" t="s">
        <v>2064</v>
      </c>
      <c r="C103" s="107" t="s">
        <v>459</v>
      </c>
      <c r="D103" s="11"/>
    </row>
    <row r="104" ht="45.0" hidden="1" customHeight="1">
      <c r="A104" s="222" t="s">
        <v>463</v>
      </c>
      <c r="B104" s="11" t="s">
        <v>2363</v>
      </c>
      <c r="C104" s="232" t="s">
        <v>464</v>
      </c>
      <c r="D104" s="11"/>
    </row>
    <row r="105" ht="45.0" customHeight="1">
      <c r="A105" s="11" t="s">
        <v>470</v>
      </c>
      <c r="B105" s="11" t="s">
        <v>2066</v>
      </c>
      <c r="C105" s="93" t="s">
        <v>471</v>
      </c>
      <c r="D105" s="661">
        <v>1.0</v>
      </c>
    </row>
    <row r="106" ht="45.0" hidden="1" customHeight="1">
      <c r="A106" s="11" t="s">
        <v>474</v>
      </c>
      <c r="B106" s="11" t="s">
        <v>2366</v>
      </c>
      <c r="C106" s="93" t="s">
        <v>475</v>
      </c>
      <c r="D106" s="11"/>
    </row>
    <row r="107" ht="45.0" hidden="1" customHeight="1">
      <c r="A107" s="222" t="s">
        <v>478</v>
      </c>
      <c r="B107" s="222" t="s">
        <v>2366</v>
      </c>
      <c r="C107" s="232" t="s">
        <v>479</v>
      </c>
      <c r="D107" s="222"/>
    </row>
    <row r="108" ht="45.0" hidden="1" customHeight="1">
      <c r="A108" s="11" t="s">
        <v>487</v>
      </c>
      <c r="B108" s="11" t="s">
        <v>1802</v>
      </c>
      <c r="C108" s="93" t="s">
        <v>488</v>
      </c>
      <c r="D108" s="11"/>
    </row>
    <row r="109" ht="45.0" hidden="1" customHeight="1">
      <c r="A109" s="11" t="s">
        <v>492</v>
      </c>
      <c r="B109" s="11" t="s">
        <v>2071</v>
      </c>
      <c r="C109" s="93" t="s">
        <v>1942</v>
      </c>
      <c r="D109" s="11"/>
    </row>
    <row r="110" ht="45.0" hidden="1" customHeight="1">
      <c r="A110" s="11" t="s">
        <v>496</v>
      </c>
      <c r="B110" s="11" t="s">
        <v>2072</v>
      </c>
      <c r="C110" s="93" t="s">
        <v>497</v>
      </c>
      <c r="D110" s="11"/>
    </row>
    <row r="111" ht="45.0" hidden="1" customHeight="1">
      <c r="A111" s="11" t="s">
        <v>500</v>
      </c>
      <c r="B111" s="11" t="s">
        <v>2073</v>
      </c>
      <c r="C111" s="93" t="s">
        <v>501</v>
      </c>
      <c r="D111" s="11"/>
    </row>
    <row r="112" ht="45.0" hidden="1" customHeight="1">
      <c r="A112" s="11" t="s">
        <v>504</v>
      </c>
      <c r="B112" s="11" t="s">
        <v>2449</v>
      </c>
      <c r="C112" s="93" t="s">
        <v>505</v>
      </c>
      <c r="D112" s="11"/>
    </row>
    <row r="113" ht="45.0" hidden="1" customHeight="1">
      <c r="A113" s="11" t="s">
        <v>508</v>
      </c>
      <c r="B113" s="11" t="s">
        <v>2450</v>
      </c>
      <c r="C113" s="93" t="s">
        <v>509</v>
      </c>
      <c r="D113" s="11"/>
    </row>
    <row r="114" ht="45.0" hidden="1" customHeight="1">
      <c r="A114" s="11" t="s">
        <v>512</v>
      </c>
      <c r="B114" s="11" t="s">
        <v>2451</v>
      </c>
      <c r="C114" s="93" t="s">
        <v>513</v>
      </c>
      <c r="D114" s="11"/>
    </row>
    <row r="115" ht="45.0" hidden="1" customHeight="1">
      <c r="A115" s="11" t="s">
        <v>516</v>
      </c>
      <c r="B115" s="11"/>
      <c r="C115" s="93" t="s">
        <v>517</v>
      </c>
      <c r="D115" s="11"/>
    </row>
    <row r="116" ht="45.0" hidden="1" customHeight="1">
      <c r="A116" s="11" t="s">
        <v>521</v>
      </c>
      <c r="B116" s="11"/>
      <c r="C116" s="93" t="s">
        <v>522</v>
      </c>
      <c r="D116" s="11"/>
    </row>
    <row r="117" ht="45.0" hidden="1" customHeight="1">
      <c r="A117" s="11" t="s">
        <v>525</v>
      </c>
      <c r="B117" s="11"/>
      <c r="C117" s="93" t="s">
        <v>526</v>
      </c>
      <c r="D117" s="11"/>
    </row>
    <row r="118" ht="45.0" hidden="1" customHeight="1">
      <c r="A118" s="11" t="s">
        <v>529</v>
      </c>
      <c r="B118" s="11"/>
      <c r="C118" s="93" t="s">
        <v>530</v>
      </c>
      <c r="D118" s="11"/>
    </row>
    <row r="119" ht="45.0" hidden="1" customHeight="1">
      <c r="A119" s="11" t="s">
        <v>533</v>
      </c>
      <c r="B119" s="11"/>
      <c r="C119" s="93" t="s">
        <v>534</v>
      </c>
      <c r="D119" s="11"/>
    </row>
    <row r="120" ht="45.0" hidden="1" customHeight="1">
      <c r="A120" s="11" t="s">
        <v>537</v>
      </c>
      <c r="B120" s="11"/>
      <c r="C120" s="93" t="s">
        <v>538</v>
      </c>
      <c r="D120" s="11"/>
    </row>
    <row r="121" ht="45.0" hidden="1" customHeight="1">
      <c r="A121" s="11" t="s">
        <v>541</v>
      </c>
      <c r="B121" s="11"/>
      <c r="C121" s="93" t="s">
        <v>542</v>
      </c>
      <c r="D121" s="11"/>
    </row>
    <row r="122" ht="45.0" hidden="1" customHeight="1">
      <c r="A122" s="11" t="s">
        <v>545</v>
      </c>
      <c r="B122" s="11"/>
      <c r="C122" s="93" t="s">
        <v>546</v>
      </c>
      <c r="D122" s="11"/>
    </row>
    <row r="123" ht="45.0" hidden="1" customHeight="1">
      <c r="A123" s="11" t="s">
        <v>549</v>
      </c>
      <c r="B123" s="11"/>
      <c r="C123" s="93" t="s">
        <v>550</v>
      </c>
      <c r="D123" s="11"/>
    </row>
    <row r="124" ht="45.0" hidden="1" customHeight="1">
      <c r="A124" s="11" t="s">
        <v>553</v>
      </c>
      <c r="B124" s="11"/>
      <c r="C124" s="93" t="s">
        <v>554</v>
      </c>
      <c r="D124" s="11"/>
    </row>
    <row r="125" ht="45.0" hidden="1" customHeight="1">
      <c r="A125" s="11" t="s">
        <v>557</v>
      </c>
      <c r="B125" s="11"/>
      <c r="C125" s="93" t="s">
        <v>558</v>
      </c>
      <c r="D125" s="11"/>
    </row>
    <row r="126" ht="45.0" hidden="1" customHeight="1">
      <c r="A126" s="11" t="s">
        <v>561</v>
      </c>
      <c r="B126" s="11"/>
      <c r="C126" s="93" t="s">
        <v>562</v>
      </c>
      <c r="D126" s="11"/>
    </row>
    <row r="127" ht="45.0" hidden="1" customHeight="1">
      <c r="A127" s="11" t="s">
        <v>565</v>
      </c>
      <c r="B127" s="11"/>
      <c r="C127" s="93" t="s">
        <v>566</v>
      </c>
      <c r="D127" s="11"/>
    </row>
    <row r="128" ht="45.0" hidden="1" customHeight="1">
      <c r="A128" s="11" t="s">
        <v>569</v>
      </c>
      <c r="B128" s="11"/>
      <c r="C128" s="93" t="s">
        <v>570</v>
      </c>
      <c r="D128" s="11"/>
    </row>
    <row r="129" ht="45.0" hidden="1" customHeight="1">
      <c r="A129" s="11" t="s">
        <v>573</v>
      </c>
      <c r="B129" s="11"/>
      <c r="C129" s="93" t="s">
        <v>574</v>
      </c>
      <c r="D129" s="11"/>
    </row>
    <row r="130" ht="45.0" hidden="1" customHeight="1">
      <c r="A130" s="11" t="s">
        <v>577</v>
      </c>
      <c r="B130" s="11"/>
      <c r="C130" s="93" t="s">
        <v>578</v>
      </c>
      <c r="D130" s="11"/>
    </row>
    <row r="131" ht="45.0" hidden="1" customHeight="1">
      <c r="A131" s="11" t="s">
        <v>581</v>
      </c>
      <c r="B131" s="11"/>
      <c r="C131" s="93" t="s">
        <v>582</v>
      </c>
      <c r="D131" s="11"/>
    </row>
    <row r="132" ht="45.0" hidden="1" customHeight="1">
      <c r="A132" s="11" t="s">
        <v>585</v>
      </c>
      <c r="B132" s="11"/>
      <c r="C132" s="93" t="s">
        <v>1860</v>
      </c>
      <c r="D132" s="11"/>
    </row>
    <row r="133" ht="45.0" hidden="1" customHeight="1">
      <c r="A133" s="11" t="s">
        <v>589</v>
      </c>
      <c r="B133" s="11"/>
      <c r="C133" s="93" t="s">
        <v>590</v>
      </c>
      <c r="D133" s="11"/>
    </row>
    <row r="134" ht="45.0" hidden="1" customHeight="1">
      <c r="A134" s="11" t="s">
        <v>593</v>
      </c>
      <c r="B134" s="11"/>
      <c r="C134" s="93" t="s">
        <v>594</v>
      </c>
      <c r="D134" s="11"/>
    </row>
    <row r="135" ht="45.0" hidden="1" customHeight="1">
      <c r="A135" s="11" t="s">
        <v>597</v>
      </c>
      <c r="B135" s="11"/>
      <c r="C135" s="93" t="s">
        <v>1862</v>
      </c>
      <c r="D135" s="11"/>
    </row>
    <row r="136" ht="45.0" hidden="1" customHeight="1">
      <c r="A136" s="11" t="s">
        <v>602</v>
      </c>
      <c r="B136" s="11"/>
      <c r="C136" s="93" t="s">
        <v>603</v>
      </c>
      <c r="D136" s="11"/>
    </row>
    <row r="137" ht="45.0" hidden="1" customHeight="1">
      <c r="A137" s="11" t="s">
        <v>606</v>
      </c>
      <c r="B137" s="11"/>
      <c r="C137" s="93" t="s">
        <v>607</v>
      </c>
      <c r="D137" s="11"/>
    </row>
    <row r="138" ht="45.0" hidden="1" customHeight="1">
      <c r="A138" s="11" t="s">
        <v>609</v>
      </c>
      <c r="B138" s="11"/>
      <c r="C138" s="93" t="s">
        <v>610</v>
      </c>
      <c r="D138" s="11"/>
    </row>
    <row r="139" ht="45.0" hidden="1" customHeight="1">
      <c r="A139" s="11" t="s">
        <v>613</v>
      </c>
      <c r="B139" s="11"/>
      <c r="C139" s="93" t="s">
        <v>614</v>
      </c>
      <c r="D139" s="11"/>
    </row>
    <row r="140" ht="45.0" hidden="1" customHeight="1">
      <c r="A140" s="11" t="s">
        <v>617</v>
      </c>
      <c r="B140" s="11"/>
      <c r="C140" s="93" t="s">
        <v>618</v>
      </c>
      <c r="D140" s="11"/>
    </row>
    <row r="141" ht="45.0" hidden="1" customHeight="1">
      <c r="A141" s="11" t="s">
        <v>621</v>
      </c>
      <c r="B141" s="11"/>
      <c r="C141" s="93" t="s">
        <v>622</v>
      </c>
      <c r="D141" s="11"/>
    </row>
    <row r="142" ht="45.0" hidden="1" customHeight="1">
      <c r="A142" s="11" t="s">
        <v>625</v>
      </c>
      <c r="B142" s="11"/>
      <c r="C142" s="93" t="s">
        <v>626</v>
      </c>
      <c r="D142" s="11"/>
    </row>
    <row r="143" ht="45.0" hidden="1" customHeight="1">
      <c r="A143" s="11" t="s">
        <v>629</v>
      </c>
      <c r="B143" s="11"/>
      <c r="C143" s="93" t="s">
        <v>630</v>
      </c>
      <c r="D143" s="11"/>
    </row>
    <row r="144" ht="45.0" hidden="1" customHeight="1">
      <c r="A144" s="11" t="s">
        <v>633</v>
      </c>
      <c r="B144" s="11"/>
      <c r="C144" s="93" t="s">
        <v>634</v>
      </c>
      <c r="D144" s="11"/>
    </row>
    <row r="145" ht="45.0" hidden="1" customHeight="1">
      <c r="A145" s="11" t="s">
        <v>637</v>
      </c>
      <c r="B145" s="11"/>
      <c r="C145" s="93" t="s">
        <v>1804</v>
      </c>
      <c r="D145" s="11"/>
    </row>
    <row r="146" ht="45.0" hidden="1" customHeight="1">
      <c r="A146" s="11" t="s">
        <v>641</v>
      </c>
      <c r="B146" s="11"/>
      <c r="C146" s="93" t="s">
        <v>642</v>
      </c>
      <c r="D146" s="11"/>
    </row>
    <row r="147" ht="45.0" hidden="1" customHeight="1">
      <c r="A147" s="11" t="s">
        <v>645</v>
      </c>
      <c r="B147" s="11"/>
      <c r="C147" s="93" t="s">
        <v>646</v>
      </c>
      <c r="D147" s="11"/>
    </row>
    <row r="148" ht="45.0" hidden="1" customHeight="1">
      <c r="A148" s="11" t="s">
        <v>649</v>
      </c>
      <c r="B148" s="11"/>
      <c r="C148" s="93" t="s">
        <v>650</v>
      </c>
      <c r="D148" s="11"/>
    </row>
    <row r="149" ht="45.0" hidden="1" customHeight="1">
      <c r="A149" s="11" t="s">
        <v>653</v>
      </c>
      <c r="B149" s="11"/>
      <c r="C149" s="93" t="s">
        <v>654</v>
      </c>
      <c r="D149" s="11"/>
    </row>
    <row r="150" ht="45.0" hidden="1" customHeight="1">
      <c r="A150" s="11" t="s">
        <v>657</v>
      </c>
      <c r="B150" s="11"/>
      <c r="C150" s="93" t="s">
        <v>658</v>
      </c>
      <c r="D150" s="11"/>
    </row>
    <row r="151" ht="45.0" hidden="1" customHeight="1">
      <c r="A151" s="11" t="s">
        <v>661</v>
      </c>
      <c r="B151" s="11"/>
      <c r="C151" s="93" t="s">
        <v>662</v>
      </c>
      <c r="D151" s="11"/>
    </row>
    <row r="152" ht="45.0" hidden="1" customHeight="1">
      <c r="A152" s="11" t="s">
        <v>665</v>
      </c>
      <c r="B152" s="11"/>
      <c r="C152" s="93" t="s">
        <v>666</v>
      </c>
      <c r="D152" s="11"/>
    </row>
    <row r="153" ht="45.0" hidden="1" customHeight="1">
      <c r="A153" s="11" t="s">
        <v>669</v>
      </c>
      <c r="B153" s="11"/>
      <c r="C153" s="93" t="s">
        <v>670</v>
      </c>
      <c r="D153" s="11"/>
    </row>
    <row r="154" ht="45.0" hidden="1" customHeight="1">
      <c r="A154" s="11" t="s">
        <v>673</v>
      </c>
      <c r="B154" s="11"/>
      <c r="C154" s="93" t="s">
        <v>674</v>
      </c>
      <c r="D154" s="11"/>
    </row>
    <row r="155" ht="45.0" hidden="1" customHeight="1">
      <c r="A155" s="11" t="s">
        <v>677</v>
      </c>
      <c r="B155" s="11"/>
      <c r="C155" s="93" t="s">
        <v>678</v>
      </c>
      <c r="D155" s="11"/>
    </row>
    <row r="156" ht="45.0" hidden="1" customHeight="1">
      <c r="A156" s="11" t="s">
        <v>681</v>
      </c>
      <c r="B156" s="11"/>
      <c r="C156" s="93" t="s">
        <v>682</v>
      </c>
      <c r="D156" s="11"/>
    </row>
    <row r="157" ht="45.0" hidden="1" customHeight="1">
      <c r="A157" s="11" t="s">
        <v>685</v>
      </c>
      <c r="B157" s="11"/>
      <c r="C157" s="93" t="s">
        <v>686</v>
      </c>
      <c r="D157" s="11"/>
    </row>
    <row r="158" ht="45.0" hidden="1" customHeight="1">
      <c r="A158" s="11" t="s">
        <v>689</v>
      </c>
      <c r="B158" s="11"/>
      <c r="C158" s="93" t="s">
        <v>690</v>
      </c>
      <c r="D158" s="11"/>
    </row>
    <row r="159" ht="45.0" hidden="1" customHeight="1">
      <c r="A159" s="11" t="s">
        <v>693</v>
      </c>
      <c r="B159" s="11"/>
      <c r="C159" s="93" t="s">
        <v>694</v>
      </c>
      <c r="D159" s="11"/>
    </row>
    <row r="160" ht="45.0" hidden="1" customHeight="1">
      <c r="A160" s="11" t="s">
        <v>697</v>
      </c>
      <c r="B160" s="11"/>
      <c r="C160" s="93" t="s">
        <v>698</v>
      </c>
      <c r="D160" s="11"/>
    </row>
    <row r="161" ht="45.0" hidden="1" customHeight="1">
      <c r="A161" s="11" t="s">
        <v>701</v>
      </c>
      <c r="B161" s="11"/>
      <c r="C161" s="93" t="s">
        <v>702</v>
      </c>
      <c r="D161" s="11"/>
    </row>
    <row r="162" ht="45.0" hidden="1" customHeight="1">
      <c r="A162" s="11" t="s">
        <v>705</v>
      </c>
      <c r="B162" s="11"/>
      <c r="C162" s="93" t="s">
        <v>706</v>
      </c>
      <c r="D162" s="11"/>
    </row>
    <row r="163" ht="45.0" hidden="1" customHeight="1">
      <c r="A163" s="11" t="s">
        <v>709</v>
      </c>
      <c r="B163" s="11"/>
      <c r="C163" s="93" t="s">
        <v>710</v>
      </c>
      <c r="D163" s="11"/>
    </row>
    <row r="164" ht="45.0" hidden="1" customHeight="1">
      <c r="A164" s="11" t="s">
        <v>713</v>
      </c>
      <c r="B164" s="11"/>
      <c r="C164" s="93" t="s">
        <v>714</v>
      </c>
      <c r="D164" s="11"/>
    </row>
    <row r="165" ht="45.0" hidden="1" customHeight="1">
      <c r="A165" s="11" t="s">
        <v>717</v>
      </c>
      <c r="B165" s="11"/>
      <c r="C165" s="93" t="s">
        <v>718</v>
      </c>
      <c r="D165" s="11"/>
    </row>
    <row r="166" ht="45.0" hidden="1" customHeight="1">
      <c r="A166" s="11" t="s">
        <v>721</v>
      </c>
      <c r="B166" s="11"/>
      <c r="C166" s="93" t="s">
        <v>722</v>
      </c>
      <c r="D166" s="11"/>
    </row>
    <row r="167" ht="45.0" hidden="1" customHeight="1">
      <c r="A167" s="11" t="s">
        <v>725</v>
      </c>
      <c r="B167" s="11"/>
      <c r="C167" s="93" t="s">
        <v>726</v>
      </c>
      <c r="D167" s="11"/>
    </row>
    <row r="168" ht="45.0" hidden="1" customHeight="1">
      <c r="A168" s="11" t="s">
        <v>729</v>
      </c>
      <c r="B168" s="11"/>
      <c r="C168" s="93" t="s">
        <v>730</v>
      </c>
      <c r="D168" s="11"/>
    </row>
    <row r="169" ht="45.0" hidden="1" customHeight="1">
      <c r="A169" s="11" t="s">
        <v>733</v>
      </c>
      <c r="B169" s="11"/>
      <c r="C169" s="93" t="s">
        <v>734</v>
      </c>
      <c r="D169" s="11"/>
    </row>
    <row r="170" ht="45.0" hidden="1" customHeight="1">
      <c r="A170" s="11" t="s">
        <v>737</v>
      </c>
      <c r="B170" s="11"/>
      <c r="C170" s="93" t="s">
        <v>738</v>
      </c>
      <c r="D170" s="11"/>
    </row>
    <row r="171" ht="45.0" hidden="1" customHeight="1">
      <c r="A171" s="11" t="s">
        <v>741</v>
      </c>
      <c r="B171" s="11"/>
      <c r="C171" s="93" t="s">
        <v>742</v>
      </c>
      <c r="D171" s="11"/>
    </row>
    <row r="172" ht="45.0" hidden="1" customHeight="1">
      <c r="A172" s="11" t="s">
        <v>745</v>
      </c>
      <c r="B172" s="11"/>
      <c r="C172" s="93" t="s">
        <v>746</v>
      </c>
      <c r="D172" s="11"/>
    </row>
    <row r="173" ht="45.0" hidden="1" customHeight="1">
      <c r="A173" s="11" t="s">
        <v>749</v>
      </c>
      <c r="B173" s="11"/>
      <c r="C173" s="93" t="s">
        <v>750</v>
      </c>
      <c r="D173" s="11"/>
    </row>
    <row r="174" ht="45.0" hidden="1" customHeight="1">
      <c r="A174" s="11" t="s">
        <v>753</v>
      </c>
      <c r="B174" s="11"/>
      <c r="C174" s="93" t="s">
        <v>754</v>
      </c>
      <c r="D174" s="11"/>
    </row>
    <row r="175" ht="45.0" hidden="1" customHeight="1">
      <c r="A175" s="11" t="s">
        <v>757</v>
      </c>
      <c r="B175" s="11"/>
      <c r="C175" s="93" t="s">
        <v>758</v>
      </c>
      <c r="D175" s="11"/>
    </row>
    <row r="176" ht="45.0" hidden="1" customHeight="1">
      <c r="A176" s="11" t="s">
        <v>761</v>
      </c>
      <c r="B176" s="11"/>
      <c r="C176" s="93" t="s">
        <v>762</v>
      </c>
      <c r="D176" s="11"/>
    </row>
    <row r="177" ht="45.0" hidden="1" customHeight="1">
      <c r="A177" s="11" t="s">
        <v>765</v>
      </c>
      <c r="B177" s="11"/>
      <c r="C177" s="93" t="s">
        <v>766</v>
      </c>
      <c r="D177" s="11"/>
    </row>
    <row r="178" ht="45.0" hidden="1" customHeight="1">
      <c r="A178" s="11" t="s">
        <v>769</v>
      </c>
      <c r="B178" s="11"/>
      <c r="C178" s="93" t="s">
        <v>770</v>
      </c>
      <c r="D178" s="11"/>
    </row>
    <row r="179" ht="45.0" hidden="1" customHeight="1">
      <c r="A179" s="11" t="s">
        <v>773</v>
      </c>
      <c r="B179" s="11"/>
      <c r="C179" s="93" t="s">
        <v>774</v>
      </c>
      <c r="D179" s="11"/>
    </row>
    <row r="180" ht="45.0" hidden="1" customHeight="1">
      <c r="A180" s="11" t="s">
        <v>777</v>
      </c>
      <c r="B180" s="11"/>
      <c r="C180" s="93" t="s">
        <v>778</v>
      </c>
      <c r="D180" s="11"/>
    </row>
    <row r="181" ht="45.0" hidden="1" customHeight="1">
      <c r="A181" s="11" t="s">
        <v>781</v>
      </c>
      <c r="B181" s="11"/>
      <c r="C181" s="93" t="s">
        <v>782</v>
      </c>
      <c r="D181" s="11"/>
    </row>
    <row r="182" ht="45.0" hidden="1" customHeight="1">
      <c r="A182" s="11" t="s">
        <v>785</v>
      </c>
      <c r="B182" s="11"/>
      <c r="C182" s="93" t="s">
        <v>786</v>
      </c>
      <c r="D182" s="11"/>
    </row>
    <row r="183" ht="45.0" hidden="1" customHeight="1">
      <c r="A183" s="11" t="s">
        <v>789</v>
      </c>
      <c r="B183" s="11"/>
      <c r="C183" s="93" t="s">
        <v>790</v>
      </c>
      <c r="D183" s="11"/>
    </row>
    <row r="184" ht="45.0" hidden="1" customHeight="1">
      <c r="A184" s="11" t="s">
        <v>793</v>
      </c>
      <c r="B184" s="11"/>
      <c r="C184" s="93" t="s">
        <v>794</v>
      </c>
      <c r="D184" s="11"/>
    </row>
    <row r="185" ht="45.0" hidden="1" customHeight="1">
      <c r="A185" s="11" t="s">
        <v>797</v>
      </c>
      <c r="B185" s="11"/>
      <c r="C185" s="93" t="s">
        <v>798</v>
      </c>
      <c r="D185" s="11"/>
    </row>
    <row r="186" ht="45.0" hidden="1" customHeight="1">
      <c r="A186" s="11" t="s">
        <v>801</v>
      </c>
      <c r="B186" s="11"/>
      <c r="C186" s="93" t="s">
        <v>802</v>
      </c>
      <c r="D186" s="11"/>
    </row>
    <row r="187" ht="45.0" hidden="1" customHeight="1">
      <c r="A187" s="11" t="s">
        <v>805</v>
      </c>
      <c r="B187" s="11"/>
      <c r="C187" s="93" t="s">
        <v>806</v>
      </c>
      <c r="D187" s="11"/>
    </row>
    <row r="188" ht="45.0" hidden="1" customHeight="1">
      <c r="A188" s="11" t="s">
        <v>809</v>
      </c>
      <c r="B188" s="11"/>
      <c r="C188" s="93" t="s">
        <v>810</v>
      </c>
      <c r="D188" s="11"/>
    </row>
    <row r="189" ht="45.0" hidden="1" customHeight="1">
      <c r="A189" s="11" t="s">
        <v>813</v>
      </c>
      <c r="B189" s="11"/>
      <c r="C189" s="93" t="s">
        <v>814</v>
      </c>
      <c r="D189" s="11"/>
    </row>
    <row r="190" ht="45.0" hidden="1" customHeight="1">
      <c r="A190" s="11" t="s">
        <v>817</v>
      </c>
      <c r="B190" s="11"/>
      <c r="C190" s="93" t="s">
        <v>818</v>
      </c>
      <c r="D190" s="11"/>
    </row>
    <row r="191" ht="45.0" hidden="1" customHeight="1">
      <c r="A191" s="11" t="s">
        <v>821</v>
      </c>
      <c r="B191" s="11"/>
      <c r="C191" s="93" t="s">
        <v>822</v>
      </c>
      <c r="D191" s="11"/>
    </row>
    <row r="192" ht="45.0" hidden="1" customHeight="1">
      <c r="A192" s="11" t="s">
        <v>825</v>
      </c>
      <c r="B192" s="11"/>
      <c r="C192" s="93" t="s">
        <v>826</v>
      </c>
      <c r="D192" s="11"/>
    </row>
    <row r="193" ht="45.0" hidden="1" customHeight="1">
      <c r="A193" s="11" t="s">
        <v>829</v>
      </c>
      <c r="B193" s="11"/>
      <c r="C193" s="93" t="s">
        <v>830</v>
      </c>
      <c r="D193" s="11"/>
    </row>
    <row r="194" ht="45.0" hidden="1" customHeight="1">
      <c r="A194" s="11" t="s">
        <v>833</v>
      </c>
      <c r="B194" s="11"/>
      <c r="C194" s="93" t="s">
        <v>834</v>
      </c>
      <c r="D194" s="11"/>
    </row>
    <row r="195" ht="45.0" hidden="1" customHeight="1">
      <c r="A195" s="11" t="s">
        <v>837</v>
      </c>
      <c r="B195" s="11"/>
      <c r="C195" s="93" t="s">
        <v>838</v>
      </c>
      <c r="D195" s="11"/>
    </row>
    <row r="196" ht="45.0" hidden="1" customHeight="1">
      <c r="A196" s="11" t="s">
        <v>841</v>
      </c>
      <c r="B196" s="11"/>
      <c r="C196" s="93" t="s">
        <v>842</v>
      </c>
      <c r="D196" s="11"/>
    </row>
    <row r="197" ht="45.0" hidden="1" customHeight="1">
      <c r="A197" s="11" t="s">
        <v>845</v>
      </c>
      <c r="B197" s="11"/>
      <c r="C197" s="93" t="s">
        <v>846</v>
      </c>
      <c r="D197" s="11"/>
    </row>
    <row r="198" ht="45.0" hidden="1" customHeight="1">
      <c r="A198" s="11" t="s">
        <v>849</v>
      </c>
      <c r="B198" s="11"/>
      <c r="C198" s="93" t="s">
        <v>850</v>
      </c>
      <c r="D198" s="11"/>
    </row>
    <row r="199" ht="45.0" hidden="1" customHeight="1">
      <c r="A199" s="11" t="s">
        <v>853</v>
      </c>
      <c r="B199" s="11"/>
      <c r="C199" s="93" t="s">
        <v>854</v>
      </c>
      <c r="D199" s="11"/>
    </row>
    <row r="200" ht="45.0" hidden="1" customHeight="1">
      <c r="A200" s="11" t="s">
        <v>857</v>
      </c>
      <c r="B200" s="11"/>
      <c r="C200" s="93" t="s">
        <v>858</v>
      </c>
      <c r="D200" s="11"/>
    </row>
    <row r="201" ht="45.0" hidden="1" customHeight="1">
      <c r="A201" s="11" t="s">
        <v>861</v>
      </c>
      <c r="B201" s="11"/>
      <c r="C201" s="93" t="s">
        <v>862</v>
      </c>
      <c r="D201" s="11"/>
    </row>
    <row r="202" ht="45.0" hidden="1" customHeight="1">
      <c r="A202" s="11" t="s">
        <v>865</v>
      </c>
      <c r="B202" s="11"/>
      <c r="C202" s="93" t="s">
        <v>866</v>
      </c>
      <c r="D202" s="11"/>
    </row>
    <row r="203" ht="45.0" hidden="1" customHeight="1">
      <c r="A203" s="11" t="s">
        <v>869</v>
      </c>
      <c r="B203" s="11"/>
      <c r="C203" s="93" t="s">
        <v>870</v>
      </c>
      <c r="D203" s="11"/>
    </row>
    <row r="204" ht="45.0" hidden="1" customHeight="1">
      <c r="A204" s="11" t="s">
        <v>873</v>
      </c>
      <c r="B204" s="11"/>
      <c r="C204" s="93" t="s">
        <v>874</v>
      </c>
      <c r="D204" s="11"/>
    </row>
    <row r="205" ht="45.0" hidden="1" customHeight="1">
      <c r="A205" s="11" t="s">
        <v>877</v>
      </c>
      <c r="B205" s="11"/>
      <c r="C205" s="93" t="s">
        <v>878</v>
      </c>
      <c r="D205" s="11"/>
    </row>
    <row r="206" ht="45.0" hidden="1" customHeight="1">
      <c r="A206" s="11" t="s">
        <v>881</v>
      </c>
      <c r="B206" s="11"/>
      <c r="C206" s="93" t="s">
        <v>882</v>
      </c>
      <c r="D206" s="11"/>
    </row>
    <row r="207" ht="45.0" hidden="1" customHeight="1">
      <c r="A207" s="11" t="s">
        <v>885</v>
      </c>
      <c r="B207" s="11"/>
      <c r="C207" s="93" t="s">
        <v>886</v>
      </c>
      <c r="D207" s="11"/>
    </row>
    <row r="208" ht="45.0" hidden="1" customHeight="1">
      <c r="A208" s="11" t="s">
        <v>889</v>
      </c>
      <c r="B208" s="11"/>
      <c r="C208" s="93" t="s">
        <v>1754</v>
      </c>
      <c r="D208" s="11"/>
    </row>
    <row r="209" ht="45.0" hidden="1" customHeight="1">
      <c r="A209" s="11" t="s">
        <v>894</v>
      </c>
      <c r="B209" s="11"/>
      <c r="C209" s="93" t="s">
        <v>895</v>
      </c>
      <c r="D209" s="11"/>
    </row>
    <row r="210" ht="45.0" hidden="1" customHeight="1">
      <c r="A210" s="11" t="s">
        <v>902</v>
      </c>
      <c r="B210" s="11"/>
      <c r="C210" s="93" t="s">
        <v>903</v>
      </c>
      <c r="D210" s="11"/>
    </row>
    <row r="211" ht="45.0" hidden="1" customHeight="1">
      <c r="A211" s="11" t="s">
        <v>906</v>
      </c>
      <c r="B211" s="11"/>
      <c r="C211" s="93" t="s">
        <v>1955</v>
      </c>
      <c r="D211" s="11"/>
    </row>
    <row r="212" ht="45.0" hidden="1" customHeight="1">
      <c r="A212" s="11" t="s">
        <v>910</v>
      </c>
      <c r="B212" s="11"/>
      <c r="C212" s="93" t="s">
        <v>911</v>
      </c>
      <c r="D212" s="11"/>
    </row>
    <row r="213" ht="45.0" hidden="1" customHeight="1">
      <c r="A213" s="11" t="s">
        <v>914</v>
      </c>
      <c r="B213" s="11"/>
      <c r="C213" s="93" t="s">
        <v>1811</v>
      </c>
      <c r="D213" s="11"/>
    </row>
    <row r="214" ht="45.0" hidden="1" customHeight="1">
      <c r="A214" s="11" t="s">
        <v>918</v>
      </c>
      <c r="B214" s="11"/>
      <c r="C214" s="93" t="s">
        <v>1820</v>
      </c>
      <c r="D214" s="11"/>
    </row>
    <row r="215" ht="45.0" hidden="1" customHeight="1">
      <c r="A215" s="11" t="s">
        <v>922</v>
      </c>
      <c r="B215" s="11"/>
      <c r="C215" s="93" t="s">
        <v>923</v>
      </c>
      <c r="D215" s="11"/>
    </row>
    <row r="216" ht="45.0" hidden="1" customHeight="1">
      <c r="A216" s="11" t="s">
        <v>926</v>
      </c>
      <c r="B216" s="11"/>
      <c r="C216" s="93" t="s">
        <v>927</v>
      </c>
      <c r="D216" s="11"/>
    </row>
    <row r="217" ht="45.0" hidden="1" customHeight="1">
      <c r="A217" s="11" t="s">
        <v>929</v>
      </c>
      <c r="B217" s="11"/>
      <c r="C217" s="93" t="s">
        <v>930</v>
      </c>
      <c r="D217" s="11"/>
    </row>
    <row r="218" ht="45.0" hidden="1" customHeight="1">
      <c r="A218" s="11" t="s">
        <v>939</v>
      </c>
      <c r="B218" s="11"/>
      <c r="C218" s="93" t="s">
        <v>940</v>
      </c>
      <c r="D218" s="11"/>
    </row>
    <row r="219" ht="45.0" hidden="1" customHeight="1">
      <c r="A219" s="11" t="s">
        <v>942</v>
      </c>
      <c r="B219" s="11"/>
      <c r="C219" s="93" t="s">
        <v>943</v>
      </c>
      <c r="D219" s="11"/>
    </row>
    <row r="220" ht="45.0" hidden="1" customHeight="1">
      <c r="A220" s="11" t="s">
        <v>946</v>
      </c>
      <c r="B220" s="11"/>
      <c r="C220" s="93" t="s">
        <v>947</v>
      </c>
      <c r="D220" s="11"/>
    </row>
    <row r="221" ht="45.0" hidden="1" customHeight="1">
      <c r="A221" s="11" t="s">
        <v>949</v>
      </c>
      <c r="B221" s="11"/>
      <c r="C221" s="93" t="s">
        <v>950</v>
      </c>
      <c r="D221" s="11"/>
    </row>
    <row r="222" ht="45.0" hidden="1" customHeight="1">
      <c r="A222" s="11" t="s">
        <v>953</v>
      </c>
      <c r="B222" s="11" t="s">
        <v>2448</v>
      </c>
      <c r="C222" s="93" t="s">
        <v>1958</v>
      </c>
      <c r="D222" s="11"/>
    </row>
    <row r="223" ht="45.0" hidden="1" customHeight="1">
      <c r="A223" s="11" t="s">
        <v>957</v>
      </c>
      <c r="B223" s="11"/>
      <c r="C223" s="93" t="s">
        <v>1760</v>
      </c>
      <c r="D223" s="11"/>
    </row>
    <row r="224" ht="45.0" hidden="1" customHeight="1">
      <c r="A224" s="11" t="s">
        <v>961</v>
      </c>
      <c r="B224" s="11"/>
      <c r="C224" s="93" t="s">
        <v>962</v>
      </c>
      <c r="D224" s="11"/>
    </row>
    <row r="225" ht="45.0" hidden="1" customHeight="1">
      <c r="A225" s="222" t="s">
        <v>965</v>
      </c>
      <c r="B225" s="222" t="s">
        <v>2370</v>
      </c>
      <c r="C225" s="232" t="s">
        <v>1959</v>
      </c>
      <c r="D225" s="222"/>
    </row>
    <row r="226" ht="45.0" customHeight="1">
      <c r="A226" s="11" t="s">
        <v>969</v>
      </c>
      <c r="B226" s="11" t="s">
        <v>2095</v>
      </c>
      <c r="C226" s="93" t="s">
        <v>970</v>
      </c>
      <c r="D226" s="661">
        <v>1.0</v>
      </c>
    </row>
    <row r="227" ht="45.0" customHeight="1">
      <c r="A227" s="11" t="s">
        <v>973</v>
      </c>
      <c r="B227" s="11" t="s">
        <v>2096</v>
      </c>
      <c r="C227" s="93" t="s">
        <v>974</v>
      </c>
      <c r="D227" s="661">
        <v>1.0</v>
      </c>
    </row>
    <row r="228" ht="45.0" customHeight="1">
      <c r="A228" s="11" t="s">
        <v>976</v>
      </c>
      <c r="B228" s="11" t="s">
        <v>2095</v>
      </c>
      <c r="C228" s="93" t="s">
        <v>977</v>
      </c>
      <c r="D228" s="661">
        <v>1.0</v>
      </c>
    </row>
    <row r="229" ht="45.0" hidden="1" customHeight="1">
      <c r="A229" s="11" t="s">
        <v>979</v>
      </c>
      <c r="B229" s="11"/>
      <c r="C229" s="93" t="s">
        <v>980</v>
      </c>
      <c r="D229" s="11"/>
    </row>
    <row r="230" ht="45.0" hidden="1" customHeight="1">
      <c r="A230" s="11" t="s">
        <v>984</v>
      </c>
      <c r="B230" s="11"/>
      <c r="C230" s="93" t="s">
        <v>985</v>
      </c>
      <c r="D230" s="11"/>
    </row>
    <row r="231" ht="45.0" hidden="1" customHeight="1">
      <c r="A231" s="11" t="s">
        <v>988</v>
      </c>
      <c r="B231" s="11"/>
      <c r="C231" s="93" t="s">
        <v>989</v>
      </c>
      <c r="D231" s="11"/>
    </row>
    <row r="232" ht="45.0" hidden="1" customHeight="1">
      <c r="A232" s="222" t="s">
        <v>992</v>
      </c>
      <c r="B232" s="222"/>
      <c r="C232" s="232" t="s">
        <v>993</v>
      </c>
      <c r="D232" s="222"/>
    </row>
    <row r="233" ht="45.0" hidden="1" customHeight="1">
      <c r="A233" s="222" t="s">
        <v>996</v>
      </c>
      <c r="B233" s="222"/>
      <c r="C233" s="232" t="s">
        <v>997</v>
      </c>
      <c r="D233" s="222"/>
    </row>
    <row r="234" ht="45.0" hidden="1" customHeight="1">
      <c r="A234" s="222" t="s">
        <v>999</v>
      </c>
      <c r="B234" s="222"/>
      <c r="C234" s="232" t="s">
        <v>1000</v>
      </c>
      <c r="D234" s="222"/>
    </row>
    <row r="235" ht="45.0" hidden="1" customHeight="1">
      <c r="A235" s="222" t="s">
        <v>1003</v>
      </c>
      <c r="B235" s="222" t="s">
        <v>2434</v>
      </c>
      <c r="C235" s="232" t="s">
        <v>1004</v>
      </c>
      <c r="D235" s="222"/>
    </row>
    <row r="236" ht="45.0" hidden="1" customHeight="1">
      <c r="A236" s="11" t="s">
        <v>1007</v>
      </c>
      <c r="B236" s="11"/>
      <c r="C236" s="93" t="s">
        <v>1008</v>
      </c>
      <c r="D236" s="11"/>
    </row>
    <row r="237" ht="45.0" hidden="1" customHeight="1">
      <c r="A237" s="11" t="s">
        <v>1011</v>
      </c>
      <c r="B237" s="11"/>
      <c r="C237" s="93" t="s">
        <v>1012</v>
      </c>
      <c r="D237" s="11"/>
    </row>
    <row r="238" ht="45.0" hidden="1" customHeight="1">
      <c r="A238" s="11" t="s">
        <v>1015</v>
      </c>
      <c r="B238" s="11"/>
      <c r="C238" s="93" t="s">
        <v>1016</v>
      </c>
      <c r="D238" s="11"/>
    </row>
    <row r="239" ht="45.0" hidden="1" customHeight="1">
      <c r="A239" s="222" t="s">
        <v>1018</v>
      </c>
      <c r="B239" s="222"/>
      <c r="C239" s="232" t="s">
        <v>1019</v>
      </c>
      <c r="D239" s="222"/>
    </row>
    <row r="240" ht="45.0" hidden="1" customHeight="1">
      <c r="A240" s="11" t="s">
        <v>1022</v>
      </c>
      <c r="B240" s="11"/>
      <c r="C240" s="93" t="s">
        <v>1023</v>
      </c>
      <c r="D240" s="11"/>
    </row>
    <row r="241" ht="45.0" hidden="1" customHeight="1">
      <c r="A241" s="11" t="s">
        <v>1026</v>
      </c>
      <c r="B241" s="11"/>
      <c r="C241" s="93" t="s">
        <v>1027</v>
      </c>
      <c r="D241" s="11"/>
    </row>
    <row r="242" ht="45.0" customHeight="1">
      <c r="A242" s="11" t="s">
        <v>1030</v>
      </c>
      <c r="B242" s="11" t="s">
        <v>2050</v>
      </c>
      <c r="C242" s="93" t="s">
        <v>1031</v>
      </c>
      <c r="D242" s="661">
        <v>1.0</v>
      </c>
    </row>
    <row r="243" ht="45.0" customHeight="1">
      <c r="A243" s="11" t="s">
        <v>1035</v>
      </c>
      <c r="B243" s="11" t="s">
        <v>2050</v>
      </c>
      <c r="C243" s="93" t="s">
        <v>1036</v>
      </c>
      <c r="D243" s="661">
        <v>2.0</v>
      </c>
    </row>
    <row r="244" ht="45.0" customHeight="1">
      <c r="A244" s="11" t="s">
        <v>1035</v>
      </c>
      <c r="B244" s="11" t="s">
        <v>2050</v>
      </c>
      <c r="C244" s="93" t="s">
        <v>1036</v>
      </c>
      <c r="D244" s="661">
        <v>2.0</v>
      </c>
    </row>
    <row r="245" ht="45.0" customHeight="1">
      <c r="A245" s="11" t="s">
        <v>1038</v>
      </c>
      <c r="B245" s="11" t="s">
        <v>2050</v>
      </c>
      <c r="C245" s="93" t="s">
        <v>1039</v>
      </c>
      <c r="D245" s="661">
        <v>1.0</v>
      </c>
    </row>
    <row r="246" ht="45.0" customHeight="1">
      <c r="A246" s="11" t="s">
        <v>1042</v>
      </c>
      <c r="B246" s="11" t="s">
        <v>2050</v>
      </c>
      <c r="C246" s="93" t="s">
        <v>1043</v>
      </c>
      <c r="D246" s="661">
        <v>1.0</v>
      </c>
    </row>
    <row r="247" ht="45.0" customHeight="1">
      <c r="A247" s="11" t="s">
        <v>1046</v>
      </c>
      <c r="B247" s="11" t="s">
        <v>2050</v>
      </c>
      <c r="C247" s="93" t="s">
        <v>1047</v>
      </c>
      <c r="D247" s="661">
        <v>1.0</v>
      </c>
    </row>
    <row r="248" ht="45.0" customHeight="1">
      <c r="A248" s="11" t="s">
        <v>1050</v>
      </c>
      <c r="B248" s="11" t="s">
        <v>2050</v>
      </c>
      <c r="C248" s="93" t="s">
        <v>1051</v>
      </c>
      <c r="D248" s="661">
        <v>1.0</v>
      </c>
    </row>
    <row r="249" ht="45.0" customHeight="1">
      <c r="A249" s="11" t="s">
        <v>1054</v>
      </c>
      <c r="B249" s="11" t="s">
        <v>2050</v>
      </c>
      <c r="C249" s="93" t="s">
        <v>1055</v>
      </c>
      <c r="D249" s="661">
        <v>1.0</v>
      </c>
    </row>
    <row r="250" ht="45.0" customHeight="1">
      <c r="A250" s="11" t="s">
        <v>1058</v>
      </c>
      <c r="B250" s="11" t="s">
        <v>2050</v>
      </c>
      <c r="C250" s="93" t="s">
        <v>1059</v>
      </c>
      <c r="D250" s="661">
        <v>1.0</v>
      </c>
    </row>
    <row r="251" ht="45.0" customHeight="1">
      <c r="A251" s="11" t="s">
        <v>1062</v>
      </c>
      <c r="B251" s="11" t="s">
        <v>2195</v>
      </c>
      <c r="C251" s="93" t="s">
        <v>1063</v>
      </c>
      <c r="D251" s="661">
        <v>2.0</v>
      </c>
    </row>
    <row r="252" ht="45.0" customHeight="1">
      <c r="A252" s="11" t="s">
        <v>1062</v>
      </c>
      <c r="B252" s="11" t="s">
        <v>2195</v>
      </c>
      <c r="C252" s="93" t="s">
        <v>1063</v>
      </c>
      <c r="D252" s="661">
        <v>2.0</v>
      </c>
    </row>
    <row r="253" ht="45.0" customHeight="1">
      <c r="A253" s="11" t="s">
        <v>1066</v>
      </c>
      <c r="B253" s="11" t="s">
        <v>2050</v>
      </c>
      <c r="C253" s="93" t="s">
        <v>1067</v>
      </c>
      <c r="D253" s="661">
        <v>1.0</v>
      </c>
    </row>
    <row r="254" ht="45.0" customHeight="1">
      <c r="A254" s="11" t="s">
        <v>1070</v>
      </c>
      <c r="B254" s="11" t="s">
        <v>2209</v>
      </c>
      <c r="C254" s="93" t="s">
        <v>1071</v>
      </c>
      <c r="D254" s="661">
        <v>10.0</v>
      </c>
    </row>
    <row r="255" ht="45.0" customHeight="1">
      <c r="A255" s="11" t="s">
        <v>1070</v>
      </c>
      <c r="B255" s="11" t="s">
        <v>2209</v>
      </c>
      <c r="C255" s="93" t="s">
        <v>1071</v>
      </c>
      <c r="D255" s="661">
        <v>10.0</v>
      </c>
    </row>
    <row r="256" ht="45.0" customHeight="1">
      <c r="A256" s="11" t="s">
        <v>1070</v>
      </c>
      <c r="B256" s="11" t="s">
        <v>2209</v>
      </c>
      <c r="C256" s="93" t="s">
        <v>1071</v>
      </c>
      <c r="D256" s="661">
        <v>10.0</v>
      </c>
    </row>
    <row r="257" ht="45.0" customHeight="1">
      <c r="A257" s="11" t="s">
        <v>1070</v>
      </c>
      <c r="B257" s="11" t="s">
        <v>2209</v>
      </c>
      <c r="C257" s="93" t="s">
        <v>1071</v>
      </c>
      <c r="D257" s="661">
        <v>10.0</v>
      </c>
    </row>
    <row r="258" ht="45.0" customHeight="1">
      <c r="A258" s="11" t="s">
        <v>1070</v>
      </c>
      <c r="B258" s="11" t="s">
        <v>2209</v>
      </c>
      <c r="C258" s="93" t="s">
        <v>1071</v>
      </c>
      <c r="D258" s="661">
        <v>10.0</v>
      </c>
    </row>
    <row r="259" ht="45.0" customHeight="1">
      <c r="A259" s="11" t="s">
        <v>1070</v>
      </c>
      <c r="B259" s="11" t="s">
        <v>2209</v>
      </c>
      <c r="C259" s="93" t="s">
        <v>1071</v>
      </c>
      <c r="D259" s="661">
        <v>10.0</v>
      </c>
    </row>
    <row r="260" ht="45.0" customHeight="1">
      <c r="A260" s="11" t="s">
        <v>1070</v>
      </c>
      <c r="B260" s="11" t="s">
        <v>2209</v>
      </c>
      <c r="C260" s="93" t="s">
        <v>1071</v>
      </c>
      <c r="D260" s="661">
        <v>10.0</v>
      </c>
    </row>
    <row r="261" ht="45.0" customHeight="1">
      <c r="A261" s="11" t="s">
        <v>1070</v>
      </c>
      <c r="B261" s="11" t="s">
        <v>2209</v>
      </c>
      <c r="C261" s="93" t="s">
        <v>1071</v>
      </c>
      <c r="D261" s="661">
        <v>10.0</v>
      </c>
    </row>
    <row r="262" ht="45.0" customHeight="1">
      <c r="A262" s="11" t="s">
        <v>1070</v>
      </c>
      <c r="B262" s="11" t="s">
        <v>2209</v>
      </c>
      <c r="C262" s="93" t="s">
        <v>1071</v>
      </c>
      <c r="D262" s="661">
        <v>10.0</v>
      </c>
    </row>
    <row r="263" ht="45.0" customHeight="1">
      <c r="A263" s="11" t="s">
        <v>1070</v>
      </c>
      <c r="B263" s="11" t="s">
        <v>2209</v>
      </c>
      <c r="C263" s="93" t="s">
        <v>1071</v>
      </c>
      <c r="D263" s="661">
        <v>10.0</v>
      </c>
    </row>
    <row r="264" ht="45.0" customHeight="1">
      <c r="A264" s="11" t="s">
        <v>1074</v>
      </c>
      <c r="B264" s="11" t="s">
        <v>2050</v>
      </c>
      <c r="C264" s="93" t="s">
        <v>1075</v>
      </c>
      <c r="D264" s="661">
        <v>4.0</v>
      </c>
    </row>
    <row r="265" ht="45.0" customHeight="1">
      <c r="A265" s="11" t="s">
        <v>1074</v>
      </c>
      <c r="B265" s="11" t="s">
        <v>2050</v>
      </c>
      <c r="C265" s="93" t="s">
        <v>1075</v>
      </c>
      <c r="D265" s="661">
        <v>4.0</v>
      </c>
    </row>
    <row r="266" ht="45.0" customHeight="1">
      <c r="A266" s="11" t="s">
        <v>1074</v>
      </c>
      <c r="B266" s="11" t="s">
        <v>2050</v>
      </c>
      <c r="C266" s="93" t="s">
        <v>1075</v>
      </c>
      <c r="D266" s="661">
        <v>4.0</v>
      </c>
    </row>
    <row r="267" ht="45.0" customHeight="1">
      <c r="A267" s="11" t="s">
        <v>1074</v>
      </c>
      <c r="B267" s="11" t="s">
        <v>2050</v>
      </c>
      <c r="C267" s="93" t="s">
        <v>1075</v>
      </c>
      <c r="D267" s="661">
        <v>4.0</v>
      </c>
    </row>
    <row r="268" ht="45.0" hidden="1" customHeight="1">
      <c r="A268" s="11" t="s">
        <v>1077</v>
      </c>
      <c r="B268" s="11" t="s">
        <v>2452</v>
      </c>
      <c r="C268" s="93" t="s">
        <v>1078</v>
      </c>
      <c r="D268" s="11"/>
    </row>
    <row r="269" ht="45.0" customHeight="1">
      <c r="A269" s="11" t="s">
        <v>1081</v>
      </c>
      <c r="B269" s="11" t="s">
        <v>2104</v>
      </c>
      <c r="C269" s="93" t="s">
        <v>1082</v>
      </c>
      <c r="D269" s="661">
        <v>1.0</v>
      </c>
    </row>
    <row r="270" ht="45.0" customHeight="1">
      <c r="A270" s="11" t="s">
        <v>1085</v>
      </c>
      <c r="B270" s="11" t="s">
        <v>2050</v>
      </c>
      <c r="C270" s="93" t="s">
        <v>1086</v>
      </c>
      <c r="D270" s="661">
        <v>1.0</v>
      </c>
    </row>
    <row r="271" ht="45.0" customHeight="1">
      <c r="A271" s="11" t="s">
        <v>1089</v>
      </c>
      <c r="B271" s="11" t="s">
        <v>2050</v>
      </c>
      <c r="C271" s="93" t="s">
        <v>1090</v>
      </c>
      <c r="D271" s="661">
        <v>2.0</v>
      </c>
    </row>
    <row r="272" ht="45.0" customHeight="1">
      <c r="A272" s="11" t="s">
        <v>1089</v>
      </c>
      <c r="B272" s="11" t="s">
        <v>2050</v>
      </c>
      <c r="C272" s="93" t="s">
        <v>1090</v>
      </c>
      <c r="D272" s="661">
        <v>2.0</v>
      </c>
    </row>
    <row r="273" ht="45.0" customHeight="1">
      <c r="A273" s="11" t="s">
        <v>1093</v>
      </c>
      <c r="B273" s="11" t="s">
        <v>2050</v>
      </c>
      <c r="C273" s="93" t="s">
        <v>1094</v>
      </c>
      <c r="D273" s="661">
        <v>2.0</v>
      </c>
    </row>
    <row r="274" ht="45.0" customHeight="1">
      <c r="A274" s="11" t="s">
        <v>1093</v>
      </c>
      <c r="B274" s="11" t="s">
        <v>2050</v>
      </c>
      <c r="C274" s="93" t="s">
        <v>1094</v>
      </c>
      <c r="D274" s="661">
        <v>2.0</v>
      </c>
    </row>
    <row r="275" ht="45.0" customHeight="1">
      <c r="A275" s="11" t="s">
        <v>1100</v>
      </c>
      <c r="B275" s="11" t="s">
        <v>2050</v>
      </c>
      <c r="C275" s="93" t="s">
        <v>1101</v>
      </c>
      <c r="D275" s="661">
        <v>1.0</v>
      </c>
    </row>
    <row r="276" ht="45.0" customHeight="1">
      <c r="A276" s="11" t="s">
        <v>1103</v>
      </c>
      <c r="B276" s="11" t="s">
        <v>2050</v>
      </c>
      <c r="C276" s="93" t="s">
        <v>1104</v>
      </c>
      <c r="D276" s="661">
        <v>1.0</v>
      </c>
    </row>
    <row r="277" ht="45.0" customHeight="1">
      <c r="A277" s="11" t="s">
        <v>1106</v>
      </c>
      <c r="B277" s="11" t="s">
        <v>2050</v>
      </c>
      <c r="C277" s="107" t="s">
        <v>1107</v>
      </c>
      <c r="D277" s="661">
        <v>1.0</v>
      </c>
    </row>
    <row r="278" ht="45.0" customHeight="1">
      <c r="A278" s="11" t="s">
        <v>1109</v>
      </c>
      <c r="B278" s="11" t="s">
        <v>2050</v>
      </c>
      <c r="C278" s="107" t="s">
        <v>1110</v>
      </c>
      <c r="D278" s="661">
        <v>1.0</v>
      </c>
    </row>
    <row r="279" ht="45.0" customHeight="1">
      <c r="A279" s="11" t="s">
        <v>1113</v>
      </c>
      <c r="B279" s="11" t="s">
        <v>2050</v>
      </c>
      <c r="C279" s="93" t="s">
        <v>1114</v>
      </c>
      <c r="D279" s="661">
        <v>1.0</v>
      </c>
    </row>
    <row r="280" ht="45.0" customHeight="1">
      <c r="A280" s="11" t="s">
        <v>1116</v>
      </c>
      <c r="B280" s="11" t="s">
        <v>2050</v>
      </c>
      <c r="C280" s="93" t="s">
        <v>1117</v>
      </c>
      <c r="D280" s="661">
        <v>1.0</v>
      </c>
    </row>
    <row r="281" ht="45.0" customHeight="1">
      <c r="A281" s="11" t="s">
        <v>1120</v>
      </c>
      <c r="B281" s="11" t="s">
        <v>2050</v>
      </c>
      <c r="C281" s="93" t="s">
        <v>1121</v>
      </c>
      <c r="D281" s="661">
        <v>1.0</v>
      </c>
    </row>
    <row r="282" ht="45.0" customHeight="1">
      <c r="A282" s="11" t="s">
        <v>1124</v>
      </c>
      <c r="B282" s="11" t="s">
        <v>2106</v>
      </c>
      <c r="C282" s="93" t="s">
        <v>1125</v>
      </c>
      <c r="D282" s="661">
        <v>1.0</v>
      </c>
    </row>
    <row r="283" ht="45.0" customHeight="1">
      <c r="A283" s="11" t="s">
        <v>1127</v>
      </c>
      <c r="B283" s="11" t="s">
        <v>2050</v>
      </c>
      <c r="C283" s="93" t="s">
        <v>1128</v>
      </c>
      <c r="D283" s="661">
        <v>1.0</v>
      </c>
    </row>
    <row r="284" ht="45.0" customHeight="1">
      <c r="A284" s="11" t="s">
        <v>1135</v>
      </c>
      <c r="B284" s="11" t="s">
        <v>2050</v>
      </c>
      <c r="C284" s="93" t="s">
        <v>1136</v>
      </c>
      <c r="D284" s="661">
        <v>1.0</v>
      </c>
    </row>
    <row r="285" ht="45.0" hidden="1" customHeight="1">
      <c r="A285" s="11" t="s">
        <v>1139</v>
      </c>
      <c r="B285" s="11" t="s">
        <v>2385</v>
      </c>
      <c r="C285" s="217" t="s">
        <v>1140</v>
      </c>
      <c r="D285" s="11"/>
    </row>
    <row r="286" ht="45.0" customHeight="1">
      <c r="A286" s="11" t="s">
        <v>1143</v>
      </c>
      <c r="B286" s="11" t="s">
        <v>2050</v>
      </c>
      <c r="C286" s="93" t="s">
        <v>1144</v>
      </c>
      <c r="D286" s="661">
        <v>1.0</v>
      </c>
    </row>
    <row r="287" ht="45.0" customHeight="1">
      <c r="A287" s="11" t="s">
        <v>1147</v>
      </c>
      <c r="B287" s="11" t="s">
        <v>2108</v>
      </c>
      <c r="C287" s="93" t="s">
        <v>1148</v>
      </c>
      <c r="D287" s="661">
        <v>1.0</v>
      </c>
    </row>
    <row r="288" ht="45.0" customHeight="1">
      <c r="A288" s="11" t="s">
        <v>1150</v>
      </c>
      <c r="B288" s="11" t="s">
        <v>2050</v>
      </c>
      <c r="C288" s="93" t="s">
        <v>1151</v>
      </c>
      <c r="D288" s="661">
        <v>2.0</v>
      </c>
    </row>
    <row r="289" ht="45.0" customHeight="1">
      <c r="A289" s="11" t="s">
        <v>1150</v>
      </c>
      <c r="B289" s="11" t="s">
        <v>2104</v>
      </c>
      <c r="C289" s="93" t="s">
        <v>1151</v>
      </c>
      <c r="D289" s="661">
        <v>2.0</v>
      </c>
    </row>
    <row r="290" ht="45.0" customHeight="1">
      <c r="A290" s="11" t="s">
        <v>1154</v>
      </c>
      <c r="B290" s="11" t="s">
        <v>2115</v>
      </c>
      <c r="C290" s="93" t="s">
        <v>2485</v>
      </c>
      <c r="D290" s="661">
        <v>1.0</v>
      </c>
    </row>
    <row r="291" ht="45.0" customHeight="1">
      <c r="A291" s="11" t="s">
        <v>1159</v>
      </c>
      <c r="B291" s="11" t="s">
        <v>2115</v>
      </c>
      <c r="C291" s="93" t="s">
        <v>2486</v>
      </c>
      <c r="D291" s="661">
        <v>1.0</v>
      </c>
    </row>
    <row r="292" ht="45.0" customHeight="1">
      <c r="A292" s="11" t="s">
        <v>1163</v>
      </c>
      <c r="B292" s="11" t="s">
        <v>2115</v>
      </c>
      <c r="C292" s="93" t="s">
        <v>1164</v>
      </c>
      <c r="D292" s="661">
        <v>1.0</v>
      </c>
    </row>
    <row r="293" ht="45.0" customHeight="1">
      <c r="A293" s="11" t="s">
        <v>1167</v>
      </c>
      <c r="B293" s="11" t="s">
        <v>2155</v>
      </c>
      <c r="C293" s="93" t="s">
        <v>1168</v>
      </c>
      <c r="D293" s="661">
        <v>1.0</v>
      </c>
    </row>
    <row r="294" ht="45.0" hidden="1" customHeight="1">
      <c r="A294" s="11" t="s">
        <v>1171</v>
      </c>
      <c r="B294" s="11" t="s">
        <v>2453</v>
      </c>
      <c r="C294" s="93" t="s">
        <v>1172</v>
      </c>
      <c r="D294" s="11"/>
    </row>
    <row r="295" ht="45.0" customHeight="1">
      <c r="A295" s="11" t="s">
        <v>1175</v>
      </c>
      <c r="B295" s="11" t="s">
        <v>2155</v>
      </c>
      <c r="C295" s="93" t="s">
        <v>1176</v>
      </c>
      <c r="D295" s="661">
        <v>1.0</v>
      </c>
    </row>
    <row r="296" ht="45.0" hidden="1" customHeight="1">
      <c r="A296" s="222" t="s">
        <v>1179</v>
      </c>
      <c r="B296" s="222" t="s">
        <v>2368</v>
      </c>
      <c r="C296" s="232" t="s">
        <v>1180</v>
      </c>
      <c r="D296" s="661"/>
    </row>
    <row r="297" ht="45.0" customHeight="1">
      <c r="A297" s="11" t="s">
        <v>1183</v>
      </c>
      <c r="B297" s="11" t="s">
        <v>2487</v>
      </c>
      <c r="C297" s="93" t="s">
        <v>1184</v>
      </c>
      <c r="D297" s="661">
        <v>1.0</v>
      </c>
    </row>
    <row r="298" ht="45.0" customHeight="1">
      <c r="A298" s="11" t="s">
        <v>1187</v>
      </c>
      <c r="B298" s="11" t="s">
        <v>2116</v>
      </c>
      <c r="C298" s="93" t="s">
        <v>2488</v>
      </c>
      <c r="D298" s="661">
        <v>3.0</v>
      </c>
    </row>
    <row r="299" ht="45.0" customHeight="1">
      <c r="A299" s="11" t="s">
        <v>1191</v>
      </c>
      <c r="B299" s="11" t="s">
        <v>2117</v>
      </c>
      <c r="C299" s="93" t="s">
        <v>1192</v>
      </c>
      <c r="D299" s="661">
        <v>1.0</v>
      </c>
    </row>
    <row r="300" ht="45.0" hidden="1" customHeight="1">
      <c r="A300" s="11" t="s">
        <v>1195</v>
      </c>
      <c r="B300" s="222" t="s">
        <v>2195</v>
      </c>
      <c r="C300" s="93" t="s">
        <v>1196</v>
      </c>
      <c r="D300" s="222"/>
    </row>
    <row r="301" ht="45.0" hidden="1" customHeight="1">
      <c r="A301" s="11" t="s">
        <v>1200</v>
      </c>
      <c r="B301" s="222" t="s">
        <v>2195</v>
      </c>
      <c r="C301" s="93" t="s">
        <v>1201</v>
      </c>
      <c r="D301" s="222"/>
    </row>
    <row r="302" ht="45.0" hidden="1" customHeight="1">
      <c r="A302" s="222" t="s">
        <v>1204</v>
      </c>
      <c r="B302" s="222" t="s">
        <v>2426</v>
      </c>
      <c r="C302" s="232" t="s">
        <v>1205</v>
      </c>
      <c r="D302" s="222"/>
    </row>
    <row r="303" ht="45.0" customHeight="1">
      <c r="A303" s="11" t="s">
        <v>1208</v>
      </c>
      <c r="B303" s="11" t="s">
        <v>2117</v>
      </c>
      <c r="C303" s="93" t="s">
        <v>1209</v>
      </c>
      <c r="D303" s="661">
        <v>1.0</v>
      </c>
    </row>
    <row r="304" ht="45.0" hidden="1" customHeight="1">
      <c r="A304" s="11" t="s">
        <v>1212</v>
      </c>
      <c r="B304" s="11" t="s">
        <v>2453</v>
      </c>
      <c r="C304" s="93" t="s">
        <v>1213</v>
      </c>
      <c r="D304" s="11"/>
    </row>
    <row r="305" ht="45.0" hidden="1" customHeight="1">
      <c r="A305" s="11" t="s">
        <v>1216</v>
      </c>
      <c r="B305" s="11" t="s">
        <v>2453</v>
      </c>
      <c r="C305" s="93" t="s">
        <v>1217</v>
      </c>
      <c r="D305" s="11"/>
    </row>
    <row r="306" ht="45.0" hidden="1" customHeight="1">
      <c r="A306" s="222" t="s">
        <v>1224</v>
      </c>
      <c r="B306" s="222" t="s">
        <v>2195</v>
      </c>
      <c r="C306" s="232" t="s">
        <v>1225</v>
      </c>
      <c r="D306" s="222"/>
    </row>
    <row r="307" ht="45.0" customHeight="1">
      <c r="A307" s="11" t="s">
        <v>1228</v>
      </c>
      <c r="B307" s="11" t="s">
        <v>2027</v>
      </c>
      <c r="C307" s="93" t="s">
        <v>1229</v>
      </c>
      <c r="D307" s="661">
        <v>1.0</v>
      </c>
    </row>
    <row r="308" ht="45.0" hidden="1" customHeight="1">
      <c r="A308" s="11" t="s">
        <v>1232</v>
      </c>
      <c r="B308" s="11" t="s">
        <v>2454</v>
      </c>
      <c r="C308" s="93" t="s">
        <v>1233</v>
      </c>
      <c r="D308" s="11"/>
    </row>
    <row r="309" ht="45.0" customHeight="1">
      <c r="A309" s="11" t="s">
        <v>1236</v>
      </c>
      <c r="B309" s="11" t="s">
        <v>2027</v>
      </c>
      <c r="C309" s="93" t="s">
        <v>1237</v>
      </c>
      <c r="D309" s="661">
        <v>2.0</v>
      </c>
    </row>
    <row r="310" ht="45.0" customHeight="1">
      <c r="A310" s="11" t="s">
        <v>1236</v>
      </c>
      <c r="B310" s="11" t="s">
        <v>2027</v>
      </c>
      <c r="C310" s="93" t="s">
        <v>1237</v>
      </c>
      <c r="D310" s="661">
        <v>2.0</v>
      </c>
    </row>
    <row r="311" ht="45.0" customHeight="1">
      <c r="A311" s="11" t="s">
        <v>1240</v>
      </c>
      <c r="B311" s="11" t="s">
        <v>2116</v>
      </c>
      <c r="C311" s="93" t="s">
        <v>1241</v>
      </c>
      <c r="D311" s="661">
        <v>2.0</v>
      </c>
    </row>
    <row r="312" ht="45.0" customHeight="1">
      <c r="A312" s="11" t="s">
        <v>1240</v>
      </c>
      <c r="B312" s="11" t="s">
        <v>2117</v>
      </c>
      <c r="C312" s="93" t="s">
        <v>1241</v>
      </c>
      <c r="D312" s="661">
        <v>2.0</v>
      </c>
    </row>
    <row r="313" ht="45.0" hidden="1" customHeight="1">
      <c r="A313" s="11" t="s">
        <v>1244</v>
      </c>
      <c r="B313" s="11" t="s">
        <v>2419</v>
      </c>
      <c r="C313" s="93" t="s">
        <v>1245</v>
      </c>
      <c r="D313" s="11"/>
    </row>
    <row r="314" ht="45.0" hidden="1" customHeight="1">
      <c r="A314" s="11" t="s">
        <v>1248</v>
      </c>
      <c r="B314" s="11"/>
      <c r="C314" s="93" t="s">
        <v>1249</v>
      </c>
      <c r="D314" s="11"/>
    </row>
    <row r="315" ht="45.0" hidden="1" customHeight="1">
      <c r="A315" s="11" t="s">
        <v>1253</v>
      </c>
      <c r="B315" s="11"/>
      <c r="C315" s="93" t="s">
        <v>1254</v>
      </c>
      <c r="D315" s="11"/>
    </row>
    <row r="316" ht="45.0" customHeight="1">
      <c r="A316" s="11" t="s">
        <v>1257</v>
      </c>
      <c r="B316" s="11" t="s">
        <v>2104</v>
      </c>
      <c r="C316" s="93" t="s">
        <v>1258</v>
      </c>
      <c r="D316" s="661">
        <v>1.0</v>
      </c>
    </row>
    <row r="317" ht="45.0" customHeight="1">
      <c r="A317" s="11" t="s">
        <v>1261</v>
      </c>
      <c r="B317" s="11" t="s">
        <v>2104</v>
      </c>
      <c r="C317" s="93" t="s">
        <v>1262</v>
      </c>
      <c r="D317" s="661">
        <v>1.0</v>
      </c>
    </row>
    <row r="318" ht="45.0" customHeight="1">
      <c r="A318" s="11" t="s">
        <v>1265</v>
      </c>
      <c r="B318" s="11" t="s">
        <v>2104</v>
      </c>
      <c r="C318" s="93" t="s">
        <v>1266</v>
      </c>
      <c r="D318" s="661">
        <v>1.0</v>
      </c>
    </row>
    <row r="319" ht="45.0" customHeight="1">
      <c r="A319" s="11" t="s">
        <v>1269</v>
      </c>
      <c r="B319" s="11" t="s">
        <v>2027</v>
      </c>
      <c r="C319" s="93" t="s">
        <v>1270</v>
      </c>
      <c r="D319" s="661">
        <v>1.0</v>
      </c>
    </row>
    <row r="320" ht="45.0" customHeight="1">
      <c r="A320" s="11" t="s">
        <v>1273</v>
      </c>
      <c r="B320" s="11" t="s">
        <v>2124</v>
      </c>
      <c r="C320" s="93" t="s">
        <v>1274</v>
      </c>
      <c r="D320" s="661">
        <v>1.0</v>
      </c>
    </row>
    <row r="321" ht="45.0" customHeight="1">
      <c r="A321" s="11" t="s">
        <v>1277</v>
      </c>
      <c r="B321" s="11" t="s">
        <v>2050</v>
      </c>
      <c r="C321" s="93" t="s">
        <v>1278</v>
      </c>
      <c r="D321" s="661">
        <v>1.0</v>
      </c>
    </row>
    <row r="322" ht="45.0" customHeight="1">
      <c r="A322" s="11" t="s">
        <v>1280</v>
      </c>
      <c r="B322" s="11" t="s">
        <v>2124</v>
      </c>
      <c r="C322" s="93" t="s">
        <v>1281</v>
      </c>
      <c r="D322" s="661">
        <v>1.0</v>
      </c>
    </row>
    <row r="323" ht="45.0" customHeight="1">
      <c r="A323" s="11" t="s">
        <v>1284</v>
      </c>
      <c r="B323" s="11" t="s">
        <v>2124</v>
      </c>
      <c r="C323" s="93" t="s">
        <v>1285</v>
      </c>
      <c r="D323" s="661">
        <v>1.0</v>
      </c>
    </row>
    <row r="324" ht="45.0" customHeight="1">
      <c r="A324" s="11" t="s">
        <v>1287</v>
      </c>
      <c r="B324" s="11" t="s">
        <v>2124</v>
      </c>
      <c r="C324" s="93" t="s">
        <v>1288</v>
      </c>
      <c r="D324" s="661">
        <v>1.0</v>
      </c>
    </row>
    <row r="325" ht="45.0" customHeight="1">
      <c r="A325" s="11" t="s">
        <v>1290</v>
      </c>
      <c r="B325" s="11" t="s">
        <v>2124</v>
      </c>
      <c r="C325" s="93" t="s">
        <v>1291</v>
      </c>
      <c r="D325" s="661">
        <v>1.0</v>
      </c>
    </row>
    <row r="326" ht="45.0" customHeight="1">
      <c r="A326" s="11" t="s">
        <v>1293</v>
      </c>
      <c r="B326" s="11" t="s">
        <v>2124</v>
      </c>
      <c r="C326" s="93" t="s">
        <v>1294</v>
      </c>
      <c r="D326" s="661">
        <v>1.0</v>
      </c>
    </row>
    <row r="327" ht="45.0" hidden="1" customHeight="1">
      <c r="A327" s="11" t="s">
        <v>1297</v>
      </c>
      <c r="B327" s="222" t="s">
        <v>2195</v>
      </c>
      <c r="C327" s="93" t="s">
        <v>1976</v>
      </c>
      <c r="D327" s="222"/>
    </row>
    <row r="328" ht="45.0" customHeight="1">
      <c r="A328" s="11" t="s">
        <v>1301</v>
      </c>
      <c r="B328" s="11" t="s">
        <v>2027</v>
      </c>
      <c r="C328" s="93" t="s">
        <v>1302</v>
      </c>
      <c r="D328" s="661">
        <v>1.0</v>
      </c>
    </row>
    <row r="329" ht="45.0" customHeight="1">
      <c r="A329" s="11" t="s">
        <v>1305</v>
      </c>
      <c r="B329" s="11" t="s">
        <v>2027</v>
      </c>
      <c r="C329" s="93" t="s">
        <v>1306</v>
      </c>
      <c r="D329" s="661">
        <v>1.0</v>
      </c>
    </row>
    <row r="330" ht="45.0" customHeight="1">
      <c r="A330" s="11" t="s">
        <v>1309</v>
      </c>
      <c r="B330" s="11" t="s">
        <v>2027</v>
      </c>
      <c r="C330" s="93" t="s">
        <v>1310</v>
      </c>
      <c r="D330" s="661">
        <v>1.0</v>
      </c>
    </row>
    <row r="331" ht="45.0" customHeight="1">
      <c r="A331" s="11" t="s">
        <v>1313</v>
      </c>
      <c r="B331" s="11" t="s">
        <v>2027</v>
      </c>
      <c r="C331" s="93" t="s">
        <v>1314</v>
      </c>
      <c r="D331" s="661">
        <v>1.0</v>
      </c>
    </row>
    <row r="332" ht="45.0" customHeight="1">
      <c r="A332" s="11" t="s">
        <v>1317</v>
      </c>
      <c r="B332" s="11" t="s">
        <v>2050</v>
      </c>
      <c r="C332" s="93" t="s">
        <v>1318</v>
      </c>
      <c r="D332" s="661">
        <v>2.0</v>
      </c>
    </row>
    <row r="333" ht="45.0" customHeight="1">
      <c r="A333" s="11" t="s">
        <v>1317</v>
      </c>
      <c r="B333" s="11" t="s">
        <v>2050</v>
      </c>
      <c r="C333" s="93" t="s">
        <v>1318</v>
      </c>
      <c r="D333" s="661">
        <v>2.0</v>
      </c>
    </row>
    <row r="334" ht="45.0" customHeight="1">
      <c r="A334" s="11" t="s">
        <v>1321</v>
      </c>
      <c r="B334" s="11" t="s">
        <v>2027</v>
      </c>
      <c r="C334" s="93" t="s">
        <v>1322</v>
      </c>
      <c r="D334" s="661">
        <v>1.0</v>
      </c>
    </row>
    <row r="335" ht="45.0" customHeight="1">
      <c r="A335" s="11" t="s">
        <v>1324</v>
      </c>
      <c r="B335" s="11" t="s">
        <v>2050</v>
      </c>
      <c r="C335" s="93" t="s">
        <v>1325</v>
      </c>
      <c r="D335" s="661">
        <v>1.0</v>
      </c>
    </row>
    <row r="336" ht="45.0" customHeight="1">
      <c r="A336" s="11" t="s">
        <v>1328</v>
      </c>
      <c r="B336" s="11" t="s">
        <v>2261</v>
      </c>
      <c r="C336" s="93" t="s">
        <v>1329</v>
      </c>
      <c r="D336" s="661">
        <v>1.0</v>
      </c>
    </row>
    <row r="337" ht="45.0" hidden="1" customHeight="1">
      <c r="A337" s="11" t="s">
        <v>1338</v>
      </c>
      <c r="B337" s="11" t="s">
        <v>2261</v>
      </c>
      <c r="C337" s="93" t="s">
        <v>1339</v>
      </c>
      <c r="D337" s="661"/>
    </row>
    <row r="338" ht="45.0" customHeight="1">
      <c r="A338" s="11" t="s">
        <v>1349</v>
      </c>
      <c r="B338" s="11" t="s">
        <v>2128</v>
      </c>
      <c r="C338" s="93" t="s">
        <v>1350</v>
      </c>
      <c r="D338" s="661">
        <v>1.0</v>
      </c>
    </row>
    <row r="339" ht="45.0" customHeight="1">
      <c r="A339" s="11" t="s">
        <v>1353</v>
      </c>
      <c r="B339" s="11" t="s">
        <v>2128</v>
      </c>
      <c r="C339" s="93" t="s">
        <v>1354</v>
      </c>
      <c r="D339" s="661">
        <v>1.0</v>
      </c>
    </row>
    <row r="340" ht="45.0" hidden="1" customHeight="1">
      <c r="A340" s="11" t="s">
        <v>1357</v>
      </c>
      <c r="B340" s="11"/>
      <c r="C340" s="93" t="s">
        <v>1358</v>
      </c>
      <c r="D340" s="11"/>
    </row>
    <row r="341" ht="45.0" hidden="1" customHeight="1">
      <c r="A341" s="11" t="s">
        <v>1362</v>
      </c>
      <c r="B341" s="11"/>
      <c r="C341" s="93" t="s">
        <v>1363</v>
      </c>
      <c r="D341" s="11"/>
    </row>
    <row r="342" ht="45.0" hidden="1" customHeight="1">
      <c r="A342" s="11" t="s">
        <v>1366</v>
      </c>
      <c r="B342" s="11"/>
      <c r="C342" s="93" t="s">
        <v>1367</v>
      </c>
      <c r="D342" s="11"/>
    </row>
    <row r="343" ht="45.0" hidden="1" customHeight="1">
      <c r="A343" s="11" t="s">
        <v>1371</v>
      </c>
      <c r="B343" s="11"/>
      <c r="C343" s="93" t="s">
        <v>1372</v>
      </c>
      <c r="D343" s="11"/>
    </row>
    <row r="344" ht="45.0" hidden="1" customHeight="1">
      <c r="A344" s="11" t="s">
        <v>1375</v>
      </c>
      <c r="B344" s="11"/>
      <c r="C344" s="93" t="s">
        <v>1376</v>
      </c>
      <c r="D344" s="11"/>
    </row>
    <row r="345" ht="45.0" hidden="1" customHeight="1">
      <c r="A345" s="11" t="s">
        <v>1379</v>
      </c>
      <c r="B345" s="11"/>
      <c r="C345" s="93" t="s">
        <v>1380</v>
      </c>
      <c r="D345" s="11"/>
    </row>
    <row r="346" ht="45.0" hidden="1" customHeight="1">
      <c r="A346" s="11" t="s">
        <v>1383</v>
      </c>
      <c r="B346" s="11"/>
      <c r="C346" s="93" t="s">
        <v>1384</v>
      </c>
      <c r="D346" s="11"/>
    </row>
    <row r="347" ht="45.0" hidden="1" customHeight="1">
      <c r="A347" s="11" t="s">
        <v>1387</v>
      </c>
      <c r="B347" s="11"/>
      <c r="C347" s="93" t="s">
        <v>1388</v>
      </c>
      <c r="D347" s="11"/>
    </row>
    <row r="348" ht="45.0" hidden="1" customHeight="1">
      <c r="A348" s="11" t="s">
        <v>1394</v>
      </c>
      <c r="B348" s="11"/>
      <c r="C348" s="93" t="s">
        <v>1395</v>
      </c>
      <c r="D348" s="11"/>
    </row>
    <row r="349" ht="45.0" customHeight="1">
      <c r="A349" s="11" t="s">
        <v>1398</v>
      </c>
      <c r="B349" s="11" t="s">
        <v>2136</v>
      </c>
      <c r="C349" s="93" t="s">
        <v>1399</v>
      </c>
      <c r="D349" s="661">
        <v>1.0</v>
      </c>
    </row>
    <row r="350" ht="45.0" customHeight="1">
      <c r="A350" s="11" t="s">
        <v>1403</v>
      </c>
      <c r="B350" s="11" t="s">
        <v>2136</v>
      </c>
      <c r="C350" s="93" t="s">
        <v>1404</v>
      </c>
      <c r="D350" s="661">
        <v>1.0</v>
      </c>
    </row>
    <row r="351" ht="45.0" hidden="1" customHeight="1">
      <c r="A351" s="222" t="s">
        <v>1411</v>
      </c>
      <c r="B351" s="222" t="s">
        <v>2138</v>
      </c>
      <c r="C351" s="232" t="s">
        <v>1412</v>
      </c>
      <c r="D351" s="222"/>
    </row>
    <row r="352" ht="45.0" customHeight="1">
      <c r="A352" s="11" t="s">
        <v>1415</v>
      </c>
      <c r="B352" s="11" t="s">
        <v>2136</v>
      </c>
      <c r="C352" s="93" t="s">
        <v>1416</v>
      </c>
      <c r="D352" s="661">
        <v>1.0</v>
      </c>
    </row>
    <row r="353" ht="45.0" hidden="1" customHeight="1">
      <c r="A353" s="11" t="s">
        <v>1424</v>
      </c>
      <c r="B353" s="11"/>
      <c r="C353" s="93" t="s">
        <v>1425</v>
      </c>
      <c r="D353" s="11"/>
    </row>
    <row r="354" ht="45.0" hidden="1" customHeight="1">
      <c r="A354" s="11" t="s">
        <v>1429</v>
      </c>
      <c r="B354" s="11" t="s">
        <v>2139</v>
      </c>
      <c r="C354" s="93" t="s">
        <v>1981</v>
      </c>
      <c r="D354" s="11"/>
    </row>
    <row r="355" ht="45.0" hidden="1" customHeight="1">
      <c r="A355" s="222" t="s">
        <v>1442</v>
      </c>
      <c r="B355" s="222" t="s">
        <v>2438</v>
      </c>
      <c r="C355" s="232" t="s">
        <v>936</v>
      </c>
      <c r="D355" s="222"/>
    </row>
    <row r="356" ht="45.0" customHeight="1">
      <c r="A356" s="11" t="s">
        <v>1474</v>
      </c>
      <c r="B356" s="11" t="s">
        <v>2144</v>
      </c>
      <c r="C356" s="93" t="s">
        <v>1475</v>
      </c>
      <c r="D356" s="661">
        <v>1.0</v>
      </c>
    </row>
    <row r="357" ht="45.0" customHeight="1">
      <c r="A357" s="11" t="s">
        <v>1480</v>
      </c>
      <c r="B357" s="11" t="s">
        <v>2144</v>
      </c>
      <c r="C357" s="93" t="s">
        <v>1481</v>
      </c>
      <c r="D357" s="661">
        <v>1.0</v>
      </c>
    </row>
    <row r="358" ht="45.0" customHeight="1">
      <c r="A358" s="11" t="s">
        <v>1484</v>
      </c>
      <c r="B358" s="11" t="s">
        <v>2144</v>
      </c>
      <c r="C358" s="93" t="s">
        <v>1485</v>
      </c>
      <c r="D358" s="661">
        <v>1.0</v>
      </c>
    </row>
    <row r="359" ht="45.0" customHeight="1">
      <c r="A359" s="11" t="s">
        <v>1488</v>
      </c>
      <c r="B359" s="11" t="s">
        <v>2489</v>
      </c>
      <c r="C359" s="93" t="s">
        <v>1489</v>
      </c>
      <c r="D359" s="661">
        <v>1.0</v>
      </c>
    </row>
    <row r="360" ht="45.0" customHeight="1">
      <c r="A360" s="11" t="s">
        <v>1492</v>
      </c>
      <c r="B360" s="11" t="s">
        <v>2489</v>
      </c>
      <c r="C360" s="93" t="s">
        <v>1493</v>
      </c>
      <c r="D360" s="661">
        <v>1.0</v>
      </c>
    </row>
    <row r="361" ht="45.0" customHeight="1">
      <c r="A361" s="11" t="s">
        <v>1496</v>
      </c>
      <c r="B361" s="11" t="s">
        <v>2489</v>
      </c>
      <c r="C361" s="93" t="s">
        <v>1497</v>
      </c>
      <c r="D361" s="661">
        <v>1.0</v>
      </c>
    </row>
    <row r="362" ht="45.0" hidden="1" customHeight="1">
      <c r="A362" s="254" t="s">
        <v>1500</v>
      </c>
      <c r="B362" s="11" t="s">
        <v>2124</v>
      </c>
      <c r="C362" s="362" t="s">
        <v>1501</v>
      </c>
      <c r="D362" s="11"/>
    </row>
    <row r="363" ht="45.0" hidden="1" customHeight="1">
      <c r="A363" s="222" t="s">
        <v>1504</v>
      </c>
      <c r="B363" s="11" t="s">
        <v>2124</v>
      </c>
      <c r="C363" s="232" t="s">
        <v>1505</v>
      </c>
      <c r="D363" s="11"/>
    </row>
    <row r="364" ht="45.0" hidden="1" customHeight="1">
      <c r="A364" s="222" t="s">
        <v>1508</v>
      </c>
      <c r="B364" s="11" t="s">
        <v>2124</v>
      </c>
      <c r="C364" s="232" t="s">
        <v>1509</v>
      </c>
      <c r="D364" s="11"/>
    </row>
    <row r="365" ht="45.0" hidden="1" customHeight="1">
      <c r="A365" s="11" t="s">
        <v>1512</v>
      </c>
      <c r="B365" s="11"/>
      <c r="C365" s="93" t="s">
        <v>1767</v>
      </c>
      <c r="D365" s="11"/>
    </row>
    <row r="366" ht="45.0" hidden="1" customHeight="1">
      <c r="A366" s="11" t="s">
        <v>1517</v>
      </c>
      <c r="B366" s="11"/>
      <c r="C366" s="93" t="s">
        <v>1824</v>
      </c>
      <c r="D366" s="11"/>
    </row>
    <row r="367" ht="45.0" hidden="1" customHeight="1">
      <c r="A367" s="11" t="s">
        <v>1521</v>
      </c>
      <c r="B367" s="11"/>
      <c r="C367" s="93" t="s">
        <v>1744</v>
      </c>
      <c r="D367" s="11"/>
    </row>
    <row r="368" ht="45.0" hidden="1" customHeight="1">
      <c r="A368" s="11" t="s">
        <v>1525</v>
      </c>
      <c r="B368" s="11"/>
      <c r="C368" s="93" t="s">
        <v>1526</v>
      </c>
      <c r="D368" s="11"/>
    </row>
    <row r="369" ht="45.0" hidden="1" customHeight="1">
      <c r="A369" s="11" t="s">
        <v>1529</v>
      </c>
      <c r="B369" s="11"/>
      <c r="C369" s="93" t="s">
        <v>1530</v>
      </c>
      <c r="D369" s="11"/>
    </row>
    <row r="370" ht="45.0" hidden="1" customHeight="1">
      <c r="A370" s="11" t="s">
        <v>1533</v>
      </c>
      <c r="B370" s="11"/>
      <c r="C370" s="93" t="s">
        <v>1781</v>
      </c>
      <c r="D370" s="11"/>
    </row>
    <row r="371" ht="45.0" hidden="1" customHeight="1">
      <c r="A371" s="11" t="s">
        <v>1537</v>
      </c>
      <c r="B371" s="11"/>
      <c r="C371" s="93" t="s">
        <v>1791</v>
      </c>
      <c r="D371" s="11"/>
    </row>
    <row r="372" ht="45.0" hidden="1" customHeight="1">
      <c r="A372" s="11" t="s">
        <v>1541</v>
      </c>
      <c r="B372" s="11"/>
      <c r="C372" s="93" t="s">
        <v>1786</v>
      </c>
      <c r="D372" s="11"/>
    </row>
    <row r="373" ht="45.0" hidden="1" customHeight="1">
      <c r="A373" s="11" t="s">
        <v>1545</v>
      </c>
      <c r="B373" s="11"/>
      <c r="C373" s="93" t="s">
        <v>1546</v>
      </c>
      <c r="D373" s="11"/>
    </row>
    <row r="374" ht="45.0" hidden="1" customHeight="1">
      <c r="A374" s="11" t="s">
        <v>1549</v>
      </c>
      <c r="B374" s="11"/>
      <c r="C374" s="93" t="s">
        <v>1775</v>
      </c>
      <c r="D374" s="11"/>
    </row>
    <row r="375" ht="45.0" hidden="1" customHeight="1">
      <c r="A375" s="11" t="s">
        <v>1553</v>
      </c>
      <c r="B375" s="11"/>
      <c r="C375" s="93" t="s">
        <v>1822</v>
      </c>
      <c r="D375" s="11"/>
    </row>
    <row r="376" ht="45.0" hidden="1" customHeight="1">
      <c r="A376" s="11" t="s">
        <v>1557</v>
      </c>
      <c r="B376" s="11"/>
      <c r="C376" s="93" t="s">
        <v>1758</v>
      </c>
      <c r="D376" s="11"/>
    </row>
    <row r="377" ht="45.0" hidden="1" customHeight="1">
      <c r="A377" s="11" t="s">
        <v>1560</v>
      </c>
      <c r="B377" s="11"/>
      <c r="C377" s="93" t="s">
        <v>1789</v>
      </c>
      <c r="D377" s="11"/>
    </row>
    <row r="378" ht="45.0" hidden="1" customHeight="1">
      <c r="A378" s="11" t="s">
        <v>1564</v>
      </c>
      <c r="B378" s="11"/>
      <c r="C378" s="93" t="s">
        <v>1565</v>
      </c>
      <c r="D378" s="11"/>
    </row>
    <row r="379" ht="45.0" hidden="1" customHeight="1">
      <c r="A379" s="11" t="s">
        <v>1568</v>
      </c>
      <c r="B379" s="11"/>
      <c r="C379" s="93" t="s">
        <v>1769</v>
      </c>
      <c r="D379" s="11"/>
    </row>
    <row r="380" ht="45.0" hidden="1" customHeight="1">
      <c r="A380" s="11" t="s">
        <v>1571</v>
      </c>
      <c r="B380" s="11"/>
      <c r="C380" s="93" t="s">
        <v>1772</v>
      </c>
      <c r="D380" s="11"/>
    </row>
    <row r="381" ht="45.0" hidden="1" customHeight="1">
      <c r="A381" s="11" t="s">
        <v>1575</v>
      </c>
      <c r="B381" s="11"/>
      <c r="C381" s="93" t="s">
        <v>1576</v>
      </c>
      <c r="D381" s="11"/>
    </row>
    <row r="382" ht="45.0" hidden="1" customHeight="1">
      <c r="A382" s="11" t="s">
        <v>1579</v>
      </c>
      <c r="B382" s="11"/>
      <c r="C382" s="258" t="s">
        <v>1763</v>
      </c>
      <c r="D382" s="11"/>
    </row>
    <row r="383" ht="45.0" hidden="1" customHeight="1">
      <c r="A383" s="11" t="s">
        <v>1583</v>
      </c>
      <c r="B383" s="11"/>
      <c r="C383" s="93" t="s">
        <v>1584</v>
      </c>
      <c r="D383" s="11"/>
    </row>
    <row r="384" ht="45.0" hidden="1" customHeight="1">
      <c r="A384" s="11" t="s">
        <v>1587</v>
      </c>
      <c r="B384" s="11"/>
      <c r="C384" s="93" t="s">
        <v>1795</v>
      </c>
      <c r="D384" s="11"/>
    </row>
    <row r="385" ht="45.0" hidden="1" customHeight="1">
      <c r="A385" s="11" t="s">
        <v>1591</v>
      </c>
      <c r="B385" s="11"/>
      <c r="C385" s="93" t="s">
        <v>1798</v>
      </c>
      <c r="D385" s="11"/>
    </row>
    <row r="386" ht="45.0" hidden="1" customHeight="1">
      <c r="A386" s="11" t="s">
        <v>1595</v>
      </c>
      <c r="B386" s="11"/>
      <c r="C386" s="93" t="s">
        <v>1777</v>
      </c>
      <c r="D386" s="11"/>
    </row>
    <row r="387" ht="45.0" hidden="1" customHeight="1">
      <c r="A387" s="11" t="s">
        <v>1618</v>
      </c>
      <c r="B387" s="11"/>
      <c r="C387" s="93" t="s">
        <v>1619</v>
      </c>
      <c r="D387" s="11"/>
    </row>
    <row r="388" ht="45.0" hidden="1" customHeight="1">
      <c r="A388" s="11" t="s">
        <v>1622</v>
      </c>
      <c r="B388" s="11"/>
      <c r="C388" s="93" t="s">
        <v>1623</v>
      </c>
      <c r="D388" s="11"/>
    </row>
    <row r="389" ht="45.0" hidden="1" customHeight="1">
      <c r="A389" s="11" t="s">
        <v>1626</v>
      </c>
      <c r="B389" s="11" t="s">
        <v>2261</v>
      </c>
      <c r="C389" s="93" t="s">
        <v>1627</v>
      </c>
      <c r="D389" s="11"/>
    </row>
    <row r="390" ht="45.0" hidden="1" customHeight="1">
      <c r="A390" s="11" t="s">
        <v>1632</v>
      </c>
      <c r="B390" s="11" t="s">
        <v>2261</v>
      </c>
      <c r="C390" s="93" t="s">
        <v>1633</v>
      </c>
      <c r="D390" s="11"/>
    </row>
    <row r="391" ht="45.0" hidden="1" customHeight="1">
      <c r="A391" s="11" t="s">
        <v>1636</v>
      </c>
      <c r="B391" s="11" t="s">
        <v>2261</v>
      </c>
      <c r="C391" s="93" t="s">
        <v>1988</v>
      </c>
      <c r="D391" s="11"/>
    </row>
    <row r="392" ht="45.0" hidden="1" customHeight="1">
      <c r="A392" s="11" t="s">
        <v>1641</v>
      </c>
      <c r="B392" s="11" t="s">
        <v>2261</v>
      </c>
      <c r="C392" s="93" t="s">
        <v>1989</v>
      </c>
      <c r="D392" s="11"/>
    </row>
    <row r="393" ht="45.0" hidden="1" customHeight="1">
      <c r="A393" s="11" t="s">
        <v>1657</v>
      </c>
      <c r="B393" s="11" t="s">
        <v>2261</v>
      </c>
      <c r="C393" s="93" t="s">
        <v>1658</v>
      </c>
      <c r="D393" s="11"/>
    </row>
    <row r="394" ht="45.0" hidden="1" customHeight="1">
      <c r="A394" s="11" t="s">
        <v>1665</v>
      </c>
      <c r="B394" s="11" t="s">
        <v>2261</v>
      </c>
      <c r="C394" s="93" t="s">
        <v>1666</v>
      </c>
      <c r="D394" s="11"/>
    </row>
    <row r="395" ht="45.0" customHeight="1">
      <c r="A395" s="11" t="s">
        <v>1669</v>
      </c>
      <c r="B395" s="11" t="s">
        <v>2261</v>
      </c>
      <c r="C395" s="93" t="s">
        <v>1670</v>
      </c>
      <c r="D395" s="661">
        <v>1.0</v>
      </c>
    </row>
    <row r="396" ht="45.0" hidden="1" customHeight="1">
      <c r="A396" s="11" t="s">
        <v>1673</v>
      </c>
      <c r="B396" s="11" t="s">
        <v>2261</v>
      </c>
      <c r="C396" s="93" t="s">
        <v>1674</v>
      </c>
      <c r="D396" s="11"/>
    </row>
    <row r="397" ht="45.0" hidden="1" customHeight="1">
      <c r="A397" s="11" t="s">
        <v>1677</v>
      </c>
      <c r="B397" s="11" t="s">
        <v>2261</v>
      </c>
      <c r="C397" s="93" t="s">
        <v>1678</v>
      </c>
      <c r="D397" s="11"/>
    </row>
    <row r="398" ht="45.0" customHeight="1">
      <c r="A398" s="11" t="s">
        <v>482</v>
      </c>
      <c r="B398" s="11" t="s">
        <v>2066</v>
      </c>
      <c r="C398" s="93" t="s">
        <v>483</v>
      </c>
      <c r="D398" s="661">
        <v>1.0</v>
      </c>
    </row>
    <row r="399" ht="45.0" hidden="1" customHeight="1">
      <c r="A399" s="259" t="s">
        <v>1992</v>
      </c>
      <c r="B399" s="11" t="s">
        <v>2366</v>
      </c>
      <c r="C399" s="93" t="s">
        <v>1993</v>
      </c>
      <c r="D399" s="11"/>
    </row>
    <row r="400" ht="45.0" customHeight="1">
      <c r="A400" s="259" t="s">
        <v>1994</v>
      </c>
      <c r="B400" s="11" t="s">
        <v>2066</v>
      </c>
      <c r="C400" s="260" t="s">
        <v>1995</v>
      </c>
      <c r="D400" s="661">
        <v>1.0</v>
      </c>
    </row>
    <row r="401" ht="45.0" customHeight="1">
      <c r="A401" s="620" t="s">
        <v>1998</v>
      </c>
      <c r="B401" s="11" t="s">
        <v>2155</v>
      </c>
      <c r="C401" s="260" t="s">
        <v>2490</v>
      </c>
      <c r="D401" s="661">
        <v>1.0</v>
      </c>
    </row>
    <row r="402" ht="45.0" customHeight="1">
      <c r="A402" s="259" t="s">
        <v>1661</v>
      </c>
      <c r="B402" s="665" t="s">
        <v>2104</v>
      </c>
      <c r="C402" s="216" t="s">
        <v>1662</v>
      </c>
      <c r="D402" s="616"/>
    </row>
  </sheetData>
  <autoFilter ref="$A$1:$C$402"/>
  <conditionalFormatting sqref="D1:D402">
    <cfRule type="cellIs" dxfId="3" priority="1" operator="equal">
      <formula>1</formula>
    </cfRule>
  </conditionalFormatting>
  <conditionalFormatting sqref="D1:D402">
    <cfRule type="cellIs" dxfId="15" priority="2" operator="greaterThan">
      <formula>2</formula>
    </cfRule>
  </conditionalFormatting>
  <conditionalFormatting sqref="D1:D402">
    <cfRule type="cellIs" dxfId="16" priority="3" operator="equal">
      <formula>2</formula>
    </cfRule>
  </conditionalFormatting>
  <printOptions horizontalCentered="1" verticalCentered="1"/>
  <pageMargins bottom="0.7480314960629921" footer="0.0" header="0.0" left="0.7086614173228347" right="0.7086614173228347" top="0.7480314960629921"/>
  <pageSetup fitToHeight="0"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29"/>
    <col hidden="1" min="2" max="2" width="14.43"/>
  </cols>
  <sheetData>
    <row r="1">
      <c r="A1" s="413" t="s">
        <v>2</v>
      </c>
      <c r="B1" s="656" t="s">
        <v>2491</v>
      </c>
      <c r="C1" s="32" t="s">
        <v>7</v>
      </c>
    </row>
    <row r="2">
      <c r="A2" s="413" t="s">
        <v>2492</v>
      </c>
      <c r="B2" s="656">
        <v>5.0</v>
      </c>
      <c r="C2" s="32">
        <f t="shared" ref="C2:C75" si="1">B2*55</f>
        <v>275</v>
      </c>
    </row>
    <row r="3">
      <c r="A3" s="413" t="s">
        <v>2493</v>
      </c>
      <c r="B3" s="656">
        <v>5.0</v>
      </c>
      <c r="C3" s="32">
        <f t="shared" si="1"/>
        <v>275</v>
      </c>
    </row>
    <row r="4">
      <c r="A4" s="413" t="s">
        <v>2494</v>
      </c>
      <c r="B4" s="656">
        <v>5.0</v>
      </c>
      <c r="C4" s="32">
        <f t="shared" si="1"/>
        <v>275</v>
      </c>
    </row>
    <row r="5">
      <c r="A5" s="413" t="s">
        <v>2495</v>
      </c>
      <c r="B5" s="656">
        <v>5.0</v>
      </c>
      <c r="C5" s="32">
        <f t="shared" si="1"/>
        <v>275</v>
      </c>
    </row>
    <row r="6">
      <c r="A6" s="413" t="s">
        <v>2496</v>
      </c>
      <c r="B6" s="656">
        <v>5.0</v>
      </c>
      <c r="C6" s="32">
        <f t="shared" si="1"/>
        <v>275</v>
      </c>
    </row>
    <row r="7">
      <c r="A7" s="413" t="s">
        <v>2497</v>
      </c>
      <c r="B7" s="656">
        <v>5.0</v>
      </c>
      <c r="C7" s="32">
        <f t="shared" si="1"/>
        <v>275</v>
      </c>
    </row>
    <row r="8">
      <c r="A8" s="413" t="s">
        <v>2498</v>
      </c>
      <c r="B8" s="656">
        <v>5.0</v>
      </c>
      <c r="C8" s="32">
        <f t="shared" si="1"/>
        <v>275</v>
      </c>
    </row>
    <row r="9">
      <c r="A9" s="413" t="s">
        <v>2499</v>
      </c>
      <c r="B9" s="656">
        <v>5.0</v>
      </c>
      <c r="C9" s="32">
        <f t="shared" si="1"/>
        <v>275</v>
      </c>
    </row>
    <row r="10">
      <c r="A10" s="413" t="s">
        <v>2500</v>
      </c>
      <c r="B10" s="656">
        <v>5.0</v>
      </c>
      <c r="C10" s="32">
        <f t="shared" si="1"/>
        <v>275</v>
      </c>
    </row>
    <row r="11">
      <c r="A11" s="413" t="s">
        <v>2501</v>
      </c>
      <c r="B11" s="656">
        <v>5.0</v>
      </c>
      <c r="C11" s="32">
        <f t="shared" si="1"/>
        <v>275</v>
      </c>
    </row>
    <row r="12">
      <c r="A12" s="413" t="s">
        <v>2502</v>
      </c>
      <c r="B12" s="656">
        <v>5.0</v>
      </c>
      <c r="C12" s="32">
        <f t="shared" si="1"/>
        <v>275</v>
      </c>
    </row>
    <row r="13">
      <c r="A13" s="413" t="s">
        <v>2503</v>
      </c>
      <c r="B13" s="656">
        <v>5.0</v>
      </c>
      <c r="C13" s="32">
        <f t="shared" si="1"/>
        <v>275</v>
      </c>
    </row>
    <row r="14">
      <c r="A14" s="413" t="s">
        <v>2504</v>
      </c>
      <c r="B14" s="656">
        <v>5.0</v>
      </c>
      <c r="C14" s="32">
        <f t="shared" si="1"/>
        <v>275</v>
      </c>
    </row>
    <row r="15">
      <c r="A15" s="413" t="s">
        <v>2505</v>
      </c>
      <c r="B15" s="656">
        <v>5.0</v>
      </c>
      <c r="C15" s="32">
        <f t="shared" si="1"/>
        <v>275</v>
      </c>
    </row>
    <row r="16">
      <c r="A16" s="413" t="s">
        <v>2506</v>
      </c>
      <c r="B16" s="656">
        <v>5.0</v>
      </c>
      <c r="C16" s="32">
        <f t="shared" si="1"/>
        <v>275</v>
      </c>
    </row>
    <row r="17">
      <c r="A17" s="413" t="s">
        <v>2507</v>
      </c>
      <c r="B17" s="656">
        <v>5.0</v>
      </c>
      <c r="C17" s="32">
        <f t="shared" si="1"/>
        <v>275</v>
      </c>
    </row>
    <row r="18">
      <c r="A18" s="413" t="s">
        <v>2508</v>
      </c>
      <c r="B18" s="656">
        <v>5.0</v>
      </c>
      <c r="C18" s="32">
        <f t="shared" si="1"/>
        <v>275</v>
      </c>
    </row>
    <row r="19">
      <c r="A19" s="413" t="s">
        <v>2509</v>
      </c>
      <c r="B19" s="656">
        <v>5.0</v>
      </c>
      <c r="C19" s="32">
        <f t="shared" si="1"/>
        <v>275</v>
      </c>
    </row>
    <row r="20">
      <c r="A20" s="413" t="s">
        <v>2510</v>
      </c>
      <c r="B20" s="656">
        <v>5.0</v>
      </c>
      <c r="C20" s="32">
        <f t="shared" si="1"/>
        <v>275</v>
      </c>
    </row>
    <row r="21">
      <c r="A21" s="413" t="s">
        <v>2511</v>
      </c>
      <c r="B21" s="656">
        <v>5.0</v>
      </c>
      <c r="C21" s="32">
        <f t="shared" si="1"/>
        <v>275</v>
      </c>
    </row>
    <row r="22">
      <c r="A22" s="413" t="s">
        <v>2512</v>
      </c>
      <c r="B22" s="656">
        <v>5.0</v>
      </c>
      <c r="C22" s="32">
        <f t="shared" si="1"/>
        <v>275</v>
      </c>
    </row>
    <row r="23">
      <c r="A23" s="413" t="s">
        <v>2513</v>
      </c>
      <c r="B23" s="656">
        <v>5.0</v>
      </c>
      <c r="C23" s="32">
        <f t="shared" si="1"/>
        <v>275</v>
      </c>
    </row>
    <row r="24">
      <c r="A24" s="413" t="s">
        <v>2514</v>
      </c>
      <c r="B24" s="656">
        <v>5.0</v>
      </c>
      <c r="C24" s="32">
        <f t="shared" si="1"/>
        <v>275</v>
      </c>
    </row>
    <row r="25">
      <c r="A25" s="413" t="s">
        <v>2515</v>
      </c>
      <c r="B25" s="656">
        <v>5.0</v>
      </c>
      <c r="C25" s="32">
        <f t="shared" si="1"/>
        <v>275</v>
      </c>
    </row>
    <row r="26">
      <c r="A26" s="413" t="s">
        <v>2516</v>
      </c>
      <c r="B26" s="656">
        <v>5.0</v>
      </c>
      <c r="C26" s="32">
        <f t="shared" si="1"/>
        <v>275</v>
      </c>
    </row>
    <row r="27">
      <c r="A27" s="413" t="s">
        <v>2517</v>
      </c>
      <c r="B27" s="656">
        <v>5.0</v>
      </c>
      <c r="C27" s="32">
        <f t="shared" si="1"/>
        <v>275</v>
      </c>
    </row>
    <row r="28">
      <c r="A28" s="413" t="s">
        <v>2518</v>
      </c>
      <c r="B28" s="656">
        <v>5.0</v>
      </c>
      <c r="C28" s="32">
        <f t="shared" si="1"/>
        <v>275</v>
      </c>
    </row>
    <row r="29">
      <c r="A29" s="413" t="s">
        <v>2519</v>
      </c>
      <c r="B29" s="656">
        <v>5.0</v>
      </c>
      <c r="C29" s="32">
        <f t="shared" si="1"/>
        <v>275</v>
      </c>
    </row>
    <row r="30">
      <c r="A30" s="413" t="s">
        <v>2520</v>
      </c>
      <c r="B30" s="656">
        <v>5.0</v>
      </c>
      <c r="C30" s="32">
        <f t="shared" si="1"/>
        <v>275</v>
      </c>
    </row>
    <row r="31">
      <c r="A31" s="413" t="s">
        <v>2521</v>
      </c>
      <c r="B31" s="656">
        <v>5.0</v>
      </c>
      <c r="C31" s="32">
        <f t="shared" si="1"/>
        <v>275</v>
      </c>
    </row>
    <row r="32">
      <c r="A32" s="413" t="s">
        <v>2522</v>
      </c>
      <c r="B32" s="656">
        <v>5.0</v>
      </c>
      <c r="C32" s="32">
        <f t="shared" si="1"/>
        <v>275</v>
      </c>
    </row>
    <row r="33">
      <c r="A33" s="413" t="s">
        <v>2523</v>
      </c>
      <c r="B33" s="656">
        <v>5.0</v>
      </c>
      <c r="C33" s="32">
        <f t="shared" si="1"/>
        <v>275</v>
      </c>
    </row>
    <row r="34">
      <c r="A34" s="413" t="s">
        <v>2524</v>
      </c>
      <c r="B34" s="656">
        <v>5.0</v>
      </c>
      <c r="C34" s="32">
        <f t="shared" si="1"/>
        <v>275</v>
      </c>
    </row>
    <row r="35">
      <c r="A35" s="413" t="s">
        <v>2525</v>
      </c>
      <c r="B35" s="656">
        <v>5.0</v>
      </c>
      <c r="C35" s="32">
        <f t="shared" si="1"/>
        <v>275</v>
      </c>
    </row>
    <row r="36">
      <c r="A36" s="413" t="s">
        <v>2526</v>
      </c>
      <c r="B36" s="656">
        <v>5.0</v>
      </c>
      <c r="C36" s="32">
        <f t="shared" si="1"/>
        <v>275</v>
      </c>
    </row>
    <row r="37">
      <c r="A37" s="413" t="s">
        <v>2527</v>
      </c>
      <c r="B37" s="656">
        <v>5.0</v>
      </c>
      <c r="C37" s="32">
        <f t="shared" si="1"/>
        <v>275</v>
      </c>
    </row>
    <row r="38">
      <c r="A38" s="413" t="s">
        <v>2528</v>
      </c>
      <c r="B38" s="656">
        <v>5.0</v>
      </c>
      <c r="C38" s="32">
        <f t="shared" si="1"/>
        <v>275</v>
      </c>
    </row>
    <row r="39">
      <c r="A39" s="413" t="s">
        <v>2529</v>
      </c>
      <c r="B39" s="656">
        <v>5.0</v>
      </c>
      <c r="C39" s="32">
        <f t="shared" si="1"/>
        <v>275</v>
      </c>
    </row>
    <row r="40">
      <c r="A40" s="413" t="s">
        <v>2530</v>
      </c>
      <c r="B40" s="656">
        <v>5.0</v>
      </c>
      <c r="C40" s="32">
        <f t="shared" si="1"/>
        <v>275</v>
      </c>
    </row>
    <row r="41">
      <c r="A41" s="413" t="s">
        <v>2531</v>
      </c>
      <c r="B41" s="656">
        <v>5.0</v>
      </c>
      <c r="C41" s="32">
        <f t="shared" si="1"/>
        <v>275</v>
      </c>
    </row>
    <row r="42">
      <c r="A42" s="413" t="s">
        <v>2532</v>
      </c>
      <c r="B42" s="656">
        <v>5.0</v>
      </c>
      <c r="C42" s="32">
        <f t="shared" si="1"/>
        <v>275</v>
      </c>
    </row>
    <row r="43">
      <c r="A43" s="413" t="s">
        <v>2533</v>
      </c>
      <c r="B43" s="656">
        <v>5.0</v>
      </c>
      <c r="C43" s="32">
        <f t="shared" si="1"/>
        <v>275</v>
      </c>
    </row>
    <row r="44">
      <c r="A44" s="413" t="s">
        <v>2534</v>
      </c>
      <c r="B44" s="656">
        <v>5.0</v>
      </c>
      <c r="C44" s="32">
        <f t="shared" si="1"/>
        <v>275</v>
      </c>
    </row>
    <row r="45">
      <c r="A45" s="413" t="s">
        <v>2535</v>
      </c>
      <c r="B45" s="656">
        <v>5.0</v>
      </c>
      <c r="C45" s="32">
        <f t="shared" si="1"/>
        <v>275</v>
      </c>
    </row>
    <row r="46">
      <c r="A46" s="413" t="s">
        <v>2536</v>
      </c>
      <c r="B46" s="656">
        <v>5.0</v>
      </c>
      <c r="C46" s="32">
        <f t="shared" si="1"/>
        <v>275</v>
      </c>
    </row>
    <row r="47">
      <c r="A47" s="413" t="s">
        <v>2537</v>
      </c>
      <c r="B47" s="656">
        <v>5.0</v>
      </c>
      <c r="C47" s="32">
        <f t="shared" si="1"/>
        <v>275</v>
      </c>
    </row>
    <row r="48">
      <c r="A48" s="413" t="s">
        <v>2538</v>
      </c>
      <c r="B48" s="656">
        <v>5.0</v>
      </c>
      <c r="C48" s="32">
        <f t="shared" si="1"/>
        <v>275</v>
      </c>
    </row>
    <row r="49">
      <c r="A49" s="413" t="s">
        <v>2539</v>
      </c>
      <c r="B49" s="656">
        <v>5.0</v>
      </c>
      <c r="C49" s="32">
        <f t="shared" si="1"/>
        <v>275</v>
      </c>
    </row>
    <row r="50">
      <c r="A50" s="413" t="s">
        <v>2540</v>
      </c>
      <c r="B50" s="656">
        <v>5.0</v>
      </c>
      <c r="C50" s="32">
        <f t="shared" si="1"/>
        <v>275</v>
      </c>
    </row>
    <row r="51">
      <c r="A51" s="413" t="s">
        <v>2541</v>
      </c>
      <c r="B51" s="656">
        <v>5.0</v>
      </c>
      <c r="C51" s="32">
        <f t="shared" si="1"/>
        <v>275</v>
      </c>
    </row>
    <row r="52">
      <c r="A52" s="413" t="s">
        <v>2542</v>
      </c>
      <c r="B52" s="656">
        <v>5.0</v>
      </c>
      <c r="C52" s="32">
        <f t="shared" si="1"/>
        <v>275</v>
      </c>
    </row>
    <row r="53">
      <c r="A53" s="413" t="s">
        <v>2543</v>
      </c>
      <c r="B53" s="656">
        <v>5.0</v>
      </c>
      <c r="C53" s="32">
        <f t="shared" si="1"/>
        <v>275</v>
      </c>
    </row>
    <row r="54">
      <c r="A54" s="413" t="s">
        <v>2544</v>
      </c>
      <c r="B54" s="656">
        <v>5.0</v>
      </c>
      <c r="C54" s="32">
        <f t="shared" si="1"/>
        <v>275</v>
      </c>
    </row>
    <row r="55">
      <c r="A55" s="413" t="s">
        <v>2545</v>
      </c>
      <c r="B55" s="656">
        <v>5.0</v>
      </c>
      <c r="C55" s="32">
        <f t="shared" si="1"/>
        <v>275</v>
      </c>
    </row>
    <row r="56">
      <c r="A56" s="413" t="s">
        <v>2546</v>
      </c>
      <c r="B56" s="656">
        <v>5.0</v>
      </c>
      <c r="C56" s="32">
        <f t="shared" si="1"/>
        <v>275</v>
      </c>
    </row>
    <row r="57">
      <c r="A57" s="413" t="s">
        <v>2547</v>
      </c>
      <c r="B57" s="656">
        <v>5.0</v>
      </c>
      <c r="C57" s="32">
        <f t="shared" si="1"/>
        <v>275</v>
      </c>
    </row>
    <row r="58">
      <c r="A58" s="413" t="s">
        <v>2548</v>
      </c>
      <c r="B58" s="656">
        <v>5.0</v>
      </c>
      <c r="C58" s="32">
        <f t="shared" si="1"/>
        <v>275</v>
      </c>
    </row>
    <row r="59">
      <c r="A59" s="413" t="s">
        <v>2549</v>
      </c>
      <c r="B59" s="656">
        <v>5.0</v>
      </c>
      <c r="C59" s="32">
        <f t="shared" si="1"/>
        <v>275</v>
      </c>
    </row>
    <row r="60">
      <c r="A60" s="413" t="s">
        <v>2550</v>
      </c>
      <c r="B60" s="656">
        <v>5.0</v>
      </c>
      <c r="C60" s="32">
        <f t="shared" si="1"/>
        <v>275</v>
      </c>
    </row>
    <row r="61">
      <c r="A61" s="413" t="s">
        <v>2551</v>
      </c>
      <c r="B61" s="656">
        <v>5.0</v>
      </c>
      <c r="C61" s="32">
        <f t="shared" si="1"/>
        <v>275</v>
      </c>
    </row>
    <row r="62">
      <c r="A62" s="413" t="s">
        <v>2552</v>
      </c>
      <c r="B62" s="656">
        <v>5.0</v>
      </c>
      <c r="C62" s="32">
        <f t="shared" si="1"/>
        <v>275</v>
      </c>
    </row>
    <row r="63">
      <c r="A63" s="413" t="s">
        <v>2553</v>
      </c>
      <c r="B63" s="656">
        <v>5.0</v>
      </c>
      <c r="C63" s="32">
        <f t="shared" si="1"/>
        <v>275</v>
      </c>
    </row>
    <row r="64">
      <c r="A64" s="413" t="s">
        <v>2554</v>
      </c>
      <c r="B64" s="656">
        <v>5.0</v>
      </c>
      <c r="C64" s="32">
        <f t="shared" si="1"/>
        <v>275</v>
      </c>
    </row>
    <row r="65">
      <c r="A65" s="413" t="s">
        <v>2555</v>
      </c>
      <c r="B65" s="656">
        <v>5.0</v>
      </c>
      <c r="C65" s="32">
        <f t="shared" si="1"/>
        <v>275</v>
      </c>
    </row>
    <row r="66">
      <c r="A66" s="413" t="s">
        <v>2556</v>
      </c>
      <c r="B66" s="656">
        <v>5.0</v>
      </c>
      <c r="C66" s="32">
        <f t="shared" si="1"/>
        <v>275</v>
      </c>
    </row>
    <row r="67">
      <c r="A67" s="413" t="s">
        <v>2557</v>
      </c>
      <c r="B67" s="656">
        <v>5.0</v>
      </c>
      <c r="C67" s="32">
        <f t="shared" si="1"/>
        <v>275</v>
      </c>
    </row>
    <row r="68">
      <c r="A68" s="413" t="s">
        <v>2558</v>
      </c>
      <c r="B68" s="656">
        <v>5.0</v>
      </c>
      <c r="C68" s="32">
        <f t="shared" si="1"/>
        <v>275</v>
      </c>
    </row>
    <row r="69">
      <c r="A69" s="413" t="s">
        <v>2559</v>
      </c>
      <c r="B69" s="656">
        <v>5.0</v>
      </c>
      <c r="C69" s="32">
        <f t="shared" si="1"/>
        <v>275</v>
      </c>
    </row>
    <row r="70">
      <c r="A70" s="413" t="s">
        <v>2560</v>
      </c>
      <c r="B70" s="656">
        <v>5.0</v>
      </c>
      <c r="C70" s="32">
        <f t="shared" si="1"/>
        <v>275</v>
      </c>
    </row>
    <row r="71">
      <c r="A71" s="413" t="s">
        <v>2561</v>
      </c>
      <c r="B71" s="656">
        <v>5.0</v>
      </c>
      <c r="C71" s="32">
        <f t="shared" si="1"/>
        <v>275</v>
      </c>
    </row>
    <row r="72">
      <c r="A72" s="413" t="s">
        <v>2562</v>
      </c>
      <c r="B72" s="656">
        <v>5.0</v>
      </c>
      <c r="C72" s="32">
        <f t="shared" si="1"/>
        <v>275</v>
      </c>
    </row>
    <row r="73">
      <c r="A73" s="413" t="s">
        <v>2563</v>
      </c>
      <c r="B73" s="656">
        <v>5.0</v>
      </c>
      <c r="C73" s="32">
        <f t="shared" si="1"/>
        <v>275</v>
      </c>
    </row>
    <row r="74">
      <c r="A74" s="413" t="s">
        <v>2564</v>
      </c>
      <c r="B74" s="656">
        <v>5.0</v>
      </c>
      <c r="C74" s="32">
        <f t="shared" si="1"/>
        <v>275</v>
      </c>
    </row>
    <row r="75">
      <c r="A75" s="413" t="s">
        <v>2565</v>
      </c>
      <c r="B75" s="656">
        <v>5.0</v>
      </c>
      <c r="C75" s="32">
        <f t="shared" si="1"/>
        <v>275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1.57"/>
  </cols>
  <sheetData>
    <row r="1">
      <c r="A1" s="666" t="s">
        <v>2566</v>
      </c>
      <c r="B1" s="667" t="s">
        <v>2567</v>
      </c>
      <c r="C1" s="668">
        <v>1.0</v>
      </c>
      <c r="D1" s="666" t="s">
        <v>2568</v>
      </c>
      <c r="E1" s="666" t="s">
        <v>2569</v>
      </c>
      <c r="F1" s="669" t="str">
        <f>IMAGE("https://encrypted-tbn0.gstatic.com/=IMAGEs?q=tbn:ANd9GcRya_wsgLj2EYRpKnBiKCbfEgC9ARea6AJbH_dSdZ1X0a2gNXiaKWfdrYggTXUxy4M3Oyw&amp;usqp=CAU",1)</f>
        <v/>
      </c>
      <c r="G1" s="670" t="s">
        <v>2570</v>
      </c>
      <c r="H1" s="314"/>
    </row>
    <row r="2">
      <c r="A2" s="666" t="s">
        <v>2571</v>
      </c>
      <c r="B2" s="667" t="s">
        <v>2572</v>
      </c>
      <c r="C2" s="668">
        <v>1.0</v>
      </c>
      <c r="D2" s="666" t="s">
        <v>2568</v>
      </c>
      <c r="E2" s="666" t="s">
        <v>2569</v>
      </c>
      <c r="F2" s="669" t="str">
        <f>IMAGE("https://www.labkafe.com/storage/nice/a11329-potassium-alum-99-aluminium-potassium-sulphate-500gm.jpg",1)</f>
        <v/>
      </c>
      <c r="G2" s="670" t="s">
        <v>2570</v>
      </c>
      <c r="H2" s="314"/>
    </row>
    <row r="3">
      <c r="A3" s="666" t="s">
        <v>2573</v>
      </c>
      <c r="B3" s="667" t="s">
        <v>2574</v>
      </c>
      <c r="C3" s="668">
        <v>1.0</v>
      </c>
      <c r="D3" s="666" t="s">
        <v>2568</v>
      </c>
      <c r="E3" s="666" t="s">
        <v>2575</v>
      </c>
      <c r="F3" s="669" t="str">
        <f>IMAGE("https://www.sigmaaldrich.com/deepweb/content/dam/sigma-aldrich/product6/132/204005-100g_0005829_btl.tif/_jcr_content/renditions/204005-100g_0005829_btl-medium.jpg",1)</f>
        <v/>
      </c>
      <c r="G3" s="670" t="s">
        <v>2570</v>
      </c>
      <c r="H3" s="314"/>
    </row>
    <row r="4">
      <c r="A4" s="666" t="s">
        <v>2576</v>
      </c>
      <c r="B4" s="667" t="s">
        <v>2577</v>
      </c>
      <c r="C4" s="668">
        <v>1.0</v>
      </c>
      <c r="D4" s="666" t="s">
        <v>2568</v>
      </c>
      <c r="E4" s="666" t="s">
        <v>2575</v>
      </c>
      <c r="F4" s="669" t="str">
        <f>IMAGE("https://cpimg.tistatic.com/06869653/b/4/1-kg-Bleaching-Powder.jpg",1)</f>
        <v/>
      </c>
      <c r="G4" s="670" t="s">
        <v>2570</v>
      </c>
      <c r="H4" s="314"/>
    </row>
    <row r="5">
      <c r="A5" s="666" t="s">
        <v>2578</v>
      </c>
      <c r="B5" s="667" t="s">
        <v>2579</v>
      </c>
      <c r="C5" s="668">
        <v>1.0</v>
      </c>
      <c r="D5" s="666" t="s">
        <v>2568</v>
      </c>
      <c r="E5" s="666" t="s">
        <v>2569</v>
      </c>
      <c r="F5" s="669" t="str">
        <f>IMAGE("https://www.labkafe.com/storage/nice/b11829-borax-di-sodium-tetraborate-99-500gm.jpg",1)</f>
        <v/>
      </c>
      <c r="G5" s="670" t="s">
        <v>2570</v>
      </c>
      <c r="H5" s="314"/>
    </row>
    <row r="6">
      <c r="A6" s="666" t="s">
        <v>2580</v>
      </c>
      <c r="B6" s="667" t="s">
        <v>2581</v>
      </c>
      <c r="C6" s="668">
        <v>1.0</v>
      </c>
      <c r="D6" s="666" t="s">
        <v>2568</v>
      </c>
      <c r="E6" s="666" t="s">
        <v>2569</v>
      </c>
      <c r="F6" s="669" t="str">
        <f>IMAGE("https://www.ibuychemikals.com/prdimg/full/IBCLABQ6NB6S8.jpg",1)</f>
        <v/>
      </c>
      <c r="G6" s="670" t="s">
        <v>2570</v>
      </c>
      <c r="H6" s="314"/>
    </row>
    <row r="7">
      <c r="A7" s="666" t="s">
        <v>2582</v>
      </c>
      <c r="B7" s="667" t="s">
        <v>2583</v>
      </c>
      <c r="C7" s="668">
        <v>1.0</v>
      </c>
      <c r="D7" s="666" t="s">
        <v>2568</v>
      </c>
      <c r="E7" s="666" t="s">
        <v>2584</v>
      </c>
      <c r="F7" s="669" t="str">
        <f>IMAGE("https://www.sigmaaldrich.com/deepweb/content/dam/sigma-aldrich/product7/165/791725-100g_0008016_btl.tif/_jcr_content/renditions/791725-100g_0008016_btl-medium.jpg",1)</f>
        <v/>
      </c>
      <c r="G7" s="670" t="s">
        <v>2570</v>
      </c>
      <c r="H7" s="314"/>
    </row>
    <row r="8">
      <c r="A8" s="666" t="s">
        <v>2585</v>
      </c>
      <c r="B8" s="667" t="s">
        <v>2586</v>
      </c>
      <c r="C8" s="668">
        <v>1.0</v>
      </c>
      <c r="D8" s="666" t="s">
        <v>2568</v>
      </c>
      <c r="E8" s="666" t="s">
        <v>2584</v>
      </c>
      <c r="F8" s="669" t="str">
        <f>IMAGE("https://static.grainger.com/rp/s/is/image/Grainger/39G361_AS01?hei=536&amp;wid=536&amp;$adapimg$=",1)</f>
        <v/>
      </c>
      <c r="G8" s="670" t="s">
        <v>2570</v>
      </c>
      <c r="H8" s="314"/>
    </row>
    <row r="9">
      <c r="A9" s="666" t="s">
        <v>2587</v>
      </c>
      <c r="B9" s="667" t="s">
        <v>2588</v>
      </c>
      <c r="C9" s="668">
        <v>1.0</v>
      </c>
      <c r="D9" s="666" t="s">
        <v>2568</v>
      </c>
      <c r="E9" s="666" t="s">
        <v>2589</v>
      </c>
      <c r="F9" s="669" t="str">
        <f>IMAGE("https://blog-images-1.pharmeasy.in/blog/production/wp-content/uploads/2022/10/06133417/2-4-741x452.jpg",1)</f>
        <v/>
      </c>
      <c r="G9" s="670" t="s">
        <v>2570</v>
      </c>
      <c r="H9" s="314"/>
    </row>
    <row r="10">
      <c r="A10" s="666" t="s">
        <v>2590</v>
      </c>
      <c r="B10" s="667" t="s">
        <v>2591</v>
      </c>
      <c r="C10" s="668">
        <v>5.0</v>
      </c>
      <c r="D10" s="666" t="s">
        <v>2568</v>
      </c>
      <c r="E10" s="666" t="s">
        <v>2592</v>
      </c>
      <c r="F10" s="669" t="str">
        <f>IMAGE("https://m.media-amazon.com/images/I/5179jsOM4aL._AC_SL1000_.jpg",1)</f>
        <v/>
      </c>
      <c r="G10" s="670" t="s">
        <v>2570</v>
      </c>
      <c r="H10" s="314"/>
    </row>
    <row r="11">
      <c r="A11" s="666" t="s">
        <v>2593</v>
      </c>
      <c r="B11" s="667" t="s">
        <v>2594</v>
      </c>
      <c r="C11" s="668">
        <v>1.0</v>
      </c>
      <c r="D11" s="666" t="s">
        <v>2568</v>
      </c>
      <c r="E11" s="666" t="s">
        <v>2595</v>
      </c>
      <c r="F11" s="669" t="str">
        <f>IMAGE("https://5.imimg.com/data5/BX/CJ/ZA/SELLER-2409410/dm-water-500x500.jpg",1)</f>
        <v/>
      </c>
      <c r="G11" s="670" t="s">
        <v>2570</v>
      </c>
      <c r="H11" s="314"/>
    </row>
    <row r="12">
      <c r="A12" s="666" t="s">
        <v>2596</v>
      </c>
      <c r="B12" s="667" t="s">
        <v>2597</v>
      </c>
      <c r="C12" s="668">
        <v>1.0</v>
      </c>
      <c r="D12" s="666" t="s">
        <v>2568</v>
      </c>
      <c r="E12" s="666" t="s">
        <v>2584</v>
      </c>
      <c r="F12" s="669" t="str">
        <f>IMAGE("https://www.sigmaaldrich.com/deepweb/content/dam/sigma-aldrich/product2/122/g1890-100g_0010234_btl.tif/_jcr_content/renditions/g1890-100g_0010234_btl-medium.jpg",1)</f>
        <v/>
      </c>
      <c r="G12" s="670" t="s">
        <v>2570</v>
      </c>
      <c r="H12" s="314"/>
    </row>
    <row r="13">
      <c r="A13" s="666" t="s">
        <v>2598</v>
      </c>
      <c r="B13" s="667" t="s">
        <v>2599</v>
      </c>
      <c r="C13" s="668">
        <v>1.0</v>
      </c>
      <c r="D13" s="666" t="s">
        <v>2568</v>
      </c>
      <c r="E13" s="666" t="s">
        <v>2584</v>
      </c>
      <c r="F13" s="669" t="str">
        <f>IMAGE("https://www.labkafe.com/storage/nice/g11029-glycerine-glycerol-98-500-ml.jpg",1)</f>
        <v/>
      </c>
      <c r="G13" s="670" t="s">
        <v>2570</v>
      </c>
      <c r="H13" s="314"/>
    </row>
    <row r="14">
      <c r="A14" s="666" t="s">
        <v>2600</v>
      </c>
      <c r="B14" s="667" t="s">
        <v>2601</v>
      </c>
      <c r="C14" s="668">
        <v>5.0</v>
      </c>
      <c r="D14" s="666" t="s">
        <v>2568</v>
      </c>
      <c r="E14" s="666" t="s">
        <v>2602</v>
      </c>
      <c r="F14" s="669" t="str">
        <f>IMAGE("https://m.media-amazon.com/images/I/5179jsOM4aL._AC_SL1000_.jpg",1)</f>
        <v/>
      </c>
      <c r="G14" s="670" t="s">
        <v>2570</v>
      </c>
      <c r="H14" s="314"/>
    </row>
    <row r="15">
      <c r="A15" s="666" t="s">
        <v>2603</v>
      </c>
      <c r="B15" s="667" t="s">
        <v>2604</v>
      </c>
      <c r="C15" s="668">
        <v>1.0</v>
      </c>
      <c r="D15" s="666" t="s">
        <v>2568</v>
      </c>
      <c r="E15" s="666" t="s">
        <v>481</v>
      </c>
      <c r="F15" s="669" t="str">
        <f>IMAGE("https://www.medicalsupplies.com.sg/934-medium_default/isopropyl-alcohol-70-v-v-500ml-per-bottle.jpg",1)</f>
        <v/>
      </c>
      <c r="G15" s="670" t="s">
        <v>2570</v>
      </c>
      <c r="H15" s="314"/>
    </row>
    <row r="16">
      <c r="A16" s="666" t="s">
        <v>2605</v>
      </c>
      <c r="B16" s="667" t="s">
        <v>2606</v>
      </c>
      <c r="C16" s="668">
        <v>1.0</v>
      </c>
      <c r="D16" s="666" t="s">
        <v>2568</v>
      </c>
      <c r="E16" s="666" t="s">
        <v>2607</v>
      </c>
      <c r="F16" s="669" t="str">
        <f>IMAGE("https://5.imimg.com/data5/TG/TW/MY-39953160/5-litre-liquid-hand-wash-500x500.jpg",1)</f>
        <v/>
      </c>
      <c r="G16" s="670" t="s">
        <v>2570</v>
      </c>
      <c r="H16" s="314"/>
    </row>
    <row r="17">
      <c r="A17" s="666" t="s">
        <v>2608</v>
      </c>
      <c r="B17" s="667" t="s">
        <v>2609</v>
      </c>
      <c r="C17" s="668">
        <v>1.0</v>
      </c>
      <c r="D17" s="666" t="s">
        <v>2568</v>
      </c>
      <c r="E17" s="666" t="s">
        <v>2610</v>
      </c>
      <c r="F17" s="669" t="str">
        <f>IMAGE("https://m.media-amazon.com/images/I/71rFQr-jOES._SL1500_.jpg",1)</f>
        <v/>
      </c>
      <c r="G17" s="670" t="s">
        <v>2570</v>
      </c>
      <c r="H17" s="314"/>
    </row>
    <row r="18">
      <c r="A18" s="666" t="s">
        <v>2611</v>
      </c>
      <c r="B18" s="667" t="s">
        <v>2612</v>
      </c>
      <c r="C18" s="668">
        <v>1.0</v>
      </c>
      <c r="D18" s="666" t="s">
        <v>2568</v>
      </c>
      <c r="E18" s="666" t="s">
        <v>2569</v>
      </c>
      <c r="F18" s="669" t="str">
        <f>IMAGE("https://4.imimg.com/data4/HR/GT/MY-2102132/plaster-of-paris-500x500.png",1)</f>
        <v/>
      </c>
      <c r="G18" s="670" t="s">
        <v>2570</v>
      </c>
      <c r="H18" s="314"/>
    </row>
    <row r="19">
      <c r="A19" s="666" t="s">
        <v>2613</v>
      </c>
      <c r="B19" s="667" t="s">
        <v>2614</v>
      </c>
      <c r="C19" s="668">
        <v>1.0</v>
      </c>
      <c r="D19" s="666" t="s">
        <v>2568</v>
      </c>
      <c r="E19" s="666" t="s">
        <v>2610</v>
      </c>
      <c r="F19" s="669" t="str">
        <f>IMAGE("https://5.imimg.com/data5/SELLER/Default/2021/8/RY/MV/EF/30727806/s30271-safranin-stain-solution-125-ml-500x500-500x500.png",1)</f>
        <v/>
      </c>
      <c r="G19" s="670" t="s">
        <v>2570</v>
      </c>
      <c r="H19" s="314"/>
    </row>
    <row r="20">
      <c r="A20" s="666" t="s">
        <v>2615</v>
      </c>
      <c r="B20" s="667" t="s">
        <v>2616</v>
      </c>
      <c r="C20" s="668">
        <v>1.0</v>
      </c>
      <c r="D20" s="666" t="s">
        <v>2568</v>
      </c>
      <c r="E20" s="666" t="s">
        <v>2617</v>
      </c>
      <c r="F20" s="669" t="str">
        <f>IMAGE("https://img3.exportersindia.com/product_images/bc-full/dir_18/517868/white-silica-gel-1520234808-3694252.jpg",1)</f>
        <v/>
      </c>
      <c r="G20" s="670" t="s">
        <v>2570</v>
      </c>
      <c r="H20" s="314"/>
    </row>
    <row r="21">
      <c r="A21" s="666" t="s">
        <v>2618</v>
      </c>
      <c r="B21" s="667" t="s">
        <v>2619</v>
      </c>
      <c r="C21" s="668">
        <v>5.0</v>
      </c>
      <c r="D21" s="666" t="s">
        <v>2568</v>
      </c>
      <c r="E21" s="666" t="s">
        <v>2620</v>
      </c>
      <c r="F21" s="669" t="str">
        <f>IMAGE("https://m.media-amazon.com/images/I/5179jsOM4aL._AC_SL1000_.jpg",1)</f>
        <v/>
      </c>
      <c r="G21" s="670" t="s">
        <v>2570</v>
      </c>
      <c r="H21" s="314"/>
    </row>
    <row r="22">
      <c r="A22" s="666" t="s">
        <v>2621</v>
      </c>
      <c r="B22" s="667" t="s">
        <v>2622</v>
      </c>
      <c r="C22" s="668">
        <v>1.0</v>
      </c>
      <c r="D22" s="666" t="s">
        <v>2568</v>
      </c>
      <c r="E22" s="666" t="s">
        <v>2569</v>
      </c>
      <c r="F22" s="669" t="str">
        <f>IMAGE("https://cdn11.bigcommerce.com/s-ufhcuzfxw9/images/stencil/1280x1280/products/13840/15665/20160513-20160513-_mg_5832__41083.1503517934.jpg?c=2",1)</f>
        <v/>
      </c>
      <c r="G22" s="670" t="s">
        <v>2570</v>
      </c>
      <c r="H22" s="314"/>
    </row>
    <row r="23">
      <c r="A23" s="666" t="s">
        <v>2623</v>
      </c>
      <c r="B23" s="667" t="s">
        <v>2624</v>
      </c>
      <c r="C23" s="668">
        <v>1.0</v>
      </c>
      <c r="D23" s="666" t="s">
        <v>2568</v>
      </c>
      <c r="E23" s="666" t="s">
        <v>2575</v>
      </c>
      <c r="F23" s="669" t="str">
        <f>IMAGE("https://5.imimg.com/data5/OB/PM/MY-2127918/sodium-hydroxide-pellets-lr-500gm-500x500.jpg",1)</f>
        <v/>
      </c>
      <c r="G23" s="670" t="s">
        <v>2570</v>
      </c>
      <c r="H23" s="314"/>
    </row>
    <row r="24">
      <c r="A24" s="666" t="s">
        <v>2625</v>
      </c>
      <c r="B24" s="667" t="s">
        <v>2626</v>
      </c>
      <c r="C24" s="668">
        <v>1.0</v>
      </c>
      <c r="D24" s="666" t="s">
        <v>2568</v>
      </c>
      <c r="E24" s="666" t="s">
        <v>2627</v>
      </c>
      <c r="F24" s="669" t="str">
        <f>IMAGE("https://hannainst.in/media/catalog/product/cache/b34a0869c7a50f2130c030e033b2bf22/h/i/hi3895_2.jpg",1)</f>
        <v/>
      </c>
      <c r="G24" s="670" t="s">
        <v>2570</v>
      </c>
      <c r="H24" s="314"/>
    </row>
    <row r="25">
      <c r="A25" s="666" t="s">
        <v>2628</v>
      </c>
      <c r="B25" s="667" t="s">
        <v>2629</v>
      </c>
      <c r="C25" s="668">
        <v>1.0</v>
      </c>
      <c r="D25" s="666" t="s">
        <v>2568</v>
      </c>
      <c r="E25" s="666" t="s">
        <v>2589</v>
      </c>
      <c r="F25" s="669" t="str">
        <f>IMAGE("https://5.imimg.com/data5/EH/RO/MY-10901605/salt-bags-500x500.jpg",1)</f>
        <v/>
      </c>
      <c r="G25" s="670" t="s">
        <v>2570</v>
      </c>
      <c r="H25" s="314"/>
    </row>
    <row r="26">
      <c r="A26" s="666" t="s">
        <v>2630</v>
      </c>
      <c r="B26" s="667" t="s">
        <v>2631</v>
      </c>
      <c r="C26" s="668">
        <v>1.0</v>
      </c>
      <c r="D26" s="666" t="s">
        <v>2568</v>
      </c>
      <c r="E26" s="666" t="s">
        <v>2632</v>
      </c>
      <c r="F26" s="669" t="str">
        <f>IMAGE("https://www.labkafe.com/storage/nice/u40171-universal-indicator-solution-125-ml-300x300.jpg",1)</f>
        <v/>
      </c>
      <c r="G26" s="670" t="s">
        <v>2570</v>
      </c>
      <c r="H26" s="314"/>
    </row>
    <row r="27">
      <c r="A27" s="666" t="s">
        <v>2633</v>
      </c>
      <c r="B27" s="667" t="s">
        <v>2634</v>
      </c>
      <c r="C27" s="668">
        <v>2.0</v>
      </c>
      <c r="D27" s="666" t="s">
        <v>2568</v>
      </c>
      <c r="E27" s="666" t="s">
        <v>2635</v>
      </c>
      <c r="F27" s="669" t="str">
        <f>IMAGE("https://encrypted-tbn0.gstatic.com/shopping?q=tbn:ANd9GcTh82PvoM2wDp2FgxzXyWSNNjf5t-Zha_8G9VRl8SEntR-Ciq5s-_N22-emk3oVyUkUaxRT1qxth5AsiF2gqSNdGjWXp6KyamSJx93apK5g0q8zALtCf0eBCg&amp;usqp=CAE",1)</f>
        <v/>
      </c>
      <c r="G27" s="670" t="s">
        <v>2570</v>
      </c>
      <c r="H27" s="314"/>
    </row>
    <row r="28">
      <c r="A28" s="666" t="s">
        <v>2636</v>
      </c>
      <c r="B28" s="667" t="s">
        <v>2637</v>
      </c>
      <c r="C28" s="668">
        <v>1.0</v>
      </c>
      <c r="D28" s="666" t="s">
        <v>2568</v>
      </c>
      <c r="E28" s="666" t="s">
        <v>2638</v>
      </c>
      <c r="F28" s="669" t="str">
        <f>IMAGE("https://static1.industrybuying.com/products/lab-supplies/laboratory-equipments/water-soil-analysis-kit/LAB.WAT.720346407_1690174465295.webp",1)</f>
        <v/>
      </c>
      <c r="G28" s="670" t="s">
        <v>2570</v>
      </c>
      <c r="H28" s="314"/>
    </row>
    <row r="29">
      <c r="A29" s="671" t="s">
        <v>2639</v>
      </c>
      <c r="B29" s="671" t="s">
        <v>2640</v>
      </c>
      <c r="C29" s="672">
        <v>50.0</v>
      </c>
      <c r="D29" s="671" t="s">
        <v>2641</v>
      </c>
      <c r="E29" s="673" t="s">
        <v>2642</v>
      </c>
      <c r="F29" s="674" t="str">
        <f t="shared" ref="F29:F30" si="1">IMAGE("https://rukminim1.flixcart.com/image/416/416/kgmla4w0/clip/w/f/s/multipurpose-food-snack-plastic-bag-clip-sealer-packet-sealer-original-imafwtxh8nwsujzp.jpeg?q=70",1)</f>
        <v/>
      </c>
      <c r="G29" s="675" t="s">
        <v>20</v>
      </c>
      <c r="H29" s="676"/>
    </row>
    <row r="30">
      <c r="A30" s="671" t="s">
        <v>2643</v>
      </c>
      <c r="B30" s="671" t="s">
        <v>2644</v>
      </c>
      <c r="C30" s="672">
        <v>50.0</v>
      </c>
      <c r="D30" s="671" t="s">
        <v>2641</v>
      </c>
      <c r="E30" s="673" t="s">
        <v>2645</v>
      </c>
      <c r="F30" s="674" t="str">
        <f t="shared" si="1"/>
        <v/>
      </c>
      <c r="G30" s="675" t="s">
        <v>20</v>
      </c>
      <c r="H30" s="676"/>
    </row>
    <row r="31">
      <c r="A31" s="677" t="s">
        <v>2646</v>
      </c>
      <c r="B31" s="671" t="s">
        <v>2647</v>
      </c>
      <c r="C31" s="672">
        <v>1.0</v>
      </c>
      <c r="D31" s="677" t="s">
        <v>2641</v>
      </c>
      <c r="E31" s="678" t="s">
        <v>2648</v>
      </c>
      <c r="F31" s="674" t="str">
        <f>IMAGE("https://5.imimg.com/data5/MB/UU/MY-13521802/notice-board-pin-500x500.jpg",1)</f>
        <v/>
      </c>
      <c r="G31" s="679" t="s">
        <v>20</v>
      </c>
      <c r="H31" s="676"/>
    </row>
    <row r="32">
      <c r="A32" s="671" t="s">
        <v>2649</v>
      </c>
      <c r="B32" s="671" t="s">
        <v>2650</v>
      </c>
      <c r="C32" s="672">
        <v>1.0</v>
      </c>
      <c r="D32" s="671" t="s">
        <v>2641</v>
      </c>
      <c r="E32" s="673" t="s">
        <v>2651</v>
      </c>
      <c r="F32" s="674" t="str">
        <f>IMAGE("https://m.media-amazon.com/images/I/71KYAOo+zlL._SY355_.jpg",1)</f>
        <v/>
      </c>
      <c r="G32" s="675" t="s">
        <v>20</v>
      </c>
      <c r="H32" s="676"/>
    </row>
    <row r="33">
      <c r="A33" s="680" t="s">
        <v>2652</v>
      </c>
      <c r="B33" s="680" t="s">
        <v>2653</v>
      </c>
      <c r="C33" s="681">
        <v>10.0</v>
      </c>
      <c r="D33" s="680" t="s">
        <v>1697</v>
      </c>
      <c r="E33" s="680" t="s">
        <v>2654</v>
      </c>
      <c r="F33" s="682" t="str">
        <f t="shared" ref="F33:F35" si="2">IMAGE("https://www.electronicscomp.com/image/cache/catalog/lm7805-ic-5v-positive-voltage-regulator-ic-800x800.JPG",1)</f>
        <v/>
      </c>
      <c r="G33" s="683" t="s">
        <v>2655</v>
      </c>
      <c r="H33" s="676"/>
    </row>
    <row r="34">
      <c r="A34" s="680" t="s">
        <v>2656</v>
      </c>
      <c r="B34" s="680" t="s">
        <v>2657</v>
      </c>
      <c r="C34" s="681">
        <v>10.0</v>
      </c>
      <c r="D34" s="680" t="s">
        <v>1697</v>
      </c>
      <c r="E34" s="680" t="s">
        <v>2658</v>
      </c>
      <c r="F34" s="682" t="str">
        <f t="shared" si="2"/>
        <v/>
      </c>
      <c r="G34" s="683" t="s">
        <v>2655</v>
      </c>
      <c r="H34" s="676"/>
    </row>
    <row r="35">
      <c r="A35" s="680" t="s">
        <v>2659</v>
      </c>
      <c r="B35" s="680" t="s">
        <v>2660</v>
      </c>
      <c r="C35" s="681">
        <v>10.0</v>
      </c>
      <c r="D35" s="680" t="s">
        <v>1697</v>
      </c>
      <c r="E35" s="680" t="s">
        <v>2661</v>
      </c>
      <c r="F35" s="682" t="str">
        <f t="shared" si="2"/>
        <v/>
      </c>
      <c r="G35" s="683" t="s">
        <v>2655</v>
      </c>
      <c r="H35" s="676"/>
    </row>
    <row r="36">
      <c r="A36" s="684" t="s">
        <v>2662</v>
      </c>
      <c r="B36" s="684" t="s">
        <v>2663</v>
      </c>
      <c r="C36" s="685">
        <v>20.0</v>
      </c>
      <c r="D36" s="684" t="s">
        <v>1697</v>
      </c>
      <c r="E36" s="684" t="s">
        <v>2664</v>
      </c>
      <c r="F36" s="686" t="str">
        <f>IMAGE("https://m.media-amazon.com/images/I/41Araxi2mwL._SX342_.jpg",1)</f>
        <v/>
      </c>
      <c r="G36" s="687" t="s">
        <v>184</v>
      </c>
      <c r="H36" s="676"/>
    </row>
    <row r="37">
      <c r="A37" s="684" t="s">
        <v>2665</v>
      </c>
      <c r="B37" s="684" t="s">
        <v>2666</v>
      </c>
      <c r="C37" s="685">
        <v>10.0</v>
      </c>
      <c r="D37" s="684" t="s">
        <v>1697</v>
      </c>
      <c r="E37" s="684" t="s">
        <v>2667</v>
      </c>
      <c r="F37" s="686" t="str">
        <f>IMAGE("https://rukminim2.flixcart.com/image/832/832/jjelq4w0/worldwide-adaptor/w/t/t/power-adaptor-12-volt-2-amp-charger-ac-input-100-270v-dc-12v-2a-original-imaf6zf2sghnvg3s.jpeg?q=70",1)</f>
        <v/>
      </c>
      <c r="G37" s="687" t="s">
        <v>184</v>
      </c>
      <c r="H37" s="676"/>
    </row>
    <row r="38">
      <c r="A38" s="684" t="s">
        <v>2668</v>
      </c>
      <c r="B38" s="684" t="s">
        <v>2669</v>
      </c>
      <c r="C38" s="685">
        <v>10.0</v>
      </c>
      <c r="D38" s="684" t="s">
        <v>1697</v>
      </c>
      <c r="E38" s="684" t="s">
        <v>2670</v>
      </c>
      <c r="F38" s="686" t="str">
        <f>IMAGE("https://robu.in/wp-content/uploads/2016/03/XL6009-DC-DC-Step-up-converter-1.jpg",1)</f>
        <v/>
      </c>
      <c r="G38" s="687" t="s">
        <v>184</v>
      </c>
      <c r="H38" s="676"/>
    </row>
    <row r="39">
      <c r="A39" s="684" t="s">
        <v>2671</v>
      </c>
      <c r="B39" s="684" t="s">
        <v>2672</v>
      </c>
      <c r="C39" s="685">
        <v>15.0</v>
      </c>
      <c r="D39" s="684" t="s">
        <v>1697</v>
      </c>
      <c r="E39" s="684" t="s">
        <v>2673</v>
      </c>
      <c r="F39" s="686" t="str">
        <f>IMAGE("https://m.media-amazon.com/images/I/51+XW7eiTBL._SX342_.jpg",1)</f>
        <v/>
      </c>
      <c r="G39" s="687" t="s">
        <v>184</v>
      </c>
      <c r="H39" s="676"/>
    </row>
    <row r="40">
      <c r="A40" s="684" t="s">
        <v>2674</v>
      </c>
      <c r="B40" s="684" t="s">
        <v>2675</v>
      </c>
      <c r="C40" s="685">
        <v>10.0</v>
      </c>
      <c r="D40" s="684" t="s">
        <v>1697</v>
      </c>
      <c r="E40" s="684" t="s">
        <v>2676</v>
      </c>
      <c r="F40" s="686" t="str">
        <f>IMAGE("https://www.integralmemory.com/wp-content/uploads/2022/03/INCRUSB3-0MSDA2_P2.jpg",1)</f>
        <v/>
      </c>
      <c r="G40" s="687" t="s">
        <v>184</v>
      </c>
      <c r="H40" s="676"/>
    </row>
    <row r="41">
      <c r="A41" s="678" t="s">
        <v>2677</v>
      </c>
      <c r="B41" s="678" t="s">
        <v>2678</v>
      </c>
      <c r="C41" s="688">
        <v>2.0</v>
      </c>
      <c r="D41" s="678" t="s">
        <v>2679</v>
      </c>
      <c r="E41" s="678" t="s">
        <v>2680</v>
      </c>
      <c r="F41" s="689" t="str">
        <f>IMAGE("https://img2.exportersindia.com/product_images/bc-full/2021/11/9602516/a4-paper-1638164837-6096238.jpeg",1)</f>
        <v/>
      </c>
      <c r="G41" s="690"/>
      <c r="H41" s="676"/>
    </row>
    <row r="42">
      <c r="A42" s="671" t="s">
        <v>2681</v>
      </c>
      <c r="B42" s="671" t="s">
        <v>2682</v>
      </c>
      <c r="C42" s="672">
        <v>20.0</v>
      </c>
      <c r="D42" s="671" t="s">
        <v>2641</v>
      </c>
      <c r="E42" s="691" t="s">
        <v>2683</v>
      </c>
      <c r="F42" s="674" t="str">
        <f>IMAGE("https://www.adhesivespecialities.co.in/wp-content/uploads/AS-056-ColourMaskingTape-scaled.jpg",1)</f>
        <v/>
      </c>
      <c r="G42" s="679" t="s">
        <v>20</v>
      </c>
      <c r="H42" s="676"/>
    </row>
    <row r="43">
      <c r="A43" s="684" t="s">
        <v>2684</v>
      </c>
      <c r="B43" s="684" t="s">
        <v>2685</v>
      </c>
      <c r="C43" s="685">
        <v>10.0</v>
      </c>
      <c r="D43" s="684" t="s">
        <v>1697</v>
      </c>
      <c r="E43" s="684" t="s">
        <v>2686</v>
      </c>
      <c r="F43" s="686" t="str">
        <f>IMAGE("https://cpimg.tistatic.com/07450268/b/4/24W-300MA-4KV-LED-Driver.jpg", 1)</f>
        <v/>
      </c>
      <c r="G43" s="687" t="s">
        <v>184</v>
      </c>
      <c r="H43" s="676"/>
    </row>
    <row r="44">
      <c r="A44" s="684" t="s">
        <v>2687</v>
      </c>
      <c r="B44" s="684" t="s">
        <v>2688</v>
      </c>
      <c r="C44" s="685">
        <v>2.0</v>
      </c>
      <c r="D44" s="684" t="s">
        <v>1697</v>
      </c>
      <c r="E44" s="684" t="s">
        <v>2689</v>
      </c>
      <c r="F44" s="686" t="str">
        <f>IMAGE("https://5.imimg.com/data5/GB/ZO/LS/SELLER-11058997/led-strip-light-smd5050-ip20-500x500.png", 1)</f>
        <v/>
      </c>
      <c r="G44" s="687" t="s">
        <v>184</v>
      </c>
      <c r="H44" s="676"/>
    </row>
    <row r="45">
      <c r="A45" s="692" t="s">
        <v>2690</v>
      </c>
      <c r="B45" s="692" t="s">
        <v>2691</v>
      </c>
      <c r="C45" s="693">
        <v>10.0</v>
      </c>
      <c r="D45" s="692" t="s">
        <v>1697</v>
      </c>
      <c r="E45" s="692" t="s">
        <v>2692</v>
      </c>
      <c r="F45" s="686" t="str">
        <f>IMAGE("https://robu.in/wp-content/uploads/2017/06/sku_265936_1.jpg",1)</f>
        <v/>
      </c>
      <c r="G45" s="694" t="s">
        <v>184</v>
      </c>
      <c r="H45" s="676"/>
    </row>
    <row r="46">
      <c r="A46" s="695" t="s">
        <v>2693</v>
      </c>
      <c r="B46" s="696" t="s">
        <v>2694</v>
      </c>
      <c r="C46" s="695">
        <v>10.0</v>
      </c>
      <c r="D46" s="695" t="s">
        <v>1697</v>
      </c>
      <c r="E46" s="696" t="s">
        <v>2695</v>
      </c>
      <c r="F46" s="697" t="str">
        <f>IMAGE("https://rukminim2.flixcart.com/image/832/832/xif0q/shopsy-electronic-hobby-kit/h/f/k/3-9-volt-dc-toy-motor-with-fan-blade-9v-battery-snapper-original-imagsksg7jpy8fyf.jpeg?q=70",1)</f>
        <v/>
      </c>
      <c r="G46" s="698" t="s">
        <v>2696</v>
      </c>
      <c r="H46" s="699"/>
    </row>
    <row r="47">
      <c r="A47" s="693" t="s">
        <v>2697</v>
      </c>
      <c r="B47" s="692" t="s">
        <v>2698</v>
      </c>
      <c r="C47" s="693">
        <v>5.0</v>
      </c>
      <c r="D47" s="693" t="s">
        <v>2679</v>
      </c>
      <c r="E47" s="692" t="s">
        <v>2699</v>
      </c>
      <c r="F47" s="686" t="str">
        <f>IMAGE("https://m.media-amazon.com/images/I/51W0ZrtkMsL._SX679_.jpg",1)</f>
        <v/>
      </c>
      <c r="G47" s="693" t="s">
        <v>20</v>
      </c>
      <c r="H47" s="700"/>
    </row>
    <row r="48">
      <c r="A48" s="693" t="s">
        <v>2700</v>
      </c>
      <c r="B48" s="701" t="s">
        <v>2701</v>
      </c>
      <c r="C48" s="693">
        <v>5.0</v>
      </c>
      <c r="D48" s="693" t="s">
        <v>2679</v>
      </c>
      <c r="E48" s="692" t="s">
        <v>2702</v>
      </c>
      <c r="F48" s="686" t="str">
        <f>IMAGE("https://empire-s3-production.bobvila.com/articles/wp-content/uploads/2021/03/The-Best-Paper-Straws-Option-HIWARE-Extra-Wide-Paper-Smoothie-Boba-Straws-300x300.jpg",1)</f>
        <v/>
      </c>
      <c r="G48" s="693" t="s">
        <v>20</v>
      </c>
      <c r="H48" s="700"/>
    </row>
    <row r="49">
      <c r="A49" s="693" t="s">
        <v>2703</v>
      </c>
      <c r="B49" s="692" t="s">
        <v>2704</v>
      </c>
      <c r="C49" s="693">
        <v>1.0</v>
      </c>
      <c r="D49" s="693" t="s">
        <v>2641</v>
      </c>
      <c r="E49" s="692" t="s">
        <v>2705</v>
      </c>
      <c r="F49" s="686" t="str">
        <f>IMAGE("https://cdn11.bigcommerce.com/s-4wnn7v3yyu/images/stencil/1280x1280/products/493/1433/Velcro-Brand-Adhesive-Tape-on-a-Roll__20148.1608230554.1280.1280__85763.1620829229.jpg?c=1",1)</f>
        <v/>
      </c>
      <c r="G49" s="693" t="s">
        <v>20</v>
      </c>
      <c r="H49" s="700"/>
    </row>
    <row r="50">
      <c r="A50" s="693" t="s">
        <v>2706</v>
      </c>
      <c r="B50" s="692" t="s">
        <v>2707</v>
      </c>
      <c r="C50" s="693">
        <v>10.0</v>
      </c>
      <c r="D50" s="693" t="s">
        <v>2641</v>
      </c>
      <c r="E50" s="692" t="s">
        <v>2708</v>
      </c>
      <c r="F50" s="686" t="str">
        <f>IMAGE("https://m.media-amazon.com/images/I/91UgeU77qnL._AC_UF894,1000_QL80_.jpg",1)</f>
        <v/>
      </c>
      <c r="G50" s="693" t="s">
        <v>20</v>
      </c>
      <c r="H50" s="700"/>
    </row>
    <row r="51">
      <c r="A51" s="702"/>
      <c r="B51" s="692" t="s">
        <v>2709</v>
      </c>
      <c r="C51" s="703">
        <v>10.0</v>
      </c>
      <c r="D51" s="702"/>
      <c r="E51" s="702"/>
      <c r="F51" s="686" t="str">
        <f>IMAGE("https://www.sitaramstationers.com/wp-content/uploads/2022/01/Faber-Castell-Textile-Marker-5pcs.jpg",1)</f>
        <v/>
      </c>
      <c r="G51" s="693" t="s">
        <v>20</v>
      </c>
      <c r="H51" s="700"/>
    </row>
    <row r="52">
      <c r="A52" s="702"/>
      <c r="B52" s="704" t="s">
        <v>2710</v>
      </c>
      <c r="C52" s="705">
        <v>1.0</v>
      </c>
      <c r="D52" s="706" t="s">
        <v>2711</v>
      </c>
      <c r="E52" s="702"/>
      <c r="F52" s="707" t="str">
        <f>IMAGE("https://robu.in/wp-content/uploads/2023/10/1709922-04.jpeg",1)</f>
        <v/>
      </c>
      <c r="G52" s="705" t="s">
        <v>2712</v>
      </c>
      <c r="H52" s="708" t="s">
        <v>1684</v>
      </c>
    </row>
    <row r="53">
      <c r="A53" s="314"/>
      <c r="B53" s="314"/>
      <c r="C53" s="314"/>
      <c r="D53" s="314"/>
      <c r="E53" s="314"/>
      <c r="F53" s="314"/>
      <c r="G53" s="314"/>
      <c r="H53" s="314"/>
    </row>
    <row r="54">
      <c r="A54" s="702"/>
      <c r="B54" s="704" t="s">
        <v>2713</v>
      </c>
      <c r="C54" s="706">
        <v>10.0</v>
      </c>
      <c r="D54" s="702"/>
      <c r="E54" s="702"/>
      <c r="F54" s="707" t="str">
        <f>IMAGE("https://images.squarespace-cdn.com/content/v1/55de7b84e4b05b5cc8c23805/1466384541753-6ZUAWSHXQVOA62A7JBT7/check_and_true_patterns_2",1)</f>
        <v/>
      </c>
      <c r="G54" s="705" t="s">
        <v>2712</v>
      </c>
      <c r="H54" s="700"/>
    </row>
    <row r="55">
      <c r="A55" s="702"/>
      <c r="B55" s="709" t="s">
        <v>2714</v>
      </c>
      <c r="C55" s="710">
        <v>1.0</v>
      </c>
      <c r="D55" s="710" t="s">
        <v>2715</v>
      </c>
      <c r="E55" s="702"/>
      <c r="F55" s="711" t="str">
        <f>IMAGE("https://www.scimetricsinc.com/images/detailed/2/ss-324-dch2.jpg",1)</f>
        <v/>
      </c>
      <c r="G55" s="712" t="s">
        <v>2716</v>
      </c>
      <c r="H55" s="708" t="s">
        <v>1684</v>
      </c>
    </row>
    <row r="56">
      <c r="A56" s="702"/>
      <c r="B56" s="709" t="s">
        <v>2717</v>
      </c>
      <c r="C56" s="710">
        <v>1.0</v>
      </c>
      <c r="D56" s="710" t="s">
        <v>2715</v>
      </c>
      <c r="E56" s="702"/>
      <c r="F56" s="711" t="str">
        <f>IMAGE("https://www.cei.washington.edu/wp-content/uploads/2014/06/PS2600_inUse_ENLRG_168287.jpg",1)</f>
        <v/>
      </c>
      <c r="G56" s="712" t="s">
        <v>2716</v>
      </c>
      <c r="H56" s="708" t="s">
        <v>1684</v>
      </c>
    </row>
    <row r="57">
      <c r="A57" s="713" t="s">
        <v>2718</v>
      </c>
      <c r="B57" s="714" t="s">
        <v>2719</v>
      </c>
      <c r="C57" s="713">
        <v>1.0</v>
      </c>
      <c r="D57" s="713" t="s">
        <v>2464</v>
      </c>
      <c r="E57" s="714" t="s">
        <v>2720</v>
      </c>
      <c r="F57" s="715" t="str">
        <f>IMAGE("https://res.cloudinary.com/tacoma-screw-products/image/upload/f_auto,t_product-large/Images/519-103_prt.jpg",1)</f>
        <v/>
      </c>
      <c r="G57" s="713" t="s">
        <v>2721</v>
      </c>
      <c r="H57" s="716" t="s">
        <v>2722</v>
      </c>
    </row>
    <row r="58">
      <c r="A58" s="702"/>
      <c r="B58" s="714" t="s">
        <v>2723</v>
      </c>
      <c r="C58" s="717">
        <v>1.0</v>
      </c>
      <c r="D58" s="717" t="s">
        <v>2464</v>
      </c>
      <c r="E58" s="702"/>
      <c r="F58" s="715" t="str">
        <f>IMAGE("https://m.media-amazon.com/images/I/71Ivg-yxQSL.jpg",1)</f>
        <v/>
      </c>
      <c r="G58" s="713" t="s">
        <v>2721</v>
      </c>
      <c r="H58" s="716" t="s">
        <v>2722</v>
      </c>
    </row>
    <row r="59">
      <c r="A59" s="713" t="s">
        <v>2724</v>
      </c>
      <c r="B59" s="718" t="s">
        <v>2725</v>
      </c>
      <c r="C59" s="713">
        <v>1.0</v>
      </c>
      <c r="D59" s="713" t="s">
        <v>2464</v>
      </c>
      <c r="E59" s="714" t="s">
        <v>2726</v>
      </c>
      <c r="F59" s="715" t="str">
        <f>IMAGE("https://m.media-amazon.com/images/I/41o7y9ztHcL._SX466_.jpg",1)</f>
        <v/>
      </c>
      <c r="G59" s="713" t="s">
        <v>2721</v>
      </c>
      <c r="H59" s="700"/>
    </row>
    <row r="60">
      <c r="A60" s="719" t="s">
        <v>2727</v>
      </c>
      <c r="B60" s="720" t="s">
        <v>2728</v>
      </c>
      <c r="C60" s="719">
        <v>1.0</v>
      </c>
      <c r="D60" s="719" t="s">
        <v>2715</v>
      </c>
      <c r="E60" s="720" t="s">
        <v>2729</v>
      </c>
      <c r="F60" s="721" t="str">
        <f>IMAGE("https://images.jdmagicbox.com/quickquotes/images_main/Digital-Microcontroller-pH-meter-310486837-bbbxy.jpg", 1)</f>
        <v/>
      </c>
      <c r="G60" s="719" t="s">
        <v>2730</v>
      </c>
      <c r="H60" s="716" t="s">
        <v>1686</v>
      </c>
    </row>
    <row r="61">
      <c r="A61" s="722" t="s">
        <v>2731</v>
      </c>
      <c r="B61" s="723" t="s">
        <v>2732</v>
      </c>
      <c r="C61" s="722">
        <v>1.0</v>
      </c>
      <c r="D61" s="722" t="s">
        <v>2711</v>
      </c>
      <c r="E61" s="723" t="s">
        <v>2733</v>
      </c>
      <c r="F61" s="724" t="str">
        <f>IMAGE("https://5.imimg.com/data5/EQ/UF/HC/SELLER-78563426/laser-printers-500x500.jpg", 1)</f>
        <v/>
      </c>
      <c r="G61" s="725" t="s">
        <v>142</v>
      </c>
      <c r="H61" s="726" t="s">
        <v>1684</v>
      </c>
    </row>
    <row r="62">
      <c r="A62" s="727" t="s">
        <v>2734</v>
      </c>
      <c r="B62" s="728" t="s">
        <v>2735</v>
      </c>
      <c r="C62" s="727">
        <v>2.0</v>
      </c>
      <c r="D62" s="727" t="s">
        <v>2711</v>
      </c>
      <c r="E62" s="728" t="s">
        <v>2736</v>
      </c>
      <c r="F62" s="729" t="str">
        <f>IMAGE("https://shopmakerq.com/wp-content/uploads/2021/01/flower-land-ready-to-post-68.jpg",1)</f>
        <v/>
      </c>
      <c r="G62" s="727" t="s">
        <v>2737</v>
      </c>
      <c r="H62" s="730"/>
    </row>
    <row r="63">
      <c r="A63" s="731" t="s">
        <v>2738</v>
      </c>
      <c r="B63" s="732" t="s">
        <v>2739</v>
      </c>
      <c r="C63" s="731">
        <v>1.0</v>
      </c>
      <c r="D63" s="731" t="s">
        <v>2641</v>
      </c>
      <c r="E63" s="732" t="s">
        <v>2740</v>
      </c>
      <c r="F63" s="733" t="str">
        <f t="shared" ref="F63:F64" si="3">IMAGE("https://images-eu.ssl-images-amazon.com/images/I/41imfiqCBDL._AC_UL600_SR600,600_.jpg",1)</f>
        <v/>
      </c>
      <c r="G63" s="731" t="s">
        <v>20</v>
      </c>
      <c r="H63" s="734"/>
    </row>
    <row r="64">
      <c r="A64" s="731" t="s">
        <v>2741</v>
      </c>
      <c r="B64" s="732" t="s">
        <v>2742</v>
      </c>
      <c r="C64" s="731">
        <v>1.0</v>
      </c>
      <c r="D64" s="731" t="s">
        <v>2641</v>
      </c>
      <c r="E64" s="732" t="s">
        <v>2743</v>
      </c>
      <c r="F64" s="733" t="str">
        <f t="shared" si="3"/>
        <v/>
      </c>
      <c r="G64" s="731" t="s">
        <v>20</v>
      </c>
      <c r="H64" s="734"/>
    </row>
    <row r="65">
      <c r="A65" s="735" t="s">
        <v>2744</v>
      </c>
      <c r="B65" s="736" t="s">
        <v>2745</v>
      </c>
      <c r="C65" s="735">
        <v>2.0</v>
      </c>
      <c r="D65" s="735" t="s">
        <v>2464</v>
      </c>
      <c r="E65" s="736" t="s">
        <v>2746</v>
      </c>
      <c r="F65" s="737" t="str">
        <f>IMAGE("https://www.dewalt.com/NAG/PRODUCT/IMAGES/HIRES/DWHT83193/DWHT83193_2.jpg",1)</f>
        <v/>
      </c>
      <c r="G65" s="735" t="s">
        <v>2747</v>
      </c>
      <c r="H65" s="738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47.57"/>
    <col customWidth="1" min="4" max="4" width="24.14"/>
    <col customWidth="1" min="6" max="6" width="28.43"/>
    <col customWidth="1" min="7" max="7" width="26.86"/>
  </cols>
  <sheetData>
    <row r="1" ht="45.0" customHeight="1">
      <c r="A1" s="739" t="s">
        <v>0</v>
      </c>
      <c r="B1" s="739"/>
      <c r="C1" s="740" t="s">
        <v>2</v>
      </c>
      <c r="D1" s="739" t="s">
        <v>3</v>
      </c>
      <c r="E1" s="739" t="s">
        <v>4</v>
      </c>
      <c r="F1" s="739" t="s">
        <v>12</v>
      </c>
      <c r="G1" s="741" t="s">
        <v>13</v>
      </c>
      <c r="H1" s="742"/>
      <c r="I1" s="742"/>
      <c r="J1" s="742"/>
      <c r="K1" s="742"/>
      <c r="L1" s="742"/>
      <c r="M1" s="742"/>
      <c r="N1" s="742"/>
      <c r="O1" s="742"/>
      <c r="P1" s="742"/>
      <c r="Q1" s="742"/>
    </row>
    <row r="2">
      <c r="A2" s="743">
        <v>1.0</v>
      </c>
      <c r="B2" s="743"/>
      <c r="C2" s="744" t="s">
        <v>2173</v>
      </c>
      <c r="D2" s="745" t="s">
        <v>2174</v>
      </c>
      <c r="E2" s="746">
        <v>1.0</v>
      </c>
      <c r="F2" s="747"/>
      <c r="G2" s="743"/>
      <c r="H2" s="742"/>
      <c r="I2" s="742"/>
      <c r="J2" s="742"/>
      <c r="K2" s="742"/>
      <c r="L2" s="742"/>
      <c r="M2" s="742"/>
      <c r="N2" s="742"/>
      <c r="O2" s="742"/>
      <c r="P2" s="742"/>
      <c r="Q2" s="742"/>
    </row>
    <row r="3">
      <c r="A3" s="748">
        <v>2.0</v>
      </c>
      <c r="B3" s="748"/>
      <c r="C3" s="749" t="s">
        <v>2175</v>
      </c>
      <c r="D3" s="745" t="s">
        <v>2174</v>
      </c>
      <c r="E3" s="746">
        <v>1.0</v>
      </c>
      <c r="F3" s="742"/>
      <c r="G3" s="742"/>
      <c r="H3" s="742"/>
      <c r="I3" s="742"/>
      <c r="J3" s="742"/>
      <c r="K3" s="742"/>
      <c r="L3" s="742"/>
      <c r="M3" s="742"/>
      <c r="N3" s="742"/>
      <c r="O3" s="742"/>
      <c r="P3" s="742"/>
      <c r="Q3" s="742"/>
    </row>
    <row r="4">
      <c r="A4" s="743">
        <v>3.0</v>
      </c>
      <c r="B4" s="743"/>
      <c r="C4" s="749" t="s">
        <v>2176</v>
      </c>
      <c r="D4" s="745" t="s">
        <v>2174</v>
      </c>
      <c r="E4" s="746">
        <v>1.0</v>
      </c>
      <c r="F4" s="742"/>
      <c r="G4" s="742"/>
      <c r="H4" s="742"/>
      <c r="I4" s="742"/>
      <c r="J4" s="742"/>
      <c r="K4" s="742"/>
      <c r="L4" s="742"/>
      <c r="M4" s="742"/>
      <c r="N4" s="742"/>
      <c r="O4" s="742"/>
      <c r="P4" s="742"/>
      <c r="Q4" s="742"/>
    </row>
    <row r="5">
      <c r="A5" s="743">
        <v>4.0</v>
      </c>
      <c r="B5" s="743"/>
      <c r="C5" s="749" t="s">
        <v>2177</v>
      </c>
      <c r="D5" s="745" t="s">
        <v>2174</v>
      </c>
      <c r="E5" s="746">
        <v>1.0</v>
      </c>
      <c r="F5" s="742"/>
      <c r="G5" s="742"/>
      <c r="H5" s="742"/>
      <c r="I5" s="742"/>
      <c r="J5" s="742"/>
      <c r="K5" s="742"/>
      <c r="L5" s="742"/>
      <c r="M5" s="742"/>
      <c r="N5" s="742"/>
      <c r="O5" s="742"/>
      <c r="P5" s="742"/>
      <c r="Q5" s="742"/>
    </row>
    <row r="6">
      <c r="A6" s="748">
        <v>5.0</v>
      </c>
      <c r="B6" s="748"/>
      <c r="C6" s="749" t="s">
        <v>2178</v>
      </c>
      <c r="D6" s="745" t="s">
        <v>2174</v>
      </c>
      <c r="E6" s="746">
        <v>10.0</v>
      </c>
      <c r="F6" s="742"/>
      <c r="G6" s="742"/>
      <c r="H6" s="742"/>
      <c r="I6" s="742"/>
      <c r="J6" s="742"/>
      <c r="K6" s="742"/>
      <c r="L6" s="742"/>
      <c r="M6" s="742"/>
      <c r="N6" s="742"/>
      <c r="O6" s="742"/>
      <c r="P6" s="742"/>
      <c r="Q6" s="742"/>
    </row>
    <row r="7">
      <c r="A7" s="743">
        <v>7.0</v>
      </c>
      <c r="B7" s="743"/>
      <c r="C7" s="749" t="s">
        <v>2179</v>
      </c>
      <c r="D7" s="745" t="s">
        <v>2174</v>
      </c>
      <c r="E7" s="746">
        <v>2.0</v>
      </c>
      <c r="F7" s="742"/>
      <c r="G7" s="742"/>
      <c r="H7" s="742"/>
      <c r="I7" s="742"/>
      <c r="J7" s="742"/>
      <c r="K7" s="742"/>
      <c r="L7" s="742"/>
      <c r="M7" s="742"/>
      <c r="N7" s="742"/>
      <c r="O7" s="742"/>
      <c r="P7" s="742"/>
      <c r="Q7" s="742"/>
    </row>
    <row r="8">
      <c r="A8" s="748">
        <v>8.0</v>
      </c>
      <c r="B8" s="748"/>
      <c r="C8" s="750" t="s">
        <v>2186</v>
      </c>
      <c r="D8" s="745" t="s">
        <v>2185</v>
      </c>
      <c r="E8" s="746">
        <v>2.0</v>
      </c>
      <c r="F8" s="742"/>
      <c r="G8" s="742"/>
      <c r="H8" s="742"/>
      <c r="I8" s="742"/>
      <c r="J8" s="742"/>
      <c r="K8" s="742"/>
      <c r="L8" s="742"/>
      <c r="M8" s="742"/>
      <c r="N8" s="742"/>
      <c r="O8" s="742"/>
      <c r="P8" s="742"/>
      <c r="Q8" s="742"/>
    </row>
    <row r="9">
      <c r="A9" s="743">
        <v>9.0</v>
      </c>
      <c r="B9" s="743"/>
      <c r="C9" s="749" t="s">
        <v>2188</v>
      </c>
      <c r="D9" s="745" t="s">
        <v>2189</v>
      </c>
      <c r="E9" s="746">
        <v>2.0</v>
      </c>
      <c r="F9" s="742"/>
      <c r="G9" s="742"/>
      <c r="H9" s="742"/>
      <c r="I9" s="742"/>
      <c r="J9" s="742"/>
      <c r="K9" s="742"/>
      <c r="L9" s="742"/>
      <c r="M9" s="742"/>
      <c r="N9" s="742"/>
      <c r="O9" s="742"/>
      <c r="P9" s="742"/>
      <c r="Q9" s="742"/>
    </row>
    <row r="10">
      <c r="A10" s="743">
        <v>10.0</v>
      </c>
      <c r="B10" s="743"/>
      <c r="C10" s="749" t="s">
        <v>2190</v>
      </c>
      <c r="D10" s="745" t="s">
        <v>2189</v>
      </c>
      <c r="E10" s="746">
        <v>2.0</v>
      </c>
      <c r="F10" s="742"/>
      <c r="G10" s="742"/>
      <c r="H10" s="742"/>
      <c r="I10" s="742"/>
      <c r="J10" s="742"/>
      <c r="K10" s="742"/>
      <c r="L10" s="742"/>
      <c r="M10" s="742"/>
      <c r="N10" s="742"/>
      <c r="O10" s="742"/>
      <c r="P10" s="742"/>
      <c r="Q10" s="742"/>
    </row>
    <row r="11">
      <c r="A11" s="748">
        <v>11.0</v>
      </c>
      <c r="B11" s="748"/>
      <c r="C11" s="750" t="s">
        <v>2191</v>
      </c>
      <c r="D11" s="745" t="s">
        <v>2189</v>
      </c>
      <c r="E11" s="746">
        <v>1.0</v>
      </c>
      <c r="F11" s="742"/>
      <c r="G11" s="742"/>
      <c r="H11" s="742"/>
      <c r="I11" s="742"/>
      <c r="J11" s="742"/>
      <c r="K11" s="742"/>
      <c r="L11" s="742"/>
      <c r="M11" s="742"/>
      <c r="N11" s="742"/>
      <c r="O11" s="742"/>
      <c r="P11" s="742"/>
      <c r="Q11" s="742"/>
    </row>
    <row r="12">
      <c r="A12" s="743">
        <v>12.0</v>
      </c>
      <c r="B12" s="743"/>
      <c r="C12" s="749" t="s">
        <v>2166</v>
      </c>
      <c r="D12" s="745" t="s">
        <v>2748</v>
      </c>
      <c r="E12" s="746">
        <v>2.0</v>
      </c>
      <c r="F12" s="742"/>
      <c r="G12" s="742"/>
      <c r="H12" s="742"/>
      <c r="I12" s="742"/>
      <c r="J12" s="742"/>
      <c r="K12" s="742"/>
      <c r="L12" s="742"/>
      <c r="M12" s="742"/>
      <c r="N12" s="742"/>
      <c r="O12" s="742"/>
      <c r="P12" s="742"/>
      <c r="Q12" s="742"/>
    </row>
    <row r="13">
      <c r="A13" s="743">
        <v>13.0</v>
      </c>
      <c r="B13" s="743"/>
      <c r="C13" s="749" t="s">
        <v>2192</v>
      </c>
      <c r="D13" s="745" t="s">
        <v>2193</v>
      </c>
      <c r="E13" s="746">
        <v>2.0</v>
      </c>
      <c r="F13" s="742"/>
      <c r="G13" s="742"/>
      <c r="H13" s="742"/>
      <c r="I13" s="742"/>
      <c r="J13" s="742"/>
      <c r="K13" s="742"/>
      <c r="L13" s="742"/>
      <c r="M13" s="742"/>
      <c r="N13" s="742"/>
      <c r="O13" s="742"/>
      <c r="P13" s="742"/>
      <c r="Q13" s="742"/>
    </row>
    <row r="14">
      <c r="A14" s="748">
        <v>14.0</v>
      </c>
      <c r="B14" s="748"/>
      <c r="C14" s="751" t="s">
        <v>2194</v>
      </c>
      <c r="D14" s="745" t="s">
        <v>2193</v>
      </c>
      <c r="E14" s="746">
        <v>2.0</v>
      </c>
      <c r="F14" s="742"/>
      <c r="G14" s="742"/>
      <c r="H14" s="742"/>
      <c r="I14" s="742"/>
      <c r="J14" s="742"/>
      <c r="K14" s="742"/>
      <c r="L14" s="742"/>
      <c r="M14" s="742"/>
      <c r="N14" s="742"/>
      <c r="O14" s="742"/>
      <c r="P14" s="742"/>
      <c r="Q14" s="742"/>
    </row>
    <row r="15">
      <c r="A15" s="743">
        <v>15.0</v>
      </c>
      <c r="B15" s="743"/>
      <c r="C15" s="752" t="s">
        <v>2184</v>
      </c>
      <c r="D15" s="753" t="s">
        <v>2185</v>
      </c>
      <c r="E15" s="746">
        <v>20.0</v>
      </c>
      <c r="F15" s="742"/>
      <c r="G15" s="742"/>
      <c r="H15" s="742"/>
      <c r="I15" s="742"/>
      <c r="J15" s="742"/>
      <c r="K15" s="742"/>
      <c r="L15" s="742"/>
      <c r="M15" s="742"/>
      <c r="N15" s="742"/>
      <c r="O15" s="742"/>
      <c r="P15" s="742"/>
      <c r="Q15" s="742"/>
    </row>
    <row r="16">
      <c r="A16" s="743">
        <v>16.0</v>
      </c>
      <c r="B16" s="743"/>
      <c r="C16" s="752" t="s">
        <v>2167</v>
      </c>
      <c r="D16" s="754" t="s">
        <v>2748</v>
      </c>
      <c r="E16" s="754">
        <v>10.0</v>
      </c>
      <c r="F16" s="742"/>
      <c r="G16" s="742"/>
      <c r="H16" s="742"/>
      <c r="I16" s="742"/>
      <c r="J16" s="742"/>
      <c r="K16" s="742"/>
      <c r="L16" s="742"/>
      <c r="M16" s="742"/>
      <c r="N16" s="742"/>
      <c r="O16" s="742"/>
      <c r="P16" s="742"/>
      <c r="Q16" s="742"/>
    </row>
    <row r="17">
      <c r="A17" s="748">
        <v>17.0</v>
      </c>
      <c r="B17" s="748"/>
      <c r="C17" s="752" t="s">
        <v>2163</v>
      </c>
      <c r="D17" s="754" t="s">
        <v>2748</v>
      </c>
      <c r="E17" s="754">
        <v>3.0</v>
      </c>
      <c r="F17" s="742"/>
      <c r="G17" s="742"/>
      <c r="H17" s="742"/>
      <c r="I17" s="742"/>
      <c r="J17" s="742"/>
      <c r="K17" s="742"/>
      <c r="L17" s="742"/>
      <c r="M17" s="742"/>
      <c r="N17" s="742"/>
      <c r="O17" s="742"/>
      <c r="P17" s="742"/>
      <c r="Q17" s="742"/>
    </row>
    <row r="18">
      <c r="A18" s="743">
        <v>18.0</v>
      </c>
      <c r="B18" s="743"/>
      <c r="C18" s="752" t="s">
        <v>2168</v>
      </c>
      <c r="D18" s="754" t="s">
        <v>2748</v>
      </c>
      <c r="E18" s="754">
        <v>10.0</v>
      </c>
      <c r="F18" s="742"/>
      <c r="G18" s="742"/>
      <c r="H18" s="742"/>
      <c r="I18" s="742"/>
      <c r="J18" s="742"/>
      <c r="K18" s="742"/>
      <c r="L18" s="742"/>
      <c r="M18" s="742"/>
      <c r="N18" s="742"/>
      <c r="O18" s="742"/>
      <c r="P18" s="742"/>
      <c r="Q18" s="742"/>
    </row>
    <row r="19">
      <c r="A19" s="743">
        <v>19.0</v>
      </c>
      <c r="B19" s="743"/>
      <c r="C19" s="752" t="s">
        <v>2161</v>
      </c>
      <c r="D19" s="754" t="s">
        <v>2748</v>
      </c>
      <c r="E19" s="754">
        <v>10.0</v>
      </c>
      <c r="F19" s="742"/>
      <c r="G19" s="742"/>
      <c r="H19" s="742"/>
      <c r="I19" s="742"/>
      <c r="J19" s="742"/>
      <c r="K19" s="742"/>
      <c r="L19" s="742"/>
      <c r="M19" s="742"/>
      <c r="N19" s="742"/>
      <c r="O19" s="742"/>
      <c r="P19" s="742"/>
      <c r="Q19" s="742"/>
    </row>
    <row r="20">
      <c r="A20" s="748">
        <v>20.0</v>
      </c>
      <c r="B20" s="748"/>
      <c r="C20" s="752" t="s">
        <v>2162</v>
      </c>
      <c r="D20" s="754" t="s">
        <v>2748</v>
      </c>
      <c r="E20" s="754">
        <v>2.0</v>
      </c>
      <c r="F20" s="742"/>
      <c r="G20" s="742"/>
      <c r="H20" s="742"/>
      <c r="I20" s="742"/>
      <c r="J20" s="742"/>
      <c r="K20" s="742"/>
      <c r="L20" s="742"/>
      <c r="M20" s="742"/>
      <c r="N20" s="742"/>
      <c r="O20" s="742"/>
      <c r="P20" s="742"/>
      <c r="Q20" s="742"/>
    </row>
    <row r="21">
      <c r="A21" s="743">
        <v>21.0</v>
      </c>
      <c r="B21" s="743"/>
      <c r="C21" s="752" t="s">
        <v>2164</v>
      </c>
      <c r="D21" s="754" t="s">
        <v>2748</v>
      </c>
      <c r="E21" s="754">
        <v>20.0</v>
      </c>
      <c r="F21" s="742"/>
      <c r="G21" s="742"/>
      <c r="H21" s="742"/>
      <c r="I21" s="742"/>
      <c r="J21" s="742"/>
      <c r="K21" s="742"/>
      <c r="L21" s="742"/>
      <c r="M21" s="742"/>
      <c r="N21" s="742"/>
      <c r="O21" s="742"/>
      <c r="P21" s="742"/>
      <c r="Q21" s="742"/>
    </row>
    <row r="22">
      <c r="A22" s="743">
        <v>22.0</v>
      </c>
      <c r="B22" s="743"/>
      <c r="C22" s="752" t="s">
        <v>2169</v>
      </c>
      <c r="D22" s="754" t="s">
        <v>2748</v>
      </c>
      <c r="E22" s="754">
        <v>10.0</v>
      </c>
      <c r="F22" s="742"/>
      <c r="G22" s="742"/>
      <c r="H22" s="742"/>
      <c r="I22" s="742"/>
      <c r="J22" s="742"/>
      <c r="K22" s="742"/>
      <c r="L22" s="742"/>
      <c r="M22" s="742"/>
      <c r="N22" s="742"/>
      <c r="O22" s="742"/>
      <c r="P22" s="742"/>
      <c r="Q22" s="742"/>
    </row>
    <row r="23">
      <c r="A23" s="748">
        <v>23.0</v>
      </c>
      <c r="B23" s="748"/>
      <c r="C23" s="752" t="s">
        <v>2165</v>
      </c>
      <c r="D23" s="754" t="s">
        <v>2748</v>
      </c>
      <c r="E23" s="754">
        <v>4.0</v>
      </c>
      <c r="F23" s="742"/>
      <c r="G23" s="742"/>
      <c r="H23" s="742"/>
      <c r="I23" s="742"/>
      <c r="J23" s="742"/>
      <c r="K23" s="742"/>
      <c r="L23" s="742"/>
      <c r="M23" s="742"/>
      <c r="N23" s="742"/>
      <c r="O23" s="742"/>
      <c r="P23" s="742"/>
      <c r="Q23" s="742"/>
    </row>
    <row r="24">
      <c r="A24" s="743">
        <v>24.0</v>
      </c>
      <c r="B24" s="743"/>
      <c r="C24" s="752" t="s">
        <v>2170</v>
      </c>
      <c r="D24" s="754" t="s">
        <v>2748</v>
      </c>
      <c r="E24" s="754">
        <v>4.0</v>
      </c>
      <c r="F24" s="742"/>
      <c r="G24" s="742"/>
      <c r="H24" s="742"/>
      <c r="I24" s="742"/>
      <c r="J24" s="742"/>
      <c r="K24" s="742"/>
      <c r="L24" s="742"/>
      <c r="M24" s="742"/>
      <c r="N24" s="742"/>
      <c r="O24" s="742"/>
      <c r="P24" s="742"/>
      <c r="Q24" s="742"/>
    </row>
    <row r="25">
      <c r="A25" s="743">
        <v>25.0</v>
      </c>
      <c r="B25" s="743"/>
      <c r="C25" s="752" t="s">
        <v>2180</v>
      </c>
      <c r="D25" s="754" t="s">
        <v>2174</v>
      </c>
      <c r="E25" s="754" t="s">
        <v>2181</v>
      </c>
      <c r="F25" s="742"/>
      <c r="G25" s="742"/>
      <c r="H25" s="742"/>
      <c r="I25" s="742"/>
      <c r="J25" s="742"/>
      <c r="K25" s="742"/>
      <c r="L25" s="742"/>
      <c r="M25" s="742"/>
      <c r="N25" s="742"/>
      <c r="O25" s="742"/>
      <c r="P25" s="742"/>
      <c r="Q25" s="742"/>
    </row>
    <row r="26">
      <c r="A26" s="748">
        <v>26.0</v>
      </c>
      <c r="B26" s="748"/>
      <c r="C26" s="752" t="s">
        <v>2182</v>
      </c>
      <c r="D26" s="754" t="s">
        <v>2174</v>
      </c>
      <c r="E26" s="754" t="s">
        <v>2183</v>
      </c>
      <c r="F26" s="742"/>
      <c r="G26" s="742"/>
      <c r="H26" s="742"/>
      <c r="I26" s="742"/>
      <c r="J26" s="742"/>
      <c r="K26" s="742"/>
      <c r="L26" s="742"/>
      <c r="M26" s="742"/>
      <c r="N26" s="742"/>
      <c r="O26" s="742"/>
      <c r="P26" s="742"/>
      <c r="Q26" s="742"/>
    </row>
    <row r="27">
      <c r="A27" s="743">
        <v>27.0</v>
      </c>
      <c r="B27" s="743"/>
      <c r="C27" s="752" t="s">
        <v>2171</v>
      </c>
      <c r="D27" s="754" t="s">
        <v>2193</v>
      </c>
      <c r="E27" s="754">
        <v>2.0</v>
      </c>
      <c r="F27" s="742"/>
      <c r="G27" s="742"/>
      <c r="H27" s="742"/>
      <c r="I27" s="742"/>
      <c r="J27" s="742"/>
      <c r="K27" s="742"/>
      <c r="L27" s="742"/>
      <c r="M27" s="742"/>
      <c r="N27" s="742"/>
      <c r="O27" s="742"/>
      <c r="P27" s="742"/>
      <c r="Q27" s="742"/>
    </row>
    <row r="28">
      <c r="A28" s="743">
        <v>28.0</v>
      </c>
      <c r="B28" s="743"/>
      <c r="C28" s="752" t="s">
        <v>2749</v>
      </c>
      <c r="D28" s="755"/>
      <c r="E28" s="755"/>
      <c r="F28" s="742"/>
      <c r="G28" s="742"/>
      <c r="H28" s="742"/>
      <c r="I28" s="742"/>
      <c r="J28" s="742"/>
      <c r="K28" s="742"/>
      <c r="L28" s="742"/>
      <c r="M28" s="742"/>
      <c r="N28" s="742"/>
      <c r="O28" s="742"/>
      <c r="P28" s="742"/>
      <c r="Q28" s="742"/>
    </row>
    <row r="29">
      <c r="A29" s="748">
        <v>29.0</v>
      </c>
      <c r="B29" s="748"/>
      <c r="C29" s="752" t="s">
        <v>2750</v>
      </c>
      <c r="D29" s="755"/>
      <c r="E29" s="755"/>
      <c r="F29" s="742"/>
      <c r="G29" s="742"/>
      <c r="H29" s="742"/>
      <c r="I29" s="742"/>
      <c r="J29" s="742"/>
      <c r="K29" s="742"/>
      <c r="L29" s="742"/>
      <c r="M29" s="742"/>
      <c r="N29" s="742"/>
      <c r="O29" s="742"/>
      <c r="P29" s="742"/>
      <c r="Q29" s="742"/>
    </row>
    <row r="30">
      <c r="C30" s="756"/>
    </row>
    <row r="31">
      <c r="C31" s="756"/>
    </row>
    <row r="32">
      <c r="C32" s="756"/>
    </row>
    <row r="33">
      <c r="C33" s="756"/>
    </row>
    <row r="34">
      <c r="C34" s="756"/>
    </row>
    <row r="35">
      <c r="C35" s="756"/>
    </row>
    <row r="36">
      <c r="C36" s="756"/>
    </row>
    <row r="37">
      <c r="C37" s="756"/>
    </row>
    <row r="38">
      <c r="C38" s="756"/>
    </row>
    <row r="39">
      <c r="C39" s="756"/>
    </row>
    <row r="40">
      <c r="C40" s="756"/>
      <c r="D40" s="742"/>
    </row>
    <row r="41">
      <c r="C41" s="756"/>
    </row>
    <row r="42">
      <c r="C42" s="756"/>
    </row>
    <row r="43">
      <c r="C43" s="756"/>
    </row>
    <row r="44">
      <c r="C44" s="756"/>
    </row>
    <row r="45">
      <c r="C45" s="756"/>
    </row>
    <row r="46">
      <c r="C46" s="756"/>
    </row>
    <row r="47">
      <c r="C47" s="756"/>
    </row>
    <row r="48">
      <c r="C48" s="756"/>
    </row>
    <row r="49">
      <c r="C49" s="756"/>
    </row>
    <row r="50">
      <c r="C50" s="756"/>
    </row>
    <row r="51">
      <c r="C51" s="756"/>
    </row>
    <row r="52">
      <c r="C52" s="756"/>
    </row>
    <row r="53">
      <c r="C53" s="756"/>
    </row>
    <row r="54">
      <c r="C54" s="756"/>
    </row>
    <row r="55">
      <c r="C55" s="756"/>
    </row>
    <row r="56">
      <c r="C56" s="756"/>
    </row>
    <row r="57">
      <c r="C57" s="756"/>
    </row>
    <row r="58">
      <c r="C58" s="756"/>
    </row>
    <row r="59">
      <c r="C59" s="756"/>
    </row>
    <row r="60">
      <c r="C60" s="756"/>
    </row>
    <row r="61">
      <c r="C61" s="756"/>
    </row>
    <row r="62">
      <c r="C62" s="756"/>
    </row>
    <row r="63">
      <c r="C63" s="756"/>
    </row>
    <row r="64">
      <c r="C64" s="756"/>
    </row>
    <row r="65">
      <c r="C65" s="756"/>
    </row>
    <row r="66">
      <c r="C66" s="756"/>
    </row>
    <row r="67">
      <c r="C67" s="756"/>
    </row>
    <row r="68">
      <c r="C68" s="756"/>
    </row>
    <row r="69">
      <c r="C69" s="756"/>
    </row>
    <row r="70">
      <c r="C70" s="756"/>
    </row>
    <row r="71">
      <c r="C71" s="756"/>
    </row>
    <row r="72">
      <c r="C72" s="756"/>
    </row>
    <row r="73">
      <c r="C73" s="756"/>
    </row>
    <row r="74">
      <c r="C74" s="756"/>
    </row>
    <row r="75">
      <c r="C75" s="756"/>
    </row>
    <row r="76">
      <c r="C76" s="756"/>
    </row>
    <row r="77">
      <c r="C77" s="756"/>
    </row>
    <row r="78">
      <c r="C78" s="756"/>
    </row>
    <row r="79">
      <c r="C79" s="756"/>
    </row>
    <row r="80">
      <c r="C80" s="756"/>
    </row>
    <row r="81">
      <c r="C81" s="756"/>
    </row>
    <row r="82">
      <c r="C82" s="756"/>
    </row>
    <row r="83">
      <c r="C83" s="756"/>
    </row>
    <row r="84">
      <c r="C84" s="756"/>
    </row>
    <row r="85">
      <c r="C85" s="756"/>
    </row>
    <row r="86">
      <c r="C86" s="756"/>
    </row>
    <row r="87">
      <c r="C87" s="756"/>
    </row>
    <row r="88">
      <c r="C88" s="756"/>
    </row>
    <row r="89">
      <c r="C89" s="756"/>
    </row>
    <row r="90">
      <c r="C90" s="756"/>
    </row>
    <row r="91">
      <c r="C91" s="756"/>
    </row>
    <row r="92">
      <c r="C92" s="756"/>
    </row>
    <row r="93">
      <c r="C93" s="756"/>
    </row>
    <row r="94">
      <c r="C94" s="756"/>
    </row>
    <row r="95">
      <c r="C95" s="756"/>
    </row>
    <row r="96">
      <c r="C96" s="756"/>
    </row>
    <row r="97">
      <c r="C97" s="756"/>
    </row>
    <row r="98">
      <c r="C98" s="756"/>
    </row>
    <row r="99">
      <c r="C99" s="756"/>
    </row>
    <row r="100">
      <c r="C100" s="756"/>
    </row>
    <row r="101">
      <c r="C101" s="756"/>
    </row>
    <row r="102">
      <c r="C102" s="756"/>
    </row>
    <row r="103">
      <c r="C103" s="756"/>
    </row>
    <row r="104">
      <c r="C104" s="756"/>
    </row>
    <row r="105">
      <c r="C105" s="756"/>
    </row>
    <row r="106">
      <c r="C106" s="756"/>
    </row>
    <row r="107">
      <c r="C107" s="756"/>
    </row>
    <row r="108">
      <c r="C108" s="756"/>
    </row>
    <row r="109">
      <c r="C109" s="756"/>
    </row>
    <row r="110">
      <c r="C110" s="756"/>
    </row>
    <row r="111">
      <c r="C111" s="756"/>
    </row>
    <row r="112">
      <c r="C112" s="756"/>
    </row>
    <row r="113">
      <c r="C113" s="756"/>
    </row>
    <row r="114">
      <c r="C114" s="756"/>
    </row>
    <row r="115">
      <c r="C115" s="756"/>
    </row>
    <row r="116">
      <c r="C116" s="756"/>
    </row>
    <row r="117">
      <c r="C117" s="756"/>
    </row>
    <row r="118">
      <c r="C118" s="756"/>
    </row>
    <row r="119">
      <c r="C119" s="756"/>
    </row>
    <row r="120">
      <c r="C120" s="756"/>
    </row>
    <row r="121">
      <c r="C121" s="756"/>
    </row>
    <row r="122">
      <c r="C122" s="756"/>
    </row>
    <row r="123">
      <c r="C123" s="756"/>
    </row>
    <row r="124">
      <c r="C124" s="756"/>
    </row>
    <row r="125">
      <c r="C125" s="756"/>
    </row>
    <row r="126">
      <c r="C126" s="756"/>
    </row>
    <row r="127">
      <c r="C127" s="756"/>
    </row>
    <row r="128">
      <c r="C128" s="756"/>
    </row>
    <row r="129">
      <c r="C129" s="756"/>
    </row>
    <row r="130">
      <c r="C130" s="756"/>
    </row>
    <row r="131">
      <c r="C131" s="756"/>
    </row>
    <row r="132">
      <c r="C132" s="756"/>
    </row>
    <row r="133">
      <c r="C133" s="756"/>
    </row>
    <row r="134">
      <c r="C134" s="756"/>
    </row>
    <row r="135">
      <c r="C135" s="756"/>
    </row>
    <row r="136">
      <c r="C136" s="756"/>
    </row>
    <row r="137">
      <c r="C137" s="756"/>
    </row>
    <row r="138">
      <c r="C138" s="756"/>
    </row>
    <row r="139">
      <c r="C139" s="756"/>
    </row>
    <row r="140">
      <c r="C140" s="756"/>
    </row>
    <row r="141">
      <c r="C141" s="756"/>
    </row>
    <row r="142">
      <c r="C142" s="756"/>
    </row>
    <row r="143">
      <c r="C143" s="756"/>
    </row>
    <row r="144">
      <c r="C144" s="756"/>
    </row>
    <row r="145">
      <c r="C145" s="756"/>
    </row>
    <row r="146">
      <c r="C146" s="756"/>
    </row>
    <row r="147">
      <c r="C147" s="756"/>
    </row>
    <row r="148">
      <c r="C148" s="756"/>
    </row>
    <row r="149">
      <c r="C149" s="756"/>
    </row>
    <row r="150">
      <c r="C150" s="756"/>
    </row>
    <row r="151">
      <c r="C151" s="756"/>
    </row>
    <row r="152">
      <c r="C152" s="756"/>
    </row>
    <row r="153">
      <c r="C153" s="756"/>
    </row>
    <row r="154">
      <c r="C154" s="756"/>
    </row>
    <row r="155">
      <c r="C155" s="756"/>
    </row>
    <row r="156">
      <c r="C156" s="756"/>
    </row>
    <row r="157">
      <c r="C157" s="756"/>
    </row>
    <row r="158">
      <c r="C158" s="756"/>
    </row>
    <row r="159">
      <c r="C159" s="756"/>
    </row>
    <row r="160">
      <c r="C160" s="756"/>
    </row>
    <row r="161">
      <c r="C161" s="756"/>
    </row>
    <row r="162">
      <c r="C162" s="756"/>
    </row>
    <row r="163">
      <c r="C163" s="756"/>
    </row>
    <row r="164">
      <c r="C164" s="756"/>
    </row>
    <row r="165">
      <c r="C165" s="756"/>
    </row>
    <row r="166">
      <c r="C166" s="756"/>
    </row>
    <row r="167">
      <c r="C167" s="756"/>
    </row>
    <row r="168">
      <c r="C168" s="756"/>
    </row>
    <row r="169">
      <c r="C169" s="756"/>
    </row>
    <row r="170">
      <c r="C170" s="756"/>
    </row>
    <row r="171">
      <c r="C171" s="756"/>
    </row>
    <row r="172">
      <c r="C172" s="756"/>
    </row>
    <row r="173">
      <c r="C173" s="756"/>
    </row>
    <row r="174">
      <c r="C174" s="756"/>
    </row>
    <row r="175">
      <c r="C175" s="756"/>
    </row>
    <row r="176">
      <c r="C176" s="756"/>
    </row>
    <row r="177">
      <c r="C177" s="756"/>
    </row>
    <row r="178">
      <c r="C178" s="756"/>
    </row>
    <row r="179">
      <c r="C179" s="756"/>
    </row>
    <row r="180">
      <c r="C180" s="756"/>
    </row>
    <row r="181">
      <c r="C181" s="756"/>
    </row>
    <row r="182">
      <c r="C182" s="756"/>
    </row>
    <row r="183">
      <c r="C183" s="756"/>
    </row>
    <row r="184">
      <c r="C184" s="756"/>
    </row>
    <row r="185">
      <c r="C185" s="756"/>
    </row>
    <row r="186">
      <c r="C186" s="756"/>
    </row>
    <row r="187">
      <c r="C187" s="756"/>
    </row>
    <row r="188">
      <c r="C188" s="756"/>
    </row>
    <row r="189">
      <c r="C189" s="756"/>
    </row>
    <row r="190">
      <c r="C190" s="756"/>
    </row>
    <row r="191">
      <c r="C191" s="756"/>
    </row>
    <row r="192">
      <c r="C192" s="756"/>
    </row>
    <row r="193">
      <c r="C193" s="756"/>
    </row>
    <row r="194">
      <c r="C194" s="756"/>
    </row>
    <row r="195">
      <c r="C195" s="756"/>
    </row>
    <row r="196">
      <c r="C196" s="756"/>
    </row>
    <row r="197">
      <c r="C197" s="756"/>
    </row>
    <row r="198">
      <c r="C198" s="756"/>
    </row>
    <row r="199">
      <c r="C199" s="756"/>
    </row>
    <row r="200">
      <c r="C200" s="756"/>
    </row>
    <row r="201">
      <c r="C201" s="756"/>
    </row>
    <row r="202">
      <c r="C202" s="756"/>
    </row>
    <row r="203">
      <c r="C203" s="756"/>
    </row>
    <row r="204">
      <c r="C204" s="756"/>
    </row>
    <row r="205">
      <c r="C205" s="756"/>
    </row>
    <row r="206">
      <c r="C206" s="756"/>
    </row>
    <row r="207">
      <c r="C207" s="756"/>
    </row>
    <row r="208">
      <c r="C208" s="756"/>
    </row>
    <row r="209">
      <c r="C209" s="756"/>
    </row>
    <row r="210">
      <c r="C210" s="756"/>
    </row>
    <row r="211">
      <c r="C211" s="756"/>
    </row>
    <row r="212">
      <c r="C212" s="756"/>
    </row>
    <row r="213">
      <c r="C213" s="756"/>
    </row>
    <row r="214">
      <c r="C214" s="756"/>
    </row>
    <row r="215">
      <c r="C215" s="756"/>
    </row>
    <row r="216">
      <c r="C216" s="756"/>
    </row>
    <row r="217">
      <c r="C217" s="756"/>
    </row>
    <row r="218">
      <c r="C218" s="756"/>
    </row>
    <row r="219">
      <c r="C219" s="756"/>
    </row>
    <row r="220">
      <c r="C220" s="756"/>
    </row>
    <row r="221">
      <c r="C221" s="756"/>
    </row>
    <row r="222">
      <c r="C222" s="756"/>
    </row>
    <row r="223">
      <c r="C223" s="756"/>
    </row>
    <row r="224">
      <c r="C224" s="756"/>
    </row>
    <row r="225">
      <c r="C225" s="756"/>
    </row>
    <row r="226">
      <c r="C226" s="756"/>
    </row>
    <row r="227">
      <c r="C227" s="756"/>
    </row>
    <row r="228">
      <c r="C228" s="756"/>
    </row>
    <row r="229">
      <c r="C229" s="756"/>
    </row>
    <row r="230">
      <c r="C230" s="756"/>
    </row>
    <row r="231">
      <c r="C231" s="756"/>
    </row>
    <row r="232">
      <c r="C232" s="756"/>
    </row>
    <row r="233">
      <c r="C233" s="756"/>
    </row>
    <row r="234">
      <c r="C234" s="756"/>
    </row>
    <row r="235">
      <c r="C235" s="756"/>
    </row>
    <row r="236">
      <c r="C236" s="756"/>
    </row>
    <row r="237">
      <c r="C237" s="756"/>
    </row>
    <row r="238">
      <c r="C238" s="756"/>
    </row>
    <row r="239">
      <c r="C239" s="756"/>
    </row>
    <row r="240">
      <c r="C240" s="756"/>
    </row>
    <row r="241">
      <c r="C241" s="756"/>
    </row>
    <row r="242">
      <c r="C242" s="756"/>
    </row>
    <row r="243">
      <c r="C243" s="756"/>
    </row>
    <row r="244">
      <c r="C244" s="756"/>
    </row>
    <row r="245">
      <c r="C245" s="756"/>
    </row>
    <row r="246">
      <c r="C246" s="756"/>
    </row>
    <row r="247">
      <c r="C247" s="756"/>
    </row>
    <row r="248">
      <c r="C248" s="756"/>
    </row>
    <row r="249">
      <c r="C249" s="756"/>
    </row>
    <row r="250">
      <c r="C250" s="756"/>
    </row>
    <row r="251">
      <c r="C251" s="756"/>
    </row>
    <row r="252">
      <c r="C252" s="756"/>
    </row>
    <row r="253">
      <c r="C253" s="756"/>
    </row>
    <row r="254">
      <c r="C254" s="756"/>
    </row>
    <row r="255">
      <c r="C255" s="756"/>
    </row>
    <row r="256">
      <c r="C256" s="756"/>
    </row>
    <row r="257">
      <c r="C257" s="756"/>
    </row>
    <row r="258">
      <c r="C258" s="756"/>
    </row>
    <row r="259">
      <c r="C259" s="756"/>
    </row>
    <row r="260">
      <c r="C260" s="756"/>
    </row>
    <row r="261">
      <c r="C261" s="756"/>
    </row>
    <row r="262">
      <c r="C262" s="756"/>
    </row>
    <row r="263">
      <c r="C263" s="756"/>
    </row>
    <row r="264">
      <c r="C264" s="756"/>
    </row>
    <row r="265">
      <c r="C265" s="756"/>
    </row>
    <row r="266">
      <c r="C266" s="756"/>
    </row>
    <row r="267">
      <c r="C267" s="756"/>
    </row>
    <row r="268">
      <c r="C268" s="756"/>
    </row>
    <row r="269">
      <c r="C269" s="756"/>
    </row>
    <row r="270">
      <c r="C270" s="756"/>
    </row>
    <row r="271">
      <c r="C271" s="756"/>
    </row>
    <row r="272">
      <c r="C272" s="756"/>
    </row>
    <row r="273">
      <c r="C273" s="756"/>
    </row>
    <row r="274">
      <c r="C274" s="756"/>
    </row>
    <row r="275">
      <c r="C275" s="756"/>
    </row>
    <row r="276">
      <c r="C276" s="756"/>
    </row>
    <row r="277">
      <c r="C277" s="756"/>
    </row>
    <row r="278">
      <c r="C278" s="756"/>
    </row>
    <row r="279">
      <c r="C279" s="756"/>
    </row>
    <row r="280">
      <c r="C280" s="756"/>
    </row>
    <row r="281">
      <c r="C281" s="756"/>
    </row>
    <row r="282">
      <c r="C282" s="756"/>
    </row>
    <row r="283">
      <c r="C283" s="756"/>
    </row>
    <row r="284">
      <c r="C284" s="756"/>
    </row>
    <row r="285">
      <c r="C285" s="756"/>
    </row>
    <row r="286">
      <c r="C286" s="756"/>
    </row>
    <row r="287">
      <c r="C287" s="756"/>
    </row>
    <row r="288">
      <c r="C288" s="756"/>
    </row>
    <row r="289">
      <c r="C289" s="756"/>
    </row>
    <row r="290">
      <c r="C290" s="756"/>
    </row>
    <row r="291">
      <c r="C291" s="756"/>
    </row>
    <row r="292">
      <c r="C292" s="756"/>
    </row>
    <row r="293">
      <c r="C293" s="756"/>
    </row>
    <row r="294">
      <c r="C294" s="756"/>
    </row>
    <row r="295">
      <c r="C295" s="756"/>
    </row>
    <row r="296">
      <c r="C296" s="756"/>
    </row>
    <row r="297">
      <c r="C297" s="756"/>
    </row>
    <row r="298">
      <c r="C298" s="756"/>
    </row>
    <row r="299">
      <c r="C299" s="756"/>
    </row>
    <row r="300">
      <c r="C300" s="756"/>
    </row>
    <row r="301">
      <c r="C301" s="756"/>
    </row>
    <row r="302">
      <c r="C302" s="756"/>
    </row>
    <row r="303">
      <c r="C303" s="756"/>
    </row>
    <row r="304">
      <c r="C304" s="756"/>
    </row>
    <row r="305">
      <c r="C305" s="756"/>
    </row>
    <row r="306">
      <c r="C306" s="756"/>
    </row>
    <row r="307">
      <c r="C307" s="756"/>
    </row>
    <row r="308">
      <c r="C308" s="756"/>
    </row>
    <row r="309">
      <c r="C309" s="756"/>
    </row>
    <row r="310">
      <c r="C310" s="756"/>
    </row>
    <row r="311">
      <c r="C311" s="756"/>
    </row>
    <row r="312">
      <c r="C312" s="756"/>
    </row>
    <row r="313">
      <c r="C313" s="756"/>
    </row>
    <row r="314">
      <c r="C314" s="756"/>
    </row>
    <row r="315">
      <c r="C315" s="756"/>
    </row>
    <row r="316">
      <c r="C316" s="756"/>
    </row>
    <row r="317">
      <c r="C317" s="756"/>
    </row>
    <row r="318">
      <c r="C318" s="756"/>
    </row>
    <row r="319">
      <c r="C319" s="756"/>
    </row>
    <row r="320">
      <c r="C320" s="756"/>
    </row>
    <row r="321">
      <c r="C321" s="756"/>
    </row>
    <row r="322">
      <c r="C322" s="756"/>
    </row>
    <row r="323">
      <c r="C323" s="756"/>
    </row>
    <row r="324">
      <c r="C324" s="756"/>
    </row>
    <row r="325">
      <c r="C325" s="756"/>
    </row>
    <row r="326">
      <c r="C326" s="756"/>
    </row>
    <row r="327">
      <c r="C327" s="756"/>
    </row>
    <row r="328">
      <c r="C328" s="756"/>
    </row>
    <row r="329">
      <c r="C329" s="756"/>
    </row>
    <row r="330">
      <c r="C330" s="756"/>
    </row>
    <row r="331">
      <c r="C331" s="756"/>
    </row>
    <row r="332">
      <c r="C332" s="756"/>
    </row>
    <row r="333">
      <c r="C333" s="756"/>
    </row>
    <row r="334">
      <c r="C334" s="756"/>
    </row>
    <row r="335">
      <c r="C335" s="756"/>
    </row>
    <row r="336">
      <c r="C336" s="756"/>
    </row>
    <row r="337">
      <c r="C337" s="756"/>
    </row>
    <row r="338">
      <c r="C338" s="756"/>
    </row>
    <row r="339">
      <c r="C339" s="756"/>
    </row>
    <row r="340">
      <c r="C340" s="756"/>
    </row>
    <row r="341">
      <c r="C341" s="756"/>
    </row>
    <row r="342">
      <c r="C342" s="756"/>
    </row>
    <row r="343">
      <c r="C343" s="756"/>
    </row>
    <row r="344">
      <c r="C344" s="756"/>
    </row>
    <row r="345">
      <c r="C345" s="756"/>
    </row>
    <row r="346">
      <c r="C346" s="756"/>
    </row>
    <row r="347">
      <c r="C347" s="756"/>
    </row>
    <row r="348">
      <c r="C348" s="756"/>
    </row>
    <row r="349">
      <c r="C349" s="756"/>
    </row>
    <row r="350">
      <c r="C350" s="756"/>
    </row>
    <row r="351">
      <c r="C351" s="756"/>
    </row>
    <row r="352">
      <c r="C352" s="756"/>
    </row>
    <row r="353">
      <c r="C353" s="756"/>
    </row>
    <row r="354">
      <c r="C354" s="756"/>
    </row>
    <row r="355">
      <c r="C355" s="756"/>
    </row>
    <row r="356">
      <c r="C356" s="756"/>
    </row>
    <row r="357">
      <c r="C357" s="756"/>
    </row>
    <row r="358">
      <c r="C358" s="756"/>
    </row>
    <row r="359">
      <c r="C359" s="756"/>
    </row>
    <row r="360">
      <c r="C360" s="756"/>
    </row>
    <row r="361">
      <c r="C361" s="756"/>
    </row>
    <row r="362">
      <c r="C362" s="756"/>
    </row>
    <row r="363">
      <c r="C363" s="756"/>
    </row>
    <row r="364">
      <c r="C364" s="756"/>
    </row>
    <row r="365">
      <c r="C365" s="756"/>
    </row>
    <row r="366">
      <c r="C366" s="756"/>
    </row>
    <row r="367">
      <c r="C367" s="756"/>
    </row>
    <row r="368">
      <c r="C368" s="756"/>
    </row>
    <row r="369">
      <c r="C369" s="756"/>
    </row>
    <row r="370">
      <c r="C370" s="756"/>
    </row>
    <row r="371">
      <c r="C371" s="756"/>
    </row>
    <row r="372">
      <c r="C372" s="756"/>
    </row>
    <row r="373">
      <c r="C373" s="756"/>
    </row>
    <row r="374">
      <c r="C374" s="756"/>
    </row>
    <row r="375">
      <c r="C375" s="756"/>
    </row>
    <row r="376">
      <c r="C376" s="756"/>
    </row>
    <row r="377">
      <c r="C377" s="756"/>
    </row>
    <row r="378">
      <c r="C378" s="756"/>
    </row>
    <row r="379">
      <c r="C379" s="756"/>
    </row>
    <row r="380">
      <c r="C380" s="756"/>
    </row>
    <row r="381">
      <c r="C381" s="756"/>
    </row>
    <row r="382">
      <c r="C382" s="756"/>
    </row>
    <row r="383">
      <c r="C383" s="756"/>
    </row>
    <row r="384">
      <c r="C384" s="756"/>
    </row>
    <row r="385">
      <c r="C385" s="756"/>
    </row>
    <row r="386">
      <c r="C386" s="756"/>
    </row>
    <row r="387">
      <c r="C387" s="756"/>
    </row>
    <row r="388">
      <c r="C388" s="756"/>
    </row>
    <row r="389">
      <c r="C389" s="756"/>
    </row>
    <row r="390">
      <c r="C390" s="756"/>
    </row>
    <row r="391">
      <c r="C391" s="756"/>
    </row>
    <row r="392">
      <c r="C392" s="756"/>
    </row>
    <row r="393">
      <c r="C393" s="756"/>
    </row>
    <row r="394">
      <c r="C394" s="756"/>
    </row>
    <row r="395">
      <c r="C395" s="756"/>
    </row>
    <row r="396">
      <c r="C396" s="756"/>
    </row>
    <row r="397">
      <c r="C397" s="756"/>
    </row>
    <row r="398">
      <c r="C398" s="756"/>
    </row>
    <row r="399">
      <c r="C399" s="756"/>
    </row>
    <row r="400">
      <c r="C400" s="756"/>
    </row>
    <row r="401">
      <c r="C401" s="756"/>
    </row>
    <row r="402">
      <c r="C402" s="756"/>
    </row>
    <row r="403">
      <c r="C403" s="756"/>
    </row>
    <row r="404">
      <c r="C404" s="756"/>
    </row>
    <row r="405">
      <c r="C405" s="756"/>
    </row>
    <row r="406">
      <c r="C406" s="756"/>
    </row>
    <row r="407">
      <c r="C407" s="756"/>
    </row>
    <row r="408">
      <c r="C408" s="756"/>
    </row>
    <row r="409">
      <c r="C409" s="756"/>
    </row>
    <row r="410">
      <c r="C410" s="756"/>
    </row>
    <row r="411">
      <c r="C411" s="756"/>
    </row>
    <row r="412">
      <c r="C412" s="756"/>
    </row>
    <row r="413">
      <c r="C413" s="756"/>
    </row>
    <row r="414">
      <c r="C414" s="756"/>
    </row>
    <row r="415">
      <c r="C415" s="756"/>
    </row>
    <row r="416">
      <c r="C416" s="756"/>
    </row>
    <row r="417">
      <c r="C417" s="756"/>
    </row>
    <row r="418">
      <c r="C418" s="756"/>
    </row>
    <row r="419">
      <c r="C419" s="756"/>
    </row>
    <row r="420">
      <c r="C420" s="756"/>
    </row>
    <row r="421">
      <c r="C421" s="756"/>
    </row>
    <row r="422">
      <c r="C422" s="756"/>
    </row>
    <row r="423">
      <c r="C423" s="756"/>
    </row>
    <row r="424">
      <c r="C424" s="756"/>
    </row>
    <row r="425">
      <c r="C425" s="756"/>
    </row>
    <row r="426">
      <c r="C426" s="756"/>
    </row>
    <row r="427">
      <c r="C427" s="756"/>
    </row>
    <row r="428">
      <c r="C428" s="756"/>
    </row>
    <row r="429">
      <c r="C429" s="756"/>
    </row>
    <row r="430">
      <c r="C430" s="756"/>
    </row>
    <row r="431">
      <c r="C431" s="756"/>
    </row>
    <row r="432">
      <c r="C432" s="756"/>
    </row>
    <row r="433">
      <c r="C433" s="756"/>
    </row>
    <row r="434">
      <c r="C434" s="756"/>
    </row>
    <row r="435">
      <c r="C435" s="756"/>
    </row>
    <row r="436">
      <c r="C436" s="756"/>
    </row>
    <row r="437">
      <c r="C437" s="756"/>
    </row>
    <row r="438">
      <c r="C438" s="756"/>
    </row>
    <row r="439">
      <c r="C439" s="756"/>
    </row>
    <row r="440">
      <c r="C440" s="756"/>
    </row>
    <row r="441">
      <c r="C441" s="756"/>
    </row>
    <row r="442">
      <c r="C442" s="756"/>
    </row>
    <row r="443">
      <c r="C443" s="756"/>
    </row>
    <row r="444">
      <c r="C444" s="756"/>
    </row>
    <row r="445">
      <c r="C445" s="756"/>
    </row>
    <row r="446">
      <c r="C446" s="756"/>
    </row>
    <row r="447">
      <c r="C447" s="756"/>
    </row>
    <row r="448">
      <c r="C448" s="756"/>
    </row>
    <row r="449">
      <c r="C449" s="756"/>
    </row>
    <row r="450">
      <c r="C450" s="756"/>
    </row>
    <row r="451">
      <c r="C451" s="756"/>
    </row>
    <row r="452">
      <c r="C452" s="756"/>
    </row>
    <row r="453">
      <c r="C453" s="756"/>
    </row>
    <row r="454">
      <c r="C454" s="756"/>
    </row>
    <row r="455">
      <c r="C455" s="756"/>
    </row>
    <row r="456">
      <c r="C456" s="756"/>
    </row>
    <row r="457">
      <c r="C457" s="756"/>
    </row>
    <row r="458">
      <c r="C458" s="756"/>
    </row>
    <row r="459">
      <c r="C459" s="756"/>
    </row>
    <row r="460">
      <c r="C460" s="756"/>
    </row>
    <row r="461">
      <c r="C461" s="756"/>
    </row>
    <row r="462">
      <c r="C462" s="756"/>
    </row>
    <row r="463">
      <c r="C463" s="756"/>
    </row>
    <row r="464">
      <c r="C464" s="756"/>
    </row>
    <row r="465">
      <c r="C465" s="756"/>
    </row>
    <row r="466">
      <c r="C466" s="756"/>
    </row>
    <row r="467">
      <c r="C467" s="756"/>
    </row>
    <row r="468">
      <c r="C468" s="756"/>
    </row>
    <row r="469">
      <c r="C469" s="756"/>
    </row>
    <row r="470">
      <c r="C470" s="756"/>
    </row>
    <row r="471">
      <c r="C471" s="756"/>
    </row>
    <row r="472">
      <c r="C472" s="756"/>
    </row>
    <row r="473">
      <c r="C473" s="756"/>
    </row>
    <row r="474">
      <c r="C474" s="756"/>
    </row>
    <row r="475">
      <c r="C475" s="756"/>
    </row>
    <row r="476">
      <c r="C476" s="756"/>
    </row>
    <row r="477">
      <c r="C477" s="756"/>
    </row>
    <row r="478">
      <c r="C478" s="756"/>
    </row>
    <row r="479">
      <c r="C479" s="756"/>
    </row>
    <row r="480">
      <c r="C480" s="756"/>
    </row>
    <row r="481">
      <c r="C481" s="756"/>
    </row>
    <row r="482">
      <c r="C482" s="756"/>
    </row>
    <row r="483">
      <c r="C483" s="756"/>
    </row>
    <row r="484">
      <c r="C484" s="756"/>
    </row>
    <row r="485">
      <c r="C485" s="756"/>
    </row>
    <row r="486">
      <c r="C486" s="756"/>
    </row>
    <row r="487">
      <c r="C487" s="756"/>
    </row>
    <row r="488">
      <c r="C488" s="756"/>
    </row>
    <row r="489">
      <c r="C489" s="756"/>
    </row>
    <row r="490">
      <c r="C490" s="756"/>
    </row>
    <row r="491">
      <c r="C491" s="756"/>
    </row>
    <row r="492">
      <c r="C492" s="756"/>
    </row>
    <row r="493">
      <c r="C493" s="756"/>
    </row>
    <row r="494">
      <c r="C494" s="756"/>
    </row>
    <row r="495">
      <c r="C495" s="756"/>
    </row>
    <row r="496">
      <c r="C496" s="756"/>
    </row>
    <row r="497">
      <c r="C497" s="756"/>
    </row>
    <row r="498">
      <c r="C498" s="756"/>
    </row>
    <row r="499">
      <c r="C499" s="756"/>
    </row>
    <row r="500">
      <c r="C500" s="756"/>
    </row>
    <row r="501">
      <c r="C501" s="756"/>
    </row>
    <row r="502">
      <c r="C502" s="756"/>
    </row>
    <row r="503">
      <c r="C503" s="756"/>
    </row>
    <row r="504">
      <c r="C504" s="756"/>
    </row>
    <row r="505">
      <c r="C505" s="756"/>
    </row>
    <row r="506">
      <c r="C506" s="756"/>
    </row>
    <row r="507">
      <c r="C507" s="756"/>
    </row>
    <row r="508">
      <c r="C508" s="756"/>
    </row>
    <row r="509">
      <c r="C509" s="756"/>
    </row>
    <row r="510">
      <c r="C510" s="756"/>
    </row>
    <row r="511">
      <c r="C511" s="756"/>
    </row>
    <row r="512">
      <c r="C512" s="756"/>
    </row>
    <row r="513">
      <c r="C513" s="756"/>
    </row>
    <row r="514">
      <c r="C514" s="756"/>
    </row>
    <row r="515">
      <c r="C515" s="756"/>
    </row>
    <row r="516">
      <c r="C516" s="756"/>
    </row>
    <row r="517">
      <c r="C517" s="756"/>
    </row>
    <row r="518">
      <c r="C518" s="756"/>
    </row>
    <row r="519">
      <c r="C519" s="756"/>
    </row>
    <row r="520">
      <c r="C520" s="756"/>
    </row>
    <row r="521">
      <c r="C521" s="756"/>
    </row>
    <row r="522">
      <c r="C522" s="756"/>
    </row>
    <row r="523">
      <c r="C523" s="756"/>
    </row>
    <row r="524">
      <c r="C524" s="756"/>
    </row>
    <row r="525">
      <c r="C525" s="756"/>
    </row>
    <row r="526">
      <c r="C526" s="756"/>
    </row>
    <row r="527">
      <c r="C527" s="756"/>
    </row>
    <row r="528">
      <c r="C528" s="756"/>
    </row>
    <row r="529">
      <c r="C529" s="756"/>
    </row>
    <row r="530">
      <c r="C530" s="756"/>
    </row>
    <row r="531">
      <c r="C531" s="756"/>
    </row>
    <row r="532">
      <c r="C532" s="756"/>
    </row>
    <row r="533">
      <c r="C533" s="756"/>
    </row>
    <row r="534">
      <c r="C534" s="756"/>
    </row>
    <row r="535">
      <c r="C535" s="756"/>
    </row>
    <row r="536">
      <c r="C536" s="756"/>
    </row>
    <row r="537">
      <c r="C537" s="756"/>
    </row>
    <row r="538">
      <c r="C538" s="756"/>
    </row>
    <row r="539">
      <c r="C539" s="756"/>
    </row>
    <row r="540">
      <c r="C540" s="756"/>
    </row>
    <row r="541">
      <c r="C541" s="756"/>
    </row>
    <row r="542">
      <c r="C542" s="756"/>
    </row>
    <row r="543">
      <c r="C543" s="756"/>
    </row>
    <row r="544">
      <c r="C544" s="756"/>
    </row>
    <row r="545">
      <c r="C545" s="756"/>
    </row>
    <row r="546">
      <c r="C546" s="756"/>
    </row>
    <row r="547">
      <c r="C547" s="756"/>
    </row>
    <row r="548">
      <c r="C548" s="756"/>
    </row>
    <row r="549">
      <c r="C549" s="756"/>
    </row>
    <row r="550">
      <c r="C550" s="756"/>
    </row>
    <row r="551">
      <c r="C551" s="756"/>
    </row>
    <row r="552">
      <c r="C552" s="756"/>
    </row>
    <row r="553">
      <c r="C553" s="756"/>
    </row>
    <row r="554">
      <c r="C554" s="756"/>
    </row>
    <row r="555">
      <c r="C555" s="756"/>
    </row>
    <row r="556">
      <c r="C556" s="756"/>
    </row>
    <row r="557">
      <c r="C557" s="756"/>
    </row>
    <row r="558">
      <c r="C558" s="756"/>
    </row>
    <row r="559">
      <c r="C559" s="756"/>
    </row>
    <row r="560">
      <c r="C560" s="756"/>
    </row>
    <row r="561">
      <c r="C561" s="756"/>
    </row>
    <row r="562">
      <c r="C562" s="756"/>
    </row>
    <row r="563">
      <c r="C563" s="756"/>
    </row>
    <row r="564">
      <c r="C564" s="756"/>
    </row>
    <row r="565">
      <c r="C565" s="756"/>
    </row>
    <row r="566">
      <c r="C566" s="756"/>
    </row>
    <row r="567">
      <c r="C567" s="756"/>
    </row>
    <row r="568">
      <c r="C568" s="756"/>
    </row>
    <row r="569">
      <c r="C569" s="756"/>
    </row>
    <row r="570">
      <c r="C570" s="756"/>
    </row>
    <row r="571">
      <c r="C571" s="756"/>
    </row>
    <row r="572">
      <c r="C572" s="756"/>
    </row>
    <row r="573">
      <c r="C573" s="756"/>
    </row>
    <row r="574">
      <c r="C574" s="756"/>
    </row>
    <row r="575">
      <c r="C575" s="756"/>
    </row>
    <row r="576">
      <c r="C576" s="756"/>
    </row>
    <row r="577">
      <c r="C577" s="756"/>
    </row>
    <row r="578">
      <c r="C578" s="756"/>
    </row>
    <row r="579">
      <c r="C579" s="756"/>
    </row>
    <row r="580">
      <c r="C580" s="756"/>
    </row>
    <row r="581">
      <c r="C581" s="756"/>
    </row>
    <row r="582">
      <c r="C582" s="756"/>
    </row>
    <row r="583">
      <c r="C583" s="756"/>
    </row>
    <row r="584">
      <c r="C584" s="756"/>
    </row>
    <row r="585">
      <c r="C585" s="756"/>
    </row>
    <row r="586">
      <c r="C586" s="756"/>
    </row>
    <row r="587">
      <c r="C587" s="756"/>
    </row>
    <row r="588">
      <c r="C588" s="756"/>
    </row>
    <row r="589">
      <c r="C589" s="756"/>
    </row>
    <row r="590">
      <c r="C590" s="756"/>
    </row>
    <row r="591">
      <c r="C591" s="756"/>
    </row>
    <row r="592">
      <c r="C592" s="756"/>
    </row>
    <row r="593">
      <c r="C593" s="756"/>
    </row>
    <row r="594">
      <c r="C594" s="756"/>
    </row>
    <row r="595">
      <c r="C595" s="756"/>
    </row>
    <row r="596">
      <c r="C596" s="756"/>
    </row>
    <row r="597">
      <c r="C597" s="756"/>
    </row>
    <row r="598">
      <c r="C598" s="756"/>
    </row>
    <row r="599">
      <c r="C599" s="756"/>
    </row>
    <row r="600">
      <c r="C600" s="756"/>
    </row>
    <row r="601">
      <c r="C601" s="756"/>
    </row>
    <row r="602">
      <c r="C602" s="756"/>
    </row>
    <row r="603">
      <c r="C603" s="756"/>
    </row>
    <row r="604">
      <c r="C604" s="756"/>
    </row>
    <row r="605">
      <c r="C605" s="756"/>
    </row>
    <row r="606">
      <c r="C606" s="756"/>
    </row>
    <row r="607">
      <c r="C607" s="756"/>
    </row>
    <row r="608">
      <c r="C608" s="756"/>
    </row>
    <row r="609">
      <c r="C609" s="756"/>
    </row>
    <row r="610">
      <c r="C610" s="756"/>
    </row>
    <row r="611">
      <c r="C611" s="756"/>
    </row>
    <row r="612">
      <c r="C612" s="756"/>
    </row>
    <row r="613">
      <c r="C613" s="756"/>
    </row>
    <row r="614">
      <c r="C614" s="756"/>
    </row>
    <row r="615">
      <c r="C615" s="756"/>
    </row>
    <row r="616">
      <c r="C616" s="756"/>
    </row>
    <row r="617">
      <c r="C617" s="756"/>
    </row>
    <row r="618">
      <c r="C618" s="756"/>
    </row>
    <row r="619">
      <c r="C619" s="756"/>
    </row>
    <row r="620">
      <c r="C620" s="756"/>
    </row>
    <row r="621">
      <c r="C621" s="756"/>
    </row>
    <row r="622">
      <c r="C622" s="756"/>
    </row>
    <row r="623">
      <c r="C623" s="756"/>
    </row>
    <row r="624">
      <c r="C624" s="756"/>
    </row>
    <row r="625">
      <c r="C625" s="756"/>
    </row>
    <row r="626">
      <c r="C626" s="756"/>
    </row>
    <row r="627">
      <c r="C627" s="756"/>
    </row>
    <row r="628">
      <c r="C628" s="756"/>
    </row>
    <row r="629">
      <c r="C629" s="756"/>
    </row>
    <row r="630">
      <c r="C630" s="756"/>
    </row>
    <row r="631">
      <c r="C631" s="756"/>
    </row>
    <row r="632">
      <c r="C632" s="756"/>
    </row>
    <row r="633">
      <c r="C633" s="756"/>
    </row>
    <row r="634">
      <c r="C634" s="756"/>
    </row>
    <row r="635">
      <c r="C635" s="756"/>
    </row>
    <row r="636">
      <c r="C636" s="756"/>
    </row>
    <row r="637">
      <c r="C637" s="756"/>
    </row>
    <row r="638">
      <c r="C638" s="756"/>
    </row>
    <row r="639">
      <c r="C639" s="756"/>
    </row>
    <row r="640">
      <c r="C640" s="756"/>
    </row>
    <row r="641">
      <c r="C641" s="756"/>
    </row>
    <row r="642">
      <c r="C642" s="756"/>
    </row>
    <row r="643">
      <c r="C643" s="756"/>
    </row>
    <row r="644">
      <c r="C644" s="756"/>
    </row>
    <row r="645">
      <c r="C645" s="756"/>
    </row>
    <row r="646">
      <c r="C646" s="756"/>
    </row>
    <row r="647">
      <c r="C647" s="756"/>
    </row>
    <row r="648">
      <c r="C648" s="756"/>
    </row>
    <row r="649">
      <c r="C649" s="756"/>
    </row>
    <row r="650">
      <c r="C650" s="756"/>
    </row>
    <row r="651">
      <c r="C651" s="756"/>
    </row>
    <row r="652">
      <c r="C652" s="756"/>
    </row>
    <row r="653">
      <c r="C653" s="756"/>
    </row>
    <row r="654">
      <c r="C654" s="756"/>
    </row>
    <row r="655">
      <c r="C655" s="756"/>
    </row>
    <row r="656">
      <c r="C656" s="756"/>
    </row>
    <row r="657">
      <c r="C657" s="756"/>
    </row>
    <row r="658">
      <c r="C658" s="756"/>
    </row>
    <row r="659">
      <c r="C659" s="756"/>
    </row>
    <row r="660">
      <c r="C660" s="756"/>
    </row>
    <row r="661">
      <c r="C661" s="756"/>
    </row>
    <row r="662">
      <c r="C662" s="756"/>
    </row>
    <row r="663">
      <c r="C663" s="756"/>
    </row>
    <row r="664">
      <c r="C664" s="756"/>
    </row>
    <row r="665">
      <c r="C665" s="756"/>
    </row>
    <row r="666">
      <c r="C666" s="756"/>
    </row>
    <row r="667">
      <c r="C667" s="756"/>
    </row>
    <row r="668">
      <c r="C668" s="756"/>
    </row>
    <row r="669">
      <c r="C669" s="756"/>
    </row>
    <row r="670">
      <c r="C670" s="756"/>
    </row>
    <row r="671">
      <c r="C671" s="756"/>
    </row>
    <row r="672">
      <c r="C672" s="756"/>
    </row>
    <row r="673">
      <c r="C673" s="756"/>
    </row>
    <row r="674">
      <c r="C674" s="756"/>
    </row>
    <row r="675">
      <c r="C675" s="756"/>
    </row>
    <row r="676">
      <c r="C676" s="756"/>
    </row>
    <row r="677">
      <c r="C677" s="756"/>
    </row>
    <row r="678">
      <c r="C678" s="756"/>
    </row>
    <row r="679">
      <c r="C679" s="756"/>
    </row>
    <row r="680">
      <c r="C680" s="756"/>
    </row>
    <row r="681">
      <c r="C681" s="756"/>
    </row>
    <row r="682">
      <c r="C682" s="756"/>
    </row>
    <row r="683">
      <c r="C683" s="756"/>
    </row>
    <row r="684">
      <c r="C684" s="756"/>
    </row>
    <row r="685">
      <c r="C685" s="756"/>
    </row>
    <row r="686">
      <c r="C686" s="756"/>
    </row>
    <row r="687">
      <c r="C687" s="756"/>
    </row>
    <row r="688">
      <c r="C688" s="756"/>
    </row>
    <row r="689">
      <c r="C689" s="756"/>
    </row>
    <row r="690">
      <c r="C690" s="756"/>
    </row>
    <row r="691">
      <c r="C691" s="756"/>
    </row>
    <row r="692">
      <c r="C692" s="756"/>
    </row>
    <row r="693">
      <c r="C693" s="756"/>
    </row>
    <row r="694">
      <c r="C694" s="756"/>
    </row>
    <row r="695">
      <c r="C695" s="756"/>
    </row>
    <row r="696">
      <c r="C696" s="756"/>
    </row>
    <row r="697">
      <c r="C697" s="756"/>
    </row>
    <row r="698">
      <c r="C698" s="756"/>
    </row>
    <row r="699">
      <c r="C699" s="756"/>
    </row>
    <row r="700">
      <c r="C700" s="756"/>
    </row>
    <row r="701">
      <c r="C701" s="756"/>
    </row>
    <row r="702">
      <c r="C702" s="756"/>
    </row>
    <row r="703">
      <c r="C703" s="756"/>
    </row>
    <row r="704">
      <c r="C704" s="756"/>
    </row>
    <row r="705">
      <c r="C705" s="756"/>
    </row>
    <row r="706">
      <c r="C706" s="756"/>
    </row>
    <row r="707">
      <c r="C707" s="756"/>
    </row>
    <row r="708">
      <c r="C708" s="756"/>
    </row>
    <row r="709">
      <c r="C709" s="756"/>
    </row>
    <row r="710">
      <c r="C710" s="756"/>
    </row>
    <row r="711">
      <c r="C711" s="756"/>
    </row>
    <row r="712">
      <c r="C712" s="756"/>
    </row>
    <row r="713">
      <c r="C713" s="756"/>
    </row>
    <row r="714">
      <c r="C714" s="756"/>
    </row>
    <row r="715">
      <c r="C715" s="756"/>
    </row>
    <row r="716">
      <c r="C716" s="756"/>
    </row>
    <row r="717">
      <c r="C717" s="756"/>
    </row>
    <row r="718">
      <c r="C718" s="756"/>
    </row>
    <row r="719">
      <c r="C719" s="756"/>
    </row>
    <row r="720">
      <c r="C720" s="756"/>
    </row>
    <row r="721">
      <c r="C721" s="756"/>
    </row>
    <row r="722">
      <c r="C722" s="756"/>
    </row>
    <row r="723">
      <c r="C723" s="756"/>
    </row>
    <row r="724">
      <c r="C724" s="756"/>
    </row>
    <row r="725">
      <c r="C725" s="756"/>
    </row>
    <row r="726">
      <c r="C726" s="756"/>
    </row>
    <row r="727">
      <c r="C727" s="756"/>
    </row>
    <row r="728">
      <c r="C728" s="756"/>
    </row>
    <row r="729">
      <c r="C729" s="756"/>
    </row>
    <row r="730">
      <c r="C730" s="756"/>
    </row>
    <row r="731">
      <c r="C731" s="756"/>
    </row>
    <row r="732">
      <c r="C732" s="756"/>
    </row>
    <row r="733">
      <c r="C733" s="756"/>
    </row>
    <row r="734">
      <c r="C734" s="756"/>
    </row>
    <row r="735">
      <c r="C735" s="756"/>
    </row>
    <row r="736">
      <c r="C736" s="756"/>
    </row>
    <row r="737">
      <c r="C737" s="756"/>
    </row>
    <row r="738">
      <c r="C738" s="756"/>
    </row>
    <row r="739">
      <c r="C739" s="756"/>
    </row>
    <row r="740">
      <c r="C740" s="756"/>
    </row>
    <row r="741">
      <c r="C741" s="756"/>
    </row>
    <row r="742">
      <c r="C742" s="756"/>
    </row>
    <row r="743">
      <c r="C743" s="756"/>
    </row>
    <row r="744">
      <c r="C744" s="756"/>
    </row>
    <row r="745">
      <c r="C745" s="756"/>
    </row>
    <row r="746">
      <c r="C746" s="756"/>
    </row>
    <row r="747">
      <c r="C747" s="756"/>
    </row>
    <row r="748">
      <c r="C748" s="756"/>
    </row>
    <row r="749">
      <c r="C749" s="756"/>
    </row>
    <row r="750">
      <c r="C750" s="756"/>
    </row>
    <row r="751">
      <c r="C751" s="756"/>
    </row>
    <row r="752">
      <c r="C752" s="756"/>
    </row>
    <row r="753">
      <c r="C753" s="756"/>
    </row>
    <row r="754">
      <c r="C754" s="756"/>
    </row>
    <row r="755">
      <c r="C755" s="756"/>
    </row>
    <row r="756">
      <c r="C756" s="756"/>
    </row>
    <row r="757">
      <c r="C757" s="756"/>
    </row>
    <row r="758">
      <c r="C758" s="756"/>
    </row>
    <row r="759">
      <c r="C759" s="756"/>
    </row>
    <row r="760">
      <c r="C760" s="756"/>
    </row>
    <row r="761">
      <c r="C761" s="756"/>
    </row>
    <row r="762">
      <c r="C762" s="756"/>
    </row>
    <row r="763">
      <c r="C763" s="756"/>
    </row>
    <row r="764">
      <c r="C764" s="756"/>
    </row>
    <row r="765">
      <c r="C765" s="756"/>
    </row>
    <row r="766">
      <c r="C766" s="756"/>
    </row>
    <row r="767">
      <c r="C767" s="756"/>
    </row>
    <row r="768">
      <c r="C768" s="756"/>
    </row>
    <row r="769">
      <c r="C769" s="756"/>
    </row>
    <row r="770">
      <c r="C770" s="756"/>
    </row>
    <row r="771">
      <c r="C771" s="756"/>
    </row>
    <row r="772">
      <c r="C772" s="756"/>
    </row>
    <row r="773">
      <c r="C773" s="756"/>
    </row>
    <row r="774">
      <c r="C774" s="756"/>
    </row>
    <row r="775">
      <c r="C775" s="756"/>
    </row>
    <row r="776">
      <c r="C776" s="756"/>
    </row>
    <row r="777">
      <c r="C777" s="756"/>
    </row>
    <row r="778">
      <c r="C778" s="756"/>
    </row>
    <row r="779">
      <c r="C779" s="756"/>
    </row>
    <row r="780">
      <c r="C780" s="756"/>
    </row>
    <row r="781">
      <c r="C781" s="756"/>
    </row>
    <row r="782">
      <c r="C782" s="756"/>
    </row>
    <row r="783">
      <c r="C783" s="756"/>
    </row>
    <row r="784">
      <c r="C784" s="756"/>
    </row>
    <row r="785">
      <c r="C785" s="756"/>
    </row>
    <row r="786">
      <c r="C786" s="756"/>
    </row>
    <row r="787">
      <c r="C787" s="756"/>
    </row>
    <row r="788">
      <c r="C788" s="756"/>
    </row>
    <row r="789">
      <c r="C789" s="756"/>
    </row>
    <row r="790">
      <c r="C790" s="756"/>
    </row>
    <row r="791">
      <c r="C791" s="756"/>
    </row>
    <row r="792">
      <c r="C792" s="756"/>
    </row>
    <row r="793">
      <c r="C793" s="756"/>
    </row>
    <row r="794">
      <c r="C794" s="756"/>
    </row>
    <row r="795">
      <c r="C795" s="756"/>
    </row>
    <row r="796">
      <c r="C796" s="756"/>
    </row>
    <row r="797">
      <c r="C797" s="756"/>
    </row>
    <row r="798">
      <c r="C798" s="756"/>
    </row>
    <row r="799">
      <c r="C799" s="756"/>
    </row>
    <row r="800">
      <c r="C800" s="756"/>
    </row>
    <row r="801">
      <c r="C801" s="756"/>
    </row>
    <row r="802">
      <c r="C802" s="756"/>
    </row>
    <row r="803">
      <c r="C803" s="756"/>
    </row>
    <row r="804">
      <c r="C804" s="756"/>
    </row>
    <row r="805">
      <c r="C805" s="756"/>
    </row>
    <row r="806">
      <c r="C806" s="756"/>
    </row>
    <row r="807">
      <c r="C807" s="756"/>
    </row>
    <row r="808">
      <c r="C808" s="756"/>
    </row>
    <row r="809">
      <c r="C809" s="756"/>
    </row>
    <row r="810">
      <c r="C810" s="756"/>
    </row>
    <row r="811">
      <c r="C811" s="756"/>
    </row>
    <row r="812">
      <c r="C812" s="756"/>
    </row>
    <row r="813">
      <c r="C813" s="756"/>
    </row>
    <row r="814">
      <c r="C814" s="756"/>
    </row>
    <row r="815">
      <c r="C815" s="756"/>
    </row>
    <row r="816">
      <c r="C816" s="756"/>
    </row>
    <row r="817">
      <c r="C817" s="756"/>
    </row>
    <row r="818">
      <c r="C818" s="756"/>
    </row>
    <row r="819">
      <c r="C819" s="756"/>
    </row>
    <row r="820">
      <c r="C820" s="756"/>
    </row>
    <row r="821">
      <c r="C821" s="756"/>
    </row>
    <row r="822">
      <c r="C822" s="756"/>
    </row>
    <row r="823">
      <c r="C823" s="756"/>
    </row>
    <row r="824">
      <c r="C824" s="756"/>
    </row>
    <row r="825">
      <c r="C825" s="756"/>
    </row>
    <row r="826">
      <c r="C826" s="756"/>
    </row>
    <row r="827">
      <c r="C827" s="756"/>
    </row>
    <row r="828">
      <c r="C828" s="756"/>
    </row>
    <row r="829">
      <c r="C829" s="756"/>
    </row>
    <row r="830">
      <c r="C830" s="756"/>
    </row>
    <row r="831">
      <c r="C831" s="756"/>
    </row>
    <row r="832">
      <c r="C832" s="756"/>
    </row>
    <row r="833">
      <c r="C833" s="756"/>
    </row>
    <row r="834">
      <c r="C834" s="756"/>
    </row>
    <row r="835">
      <c r="C835" s="756"/>
    </row>
    <row r="836">
      <c r="C836" s="756"/>
    </row>
    <row r="837">
      <c r="C837" s="756"/>
    </row>
    <row r="838">
      <c r="C838" s="756"/>
    </row>
    <row r="839">
      <c r="C839" s="756"/>
    </row>
    <row r="840">
      <c r="C840" s="756"/>
    </row>
    <row r="841">
      <c r="C841" s="756"/>
    </row>
    <row r="842">
      <c r="C842" s="756"/>
    </row>
    <row r="843">
      <c r="C843" s="756"/>
    </row>
    <row r="844">
      <c r="C844" s="756"/>
    </row>
    <row r="845">
      <c r="C845" s="756"/>
    </row>
    <row r="846">
      <c r="C846" s="756"/>
    </row>
    <row r="847">
      <c r="C847" s="756"/>
    </row>
    <row r="848">
      <c r="C848" s="756"/>
    </row>
    <row r="849">
      <c r="C849" s="756"/>
    </row>
    <row r="850">
      <c r="C850" s="756"/>
    </row>
    <row r="851">
      <c r="C851" s="756"/>
    </row>
    <row r="852">
      <c r="C852" s="756"/>
    </row>
    <row r="853">
      <c r="C853" s="756"/>
    </row>
    <row r="854">
      <c r="C854" s="756"/>
    </row>
    <row r="855">
      <c r="C855" s="756"/>
    </row>
    <row r="856">
      <c r="C856" s="756"/>
    </row>
    <row r="857">
      <c r="C857" s="756"/>
    </row>
    <row r="858">
      <c r="C858" s="756"/>
    </row>
    <row r="859">
      <c r="C859" s="756"/>
    </row>
    <row r="860">
      <c r="C860" s="756"/>
    </row>
    <row r="861">
      <c r="C861" s="756"/>
    </row>
    <row r="862">
      <c r="C862" s="756"/>
    </row>
    <row r="863">
      <c r="C863" s="756"/>
    </row>
    <row r="864">
      <c r="C864" s="756"/>
    </row>
    <row r="865">
      <c r="C865" s="756"/>
    </row>
    <row r="866">
      <c r="C866" s="756"/>
    </row>
    <row r="867">
      <c r="C867" s="756"/>
    </row>
    <row r="868">
      <c r="C868" s="756"/>
    </row>
    <row r="869">
      <c r="C869" s="756"/>
    </row>
    <row r="870">
      <c r="C870" s="756"/>
    </row>
    <row r="871">
      <c r="C871" s="756"/>
    </row>
    <row r="872">
      <c r="C872" s="756"/>
    </row>
    <row r="873">
      <c r="C873" s="756"/>
    </row>
    <row r="874">
      <c r="C874" s="756"/>
    </row>
    <row r="875">
      <c r="C875" s="756"/>
    </row>
    <row r="876">
      <c r="C876" s="756"/>
    </row>
    <row r="877">
      <c r="C877" s="756"/>
    </row>
    <row r="878">
      <c r="C878" s="756"/>
    </row>
    <row r="879">
      <c r="C879" s="756"/>
    </row>
    <row r="880">
      <c r="C880" s="756"/>
    </row>
    <row r="881">
      <c r="C881" s="756"/>
    </row>
    <row r="882">
      <c r="C882" s="756"/>
    </row>
    <row r="883">
      <c r="C883" s="756"/>
    </row>
    <row r="884">
      <c r="C884" s="756"/>
    </row>
    <row r="885">
      <c r="C885" s="756"/>
    </row>
    <row r="886">
      <c r="C886" s="756"/>
    </row>
    <row r="887">
      <c r="C887" s="756"/>
    </row>
    <row r="888">
      <c r="C888" s="756"/>
    </row>
    <row r="889">
      <c r="C889" s="756"/>
    </row>
    <row r="890">
      <c r="C890" s="756"/>
    </row>
    <row r="891">
      <c r="C891" s="756"/>
    </row>
    <row r="892">
      <c r="C892" s="756"/>
    </row>
    <row r="893">
      <c r="C893" s="756"/>
    </row>
    <row r="894">
      <c r="C894" s="756"/>
    </row>
    <row r="895">
      <c r="C895" s="756"/>
    </row>
    <row r="896">
      <c r="C896" s="756"/>
    </row>
    <row r="897">
      <c r="C897" s="756"/>
    </row>
    <row r="898">
      <c r="C898" s="756"/>
    </row>
    <row r="899">
      <c r="C899" s="756"/>
    </row>
    <row r="900">
      <c r="C900" s="756"/>
    </row>
    <row r="901">
      <c r="C901" s="756"/>
    </row>
    <row r="902">
      <c r="C902" s="756"/>
    </row>
    <row r="903">
      <c r="C903" s="756"/>
    </row>
    <row r="904">
      <c r="C904" s="756"/>
    </row>
    <row r="905">
      <c r="C905" s="756"/>
    </row>
    <row r="906">
      <c r="C906" s="756"/>
    </row>
    <row r="907">
      <c r="C907" s="756"/>
    </row>
    <row r="908">
      <c r="C908" s="756"/>
    </row>
    <row r="909">
      <c r="C909" s="756"/>
    </row>
    <row r="910">
      <c r="C910" s="756"/>
    </row>
    <row r="911">
      <c r="C911" s="756"/>
    </row>
    <row r="912">
      <c r="C912" s="756"/>
    </row>
    <row r="913">
      <c r="C913" s="756"/>
    </row>
    <row r="914">
      <c r="C914" s="756"/>
    </row>
    <row r="915">
      <c r="C915" s="756"/>
    </row>
    <row r="916">
      <c r="C916" s="756"/>
    </row>
    <row r="917">
      <c r="C917" s="756"/>
    </row>
    <row r="918">
      <c r="C918" s="756"/>
    </row>
    <row r="919">
      <c r="C919" s="756"/>
    </row>
    <row r="920">
      <c r="C920" s="756"/>
    </row>
    <row r="921">
      <c r="C921" s="756"/>
    </row>
    <row r="922">
      <c r="C922" s="756"/>
    </row>
    <row r="923">
      <c r="C923" s="756"/>
    </row>
    <row r="924">
      <c r="C924" s="756"/>
    </row>
    <row r="925">
      <c r="C925" s="756"/>
    </row>
    <row r="926">
      <c r="C926" s="756"/>
    </row>
    <row r="927">
      <c r="C927" s="756"/>
    </row>
    <row r="928">
      <c r="C928" s="756"/>
    </row>
    <row r="929">
      <c r="C929" s="756"/>
    </row>
    <row r="930">
      <c r="C930" s="756"/>
    </row>
    <row r="931">
      <c r="C931" s="756"/>
    </row>
    <row r="932">
      <c r="C932" s="756"/>
    </row>
    <row r="933">
      <c r="C933" s="756"/>
    </row>
    <row r="934">
      <c r="C934" s="756"/>
    </row>
    <row r="935">
      <c r="C935" s="756"/>
    </row>
    <row r="936">
      <c r="C936" s="756"/>
    </row>
    <row r="937">
      <c r="C937" s="756"/>
    </row>
    <row r="938">
      <c r="C938" s="756"/>
    </row>
    <row r="939">
      <c r="C939" s="756"/>
    </row>
    <row r="940">
      <c r="C940" s="756"/>
    </row>
    <row r="941">
      <c r="C941" s="756"/>
    </row>
    <row r="942">
      <c r="C942" s="756"/>
    </row>
    <row r="943">
      <c r="C943" s="756"/>
    </row>
    <row r="944">
      <c r="C944" s="756"/>
    </row>
    <row r="945">
      <c r="C945" s="756"/>
    </row>
    <row r="946">
      <c r="C946" s="756"/>
    </row>
    <row r="947">
      <c r="C947" s="756"/>
    </row>
    <row r="948">
      <c r="C948" s="756"/>
    </row>
    <row r="949">
      <c r="C949" s="756"/>
    </row>
    <row r="950">
      <c r="C950" s="756"/>
    </row>
    <row r="951">
      <c r="C951" s="756"/>
    </row>
    <row r="952">
      <c r="C952" s="756"/>
    </row>
    <row r="953">
      <c r="C953" s="756"/>
    </row>
    <row r="954">
      <c r="C954" s="756"/>
    </row>
    <row r="955">
      <c r="C955" s="756"/>
    </row>
    <row r="956">
      <c r="C956" s="756"/>
    </row>
    <row r="957">
      <c r="C957" s="756"/>
    </row>
    <row r="958">
      <c r="C958" s="756"/>
    </row>
    <row r="959">
      <c r="C959" s="756"/>
    </row>
    <row r="960">
      <c r="C960" s="756"/>
    </row>
    <row r="961">
      <c r="C961" s="756"/>
    </row>
    <row r="962">
      <c r="C962" s="756"/>
    </row>
    <row r="963">
      <c r="C963" s="756"/>
    </row>
    <row r="964">
      <c r="C964" s="756"/>
    </row>
    <row r="965">
      <c r="C965" s="756"/>
    </row>
    <row r="966">
      <c r="C966" s="756"/>
    </row>
    <row r="967">
      <c r="C967" s="756"/>
    </row>
    <row r="968">
      <c r="C968" s="756"/>
    </row>
    <row r="969">
      <c r="C969" s="756"/>
    </row>
    <row r="970">
      <c r="C970" s="756"/>
    </row>
    <row r="971">
      <c r="C971" s="756"/>
    </row>
    <row r="972">
      <c r="C972" s="756"/>
    </row>
    <row r="973">
      <c r="C973" s="756"/>
    </row>
    <row r="974">
      <c r="C974" s="756"/>
    </row>
    <row r="975">
      <c r="C975" s="756"/>
    </row>
    <row r="976">
      <c r="C976" s="756"/>
    </row>
    <row r="977">
      <c r="C977" s="756"/>
    </row>
    <row r="978">
      <c r="C978" s="756"/>
    </row>
    <row r="979">
      <c r="C979" s="756"/>
    </row>
    <row r="980">
      <c r="C980" s="756"/>
    </row>
    <row r="981">
      <c r="C981" s="756"/>
    </row>
    <row r="982">
      <c r="C982" s="756"/>
    </row>
    <row r="983">
      <c r="C983" s="756"/>
    </row>
    <row r="984">
      <c r="C984" s="756"/>
    </row>
    <row r="985">
      <c r="C985" s="756"/>
    </row>
    <row r="986">
      <c r="C986" s="756"/>
    </row>
    <row r="987">
      <c r="C987" s="756"/>
    </row>
    <row r="988">
      <c r="C988" s="756"/>
    </row>
    <row r="989">
      <c r="C989" s="756"/>
    </row>
    <row r="990">
      <c r="C990" s="756"/>
    </row>
    <row r="991">
      <c r="C991" s="756"/>
    </row>
    <row r="992">
      <c r="C992" s="756"/>
    </row>
    <row r="993">
      <c r="C993" s="756"/>
    </row>
    <row r="994">
      <c r="C994" s="756"/>
    </row>
    <row r="995">
      <c r="C995" s="756"/>
    </row>
    <row r="996">
      <c r="C996" s="756"/>
    </row>
    <row r="997">
      <c r="C997" s="756"/>
    </row>
    <row r="998">
      <c r="C998" s="756"/>
    </row>
  </sheetData>
  <conditionalFormatting sqref="C2">
    <cfRule type="containsBlanks" dxfId="0" priority="1">
      <formula>LEN(TRIM(C2))=0</formula>
    </cfRule>
  </conditionalFormatting>
  <dataValidations>
    <dataValidation type="list" allowBlank="1" showErrorMessage="1" sqref="D1">
      <formula1>Sheet1!$A$1:$A$24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hidden="1" min="2" max="2" width="6.57"/>
    <col customWidth="1" min="3" max="3" width="11.86"/>
    <col customWidth="1" min="4" max="4" width="23.0"/>
    <col customWidth="1" hidden="1" min="5" max="5" width="22.29"/>
    <col customWidth="1" hidden="1" min="6" max="6" width="5.86"/>
    <col customWidth="1" min="7" max="7" width="19.43"/>
    <col customWidth="1" min="8" max="23" width="8.14"/>
    <col customWidth="1" hidden="1" min="24" max="24" width="10.71"/>
    <col customWidth="1" hidden="1" min="25" max="25" width="11.29"/>
    <col hidden="1" min="26" max="26" width="14.43"/>
    <col customWidth="1" hidden="1" min="27" max="27" width="7.86"/>
    <col customWidth="1" hidden="1" min="28" max="28" width="8.57"/>
    <col customWidth="1" hidden="1" min="29" max="29" width="23.57"/>
    <col customWidth="1" hidden="1" min="30" max="30" width="128.43"/>
    <col customWidth="1" hidden="1" min="31" max="31" width="11.14"/>
    <col customWidth="1" hidden="1" min="32" max="32" width="14.0"/>
    <col customWidth="1" hidden="1" min="33" max="33" width="15.29"/>
    <col customWidth="1" hidden="1" min="34" max="34" width="4.71"/>
    <col customWidth="1" hidden="1" min="35" max="35" width="9.29"/>
    <col customWidth="1" hidden="1" min="36" max="36" width="16.0"/>
    <col customWidth="1" hidden="1" min="37" max="37" width="9.29"/>
  </cols>
  <sheetData>
    <row r="1" ht="40.5" customHeight="1">
      <c r="A1" s="757" t="s">
        <v>0</v>
      </c>
      <c r="B1" s="757"/>
      <c r="C1" s="757" t="s">
        <v>1</v>
      </c>
      <c r="D1" s="758" t="s">
        <v>2</v>
      </c>
      <c r="E1" s="757" t="s">
        <v>3</v>
      </c>
      <c r="F1" s="757" t="s">
        <v>4</v>
      </c>
      <c r="G1" s="759" t="s">
        <v>1751</v>
      </c>
      <c r="H1" s="757" t="s">
        <v>2004</v>
      </c>
      <c r="I1" s="760" t="s">
        <v>2751</v>
      </c>
      <c r="J1" s="760" t="s">
        <v>2752</v>
      </c>
      <c r="K1" s="760" t="s">
        <v>2753</v>
      </c>
      <c r="L1" s="760" t="s">
        <v>2754</v>
      </c>
      <c r="M1" s="760" t="s">
        <v>2755</v>
      </c>
      <c r="N1" s="760" t="s">
        <v>2756</v>
      </c>
      <c r="O1" s="760" t="s">
        <v>2757</v>
      </c>
      <c r="P1" s="760" t="s">
        <v>2758</v>
      </c>
      <c r="Q1" s="760" t="s">
        <v>2759</v>
      </c>
      <c r="R1" s="760" t="s">
        <v>2760</v>
      </c>
      <c r="S1" s="760" t="s">
        <v>2761</v>
      </c>
      <c r="T1" s="760" t="s">
        <v>2762</v>
      </c>
      <c r="U1" s="760" t="s">
        <v>2763</v>
      </c>
      <c r="V1" s="760" t="s">
        <v>2764</v>
      </c>
      <c r="W1" s="760" t="s">
        <v>2765</v>
      </c>
      <c r="X1" s="757" t="s">
        <v>6</v>
      </c>
      <c r="Y1" s="757" t="s">
        <v>7</v>
      </c>
      <c r="Z1" s="757" t="s">
        <v>8</v>
      </c>
      <c r="AA1" s="758" t="s">
        <v>9</v>
      </c>
      <c r="AB1" s="758" t="s">
        <v>10</v>
      </c>
      <c r="AC1" s="761" t="s">
        <v>11</v>
      </c>
      <c r="AD1" s="757" t="s">
        <v>12</v>
      </c>
      <c r="AE1" s="759" t="s">
        <v>13</v>
      </c>
      <c r="AF1" s="759" t="s">
        <v>13</v>
      </c>
      <c r="AG1" s="759" t="s">
        <v>13</v>
      </c>
      <c r="AH1" s="759" t="s">
        <v>13</v>
      </c>
      <c r="AI1" s="759" t="s">
        <v>13</v>
      </c>
      <c r="AJ1" s="759" t="s">
        <v>1882</v>
      </c>
      <c r="AK1" s="762" t="s">
        <v>2197</v>
      </c>
    </row>
    <row r="2" ht="40.5" customHeight="1">
      <c r="A2" s="11">
        <v>1.0</v>
      </c>
      <c r="B2" s="11" t="s">
        <v>15</v>
      </c>
      <c r="C2" s="11" t="s">
        <v>17</v>
      </c>
      <c r="D2" s="93" t="s">
        <v>18</v>
      </c>
      <c r="E2" s="215" t="s">
        <v>19</v>
      </c>
      <c r="F2" s="216">
        <v>5.0</v>
      </c>
      <c r="G2" s="11" t="s">
        <v>2006</v>
      </c>
      <c r="H2" s="216">
        <v>6.0</v>
      </c>
      <c r="I2" s="763" t="b">
        <v>0</v>
      </c>
      <c r="J2" s="763" t="b">
        <v>0</v>
      </c>
      <c r="K2" s="763" t="b">
        <v>0</v>
      </c>
      <c r="L2" s="763" t="b">
        <v>0</v>
      </c>
      <c r="M2" s="763" t="b">
        <v>0</v>
      </c>
      <c r="N2" s="763" t="b">
        <v>0</v>
      </c>
      <c r="O2" s="763" t="b">
        <v>0</v>
      </c>
      <c r="P2" s="763" t="b">
        <v>0</v>
      </c>
      <c r="Q2" s="763" t="b">
        <v>0</v>
      </c>
      <c r="R2" s="763" t="b">
        <v>0</v>
      </c>
      <c r="S2" s="763" t="b">
        <v>0</v>
      </c>
      <c r="T2" s="763" t="b">
        <v>0</v>
      </c>
      <c r="U2" s="763" t="b">
        <v>0</v>
      </c>
      <c r="V2" s="763" t="b">
        <v>0</v>
      </c>
      <c r="W2" s="763" t="b">
        <v>0</v>
      </c>
      <c r="X2" s="216">
        <v>75.0</v>
      </c>
      <c r="Y2" s="11">
        <f t="shared" ref="Y2:Y66" si="1">X2*H2</f>
        <v>450</v>
      </c>
      <c r="Z2" s="11" t="s">
        <v>20</v>
      </c>
      <c r="AA2" s="93" t="s">
        <v>21</v>
      </c>
      <c r="AB2" s="93" t="s">
        <v>1902</v>
      </c>
      <c r="AC2" s="93" t="s">
        <v>23</v>
      </c>
      <c r="AD2" s="217" t="s">
        <v>24</v>
      </c>
      <c r="AE2" s="11" t="str">
        <f>IMAGE("https://m.media-amazon.com/images/I/61ZBVWoGgCL._SL1500_.jpg",1)</f>
        <v/>
      </c>
      <c r="AF2" s="78"/>
      <c r="AG2" s="74"/>
      <c r="AH2" s="75"/>
      <c r="AI2" s="12"/>
      <c r="AJ2" s="11"/>
      <c r="AK2" s="11">
        <v>1.0</v>
      </c>
    </row>
    <row r="3" ht="40.5" customHeight="1">
      <c r="A3" s="11">
        <v>2.0</v>
      </c>
      <c r="B3" s="11" t="s">
        <v>15</v>
      </c>
      <c r="C3" s="11" t="s">
        <v>26</v>
      </c>
      <c r="D3" s="93" t="s">
        <v>27</v>
      </c>
      <c r="E3" s="215" t="s">
        <v>19</v>
      </c>
      <c r="F3" s="216">
        <v>1.0</v>
      </c>
      <c r="G3" s="11" t="s">
        <v>2007</v>
      </c>
      <c r="H3" s="216">
        <v>2.0</v>
      </c>
      <c r="I3" s="763" t="b">
        <v>0</v>
      </c>
      <c r="J3" s="763" t="b">
        <v>0</v>
      </c>
      <c r="K3" s="763" t="b">
        <v>0</v>
      </c>
      <c r="L3" s="763" t="b">
        <v>0</v>
      </c>
      <c r="M3" s="763" t="b">
        <v>0</v>
      </c>
      <c r="N3" s="763" t="b">
        <v>0</v>
      </c>
      <c r="O3" s="763" t="b">
        <v>0</v>
      </c>
      <c r="P3" s="763" t="b">
        <v>0</v>
      </c>
      <c r="Q3" s="763" t="b">
        <v>0</v>
      </c>
      <c r="R3" s="763" t="b">
        <v>0</v>
      </c>
      <c r="S3" s="763" t="b">
        <v>0</v>
      </c>
      <c r="T3" s="763" t="b">
        <v>0</v>
      </c>
      <c r="U3" s="763" t="b">
        <v>0</v>
      </c>
      <c r="V3" s="763" t="b">
        <v>0</v>
      </c>
      <c r="W3" s="763" t="b">
        <v>0</v>
      </c>
      <c r="X3" s="216">
        <v>150.0</v>
      </c>
      <c r="Y3" s="11">
        <f t="shared" si="1"/>
        <v>300</v>
      </c>
      <c r="Z3" s="11" t="s">
        <v>20</v>
      </c>
      <c r="AA3" s="93" t="s">
        <v>21</v>
      </c>
      <c r="AB3" s="93"/>
      <c r="AC3" s="93" t="s">
        <v>23</v>
      </c>
      <c r="AD3" s="217" t="s">
        <v>28</v>
      </c>
      <c r="AE3" s="11" t="str">
        <f>IMAGE("https://5.imimg.com/data5/BN/FC/MY-25588345/omega-cell-tape-dispenser-500x500.jpg",1)</f>
        <v/>
      </c>
      <c r="AF3" s="78"/>
      <c r="AG3" s="74"/>
      <c r="AH3" s="75"/>
      <c r="AI3" s="12"/>
      <c r="AJ3" s="11"/>
      <c r="AK3" s="11">
        <v>3.0</v>
      </c>
    </row>
    <row r="4" ht="40.5" customHeight="1">
      <c r="A4" s="11">
        <v>3.0</v>
      </c>
      <c r="B4" s="11" t="s">
        <v>15</v>
      </c>
      <c r="C4" s="11" t="s">
        <v>30</v>
      </c>
      <c r="D4" s="93" t="s">
        <v>31</v>
      </c>
      <c r="E4" s="215" t="s">
        <v>19</v>
      </c>
      <c r="F4" s="216">
        <v>5.0</v>
      </c>
      <c r="G4" s="11" t="s">
        <v>2009</v>
      </c>
      <c r="H4" s="216">
        <v>6.0</v>
      </c>
      <c r="I4" s="763" t="b">
        <v>0</v>
      </c>
      <c r="J4" s="763" t="b">
        <v>0</v>
      </c>
      <c r="K4" s="763" t="b">
        <v>0</v>
      </c>
      <c r="L4" s="763" t="b">
        <v>0</v>
      </c>
      <c r="M4" s="763" t="b">
        <v>0</v>
      </c>
      <c r="N4" s="763" t="b">
        <v>0</v>
      </c>
      <c r="O4" s="763" t="b">
        <v>0</v>
      </c>
      <c r="P4" s="763" t="b">
        <v>0</v>
      </c>
      <c r="Q4" s="763" t="b">
        <v>0</v>
      </c>
      <c r="R4" s="763" t="b">
        <v>0</v>
      </c>
      <c r="S4" s="763" t="b">
        <v>0</v>
      </c>
      <c r="T4" s="763" t="b">
        <v>0</v>
      </c>
      <c r="U4" s="763" t="b">
        <v>0</v>
      </c>
      <c r="V4" s="763" t="b">
        <v>0</v>
      </c>
      <c r="W4" s="763" t="b">
        <v>0</v>
      </c>
      <c r="X4" s="218">
        <v>25.0</v>
      </c>
      <c r="Y4" s="11">
        <f t="shared" si="1"/>
        <v>150</v>
      </c>
      <c r="Z4" s="11" t="s">
        <v>20</v>
      </c>
      <c r="AA4" s="93" t="s">
        <v>21</v>
      </c>
      <c r="AB4" s="93" t="s">
        <v>2008</v>
      </c>
      <c r="AC4" s="93" t="s">
        <v>23</v>
      </c>
      <c r="AD4" s="217" t="s">
        <v>32</v>
      </c>
      <c r="AE4" s="11" t="str">
        <f>IMAGE("https://m.media-amazon.com/images/I/21wXjA1iP5L.jpg",1)</f>
        <v/>
      </c>
      <c r="AF4" s="78"/>
      <c r="AG4" s="74"/>
      <c r="AH4" s="75"/>
      <c r="AI4" s="5"/>
      <c r="AJ4" s="14"/>
      <c r="AK4" s="11">
        <v>1.0</v>
      </c>
    </row>
    <row r="5" ht="40.5" customHeight="1">
      <c r="A5" s="11">
        <v>4.0</v>
      </c>
      <c r="B5" s="11" t="s">
        <v>15</v>
      </c>
      <c r="C5" s="11" t="s">
        <v>34</v>
      </c>
      <c r="D5" s="93" t="s">
        <v>35</v>
      </c>
      <c r="E5" s="215" t="s">
        <v>19</v>
      </c>
      <c r="F5" s="216">
        <v>5.0</v>
      </c>
      <c r="G5" s="11" t="s">
        <v>2006</v>
      </c>
      <c r="H5" s="216">
        <v>6.0</v>
      </c>
      <c r="I5" s="763" t="b">
        <v>0</v>
      </c>
      <c r="J5" s="763" t="b">
        <v>0</v>
      </c>
      <c r="K5" s="763" t="b">
        <v>0</v>
      </c>
      <c r="L5" s="763" t="b">
        <v>0</v>
      </c>
      <c r="M5" s="763" t="b">
        <v>0</v>
      </c>
      <c r="N5" s="763" t="b">
        <v>0</v>
      </c>
      <c r="O5" s="763" t="b">
        <v>0</v>
      </c>
      <c r="P5" s="763" t="b">
        <v>0</v>
      </c>
      <c r="Q5" s="763" t="b">
        <v>0</v>
      </c>
      <c r="R5" s="763" t="b">
        <v>0</v>
      </c>
      <c r="S5" s="763" t="b">
        <v>0</v>
      </c>
      <c r="T5" s="763" t="b">
        <v>0</v>
      </c>
      <c r="U5" s="763" t="b">
        <v>0</v>
      </c>
      <c r="V5" s="763" t="b">
        <v>0</v>
      </c>
      <c r="W5" s="763" t="b">
        <v>0</v>
      </c>
      <c r="X5" s="216">
        <v>80.0</v>
      </c>
      <c r="Y5" s="11">
        <f t="shared" si="1"/>
        <v>480</v>
      </c>
      <c r="Z5" s="11" t="s">
        <v>20</v>
      </c>
      <c r="AA5" s="93" t="s">
        <v>21</v>
      </c>
      <c r="AB5" s="93" t="s">
        <v>1902</v>
      </c>
      <c r="AC5" s="93" t="s">
        <v>23</v>
      </c>
      <c r="AD5" s="217"/>
      <c r="AE5" s="11" t="str">
        <f>IMAGE("https://5.imimg.com/data5/YG/CD/MY-4112616/transparent-tape-500x500.jpg",1)</f>
        <v/>
      </c>
      <c r="AF5" s="78"/>
      <c r="AG5" s="74"/>
      <c r="AH5" s="75"/>
      <c r="AI5" s="12"/>
      <c r="AJ5" s="11"/>
      <c r="AK5" s="11">
        <v>1.0</v>
      </c>
    </row>
    <row r="6" ht="40.5" customHeight="1">
      <c r="A6" s="11">
        <v>5.0</v>
      </c>
      <c r="B6" s="11" t="s">
        <v>15</v>
      </c>
      <c r="C6" s="11" t="s">
        <v>37</v>
      </c>
      <c r="D6" s="93" t="s">
        <v>1886</v>
      </c>
      <c r="E6" s="215" t="s">
        <v>19</v>
      </c>
      <c r="F6" s="216">
        <v>5.0</v>
      </c>
      <c r="G6" s="11" t="s">
        <v>2009</v>
      </c>
      <c r="H6" s="216">
        <v>6.0</v>
      </c>
      <c r="I6" s="763" t="b">
        <v>0</v>
      </c>
      <c r="J6" s="763" t="b">
        <v>0</v>
      </c>
      <c r="K6" s="763" t="b">
        <v>0</v>
      </c>
      <c r="L6" s="763" t="b">
        <v>0</v>
      </c>
      <c r="M6" s="763" t="b">
        <v>0</v>
      </c>
      <c r="N6" s="763" t="b">
        <v>0</v>
      </c>
      <c r="O6" s="763" t="b">
        <v>0</v>
      </c>
      <c r="P6" s="763" t="b">
        <v>0</v>
      </c>
      <c r="Q6" s="763" t="b">
        <v>0</v>
      </c>
      <c r="R6" s="763" t="b">
        <v>0</v>
      </c>
      <c r="S6" s="763" t="b">
        <v>0</v>
      </c>
      <c r="T6" s="763" t="b">
        <v>0</v>
      </c>
      <c r="U6" s="763" t="b">
        <v>0</v>
      </c>
      <c r="V6" s="763" t="b">
        <v>0</v>
      </c>
      <c r="W6" s="763" t="b">
        <v>0</v>
      </c>
      <c r="X6" s="216">
        <v>80.0</v>
      </c>
      <c r="Y6" s="11">
        <f t="shared" si="1"/>
        <v>480</v>
      </c>
      <c r="Z6" s="11" t="s">
        <v>20</v>
      </c>
      <c r="AA6" s="93" t="s">
        <v>21</v>
      </c>
      <c r="AB6" s="93" t="s">
        <v>2008</v>
      </c>
      <c r="AC6" s="93" t="s">
        <v>23</v>
      </c>
      <c r="AD6" s="217" t="s">
        <v>39</v>
      </c>
      <c r="AE6" s="11" t="str">
        <f>IMAGE("https://m.media-amazon.com/images/I/61JiUrBk2-L._SL1082_.jpg",1)</f>
        <v/>
      </c>
      <c r="AF6" s="78"/>
      <c r="AG6" s="74"/>
      <c r="AH6" s="75"/>
      <c r="AI6" s="12"/>
      <c r="AJ6" s="11"/>
      <c r="AK6" s="11">
        <v>1.0</v>
      </c>
    </row>
    <row r="7" ht="40.5" customHeight="1">
      <c r="A7" s="11">
        <v>6.0</v>
      </c>
      <c r="B7" s="11" t="s">
        <v>15</v>
      </c>
      <c r="C7" s="11" t="s">
        <v>41</v>
      </c>
      <c r="D7" s="93" t="s">
        <v>42</v>
      </c>
      <c r="E7" s="215" t="s">
        <v>19</v>
      </c>
      <c r="F7" s="216">
        <v>5.0</v>
      </c>
      <c r="G7" s="11" t="s">
        <v>2010</v>
      </c>
      <c r="H7" s="216">
        <v>6.0</v>
      </c>
      <c r="I7" s="763" t="b">
        <v>0</v>
      </c>
      <c r="J7" s="763" t="b">
        <v>0</v>
      </c>
      <c r="K7" s="763" t="b">
        <v>0</v>
      </c>
      <c r="L7" s="763" t="b">
        <v>0</v>
      </c>
      <c r="M7" s="763" t="b">
        <v>0</v>
      </c>
      <c r="N7" s="763" t="b">
        <v>0</v>
      </c>
      <c r="O7" s="763" t="b">
        <v>0</v>
      </c>
      <c r="P7" s="763" t="b">
        <v>0</v>
      </c>
      <c r="Q7" s="763" t="b">
        <v>0</v>
      </c>
      <c r="R7" s="763" t="b">
        <v>0</v>
      </c>
      <c r="S7" s="763" t="b">
        <v>0</v>
      </c>
      <c r="T7" s="763" t="b">
        <v>0</v>
      </c>
      <c r="U7" s="763" t="b">
        <v>0</v>
      </c>
      <c r="V7" s="763" t="b">
        <v>0</v>
      </c>
      <c r="W7" s="763" t="b">
        <v>0</v>
      </c>
      <c r="X7" s="216">
        <v>80.0</v>
      </c>
      <c r="Y7" s="11">
        <f t="shared" si="1"/>
        <v>480</v>
      </c>
      <c r="Z7" s="11" t="s">
        <v>20</v>
      </c>
      <c r="AA7" s="93" t="s">
        <v>21</v>
      </c>
      <c r="AB7" s="93" t="s">
        <v>2002</v>
      </c>
      <c r="AC7" s="93" t="s">
        <v>23</v>
      </c>
      <c r="AD7" s="217" t="s">
        <v>43</v>
      </c>
      <c r="AE7" s="11" t="str">
        <f>IMAGE("https://m.media-amazon.com/images/I/51JAsOuirxL._SL1000_.jpg",1)</f>
        <v/>
      </c>
      <c r="AF7" s="78" t="s">
        <v>56</v>
      </c>
      <c r="AG7" s="79"/>
      <c r="AH7" s="80"/>
      <c r="AI7" s="12"/>
      <c r="AJ7" s="11"/>
      <c r="AK7" s="11">
        <v>1.0</v>
      </c>
    </row>
    <row r="8" ht="40.5" customHeight="1">
      <c r="A8" s="11">
        <v>7.0</v>
      </c>
      <c r="B8" s="11" t="s">
        <v>15</v>
      </c>
      <c r="C8" s="11" t="s">
        <v>45</v>
      </c>
      <c r="D8" s="93" t="s">
        <v>46</v>
      </c>
      <c r="E8" s="215" t="s">
        <v>19</v>
      </c>
      <c r="F8" s="11">
        <v>10.0</v>
      </c>
      <c r="G8" s="11" t="s">
        <v>2011</v>
      </c>
      <c r="H8" s="11">
        <v>10.0</v>
      </c>
      <c r="I8" s="763" t="b">
        <v>0</v>
      </c>
      <c r="J8" s="763" t="b">
        <v>0</v>
      </c>
      <c r="K8" s="763" t="b">
        <v>0</v>
      </c>
      <c r="L8" s="763" t="b">
        <v>0</v>
      </c>
      <c r="M8" s="763" t="b">
        <v>0</v>
      </c>
      <c r="N8" s="763" t="b">
        <v>0</v>
      </c>
      <c r="O8" s="763" t="b">
        <v>0</v>
      </c>
      <c r="P8" s="763" t="b">
        <v>0</v>
      </c>
      <c r="Q8" s="763" t="b">
        <v>0</v>
      </c>
      <c r="R8" s="763" t="b">
        <v>0</v>
      </c>
      <c r="S8" s="763" t="b">
        <v>0</v>
      </c>
      <c r="T8" s="763" t="b">
        <v>0</v>
      </c>
      <c r="U8" s="763" t="b">
        <v>0</v>
      </c>
      <c r="V8" s="763" t="b">
        <v>0</v>
      </c>
      <c r="W8" s="763" t="b">
        <v>0</v>
      </c>
      <c r="X8" s="11">
        <v>35.0</v>
      </c>
      <c r="Y8" s="11">
        <f t="shared" si="1"/>
        <v>350</v>
      </c>
      <c r="Z8" s="11" t="s">
        <v>20</v>
      </c>
      <c r="AA8" s="93" t="s">
        <v>47</v>
      </c>
      <c r="AB8" s="93" t="s">
        <v>2008</v>
      </c>
      <c r="AC8" s="93" t="s">
        <v>23</v>
      </c>
      <c r="AD8" s="217" t="s">
        <v>48</v>
      </c>
      <c r="AE8" s="11" t="str">
        <f>IMAGE("https://m.media-amazon.com/images/I/81zdeTxqkLL._SL1500_.jpg",1)</f>
        <v/>
      </c>
      <c r="AF8" s="78"/>
      <c r="AG8" s="74"/>
      <c r="AH8" s="75"/>
      <c r="AI8" s="12"/>
      <c r="AJ8" s="11"/>
      <c r="AK8" s="11">
        <v>1.0</v>
      </c>
    </row>
    <row r="9" ht="40.5" customHeight="1">
      <c r="A9" s="11">
        <v>8.0</v>
      </c>
      <c r="B9" s="11" t="s">
        <v>15</v>
      </c>
      <c r="C9" s="11" t="s">
        <v>50</v>
      </c>
      <c r="D9" s="93" t="s">
        <v>51</v>
      </c>
      <c r="E9" s="215" t="s">
        <v>19</v>
      </c>
      <c r="F9" s="216">
        <v>5.0</v>
      </c>
      <c r="G9" s="11" t="s">
        <v>2013</v>
      </c>
      <c r="H9" s="216">
        <v>5.0</v>
      </c>
      <c r="I9" s="763" t="b">
        <v>0</v>
      </c>
      <c r="J9" s="763" t="b">
        <v>0</v>
      </c>
      <c r="K9" s="763" t="b">
        <v>0</v>
      </c>
      <c r="L9" s="763" t="b">
        <v>0</v>
      </c>
      <c r="M9" s="763" t="b">
        <v>0</v>
      </c>
      <c r="N9" s="763" t="b">
        <v>0</v>
      </c>
      <c r="O9" s="763" t="b">
        <v>0</v>
      </c>
      <c r="P9" s="763" t="b">
        <v>0</v>
      </c>
      <c r="Q9" s="763" t="b">
        <v>0</v>
      </c>
      <c r="R9" s="763" t="b">
        <v>0</v>
      </c>
      <c r="S9" s="763" t="b">
        <v>0</v>
      </c>
      <c r="T9" s="763" t="b">
        <v>0</v>
      </c>
      <c r="U9" s="763" t="b">
        <v>0</v>
      </c>
      <c r="V9" s="763" t="b">
        <v>0</v>
      </c>
      <c r="W9" s="763" t="b">
        <v>0</v>
      </c>
      <c r="X9" s="216">
        <v>80.0</v>
      </c>
      <c r="Y9" s="11">
        <f t="shared" si="1"/>
        <v>400</v>
      </c>
      <c r="Z9" s="11" t="s">
        <v>20</v>
      </c>
      <c r="AA9" s="93" t="s">
        <v>21</v>
      </c>
      <c r="AB9" s="93" t="s">
        <v>2012</v>
      </c>
      <c r="AC9" s="93" t="s">
        <v>23</v>
      </c>
      <c r="AD9" s="217" t="s">
        <v>52</v>
      </c>
      <c r="AE9" s="11" t="str">
        <f>IMAGE("https://megahardwarett.com/wp-content/uploads/2022/03/71TQZaRi6yL._AC_SX425_.jpg",1)</f>
        <v/>
      </c>
      <c r="AF9" s="78"/>
      <c r="AG9" s="74"/>
      <c r="AH9" s="75"/>
      <c r="AI9" s="5"/>
      <c r="AJ9" s="14"/>
      <c r="AK9" s="11">
        <v>1.0</v>
      </c>
    </row>
    <row r="10" ht="40.5" customHeight="1">
      <c r="A10" s="11">
        <v>9.0</v>
      </c>
      <c r="B10" s="11" t="s">
        <v>15</v>
      </c>
      <c r="C10" s="11" t="s">
        <v>54</v>
      </c>
      <c r="D10" s="93" t="s">
        <v>1887</v>
      </c>
      <c r="E10" s="215" t="s">
        <v>19</v>
      </c>
      <c r="F10" s="216">
        <v>5.0</v>
      </c>
      <c r="G10" s="11" t="s">
        <v>2011</v>
      </c>
      <c r="H10" s="216">
        <v>10.0</v>
      </c>
      <c r="I10" s="763" t="b">
        <v>0</v>
      </c>
      <c r="J10" s="763" t="b">
        <v>0</v>
      </c>
      <c r="K10" s="763" t="b">
        <v>0</v>
      </c>
      <c r="L10" s="763" t="b">
        <v>0</v>
      </c>
      <c r="M10" s="763" t="b">
        <v>0</v>
      </c>
      <c r="N10" s="763" t="b">
        <v>0</v>
      </c>
      <c r="O10" s="763" t="b">
        <v>0</v>
      </c>
      <c r="P10" s="763" t="b">
        <v>0</v>
      </c>
      <c r="Q10" s="763" t="b">
        <v>0</v>
      </c>
      <c r="R10" s="763" t="b">
        <v>0</v>
      </c>
      <c r="S10" s="763" t="b">
        <v>0</v>
      </c>
      <c r="T10" s="763" t="b">
        <v>0</v>
      </c>
      <c r="U10" s="763" t="b">
        <v>0</v>
      </c>
      <c r="V10" s="763" t="b">
        <v>0</v>
      </c>
      <c r="W10" s="763" t="b">
        <v>0</v>
      </c>
      <c r="X10" s="216">
        <v>60.0</v>
      </c>
      <c r="Y10" s="11">
        <f t="shared" si="1"/>
        <v>600</v>
      </c>
      <c r="Z10" s="11" t="s">
        <v>20</v>
      </c>
      <c r="AA10" s="93" t="s">
        <v>47</v>
      </c>
      <c r="AB10" s="93" t="s">
        <v>2008</v>
      </c>
      <c r="AC10" s="93" t="s">
        <v>23</v>
      </c>
      <c r="AD10" s="216" t="s">
        <v>56</v>
      </c>
      <c r="AE10" s="11" t="str">
        <f>IMAGE("https://m.media-amazon.com/images/I/51xkFZnkVFL._SX466_.jpg",1)</f>
        <v/>
      </c>
      <c r="AF10" s="78"/>
      <c r="AG10" s="74"/>
      <c r="AH10" s="75"/>
      <c r="AI10" s="12"/>
      <c r="AJ10" s="11"/>
      <c r="AK10" s="11">
        <v>1.0</v>
      </c>
    </row>
    <row r="11" ht="40.5" customHeight="1">
      <c r="A11" s="11">
        <v>10.0</v>
      </c>
      <c r="B11" s="11" t="s">
        <v>15</v>
      </c>
      <c r="C11" s="11" t="s">
        <v>58</v>
      </c>
      <c r="D11" s="93" t="s">
        <v>1888</v>
      </c>
      <c r="E11" s="215" t="s">
        <v>19</v>
      </c>
      <c r="F11" s="216">
        <v>5.0</v>
      </c>
      <c r="G11" s="11" t="s">
        <v>2011</v>
      </c>
      <c r="H11" s="216">
        <v>10.0</v>
      </c>
      <c r="I11" s="763" t="b">
        <v>0</v>
      </c>
      <c r="J11" s="763" t="b">
        <v>0</v>
      </c>
      <c r="K11" s="763" t="b">
        <v>0</v>
      </c>
      <c r="L11" s="763" t="b">
        <v>0</v>
      </c>
      <c r="M11" s="763" t="b">
        <v>0</v>
      </c>
      <c r="N11" s="763" t="b">
        <v>0</v>
      </c>
      <c r="O11" s="763" t="b">
        <v>0</v>
      </c>
      <c r="P11" s="763" t="b">
        <v>0</v>
      </c>
      <c r="Q11" s="763" t="b">
        <v>0</v>
      </c>
      <c r="R11" s="763" t="b">
        <v>0</v>
      </c>
      <c r="S11" s="763" t="b">
        <v>0</v>
      </c>
      <c r="T11" s="763" t="b">
        <v>0</v>
      </c>
      <c r="U11" s="763" t="b">
        <v>0</v>
      </c>
      <c r="V11" s="763" t="b">
        <v>0</v>
      </c>
      <c r="W11" s="763" t="b">
        <v>0</v>
      </c>
      <c r="X11" s="216">
        <v>70.0</v>
      </c>
      <c r="Y11" s="11">
        <f t="shared" si="1"/>
        <v>700</v>
      </c>
      <c r="Z11" s="11" t="s">
        <v>20</v>
      </c>
      <c r="AA11" s="93" t="s">
        <v>47</v>
      </c>
      <c r="AB11" s="93" t="s">
        <v>2008</v>
      </c>
      <c r="AC11" s="93" t="s">
        <v>23</v>
      </c>
      <c r="AD11" s="217" t="s">
        <v>60</v>
      </c>
      <c r="AE11" s="11" t="str">
        <f>IMAGE("https://5.imimg.com/data5/LJ/PW/MY-3849711/loctite-401-super-glue-500x500.jpg",1)</f>
        <v/>
      </c>
      <c r="AF11" s="78"/>
      <c r="AG11" s="74"/>
      <c r="AH11" s="75"/>
      <c r="AI11" s="12"/>
      <c r="AJ11" s="11"/>
      <c r="AK11" s="11">
        <v>1.0</v>
      </c>
    </row>
    <row r="12" ht="40.5" customHeight="1">
      <c r="A12" s="11">
        <v>11.0</v>
      </c>
      <c r="B12" s="11" t="s">
        <v>15</v>
      </c>
      <c r="C12" s="11" t="s">
        <v>62</v>
      </c>
      <c r="D12" s="93" t="s">
        <v>1889</v>
      </c>
      <c r="E12" s="215" t="s">
        <v>64</v>
      </c>
      <c r="F12" s="216">
        <v>20.0</v>
      </c>
      <c r="G12" s="11" t="s">
        <v>2014</v>
      </c>
      <c r="H12" s="216">
        <v>60.0</v>
      </c>
      <c r="I12" s="763" t="b">
        <v>0</v>
      </c>
      <c r="J12" s="763" t="b">
        <v>0</v>
      </c>
      <c r="K12" s="763" t="b">
        <v>0</v>
      </c>
      <c r="L12" s="763" t="b">
        <v>0</v>
      </c>
      <c r="M12" s="763" t="b">
        <v>0</v>
      </c>
      <c r="N12" s="763" t="b">
        <v>0</v>
      </c>
      <c r="O12" s="763" t="b">
        <v>0</v>
      </c>
      <c r="P12" s="763" t="b">
        <v>0</v>
      </c>
      <c r="Q12" s="763" t="b">
        <v>0</v>
      </c>
      <c r="R12" s="763" t="b">
        <v>0</v>
      </c>
      <c r="S12" s="763" t="b">
        <v>0</v>
      </c>
      <c r="T12" s="763" t="b">
        <v>0</v>
      </c>
      <c r="U12" s="763" t="b">
        <v>0</v>
      </c>
      <c r="V12" s="763" t="b">
        <v>0</v>
      </c>
      <c r="W12" s="763" t="b">
        <v>0</v>
      </c>
      <c r="X12" s="216">
        <v>300.0</v>
      </c>
      <c r="Y12" s="11">
        <f t="shared" si="1"/>
        <v>18000</v>
      </c>
      <c r="Z12" s="11" t="s">
        <v>20</v>
      </c>
      <c r="AA12" s="93" t="s">
        <v>65</v>
      </c>
      <c r="AB12" s="93" t="s">
        <v>2012</v>
      </c>
      <c r="AC12" s="93" t="s">
        <v>1890</v>
      </c>
      <c r="AD12" s="217" t="s">
        <v>68</v>
      </c>
      <c r="AE12" s="11" t="str">
        <f>IMAGE("https://5.imimg.com/data5/SELLER/Default/2020/9/EF/FR/SW/13763930/fevicryte-acrylic-colors-500x500.jpg",1)</f>
        <v/>
      </c>
      <c r="AF12" s="78" t="s">
        <v>56</v>
      </c>
      <c r="AG12" s="74"/>
      <c r="AH12" s="75"/>
      <c r="AI12" s="12"/>
      <c r="AJ12" s="11"/>
      <c r="AK12" s="11">
        <v>1.0</v>
      </c>
    </row>
    <row r="13" ht="40.5" customHeight="1">
      <c r="A13" s="11">
        <v>12.0</v>
      </c>
      <c r="B13" s="11" t="s">
        <v>15</v>
      </c>
      <c r="C13" s="11" t="s">
        <v>70</v>
      </c>
      <c r="D13" s="93" t="s">
        <v>71</v>
      </c>
      <c r="E13" s="215" t="s">
        <v>64</v>
      </c>
      <c r="F13" s="216">
        <v>1.0</v>
      </c>
      <c r="G13" s="11" t="s">
        <v>1984</v>
      </c>
      <c r="H13" s="216">
        <v>25.0</v>
      </c>
      <c r="I13" s="763" t="b">
        <v>0</v>
      </c>
      <c r="J13" s="763" t="b">
        <v>0</v>
      </c>
      <c r="K13" s="763" t="b">
        <v>0</v>
      </c>
      <c r="L13" s="763" t="b">
        <v>0</v>
      </c>
      <c r="M13" s="763" t="b">
        <v>0</v>
      </c>
      <c r="N13" s="763" t="b">
        <v>0</v>
      </c>
      <c r="O13" s="763" t="b">
        <v>0</v>
      </c>
      <c r="P13" s="763" t="b">
        <v>0</v>
      </c>
      <c r="Q13" s="763" t="b">
        <v>0</v>
      </c>
      <c r="R13" s="763" t="b">
        <v>0</v>
      </c>
      <c r="S13" s="763" t="b">
        <v>0</v>
      </c>
      <c r="T13" s="763" t="b">
        <v>0</v>
      </c>
      <c r="U13" s="763" t="b">
        <v>0</v>
      </c>
      <c r="V13" s="763" t="b">
        <v>0</v>
      </c>
      <c r="W13" s="763" t="b">
        <v>0</v>
      </c>
      <c r="X13" s="218">
        <v>1000.0</v>
      </c>
      <c r="Y13" s="11">
        <f t="shared" si="1"/>
        <v>25000</v>
      </c>
      <c r="Z13" s="11" t="s">
        <v>20</v>
      </c>
      <c r="AA13" s="93" t="s">
        <v>72</v>
      </c>
      <c r="AB13" s="93" t="s">
        <v>65</v>
      </c>
      <c r="AC13" s="93" t="s">
        <v>111</v>
      </c>
      <c r="AD13" s="219" t="s">
        <v>73</v>
      </c>
      <c r="AE13" s="11" t="str">
        <f>IMAGE("https://helloaugust.in/wp-content/uploads/2020/04/dark-colour-chart-paper-full-size-300x300.jpg",1)</f>
        <v/>
      </c>
      <c r="AF13" s="78"/>
      <c r="AG13" s="74"/>
      <c r="AH13" s="75"/>
      <c r="AI13" s="12"/>
      <c r="AJ13" s="11"/>
      <c r="AK13" s="11">
        <v>3.0</v>
      </c>
    </row>
    <row r="14" ht="40.5" customHeight="1">
      <c r="A14" s="11">
        <v>13.0</v>
      </c>
      <c r="B14" s="11" t="s">
        <v>15</v>
      </c>
      <c r="C14" s="11" t="s">
        <v>75</v>
      </c>
      <c r="D14" s="93" t="s">
        <v>1891</v>
      </c>
      <c r="E14" s="215" t="s">
        <v>64</v>
      </c>
      <c r="F14" s="11">
        <v>10.0</v>
      </c>
      <c r="G14" s="11" t="s">
        <v>2015</v>
      </c>
      <c r="H14" s="11">
        <v>10.0</v>
      </c>
      <c r="I14" s="763" t="b">
        <v>0</v>
      </c>
      <c r="J14" s="763" t="b">
        <v>0</v>
      </c>
      <c r="K14" s="763" t="b">
        <v>0</v>
      </c>
      <c r="L14" s="763" t="b">
        <v>0</v>
      </c>
      <c r="M14" s="763" t="b">
        <v>0</v>
      </c>
      <c r="N14" s="763" t="b">
        <v>0</v>
      </c>
      <c r="O14" s="763" t="b">
        <v>0</v>
      </c>
      <c r="P14" s="763" t="b">
        <v>0</v>
      </c>
      <c r="Q14" s="763" t="b">
        <v>0</v>
      </c>
      <c r="R14" s="763" t="b">
        <v>0</v>
      </c>
      <c r="S14" s="763" t="b">
        <v>0</v>
      </c>
      <c r="T14" s="763" t="b">
        <v>0</v>
      </c>
      <c r="U14" s="763" t="b">
        <v>0</v>
      </c>
      <c r="V14" s="763" t="b">
        <v>0</v>
      </c>
      <c r="W14" s="763" t="b">
        <v>0</v>
      </c>
      <c r="X14" s="11">
        <v>50.0</v>
      </c>
      <c r="Y14" s="11">
        <f t="shared" si="1"/>
        <v>500</v>
      </c>
      <c r="Z14" s="11" t="s">
        <v>20</v>
      </c>
      <c r="AA14" s="93" t="s">
        <v>77</v>
      </c>
      <c r="AB14" s="123" t="s">
        <v>1594</v>
      </c>
      <c r="AC14" s="93" t="s">
        <v>1892</v>
      </c>
      <c r="AD14" s="217" t="s">
        <v>78</v>
      </c>
      <c r="AE14" s="11" t="str">
        <f>IMAGE("https://m.media-amazon.com/images/W/MEDIAX_792452-T2/images/I/611Q9E31rML._SL1500_.jpg",1)</f>
        <v/>
      </c>
      <c r="AF14" s="78"/>
      <c r="AG14" s="74"/>
      <c r="AH14" s="75"/>
      <c r="AI14" s="12"/>
      <c r="AJ14" s="11"/>
      <c r="AK14" s="11">
        <v>1.0</v>
      </c>
    </row>
    <row r="15" ht="40.5" customHeight="1">
      <c r="A15" s="11">
        <v>14.0</v>
      </c>
      <c r="B15" s="11" t="s">
        <v>15</v>
      </c>
      <c r="C15" s="11" t="s">
        <v>80</v>
      </c>
      <c r="D15" s="93" t="s">
        <v>352</v>
      </c>
      <c r="E15" s="215" t="s">
        <v>64</v>
      </c>
      <c r="F15" s="216">
        <v>5.0</v>
      </c>
      <c r="G15" s="11" t="s">
        <v>1984</v>
      </c>
      <c r="H15" s="216">
        <v>5.0</v>
      </c>
      <c r="I15" s="763" t="b">
        <v>0</v>
      </c>
      <c r="J15" s="763" t="b">
        <v>0</v>
      </c>
      <c r="K15" s="763" t="b">
        <v>0</v>
      </c>
      <c r="L15" s="763" t="b">
        <v>0</v>
      </c>
      <c r="M15" s="763" t="b">
        <v>0</v>
      </c>
      <c r="N15" s="763" t="b">
        <v>0</v>
      </c>
      <c r="O15" s="763" t="b">
        <v>0</v>
      </c>
      <c r="P15" s="763" t="b">
        <v>0</v>
      </c>
      <c r="Q15" s="763" t="b">
        <v>0</v>
      </c>
      <c r="R15" s="763" t="b">
        <v>0</v>
      </c>
      <c r="S15" s="763" t="b">
        <v>0</v>
      </c>
      <c r="T15" s="763" t="b">
        <v>0</v>
      </c>
      <c r="U15" s="763" t="b">
        <v>0</v>
      </c>
      <c r="V15" s="763" t="b">
        <v>0</v>
      </c>
      <c r="W15" s="763" t="b">
        <v>0</v>
      </c>
      <c r="X15" s="218">
        <v>100.0</v>
      </c>
      <c r="Y15" s="11">
        <f t="shared" si="1"/>
        <v>500</v>
      </c>
      <c r="Z15" s="11" t="s">
        <v>20</v>
      </c>
      <c r="AA15" s="93" t="s">
        <v>65</v>
      </c>
      <c r="AB15" s="93"/>
      <c r="AC15" s="93" t="s">
        <v>111</v>
      </c>
      <c r="AD15" s="217" t="s">
        <v>84</v>
      </c>
      <c r="AE15" s="11" t="str">
        <f>IMAGE("https://4.imimg.com/data4/TN/NP/MY-32886991/a4-colour-paper-500x500.jpg",1)</f>
        <v/>
      </c>
      <c r="AF15" s="78"/>
      <c r="AG15" s="74"/>
      <c r="AH15" s="75"/>
      <c r="AI15" s="12"/>
      <c r="AJ15" s="11"/>
      <c r="AK15" s="11">
        <v>3.0</v>
      </c>
    </row>
    <row r="16" ht="40.5" customHeight="1">
      <c r="A16" s="11">
        <v>15.0</v>
      </c>
      <c r="B16" s="11" t="s">
        <v>15</v>
      </c>
      <c r="C16" s="11" t="s">
        <v>86</v>
      </c>
      <c r="D16" s="93" t="s">
        <v>1893</v>
      </c>
      <c r="E16" s="215" t="s">
        <v>64</v>
      </c>
      <c r="F16" s="216">
        <v>5.0</v>
      </c>
      <c r="G16" s="11" t="s">
        <v>2016</v>
      </c>
      <c r="H16" s="216">
        <v>5.0</v>
      </c>
      <c r="I16" s="763" t="b">
        <v>0</v>
      </c>
      <c r="J16" s="763" t="b">
        <v>0</v>
      </c>
      <c r="K16" s="763" t="b">
        <v>0</v>
      </c>
      <c r="L16" s="763" t="b">
        <v>0</v>
      </c>
      <c r="M16" s="763" t="b">
        <v>0</v>
      </c>
      <c r="N16" s="763" t="b">
        <v>0</v>
      </c>
      <c r="O16" s="763" t="b">
        <v>0</v>
      </c>
      <c r="P16" s="763" t="b">
        <v>0</v>
      </c>
      <c r="Q16" s="763" t="b">
        <v>0</v>
      </c>
      <c r="R16" s="763" t="b">
        <v>0</v>
      </c>
      <c r="S16" s="763" t="b">
        <v>0</v>
      </c>
      <c r="T16" s="763" t="b">
        <v>0</v>
      </c>
      <c r="U16" s="763" t="b">
        <v>0</v>
      </c>
      <c r="V16" s="763" t="b">
        <v>0</v>
      </c>
      <c r="W16" s="763" t="b">
        <v>0</v>
      </c>
      <c r="X16" s="216">
        <v>70.0</v>
      </c>
      <c r="Y16" s="11">
        <f t="shared" si="1"/>
        <v>350</v>
      </c>
      <c r="Z16" s="11" t="s">
        <v>20</v>
      </c>
      <c r="AA16" s="93" t="s">
        <v>77</v>
      </c>
      <c r="AB16" s="123" t="s">
        <v>1594</v>
      </c>
      <c r="AC16" s="93" t="s">
        <v>111</v>
      </c>
      <c r="AD16" s="217" t="s">
        <v>88</v>
      </c>
      <c r="AE16" s="11" t="str">
        <f>IMAGE("https://www.htconline.in/images/thumbs/0019821_camlin-drawing-pencils-set-of-6.jpeg",1)</f>
        <v/>
      </c>
      <c r="AF16" s="78"/>
      <c r="AG16" s="74"/>
      <c r="AH16" s="75"/>
      <c r="AI16" s="12"/>
      <c r="AJ16" s="11"/>
      <c r="AK16" s="11">
        <v>1.0</v>
      </c>
    </row>
    <row r="17" ht="40.5" customHeight="1">
      <c r="A17" s="11">
        <v>16.0</v>
      </c>
      <c r="B17" s="11" t="s">
        <v>15</v>
      </c>
      <c r="C17" s="11" t="s">
        <v>90</v>
      </c>
      <c r="D17" s="93" t="s">
        <v>91</v>
      </c>
      <c r="E17" s="215" t="s">
        <v>64</v>
      </c>
      <c r="F17" s="216">
        <v>10.0</v>
      </c>
      <c r="G17" s="11" t="s">
        <v>2016</v>
      </c>
      <c r="H17" s="216">
        <v>20.0</v>
      </c>
      <c r="I17" s="763" t="b">
        <v>0</v>
      </c>
      <c r="J17" s="763" t="b">
        <v>0</v>
      </c>
      <c r="K17" s="763" t="b">
        <v>0</v>
      </c>
      <c r="L17" s="763" t="b">
        <v>0</v>
      </c>
      <c r="M17" s="763" t="b">
        <v>0</v>
      </c>
      <c r="N17" s="763" t="b">
        <v>0</v>
      </c>
      <c r="O17" s="763" t="b">
        <v>0</v>
      </c>
      <c r="P17" s="763" t="b">
        <v>0</v>
      </c>
      <c r="Q17" s="763" t="b">
        <v>0</v>
      </c>
      <c r="R17" s="763" t="b">
        <v>0</v>
      </c>
      <c r="S17" s="763" t="b">
        <v>0</v>
      </c>
      <c r="T17" s="763" t="b">
        <v>0</v>
      </c>
      <c r="U17" s="763" t="b">
        <v>0</v>
      </c>
      <c r="V17" s="763" t="b">
        <v>0</v>
      </c>
      <c r="W17" s="763" t="b">
        <v>0</v>
      </c>
      <c r="X17" s="216">
        <v>10.0</v>
      </c>
      <c r="Y17" s="11">
        <f t="shared" si="1"/>
        <v>200</v>
      </c>
      <c r="Z17" s="11" t="s">
        <v>20</v>
      </c>
      <c r="AA17" s="93" t="s">
        <v>77</v>
      </c>
      <c r="AB17" s="123" t="s">
        <v>1594</v>
      </c>
      <c r="AC17" s="93" t="s">
        <v>111</v>
      </c>
      <c r="AD17" s="217" t="s">
        <v>92</v>
      </c>
      <c r="AE17" s="11" t="str">
        <f>IMAGE("https://upload.wikimedia.org/wikipedia/commons/e/e8/Office-pink-erasers.jpg",1)</f>
        <v/>
      </c>
      <c r="AF17" s="78" t="s">
        <v>56</v>
      </c>
      <c r="AG17" s="74"/>
      <c r="AH17" s="75"/>
      <c r="AI17" s="12"/>
      <c r="AJ17" s="11"/>
      <c r="AK17" s="11">
        <v>1.0</v>
      </c>
    </row>
    <row r="18" ht="40.5" customHeight="1">
      <c r="A18" s="11">
        <v>17.0</v>
      </c>
      <c r="B18" s="11" t="s">
        <v>15</v>
      </c>
      <c r="C18" s="11" t="s">
        <v>94</v>
      </c>
      <c r="D18" s="93" t="s">
        <v>95</v>
      </c>
      <c r="E18" s="215" t="s">
        <v>64</v>
      </c>
      <c r="F18" s="216">
        <v>10.0</v>
      </c>
      <c r="G18" s="11" t="s">
        <v>2016</v>
      </c>
      <c r="H18" s="216">
        <v>10.0</v>
      </c>
      <c r="I18" s="763" t="b">
        <v>0</v>
      </c>
      <c r="J18" s="763" t="b">
        <v>0</v>
      </c>
      <c r="K18" s="763" t="b">
        <v>0</v>
      </c>
      <c r="L18" s="763" t="b">
        <v>0</v>
      </c>
      <c r="M18" s="763" t="b">
        <v>0</v>
      </c>
      <c r="N18" s="763" t="b">
        <v>0</v>
      </c>
      <c r="O18" s="763" t="b">
        <v>0</v>
      </c>
      <c r="P18" s="763" t="b">
        <v>0</v>
      </c>
      <c r="Q18" s="763" t="b">
        <v>0</v>
      </c>
      <c r="R18" s="763" t="b">
        <v>0</v>
      </c>
      <c r="S18" s="763" t="b">
        <v>0</v>
      </c>
      <c r="T18" s="763" t="b">
        <v>0</v>
      </c>
      <c r="U18" s="763" t="b">
        <v>0</v>
      </c>
      <c r="V18" s="763" t="b">
        <v>0</v>
      </c>
      <c r="W18" s="763" t="b">
        <v>0</v>
      </c>
      <c r="X18" s="216">
        <v>35.0</v>
      </c>
      <c r="Y18" s="11">
        <f t="shared" si="1"/>
        <v>350</v>
      </c>
      <c r="Z18" s="11" t="s">
        <v>20</v>
      </c>
      <c r="AA18" s="93" t="s">
        <v>77</v>
      </c>
      <c r="AB18" s="123" t="s">
        <v>1594</v>
      </c>
      <c r="AC18" s="93" t="s">
        <v>111</v>
      </c>
      <c r="AD18" s="220" t="s">
        <v>96</v>
      </c>
      <c r="AE18" s="11" t="str">
        <f>IMAGE("https://cdn.shopify.com/s/files/1/0064/3412/7939/products/Main-2_2baab3ae-c700-4dd7-acd2-e9442aee0358_2048x.jpg?v=1669799264",1)</f>
        <v/>
      </c>
      <c r="AF18" s="78"/>
      <c r="AG18" s="74"/>
      <c r="AH18" s="75"/>
      <c r="AI18" s="12"/>
      <c r="AJ18" s="11"/>
      <c r="AK18" s="11">
        <v>1.0</v>
      </c>
    </row>
    <row r="19" ht="40.5" customHeight="1">
      <c r="A19" s="11">
        <v>18.0</v>
      </c>
      <c r="B19" s="11"/>
      <c r="C19" s="11" t="s">
        <v>97</v>
      </c>
      <c r="D19" s="93" t="s">
        <v>1894</v>
      </c>
      <c r="E19" s="215" t="s">
        <v>64</v>
      </c>
      <c r="F19" s="216" t="s">
        <v>56</v>
      </c>
      <c r="G19" s="11" t="s">
        <v>2016</v>
      </c>
      <c r="H19" s="216">
        <v>10.0</v>
      </c>
      <c r="I19" s="763" t="b">
        <v>0</v>
      </c>
      <c r="J19" s="763" t="b">
        <v>0</v>
      </c>
      <c r="K19" s="763" t="b">
        <v>0</v>
      </c>
      <c r="L19" s="763" t="b">
        <v>0</v>
      </c>
      <c r="M19" s="763" t="b">
        <v>0</v>
      </c>
      <c r="N19" s="763" t="b">
        <v>0</v>
      </c>
      <c r="O19" s="763" t="b">
        <v>0</v>
      </c>
      <c r="P19" s="763" t="b">
        <v>0</v>
      </c>
      <c r="Q19" s="763" t="b">
        <v>0</v>
      </c>
      <c r="R19" s="763" t="b">
        <v>0</v>
      </c>
      <c r="S19" s="763" t="b">
        <v>0</v>
      </c>
      <c r="T19" s="763" t="b">
        <v>0</v>
      </c>
      <c r="U19" s="763" t="b">
        <v>0</v>
      </c>
      <c r="V19" s="763" t="b">
        <v>0</v>
      </c>
      <c r="W19" s="763" t="b">
        <v>0</v>
      </c>
      <c r="X19" s="216">
        <v>10.0</v>
      </c>
      <c r="Y19" s="11">
        <f t="shared" si="1"/>
        <v>100</v>
      </c>
      <c r="Z19" s="11" t="s">
        <v>20</v>
      </c>
      <c r="AA19" s="93" t="s">
        <v>77</v>
      </c>
      <c r="AB19" s="123" t="s">
        <v>1594</v>
      </c>
      <c r="AC19" s="93" t="s">
        <v>111</v>
      </c>
      <c r="AD19" s="220"/>
      <c r="AE19" s="11" t="e">
        <v>#VALUE!</v>
      </c>
      <c r="AF19" s="78"/>
      <c r="AG19" s="74"/>
      <c r="AH19" s="75"/>
      <c r="AI19" s="12"/>
      <c r="AJ19" s="11"/>
      <c r="AK19" s="11">
        <v>1.0</v>
      </c>
    </row>
    <row r="20" ht="40.5" customHeight="1">
      <c r="A20" s="11">
        <v>19.0</v>
      </c>
      <c r="B20" s="11" t="s">
        <v>15</v>
      </c>
      <c r="C20" s="11" t="s">
        <v>100</v>
      </c>
      <c r="D20" s="93" t="s">
        <v>101</v>
      </c>
      <c r="E20" s="215" t="s">
        <v>64</v>
      </c>
      <c r="F20" s="216">
        <v>5.0</v>
      </c>
      <c r="G20" s="11" t="s">
        <v>2017</v>
      </c>
      <c r="H20" s="216">
        <v>10.0</v>
      </c>
      <c r="I20" s="763" t="b">
        <v>0</v>
      </c>
      <c r="J20" s="763" t="b">
        <v>0</v>
      </c>
      <c r="K20" s="763" t="b">
        <v>0</v>
      </c>
      <c r="L20" s="763" t="b">
        <v>0</v>
      </c>
      <c r="M20" s="763" t="b">
        <v>0</v>
      </c>
      <c r="N20" s="763" t="b">
        <v>0</v>
      </c>
      <c r="O20" s="763" t="b">
        <v>0</v>
      </c>
      <c r="P20" s="763" t="b">
        <v>0</v>
      </c>
      <c r="Q20" s="763" t="b">
        <v>0</v>
      </c>
      <c r="R20" s="763" t="b">
        <v>0</v>
      </c>
      <c r="S20" s="763" t="b">
        <v>0</v>
      </c>
      <c r="T20" s="763" t="b">
        <v>0</v>
      </c>
      <c r="U20" s="763" t="b">
        <v>0</v>
      </c>
      <c r="V20" s="763" t="b">
        <v>0</v>
      </c>
      <c r="W20" s="763" t="b">
        <v>0</v>
      </c>
      <c r="X20" s="216">
        <v>200.0</v>
      </c>
      <c r="Y20" s="11">
        <f t="shared" si="1"/>
        <v>2000</v>
      </c>
      <c r="Z20" s="11" t="s">
        <v>20</v>
      </c>
      <c r="AA20" s="93" t="s">
        <v>77</v>
      </c>
      <c r="AB20" s="123" t="s">
        <v>2012</v>
      </c>
      <c r="AC20" s="93" t="s">
        <v>1890</v>
      </c>
      <c r="AD20" s="217" t="s">
        <v>102</v>
      </c>
      <c r="AE20" s="11" t="str">
        <f>IMAGE("https://i5.walmartimages.com/asr/2f51619b-ee1e-4e7f-9717-927459ae38b6.1308a61cc28d473c3122e46595affb79.jpeg",1)</f>
        <v/>
      </c>
      <c r="AF20" s="78"/>
      <c r="AG20" s="74"/>
      <c r="AH20" s="75"/>
      <c r="AI20" s="12"/>
      <c r="AJ20" s="11"/>
      <c r="AK20" s="11">
        <v>1.0</v>
      </c>
    </row>
    <row r="21" ht="40.5" customHeight="1">
      <c r="A21" s="11">
        <v>20.0</v>
      </c>
      <c r="B21" s="11" t="s">
        <v>15</v>
      </c>
      <c r="C21" s="11" t="s">
        <v>104</v>
      </c>
      <c r="D21" s="93" t="s">
        <v>105</v>
      </c>
      <c r="E21" s="215" t="s">
        <v>64</v>
      </c>
      <c r="F21" s="216">
        <v>5.0</v>
      </c>
      <c r="G21" s="11" t="s">
        <v>2018</v>
      </c>
      <c r="H21" s="216">
        <v>5.0</v>
      </c>
      <c r="I21" s="763" t="b">
        <v>0</v>
      </c>
      <c r="J21" s="763" t="b">
        <v>0</v>
      </c>
      <c r="K21" s="763" t="b">
        <v>0</v>
      </c>
      <c r="L21" s="763" t="b">
        <v>0</v>
      </c>
      <c r="M21" s="763" t="b">
        <v>0</v>
      </c>
      <c r="N21" s="763" t="b">
        <v>0</v>
      </c>
      <c r="O21" s="763" t="b">
        <v>0</v>
      </c>
      <c r="P21" s="763" t="b">
        <v>0</v>
      </c>
      <c r="Q21" s="763" t="b">
        <v>0</v>
      </c>
      <c r="R21" s="763" t="b">
        <v>0</v>
      </c>
      <c r="S21" s="763" t="b">
        <v>0</v>
      </c>
      <c r="T21" s="763" t="b">
        <v>0</v>
      </c>
      <c r="U21" s="763" t="b">
        <v>0</v>
      </c>
      <c r="V21" s="763" t="b">
        <v>0</v>
      </c>
      <c r="W21" s="763" t="b">
        <v>0</v>
      </c>
      <c r="X21" s="216">
        <v>50.0</v>
      </c>
      <c r="Y21" s="11">
        <f t="shared" si="1"/>
        <v>250</v>
      </c>
      <c r="Z21" s="11" t="s">
        <v>20</v>
      </c>
      <c r="AA21" s="93" t="s">
        <v>21</v>
      </c>
      <c r="AB21" s="123" t="s">
        <v>1895</v>
      </c>
      <c r="AC21" s="93" t="s">
        <v>1890</v>
      </c>
      <c r="AD21" s="217" t="s">
        <v>106</v>
      </c>
      <c r="AE21" s="11" t="str">
        <f>IMAGE("https://c8.alamy.com/comp/R7TP32/paint-palette-with-various-acrylic-paints-and-a-brush-R7TP32.jpg",1)</f>
        <v/>
      </c>
      <c r="AF21" s="333"/>
      <c r="AG21" s="74"/>
      <c r="AH21" s="75"/>
      <c r="AI21" s="12"/>
      <c r="AJ21" s="11"/>
      <c r="AK21" s="11">
        <v>1.0</v>
      </c>
    </row>
    <row r="22" ht="40.5" customHeight="1">
      <c r="A22" s="11">
        <v>21.0</v>
      </c>
      <c r="B22" s="11" t="s">
        <v>15</v>
      </c>
      <c r="C22" s="11" t="s">
        <v>108</v>
      </c>
      <c r="D22" s="93" t="s">
        <v>1896</v>
      </c>
      <c r="E22" s="215" t="s">
        <v>64</v>
      </c>
      <c r="F22" s="216">
        <v>10.0</v>
      </c>
      <c r="G22" s="11" t="s">
        <v>2019</v>
      </c>
      <c r="H22" s="216">
        <v>1.0</v>
      </c>
      <c r="I22" s="763" t="b">
        <v>0</v>
      </c>
      <c r="J22" s="763" t="b">
        <v>0</v>
      </c>
      <c r="K22" s="763" t="b">
        <v>0</v>
      </c>
      <c r="L22" s="763" t="b">
        <v>0</v>
      </c>
      <c r="M22" s="763" t="b">
        <v>0</v>
      </c>
      <c r="N22" s="763" t="b">
        <v>0</v>
      </c>
      <c r="O22" s="763" t="b">
        <v>0</v>
      </c>
      <c r="P22" s="763" t="b">
        <v>0</v>
      </c>
      <c r="Q22" s="763" t="b">
        <v>0</v>
      </c>
      <c r="R22" s="763" t="b">
        <v>0</v>
      </c>
      <c r="S22" s="763" t="b">
        <v>0</v>
      </c>
      <c r="T22" s="763" t="b">
        <v>0</v>
      </c>
      <c r="U22" s="763" t="b">
        <v>0</v>
      </c>
      <c r="V22" s="763" t="b">
        <v>0</v>
      </c>
      <c r="W22" s="763" t="b">
        <v>0</v>
      </c>
      <c r="X22" s="218">
        <v>20.0</v>
      </c>
      <c r="Y22" s="11">
        <f t="shared" si="1"/>
        <v>20</v>
      </c>
      <c r="Z22" s="11" t="s">
        <v>20</v>
      </c>
      <c r="AA22" s="93" t="s">
        <v>77</v>
      </c>
      <c r="AB22" s="93" t="s">
        <v>1902</v>
      </c>
      <c r="AC22" s="93" t="s">
        <v>111</v>
      </c>
      <c r="AD22" s="217" t="s">
        <v>112</v>
      </c>
      <c r="AE22" s="11" t="str">
        <f>IMAGE("https://i5.walmartimages.com/asr/093150f9-deec-44c1-a07d-a6985f3f45c7.dad44d94862d81eed55b6d8aef2937c1.jpeg?odnHeight=612&amp;odnWidth=612&amp;odnBg=FFFFFF",1)</f>
        <v/>
      </c>
      <c r="AF22" s="78"/>
      <c r="AG22" s="74"/>
      <c r="AH22" s="75"/>
      <c r="AI22" s="5"/>
      <c r="AJ22" s="11"/>
      <c r="AK22" s="11">
        <v>1.0</v>
      </c>
    </row>
    <row r="23" ht="40.5" customHeight="1">
      <c r="A23" s="11">
        <v>22.0</v>
      </c>
      <c r="B23" s="11" t="s">
        <v>15</v>
      </c>
      <c r="C23" s="11" t="s">
        <v>114</v>
      </c>
      <c r="D23" s="93" t="s">
        <v>115</v>
      </c>
      <c r="E23" s="215" t="s">
        <v>64</v>
      </c>
      <c r="F23" s="216">
        <v>5.0</v>
      </c>
      <c r="G23" s="11" t="s">
        <v>2020</v>
      </c>
      <c r="H23" s="216">
        <v>10.0</v>
      </c>
      <c r="I23" s="763" t="b">
        <v>0</v>
      </c>
      <c r="J23" s="763" t="b">
        <v>0</v>
      </c>
      <c r="K23" s="763" t="b">
        <v>0</v>
      </c>
      <c r="L23" s="763" t="b">
        <v>0</v>
      </c>
      <c r="M23" s="763" t="b">
        <v>0</v>
      </c>
      <c r="N23" s="763" t="b">
        <v>0</v>
      </c>
      <c r="O23" s="763" t="b">
        <v>0</v>
      </c>
      <c r="P23" s="763" t="b">
        <v>0</v>
      </c>
      <c r="Q23" s="763" t="b">
        <v>0</v>
      </c>
      <c r="R23" s="763" t="b">
        <v>0</v>
      </c>
      <c r="S23" s="763" t="b">
        <v>0</v>
      </c>
      <c r="T23" s="763" t="b">
        <v>0</v>
      </c>
      <c r="U23" s="763" t="b">
        <v>0</v>
      </c>
      <c r="V23" s="763" t="b">
        <v>0</v>
      </c>
      <c r="W23" s="763" t="b">
        <v>0</v>
      </c>
      <c r="X23" s="216">
        <v>40.0</v>
      </c>
      <c r="Y23" s="11">
        <f t="shared" si="1"/>
        <v>400</v>
      </c>
      <c r="Z23" s="11" t="s">
        <v>20</v>
      </c>
      <c r="AA23" s="93" t="s">
        <v>77</v>
      </c>
      <c r="AB23" s="93" t="s">
        <v>1895</v>
      </c>
      <c r="AC23" s="93" t="s">
        <v>111</v>
      </c>
      <c r="AD23" s="11" t="s">
        <v>56</v>
      </c>
      <c r="AE23" s="11" t="str">
        <f>IMAGE("https://m.media-amazon.com/images/I/81XeaSXczEL._SL1500_.jpg",1)</f>
        <v/>
      </c>
      <c r="AF23" s="78"/>
      <c r="AG23" s="74"/>
      <c r="AH23" s="75"/>
      <c r="AI23" s="12"/>
      <c r="AJ23" s="11"/>
      <c r="AK23" s="11">
        <v>1.0</v>
      </c>
    </row>
    <row r="24" ht="40.5" customHeight="1">
      <c r="A24" s="11">
        <v>23.0</v>
      </c>
      <c r="B24" s="11" t="s">
        <v>15</v>
      </c>
      <c r="C24" s="11" t="s">
        <v>118</v>
      </c>
      <c r="D24" s="93" t="s">
        <v>1897</v>
      </c>
      <c r="E24" s="215" t="s">
        <v>64</v>
      </c>
      <c r="F24" s="216">
        <v>10.0</v>
      </c>
      <c r="G24" s="11" t="s">
        <v>2021</v>
      </c>
      <c r="H24" s="216">
        <v>10.0</v>
      </c>
      <c r="I24" s="763" t="b">
        <v>0</v>
      </c>
      <c r="J24" s="763" t="b">
        <v>0</v>
      </c>
      <c r="K24" s="763" t="b">
        <v>0</v>
      </c>
      <c r="L24" s="763" t="b">
        <v>0</v>
      </c>
      <c r="M24" s="763" t="b">
        <v>0</v>
      </c>
      <c r="N24" s="763" t="b">
        <v>0</v>
      </c>
      <c r="O24" s="763" t="b">
        <v>0</v>
      </c>
      <c r="P24" s="763" t="b">
        <v>0</v>
      </c>
      <c r="Q24" s="763" t="b">
        <v>0</v>
      </c>
      <c r="R24" s="763" t="b">
        <v>0</v>
      </c>
      <c r="S24" s="763" t="b">
        <v>0</v>
      </c>
      <c r="T24" s="763" t="b">
        <v>0</v>
      </c>
      <c r="U24" s="763" t="b">
        <v>0</v>
      </c>
      <c r="V24" s="763" t="b">
        <v>0</v>
      </c>
      <c r="W24" s="763" t="b">
        <v>0</v>
      </c>
      <c r="X24" s="216">
        <v>100.0</v>
      </c>
      <c r="Y24" s="11">
        <f t="shared" si="1"/>
        <v>1000</v>
      </c>
      <c r="Z24" s="11" t="s">
        <v>20</v>
      </c>
      <c r="AA24" s="93" t="s">
        <v>21</v>
      </c>
      <c r="AB24" s="123" t="s">
        <v>1594</v>
      </c>
      <c r="AC24" s="93" t="s">
        <v>1898</v>
      </c>
      <c r="AD24" s="217" t="s">
        <v>120</v>
      </c>
      <c r="AE24" s="11" t="str">
        <f>IMAGE("https://www.faithfulltools.com/images/xxlarge/FAIRULE150SS.jpg",1)</f>
        <v/>
      </c>
      <c r="AF24" s="333"/>
      <c r="AG24" s="74"/>
      <c r="AH24" s="75"/>
      <c r="AI24" s="12"/>
      <c r="AJ24" s="11"/>
      <c r="AK24" s="11">
        <v>1.0</v>
      </c>
    </row>
    <row r="25" ht="40.5" customHeight="1">
      <c r="A25" s="11">
        <v>24.0</v>
      </c>
      <c r="B25" s="11" t="s">
        <v>15</v>
      </c>
      <c r="C25" s="11" t="s">
        <v>122</v>
      </c>
      <c r="D25" s="93" t="s">
        <v>123</v>
      </c>
      <c r="E25" s="215" t="s">
        <v>64</v>
      </c>
      <c r="F25" s="216">
        <v>10.0</v>
      </c>
      <c r="G25" s="11" t="s">
        <v>2023</v>
      </c>
      <c r="H25" s="216">
        <v>10.0</v>
      </c>
      <c r="I25" s="763" t="b">
        <v>0</v>
      </c>
      <c r="J25" s="763" t="b">
        <v>0</v>
      </c>
      <c r="K25" s="763" t="b">
        <v>0</v>
      </c>
      <c r="L25" s="763" t="b">
        <v>0</v>
      </c>
      <c r="M25" s="763" t="b">
        <v>0</v>
      </c>
      <c r="N25" s="763" t="b">
        <v>0</v>
      </c>
      <c r="O25" s="763" t="b">
        <v>0</v>
      </c>
      <c r="P25" s="763" t="b">
        <v>0</v>
      </c>
      <c r="Q25" s="763" t="b">
        <v>0</v>
      </c>
      <c r="R25" s="763" t="b">
        <v>0</v>
      </c>
      <c r="S25" s="763" t="b">
        <v>0</v>
      </c>
      <c r="T25" s="763" t="b">
        <v>0</v>
      </c>
      <c r="U25" s="763" t="b">
        <v>0</v>
      </c>
      <c r="V25" s="763" t="b">
        <v>0</v>
      </c>
      <c r="W25" s="763" t="b">
        <v>0</v>
      </c>
      <c r="X25" s="216">
        <v>25.0</v>
      </c>
      <c r="Y25" s="11">
        <f t="shared" si="1"/>
        <v>250</v>
      </c>
      <c r="Z25" s="11" t="s">
        <v>20</v>
      </c>
      <c r="AA25" s="93" t="s">
        <v>77</v>
      </c>
      <c r="AB25" s="123" t="s">
        <v>2022</v>
      </c>
      <c r="AC25" s="93" t="s">
        <v>1899</v>
      </c>
      <c r="AD25" s="217" t="s">
        <v>124</v>
      </c>
      <c r="AE25" s="11" t="str">
        <f>IMAGE("https://images.meesho.com/images/products/60299132/dranx_512.jpg",1)</f>
        <v/>
      </c>
      <c r="AF25" s="78"/>
      <c r="AG25" s="79"/>
      <c r="AH25" s="80"/>
      <c r="AI25" s="12"/>
      <c r="AJ25" s="11"/>
      <c r="AK25" s="11">
        <v>1.0</v>
      </c>
    </row>
    <row r="26" ht="40.5" customHeight="1">
      <c r="A26" s="11">
        <v>25.0</v>
      </c>
      <c r="B26" s="11" t="s">
        <v>15</v>
      </c>
      <c r="C26" s="11" t="s">
        <v>126</v>
      </c>
      <c r="D26" s="93" t="s">
        <v>127</v>
      </c>
      <c r="E26" s="215" t="s">
        <v>64</v>
      </c>
      <c r="F26" s="216">
        <v>5.0</v>
      </c>
      <c r="G26" s="11" t="s">
        <v>1900</v>
      </c>
      <c r="H26" s="216">
        <v>5.0</v>
      </c>
      <c r="I26" s="763" t="b">
        <v>0</v>
      </c>
      <c r="J26" s="763" t="b">
        <v>0</v>
      </c>
      <c r="K26" s="763" t="b">
        <v>0</v>
      </c>
      <c r="L26" s="763" t="b">
        <v>0</v>
      </c>
      <c r="M26" s="763" t="b">
        <v>0</v>
      </c>
      <c r="N26" s="763" t="b">
        <v>0</v>
      </c>
      <c r="O26" s="763" t="b">
        <v>0</v>
      </c>
      <c r="P26" s="763" t="b">
        <v>0</v>
      </c>
      <c r="Q26" s="763" t="b">
        <v>0</v>
      </c>
      <c r="R26" s="763" t="b">
        <v>0</v>
      </c>
      <c r="S26" s="763" t="b">
        <v>0</v>
      </c>
      <c r="T26" s="763" t="b">
        <v>0</v>
      </c>
      <c r="U26" s="763" t="b">
        <v>0</v>
      </c>
      <c r="V26" s="763" t="b">
        <v>0</v>
      </c>
      <c r="W26" s="763" t="b">
        <v>0</v>
      </c>
      <c r="X26" s="216">
        <v>25.0</v>
      </c>
      <c r="Y26" s="11">
        <f t="shared" si="1"/>
        <v>125</v>
      </c>
      <c r="Z26" s="11" t="s">
        <v>20</v>
      </c>
      <c r="AA26" s="93" t="s">
        <v>65</v>
      </c>
      <c r="AB26" s="123"/>
      <c r="AC26" s="93" t="s">
        <v>111</v>
      </c>
      <c r="AD26" s="217" t="s">
        <v>128</v>
      </c>
      <c r="AE26" s="11" t="e">
        <v>#VALUE!</v>
      </c>
      <c r="AF26" s="78"/>
      <c r="AG26" s="74"/>
      <c r="AH26" s="75"/>
      <c r="AI26" s="12"/>
      <c r="AJ26" s="11"/>
      <c r="AK26" s="11">
        <v>3.0</v>
      </c>
    </row>
    <row r="27" ht="40.5" customHeight="1">
      <c r="A27" s="11">
        <v>26.0</v>
      </c>
      <c r="B27" s="11" t="s">
        <v>15</v>
      </c>
      <c r="C27" s="11" t="s">
        <v>130</v>
      </c>
      <c r="D27" s="93" t="s">
        <v>131</v>
      </c>
      <c r="E27" s="215" t="s">
        <v>64</v>
      </c>
      <c r="F27" s="216">
        <v>10.0</v>
      </c>
      <c r="G27" s="11" t="s">
        <v>2016</v>
      </c>
      <c r="H27" s="216">
        <v>10.0</v>
      </c>
      <c r="I27" s="763" t="b">
        <v>0</v>
      </c>
      <c r="J27" s="763" t="b">
        <v>0</v>
      </c>
      <c r="K27" s="763" t="b">
        <v>0</v>
      </c>
      <c r="L27" s="763" t="b">
        <v>0</v>
      </c>
      <c r="M27" s="763" t="b">
        <v>0</v>
      </c>
      <c r="N27" s="763" t="b">
        <v>0</v>
      </c>
      <c r="O27" s="763" t="b">
        <v>0</v>
      </c>
      <c r="P27" s="763" t="b">
        <v>0</v>
      </c>
      <c r="Q27" s="763" t="b">
        <v>0</v>
      </c>
      <c r="R27" s="763" t="b">
        <v>0</v>
      </c>
      <c r="S27" s="763" t="b">
        <v>0</v>
      </c>
      <c r="T27" s="763" t="b">
        <v>0</v>
      </c>
      <c r="U27" s="763" t="b">
        <v>0</v>
      </c>
      <c r="V27" s="763" t="b">
        <v>0</v>
      </c>
      <c r="W27" s="763" t="b">
        <v>0</v>
      </c>
      <c r="X27" s="216">
        <v>50.0</v>
      </c>
      <c r="Y27" s="11">
        <f t="shared" si="1"/>
        <v>500</v>
      </c>
      <c r="Z27" s="11" t="s">
        <v>20</v>
      </c>
      <c r="AA27" s="93"/>
      <c r="AB27" s="93" t="s">
        <v>1594</v>
      </c>
      <c r="AC27" s="93" t="s">
        <v>1898</v>
      </c>
      <c r="AD27" s="217" t="s">
        <v>132</v>
      </c>
      <c r="AE27" s="11" t="str">
        <f>IMAGE("https://5.imimg.com/data5/AO/GN/AU/SELLER-10873750/floppy-disk-1000x1000.jpg",1)</f>
        <v/>
      </c>
      <c r="AF27" s="78"/>
      <c r="AG27" s="74"/>
      <c r="AH27" s="75"/>
      <c r="AI27" s="12"/>
      <c r="AJ27" s="11"/>
      <c r="AK27" s="11">
        <v>1.0</v>
      </c>
    </row>
    <row r="28" ht="40.5" customHeight="1">
      <c r="A28" s="11">
        <v>27.0</v>
      </c>
      <c r="B28" s="11" t="s">
        <v>15</v>
      </c>
      <c r="C28" s="11" t="s">
        <v>134</v>
      </c>
      <c r="D28" s="93" t="s">
        <v>135</v>
      </c>
      <c r="E28" s="215" t="s">
        <v>64</v>
      </c>
      <c r="F28" s="216">
        <v>10.0</v>
      </c>
      <c r="G28" s="11" t="s">
        <v>2024</v>
      </c>
      <c r="H28" s="216">
        <v>10.0</v>
      </c>
      <c r="I28" s="763" t="b">
        <v>0</v>
      </c>
      <c r="J28" s="763" t="b">
        <v>0</v>
      </c>
      <c r="K28" s="763" t="b">
        <v>0</v>
      </c>
      <c r="L28" s="763" t="b">
        <v>0</v>
      </c>
      <c r="M28" s="763" t="b">
        <v>0</v>
      </c>
      <c r="N28" s="763" t="b">
        <v>0</v>
      </c>
      <c r="O28" s="763" t="b">
        <v>0</v>
      </c>
      <c r="P28" s="763" t="b">
        <v>0</v>
      </c>
      <c r="Q28" s="763" t="b">
        <v>0</v>
      </c>
      <c r="R28" s="763" t="b">
        <v>0</v>
      </c>
      <c r="S28" s="763" t="b">
        <v>0</v>
      </c>
      <c r="T28" s="763" t="b">
        <v>0</v>
      </c>
      <c r="U28" s="763" t="b">
        <v>0</v>
      </c>
      <c r="V28" s="763" t="b">
        <v>0</v>
      </c>
      <c r="W28" s="763" t="b">
        <v>0</v>
      </c>
      <c r="X28" s="216">
        <v>20.0</v>
      </c>
      <c r="Y28" s="11">
        <f t="shared" si="1"/>
        <v>200</v>
      </c>
      <c r="Z28" s="11" t="s">
        <v>20</v>
      </c>
      <c r="AA28" s="93" t="s">
        <v>77</v>
      </c>
      <c r="AB28" s="123" t="s">
        <v>1594</v>
      </c>
      <c r="AC28" s="93" t="s">
        <v>1890</v>
      </c>
      <c r="AD28" s="217" t="s">
        <v>136</v>
      </c>
      <c r="AE28" s="11" t="str">
        <f>IMAGE("https://m.media-amazon.com/images/I/717edTeWYZL._SL1500_.jpg",1)</f>
        <v/>
      </c>
      <c r="AF28" s="78"/>
      <c r="AG28" s="74"/>
      <c r="AH28" s="75"/>
      <c r="AI28" s="5"/>
      <c r="AJ28" s="11"/>
      <c r="AK28" s="11">
        <v>1.0</v>
      </c>
    </row>
    <row r="29" ht="40.5" customHeight="1">
      <c r="A29" s="11">
        <v>28.0</v>
      </c>
      <c r="B29" s="11" t="s">
        <v>137</v>
      </c>
      <c r="C29" s="11" t="s">
        <v>139</v>
      </c>
      <c r="D29" s="93" t="s">
        <v>140</v>
      </c>
      <c r="E29" s="215" t="s">
        <v>141</v>
      </c>
      <c r="F29" s="11">
        <v>1.0</v>
      </c>
      <c r="G29" s="11" t="s">
        <v>2025</v>
      </c>
      <c r="H29" s="11">
        <v>1.0</v>
      </c>
      <c r="I29" s="763" t="b">
        <v>0</v>
      </c>
      <c r="J29" s="763" t="b">
        <v>0</v>
      </c>
      <c r="K29" s="763" t="b">
        <v>0</v>
      </c>
      <c r="L29" s="763" t="b">
        <v>0</v>
      </c>
      <c r="M29" s="763" t="b">
        <v>0</v>
      </c>
      <c r="N29" s="763" t="b">
        <v>0</v>
      </c>
      <c r="O29" s="763" t="b">
        <v>0</v>
      </c>
      <c r="P29" s="763" t="b">
        <v>0</v>
      </c>
      <c r="Q29" s="763" t="b">
        <v>0</v>
      </c>
      <c r="R29" s="763" t="b">
        <v>0</v>
      </c>
      <c r="S29" s="763" t="b">
        <v>0</v>
      </c>
      <c r="T29" s="763" t="b">
        <v>0</v>
      </c>
      <c r="U29" s="763" t="b">
        <v>0</v>
      </c>
      <c r="V29" s="763" t="b">
        <v>0</v>
      </c>
      <c r="W29" s="763" t="b">
        <v>0</v>
      </c>
      <c r="X29" s="11">
        <v>2500.0</v>
      </c>
      <c r="Y29" s="11">
        <f t="shared" si="1"/>
        <v>2500</v>
      </c>
      <c r="Z29" s="11" t="s">
        <v>142</v>
      </c>
      <c r="AA29" s="93"/>
      <c r="AB29" s="93"/>
      <c r="AC29" s="93" t="s">
        <v>1901</v>
      </c>
      <c r="AD29" s="217" t="s">
        <v>143</v>
      </c>
      <c r="AE29" s="11" t="e">
        <v>#VALUE!</v>
      </c>
      <c r="AF29" s="73" t="s">
        <v>1684</v>
      </c>
      <c r="AG29" s="74">
        <v>60.0</v>
      </c>
      <c r="AH29" s="75"/>
      <c r="AI29" s="12"/>
      <c r="AJ29" s="11"/>
      <c r="AK29" s="11">
        <v>3.0</v>
      </c>
    </row>
    <row r="30" ht="40.5" customHeight="1">
      <c r="A30" s="11">
        <v>29.0</v>
      </c>
      <c r="B30" s="11" t="s">
        <v>137</v>
      </c>
      <c r="C30" s="11" t="s">
        <v>146</v>
      </c>
      <c r="D30" s="93" t="s">
        <v>147</v>
      </c>
      <c r="E30" s="215" t="s">
        <v>141</v>
      </c>
      <c r="F30" s="216">
        <v>1.0</v>
      </c>
      <c r="G30" s="11" t="s">
        <v>2026</v>
      </c>
      <c r="H30" s="216">
        <v>1.0</v>
      </c>
      <c r="I30" s="763" t="b">
        <v>0</v>
      </c>
      <c r="J30" s="763" t="b">
        <v>0</v>
      </c>
      <c r="K30" s="763" t="b">
        <v>0</v>
      </c>
      <c r="L30" s="763" t="b">
        <v>0</v>
      </c>
      <c r="M30" s="763" t="b">
        <v>0</v>
      </c>
      <c r="N30" s="763" t="b">
        <v>0</v>
      </c>
      <c r="O30" s="763" t="b">
        <v>0</v>
      </c>
      <c r="P30" s="763" t="b">
        <v>0</v>
      </c>
      <c r="Q30" s="763" t="b">
        <v>0</v>
      </c>
      <c r="R30" s="763" t="b">
        <v>0</v>
      </c>
      <c r="S30" s="763" t="b">
        <v>0</v>
      </c>
      <c r="T30" s="763" t="b">
        <v>0</v>
      </c>
      <c r="U30" s="763" t="b">
        <v>0</v>
      </c>
      <c r="V30" s="763" t="b">
        <v>0</v>
      </c>
      <c r="W30" s="763" t="b">
        <v>0</v>
      </c>
      <c r="X30" s="216">
        <v>1000.0</v>
      </c>
      <c r="Y30" s="11">
        <f t="shared" si="1"/>
        <v>1000</v>
      </c>
      <c r="Z30" s="11" t="s">
        <v>142</v>
      </c>
      <c r="AA30" s="93"/>
      <c r="AB30" s="93" t="s">
        <v>1902</v>
      </c>
      <c r="AC30" s="93" t="s">
        <v>1901</v>
      </c>
      <c r="AD30" s="217" t="s">
        <v>148</v>
      </c>
      <c r="AE30" s="11" t="str">
        <f>IMAGE("https://i0.wp.com/www.deltastore.in/wp-content/uploads/2021/05/Untitled-design-95.png?fit=1080%2C1080&amp;ssl=1",1)</f>
        <v/>
      </c>
      <c r="AF30" s="78"/>
      <c r="AG30" s="74"/>
      <c r="AH30" s="75"/>
      <c r="AI30" s="12"/>
      <c r="AJ30" s="11"/>
      <c r="AK30" s="11">
        <v>1.0</v>
      </c>
    </row>
    <row r="31" ht="40.5" customHeight="1">
      <c r="A31" s="11">
        <v>30.0</v>
      </c>
      <c r="B31" s="11" t="s">
        <v>137</v>
      </c>
      <c r="C31" s="11" t="s">
        <v>150</v>
      </c>
      <c r="D31" s="93" t="s">
        <v>151</v>
      </c>
      <c r="E31" s="215" t="s">
        <v>141</v>
      </c>
      <c r="F31" s="216">
        <v>2.0</v>
      </c>
      <c r="G31" s="11" t="s">
        <v>2027</v>
      </c>
      <c r="H31" s="216">
        <v>2.0</v>
      </c>
      <c r="I31" s="763" t="b">
        <v>0</v>
      </c>
      <c r="J31" s="763" t="b">
        <v>0</v>
      </c>
      <c r="K31" s="763" t="b">
        <v>0</v>
      </c>
      <c r="L31" s="763" t="b">
        <v>0</v>
      </c>
      <c r="M31" s="763" t="b">
        <v>0</v>
      </c>
      <c r="N31" s="763" t="b">
        <v>0</v>
      </c>
      <c r="O31" s="763" t="b">
        <v>0</v>
      </c>
      <c r="P31" s="763" t="b">
        <v>0</v>
      </c>
      <c r="Q31" s="763" t="b">
        <v>0</v>
      </c>
      <c r="R31" s="763" t="b">
        <v>0</v>
      </c>
      <c r="S31" s="763" t="b">
        <v>0</v>
      </c>
      <c r="T31" s="763" t="b">
        <v>0</v>
      </c>
      <c r="U31" s="763" t="b">
        <v>0</v>
      </c>
      <c r="V31" s="763" t="b">
        <v>0</v>
      </c>
      <c r="W31" s="763" t="b">
        <v>0</v>
      </c>
      <c r="X31" s="216">
        <v>250.0</v>
      </c>
      <c r="Y31" s="11">
        <f t="shared" si="1"/>
        <v>500</v>
      </c>
      <c r="Z31" s="11" t="s">
        <v>1157</v>
      </c>
      <c r="AA31" s="93"/>
      <c r="AB31" s="93"/>
      <c r="AC31" s="93" t="s">
        <v>1903</v>
      </c>
      <c r="AD31" s="217" t="s">
        <v>152</v>
      </c>
      <c r="AE31" s="11" t="str">
        <f>IMAGE("https://m.media-amazon.com/images/I/51KO2QtXE8L._SL1000_.jpg", 1)</f>
        <v/>
      </c>
      <c r="AF31" s="73" t="s">
        <v>1684</v>
      </c>
      <c r="AG31" s="74">
        <v>120.0</v>
      </c>
      <c r="AH31" s="75"/>
      <c r="AI31" s="12"/>
      <c r="AJ31" s="11"/>
      <c r="AK31" s="11">
        <v>3.0</v>
      </c>
    </row>
    <row r="32" ht="40.5" customHeight="1">
      <c r="A32" s="11">
        <v>31.0</v>
      </c>
      <c r="B32" s="11" t="s">
        <v>137</v>
      </c>
      <c r="C32" s="11" t="s">
        <v>154</v>
      </c>
      <c r="D32" s="93" t="s">
        <v>155</v>
      </c>
      <c r="E32" s="215" t="s">
        <v>141</v>
      </c>
      <c r="F32" s="216">
        <v>1.0</v>
      </c>
      <c r="G32" s="11" t="s">
        <v>2028</v>
      </c>
      <c r="H32" s="216">
        <v>1.0</v>
      </c>
      <c r="I32" s="763" t="b">
        <v>0</v>
      </c>
      <c r="J32" s="763" t="b">
        <v>0</v>
      </c>
      <c r="K32" s="763" t="b">
        <v>0</v>
      </c>
      <c r="L32" s="763" t="b">
        <v>0</v>
      </c>
      <c r="M32" s="763" t="b">
        <v>0</v>
      </c>
      <c r="N32" s="763" t="b">
        <v>0</v>
      </c>
      <c r="O32" s="763" t="b">
        <v>0</v>
      </c>
      <c r="P32" s="763" t="b">
        <v>0</v>
      </c>
      <c r="Q32" s="763" t="b">
        <v>0</v>
      </c>
      <c r="R32" s="763" t="b">
        <v>0</v>
      </c>
      <c r="S32" s="763" t="b">
        <v>0</v>
      </c>
      <c r="T32" s="763" t="b">
        <v>0</v>
      </c>
      <c r="U32" s="763" t="b">
        <v>0</v>
      </c>
      <c r="V32" s="763" t="b">
        <v>0</v>
      </c>
      <c r="W32" s="763" t="b">
        <v>0</v>
      </c>
      <c r="X32" s="216">
        <v>2000.0</v>
      </c>
      <c r="Y32" s="11">
        <f t="shared" si="1"/>
        <v>2000</v>
      </c>
      <c r="Z32" s="11" t="s">
        <v>142</v>
      </c>
      <c r="AA32" s="93"/>
      <c r="AB32" s="93"/>
      <c r="AC32" s="93" t="s">
        <v>1901</v>
      </c>
      <c r="AD32" s="217" t="s">
        <v>156</v>
      </c>
      <c r="AE32" s="11" t="str">
        <f>IMAGE("https://m.media-amazon.com/images/I/61Zlcg+2mNL.jpg")</f>
        <v/>
      </c>
      <c r="AF32" s="637" t="s">
        <v>1684</v>
      </c>
      <c r="AG32" s="74">
        <v>55.0</v>
      </c>
      <c r="AH32" s="75"/>
      <c r="AI32" s="12"/>
      <c r="AJ32" s="11"/>
      <c r="AK32" s="11">
        <v>3.0</v>
      </c>
    </row>
    <row r="33" ht="40.5" customHeight="1">
      <c r="A33" s="11">
        <v>32.0</v>
      </c>
      <c r="B33" s="11" t="s">
        <v>137</v>
      </c>
      <c r="C33" s="11" t="s">
        <v>158</v>
      </c>
      <c r="D33" s="93" t="s">
        <v>159</v>
      </c>
      <c r="E33" s="215" t="s">
        <v>141</v>
      </c>
      <c r="F33" s="216">
        <v>1.0</v>
      </c>
      <c r="G33" s="11" t="s">
        <v>2029</v>
      </c>
      <c r="H33" s="216">
        <v>1.0</v>
      </c>
      <c r="I33" s="763" t="b">
        <v>0</v>
      </c>
      <c r="J33" s="763" t="b">
        <v>0</v>
      </c>
      <c r="K33" s="763" t="b">
        <v>0</v>
      </c>
      <c r="L33" s="763" t="b">
        <v>0</v>
      </c>
      <c r="M33" s="763" t="b">
        <v>0</v>
      </c>
      <c r="N33" s="763" t="b">
        <v>0</v>
      </c>
      <c r="O33" s="763" t="b">
        <v>0</v>
      </c>
      <c r="P33" s="763" t="b">
        <v>0</v>
      </c>
      <c r="Q33" s="763" t="b">
        <v>0</v>
      </c>
      <c r="R33" s="763" t="b">
        <v>0</v>
      </c>
      <c r="S33" s="763" t="b">
        <v>0</v>
      </c>
      <c r="T33" s="763" t="b">
        <v>0</v>
      </c>
      <c r="U33" s="763" t="b">
        <v>0</v>
      </c>
      <c r="V33" s="763" t="b">
        <v>0</v>
      </c>
      <c r="W33" s="763" t="b">
        <v>0</v>
      </c>
      <c r="X33" s="216">
        <v>35000.0</v>
      </c>
      <c r="Y33" s="11">
        <f t="shared" si="1"/>
        <v>35000</v>
      </c>
      <c r="Z33" s="11" t="s">
        <v>142</v>
      </c>
      <c r="AA33" s="93"/>
      <c r="AB33" s="93"/>
      <c r="AC33" s="93" t="s">
        <v>1901</v>
      </c>
      <c r="AD33" s="217" t="s">
        <v>160</v>
      </c>
      <c r="AE33" s="11" t="str">
        <f>IMAGE("https://c1.neweggimages.com/Productimage/24-001-864-04.jpg",1)</f>
        <v/>
      </c>
      <c r="AF33" s="73" t="s">
        <v>1685</v>
      </c>
      <c r="AG33" s="74"/>
      <c r="AH33" s="75"/>
      <c r="AI33" s="12"/>
      <c r="AJ33" s="11"/>
      <c r="AK33" s="11">
        <v>3.0</v>
      </c>
    </row>
    <row r="34" ht="40.5" customHeight="1">
      <c r="A34" s="11">
        <v>33.0</v>
      </c>
      <c r="B34" s="11" t="s">
        <v>137</v>
      </c>
      <c r="C34" s="11" t="s">
        <v>162</v>
      </c>
      <c r="D34" s="93" t="s">
        <v>163</v>
      </c>
      <c r="E34" s="215" t="s">
        <v>141</v>
      </c>
      <c r="F34" s="216">
        <v>1.0</v>
      </c>
      <c r="G34" s="11" t="s">
        <v>2030</v>
      </c>
      <c r="H34" s="216">
        <v>1.0</v>
      </c>
      <c r="I34" s="763" t="b">
        <v>0</v>
      </c>
      <c r="J34" s="763" t="b">
        <v>0</v>
      </c>
      <c r="K34" s="763" t="b">
        <v>0</v>
      </c>
      <c r="L34" s="763" t="b">
        <v>0</v>
      </c>
      <c r="M34" s="763" t="b">
        <v>0</v>
      </c>
      <c r="N34" s="763" t="b">
        <v>0</v>
      </c>
      <c r="O34" s="763" t="b">
        <v>0</v>
      </c>
      <c r="P34" s="763" t="b">
        <v>0</v>
      </c>
      <c r="Q34" s="763" t="b">
        <v>0</v>
      </c>
      <c r="R34" s="763" t="b">
        <v>0</v>
      </c>
      <c r="S34" s="763" t="b">
        <v>0</v>
      </c>
      <c r="T34" s="763" t="b">
        <v>0</v>
      </c>
      <c r="U34" s="763" t="b">
        <v>0</v>
      </c>
      <c r="V34" s="763" t="b">
        <v>0</v>
      </c>
      <c r="W34" s="763" t="b">
        <v>0</v>
      </c>
      <c r="X34" s="216">
        <v>1000.0</v>
      </c>
      <c r="Y34" s="11">
        <f t="shared" si="1"/>
        <v>1000</v>
      </c>
      <c r="Z34" s="11" t="s">
        <v>142</v>
      </c>
      <c r="AA34" s="93"/>
      <c r="AB34" s="93"/>
      <c r="AC34" s="93" t="s">
        <v>1901</v>
      </c>
      <c r="AD34" s="217" t="s">
        <v>164</v>
      </c>
      <c r="AE34" s="11" t="str">
        <f>IMAGE("https://m.media-amazon.com/images/I/6100FnINmsL._SL1468_.jpg",1)</f>
        <v/>
      </c>
      <c r="AF34" s="78" t="s">
        <v>1686</v>
      </c>
      <c r="AG34" s="74">
        <v>55.0</v>
      </c>
      <c r="AH34" s="75"/>
      <c r="AI34" s="12"/>
      <c r="AJ34" s="11"/>
      <c r="AK34" s="11">
        <v>3.0</v>
      </c>
    </row>
    <row r="35" ht="40.5" customHeight="1">
      <c r="A35" s="11">
        <v>34.0</v>
      </c>
      <c r="B35" s="11" t="s">
        <v>137</v>
      </c>
      <c r="C35" s="11" t="s">
        <v>166</v>
      </c>
      <c r="D35" s="93" t="s">
        <v>167</v>
      </c>
      <c r="E35" s="215" t="s">
        <v>141</v>
      </c>
      <c r="F35" s="216">
        <v>1.0</v>
      </c>
      <c r="G35" s="11" t="s">
        <v>2031</v>
      </c>
      <c r="H35" s="216">
        <v>1.0</v>
      </c>
      <c r="I35" s="763" t="b">
        <v>0</v>
      </c>
      <c r="J35" s="763" t="b">
        <v>0</v>
      </c>
      <c r="K35" s="763" t="b">
        <v>0</v>
      </c>
      <c r="L35" s="763" t="b">
        <v>0</v>
      </c>
      <c r="M35" s="763" t="b">
        <v>0</v>
      </c>
      <c r="N35" s="763" t="b">
        <v>0</v>
      </c>
      <c r="O35" s="763" t="b">
        <v>0</v>
      </c>
      <c r="P35" s="763" t="b">
        <v>0</v>
      </c>
      <c r="Q35" s="763" t="b">
        <v>0</v>
      </c>
      <c r="R35" s="763" t="b">
        <v>0</v>
      </c>
      <c r="S35" s="763" t="b">
        <v>0</v>
      </c>
      <c r="T35" s="763" t="b">
        <v>0</v>
      </c>
      <c r="U35" s="763" t="b">
        <v>0</v>
      </c>
      <c r="V35" s="763" t="b">
        <v>0</v>
      </c>
      <c r="W35" s="763" t="b">
        <v>0</v>
      </c>
      <c r="X35" s="216">
        <v>1500.0</v>
      </c>
      <c r="Y35" s="11">
        <f t="shared" si="1"/>
        <v>1500</v>
      </c>
      <c r="Z35" s="11" t="s">
        <v>142</v>
      </c>
      <c r="AA35" s="93"/>
      <c r="AB35" s="93"/>
      <c r="AC35" s="93" t="s">
        <v>1901</v>
      </c>
      <c r="AD35" s="217" t="s">
        <v>168</v>
      </c>
      <c r="AE35" s="11" t="str">
        <f>IMAGE("https://encrypted-tbn1.gstatic.com/shopping?q=tbn:ANd9GcSwk1vUmWwFhmXgluT27_kpt_1XbFeMGM9voPktN2V8FycBha0_9qycLyoE5G3LsPm9IAaz9ZK9JsFmIAo5gwJtywrUheHD9Zzv6NIaMNLbw1go2XSC6Z0l&amp;usqp=CAE",1)</f>
        <v/>
      </c>
      <c r="AF35" s="73" t="s">
        <v>1684</v>
      </c>
      <c r="AG35" s="74">
        <v>60.0</v>
      </c>
      <c r="AH35" s="75"/>
      <c r="AI35" s="12"/>
      <c r="AJ35" s="11"/>
      <c r="AK35" s="11">
        <v>3.0</v>
      </c>
    </row>
    <row r="36" ht="40.5" customHeight="1">
      <c r="A36" s="11">
        <v>35.0</v>
      </c>
      <c r="B36" s="11" t="s">
        <v>137</v>
      </c>
      <c r="C36" s="11" t="s">
        <v>170</v>
      </c>
      <c r="D36" s="93" t="s">
        <v>171</v>
      </c>
      <c r="E36" s="215" t="s">
        <v>141</v>
      </c>
      <c r="F36" s="216">
        <v>1.0</v>
      </c>
      <c r="G36" s="11" t="s">
        <v>2032</v>
      </c>
      <c r="H36" s="216">
        <v>1.0</v>
      </c>
      <c r="I36" s="763" t="b">
        <v>0</v>
      </c>
      <c r="J36" s="763" t="b">
        <v>0</v>
      </c>
      <c r="K36" s="763" t="b">
        <v>0</v>
      </c>
      <c r="L36" s="763" t="b">
        <v>0</v>
      </c>
      <c r="M36" s="763" t="b">
        <v>0</v>
      </c>
      <c r="N36" s="763" t="b">
        <v>0</v>
      </c>
      <c r="O36" s="763" t="b">
        <v>0</v>
      </c>
      <c r="P36" s="763" t="b">
        <v>0</v>
      </c>
      <c r="Q36" s="763" t="b">
        <v>0</v>
      </c>
      <c r="R36" s="763" t="b">
        <v>0</v>
      </c>
      <c r="S36" s="763" t="b">
        <v>0</v>
      </c>
      <c r="T36" s="763" t="b">
        <v>0</v>
      </c>
      <c r="U36" s="763" t="b">
        <v>0</v>
      </c>
      <c r="V36" s="763" t="b">
        <v>0</v>
      </c>
      <c r="W36" s="763" t="b">
        <v>0</v>
      </c>
      <c r="X36" s="216">
        <v>35000.0</v>
      </c>
      <c r="Y36" s="11">
        <f t="shared" si="1"/>
        <v>35000</v>
      </c>
      <c r="Z36" s="11" t="s">
        <v>142</v>
      </c>
      <c r="AA36" s="93"/>
      <c r="AB36" s="123" t="s">
        <v>2008</v>
      </c>
      <c r="AC36" s="93" t="s">
        <v>1901</v>
      </c>
      <c r="AD36" s="217" t="s">
        <v>172</v>
      </c>
      <c r="AE36" s="11" t="str">
        <f>IMAGE("https://www.designinfo.in/wp-content/uploads/nc/p/5/1/4/9/0/51490-485x485.jpg",1)</f>
        <v/>
      </c>
      <c r="AF36" s="73" t="s">
        <v>1684</v>
      </c>
      <c r="AG36" s="74">
        <v>55.0</v>
      </c>
      <c r="AH36" s="75"/>
      <c r="AI36" s="12"/>
      <c r="AJ36" s="11"/>
      <c r="AK36" s="11">
        <v>1.0</v>
      </c>
    </row>
    <row r="37" ht="40.5" customHeight="1">
      <c r="A37" s="11">
        <v>36.0</v>
      </c>
      <c r="B37" s="11" t="s">
        <v>173</v>
      </c>
      <c r="C37" s="11" t="s">
        <v>175</v>
      </c>
      <c r="D37" s="93" t="s">
        <v>176</v>
      </c>
      <c r="E37" s="215" t="s">
        <v>177</v>
      </c>
      <c r="F37" s="216">
        <v>5.0</v>
      </c>
      <c r="G37" s="11" t="s">
        <v>2033</v>
      </c>
      <c r="H37" s="216">
        <v>5.0</v>
      </c>
      <c r="I37" s="763" t="b">
        <v>0</v>
      </c>
      <c r="J37" s="763" t="b">
        <v>0</v>
      </c>
      <c r="K37" s="763" t="b">
        <v>0</v>
      </c>
      <c r="L37" s="763" t="b">
        <v>0</v>
      </c>
      <c r="M37" s="763" t="b">
        <v>0</v>
      </c>
      <c r="N37" s="763" t="b">
        <v>0</v>
      </c>
      <c r="O37" s="763" t="b">
        <v>0</v>
      </c>
      <c r="P37" s="763" t="b">
        <v>0</v>
      </c>
      <c r="Q37" s="763" t="b">
        <v>0</v>
      </c>
      <c r="R37" s="763" t="b">
        <v>0</v>
      </c>
      <c r="S37" s="763" t="b">
        <v>0</v>
      </c>
      <c r="T37" s="763" t="b">
        <v>0</v>
      </c>
      <c r="U37" s="763" t="b">
        <v>0</v>
      </c>
      <c r="V37" s="763" t="b">
        <v>0</v>
      </c>
      <c r="W37" s="763" t="b">
        <v>0</v>
      </c>
      <c r="X37" s="216">
        <v>250.0</v>
      </c>
      <c r="Y37" s="11">
        <f t="shared" si="1"/>
        <v>1250</v>
      </c>
      <c r="Z37" s="11" t="s">
        <v>178</v>
      </c>
      <c r="AA37" s="93"/>
      <c r="AB37" s="93" t="s">
        <v>1895</v>
      </c>
      <c r="AC37" s="93" t="s">
        <v>1905</v>
      </c>
      <c r="AD37" s="217" t="s">
        <v>180</v>
      </c>
      <c r="AE37" s="11" t="str">
        <f>IMAGE("https://robu.in/wp-content/uploads/2021/05/EU-Plug-Universal-Battery-Charger-For-18650-16340-14500-Li-ion-Rechargeable-Battery-Charger-3.jpg",1)</f>
        <v/>
      </c>
      <c r="AF37" s="78" t="s">
        <v>1688</v>
      </c>
      <c r="AG37" s="74"/>
      <c r="AH37" s="75"/>
      <c r="AI37" s="12"/>
      <c r="AJ37" s="11"/>
      <c r="AK37" s="11">
        <v>1.0</v>
      </c>
    </row>
    <row r="38" ht="40.5" customHeight="1">
      <c r="A38" s="11">
        <v>37.0</v>
      </c>
      <c r="B38" s="11" t="s">
        <v>173</v>
      </c>
      <c r="C38" s="11" t="s">
        <v>182</v>
      </c>
      <c r="D38" s="93" t="s">
        <v>1906</v>
      </c>
      <c r="E38" s="215" t="s">
        <v>177</v>
      </c>
      <c r="F38" s="216">
        <v>5.0</v>
      </c>
      <c r="G38" s="11" t="s">
        <v>2034</v>
      </c>
      <c r="H38" s="216">
        <v>5.0</v>
      </c>
      <c r="I38" s="763" t="b">
        <v>0</v>
      </c>
      <c r="J38" s="763" t="b">
        <v>0</v>
      </c>
      <c r="K38" s="763" t="b">
        <v>0</v>
      </c>
      <c r="L38" s="763" t="b">
        <v>0</v>
      </c>
      <c r="M38" s="763" t="b">
        <v>0</v>
      </c>
      <c r="N38" s="763" t="b">
        <v>0</v>
      </c>
      <c r="O38" s="763" t="b">
        <v>0</v>
      </c>
      <c r="P38" s="763" t="b">
        <v>0</v>
      </c>
      <c r="Q38" s="763" t="b">
        <v>0</v>
      </c>
      <c r="R38" s="763" t="b">
        <v>0</v>
      </c>
      <c r="S38" s="763" t="b">
        <v>0</v>
      </c>
      <c r="T38" s="763" t="b">
        <v>0</v>
      </c>
      <c r="U38" s="763" t="b">
        <v>0</v>
      </c>
      <c r="V38" s="763" t="b">
        <v>0</v>
      </c>
      <c r="W38" s="763" t="b">
        <v>0</v>
      </c>
      <c r="X38" s="216">
        <v>100.0</v>
      </c>
      <c r="Y38" s="11">
        <f t="shared" si="1"/>
        <v>500</v>
      </c>
      <c r="Z38" s="11" t="s">
        <v>178</v>
      </c>
      <c r="AA38" s="93"/>
      <c r="AB38" s="93" t="s">
        <v>1594</v>
      </c>
      <c r="AC38" s="93" t="s">
        <v>1907</v>
      </c>
      <c r="AD38" s="223" t="s">
        <v>185</v>
      </c>
      <c r="AE38" s="11" t="str">
        <f>IMAGE("https://rukminim2.flixcart.com/image/832/832/krs40i80/worldwide-adaptor/f/7/g/pack-of-1-power-adapter-12v-2-amp-dual-pin-for-charger-with-original-imag5hmbvgzazbzz.jpeg?q=70",1)</f>
        <v/>
      </c>
      <c r="AF38" s="78" t="s">
        <v>1688</v>
      </c>
      <c r="AG38" s="74"/>
      <c r="AH38" s="75"/>
      <c r="AI38" s="12"/>
      <c r="AJ38" s="11"/>
      <c r="AK38" s="11">
        <v>1.0</v>
      </c>
    </row>
    <row r="39" ht="40.5" customHeight="1">
      <c r="A39" s="11">
        <v>38.0</v>
      </c>
      <c r="B39" s="11" t="s">
        <v>173</v>
      </c>
      <c r="C39" s="11" t="s">
        <v>187</v>
      </c>
      <c r="D39" s="93" t="s">
        <v>1908</v>
      </c>
      <c r="E39" s="215" t="s">
        <v>177</v>
      </c>
      <c r="F39" s="216">
        <v>5.0</v>
      </c>
      <c r="G39" s="11" t="s">
        <v>2035</v>
      </c>
      <c r="H39" s="216">
        <v>5.0</v>
      </c>
      <c r="I39" s="763" t="b">
        <v>0</v>
      </c>
      <c r="J39" s="763" t="b">
        <v>0</v>
      </c>
      <c r="K39" s="763" t="b">
        <v>0</v>
      </c>
      <c r="L39" s="763" t="b">
        <v>0</v>
      </c>
      <c r="M39" s="763" t="b">
        <v>0</v>
      </c>
      <c r="N39" s="763" t="b">
        <v>0</v>
      </c>
      <c r="O39" s="763" t="b">
        <v>0</v>
      </c>
      <c r="P39" s="763" t="b">
        <v>0</v>
      </c>
      <c r="Q39" s="763" t="b">
        <v>0</v>
      </c>
      <c r="R39" s="763" t="b">
        <v>0</v>
      </c>
      <c r="S39" s="763" t="b">
        <v>0</v>
      </c>
      <c r="T39" s="763" t="b">
        <v>0</v>
      </c>
      <c r="U39" s="763" t="b">
        <v>0</v>
      </c>
      <c r="V39" s="763" t="b">
        <v>0</v>
      </c>
      <c r="W39" s="763" t="b">
        <v>0</v>
      </c>
      <c r="X39" s="216">
        <v>300.0</v>
      </c>
      <c r="Y39" s="11">
        <f t="shared" si="1"/>
        <v>1500</v>
      </c>
      <c r="Z39" s="11" t="s">
        <v>178</v>
      </c>
      <c r="AA39" s="93"/>
      <c r="AB39" s="93" t="s">
        <v>1594</v>
      </c>
      <c r="AC39" s="93" t="s">
        <v>1909</v>
      </c>
      <c r="AD39" s="217" t="s">
        <v>189</v>
      </c>
      <c r="AE39" s="11" t="str">
        <f>IMAGE("https://m.media-amazon.com/images/I/6161NXWtz-L._SL1500_.jpg",1)</f>
        <v/>
      </c>
      <c r="AF39" s="78" t="s">
        <v>1688</v>
      </c>
      <c r="AG39" s="74"/>
      <c r="AH39" s="75"/>
      <c r="AI39" s="12"/>
      <c r="AJ39" s="11"/>
      <c r="AK39" s="11">
        <v>1.0</v>
      </c>
    </row>
    <row r="40" ht="40.5" customHeight="1">
      <c r="A40" s="11">
        <v>39.0</v>
      </c>
      <c r="B40" s="11" t="s">
        <v>173</v>
      </c>
      <c r="C40" s="11" t="s">
        <v>191</v>
      </c>
      <c r="D40" s="93" t="s">
        <v>1910</v>
      </c>
      <c r="E40" s="215" t="s">
        <v>177</v>
      </c>
      <c r="F40" s="216">
        <v>20.0</v>
      </c>
      <c r="G40" s="221" t="s">
        <v>2036</v>
      </c>
      <c r="H40" s="216">
        <v>20.0</v>
      </c>
      <c r="I40" s="763" t="b">
        <v>0</v>
      </c>
      <c r="J40" s="763" t="b">
        <v>0</v>
      </c>
      <c r="K40" s="763" t="b">
        <v>0</v>
      </c>
      <c r="L40" s="763" t="b">
        <v>0</v>
      </c>
      <c r="M40" s="763" t="b">
        <v>0</v>
      </c>
      <c r="N40" s="763" t="b">
        <v>0</v>
      </c>
      <c r="O40" s="763" t="b">
        <v>0</v>
      </c>
      <c r="P40" s="763" t="b">
        <v>0</v>
      </c>
      <c r="Q40" s="763" t="b">
        <v>0</v>
      </c>
      <c r="R40" s="763" t="b">
        <v>0</v>
      </c>
      <c r="S40" s="763" t="b">
        <v>0</v>
      </c>
      <c r="T40" s="763" t="b">
        <v>0</v>
      </c>
      <c r="U40" s="763" t="b">
        <v>0</v>
      </c>
      <c r="V40" s="763" t="b">
        <v>0</v>
      </c>
      <c r="W40" s="763" t="b">
        <v>0</v>
      </c>
      <c r="X40" s="216">
        <v>6.0</v>
      </c>
      <c r="Y40" s="11">
        <f t="shared" si="1"/>
        <v>120</v>
      </c>
      <c r="Z40" s="11" t="s">
        <v>178</v>
      </c>
      <c r="AA40" s="93"/>
      <c r="AB40" s="93" t="s">
        <v>1895</v>
      </c>
      <c r="AC40" s="93" t="s">
        <v>1909</v>
      </c>
      <c r="AD40" s="217" t="s">
        <v>195</v>
      </c>
      <c r="AE40" s="11" t="str">
        <f>IMAGE("https://i0.wp.com/www.rytronics.in/wp-content/uploads/2021/09/9v-batter-connector-snap-connector02.jpg?fit=1000%2C1000&amp;ssl=1",1)</f>
        <v/>
      </c>
      <c r="AF40" s="78" t="s">
        <v>1688</v>
      </c>
      <c r="AG40" s="74"/>
      <c r="AH40" s="75"/>
      <c r="AI40" s="12"/>
      <c r="AJ40" s="11"/>
      <c r="AK40" s="11">
        <v>1.0</v>
      </c>
    </row>
    <row r="41" ht="40.5" customHeight="1">
      <c r="A41" s="11">
        <v>40.0</v>
      </c>
      <c r="B41" s="11" t="s">
        <v>173</v>
      </c>
      <c r="C41" s="11" t="s">
        <v>197</v>
      </c>
      <c r="D41" s="93" t="s">
        <v>1911</v>
      </c>
      <c r="E41" s="215" t="s">
        <v>177</v>
      </c>
      <c r="F41" s="216">
        <v>15.0</v>
      </c>
      <c r="G41" s="221" t="s">
        <v>2036</v>
      </c>
      <c r="H41" s="216">
        <v>15.0</v>
      </c>
      <c r="I41" s="763" t="b">
        <v>0</v>
      </c>
      <c r="J41" s="763" t="b">
        <v>0</v>
      </c>
      <c r="K41" s="763" t="b">
        <v>0</v>
      </c>
      <c r="L41" s="763" t="b">
        <v>0</v>
      </c>
      <c r="M41" s="763" t="b">
        <v>0</v>
      </c>
      <c r="N41" s="763" t="b">
        <v>0</v>
      </c>
      <c r="O41" s="763" t="b">
        <v>0</v>
      </c>
      <c r="P41" s="763" t="b">
        <v>0</v>
      </c>
      <c r="Q41" s="763" t="b">
        <v>0</v>
      </c>
      <c r="R41" s="763" t="b">
        <v>0</v>
      </c>
      <c r="S41" s="763" t="b">
        <v>0</v>
      </c>
      <c r="T41" s="763" t="b">
        <v>0</v>
      </c>
      <c r="U41" s="763" t="b">
        <v>0</v>
      </c>
      <c r="V41" s="763" t="b">
        <v>0</v>
      </c>
      <c r="W41" s="763" t="b">
        <v>0</v>
      </c>
      <c r="X41" s="216">
        <v>20.0</v>
      </c>
      <c r="Y41" s="11">
        <f t="shared" si="1"/>
        <v>300</v>
      </c>
      <c r="Z41" s="11" t="s">
        <v>178</v>
      </c>
      <c r="AA41" s="93"/>
      <c r="AB41" s="93" t="s">
        <v>1895</v>
      </c>
      <c r="AC41" s="93" t="s">
        <v>1909</v>
      </c>
      <c r="AD41" s="217" t="s">
        <v>199</v>
      </c>
      <c r="AE41" s="11" t="str">
        <f>IMAGE("https://m.media-amazon.com/images/W/MEDIAX_792452-T2/images/I/61UPqH4BXuL.SS700.jpg",1)</f>
        <v/>
      </c>
      <c r="AF41" s="78" t="s">
        <v>1688</v>
      </c>
      <c r="AG41" s="74"/>
      <c r="AH41" s="75"/>
      <c r="AI41" s="12"/>
      <c r="AJ41" s="11"/>
      <c r="AK41" s="11">
        <v>1.0</v>
      </c>
    </row>
    <row r="42" ht="40.5" customHeight="1">
      <c r="A42" s="11">
        <v>41.0</v>
      </c>
      <c r="B42" s="11" t="s">
        <v>173</v>
      </c>
      <c r="C42" s="11" t="s">
        <v>201</v>
      </c>
      <c r="D42" s="93" t="s">
        <v>1912</v>
      </c>
      <c r="E42" s="215" t="s">
        <v>177</v>
      </c>
      <c r="F42" s="216">
        <v>10.0</v>
      </c>
      <c r="G42" s="11" t="s">
        <v>2037</v>
      </c>
      <c r="H42" s="216">
        <v>10.0</v>
      </c>
      <c r="I42" s="763" t="b">
        <v>0</v>
      </c>
      <c r="J42" s="763" t="b">
        <v>0</v>
      </c>
      <c r="K42" s="763" t="b">
        <v>0</v>
      </c>
      <c r="L42" s="763" t="b">
        <v>0</v>
      </c>
      <c r="M42" s="763" t="b">
        <v>0</v>
      </c>
      <c r="N42" s="763" t="b">
        <v>0</v>
      </c>
      <c r="O42" s="763" t="b">
        <v>0</v>
      </c>
      <c r="P42" s="763" t="b">
        <v>0</v>
      </c>
      <c r="Q42" s="763" t="b">
        <v>0</v>
      </c>
      <c r="R42" s="763" t="b">
        <v>0</v>
      </c>
      <c r="S42" s="763" t="b">
        <v>0</v>
      </c>
      <c r="T42" s="763" t="b">
        <v>0</v>
      </c>
      <c r="U42" s="763" t="b">
        <v>0</v>
      </c>
      <c r="V42" s="763" t="b">
        <v>0</v>
      </c>
      <c r="W42" s="763" t="b">
        <v>0</v>
      </c>
      <c r="X42" s="216">
        <v>50.0</v>
      </c>
      <c r="Y42" s="11">
        <f t="shared" si="1"/>
        <v>500</v>
      </c>
      <c r="Z42" s="11" t="s">
        <v>178</v>
      </c>
      <c r="AA42" s="93"/>
      <c r="AB42" s="93" t="s">
        <v>2008</v>
      </c>
      <c r="AC42" s="93" t="s">
        <v>1909</v>
      </c>
      <c r="AD42" s="217" t="s">
        <v>204</v>
      </c>
      <c r="AE42" s="11" t="str">
        <f>IMAGE("https://robotools.in/wp-content/uploads/2022/09/18650-x-2-battery-holder-with-cover-and-OnOff-Switch-5.jpg",1)</f>
        <v/>
      </c>
      <c r="AF42" s="78" t="s">
        <v>1688</v>
      </c>
      <c r="AG42" s="74"/>
      <c r="AH42" s="75"/>
      <c r="AI42" s="12"/>
      <c r="AJ42" s="11"/>
      <c r="AK42" s="11">
        <v>1.0</v>
      </c>
    </row>
    <row r="43" ht="40.5" customHeight="1">
      <c r="A43" s="11">
        <v>42.0</v>
      </c>
      <c r="B43" s="11" t="s">
        <v>173</v>
      </c>
      <c r="C43" s="11" t="s">
        <v>206</v>
      </c>
      <c r="D43" s="93" t="s">
        <v>1913</v>
      </c>
      <c r="E43" s="215" t="s">
        <v>177</v>
      </c>
      <c r="F43" s="216">
        <v>30.0</v>
      </c>
      <c r="G43" s="11" t="s">
        <v>2037</v>
      </c>
      <c r="H43" s="216">
        <v>30.0</v>
      </c>
      <c r="I43" s="763" t="b">
        <v>0</v>
      </c>
      <c r="J43" s="763" t="b">
        <v>0</v>
      </c>
      <c r="K43" s="763" t="b">
        <v>0</v>
      </c>
      <c r="L43" s="763" t="b">
        <v>0</v>
      </c>
      <c r="M43" s="763" t="b">
        <v>0</v>
      </c>
      <c r="N43" s="763" t="b">
        <v>0</v>
      </c>
      <c r="O43" s="763" t="b">
        <v>0</v>
      </c>
      <c r="P43" s="763" t="b">
        <v>0</v>
      </c>
      <c r="Q43" s="763" t="b">
        <v>0</v>
      </c>
      <c r="R43" s="763" t="b">
        <v>0</v>
      </c>
      <c r="S43" s="763" t="b">
        <v>0</v>
      </c>
      <c r="T43" s="763" t="b">
        <v>0</v>
      </c>
      <c r="U43" s="763" t="b">
        <v>0</v>
      </c>
      <c r="V43" s="763" t="b">
        <v>0</v>
      </c>
      <c r="W43" s="763" t="b">
        <v>0</v>
      </c>
      <c r="X43" s="216">
        <v>20.0</v>
      </c>
      <c r="Y43" s="11">
        <f t="shared" si="1"/>
        <v>600</v>
      </c>
      <c r="Z43" s="11" t="s">
        <v>178</v>
      </c>
      <c r="AA43" s="93"/>
      <c r="AB43" s="93" t="s">
        <v>2008</v>
      </c>
      <c r="AC43" s="93" t="s">
        <v>1909</v>
      </c>
      <c r="AD43" s="217" t="s">
        <v>208</v>
      </c>
      <c r="AE43" s="11" t="str">
        <f>IMAGE("https://robu.in/wp-content/uploads/2019/03/2-x-1.5V-AA-battery-holder-with-cover-and-OnOff-Switch-6.jpg",1)</f>
        <v/>
      </c>
      <c r="AF43" s="78" t="s">
        <v>1688</v>
      </c>
      <c r="AG43" s="74"/>
      <c r="AH43" s="75"/>
      <c r="AI43" s="12"/>
      <c r="AJ43" s="11"/>
      <c r="AK43" s="11">
        <v>1.0</v>
      </c>
    </row>
    <row r="44" ht="40.5" customHeight="1">
      <c r="A44" s="11">
        <v>43.0</v>
      </c>
      <c r="B44" s="11" t="s">
        <v>173</v>
      </c>
      <c r="C44" s="11" t="s">
        <v>210</v>
      </c>
      <c r="D44" s="93" t="s">
        <v>1914</v>
      </c>
      <c r="E44" s="215" t="s">
        <v>177</v>
      </c>
      <c r="F44" s="216">
        <v>20.0</v>
      </c>
      <c r="G44" s="11" t="s">
        <v>2037</v>
      </c>
      <c r="H44" s="216">
        <v>20.0</v>
      </c>
      <c r="I44" s="763" t="b">
        <v>0</v>
      </c>
      <c r="J44" s="763" t="b">
        <v>0</v>
      </c>
      <c r="K44" s="763" t="b">
        <v>0</v>
      </c>
      <c r="L44" s="763" t="b">
        <v>0</v>
      </c>
      <c r="M44" s="763" t="b">
        <v>0</v>
      </c>
      <c r="N44" s="763" t="b">
        <v>0</v>
      </c>
      <c r="O44" s="763" t="b">
        <v>0</v>
      </c>
      <c r="P44" s="763" t="b">
        <v>0</v>
      </c>
      <c r="Q44" s="763" t="b">
        <v>0</v>
      </c>
      <c r="R44" s="763" t="b">
        <v>0</v>
      </c>
      <c r="S44" s="763" t="b">
        <v>0</v>
      </c>
      <c r="T44" s="763" t="b">
        <v>0</v>
      </c>
      <c r="U44" s="763" t="b">
        <v>0</v>
      </c>
      <c r="V44" s="763" t="b">
        <v>0</v>
      </c>
      <c r="W44" s="763" t="b">
        <v>0</v>
      </c>
      <c r="X44" s="216">
        <v>40.0</v>
      </c>
      <c r="Y44" s="11">
        <f t="shared" si="1"/>
        <v>800</v>
      </c>
      <c r="Z44" s="11" t="s">
        <v>178</v>
      </c>
      <c r="AA44" s="93"/>
      <c r="AB44" s="93" t="s">
        <v>2008</v>
      </c>
      <c r="AC44" s="93" t="s">
        <v>1909</v>
      </c>
      <c r="AD44" s="217" t="s">
        <v>212</v>
      </c>
      <c r="AE44" s="11" t="str">
        <f>IMAGE("https://probots.co.in/pub/media/catalog/product/cache/d8ddd0f9b0cd008b57085cd218b48832/4/-/4-x-1.5v-aa-battery-holder01.jpg",1)</f>
        <v/>
      </c>
      <c r="AF44" s="78" t="s">
        <v>1688</v>
      </c>
      <c r="AG44" s="74"/>
      <c r="AH44" s="75"/>
      <c r="AI44" s="5"/>
      <c r="AJ44" s="14"/>
      <c r="AK44" s="11">
        <v>1.0</v>
      </c>
    </row>
    <row r="45" ht="40.5" customHeight="1">
      <c r="A45" s="11">
        <v>44.0</v>
      </c>
      <c r="B45" s="11" t="s">
        <v>173</v>
      </c>
      <c r="C45" s="11" t="s">
        <v>214</v>
      </c>
      <c r="D45" s="93" t="s">
        <v>1915</v>
      </c>
      <c r="E45" s="215" t="s">
        <v>177</v>
      </c>
      <c r="F45" s="216">
        <v>20.0</v>
      </c>
      <c r="G45" s="11" t="s">
        <v>2038</v>
      </c>
      <c r="H45" s="216">
        <v>20.0</v>
      </c>
      <c r="I45" s="763" t="b">
        <v>0</v>
      </c>
      <c r="J45" s="763" t="b">
        <v>0</v>
      </c>
      <c r="K45" s="763" t="b">
        <v>0</v>
      </c>
      <c r="L45" s="763" t="b">
        <v>0</v>
      </c>
      <c r="M45" s="763" t="b">
        <v>0</v>
      </c>
      <c r="N45" s="763" t="b">
        <v>0</v>
      </c>
      <c r="O45" s="763" t="b">
        <v>0</v>
      </c>
      <c r="P45" s="763" t="b">
        <v>0</v>
      </c>
      <c r="Q45" s="763" t="b">
        <v>0</v>
      </c>
      <c r="R45" s="763" t="b">
        <v>0</v>
      </c>
      <c r="S45" s="763" t="b">
        <v>0</v>
      </c>
      <c r="T45" s="763" t="b">
        <v>0</v>
      </c>
      <c r="U45" s="763" t="b">
        <v>0</v>
      </c>
      <c r="V45" s="763" t="b">
        <v>0</v>
      </c>
      <c r="W45" s="763" t="b">
        <v>0</v>
      </c>
      <c r="X45" s="216">
        <v>30.0</v>
      </c>
      <c r="Y45" s="11">
        <f t="shared" si="1"/>
        <v>600</v>
      </c>
      <c r="Z45" s="11" t="s">
        <v>178</v>
      </c>
      <c r="AA45" s="93"/>
      <c r="AB45" s="93" t="s">
        <v>1895</v>
      </c>
      <c r="AC45" s="93" t="s">
        <v>1909</v>
      </c>
      <c r="AD45" s="217" t="s">
        <v>217</v>
      </c>
      <c r="AE45" s="11" t="str">
        <f>IMAGE("https://robu.in/wp-content/uploads/2022/06/510c1Z93PDL._SX679_.jpg",1)</f>
        <v/>
      </c>
      <c r="AF45" s="78" t="s">
        <v>1688</v>
      </c>
      <c r="AG45" s="74"/>
      <c r="AH45" s="75"/>
      <c r="AI45" s="12"/>
      <c r="AJ45" s="11"/>
      <c r="AK45" s="11">
        <v>1.0</v>
      </c>
    </row>
    <row r="46" ht="40.5" customHeight="1">
      <c r="A46" s="11">
        <v>45.0</v>
      </c>
      <c r="B46" s="11" t="s">
        <v>173</v>
      </c>
      <c r="C46" s="11" t="s">
        <v>219</v>
      </c>
      <c r="D46" s="93" t="s">
        <v>220</v>
      </c>
      <c r="E46" s="215" t="s">
        <v>177</v>
      </c>
      <c r="F46" s="216">
        <v>5.0</v>
      </c>
      <c r="G46" s="221" t="s">
        <v>2039</v>
      </c>
      <c r="H46" s="216">
        <v>5.0</v>
      </c>
      <c r="I46" s="763" t="b">
        <v>0</v>
      </c>
      <c r="J46" s="763" t="b">
        <v>0</v>
      </c>
      <c r="K46" s="763" t="b">
        <v>0</v>
      </c>
      <c r="L46" s="763" t="b">
        <v>0</v>
      </c>
      <c r="M46" s="763" t="b">
        <v>0</v>
      </c>
      <c r="N46" s="763" t="b">
        <v>0</v>
      </c>
      <c r="O46" s="763" t="b">
        <v>0</v>
      </c>
      <c r="P46" s="763" t="b">
        <v>0</v>
      </c>
      <c r="Q46" s="763" t="b">
        <v>0</v>
      </c>
      <c r="R46" s="763" t="b">
        <v>0</v>
      </c>
      <c r="S46" s="763" t="b">
        <v>0</v>
      </c>
      <c r="T46" s="763" t="b">
        <v>0</v>
      </c>
      <c r="U46" s="763" t="b">
        <v>0</v>
      </c>
      <c r="V46" s="763" t="b">
        <v>0</v>
      </c>
      <c r="W46" s="763" t="b">
        <v>0</v>
      </c>
      <c r="X46" s="216">
        <v>500.0</v>
      </c>
      <c r="Y46" s="11">
        <f t="shared" si="1"/>
        <v>2500</v>
      </c>
      <c r="Z46" s="11" t="s">
        <v>178</v>
      </c>
      <c r="AA46" s="93"/>
      <c r="AB46" s="93" t="s">
        <v>1594</v>
      </c>
      <c r="AC46" s="93" t="s">
        <v>1905</v>
      </c>
      <c r="AD46" s="217" t="s">
        <v>221</v>
      </c>
      <c r="AE46" s="11" t="str">
        <f>IMAGE("https://i02.psgsm.net/gsm.com/p/887576/480/power-bank-hoco-j26-10000-mah-micro-usb-type-b-input-5v-2a-2-usb-outputs-5-v-2-1-a-139-70-16-mm-with-micro-usb-cable-type-b-black.jpg",1)</f>
        <v/>
      </c>
      <c r="AF46" s="78" t="s">
        <v>1688</v>
      </c>
      <c r="AG46" s="74"/>
      <c r="AH46" s="75"/>
      <c r="AI46" s="12"/>
      <c r="AJ46" s="11"/>
      <c r="AK46" s="11">
        <v>1.0</v>
      </c>
    </row>
    <row r="47" ht="40.5" customHeight="1">
      <c r="A47" s="11">
        <v>46.0</v>
      </c>
      <c r="B47" s="11" t="s">
        <v>173</v>
      </c>
      <c r="C47" s="11" t="s">
        <v>223</v>
      </c>
      <c r="D47" s="93" t="s">
        <v>1741</v>
      </c>
      <c r="E47" s="215" t="s">
        <v>177</v>
      </c>
      <c r="F47" s="216">
        <v>10.0</v>
      </c>
      <c r="G47" s="11" t="s">
        <v>2040</v>
      </c>
      <c r="H47" s="216">
        <v>10.0</v>
      </c>
      <c r="I47" s="763" t="b">
        <v>0</v>
      </c>
      <c r="J47" s="763" t="b">
        <v>0</v>
      </c>
      <c r="K47" s="763" t="b">
        <v>0</v>
      </c>
      <c r="L47" s="763" t="b">
        <v>0</v>
      </c>
      <c r="M47" s="763" t="b">
        <v>0</v>
      </c>
      <c r="N47" s="763" t="b">
        <v>0</v>
      </c>
      <c r="O47" s="763" t="b">
        <v>0</v>
      </c>
      <c r="P47" s="763" t="b">
        <v>0</v>
      </c>
      <c r="Q47" s="763" t="b">
        <v>0</v>
      </c>
      <c r="R47" s="763" t="b">
        <v>0</v>
      </c>
      <c r="S47" s="763" t="b">
        <v>0</v>
      </c>
      <c r="T47" s="763" t="b">
        <v>0</v>
      </c>
      <c r="U47" s="763" t="b">
        <v>0</v>
      </c>
      <c r="V47" s="763" t="b">
        <v>0</v>
      </c>
      <c r="W47" s="763" t="b">
        <v>0</v>
      </c>
      <c r="X47" s="216">
        <v>150.0</v>
      </c>
      <c r="Y47" s="11">
        <f t="shared" si="1"/>
        <v>1500</v>
      </c>
      <c r="Z47" s="11" t="s">
        <v>178</v>
      </c>
      <c r="AA47" s="93"/>
      <c r="AB47" s="93" t="s">
        <v>1895</v>
      </c>
      <c r="AC47" s="93" t="s">
        <v>1905</v>
      </c>
      <c r="AD47" s="217" t="s">
        <v>225</v>
      </c>
      <c r="AE47" s="11" t="str">
        <f>IMAGE("https://images-na.ssl-images-amazon.com/images/I/51p4KPR9o1L.SS700.jpg",1)</f>
        <v/>
      </c>
      <c r="AF47" s="78" t="s">
        <v>1688</v>
      </c>
      <c r="AG47" s="74"/>
      <c r="AH47" s="75"/>
      <c r="AI47" s="12"/>
      <c r="AJ47" s="11"/>
      <c r="AK47" s="11">
        <v>1.0</v>
      </c>
    </row>
    <row r="48" ht="40.5" customHeight="1">
      <c r="A48" s="11">
        <v>47.0</v>
      </c>
      <c r="B48" s="11" t="s">
        <v>173</v>
      </c>
      <c r="C48" s="11" t="s">
        <v>227</v>
      </c>
      <c r="D48" s="93" t="s">
        <v>228</v>
      </c>
      <c r="E48" s="215" t="s">
        <v>177</v>
      </c>
      <c r="F48" s="216">
        <v>10.0</v>
      </c>
      <c r="G48" s="11" t="s">
        <v>2038</v>
      </c>
      <c r="H48" s="216">
        <v>10.0</v>
      </c>
      <c r="I48" s="763" t="b">
        <v>0</v>
      </c>
      <c r="J48" s="763" t="b">
        <v>0</v>
      </c>
      <c r="K48" s="763" t="b">
        <v>0</v>
      </c>
      <c r="L48" s="763" t="b">
        <v>0</v>
      </c>
      <c r="M48" s="763" t="b">
        <v>0</v>
      </c>
      <c r="N48" s="763" t="b">
        <v>0</v>
      </c>
      <c r="O48" s="763" t="b">
        <v>0</v>
      </c>
      <c r="P48" s="763" t="b">
        <v>0</v>
      </c>
      <c r="Q48" s="763" t="b">
        <v>0</v>
      </c>
      <c r="R48" s="763" t="b">
        <v>0</v>
      </c>
      <c r="S48" s="763" t="b">
        <v>0</v>
      </c>
      <c r="T48" s="763" t="b">
        <v>0</v>
      </c>
      <c r="U48" s="763" t="b">
        <v>0</v>
      </c>
      <c r="V48" s="763" t="b">
        <v>0</v>
      </c>
      <c r="W48" s="763" t="b">
        <v>0</v>
      </c>
      <c r="X48" s="216">
        <v>200.0</v>
      </c>
      <c r="Y48" s="11">
        <f t="shared" si="1"/>
        <v>2000</v>
      </c>
      <c r="Z48" s="11" t="s">
        <v>178</v>
      </c>
      <c r="AA48" s="93"/>
      <c r="AB48" s="93" t="s">
        <v>1895</v>
      </c>
      <c r="AC48" s="93" t="s">
        <v>1905</v>
      </c>
      <c r="AD48" s="217" t="s">
        <v>229</v>
      </c>
      <c r="AE48" s="11" t="str">
        <f>IMAGE("https://5.imimg.com/data5/SELLER/Default/2021/7/XA/OZ/BW/6610292/9v-power-plus-nimh-rechargeable-battery-500x500.jpg",1)</f>
        <v/>
      </c>
      <c r="AF48" s="78" t="s">
        <v>1688</v>
      </c>
      <c r="AG48" s="74"/>
      <c r="AH48" s="75"/>
      <c r="AI48" s="12"/>
      <c r="AJ48" s="11"/>
      <c r="AK48" s="11">
        <v>1.0</v>
      </c>
    </row>
    <row r="49" ht="40.5" customHeight="1">
      <c r="A49" s="11">
        <v>48.0</v>
      </c>
      <c r="B49" s="11" t="s">
        <v>173</v>
      </c>
      <c r="C49" s="11" t="s">
        <v>231</v>
      </c>
      <c r="D49" s="93" t="s">
        <v>232</v>
      </c>
      <c r="E49" s="215" t="s">
        <v>177</v>
      </c>
      <c r="F49" s="216">
        <v>20.0</v>
      </c>
      <c r="G49" s="11" t="s">
        <v>2041</v>
      </c>
      <c r="H49" s="216">
        <v>20.0</v>
      </c>
      <c r="I49" s="763" t="b">
        <v>0</v>
      </c>
      <c r="J49" s="763" t="b">
        <v>0</v>
      </c>
      <c r="K49" s="763" t="b">
        <v>0</v>
      </c>
      <c r="L49" s="763" t="b">
        <v>0</v>
      </c>
      <c r="M49" s="763" t="b">
        <v>0</v>
      </c>
      <c r="N49" s="763" t="b">
        <v>0</v>
      </c>
      <c r="O49" s="763" t="b">
        <v>0</v>
      </c>
      <c r="P49" s="763" t="b">
        <v>0</v>
      </c>
      <c r="Q49" s="763" t="b">
        <v>0</v>
      </c>
      <c r="R49" s="763" t="b">
        <v>0</v>
      </c>
      <c r="S49" s="763" t="b">
        <v>0</v>
      </c>
      <c r="T49" s="763" t="b">
        <v>0</v>
      </c>
      <c r="U49" s="763" t="b">
        <v>0</v>
      </c>
      <c r="V49" s="763" t="b">
        <v>0</v>
      </c>
      <c r="W49" s="763" t="b">
        <v>0</v>
      </c>
      <c r="X49" s="216">
        <v>100.0</v>
      </c>
      <c r="Y49" s="11">
        <f t="shared" si="1"/>
        <v>2000</v>
      </c>
      <c r="Z49" s="11" t="s">
        <v>178</v>
      </c>
      <c r="AA49" s="93"/>
      <c r="AB49" s="93" t="s">
        <v>1895</v>
      </c>
      <c r="AC49" s="93" t="s">
        <v>1905</v>
      </c>
      <c r="AD49" s="217" t="s">
        <v>233</v>
      </c>
      <c r="AE49" s="11" t="str">
        <f>IMAGE("https://images-cdn.ubuy.co.in/6578382306deda07ed788ca4-rechargeable-aa-batteries-aa.jpg",1)</f>
        <v/>
      </c>
      <c r="AF49" s="78" t="s">
        <v>1688</v>
      </c>
      <c r="AG49" s="74"/>
      <c r="AH49" s="75"/>
      <c r="AI49" s="12"/>
      <c r="AJ49" s="11"/>
      <c r="AK49" s="11">
        <v>1.0</v>
      </c>
    </row>
    <row r="50" ht="40.5" customHeight="1">
      <c r="A50" s="11">
        <v>49.0</v>
      </c>
      <c r="B50" s="11" t="s">
        <v>173</v>
      </c>
      <c r="C50" s="11" t="s">
        <v>235</v>
      </c>
      <c r="D50" s="93" t="s">
        <v>1916</v>
      </c>
      <c r="E50" s="215" t="s">
        <v>237</v>
      </c>
      <c r="F50" s="216">
        <v>20.0</v>
      </c>
      <c r="G50" s="11" t="s">
        <v>2042</v>
      </c>
      <c r="H50" s="216">
        <v>20.0</v>
      </c>
      <c r="I50" s="763" t="b">
        <v>0</v>
      </c>
      <c r="J50" s="763" t="b">
        <v>0</v>
      </c>
      <c r="K50" s="763" t="b">
        <v>0</v>
      </c>
      <c r="L50" s="763" t="b">
        <v>0</v>
      </c>
      <c r="M50" s="763" t="b">
        <v>0</v>
      </c>
      <c r="N50" s="763" t="b">
        <v>0</v>
      </c>
      <c r="O50" s="763" t="b">
        <v>0</v>
      </c>
      <c r="P50" s="763" t="b">
        <v>0</v>
      </c>
      <c r="Q50" s="763" t="b">
        <v>0</v>
      </c>
      <c r="R50" s="763" t="b">
        <v>0</v>
      </c>
      <c r="S50" s="763" t="b">
        <v>0</v>
      </c>
      <c r="T50" s="763" t="b">
        <v>0</v>
      </c>
      <c r="U50" s="763" t="b">
        <v>0</v>
      </c>
      <c r="V50" s="763" t="b">
        <v>0</v>
      </c>
      <c r="W50" s="763" t="b">
        <v>0</v>
      </c>
      <c r="X50" s="216">
        <v>7.5</v>
      </c>
      <c r="Y50" s="11">
        <f t="shared" si="1"/>
        <v>150</v>
      </c>
      <c r="Z50" s="11" t="s">
        <v>178</v>
      </c>
      <c r="AA50" s="93"/>
      <c r="AB50" s="93" t="s">
        <v>1594</v>
      </c>
      <c r="AC50" s="93" t="s">
        <v>237</v>
      </c>
      <c r="AD50" s="217" t="s">
        <v>238</v>
      </c>
      <c r="AE50" s="11" t="str">
        <f>IMAGE("https://robu.in/wp-content/uploads/2017/04/Alligator-Clips-Electrical-DIY-Test-Leads-10pcs-For-Test-Leads-Double-ended-Crocodile-Clips-Roach-Clip-2.jpg",1)</f>
        <v/>
      </c>
      <c r="AF50" s="78" t="s">
        <v>1688</v>
      </c>
      <c r="AG50" s="74"/>
      <c r="AH50" s="75"/>
      <c r="AI50" s="12"/>
      <c r="AJ50" s="11"/>
      <c r="AK50" s="11">
        <v>1.0</v>
      </c>
    </row>
    <row r="51" ht="40.5" customHeight="1">
      <c r="A51" s="11">
        <v>50.0</v>
      </c>
      <c r="B51" s="11" t="s">
        <v>173</v>
      </c>
      <c r="C51" s="11" t="s">
        <v>240</v>
      </c>
      <c r="D51" s="93" t="s">
        <v>241</v>
      </c>
      <c r="E51" s="215" t="s">
        <v>237</v>
      </c>
      <c r="F51" s="216">
        <v>20.0</v>
      </c>
      <c r="G51" s="221" t="s">
        <v>2036</v>
      </c>
      <c r="H51" s="216">
        <v>20.0</v>
      </c>
      <c r="I51" s="763" t="b">
        <v>0</v>
      </c>
      <c r="J51" s="763" t="b">
        <v>0</v>
      </c>
      <c r="K51" s="763" t="b">
        <v>0</v>
      </c>
      <c r="L51" s="763" t="b">
        <v>0</v>
      </c>
      <c r="M51" s="763" t="b">
        <v>0</v>
      </c>
      <c r="N51" s="763" t="b">
        <v>0</v>
      </c>
      <c r="O51" s="763" t="b">
        <v>0</v>
      </c>
      <c r="P51" s="763" t="b">
        <v>0</v>
      </c>
      <c r="Q51" s="763" t="b">
        <v>0</v>
      </c>
      <c r="R51" s="763" t="b">
        <v>0</v>
      </c>
      <c r="S51" s="763" t="b">
        <v>0</v>
      </c>
      <c r="T51" s="763" t="b">
        <v>0</v>
      </c>
      <c r="U51" s="763" t="b">
        <v>0</v>
      </c>
      <c r="V51" s="763" t="b">
        <v>0</v>
      </c>
      <c r="W51" s="763" t="b">
        <v>0</v>
      </c>
      <c r="X51" s="216">
        <v>20.0</v>
      </c>
      <c r="Y51" s="11">
        <f t="shared" si="1"/>
        <v>400</v>
      </c>
      <c r="Z51" s="11" t="s">
        <v>178</v>
      </c>
      <c r="AA51" s="93"/>
      <c r="AB51" s="93" t="s">
        <v>1895</v>
      </c>
      <c r="AC51" s="93" t="s">
        <v>237</v>
      </c>
      <c r="AD51" s="217" t="s">
        <v>242</v>
      </c>
      <c r="AE51" s="11" t="str">
        <f>IMAGE("https://makerbazar.in/cdn/shop/products/dcmalejackwithwire2_600x.jpg?v=1642675074",1)</f>
        <v/>
      </c>
      <c r="AF51" s="78" t="s">
        <v>1688</v>
      </c>
      <c r="AG51" s="74"/>
      <c r="AH51" s="75"/>
      <c r="AI51" s="12"/>
      <c r="AJ51" s="11"/>
      <c r="AK51" s="11">
        <v>1.0</v>
      </c>
    </row>
    <row r="52" ht="40.5" customHeight="1">
      <c r="A52" s="11">
        <v>51.0</v>
      </c>
      <c r="B52" s="11" t="s">
        <v>173</v>
      </c>
      <c r="C52" s="11" t="s">
        <v>244</v>
      </c>
      <c r="D52" s="93" t="s">
        <v>245</v>
      </c>
      <c r="E52" s="215" t="s">
        <v>237</v>
      </c>
      <c r="F52" s="11">
        <v>1.0</v>
      </c>
      <c r="G52" s="11" t="s">
        <v>2026</v>
      </c>
      <c r="H52" s="11">
        <v>1.0</v>
      </c>
      <c r="I52" s="763" t="b">
        <v>0</v>
      </c>
      <c r="J52" s="763" t="b">
        <v>0</v>
      </c>
      <c r="K52" s="763" t="b">
        <v>0</v>
      </c>
      <c r="L52" s="763" t="b">
        <v>0</v>
      </c>
      <c r="M52" s="763" t="b">
        <v>0</v>
      </c>
      <c r="N52" s="763" t="b">
        <v>0</v>
      </c>
      <c r="O52" s="763" t="b">
        <v>0</v>
      </c>
      <c r="P52" s="763" t="b">
        <v>0</v>
      </c>
      <c r="Q52" s="763" t="b">
        <v>0</v>
      </c>
      <c r="R52" s="763" t="b">
        <v>0</v>
      </c>
      <c r="S52" s="763" t="b">
        <v>0</v>
      </c>
      <c r="T52" s="763" t="b">
        <v>0</v>
      </c>
      <c r="U52" s="763" t="b">
        <v>0</v>
      </c>
      <c r="V52" s="763" t="b">
        <v>0</v>
      </c>
      <c r="W52" s="763" t="b">
        <v>0</v>
      </c>
      <c r="X52" s="11">
        <v>200.0</v>
      </c>
      <c r="Y52" s="11">
        <f t="shared" si="1"/>
        <v>200</v>
      </c>
      <c r="Z52" s="11" t="s">
        <v>142</v>
      </c>
      <c r="AA52" s="93"/>
      <c r="AB52" s="93" t="s">
        <v>1902</v>
      </c>
      <c r="AC52" s="93" t="s">
        <v>237</v>
      </c>
      <c r="AD52" s="217"/>
      <c r="AE52" s="11" t="str">
        <f>IMAGE("https://m.media-amazon.com/images/I/61YPX7I4aSL._SL1500_.jpg",1)</f>
        <v/>
      </c>
      <c r="AF52" s="78"/>
      <c r="AG52" s="74"/>
      <c r="AH52" s="75"/>
      <c r="AI52" s="12"/>
      <c r="AJ52" s="11"/>
      <c r="AK52" s="12">
        <v>1.0</v>
      </c>
    </row>
    <row r="53" ht="40.5" customHeight="1">
      <c r="A53" s="11">
        <v>52.0</v>
      </c>
      <c r="B53" s="11" t="s">
        <v>173</v>
      </c>
      <c r="C53" s="11" t="s">
        <v>247</v>
      </c>
      <c r="D53" s="93" t="s">
        <v>1918</v>
      </c>
      <c r="E53" s="215" t="s">
        <v>237</v>
      </c>
      <c r="F53" s="216">
        <v>1.0</v>
      </c>
      <c r="G53" s="11" t="s">
        <v>2043</v>
      </c>
      <c r="H53" s="216">
        <v>1.0</v>
      </c>
      <c r="I53" s="763" t="b">
        <v>0</v>
      </c>
      <c r="J53" s="763" t="b">
        <v>0</v>
      </c>
      <c r="K53" s="763" t="b">
        <v>0</v>
      </c>
      <c r="L53" s="763" t="b">
        <v>0</v>
      </c>
      <c r="M53" s="763" t="b">
        <v>0</v>
      </c>
      <c r="N53" s="763" t="b">
        <v>0</v>
      </c>
      <c r="O53" s="763" t="b">
        <v>0</v>
      </c>
      <c r="P53" s="763" t="b">
        <v>0</v>
      </c>
      <c r="Q53" s="763" t="b">
        <v>0</v>
      </c>
      <c r="R53" s="763" t="b">
        <v>0</v>
      </c>
      <c r="S53" s="763" t="b">
        <v>0</v>
      </c>
      <c r="T53" s="763" t="b">
        <v>0</v>
      </c>
      <c r="U53" s="763" t="b">
        <v>0</v>
      </c>
      <c r="V53" s="763" t="b">
        <v>0</v>
      </c>
      <c r="W53" s="763" t="b">
        <v>0</v>
      </c>
      <c r="X53" s="216">
        <v>150.0</v>
      </c>
      <c r="Y53" s="11">
        <f t="shared" si="1"/>
        <v>150</v>
      </c>
      <c r="Z53" s="11" t="s">
        <v>178</v>
      </c>
      <c r="AA53" s="93"/>
      <c r="AB53" s="93" t="s">
        <v>2012</v>
      </c>
      <c r="AC53" s="93" t="s">
        <v>250</v>
      </c>
      <c r="AD53" s="217" t="s">
        <v>251</v>
      </c>
      <c r="AE53" s="11" t="str">
        <f>IMAGE("https://rukminim2.flixcart.com/image/832/832/k8t3jbk0/cable-sleeve/j/c/q/black-2mm-polyolefin-heat-shrink-tube-sleeve-for-wrap-60-meter-original-imafqq3y2g2v9vzz.jpeg?q=70",1)</f>
        <v/>
      </c>
      <c r="AF53" s="78" t="s">
        <v>1688</v>
      </c>
      <c r="AG53" s="74"/>
      <c r="AH53" s="75"/>
      <c r="AI53" s="12"/>
      <c r="AJ53" s="11"/>
      <c r="AK53" s="12">
        <v>1.0</v>
      </c>
    </row>
    <row r="54" ht="40.5" customHeight="1">
      <c r="A54" s="11">
        <v>53.0</v>
      </c>
      <c r="B54" s="11" t="s">
        <v>173</v>
      </c>
      <c r="C54" s="11" t="s">
        <v>253</v>
      </c>
      <c r="D54" s="93" t="s">
        <v>1919</v>
      </c>
      <c r="E54" s="215" t="s">
        <v>237</v>
      </c>
      <c r="F54" s="216">
        <v>1.0</v>
      </c>
      <c r="G54" s="11" t="s">
        <v>2043</v>
      </c>
      <c r="H54" s="216">
        <v>1.0</v>
      </c>
      <c r="I54" s="763" t="b">
        <v>0</v>
      </c>
      <c r="J54" s="763" t="b">
        <v>0</v>
      </c>
      <c r="K54" s="763" t="b">
        <v>0</v>
      </c>
      <c r="L54" s="763" t="b">
        <v>0</v>
      </c>
      <c r="M54" s="763" t="b">
        <v>0</v>
      </c>
      <c r="N54" s="763" t="b">
        <v>0</v>
      </c>
      <c r="O54" s="763" t="b">
        <v>0</v>
      </c>
      <c r="P54" s="763" t="b">
        <v>0</v>
      </c>
      <c r="Q54" s="763" t="b">
        <v>0</v>
      </c>
      <c r="R54" s="763" t="b">
        <v>0</v>
      </c>
      <c r="S54" s="763" t="b">
        <v>0</v>
      </c>
      <c r="T54" s="763" t="b">
        <v>0</v>
      </c>
      <c r="U54" s="763" t="b">
        <v>0</v>
      </c>
      <c r="V54" s="763" t="b">
        <v>0</v>
      </c>
      <c r="W54" s="763" t="b">
        <v>0</v>
      </c>
      <c r="X54" s="216">
        <v>150.0</v>
      </c>
      <c r="Y54" s="11">
        <f t="shared" si="1"/>
        <v>150</v>
      </c>
      <c r="Z54" s="11" t="s">
        <v>178</v>
      </c>
      <c r="AA54" s="93"/>
      <c r="AB54" s="93" t="s">
        <v>2012</v>
      </c>
      <c r="AC54" s="93" t="s">
        <v>250</v>
      </c>
      <c r="AD54" s="217" t="s">
        <v>255</v>
      </c>
      <c r="AE54" s="11" t="str">
        <f>IMAGE("https://m.media-amazon.com/images/I/61zJ0n1EqGS._AC_SL1500_.jpg",1)</f>
        <v/>
      </c>
      <c r="AF54" s="78" t="s">
        <v>1688</v>
      </c>
      <c r="AG54" s="79"/>
      <c r="AH54" s="80"/>
      <c r="AI54" s="5"/>
      <c r="AJ54" s="14"/>
      <c r="AK54" s="12">
        <v>1.0</v>
      </c>
    </row>
    <row r="55" ht="40.5" customHeight="1">
      <c r="A55" s="11">
        <v>54.0</v>
      </c>
      <c r="B55" s="11" t="s">
        <v>173</v>
      </c>
      <c r="C55" s="11" t="s">
        <v>257</v>
      </c>
      <c r="D55" s="93" t="s">
        <v>1920</v>
      </c>
      <c r="E55" s="215" t="s">
        <v>237</v>
      </c>
      <c r="F55" s="216">
        <v>1.0</v>
      </c>
      <c r="G55" s="11" t="s">
        <v>2043</v>
      </c>
      <c r="H55" s="216">
        <v>1.0</v>
      </c>
      <c r="I55" s="763" t="b">
        <v>0</v>
      </c>
      <c r="J55" s="763" t="b">
        <v>0</v>
      </c>
      <c r="K55" s="763" t="b">
        <v>0</v>
      </c>
      <c r="L55" s="763" t="b">
        <v>0</v>
      </c>
      <c r="M55" s="763" t="b">
        <v>0</v>
      </c>
      <c r="N55" s="763" t="b">
        <v>0</v>
      </c>
      <c r="O55" s="763" t="b">
        <v>0</v>
      </c>
      <c r="P55" s="763" t="b">
        <v>0</v>
      </c>
      <c r="Q55" s="763" t="b">
        <v>0</v>
      </c>
      <c r="R55" s="763" t="b">
        <v>0</v>
      </c>
      <c r="S55" s="763" t="b">
        <v>0</v>
      </c>
      <c r="T55" s="763" t="b">
        <v>0</v>
      </c>
      <c r="U55" s="763" t="b">
        <v>0</v>
      </c>
      <c r="V55" s="763" t="b">
        <v>0</v>
      </c>
      <c r="W55" s="763" t="b">
        <v>0</v>
      </c>
      <c r="X55" s="216">
        <v>150.0</v>
      </c>
      <c r="Y55" s="11">
        <f t="shared" si="1"/>
        <v>150</v>
      </c>
      <c r="Z55" s="11" t="s">
        <v>178</v>
      </c>
      <c r="AA55" s="93"/>
      <c r="AB55" s="93" t="s">
        <v>2012</v>
      </c>
      <c r="AC55" s="93" t="s">
        <v>250</v>
      </c>
      <c r="AD55" s="217" t="s">
        <v>259</v>
      </c>
      <c r="AE55" s="11" t="str">
        <f>IMAGE("https://m.media-amazon.com/images/W/MEDIAX_792452-T2/images/I/417I5BCQPSL.jpg",1)</f>
        <v/>
      </c>
      <c r="AF55" s="78" t="s">
        <v>1688</v>
      </c>
      <c r="AG55" s="74"/>
      <c r="AH55" s="75"/>
      <c r="AI55" s="5"/>
      <c r="AJ55" s="14"/>
      <c r="AK55" s="12">
        <v>1.0</v>
      </c>
    </row>
    <row r="56" ht="40.5" customHeight="1">
      <c r="A56" s="11">
        <v>55.0</v>
      </c>
      <c r="B56" s="11" t="s">
        <v>173</v>
      </c>
      <c r="C56" s="11" t="s">
        <v>261</v>
      </c>
      <c r="D56" s="93" t="s">
        <v>1921</v>
      </c>
      <c r="E56" s="215" t="s">
        <v>237</v>
      </c>
      <c r="F56" s="216">
        <v>1.0</v>
      </c>
      <c r="G56" s="11" t="s">
        <v>2043</v>
      </c>
      <c r="H56" s="216">
        <v>1.0</v>
      </c>
      <c r="I56" s="763" t="b">
        <v>0</v>
      </c>
      <c r="J56" s="763" t="b">
        <v>0</v>
      </c>
      <c r="K56" s="763" t="b">
        <v>0</v>
      </c>
      <c r="L56" s="763" t="b">
        <v>0</v>
      </c>
      <c r="M56" s="763" t="b">
        <v>0</v>
      </c>
      <c r="N56" s="763" t="b">
        <v>0</v>
      </c>
      <c r="O56" s="763" t="b">
        <v>0</v>
      </c>
      <c r="P56" s="763" t="b">
        <v>0</v>
      </c>
      <c r="Q56" s="763" t="b">
        <v>0</v>
      </c>
      <c r="R56" s="763" t="b">
        <v>0</v>
      </c>
      <c r="S56" s="763" t="b">
        <v>0</v>
      </c>
      <c r="T56" s="763" t="b">
        <v>0</v>
      </c>
      <c r="U56" s="763" t="b">
        <v>0</v>
      </c>
      <c r="V56" s="763" t="b">
        <v>0</v>
      </c>
      <c r="W56" s="763" t="b">
        <v>0</v>
      </c>
      <c r="X56" s="216">
        <v>150.0</v>
      </c>
      <c r="Y56" s="11">
        <f t="shared" si="1"/>
        <v>150</v>
      </c>
      <c r="Z56" s="11" t="s">
        <v>178</v>
      </c>
      <c r="AA56" s="93"/>
      <c r="AB56" s="93" t="s">
        <v>2012</v>
      </c>
      <c r="AC56" s="93" t="s">
        <v>250</v>
      </c>
      <c r="AD56" s="217" t="s">
        <v>263</v>
      </c>
      <c r="AE56" s="11" t="str">
        <f>IMAGE("https://m.media-amazon.com/images/I/61zJ0n1EqGS._AC_SL1500_.jpg",1)</f>
        <v/>
      </c>
      <c r="AF56" s="78" t="s">
        <v>1688</v>
      </c>
      <c r="AG56" s="74"/>
      <c r="AH56" s="75"/>
      <c r="AI56" s="12"/>
      <c r="AJ56" s="11"/>
      <c r="AK56" s="12">
        <v>1.0</v>
      </c>
    </row>
    <row r="57" ht="40.5" customHeight="1">
      <c r="A57" s="11">
        <v>56.0</v>
      </c>
      <c r="B57" s="11" t="s">
        <v>173</v>
      </c>
      <c r="C57" s="11" t="s">
        <v>265</v>
      </c>
      <c r="D57" s="93" t="s">
        <v>266</v>
      </c>
      <c r="E57" s="215" t="s">
        <v>237</v>
      </c>
      <c r="F57" s="216">
        <v>20.0</v>
      </c>
      <c r="G57" s="11" t="s">
        <v>2044</v>
      </c>
      <c r="H57" s="216">
        <v>20.0</v>
      </c>
      <c r="I57" s="763" t="b">
        <v>0</v>
      </c>
      <c r="J57" s="763" t="b">
        <v>0</v>
      </c>
      <c r="K57" s="763" t="b">
        <v>0</v>
      </c>
      <c r="L57" s="763" t="b">
        <v>0</v>
      </c>
      <c r="M57" s="763" t="b">
        <v>0</v>
      </c>
      <c r="N57" s="763" t="b">
        <v>0</v>
      </c>
      <c r="O57" s="763" t="b">
        <v>0</v>
      </c>
      <c r="P57" s="763" t="b">
        <v>0</v>
      </c>
      <c r="Q57" s="763" t="b">
        <v>0</v>
      </c>
      <c r="R57" s="763" t="b">
        <v>0</v>
      </c>
      <c r="S57" s="763" t="b">
        <v>0</v>
      </c>
      <c r="T57" s="763" t="b">
        <v>0</v>
      </c>
      <c r="U57" s="763" t="b">
        <v>0</v>
      </c>
      <c r="V57" s="763" t="b">
        <v>0</v>
      </c>
      <c r="W57" s="763" t="b">
        <v>0</v>
      </c>
      <c r="X57" s="216">
        <v>20.0</v>
      </c>
      <c r="Y57" s="11">
        <f t="shared" si="1"/>
        <v>400</v>
      </c>
      <c r="Z57" s="11" t="s">
        <v>178</v>
      </c>
      <c r="AA57" s="93"/>
      <c r="AB57" s="93" t="s">
        <v>2012</v>
      </c>
      <c r="AC57" s="93" t="s">
        <v>267</v>
      </c>
      <c r="AD57" s="217" t="s">
        <v>268</v>
      </c>
      <c r="AE57" s="11" t="str">
        <f t="shared" ref="AE57:AE61" si="2">IMAGE("https://i.ebayimg.com/images/g/xCYAAOSwjvJlEQU8/s-l1600.jpg",1)</f>
        <v/>
      </c>
      <c r="AF57" s="78" t="s">
        <v>1688</v>
      </c>
      <c r="AG57" s="74"/>
      <c r="AH57" s="75"/>
      <c r="AI57" s="12"/>
      <c r="AJ57" s="11"/>
      <c r="AK57" s="12">
        <v>1.0</v>
      </c>
    </row>
    <row r="58" ht="40.5" customHeight="1">
      <c r="A58" s="11">
        <v>57.0</v>
      </c>
      <c r="B58" s="11" t="s">
        <v>173</v>
      </c>
      <c r="C58" s="11" t="s">
        <v>270</v>
      </c>
      <c r="D58" s="93" t="s">
        <v>271</v>
      </c>
      <c r="E58" s="215" t="s">
        <v>237</v>
      </c>
      <c r="F58" s="216">
        <v>20.0</v>
      </c>
      <c r="G58" s="11" t="s">
        <v>2044</v>
      </c>
      <c r="H58" s="216">
        <v>20.0</v>
      </c>
      <c r="I58" s="763" t="b">
        <v>0</v>
      </c>
      <c r="J58" s="763" t="b">
        <v>0</v>
      </c>
      <c r="K58" s="763" t="b">
        <v>0</v>
      </c>
      <c r="L58" s="763" t="b">
        <v>0</v>
      </c>
      <c r="M58" s="763" t="b">
        <v>0</v>
      </c>
      <c r="N58" s="763" t="b">
        <v>0</v>
      </c>
      <c r="O58" s="763" t="b">
        <v>0</v>
      </c>
      <c r="P58" s="763" t="b">
        <v>0</v>
      </c>
      <c r="Q58" s="763" t="b">
        <v>0</v>
      </c>
      <c r="R58" s="763" t="b">
        <v>0</v>
      </c>
      <c r="S58" s="763" t="b">
        <v>0</v>
      </c>
      <c r="T58" s="763" t="b">
        <v>0</v>
      </c>
      <c r="U58" s="763" t="b">
        <v>0</v>
      </c>
      <c r="V58" s="763" t="b">
        <v>0</v>
      </c>
      <c r="W58" s="763" t="b">
        <v>0</v>
      </c>
      <c r="X58" s="216">
        <v>20.0</v>
      </c>
      <c r="Y58" s="11">
        <f t="shared" si="1"/>
        <v>400</v>
      </c>
      <c r="Z58" s="11" t="s">
        <v>178</v>
      </c>
      <c r="AA58" s="93"/>
      <c r="AB58" s="93" t="s">
        <v>2012</v>
      </c>
      <c r="AC58" s="93" t="s">
        <v>267</v>
      </c>
      <c r="AD58" s="217" t="s">
        <v>272</v>
      </c>
      <c r="AE58" s="11" t="str">
        <f t="shared" si="2"/>
        <v/>
      </c>
      <c r="AF58" s="78" t="s">
        <v>1688</v>
      </c>
      <c r="AG58" s="74"/>
      <c r="AH58" s="75"/>
      <c r="AI58" s="12"/>
      <c r="AJ58" s="11"/>
      <c r="AK58" s="12">
        <v>1.0</v>
      </c>
    </row>
    <row r="59" ht="40.5" customHeight="1">
      <c r="A59" s="11">
        <v>58.0</v>
      </c>
      <c r="B59" s="11" t="s">
        <v>173</v>
      </c>
      <c r="C59" s="11" t="s">
        <v>274</v>
      </c>
      <c r="D59" s="93" t="s">
        <v>275</v>
      </c>
      <c r="E59" s="215" t="s">
        <v>237</v>
      </c>
      <c r="F59" s="216">
        <v>20.0</v>
      </c>
      <c r="G59" s="11" t="s">
        <v>2044</v>
      </c>
      <c r="H59" s="216">
        <v>20.0</v>
      </c>
      <c r="I59" s="763" t="b">
        <v>0</v>
      </c>
      <c r="J59" s="763" t="b">
        <v>0</v>
      </c>
      <c r="K59" s="763" t="b">
        <v>0</v>
      </c>
      <c r="L59" s="763" t="b">
        <v>0</v>
      </c>
      <c r="M59" s="763" t="b">
        <v>0</v>
      </c>
      <c r="N59" s="763" t="b">
        <v>0</v>
      </c>
      <c r="O59" s="763" t="b">
        <v>0</v>
      </c>
      <c r="P59" s="763" t="b">
        <v>0</v>
      </c>
      <c r="Q59" s="763" t="b">
        <v>0</v>
      </c>
      <c r="R59" s="763" t="b">
        <v>0</v>
      </c>
      <c r="S59" s="763" t="b">
        <v>0</v>
      </c>
      <c r="T59" s="763" t="b">
        <v>0</v>
      </c>
      <c r="U59" s="763" t="b">
        <v>0</v>
      </c>
      <c r="V59" s="763" t="b">
        <v>0</v>
      </c>
      <c r="W59" s="763" t="b">
        <v>0</v>
      </c>
      <c r="X59" s="216">
        <v>20.0</v>
      </c>
      <c r="Y59" s="11">
        <f t="shared" si="1"/>
        <v>400</v>
      </c>
      <c r="Z59" s="11" t="s">
        <v>178</v>
      </c>
      <c r="AA59" s="93"/>
      <c r="AB59" s="93" t="s">
        <v>2012</v>
      </c>
      <c r="AC59" s="93" t="s">
        <v>267</v>
      </c>
      <c r="AD59" s="217" t="s">
        <v>276</v>
      </c>
      <c r="AE59" s="11" t="str">
        <f t="shared" si="2"/>
        <v/>
      </c>
      <c r="AF59" s="78" t="s">
        <v>1688</v>
      </c>
      <c r="AG59" s="74"/>
      <c r="AH59" s="75"/>
      <c r="AI59" s="12"/>
      <c r="AJ59" s="11"/>
      <c r="AK59" s="12">
        <v>1.0</v>
      </c>
    </row>
    <row r="60" ht="40.5" customHeight="1">
      <c r="A60" s="11">
        <v>59.0</v>
      </c>
      <c r="B60" s="11" t="s">
        <v>173</v>
      </c>
      <c r="C60" s="11" t="s">
        <v>278</v>
      </c>
      <c r="D60" s="93" t="s">
        <v>279</v>
      </c>
      <c r="E60" s="215" t="s">
        <v>237</v>
      </c>
      <c r="F60" s="216">
        <v>20.0</v>
      </c>
      <c r="G60" s="11" t="s">
        <v>2044</v>
      </c>
      <c r="H60" s="216">
        <v>20.0</v>
      </c>
      <c r="I60" s="763" t="b">
        <v>0</v>
      </c>
      <c r="J60" s="763" t="b">
        <v>0</v>
      </c>
      <c r="K60" s="763" t="b">
        <v>0</v>
      </c>
      <c r="L60" s="763" t="b">
        <v>0</v>
      </c>
      <c r="M60" s="763" t="b">
        <v>0</v>
      </c>
      <c r="N60" s="763" t="b">
        <v>0</v>
      </c>
      <c r="O60" s="763" t="b">
        <v>0</v>
      </c>
      <c r="P60" s="763" t="b">
        <v>0</v>
      </c>
      <c r="Q60" s="763" t="b">
        <v>0</v>
      </c>
      <c r="R60" s="763" t="b">
        <v>0</v>
      </c>
      <c r="S60" s="763" t="b">
        <v>0</v>
      </c>
      <c r="T60" s="763" t="b">
        <v>0</v>
      </c>
      <c r="U60" s="763" t="b">
        <v>0</v>
      </c>
      <c r="V60" s="763" t="b">
        <v>0</v>
      </c>
      <c r="W60" s="763" t="b">
        <v>0</v>
      </c>
      <c r="X60" s="216">
        <v>20.0</v>
      </c>
      <c r="Y60" s="11">
        <f t="shared" si="1"/>
        <v>400</v>
      </c>
      <c r="Z60" s="11" t="s">
        <v>178</v>
      </c>
      <c r="AA60" s="93"/>
      <c r="AB60" s="93" t="s">
        <v>2012</v>
      </c>
      <c r="AC60" s="93" t="s">
        <v>267</v>
      </c>
      <c r="AD60" s="217" t="s">
        <v>280</v>
      </c>
      <c r="AE60" s="11" t="str">
        <f t="shared" si="2"/>
        <v/>
      </c>
      <c r="AF60" s="78" t="s">
        <v>1688</v>
      </c>
      <c r="AG60" s="74"/>
      <c r="AH60" s="75"/>
      <c r="AI60" s="12"/>
      <c r="AJ60" s="11"/>
      <c r="AK60" s="12">
        <v>1.0</v>
      </c>
    </row>
    <row r="61" ht="40.5" customHeight="1">
      <c r="A61" s="11">
        <v>60.0</v>
      </c>
      <c r="B61" s="11" t="s">
        <v>173</v>
      </c>
      <c r="C61" s="11" t="s">
        <v>282</v>
      </c>
      <c r="D61" s="93" t="s">
        <v>283</v>
      </c>
      <c r="E61" s="215" t="s">
        <v>237</v>
      </c>
      <c r="F61" s="216">
        <v>20.0</v>
      </c>
      <c r="G61" s="11" t="s">
        <v>2044</v>
      </c>
      <c r="H61" s="216">
        <v>20.0</v>
      </c>
      <c r="I61" s="763" t="b">
        <v>0</v>
      </c>
      <c r="J61" s="763" t="b">
        <v>0</v>
      </c>
      <c r="K61" s="763" t="b">
        <v>0</v>
      </c>
      <c r="L61" s="763" t="b">
        <v>0</v>
      </c>
      <c r="M61" s="763" t="b">
        <v>0</v>
      </c>
      <c r="N61" s="763" t="b">
        <v>0</v>
      </c>
      <c r="O61" s="763" t="b">
        <v>0</v>
      </c>
      <c r="P61" s="763" t="b">
        <v>0</v>
      </c>
      <c r="Q61" s="763" t="b">
        <v>0</v>
      </c>
      <c r="R61" s="763" t="b">
        <v>0</v>
      </c>
      <c r="S61" s="763" t="b">
        <v>0</v>
      </c>
      <c r="T61" s="763" t="b">
        <v>0</v>
      </c>
      <c r="U61" s="763" t="b">
        <v>0</v>
      </c>
      <c r="V61" s="763" t="b">
        <v>0</v>
      </c>
      <c r="W61" s="763" t="b">
        <v>0</v>
      </c>
      <c r="X61" s="216">
        <v>20.0</v>
      </c>
      <c r="Y61" s="11">
        <f t="shared" si="1"/>
        <v>400</v>
      </c>
      <c r="Z61" s="11" t="s">
        <v>178</v>
      </c>
      <c r="AA61" s="93"/>
      <c r="AB61" s="93" t="s">
        <v>2012</v>
      </c>
      <c r="AC61" s="93" t="s">
        <v>267</v>
      </c>
      <c r="AD61" s="217" t="s">
        <v>284</v>
      </c>
      <c r="AE61" s="11" t="str">
        <f t="shared" si="2"/>
        <v/>
      </c>
      <c r="AF61" s="78" t="s">
        <v>1688</v>
      </c>
      <c r="AG61" s="74"/>
      <c r="AH61" s="75"/>
      <c r="AI61" s="12"/>
      <c r="AJ61" s="11"/>
      <c r="AK61" s="12">
        <v>1.0</v>
      </c>
    </row>
    <row r="62" ht="40.5" customHeight="1">
      <c r="A62" s="11">
        <v>61.0</v>
      </c>
      <c r="B62" s="11" t="s">
        <v>173</v>
      </c>
      <c r="C62" s="11" t="s">
        <v>286</v>
      </c>
      <c r="D62" s="93" t="s">
        <v>287</v>
      </c>
      <c r="E62" s="215" t="s">
        <v>237</v>
      </c>
      <c r="F62" s="216">
        <v>20.0</v>
      </c>
      <c r="G62" s="221" t="s">
        <v>2045</v>
      </c>
      <c r="H62" s="216">
        <v>20.0</v>
      </c>
      <c r="I62" s="763" t="b">
        <v>0</v>
      </c>
      <c r="J62" s="763" t="b">
        <v>0</v>
      </c>
      <c r="K62" s="763" t="b">
        <v>0</v>
      </c>
      <c r="L62" s="763" t="b">
        <v>0</v>
      </c>
      <c r="M62" s="763" t="b">
        <v>0</v>
      </c>
      <c r="N62" s="763" t="b">
        <v>0</v>
      </c>
      <c r="O62" s="763" t="b">
        <v>0</v>
      </c>
      <c r="P62" s="763" t="b">
        <v>0</v>
      </c>
      <c r="Q62" s="763" t="b">
        <v>0</v>
      </c>
      <c r="R62" s="763" t="b">
        <v>0</v>
      </c>
      <c r="S62" s="763" t="b">
        <v>0</v>
      </c>
      <c r="T62" s="763" t="b">
        <v>0</v>
      </c>
      <c r="U62" s="763" t="b">
        <v>0</v>
      </c>
      <c r="V62" s="763" t="b">
        <v>0</v>
      </c>
      <c r="W62" s="763" t="b">
        <v>0</v>
      </c>
      <c r="X62" s="216">
        <v>40.0</v>
      </c>
      <c r="Y62" s="11">
        <f t="shared" si="1"/>
        <v>800</v>
      </c>
      <c r="Z62" s="11" t="s">
        <v>178</v>
      </c>
      <c r="AA62" s="93"/>
      <c r="AB62" s="93" t="s">
        <v>2008</v>
      </c>
      <c r="AC62" s="93" t="s">
        <v>1922</v>
      </c>
      <c r="AD62" s="217" t="s">
        <v>289</v>
      </c>
      <c r="AE62" s="11" t="str">
        <f t="shared" ref="AE62:AE64" si="3">IMAGE("https://cdn.shopify.com/s/files/1/0527/2692/3444/products/M-M10CM_800x.jpg?v=1620840829",1)</f>
        <v/>
      </c>
      <c r="AF62" s="78" t="s">
        <v>1688</v>
      </c>
      <c r="AG62" s="74"/>
      <c r="AH62" s="75"/>
      <c r="AI62" s="12"/>
      <c r="AJ62" s="11"/>
      <c r="AK62" s="12">
        <v>1.0</v>
      </c>
    </row>
    <row r="63" ht="40.5" customHeight="1">
      <c r="A63" s="11">
        <v>62.0</v>
      </c>
      <c r="B63" s="11" t="s">
        <v>173</v>
      </c>
      <c r="C63" s="11" t="s">
        <v>291</v>
      </c>
      <c r="D63" s="93" t="s">
        <v>292</v>
      </c>
      <c r="E63" s="215" t="s">
        <v>237</v>
      </c>
      <c r="F63" s="216">
        <v>20.0</v>
      </c>
      <c r="G63" s="221" t="s">
        <v>2045</v>
      </c>
      <c r="H63" s="216">
        <v>20.0</v>
      </c>
      <c r="I63" s="763" t="b">
        <v>0</v>
      </c>
      <c r="J63" s="763" t="b">
        <v>0</v>
      </c>
      <c r="K63" s="763" t="b">
        <v>0</v>
      </c>
      <c r="L63" s="763" t="b">
        <v>0</v>
      </c>
      <c r="M63" s="763" t="b">
        <v>0</v>
      </c>
      <c r="N63" s="763" t="b">
        <v>0</v>
      </c>
      <c r="O63" s="763" t="b">
        <v>0</v>
      </c>
      <c r="P63" s="763" t="b">
        <v>0</v>
      </c>
      <c r="Q63" s="763" t="b">
        <v>0</v>
      </c>
      <c r="R63" s="763" t="b">
        <v>0</v>
      </c>
      <c r="S63" s="763" t="b">
        <v>0</v>
      </c>
      <c r="T63" s="763" t="b">
        <v>0</v>
      </c>
      <c r="U63" s="763" t="b">
        <v>0</v>
      </c>
      <c r="V63" s="763" t="b">
        <v>0</v>
      </c>
      <c r="W63" s="763" t="b">
        <v>0</v>
      </c>
      <c r="X63" s="216">
        <v>40.0</v>
      </c>
      <c r="Y63" s="11">
        <f t="shared" si="1"/>
        <v>800</v>
      </c>
      <c r="Z63" s="11" t="s">
        <v>178</v>
      </c>
      <c r="AA63" s="93"/>
      <c r="AB63" s="93" t="s">
        <v>2008</v>
      </c>
      <c r="AC63" s="93" t="s">
        <v>1922</v>
      </c>
      <c r="AD63" s="217" t="s">
        <v>293</v>
      </c>
      <c r="AE63" s="11" t="str">
        <f t="shared" si="3"/>
        <v/>
      </c>
      <c r="AF63" s="78" t="s">
        <v>1688</v>
      </c>
      <c r="AG63" s="74"/>
      <c r="AH63" s="75"/>
      <c r="AI63" s="12"/>
      <c r="AJ63" s="11"/>
      <c r="AK63" s="12">
        <v>1.0</v>
      </c>
    </row>
    <row r="64" ht="40.5" customHeight="1">
      <c r="A64" s="11">
        <v>63.0</v>
      </c>
      <c r="B64" s="11" t="s">
        <v>173</v>
      </c>
      <c r="C64" s="11" t="s">
        <v>295</v>
      </c>
      <c r="D64" s="93" t="s">
        <v>296</v>
      </c>
      <c r="E64" s="215" t="s">
        <v>237</v>
      </c>
      <c r="F64" s="216">
        <v>20.0</v>
      </c>
      <c r="G64" s="221" t="s">
        <v>2045</v>
      </c>
      <c r="H64" s="216">
        <v>20.0</v>
      </c>
      <c r="I64" s="763" t="b">
        <v>0</v>
      </c>
      <c r="J64" s="763" t="b">
        <v>0</v>
      </c>
      <c r="K64" s="763" t="b">
        <v>0</v>
      </c>
      <c r="L64" s="763" t="b">
        <v>0</v>
      </c>
      <c r="M64" s="763" t="b">
        <v>0</v>
      </c>
      <c r="N64" s="763" t="b">
        <v>0</v>
      </c>
      <c r="O64" s="763" t="b">
        <v>0</v>
      </c>
      <c r="P64" s="763" t="b">
        <v>0</v>
      </c>
      <c r="Q64" s="763" t="b">
        <v>0</v>
      </c>
      <c r="R64" s="763" t="b">
        <v>0</v>
      </c>
      <c r="S64" s="763" t="b">
        <v>0</v>
      </c>
      <c r="T64" s="763" t="b">
        <v>0</v>
      </c>
      <c r="U64" s="763" t="b">
        <v>0</v>
      </c>
      <c r="V64" s="763" t="b">
        <v>0</v>
      </c>
      <c r="W64" s="763" t="b">
        <v>0</v>
      </c>
      <c r="X64" s="216">
        <v>40.0</v>
      </c>
      <c r="Y64" s="11">
        <f t="shared" si="1"/>
        <v>800</v>
      </c>
      <c r="Z64" s="11" t="s">
        <v>178</v>
      </c>
      <c r="AA64" s="93"/>
      <c r="AB64" s="93" t="s">
        <v>2008</v>
      </c>
      <c r="AC64" s="93" t="s">
        <v>1922</v>
      </c>
      <c r="AD64" s="217" t="s">
        <v>297</v>
      </c>
      <c r="AE64" s="11" t="str">
        <f t="shared" si="3"/>
        <v/>
      </c>
      <c r="AF64" s="78" t="s">
        <v>1688</v>
      </c>
      <c r="AG64" s="74"/>
      <c r="AH64" s="75"/>
      <c r="AI64" s="12"/>
      <c r="AJ64" s="11"/>
      <c r="AK64" s="12">
        <v>1.0</v>
      </c>
    </row>
    <row r="65" ht="40.5" customHeight="1">
      <c r="A65" s="11">
        <v>64.0</v>
      </c>
      <c r="B65" s="11" t="s">
        <v>173</v>
      </c>
      <c r="C65" s="11" t="s">
        <v>299</v>
      </c>
      <c r="D65" s="93" t="s">
        <v>300</v>
      </c>
      <c r="E65" s="215" t="s">
        <v>237</v>
      </c>
      <c r="F65" s="216">
        <v>10.0</v>
      </c>
      <c r="G65" s="11" t="s">
        <v>2046</v>
      </c>
      <c r="H65" s="216">
        <v>10.0</v>
      </c>
      <c r="I65" s="763" t="b">
        <v>0</v>
      </c>
      <c r="J65" s="763" t="b">
        <v>0</v>
      </c>
      <c r="K65" s="763" t="b">
        <v>0</v>
      </c>
      <c r="L65" s="763" t="b">
        <v>0</v>
      </c>
      <c r="M65" s="763" t="b">
        <v>0</v>
      </c>
      <c r="N65" s="763" t="b">
        <v>0</v>
      </c>
      <c r="O65" s="763" t="b">
        <v>0</v>
      </c>
      <c r="P65" s="763" t="b">
        <v>0</v>
      </c>
      <c r="Q65" s="763" t="b">
        <v>0</v>
      </c>
      <c r="R65" s="763" t="b">
        <v>0</v>
      </c>
      <c r="S65" s="763" t="b">
        <v>0</v>
      </c>
      <c r="T65" s="763" t="b">
        <v>0</v>
      </c>
      <c r="U65" s="763" t="b">
        <v>0</v>
      </c>
      <c r="V65" s="763" t="b">
        <v>0</v>
      </c>
      <c r="W65" s="763" t="b">
        <v>0</v>
      </c>
      <c r="X65" s="216">
        <v>50.0</v>
      </c>
      <c r="Y65" s="11">
        <f t="shared" si="1"/>
        <v>500</v>
      </c>
      <c r="Z65" s="11" t="s">
        <v>178</v>
      </c>
      <c r="AA65" s="93"/>
      <c r="AB65" s="93" t="s">
        <v>1594</v>
      </c>
      <c r="AC65" s="93" t="s">
        <v>300</v>
      </c>
      <c r="AD65" s="217" t="s">
        <v>301</v>
      </c>
      <c r="AE65" s="11" t="str">
        <f>IMAGE("https://encrypted-tbn0.gstatic.com/images?q=tbn:ANd9GcR4A79FMiemvwjtYU3z1SGV0ayCZPtc8oNMobr5AuvlhGOJoeuq78aTh7JjRPQlfFrsXfE&amp;usqp=CAU",1)</f>
        <v/>
      </c>
      <c r="AF65" s="78" t="s">
        <v>1688</v>
      </c>
      <c r="AG65" s="74"/>
      <c r="AH65" s="75"/>
      <c r="AI65" s="12"/>
      <c r="AJ65" s="11"/>
      <c r="AK65" s="12">
        <v>1.0</v>
      </c>
    </row>
    <row r="66" ht="40.5" customHeight="1">
      <c r="A66" s="11">
        <v>65.0</v>
      </c>
      <c r="B66" s="11" t="s">
        <v>173</v>
      </c>
      <c r="C66" s="11" t="s">
        <v>303</v>
      </c>
      <c r="D66" s="93" t="s">
        <v>304</v>
      </c>
      <c r="E66" s="215" t="s">
        <v>237</v>
      </c>
      <c r="F66" s="216">
        <v>10.0</v>
      </c>
      <c r="G66" s="221" t="s">
        <v>2047</v>
      </c>
      <c r="H66" s="216">
        <v>10.0</v>
      </c>
      <c r="I66" s="763" t="b">
        <v>0</v>
      </c>
      <c r="J66" s="763" t="b">
        <v>0</v>
      </c>
      <c r="K66" s="763" t="b">
        <v>0</v>
      </c>
      <c r="L66" s="763" t="b">
        <v>0</v>
      </c>
      <c r="M66" s="763" t="b">
        <v>0</v>
      </c>
      <c r="N66" s="763" t="b">
        <v>0</v>
      </c>
      <c r="O66" s="763" t="b">
        <v>0</v>
      </c>
      <c r="P66" s="763" t="b">
        <v>0</v>
      </c>
      <c r="Q66" s="763" t="b">
        <v>0</v>
      </c>
      <c r="R66" s="763" t="b">
        <v>0</v>
      </c>
      <c r="S66" s="763" t="b">
        <v>0</v>
      </c>
      <c r="T66" s="763" t="b">
        <v>0</v>
      </c>
      <c r="U66" s="763" t="b">
        <v>0</v>
      </c>
      <c r="V66" s="763" t="b">
        <v>0</v>
      </c>
      <c r="W66" s="763" t="b">
        <v>0</v>
      </c>
      <c r="X66" s="216">
        <v>50.0</v>
      </c>
      <c r="Y66" s="11">
        <f t="shared" si="1"/>
        <v>500</v>
      </c>
      <c r="Z66" s="11" t="s">
        <v>178</v>
      </c>
      <c r="AA66" s="93"/>
      <c r="AB66" s="93" t="s">
        <v>2012</v>
      </c>
      <c r="AC66" s="93" t="s">
        <v>304</v>
      </c>
      <c r="AD66" s="217" t="s">
        <v>306</v>
      </c>
      <c r="AE66" s="11" t="str">
        <f>IMAGE("https://robu.in/wp-content/uploads/2018/07/50-CM-Micro-USB-Cable-1.jpg",1)</f>
        <v/>
      </c>
      <c r="AF66" s="78" t="s">
        <v>1688</v>
      </c>
      <c r="AG66" s="74"/>
      <c r="AH66" s="75"/>
      <c r="AI66" s="5"/>
      <c r="AJ66" s="14"/>
      <c r="AK66" s="12">
        <v>1.0</v>
      </c>
    </row>
    <row r="67" ht="40.5" customHeight="1">
      <c r="A67" s="11">
        <v>66.0</v>
      </c>
      <c r="B67" s="11"/>
      <c r="C67" s="224" t="s">
        <v>308</v>
      </c>
      <c r="D67" s="225" t="s">
        <v>309</v>
      </c>
      <c r="E67" s="215"/>
      <c r="F67" s="216"/>
      <c r="G67" s="11"/>
      <c r="H67" s="216"/>
      <c r="I67" s="763" t="b">
        <v>0</v>
      </c>
      <c r="J67" s="763" t="b">
        <v>0</v>
      </c>
      <c r="K67" s="763" t="b">
        <v>0</v>
      </c>
      <c r="L67" s="763" t="b">
        <v>0</v>
      </c>
      <c r="M67" s="763" t="b">
        <v>0</v>
      </c>
      <c r="N67" s="763" t="b">
        <v>0</v>
      </c>
      <c r="O67" s="763" t="b">
        <v>0</v>
      </c>
      <c r="P67" s="763" t="b">
        <v>0</v>
      </c>
      <c r="Q67" s="763" t="b">
        <v>0</v>
      </c>
      <c r="R67" s="763" t="b">
        <v>0</v>
      </c>
      <c r="S67" s="763" t="b">
        <v>0</v>
      </c>
      <c r="T67" s="763" t="b">
        <v>0</v>
      </c>
      <c r="U67" s="763" t="b">
        <v>0</v>
      </c>
      <c r="V67" s="763" t="b">
        <v>0</v>
      </c>
      <c r="W67" s="763" t="b">
        <v>0</v>
      </c>
      <c r="X67" s="216"/>
      <c r="Y67" s="11"/>
      <c r="Z67" s="11"/>
      <c r="AA67" s="93"/>
      <c r="AB67" s="93"/>
      <c r="AC67" s="93"/>
      <c r="AD67" s="217"/>
      <c r="AE67" s="11"/>
      <c r="AF67" s="78"/>
      <c r="AG67" s="74"/>
      <c r="AH67" s="75"/>
      <c r="AI67" s="5"/>
      <c r="AJ67" s="14"/>
      <c r="AK67" s="12"/>
    </row>
    <row r="68" ht="40.5" customHeight="1">
      <c r="A68" s="11">
        <v>67.0</v>
      </c>
      <c r="B68" s="11" t="s">
        <v>173</v>
      </c>
      <c r="C68" s="11" t="s">
        <v>313</v>
      </c>
      <c r="D68" s="93" t="s">
        <v>314</v>
      </c>
      <c r="E68" s="215" t="s">
        <v>237</v>
      </c>
      <c r="F68" s="11">
        <v>1.0</v>
      </c>
      <c r="G68" s="11" t="s">
        <v>2026</v>
      </c>
      <c r="H68" s="11">
        <v>1.0</v>
      </c>
      <c r="I68" s="763" t="b">
        <v>0</v>
      </c>
      <c r="J68" s="763" t="b">
        <v>0</v>
      </c>
      <c r="K68" s="763" t="b">
        <v>0</v>
      </c>
      <c r="L68" s="763" t="b">
        <v>0</v>
      </c>
      <c r="M68" s="763" t="b">
        <v>0</v>
      </c>
      <c r="N68" s="763" t="b">
        <v>0</v>
      </c>
      <c r="O68" s="763" t="b">
        <v>0</v>
      </c>
      <c r="P68" s="763" t="b">
        <v>0</v>
      </c>
      <c r="Q68" s="763" t="b">
        <v>0</v>
      </c>
      <c r="R68" s="763" t="b">
        <v>0</v>
      </c>
      <c r="S68" s="763" t="b">
        <v>0</v>
      </c>
      <c r="T68" s="763" t="b">
        <v>0</v>
      </c>
      <c r="U68" s="763" t="b">
        <v>0</v>
      </c>
      <c r="V68" s="763" t="b">
        <v>0</v>
      </c>
      <c r="W68" s="763" t="b">
        <v>0</v>
      </c>
      <c r="X68" s="11">
        <v>300.0</v>
      </c>
      <c r="Y68" s="11">
        <f t="shared" ref="Y68:Y84" si="4">X68*H68</f>
        <v>300</v>
      </c>
      <c r="Z68" s="11" t="s">
        <v>142</v>
      </c>
      <c r="AA68" s="93"/>
      <c r="AB68" s="93" t="s">
        <v>1902</v>
      </c>
      <c r="AC68" s="93" t="s">
        <v>237</v>
      </c>
      <c r="AD68" s="217" t="s">
        <v>315</v>
      </c>
      <c r="AE68" s="11" t="str">
        <f>IMAGE("https://m.media-amazon.com/images/I/41ajXEZ8zhL._SL1200_.jpg",1)</f>
        <v/>
      </c>
      <c r="AF68" s="78"/>
      <c r="AG68" s="79"/>
      <c r="AH68" s="80"/>
      <c r="AI68" s="12"/>
      <c r="AJ68" s="11"/>
      <c r="AK68" s="12">
        <v>1.0</v>
      </c>
    </row>
    <row r="69" ht="40.5" customHeight="1">
      <c r="A69" s="11">
        <v>68.0</v>
      </c>
      <c r="B69" s="11" t="s">
        <v>173</v>
      </c>
      <c r="C69" s="11" t="s">
        <v>317</v>
      </c>
      <c r="D69" s="93" t="s">
        <v>1924</v>
      </c>
      <c r="E69" s="215" t="s">
        <v>237</v>
      </c>
      <c r="F69" s="216">
        <v>10.0</v>
      </c>
      <c r="G69" s="221" t="s">
        <v>2036</v>
      </c>
      <c r="H69" s="216">
        <v>10.0</v>
      </c>
      <c r="I69" s="763" t="b">
        <v>0</v>
      </c>
      <c r="J69" s="763" t="b">
        <v>0</v>
      </c>
      <c r="K69" s="763" t="b">
        <v>0</v>
      </c>
      <c r="L69" s="763" t="b">
        <v>0</v>
      </c>
      <c r="M69" s="763" t="b">
        <v>0</v>
      </c>
      <c r="N69" s="763" t="b">
        <v>0</v>
      </c>
      <c r="O69" s="763" t="b">
        <v>0</v>
      </c>
      <c r="P69" s="763" t="b">
        <v>0</v>
      </c>
      <c r="Q69" s="763" t="b">
        <v>0</v>
      </c>
      <c r="R69" s="763" t="b">
        <v>0</v>
      </c>
      <c r="S69" s="763" t="b">
        <v>0</v>
      </c>
      <c r="T69" s="763" t="b">
        <v>0</v>
      </c>
      <c r="U69" s="763" t="b">
        <v>0</v>
      </c>
      <c r="V69" s="763" t="b">
        <v>0</v>
      </c>
      <c r="W69" s="763" t="b">
        <v>0</v>
      </c>
      <c r="X69" s="216">
        <v>50.0</v>
      </c>
      <c r="Y69" s="11">
        <f t="shared" si="4"/>
        <v>500</v>
      </c>
      <c r="Z69" s="11" t="s">
        <v>178</v>
      </c>
      <c r="AA69" s="93"/>
      <c r="AB69" s="93" t="s">
        <v>1895</v>
      </c>
      <c r="AC69" s="93" t="s">
        <v>237</v>
      </c>
      <c r="AD69" s="217" t="s">
        <v>320</v>
      </c>
      <c r="AE69" s="11" t="str">
        <f>IMAGE("https://robu.in/wp-content/uploads/2019/06/3.5mm-Audio-Plug-3-Pole-Gold-plated-Earphone-Adapter-For-DIY-Stereo-Headset-5.jpg",1)</f>
        <v/>
      </c>
      <c r="AF69" s="78" t="s">
        <v>1688</v>
      </c>
      <c r="AG69" s="74"/>
      <c r="AH69" s="75"/>
      <c r="AI69" s="12"/>
      <c r="AJ69" s="11"/>
      <c r="AK69" s="12">
        <v>1.0</v>
      </c>
    </row>
    <row r="70" ht="40.5" customHeight="1">
      <c r="A70" s="11">
        <v>69.0</v>
      </c>
      <c r="B70" s="11" t="s">
        <v>321</v>
      </c>
      <c r="C70" s="11" t="s">
        <v>323</v>
      </c>
      <c r="D70" s="93" t="s">
        <v>324</v>
      </c>
      <c r="E70" s="215" t="s">
        <v>325</v>
      </c>
      <c r="F70" s="11">
        <v>1.0</v>
      </c>
      <c r="G70" s="11" t="s">
        <v>2049</v>
      </c>
      <c r="H70" s="11">
        <v>1.0</v>
      </c>
      <c r="I70" s="763" t="b">
        <v>0</v>
      </c>
      <c r="J70" s="763" t="b">
        <v>0</v>
      </c>
      <c r="K70" s="763" t="b">
        <v>0</v>
      </c>
      <c r="L70" s="763" t="b">
        <v>0</v>
      </c>
      <c r="M70" s="763" t="b">
        <v>0</v>
      </c>
      <c r="N70" s="763" t="b">
        <v>0</v>
      </c>
      <c r="O70" s="763" t="b">
        <v>0</v>
      </c>
      <c r="P70" s="763" t="b">
        <v>0</v>
      </c>
      <c r="Q70" s="763" t="b">
        <v>0</v>
      </c>
      <c r="R70" s="763" t="b">
        <v>0</v>
      </c>
      <c r="S70" s="763" t="b">
        <v>0</v>
      </c>
      <c r="T70" s="763" t="b">
        <v>0</v>
      </c>
      <c r="U70" s="763" t="b">
        <v>0</v>
      </c>
      <c r="V70" s="763" t="b">
        <v>0</v>
      </c>
      <c r="W70" s="763" t="b">
        <v>0</v>
      </c>
      <c r="X70" s="11">
        <v>200.0</v>
      </c>
      <c r="Y70" s="11">
        <f t="shared" si="4"/>
        <v>200</v>
      </c>
      <c r="Z70" s="11" t="s">
        <v>326</v>
      </c>
      <c r="AA70" s="93"/>
      <c r="AB70" s="93"/>
      <c r="AC70" s="93" t="s">
        <v>1925</v>
      </c>
      <c r="AD70" s="217" t="s">
        <v>78</v>
      </c>
      <c r="AE70" s="11" t="str">
        <f>IMAGE("https://5.imimg.com/data5/PL/FV/MY-11916319/synthetic-angle-broom-500x500.jpg",1)</f>
        <v/>
      </c>
      <c r="AF70" s="78"/>
      <c r="AG70" s="74"/>
      <c r="AH70" s="75"/>
      <c r="AI70" s="12"/>
      <c r="AJ70" s="11"/>
      <c r="AK70" s="12">
        <v>3.0</v>
      </c>
    </row>
    <row r="71" ht="40.5" customHeight="1">
      <c r="A71" s="11">
        <v>70.0</v>
      </c>
      <c r="B71" s="11" t="s">
        <v>321</v>
      </c>
      <c r="C71" s="11" t="s">
        <v>328</v>
      </c>
      <c r="D71" s="93" t="s">
        <v>329</v>
      </c>
      <c r="E71" s="215" t="s">
        <v>325</v>
      </c>
      <c r="F71" s="11">
        <v>1.0</v>
      </c>
      <c r="G71" s="11" t="s">
        <v>2049</v>
      </c>
      <c r="H71" s="11">
        <v>1.0</v>
      </c>
      <c r="I71" s="763" t="b">
        <v>0</v>
      </c>
      <c r="J71" s="763" t="b">
        <v>0</v>
      </c>
      <c r="K71" s="763" t="b">
        <v>0</v>
      </c>
      <c r="L71" s="763" t="b">
        <v>0</v>
      </c>
      <c r="M71" s="763" t="b">
        <v>0</v>
      </c>
      <c r="N71" s="763" t="b">
        <v>0</v>
      </c>
      <c r="O71" s="763" t="b">
        <v>0</v>
      </c>
      <c r="P71" s="763" t="b">
        <v>0</v>
      </c>
      <c r="Q71" s="763" t="b">
        <v>0</v>
      </c>
      <c r="R71" s="763" t="b">
        <v>0</v>
      </c>
      <c r="S71" s="763" t="b">
        <v>0</v>
      </c>
      <c r="T71" s="763" t="b">
        <v>0</v>
      </c>
      <c r="U71" s="763" t="b">
        <v>0</v>
      </c>
      <c r="V71" s="763" t="b">
        <v>0</v>
      </c>
      <c r="W71" s="763" t="b">
        <v>0</v>
      </c>
      <c r="X71" s="11">
        <v>100.0</v>
      </c>
      <c r="Y71" s="11">
        <f t="shared" si="4"/>
        <v>100</v>
      </c>
      <c r="Z71" s="11" t="s">
        <v>326</v>
      </c>
      <c r="AA71" s="93"/>
      <c r="AB71" s="93"/>
      <c r="AC71" s="93" t="s">
        <v>1925</v>
      </c>
      <c r="AD71" s="217" t="s">
        <v>330</v>
      </c>
      <c r="AE71" s="11" t="str">
        <f>IMAGE("https://m.media-amazon.com/images/W/MEDIAX_792452-T2/images/I/61z4uqZdmPL._AC_UF1000,1000_QL80_.jpg",1)</f>
        <v/>
      </c>
      <c r="AF71" s="78" t="s">
        <v>56</v>
      </c>
      <c r="AG71" s="79"/>
      <c r="AH71" s="80"/>
      <c r="AI71" s="12"/>
      <c r="AJ71" s="11"/>
      <c r="AK71" s="12">
        <v>3.0</v>
      </c>
    </row>
    <row r="72" ht="40.5" customHeight="1">
      <c r="A72" s="11">
        <v>71.0</v>
      </c>
      <c r="B72" s="11" t="s">
        <v>321</v>
      </c>
      <c r="C72" s="11" t="s">
        <v>332</v>
      </c>
      <c r="D72" s="93" t="s">
        <v>333</v>
      </c>
      <c r="E72" s="215" t="s">
        <v>325</v>
      </c>
      <c r="F72" s="11">
        <v>5.0</v>
      </c>
      <c r="G72" s="11" t="s">
        <v>2049</v>
      </c>
      <c r="H72" s="11">
        <v>5.0</v>
      </c>
      <c r="I72" s="763" t="b">
        <v>0</v>
      </c>
      <c r="J72" s="763" t="b">
        <v>0</v>
      </c>
      <c r="K72" s="763" t="b">
        <v>0</v>
      </c>
      <c r="L72" s="763" t="b">
        <v>0</v>
      </c>
      <c r="M72" s="763" t="b">
        <v>0</v>
      </c>
      <c r="N72" s="763" t="b">
        <v>0</v>
      </c>
      <c r="O72" s="763" t="b">
        <v>0</v>
      </c>
      <c r="P72" s="763" t="b">
        <v>0</v>
      </c>
      <c r="Q72" s="763" t="b">
        <v>0</v>
      </c>
      <c r="R72" s="763" t="b">
        <v>0</v>
      </c>
      <c r="S72" s="763" t="b">
        <v>0</v>
      </c>
      <c r="T72" s="763" t="b">
        <v>0</v>
      </c>
      <c r="U72" s="763" t="b">
        <v>0</v>
      </c>
      <c r="V72" s="763" t="b">
        <v>0</v>
      </c>
      <c r="W72" s="763" t="b">
        <v>0</v>
      </c>
      <c r="X72" s="11">
        <v>100.0</v>
      </c>
      <c r="Y72" s="11">
        <f t="shared" si="4"/>
        <v>500</v>
      </c>
      <c r="Z72" s="11" t="s">
        <v>326</v>
      </c>
      <c r="AA72" s="93"/>
      <c r="AB72" s="93"/>
      <c r="AC72" s="93" t="s">
        <v>1925</v>
      </c>
      <c r="AD72" s="217" t="s">
        <v>334</v>
      </c>
      <c r="AE72" s="11" t="str">
        <f>IMAGE("https://m.media-amazon.com/images/W/MEDIAX_792452-T2/images/I/61Njm4X2d2L._AC_UF1000,1000_QL80_.jpg",1)</f>
        <v/>
      </c>
      <c r="AF72" s="78"/>
      <c r="AG72" s="74"/>
      <c r="AH72" s="75"/>
      <c r="AI72" s="12"/>
      <c r="AJ72" s="11"/>
      <c r="AK72" s="12">
        <v>3.0</v>
      </c>
    </row>
    <row r="73" ht="40.5" customHeight="1">
      <c r="A73" s="11">
        <v>72.0</v>
      </c>
      <c r="B73" s="11" t="s">
        <v>321</v>
      </c>
      <c r="C73" s="11" t="s">
        <v>336</v>
      </c>
      <c r="D73" s="93" t="s">
        <v>337</v>
      </c>
      <c r="E73" s="215" t="s">
        <v>325</v>
      </c>
      <c r="F73" s="11">
        <v>1.0</v>
      </c>
      <c r="G73" s="11" t="s">
        <v>2049</v>
      </c>
      <c r="H73" s="11">
        <v>1.0</v>
      </c>
      <c r="I73" s="763" t="b">
        <v>0</v>
      </c>
      <c r="J73" s="763" t="b">
        <v>0</v>
      </c>
      <c r="K73" s="763" t="b">
        <v>0</v>
      </c>
      <c r="L73" s="763" t="b">
        <v>0</v>
      </c>
      <c r="M73" s="763" t="b">
        <v>0</v>
      </c>
      <c r="N73" s="763" t="b">
        <v>0</v>
      </c>
      <c r="O73" s="763" t="b">
        <v>0</v>
      </c>
      <c r="P73" s="763" t="b">
        <v>0</v>
      </c>
      <c r="Q73" s="763" t="b">
        <v>0</v>
      </c>
      <c r="R73" s="763" t="b">
        <v>0</v>
      </c>
      <c r="S73" s="763" t="b">
        <v>0</v>
      </c>
      <c r="T73" s="763" t="b">
        <v>0</v>
      </c>
      <c r="U73" s="763" t="b">
        <v>0</v>
      </c>
      <c r="V73" s="763" t="b">
        <v>0</v>
      </c>
      <c r="W73" s="763" t="b">
        <v>0</v>
      </c>
      <c r="X73" s="11">
        <v>3600.0</v>
      </c>
      <c r="Y73" s="11">
        <f t="shared" si="4"/>
        <v>3600</v>
      </c>
      <c r="Z73" s="11" t="s">
        <v>326</v>
      </c>
      <c r="AA73" s="93" t="s">
        <v>65</v>
      </c>
      <c r="AB73" s="123" t="s">
        <v>65</v>
      </c>
      <c r="AC73" s="93" t="s">
        <v>1925</v>
      </c>
      <c r="AD73" s="217" t="s">
        <v>338</v>
      </c>
      <c r="AE73" s="11" t="str">
        <f>IMAGE("https://m.media-amazon.com/images/I/61HelF+y3YL._SL1500_.jpg",1)</f>
        <v/>
      </c>
      <c r="AF73" s="73" t="s">
        <v>1689</v>
      </c>
      <c r="AG73" s="74"/>
      <c r="AH73" s="75"/>
      <c r="AI73" s="5"/>
      <c r="AJ73" s="14"/>
      <c r="AK73" s="12">
        <v>3.0</v>
      </c>
    </row>
    <row r="74" ht="40.5" customHeight="1">
      <c r="A74" s="11">
        <v>73.0</v>
      </c>
      <c r="B74" s="11" t="s">
        <v>321</v>
      </c>
      <c r="C74" s="11" t="s">
        <v>340</v>
      </c>
      <c r="D74" s="93" t="s">
        <v>341</v>
      </c>
      <c r="E74" s="215" t="s">
        <v>325</v>
      </c>
      <c r="F74" s="11">
        <v>3.0</v>
      </c>
      <c r="G74" s="11" t="s">
        <v>2049</v>
      </c>
      <c r="H74" s="11">
        <v>3.0</v>
      </c>
      <c r="I74" s="763" t="b">
        <v>0</v>
      </c>
      <c r="J74" s="763" t="b">
        <v>0</v>
      </c>
      <c r="K74" s="763" t="b">
        <v>0</v>
      </c>
      <c r="L74" s="763" t="b">
        <v>0</v>
      </c>
      <c r="M74" s="763" t="b">
        <v>0</v>
      </c>
      <c r="N74" s="763" t="b">
        <v>0</v>
      </c>
      <c r="O74" s="763" t="b">
        <v>0</v>
      </c>
      <c r="P74" s="763" t="b">
        <v>0</v>
      </c>
      <c r="Q74" s="763" t="b">
        <v>0</v>
      </c>
      <c r="R74" s="763" t="b">
        <v>0</v>
      </c>
      <c r="S74" s="763" t="b">
        <v>0</v>
      </c>
      <c r="T74" s="763" t="b">
        <v>0</v>
      </c>
      <c r="U74" s="763" t="b">
        <v>0</v>
      </c>
      <c r="V74" s="763" t="b">
        <v>0</v>
      </c>
      <c r="W74" s="763" t="b">
        <v>0</v>
      </c>
      <c r="X74" s="11">
        <v>800.0</v>
      </c>
      <c r="Y74" s="11">
        <f t="shared" si="4"/>
        <v>2400</v>
      </c>
      <c r="Z74" s="11" t="s">
        <v>326</v>
      </c>
      <c r="AA74" s="93"/>
      <c r="AB74" s="93"/>
      <c r="AC74" s="93" t="s">
        <v>1925</v>
      </c>
      <c r="AD74" s="217"/>
      <c r="AE74" s="11" t="str">
        <f>IMAGE("https://rukminim2.flixcart.com/image/850/1000/kshtxu80/dustbin/p/l/y/swaccha-bharat-champaign-dry-and-wet-waste-bins-small-11ltr-original-imag6fnfj6pqmsba.jpeg?q=20",1)</f>
        <v/>
      </c>
      <c r="AF74" s="78"/>
      <c r="AG74" s="79"/>
      <c r="AH74" s="80"/>
      <c r="AI74" s="12"/>
      <c r="AJ74" s="11"/>
      <c r="AK74" s="12">
        <v>3.0</v>
      </c>
    </row>
    <row r="75" ht="40.5" customHeight="1">
      <c r="A75" s="11">
        <v>74.0</v>
      </c>
      <c r="B75" s="11" t="s">
        <v>342</v>
      </c>
      <c r="C75" s="11" t="s">
        <v>344</v>
      </c>
      <c r="D75" s="93" t="s">
        <v>345</v>
      </c>
      <c r="E75" s="215" t="s">
        <v>346</v>
      </c>
      <c r="F75" s="216">
        <v>1.0</v>
      </c>
      <c r="G75" s="11" t="s">
        <v>2050</v>
      </c>
      <c r="H75" s="216">
        <v>2.0</v>
      </c>
      <c r="I75" s="763" t="b">
        <v>0</v>
      </c>
      <c r="J75" s="763" t="b">
        <v>0</v>
      </c>
      <c r="K75" s="763" t="b">
        <v>0</v>
      </c>
      <c r="L75" s="763" t="b">
        <v>0</v>
      </c>
      <c r="M75" s="763" t="b">
        <v>0</v>
      </c>
      <c r="N75" s="763" t="b">
        <v>0</v>
      </c>
      <c r="O75" s="763" t="b">
        <v>0</v>
      </c>
      <c r="P75" s="763" t="b">
        <v>0</v>
      </c>
      <c r="Q75" s="763" t="b">
        <v>0</v>
      </c>
      <c r="R75" s="763" t="b">
        <v>0</v>
      </c>
      <c r="S75" s="763" t="b">
        <v>0</v>
      </c>
      <c r="T75" s="763" t="b">
        <v>0</v>
      </c>
      <c r="U75" s="763" t="b">
        <v>0</v>
      </c>
      <c r="V75" s="763" t="b">
        <v>0</v>
      </c>
      <c r="W75" s="763" t="b">
        <v>0</v>
      </c>
      <c r="X75" s="216">
        <v>200.0</v>
      </c>
      <c r="Y75" s="11">
        <f t="shared" si="4"/>
        <v>400</v>
      </c>
      <c r="Z75" s="11" t="s">
        <v>347</v>
      </c>
      <c r="AA75" s="93" t="s">
        <v>21</v>
      </c>
      <c r="AB75" s="11"/>
      <c r="AC75" s="215" t="s">
        <v>346</v>
      </c>
      <c r="AD75" s="217" t="s">
        <v>348</v>
      </c>
      <c r="AE75" s="11" t="str">
        <f>IMAGE("https://m.media-amazon.com/images/I/71NdWJD1LKL._SL1500_.jpg",1)</f>
        <v/>
      </c>
      <c r="AF75" s="78" t="s">
        <v>1689</v>
      </c>
      <c r="AG75" s="74" t="s">
        <v>1691</v>
      </c>
      <c r="AH75" s="75"/>
      <c r="AI75" s="12"/>
      <c r="AJ75" s="11"/>
      <c r="AK75" s="12">
        <v>3.0</v>
      </c>
    </row>
    <row r="76" ht="40.5" customHeight="1">
      <c r="A76" s="11">
        <v>75.0</v>
      </c>
      <c r="B76" s="11" t="s">
        <v>342</v>
      </c>
      <c r="C76" s="11" t="s">
        <v>350</v>
      </c>
      <c r="D76" s="93" t="s">
        <v>351</v>
      </c>
      <c r="E76" s="215" t="s">
        <v>346</v>
      </c>
      <c r="F76" s="216">
        <v>1.0</v>
      </c>
      <c r="G76" s="11" t="s">
        <v>2051</v>
      </c>
      <c r="H76" s="216">
        <v>2.0</v>
      </c>
      <c r="I76" s="763" t="b">
        <v>0</v>
      </c>
      <c r="J76" s="763" t="b">
        <v>0</v>
      </c>
      <c r="K76" s="763" t="b">
        <v>0</v>
      </c>
      <c r="L76" s="763" t="b">
        <v>0</v>
      </c>
      <c r="M76" s="763" t="b">
        <v>0</v>
      </c>
      <c r="N76" s="763" t="b">
        <v>0</v>
      </c>
      <c r="O76" s="763" t="b">
        <v>0</v>
      </c>
      <c r="P76" s="763" t="b">
        <v>0</v>
      </c>
      <c r="Q76" s="763" t="b">
        <v>0</v>
      </c>
      <c r="R76" s="763" t="b">
        <v>0</v>
      </c>
      <c r="S76" s="763" t="b">
        <v>0</v>
      </c>
      <c r="T76" s="763" t="b">
        <v>0</v>
      </c>
      <c r="U76" s="763" t="b">
        <v>0</v>
      </c>
      <c r="V76" s="763" t="b">
        <v>0</v>
      </c>
      <c r="W76" s="763" t="b">
        <v>0</v>
      </c>
      <c r="X76" s="216">
        <v>180.0</v>
      </c>
      <c r="Y76" s="11">
        <f t="shared" si="4"/>
        <v>360</v>
      </c>
      <c r="Z76" s="11" t="s">
        <v>347</v>
      </c>
      <c r="AA76" s="93"/>
      <c r="AB76" s="93"/>
      <c r="AC76" s="215" t="s">
        <v>346</v>
      </c>
      <c r="AD76" s="217" t="s">
        <v>353</v>
      </c>
      <c r="AE76" s="11" t="str">
        <f>IMAGE("https://m.media-amazon.com/images/I/41GBeFsg3kL.jpg",1)</f>
        <v/>
      </c>
      <c r="AF76" s="78"/>
      <c r="AG76" s="74"/>
      <c r="AH76" s="75"/>
      <c r="AI76" s="12"/>
      <c r="AJ76" s="11"/>
      <c r="AK76" s="12">
        <v>3.0</v>
      </c>
    </row>
    <row r="77" ht="40.5" customHeight="1">
      <c r="A77" s="11">
        <v>76.0</v>
      </c>
      <c r="B77" s="11" t="s">
        <v>342</v>
      </c>
      <c r="C77" s="11" t="s">
        <v>355</v>
      </c>
      <c r="D77" s="93" t="s">
        <v>356</v>
      </c>
      <c r="E77" s="215" t="s">
        <v>346</v>
      </c>
      <c r="F77" s="216">
        <v>1.0</v>
      </c>
      <c r="G77" s="11" t="s">
        <v>2050</v>
      </c>
      <c r="H77" s="216">
        <v>1.0</v>
      </c>
      <c r="I77" s="763" t="b">
        <v>0</v>
      </c>
      <c r="J77" s="763" t="b">
        <v>0</v>
      </c>
      <c r="K77" s="763" t="b">
        <v>0</v>
      </c>
      <c r="L77" s="763" t="b">
        <v>0</v>
      </c>
      <c r="M77" s="763" t="b">
        <v>0</v>
      </c>
      <c r="N77" s="763" t="b">
        <v>0</v>
      </c>
      <c r="O77" s="763" t="b">
        <v>0</v>
      </c>
      <c r="P77" s="763" t="b">
        <v>0</v>
      </c>
      <c r="Q77" s="763" t="b">
        <v>0</v>
      </c>
      <c r="R77" s="763" t="b">
        <v>0</v>
      </c>
      <c r="S77" s="763" t="b">
        <v>0</v>
      </c>
      <c r="T77" s="763" t="b">
        <v>0</v>
      </c>
      <c r="U77" s="763" t="b">
        <v>0</v>
      </c>
      <c r="V77" s="763" t="b">
        <v>0</v>
      </c>
      <c r="W77" s="763" t="b">
        <v>0</v>
      </c>
      <c r="X77" s="216">
        <v>300.0</v>
      </c>
      <c r="Y77" s="11">
        <f t="shared" si="4"/>
        <v>300</v>
      </c>
      <c r="Z77" s="11" t="s">
        <v>347</v>
      </c>
      <c r="AA77" s="93" t="s">
        <v>77</v>
      </c>
      <c r="AB77" s="93" t="s">
        <v>2052</v>
      </c>
      <c r="AC77" s="215" t="s">
        <v>346</v>
      </c>
      <c r="AD77" s="217" t="s">
        <v>357</v>
      </c>
      <c r="AE77" s="11" t="str">
        <f>IMAGE("https://services.ibo.com/media/v1/products/images/db78032d-e5ba-4c4c-bc8f-110fa0021b77/stanley-sta7221xjin-16-pc-drilling-and-screwdriving-set-1.jpeg",1)</f>
        <v/>
      </c>
      <c r="AF77" s="73" t="s">
        <v>1689</v>
      </c>
      <c r="AG77" s="74" t="s">
        <v>1692</v>
      </c>
      <c r="AH77" s="75"/>
      <c r="AI77" s="12"/>
      <c r="AJ77" s="11"/>
      <c r="AK77" s="12">
        <v>3.0</v>
      </c>
    </row>
    <row r="78" ht="40.5" customHeight="1">
      <c r="A78" s="11">
        <v>77.0</v>
      </c>
      <c r="B78" s="11" t="s">
        <v>342</v>
      </c>
      <c r="C78" s="11" t="s">
        <v>359</v>
      </c>
      <c r="D78" s="93" t="s">
        <v>360</v>
      </c>
      <c r="E78" s="215" t="s">
        <v>346</v>
      </c>
      <c r="F78" s="216">
        <v>1.0</v>
      </c>
      <c r="G78" s="11" t="s">
        <v>2050</v>
      </c>
      <c r="H78" s="216">
        <v>1.0</v>
      </c>
      <c r="I78" s="763" t="b">
        <v>0</v>
      </c>
      <c r="J78" s="763" t="b">
        <v>0</v>
      </c>
      <c r="K78" s="763" t="b">
        <v>0</v>
      </c>
      <c r="L78" s="763" t="b">
        <v>0</v>
      </c>
      <c r="M78" s="763" t="b">
        <v>0</v>
      </c>
      <c r="N78" s="763" t="b">
        <v>0</v>
      </c>
      <c r="O78" s="763" t="b">
        <v>0</v>
      </c>
      <c r="P78" s="763" t="b">
        <v>0</v>
      </c>
      <c r="Q78" s="763" t="b">
        <v>0</v>
      </c>
      <c r="R78" s="763" t="b">
        <v>0</v>
      </c>
      <c r="S78" s="763" t="b">
        <v>0</v>
      </c>
      <c r="T78" s="763" t="b">
        <v>0</v>
      </c>
      <c r="U78" s="763" t="b">
        <v>0</v>
      </c>
      <c r="V78" s="763" t="b">
        <v>0</v>
      </c>
      <c r="W78" s="763" t="b">
        <v>0</v>
      </c>
      <c r="X78" s="216">
        <v>2500.0</v>
      </c>
      <c r="Y78" s="11">
        <f t="shared" si="4"/>
        <v>2500</v>
      </c>
      <c r="Z78" s="11" t="s">
        <v>347</v>
      </c>
      <c r="AA78" s="93" t="s">
        <v>21</v>
      </c>
      <c r="AB78" s="93"/>
      <c r="AC78" s="215" t="s">
        <v>346</v>
      </c>
      <c r="AD78" s="217" t="s">
        <v>361</v>
      </c>
      <c r="AE78" s="11" t="str">
        <f>IMAGE("https://cdn.moglix.com/p/Rn8lZopeAizs5-xxlarge.jpg",1)</f>
        <v/>
      </c>
      <c r="AF78" s="73" t="s">
        <v>1689</v>
      </c>
      <c r="AG78" s="74" t="s">
        <v>1693</v>
      </c>
      <c r="AH78" s="75"/>
      <c r="AI78" s="12"/>
      <c r="AJ78" s="11"/>
      <c r="AK78" s="12">
        <v>3.0</v>
      </c>
    </row>
    <row r="79" ht="40.5" customHeight="1">
      <c r="A79" s="11">
        <v>78.0</v>
      </c>
      <c r="B79" s="11" t="s">
        <v>342</v>
      </c>
      <c r="C79" s="11" t="s">
        <v>363</v>
      </c>
      <c r="D79" s="93" t="s">
        <v>364</v>
      </c>
      <c r="E79" s="215" t="s">
        <v>346</v>
      </c>
      <c r="F79" s="216">
        <v>1.0</v>
      </c>
      <c r="G79" s="11" t="s">
        <v>2050</v>
      </c>
      <c r="H79" s="216">
        <v>1.0</v>
      </c>
      <c r="I79" s="763" t="b">
        <v>0</v>
      </c>
      <c r="J79" s="763" t="b">
        <v>0</v>
      </c>
      <c r="K79" s="763" t="b">
        <v>0</v>
      </c>
      <c r="L79" s="763" t="b">
        <v>0</v>
      </c>
      <c r="M79" s="763" t="b">
        <v>0</v>
      </c>
      <c r="N79" s="763" t="b">
        <v>0</v>
      </c>
      <c r="O79" s="763" t="b">
        <v>0</v>
      </c>
      <c r="P79" s="763" t="b">
        <v>0</v>
      </c>
      <c r="Q79" s="763" t="b">
        <v>0</v>
      </c>
      <c r="R79" s="763" t="b">
        <v>0</v>
      </c>
      <c r="S79" s="763" t="b">
        <v>0</v>
      </c>
      <c r="T79" s="763" t="b">
        <v>0</v>
      </c>
      <c r="U79" s="763" t="b">
        <v>0</v>
      </c>
      <c r="V79" s="763" t="b">
        <v>0</v>
      </c>
      <c r="W79" s="763" t="b">
        <v>0</v>
      </c>
      <c r="X79" s="216">
        <v>500.0</v>
      </c>
      <c r="Y79" s="11">
        <f t="shared" si="4"/>
        <v>500</v>
      </c>
      <c r="Z79" s="11" t="s">
        <v>347</v>
      </c>
      <c r="AA79" s="93"/>
      <c r="AB79" s="93"/>
      <c r="AC79" s="215" t="s">
        <v>346</v>
      </c>
      <c r="AD79" s="217" t="s">
        <v>365</v>
      </c>
      <c r="AE79" s="11" t="str">
        <f>IMAGE("https://m.media-amazon.com/images/I/51wli9aWH9S._SL1000_.jpg",1)</f>
        <v/>
      </c>
      <c r="AF79" s="73" t="s">
        <v>1684</v>
      </c>
      <c r="AG79" s="74">
        <v>60.0</v>
      </c>
      <c r="AH79" s="75"/>
      <c r="AI79" s="12"/>
      <c r="AJ79" s="11"/>
      <c r="AK79" s="12">
        <v>3.0</v>
      </c>
    </row>
    <row r="80" ht="40.5" customHeight="1">
      <c r="A80" s="11">
        <v>79.0</v>
      </c>
      <c r="B80" s="11" t="s">
        <v>342</v>
      </c>
      <c r="C80" s="11" t="s">
        <v>367</v>
      </c>
      <c r="D80" s="93" t="s">
        <v>368</v>
      </c>
      <c r="E80" s="215" t="s">
        <v>346</v>
      </c>
      <c r="F80" s="216">
        <v>20.0</v>
      </c>
      <c r="G80" s="11" t="s">
        <v>2051</v>
      </c>
      <c r="H80" s="216">
        <v>20.0</v>
      </c>
      <c r="I80" s="763" t="b">
        <v>0</v>
      </c>
      <c r="J80" s="763" t="b">
        <v>0</v>
      </c>
      <c r="K80" s="763" t="b">
        <v>0</v>
      </c>
      <c r="L80" s="763" t="b">
        <v>0</v>
      </c>
      <c r="M80" s="763" t="b">
        <v>0</v>
      </c>
      <c r="N80" s="763" t="b">
        <v>0</v>
      </c>
      <c r="O80" s="763" t="b">
        <v>0</v>
      </c>
      <c r="P80" s="763" t="b">
        <v>0</v>
      </c>
      <c r="Q80" s="763" t="b">
        <v>0</v>
      </c>
      <c r="R80" s="763" t="b">
        <v>0</v>
      </c>
      <c r="S80" s="763" t="b">
        <v>0</v>
      </c>
      <c r="T80" s="763" t="b">
        <v>0</v>
      </c>
      <c r="U80" s="763" t="b">
        <v>0</v>
      </c>
      <c r="V80" s="763" t="b">
        <v>0</v>
      </c>
      <c r="W80" s="763" t="b">
        <v>0</v>
      </c>
      <c r="X80" s="216">
        <v>5.0</v>
      </c>
      <c r="Y80" s="11">
        <f t="shared" si="4"/>
        <v>100</v>
      </c>
      <c r="Z80" s="11" t="s">
        <v>347</v>
      </c>
      <c r="AA80" s="93"/>
      <c r="AB80" s="93"/>
      <c r="AC80" s="215" t="s">
        <v>346</v>
      </c>
      <c r="AD80" s="217" t="s">
        <v>369</v>
      </c>
      <c r="AE80" s="11" t="str">
        <f>IMAGE("https://res.cloudinary.com/rsc/image/upload/b_rgb:FFFFFF,c_pad,dpr_1.0,f_auto,q_auto,w_700/c_pad,w_700/C4847566-05",1)</f>
        <v/>
      </c>
      <c r="AF80" s="78"/>
      <c r="AG80" s="74"/>
      <c r="AH80" s="75"/>
      <c r="AI80" s="5"/>
      <c r="AJ80" s="14"/>
      <c r="AK80" s="12">
        <v>3.0</v>
      </c>
    </row>
    <row r="81" ht="40.5" customHeight="1">
      <c r="A81" s="11">
        <v>80.0</v>
      </c>
      <c r="B81" s="11" t="s">
        <v>342</v>
      </c>
      <c r="C81" s="11" t="s">
        <v>371</v>
      </c>
      <c r="D81" s="93" t="s">
        <v>372</v>
      </c>
      <c r="E81" s="215" t="s">
        <v>346</v>
      </c>
      <c r="F81" s="216">
        <v>1.0</v>
      </c>
      <c r="G81" s="11" t="s">
        <v>2053</v>
      </c>
      <c r="H81" s="216">
        <v>2.0</v>
      </c>
      <c r="I81" s="763" t="b">
        <v>0</v>
      </c>
      <c r="J81" s="763" t="b">
        <v>0</v>
      </c>
      <c r="K81" s="763" t="b">
        <v>0</v>
      </c>
      <c r="L81" s="763" t="b">
        <v>0</v>
      </c>
      <c r="M81" s="763" t="b">
        <v>0</v>
      </c>
      <c r="N81" s="763" t="b">
        <v>0</v>
      </c>
      <c r="O81" s="763" t="b">
        <v>0</v>
      </c>
      <c r="P81" s="763" t="b">
        <v>0</v>
      </c>
      <c r="Q81" s="763" t="b">
        <v>0</v>
      </c>
      <c r="R81" s="763" t="b">
        <v>0</v>
      </c>
      <c r="S81" s="763" t="b">
        <v>0</v>
      </c>
      <c r="T81" s="763" t="b">
        <v>0</v>
      </c>
      <c r="U81" s="763" t="b">
        <v>0</v>
      </c>
      <c r="V81" s="763" t="b">
        <v>0</v>
      </c>
      <c r="W81" s="763" t="b">
        <v>0</v>
      </c>
      <c r="X81" s="216">
        <v>150.0</v>
      </c>
      <c r="Y81" s="11">
        <f t="shared" si="4"/>
        <v>300</v>
      </c>
      <c r="Z81" s="11" t="s">
        <v>347</v>
      </c>
      <c r="AA81" s="93"/>
      <c r="AB81" s="93"/>
      <c r="AC81" s="215" t="s">
        <v>346</v>
      </c>
      <c r="AD81" s="217"/>
      <c r="AE81" s="11" t="str">
        <f>IMAGE("https://5.imimg.com/data5/JR/LF/GK/SELLER-30390418/hacksaw-500x500.png",1)</f>
        <v/>
      </c>
      <c r="AF81" s="73" t="s">
        <v>1689</v>
      </c>
      <c r="AG81" s="74"/>
      <c r="AH81" s="75"/>
      <c r="AI81" s="5"/>
      <c r="AJ81" s="14"/>
      <c r="AK81" s="12">
        <v>3.0</v>
      </c>
    </row>
    <row r="82" ht="40.5" customHeight="1">
      <c r="A82" s="11">
        <v>81.0</v>
      </c>
      <c r="B82" s="11" t="s">
        <v>342</v>
      </c>
      <c r="C82" s="11" t="s">
        <v>374</v>
      </c>
      <c r="D82" s="93" t="s">
        <v>375</v>
      </c>
      <c r="E82" s="215" t="s">
        <v>346</v>
      </c>
      <c r="F82" s="216">
        <v>5.0</v>
      </c>
      <c r="G82" s="11" t="s">
        <v>2053</v>
      </c>
      <c r="H82" s="216">
        <v>5.0</v>
      </c>
      <c r="I82" s="763" t="b">
        <v>0</v>
      </c>
      <c r="J82" s="763" t="b">
        <v>0</v>
      </c>
      <c r="K82" s="763" t="b">
        <v>0</v>
      </c>
      <c r="L82" s="763" t="b">
        <v>0</v>
      </c>
      <c r="M82" s="763" t="b">
        <v>0</v>
      </c>
      <c r="N82" s="763" t="b">
        <v>0</v>
      </c>
      <c r="O82" s="763" t="b">
        <v>0</v>
      </c>
      <c r="P82" s="763" t="b">
        <v>0</v>
      </c>
      <c r="Q82" s="763" t="b">
        <v>0</v>
      </c>
      <c r="R82" s="763" t="b">
        <v>0</v>
      </c>
      <c r="S82" s="763" t="b">
        <v>0</v>
      </c>
      <c r="T82" s="763" t="b">
        <v>0</v>
      </c>
      <c r="U82" s="763" t="b">
        <v>0</v>
      </c>
      <c r="V82" s="763" t="b">
        <v>0</v>
      </c>
      <c r="W82" s="763" t="b">
        <v>0</v>
      </c>
      <c r="X82" s="216">
        <v>170.0</v>
      </c>
      <c r="Y82" s="11">
        <f t="shared" si="4"/>
        <v>850</v>
      </c>
      <c r="Z82" s="11" t="s">
        <v>347</v>
      </c>
      <c r="AA82" s="93"/>
      <c r="AB82" s="93"/>
      <c r="AC82" s="215" t="s">
        <v>346</v>
      </c>
      <c r="AD82" s="217" t="s">
        <v>376</v>
      </c>
      <c r="AE82" s="11" t="str">
        <f>IMAGE("https://encrypted-tbn0.gstatic.com/images?q=tbn:ANd9GcRnlFGDkPLnXJSjTXFe7fzQ2kj51brspxAcjVtkmgU5NgUWN5-EbmbNTptE-Y3t4g8lr84&amp;usqp=CAU",1)</f>
        <v/>
      </c>
      <c r="AF82" s="73" t="s">
        <v>1689</v>
      </c>
      <c r="AG82" s="74" t="s">
        <v>1694</v>
      </c>
      <c r="AH82" s="75"/>
      <c r="AI82" s="5"/>
      <c r="AJ82" s="14"/>
      <c r="AK82" s="12">
        <v>3.0</v>
      </c>
    </row>
    <row r="83" ht="40.5" customHeight="1">
      <c r="A83" s="11">
        <v>82.0</v>
      </c>
      <c r="B83" s="11" t="s">
        <v>342</v>
      </c>
      <c r="C83" s="11" t="s">
        <v>378</v>
      </c>
      <c r="D83" s="93" t="s">
        <v>379</v>
      </c>
      <c r="E83" s="215" t="s">
        <v>346</v>
      </c>
      <c r="F83" s="216">
        <v>2.0</v>
      </c>
      <c r="G83" s="11" t="s">
        <v>2050</v>
      </c>
      <c r="H83" s="216">
        <v>2.0</v>
      </c>
      <c r="I83" s="763" t="b">
        <v>0</v>
      </c>
      <c r="J83" s="763" t="b">
        <v>0</v>
      </c>
      <c r="K83" s="763" t="b">
        <v>0</v>
      </c>
      <c r="L83" s="763" t="b">
        <v>0</v>
      </c>
      <c r="M83" s="763" t="b">
        <v>0</v>
      </c>
      <c r="N83" s="763" t="b">
        <v>0</v>
      </c>
      <c r="O83" s="763" t="b">
        <v>0</v>
      </c>
      <c r="P83" s="763" t="b">
        <v>0</v>
      </c>
      <c r="Q83" s="763" t="b">
        <v>0</v>
      </c>
      <c r="R83" s="763" t="b">
        <v>0</v>
      </c>
      <c r="S83" s="763" t="b">
        <v>0</v>
      </c>
      <c r="T83" s="763" t="b">
        <v>0</v>
      </c>
      <c r="U83" s="763" t="b">
        <v>0</v>
      </c>
      <c r="V83" s="763" t="b">
        <v>0</v>
      </c>
      <c r="W83" s="763" t="b">
        <v>0</v>
      </c>
      <c r="X83" s="216">
        <v>500.0</v>
      </c>
      <c r="Y83" s="11">
        <f t="shared" si="4"/>
        <v>1000</v>
      </c>
      <c r="Z83" s="11" t="s">
        <v>347</v>
      </c>
      <c r="AA83" s="93"/>
      <c r="AB83" s="93"/>
      <c r="AC83" s="215" t="s">
        <v>346</v>
      </c>
      <c r="AD83" s="217" t="s">
        <v>156</v>
      </c>
      <c r="AE83" s="11" t="str">
        <f>IMAGE("https://www.stanleytools.me/EMEA/PRODUCT/IMAGES/HIRES/STHT0-10194/STHT0-10194_1.jpg?resize=530x530",1)</f>
        <v/>
      </c>
      <c r="AF83" s="73" t="s">
        <v>1689</v>
      </c>
      <c r="AG83" s="74" t="s">
        <v>1695</v>
      </c>
      <c r="AH83" s="75"/>
      <c r="AI83" s="5"/>
      <c r="AJ83" s="14"/>
      <c r="AK83" s="12">
        <v>3.0</v>
      </c>
    </row>
    <row r="84" ht="40.5" customHeight="1">
      <c r="A84" s="11">
        <v>83.0</v>
      </c>
      <c r="B84" s="11" t="s">
        <v>342</v>
      </c>
      <c r="C84" s="11" t="s">
        <v>381</v>
      </c>
      <c r="D84" s="93" t="s">
        <v>382</v>
      </c>
      <c r="E84" s="215" t="s">
        <v>346</v>
      </c>
      <c r="F84" s="216">
        <v>10.0</v>
      </c>
      <c r="G84" s="11" t="s">
        <v>2054</v>
      </c>
      <c r="H84" s="216">
        <v>10.0</v>
      </c>
      <c r="I84" s="763" t="b">
        <v>0</v>
      </c>
      <c r="J84" s="763" t="b">
        <v>0</v>
      </c>
      <c r="K84" s="763" t="b">
        <v>0</v>
      </c>
      <c r="L84" s="763" t="b">
        <v>0</v>
      </c>
      <c r="M84" s="763" t="b">
        <v>0</v>
      </c>
      <c r="N84" s="763" t="b">
        <v>0</v>
      </c>
      <c r="O84" s="763" t="b">
        <v>0</v>
      </c>
      <c r="P84" s="763" t="b">
        <v>0</v>
      </c>
      <c r="Q84" s="763" t="b">
        <v>0</v>
      </c>
      <c r="R84" s="763" t="b">
        <v>0</v>
      </c>
      <c r="S84" s="763" t="b">
        <v>0</v>
      </c>
      <c r="T84" s="763" t="b">
        <v>0</v>
      </c>
      <c r="U84" s="763" t="b">
        <v>0</v>
      </c>
      <c r="V84" s="763" t="b">
        <v>0</v>
      </c>
      <c r="W84" s="763" t="b">
        <v>0</v>
      </c>
      <c r="X84" s="216">
        <v>80.0</v>
      </c>
      <c r="Y84" s="11">
        <f t="shared" si="4"/>
        <v>800</v>
      </c>
      <c r="Z84" s="11" t="s">
        <v>347</v>
      </c>
      <c r="AA84" s="93"/>
      <c r="AB84" s="93" t="s">
        <v>2022</v>
      </c>
      <c r="AC84" s="215" t="s">
        <v>346</v>
      </c>
      <c r="AD84" s="217" t="s">
        <v>383</v>
      </c>
      <c r="AE84" s="11" t="str">
        <f>IMAGE("https://sc04.alicdn.com/kf/HTB1fK8lXPvuK1Rjy0Faq6x2aVXa5.jpg",1)</f>
        <v/>
      </c>
      <c r="AF84" s="73" t="s">
        <v>1689</v>
      </c>
      <c r="AG84" s="74"/>
      <c r="AH84" s="75"/>
      <c r="AI84" s="12"/>
      <c r="AJ84" s="11"/>
      <c r="AK84" s="12">
        <v>3.0</v>
      </c>
    </row>
    <row r="85" ht="40.5" customHeight="1">
      <c r="A85" s="11">
        <v>84.0</v>
      </c>
      <c r="B85" s="11" t="s">
        <v>342</v>
      </c>
      <c r="C85" s="11" t="s">
        <v>385</v>
      </c>
      <c r="D85" s="93" t="s">
        <v>1926</v>
      </c>
      <c r="E85" s="215" t="s">
        <v>346</v>
      </c>
      <c r="F85" s="11">
        <v>1.0</v>
      </c>
      <c r="G85" s="11" t="s">
        <v>2050</v>
      </c>
      <c r="H85" s="11">
        <v>1.0</v>
      </c>
      <c r="I85" s="763" t="b">
        <v>0</v>
      </c>
      <c r="J85" s="763" t="b">
        <v>0</v>
      </c>
      <c r="K85" s="763" t="b">
        <v>0</v>
      </c>
      <c r="L85" s="763" t="b">
        <v>0</v>
      </c>
      <c r="M85" s="763" t="b">
        <v>0</v>
      </c>
      <c r="N85" s="763" t="b">
        <v>0</v>
      </c>
      <c r="O85" s="763" t="b">
        <v>0</v>
      </c>
      <c r="P85" s="763" t="b">
        <v>0</v>
      </c>
      <c r="Q85" s="763" t="b">
        <v>0</v>
      </c>
      <c r="R85" s="763" t="b">
        <v>0</v>
      </c>
      <c r="S85" s="763" t="b">
        <v>0</v>
      </c>
      <c r="T85" s="763" t="b">
        <v>0</v>
      </c>
      <c r="U85" s="763" t="b">
        <v>0</v>
      </c>
      <c r="V85" s="763" t="b">
        <v>0</v>
      </c>
      <c r="W85" s="763" t="b">
        <v>0</v>
      </c>
      <c r="X85" s="11">
        <v>3500.0</v>
      </c>
      <c r="Y85" s="11">
        <v>3500.0</v>
      </c>
      <c r="Z85" s="11" t="s">
        <v>347</v>
      </c>
      <c r="AA85" s="93"/>
      <c r="AB85" s="93"/>
      <c r="AC85" s="215" t="s">
        <v>346</v>
      </c>
      <c r="AD85" s="217"/>
      <c r="AE85" s="11" t="str">
        <f>IMAGE("https://asia.blackanddecker.global/ASIA/PRODUCT/IMAGES/HIRES/RT18KA-B1/RT18KA_1.jpg?resize=530x530", 1)</f>
        <v/>
      </c>
      <c r="AF85" s="73" t="s">
        <v>1689</v>
      </c>
      <c r="AG85" s="74"/>
      <c r="AH85" s="75"/>
      <c r="AI85" s="12"/>
      <c r="AJ85" s="11"/>
      <c r="AK85" s="12">
        <v>3.0</v>
      </c>
    </row>
    <row r="86" ht="40.5" customHeight="1">
      <c r="A86" s="11">
        <v>85.0</v>
      </c>
      <c r="B86" s="11" t="s">
        <v>342</v>
      </c>
      <c r="C86" s="11" t="s">
        <v>388</v>
      </c>
      <c r="D86" s="93" t="s">
        <v>1927</v>
      </c>
      <c r="E86" s="215" t="s">
        <v>346</v>
      </c>
      <c r="F86" s="216">
        <v>5.0</v>
      </c>
      <c r="G86" s="11" t="s">
        <v>2055</v>
      </c>
      <c r="H86" s="216">
        <v>5.0</v>
      </c>
      <c r="I86" s="763" t="b">
        <v>0</v>
      </c>
      <c r="J86" s="763" t="b">
        <v>0</v>
      </c>
      <c r="K86" s="763" t="b">
        <v>0</v>
      </c>
      <c r="L86" s="763" t="b">
        <v>0</v>
      </c>
      <c r="M86" s="763" t="b">
        <v>0</v>
      </c>
      <c r="N86" s="763" t="b">
        <v>0</v>
      </c>
      <c r="O86" s="763" t="b">
        <v>0</v>
      </c>
      <c r="P86" s="763" t="b">
        <v>0</v>
      </c>
      <c r="Q86" s="763" t="b">
        <v>0</v>
      </c>
      <c r="R86" s="763" t="b">
        <v>0</v>
      </c>
      <c r="S86" s="763" t="b">
        <v>0</v>
      </c>
      <c r="T86" s="763" t="b">
        <v>0</v>
      </c>
      <c r="U86" s="763" t="b">
        <v>0</v>
      </c>
      <c r="V86" s="763" t="b">
        <v>0</v>
      </c>
      <c r="W86" s="763" t="b">
        <v>0</v>
      </c>
      <c r="X86" s="216">
        <v>50.0</v>
      </c>
      <c r="Y86" s="11">
        <f t="shared" ref="Y86:Y261" si="5">X86*H86</f>
        <v>250</v>
      </c>
      <c r="Z86" s="11" t="s">
        <v>347</v>
      </c>
      <c r="AA86" s="93" t="s">
        <v>77</v>
      </c>
      <c r="AB86" s="123" t="s">
        <v>2012</v>
      </c>
      <c r="AC86" s="215" t="s">
        <v>346</v>
      </c>
      <c r="AD86" s="217" t="s">
        <v>390</v>
      </c>
      <c r="AE86" s="11" t="str">
        <f>IMAGE("https://m.media-amazon.com/images/I/518vUksgebL._SL1100_.jpg",1)</f>
        <v/>
      </c>
      <c r="AF86" s="78"/>
      <c r="AG86" s="74"/>
      <c r="AH86" s="75"/>
      <c r="AI86" s="12"/>
      <c r="AJ86" s="11"/>
      <c r="AK86" s="12">
        <v>1.0</v>
      </c>
    </row>
    <row r="87" ht="40.5" customHeight="1">
      <c r="A87" s="11">
        <v>86.0</v>
      </c>
      <c r="B87" s="11" t="s">
        <v>342</v>
      </c>
      <c r="C87" s="11" t="s">
        <v>392</v>
      </c>
      <c r="D87" s="93" t="s">
        <v>1928</v>
      </c>
      <c r="E87" s="215" t="s">
        <v>346</v>
      </c>
      <c r="F87" s="216">
        <v>5.0</v>
      </c>
      <c r="G87" s="11" t="s">
        <v>2055</v>
      </c>
      <c r="H87" s="216">
        <v>5.0</v>
      </c>
      <c r="I87" s="763" t="b">
        <v>0</v>
      </c>
      <c r="J87" s="763" t="b">
        <v>0</v>
      </c>
      <c r="K87" s="763" t="b">
        <v>0</v>
      </c>
      <c r="L87" s="763" t="b">
        <v>0</v>
      </c>
      <c r="M87" s="763" t="b">
        <v>0</v>
      </c>
      <c r="N87" s="763" t="b">
        <v>0</v>
      </c>
      <c r="O87" s="763" t="b">
        <v>0</v>
      </c>
      <c r="P87" s="763" t="b">
        <v>0</v>
      </c>
      <c r="Q87" s="763" t="b">
        <v>0</v>
      </c>
      <c r="R87" s="763" t="b">
        <v>0</v>
      </c>
      <c r="S87" s="763" t="b">
        <v>0</v>
      </c>
      <c r="T87" s="763" t="b">
        <v>0</v>
      </c>
      <c r="U87" s="763" t="b">
        <v>0</v>
      </c>
      <c r="V87" s="763" t="b">
        <v>0</v>
      </c>
      <c r="W87" s="763" t="b">
        <v>0</v>
      </c>
      <c r="X87" s="216">
        <v>50.0</v>
      </c>
      <c r="Y87" s="11">
        <f t="shared" si="5"/>
        <v>250</v>
      </c>
      <c r="Z87" s="11" t="s">
        <v>347</v>
      </c>
      <c r="AA87" s="93" t="s">
        <v>77</v>
      </c>
      <c r="AB87" s="123" t="s">
        <v>2012</v>
      </c>
      <c r="AC87" s="215" t="s">
        <v>346</v>
      </c>
      <c r="AD87" s="217" t="s">
        <v>394</v>
      </c>
      <c r="AE87" s="11" t="str">
        <f>IMAGE("https://rukminim1.flixcart.com/image/416/416/jidg9zk0/art-craft-kit/f/g/a/9mm-snap-off-precision-blades-30-degree-blades-100-blade-pack-1-original-imaf66g6ahvgzem3.jpeg?q=70",1)</f>
        <v/>
      </c>
      <c r="AF87" s="78"/>
      <c r="AG87" s="74"/>
      <c r="AH87" s="75"/>
      <c r="AI87" s="12"/>
      <c r="AJ87" s="11"/>
      <c r="AK87" s="12">
        <v>1.0</v>
      </c>
    </row>
    <row r="88" ht="40.5" customHeight="1">
      <c r="A88" s="11">
        <v>87.0</v>
      </c>
      <c r="B88" s="11" t="s">
        <v>342</v>
      </c>
      <c r="C88" s="11" t="s">
        <v>396</v>
      </c>
      <c r="D88" s="93" t="s">
        <v>1929</v>
      </c>
      <c r="E88" s="215" t="s">
        <v>346</v>
      </c>
      <c r="F88" s="216">
        <v>5.0</v>
      </c>
      <c r="G88" s="11" t="s">
        <v>2056</v>
      </c>
      <c r="H88" s="216">
        <v>5.0</v>
      </c>
      <c r="I88" s="763" t="b">
        <v>0</v>
      </c>
      <c r="J88" s="763" t="b">
        <v>0</v>
      </c>
      <c r="K88" s="763" t="b">
        <v>0</v>
      </c>
      <c r="L88" s="763" t="b">
        <v>0</v>
      </c>
      <c r="M88" s="763" t="b">
        <v>0</v>
      </c>
      <c r="N88" s="763" t="b">
        <v>0</v>
      </c>
      <c r="O88" s="763" t="b">
        <v>0</v>
      </c>
      <c r="P88" s="763" t="b">
        <v>0</v>
      </c>
      <c r="Q88" s="763" t="b">
        <v>0</v>
      </c>
      <c r="R88" s="763" t="b">
        <v>0</v>
      </c>
      <c r="S88" s="763" t="b">
        <v>0</v>
      </c>
      <c r="T88" s="763" t="b">
        <v>0</v>
      </c>
      <c r="U88" s="763" t="b">
        <v>0</v>
      </c>
      <c r="V88" s="763" t="b">
        <v>0</v>
      </c>
      <c r="W88" s="763" t="b">
        <v>0</v>
      </c>
      <c r="X88" s="216">
        <v>100.0</v>
      </c>
      <c r="Y88" s="11">
        <f t="shared" si="5"/>
        <v>500</v>
      </c>
      <c r="Z88" s="11" t="s">
        <v>347</v>
      </c>
      <c r="AA88" s="93" t="s">
        <v>77</v>
      </c>
      <c r="AB88" s="123" t="s">
        <v>2012</v>
      </c>
      <c r="AC88" s="215" t="s">
        <v>346</v>
      </c>
      <c r="AD88" s="217" t="s">
        <v>398</v>
      </c>
      <c r="AE88" s="11" t="str">
        <f>IMAGE("https://m.media-amazon.com/images/I/31u15vg7r0L._SX342_.jpg",1)</f>
        <v/>
      </c>
      <c r="AF88" s="73" t="s">
        <v>1689</v>
      </c>
      <c r="AG88" s="74"/>
      <c r="AH88" s="75"/>
      <c r="AI88" s="12"/>
      <c r="AJ88" s="11"/>
      <c r="AK88" s="12">
        <v>1.0</v>
      </c>
    </row>
    <row r="89" ht="40.5" customHeight="1">
      <c r="A89" s="11">
        <v>88.0</v>
      </c>
      <c r="B89" s="11" t="s">
        <v>342</v>
      </c>
      <c r="C89" s="11" t="s">
        <v>400</v>
      </c>
      <c r="D89" s="93" t="s">
        <v>1930</v>
      </c>
      <c r="E89" s="215" t="s">
        <v>346</v>
      </c>
      <c r="F89" s="216">
        <v>10.0</v>
      </c>
      <c r="G89" s="11" t="s">
        <v>2056</v>
      </c>
      <c r="H89" s="216">
        <v>10.0</v>
      </c>
      <c r="I89" s="763" t="b">
        <v>0</v>
      </c>
      <c r="J89" s="763" t="b">
        <v>0</v>
      </c>
      <c r="K89" s="763" t="b">
        <v>0</v>
      </c>
      <c r="L89" s="763" t="b">
        <v>0</v>
      </c>
      <c r="M89" s="763" t="b">
        <v>0</v>
      </c>
      <c r="N89" s="763" t="b">
        <v>0</v>
      </c>
      <c r="O89" s="763" t="b">
        <v>0</v>
      </c>
      <c r="P89" s="763" t="b">
        <v>0</v>
      </c>
      <c r="Q89" s="763" t="b">
        <v>0</v>
      </c>
      <c r="R89" s="763" t="b">
        <v>0</v>
      </c>
      <c r="S89" s="763" t="b">
        <v>0</v>
      </c>
      <c r="T89" s="763" t="b">
        <v>0</v>
      </c>
      <c r="U89" s="763" t="b">
        <v>0</v>
      </c>
      <c r="V89" s="763" t="b">
        <v>0</v>
      </c>
      <c r="W89" s="763" t="b">
        <v>0</v>
      </c>
      <c r="X89" s="216">
        <v>100.0</v>
      </c>
      <c r="Y89" s="11">
        <f t="shared" si="5"/>
        <v>1000</v>
      </c>
      <c r="Z89" s="11" t="s">
        <v>347</v>
      </c>
      <c r="AA89" s="93" t="s">
        <v>77</v>
      </c>
      <c r="AB89" s="11" t="s">
        <v>2012</v>
      </c>
      <c r="AC89" s="215" t="s">
        <v>346</v>
      </c>
      <c r="AD89" s="217" t="s">
        <v>402</v>
      </c>
      <c r="AE89" s="11" t="str">
        <f>IMAGE("https://hydetools.com/wp-content/uploads/2019/09/42046b.jpg",1)</f>
        <v/>
      </c>
      <c r="AF89" s="78"/>
      <c r="AG89" s="74"/>
      <c r="AH89" s="75"/>
      <c r="AI89" s="12"/>
      <c r="AJ89" s="11"/>
      <c r="AK89" s="12">
        <v>1.0</v>
      </c>
    </row>
    <row r="90" ht="40.5" customHeight="1">
      <c r="A90" s="11">
        <v>89.0</v>
      </c>
      <c r="B90" s="11" t="s">
        <v>342</v>
      </c>
      <c r="C90" s="11" t="s">
        <v>404</v>
      </c>
      <c r="D90" s="93" t="s">
        <v>405</v>
      </c>
      <c r="E90" s="215" t="s">
        <v>346</v>
      </c>
      <c r="F90" s="216">
        <v>10.0</v>
      </c>
      <c r="G90" s="11" t="s">
        <v>2057</v>
      </c>
      <c r="H90" s="216">
        <v>10.0</v>
      </c>
      <c r="I90" s="763" t="b">
        <v>0</v>
      </c>
      <c r="J90" s="763" t="b">
        <v>0</v>
      </c>
      <c r="K90" s="763" t="b">
        <v>0</v>
      </c>
      <c r="L90" s="763" t="b">
        <v>0</v>
      </c>
      <c r="M90" s="763" t="b">
        <v>0</v>
      </c>
      <c r="N90" s="763" t="b">
        <v>0</v>
      </c>
      <c r="O90" s="763" t="b">
        <v>0</v>
      </c>
      <c r="P90" s="763" t="b">
        <v>0</v>
      </c>
      <c r="Q90" s="763" t="b">
        <v>0</v>
      </c>
      <c r="R90" s="763" t="b">
        <v>0</v>
      </c>
      <c r="S90" s="763" t="b">
        <v>0</v>
      </c>
      <c r="T90" s="763" t="b">
        <v>0</v>
      </c>
      <c r="U90" s="763" t="b">
        <v>0</v>
      </c>
      <c r="V90" s="763" t="b">
        <v>0</v>
      </c>
      <c r="W90" s="763" t="b">
        <v>0</v>
      </c>
      <c r="X90" s="216">
        <v>100.0</v>
      </c>
      <c r="Y90" s="11">
        <f t="shared" si="5"/>
        <v>1000</v>
      </c>
      <c r="Z90" s="11" t="s">
        <v>347</v>
      </c>
      <c r="AA90" s="93" t="s">
        <v>21</v>
      </c>
      <c r="AB90" s="11" t="s">
        <v>1594</v>
      </c>
      <c r="AC90" s="215" t="s">
        <v>346</v>
      </c>
      <c r="AD90" s="217" t="s">
        <v>406</v>
      </c>
      <c r="AE90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AF90" s="78"/>
      <c r="AG90" s="74"/>
      <c r="AH90" s="75"/>
      <c r="AI90" s="12"/>
      <c r="AJ90" s="11"/>
      <c r="AK90" s="12">
        <v>1.0</v>
      </c>
    </row>
    <row r="91" ht="40.5" customHeight="1">
      <c r="A91" s="11">
        <v>90.0</v>
      </c>
      <c r="B91" s="11" t="s">
        <v>407</v>
      </c>
      <c r="C91" s="11" t="s">
        <v>407</v>
      </c>
      <c r="D91" s="93" t="s">
        <v>408</v>
      </c>
      <c r="E91" s="215" t="s">
        <v>346</v>
      </c>
      <c r="F91" s="216">
        <v>10.0</v>
      </c>
      <c r="G91" s="11" t="s">
        <v>2057</v>
      </c>
      <c r="H91" s="216">
        <v>10.0</v>
      </c>
      <c r="I91" s="763" t="b">
        <v>0</v>
      </c>
      <c r="J91" s="763" t="b">
        <v>0</v>
      </c>
      <c r="K91" s="763" t="b">
        <v>0</v>
      </c>
      <c r="L91" s="763" t="b">
        <v>0</v>
      </c>
      <c r="M91" s="763" t="b">
        <v>0</v>
      </c>
      <c r="N91" s="763" t="b">
        <v>0</v>
      </c>
      <c r="O91" s="763" t="b">
        <v>0</v>
      </c>
      <c r="P91" s="763" t="b">
        <v>0</v>
      </c>
      <c r="Q91" s="763" t="b">
        <v>0</v>
      </c>
      <c r="R91" s="763" t="b">
        <v>0</v>
      </c>
      <c r="S91" s="763" t="b">
        <v>0</v>
      </c>
      <c r="T91" s="763" t="b">
        <v>0</v>
      </c>
      <c r="U91" s="763" t="b">
        <v>0</v>
      </c>
      <c r="V91" s="763" t="b">
        <v>0</v>
      </c>
      <c r="W91" s="763" t="b">
        <v>0</v>
      </c>
      <c r="X91" s="216">
        <v>80.0</v>
      </c>
      <c r="Y91" s="11">
        <f t="shared" si="5"/>
        <v>800</v>
      </c>
      <c r="Z91" s="11" t="s">
        <v>347</v>
      </c>
      <c r="AA91" s="93" t="s">
        <v>77</v>
      </c>
      <c r="AB91" s="11" t="s">
        <v>1594</v>
      </c>
      <c r="AC91" s="215" t="s">
        <v>346</v>
      </c>
      <c r="AD91" s="217"/>
      <c r="AE91" s="11" t="str">
        <f>IMAGE("https://cdn-reichelt.de/bilder/web/xxl_ws/I210/LEITZ_54166095.png",1)</f>
        <v/>
      </c>
      <c r="AF91" s="78"/>
      <c r="AG91" s="74"/>
      <c r="AH91" s="75"/>
      <c r="AI91" s="12"/>
      <c r="AJ91" s="11"/>
      <c r="AK91" s="12">
        <v>1.0</v>
      </c>
    </row>
    <row r="92" ht="40.5" customHeight="1">
      <c r="A92" s="11">
        <v>91.0</v>
      </c>
      <c r="B92" s="222" t="s">
        <v>342</v>
      </c>
      <c r="C92" s="222" t="s">
        <v>410</v>
      </c>
      <c r="D92" s="232" t="s">
        <v>411</v>
      </c>
      <c r="E92" s="233" t="s">
        <v>346</v>
      </c>
      <c r="F92" s="234">
        <v>10.0</v>
      </c>
      <c r="G92" s="11" t="s">
        <v>2058</v>
      </c>
      <c r="H92" s="234">
        <v>10.0</v>
      </c>
      <c r="I92" s="763" t="b">
        <v>0</v>
      </c>
      <c r="J92" s="763" t="b">
        <v>0</v>
      </c>
      <c r="K92" s="763" t="b">
        <v>0</v>
      </c>
      <c r="L92" s="763" t="b">
        <v>0</v>
      </c>
      <c r="M92" s="763" t="b">
        <v>0</v>
      </c>
      <c r="N92" s="763" t="b">
        <v>0</v>
      </c>
      <c r="O92" s="763" t="b">
        <v>0</v>
      </c>
      <c r="P92" s="763" t="b">
        <v>0</v>
      </c>
      <c r="Q92" s="763" t="b">
        <v>0</v>
      </c>
      <c r="R92" s="763" t="b">
        <v>0</v>
      </c>
      <c r="S92" s="763" t="b">
        <v>0</v>
      </c>
      <c r="T92" s="763" t="b">
        <v>0</v>
      </c>
      <c r="U92" s="763" t="b">
        <v>0</v>
      </c>
      <c r="V92" s="763" t="b">
        <v>0</v>
      </c>
      <c r="W92" s="763" t="b">
        <v>0</v>
      </c>
      <c r="X92" s="234">
        <v>150.0</v>
      </c>
      <c r="Y92" s="222">
        <f t="shared" si="5"/>
        <v>1500</v>
      </c>
      <c r="Z92" s="222" t="s">
        <v>347</v>
      </c>
      <c r="AA92" s="232" t="s">
        <v>21</v>
      </c>
      <c r="AB92" s="232" t="s">
        <v>1594</v>
      </c>
      <c r="AC92" s="233" t="s">
        <v>346</v>
      </c>
      <c r="AD92" s="235"/>
      <c r="AE92" s="222"/>
      <c r="AF92" s="358"/>
      <c r="AG92" s="359"/>
      <c r="AH92" s="336"/>
      <c r="AI92" s="360"/>
      <c r="AJ92" s="222"/>
      <c r="AK92" s="299">
        <v>1.0</v>
      </c>
    </row>
    <row r="93" ht="40.5" customHeight="1">
      <c r="A93" s="11">
        <v>92.0</v>
      </c>
      <c r="B93" s="222" t="s">
        <v>173</v>
      </c>
      <c r="C93" s="222" t="s">
        <v>413</v>
      </c>
      <c r="D93" s="232" t="s">
        <v>1931</v>
      </c>
      <c r="E93" s="233" t="s">
        <v>415</v>
      </c>
      <c r="F93" s="349">
        <v>12.0</v>
      </c>
      <c r="G93" s="14"/>
      <c r="H93" s="349">
        <v>12.0</v>
      </c>
      <c r="I93" s="763" t="b">
        <v>0</v>
      </c>
      <c r="J93" s="763" t="b">
        <v>0</v>
      </c>
      <c r="K93" s="763" t="b">
        <v>0</v>
      </c>
      <c r="L93" s="763" t="b">
        <v>0</v>
      </c>
      <c r="M93" s="763" t="b">
        <v>0</v>
      </c>
      <c r="N93" s="763" t="b">
        <v>0</v>
      </c>
      <c r="O93" s="763" t="b">
        <v>0</v>
      </c>
      <c r="P93" s="763" t="b">
        <v>0</v>
      </c>
      <c r="Q93" s="763" t="b">
        <v>0</v>
      </c>
      <c r="R93" s="763" t="b">
        <v>0</v>
      </c>
      <c r="S93" s="763" t="b">
        <v>0</v>
      </c>
      <c r="T93" s="763" t="b">
        <v>0</v>
      </c>
      <c r="U93" s="763" t="b">
        <v>0</v>
      </c>
      <c r="V93" s="763" t="b">
        <v>0</v>
      </c>
      <c r="W93" s="763" t="b">
        <v>0</v>
      </c>
      <c r="X93" s="222">
        <v>150.0</v>
      </c>
      <c r="Y93" s="222">
        <f t="shared" si="5"/>
        <v>1800</v>
      </c>
      <c r="Z93" s="222" t="s">
        <v>178</v>
      </c>
      <c r="AA93" s="232"/>
      <c r="AB93" s="232"/>
      <c r="AC93" s="232" t="s">
        <v>1932</v>
      </c>
      <c r="AD93" s="235" t="s">
        <v>417</v>
      </c>
      <c r="AE93" s="222" t="str">
        <f>IMAGE("https://www.electronicscomp.com/image/cache/catalog/cnc-shield-v3-400x400.jpg",1)</f>
        <v/>
      </c>
      <c r="AF93" s="358"/>
      <c r="AG93" s="359"/>
      <c r="AH93" s="336"/>
      <c r="AI93" s="623"/>
      <c r="AJ93" s="224"/>
      <c r="AK93" s="351">
        <v>2.0</v>
      </c>
    </row>
    <row r="94" ht="40.5" customHeight="1">
      <c r="A94" s="11">
        <v>93.0</v>
      </c>
      <c r="B94" s="11" t="s">
        <v>173</v>
      </c>
      <c r="C94" s="11" t="s">
        <v>419</v>
      </c>
      <c r="D94" s="93" t="s">
        <v>420</v>
      </c>
      <c r="E94" s="215" t="s">
        <v>415</v>
      </c>
      <c r="F94" s="216">
        <v>15.0</v>
      </c>
      <c r="G94" s="11" t="s">
        <v>2060</v>
      </c>
      <c r="H94" s="216">
        <v>15.0</v>
      </c>
      <c r="I94" s="763" t="b">
        <v>0</v>
      </c>
      <c r="J94" s="763" t="b">
        <v>0</v>
      </c>
      <c r="K94" s="763" t="b">
        <v>0</v>
      </c>
      <c r="L94" s="763" t="b">
        <v>0</v>
      </c>
      <c r="M94" s="763" t="b">
        <v>0</v>
      </c>
      <c r="N94" s="763" t="b">
        <v>0</v>
      </c>
      <c r="O94" s="763" t="b">
        <v>0</v>
      </c>
      <c r="P94" s="763" t="b">
        <v>0</v>
      </c>
      <c r="Q94" s="763" t="b">
        <v>0</v>
      </c>
      <c r="R94" s="763" t="b">
        <v>0</v>
      </c>
      <c r="S94" s="763" t="b">
        <v>0</v>
      </c>
      <c r="T94" s="763" t="b">
        <v>0</v>
      </c>
      <c r="U94" s="763" t="b">
        <v>0</v>
      </c>
      <c r="V94" s="763" t="b">
        <v>0</v>
      </c>
      <c r="W94" s="763" t="b">
        <v>0</v>
      </c>
      <c r="X94" s="216">
        <v>400.0</v>
      </c>
      <c r="Y94" s="11">
        <f t="shared" si="5"/>
        <v>6000</v>
      </c>
      <c r="Z94" s="11" t="s">
        <v>178</v>
      </c>
      <c r="AA94" s="93"/>
      <c r="AB94" s="93" t="s">
        <v>1594</v>
      </c>
      <c r="AC94" s="93" t="s">
        <v>1932</v>
      </c>
      <c r="AD94" s="217" t="s">
        <v>422</v>
      </c>
      <c r="AE94" s="11" t="str">
        <f>IMAGE("https://5.imimg.com/data5/VS/XC/MY-4167793/arduino-nano-500x500.jpg",1)</f>
        <v/>
      </c>
      <c r="AF94" s="78" t="s">
        <v>1688</v>
      </c>
      <c r="AG94" s="74"/>
      <c r="AH94" s="75"/>
      <c r="AI94" s="12"/>
      <c r="AJ94" s="11"/>
      <c r="AK94" s="12">
        <v>1.0</v>
      </c>
    </row>
    <row r="95" ht="40.5" customHeight="1">
      <c r="A95" s="11">
        <v>94.0</v>
      </c>
      <c r="B95" s="11" t="s">
        <v>173</v>
      </c>
      <c r="C95" s="11" t="s">
        <v>424</v>
      </c>
      <c r="D95" s="93" t="s">
        <v>1933</v>
      </c>
      <c r="E95" s="215" t="s">
        <v>415</v>
      </c>
      <c r="F95" s="216">
        <v>10.0</v>
      </c>
      <c r="G95" s="221" t="s">
        <v>2061</v>
      </c>
      <c r="H95" s="216">
        <v>10.0</v>
      </c>
      <c r="I95" s="763" t="b">
        <v>0</v>
      </c>
      <c r="J95" s="763" t="b">
        <v>0</v>
      </c>
      <c r="K95" s="763" t="b">
        <v>0</v>
      </c>
      <c r="L95" s="763" t="b">
        <v>0</v>
      </c>
      <c r="M95" s="763" t="b">
        <v>0</v>
      </c>
      <c r="N95" s="763" t="b">
        <v>0</v>
      </c>
      <c r="O95" s="763" t="b">
        <v>0</v>
      </c>
      <c r="P95" s="763" t="b">
        <v>0</v>
      </c>
      <c r="Q95" s="763" t="b">
        <v>0</v>
      </c>
      <c r="R95" s="763" t="b">
        <v>0</v>
      </c>
      <c r="S95" s="763" t="b">
        <v>0</v>
      </c>
      <c r="T95" s="763" t="b">
        <v>0</v>
      </c>
      <c r="U95" s="763" t="b">
        <v>0</v>
      </c>
      <c r="V95" s="763" t="b">
        <v>0</v>
      </c>
      <c r="W95" s="763" t="b">
        <v>0</v>
      </c>
      <c r="X95" s="216">
        <v>500.0</v>
      </c>
      <c r="Y95" s="11">
        <f t="shared" si="5"/>
        <v>5000</v>
      </c>
      <c r="Z95" s="11" t="s">
        <v>178</v>
      </c>
      <c r="AA95" s="93"/>
      <c r="AB95" s="93" t="s">
        <v>1594</v>
      </c>
      <c r="AC95" s="93" t="s">
        <v>1932</v>
      </c>
      <c r="AD95" s="217" t="s">
        <v>426</v>
      </c>
      <c r="AE95" s="11" t="str">
        <f>IMAGE("https://robu.in/wp-content/uploads/2017/04/Arduino_NANO_expansion1.jpg",1)</f>
        <v/>
      </c>
      <c r="AF95" s="78" t="s">
        <v>1688</v>
      </c>
      <c r="AG95" s="79"/>
      <c r="AH95" s="80"/>
      <c r="AI95" s="12"/>
      <c r="AJ95" s="11"/>
      <c r="AK95" s="12">
        <v>1.0</v>
      </c>
    </row>
    <row r="96" ht="40.5" customHeight="1">
      <c r="A96" s="11">
        <v>95.0</v>
      </c>
      <c r="B96" s="11" t="s">
        <v>173</v>
      </c>
      <c r="C96" s="11" t="s">
        <v>428</v>
      </c>
      <c r="D96" s="93" t="s">
        <v>1934</v>
      </c>
      <c r="E96" s="215" t="s">
        <v>415</v>
      </c>
      <c r="F96" s="216">
        <v>15.0</v>
      </c>
      <c r="G96" s="11" t="s">
        <v>2060</v>
      </c>
      <c r="H96" s="216">
        <v>15.0</v>
      </c>
      <c r="I96" s="763" t="b">
        <v>0</v>
      </c>
      <c r="J96" s="763" t="b">
        <v>0</v>
      </c>
      <c r="K96" s="763" t="b">
        <v>0</v>
      </c>
      <c r="L96" s="763" t="b">
        <v>0</v>
      </c>
      <c r="M96" s="763" t="b">
        <v>0</v>
      </c>
      <c r="N96" s="763" t="b">
        <v>0</v>
      </c>
      <c r="O96" s="763" t="b">
        <v>0</v>
      </c>
      <c r="P96" s="763" t="b">
        <v>0</v>
      </c>
      <c r="Q96" s="763" t="b">
        <v>0</v>
      </c>
      <c r="R96" s="763" t="b">
        <v>0</v>
      </c>
      <c r="S96" s="763" t="b">
        <v>0</v>
      </c>
      <c r="T96" s="763" t="b">
        <v>0</v>
      </c>
      <c r="U96" s="763" t="b">
        <v>0</v>
      </c>
      <c r="V96" s="763" t="b">
        <v>0</v>
      </c>
      <c r="W96" s="763" t="b">
        <v>0</v>
      </c>
      <c r="X96" s="216">
        <v>450.0</v>
      </c>
      <c r="Y96" s="11">
        <f t="shared" si="5"/>
        <v>6750</v>
      </c>
      <c r="Z96" s="11" t="s">
        <v>178</v>
      </c>
      <c r="AA96" s="93"/>
      <c r="AB96" s="93" t="s">
        <v>1594</v>
      </c>
      <c r="AC96" s="93" t="s">
        <v>1932</v>
      </c>
      <c r="AD96" s="217" t="s">
        <v>431</v>
      </c>
      <c r="AE96" s="11" t="str">
        <f>IMAGE("https://robu.in/wp-content/uploads/2017/10/Uno-R3-CH340G-ATmega328p-Development-Board-Compatible-with-Arduino2.png",1)</f>
        <v/>
      </c>
      <c r="AF96" s="78" t="s">
        <v>1688</v>
      </c>
      <c r="AG96" s="74"/>
      <c r="AH96" s="75"/>
      <c r="AI96" s="12"/>
      <c r="AJ96" s="11"/>
      <c r="AK96" s="12">
        <v>1.0</v>
      </c>
    </row>
    <row r="97" ht="40.5" customHeight="1">
      <c r="A97" s="11">
        <v>96.0</v>
      </c>
      <c r="B97" s="222" t="s">
        <v>173</v>
      </c>
      <c r="C97" s="222" t="s">
        <v>433</v>
      </c>
      <c r="D97" s="232" t="s">
        <v>1935</v>
      </c>
      <c r="E97" s="233" t="s">
        <v>415</v>
      </c>
      <c r="F97" s="234">
        <v>10.0</v>
      </c>
      <c r="G97" s="11"/>
      <c r="H97" s="234">
        <v>10.0</v>
      </c>
      <c r="I97" s="763" t="b">
        <v>0</v>
      </c>
      <c r="J97" s="763" t="b">
        <v>0</v>
      </c>
      <c r="K97" s="763" t="b">
        <v>0</v>
      </c>
      <c r="L97" s="763" t="b">
        <v>0</v>
      </c>
      <c r="M97" s="763" t="b">
        <v>0</v>
      </c>
      <c r="N97" s="763" t="b">
        <v>0</v>
      </c>
      <c r="O97" s="763" t="b">
        <v>0</v>
      </c>
      <c r="P97" s="763" t="b">
        <v>0</v>
      </c>
      <c r="Q97" s="763" t="b">
        <v>0</v>
      </c>
      <c r="R97" s="763" t="b">
        <v>0</v>
      </c>
      <c r="S97" s="763" t="b">
        <v>0</v>
      </c>
      <c r="T97" s="763" t="b">
        <v>0</v>
      </c>
      <c r="U97" s="763" t="b">
        <v>0</v>
      </c>
      <c r="V97" s="763" t="b">
        <v>0</v>
      </c>
      <c r="W97" s="763" t="b">
        <v>0</v>
      </c>
      <c r="X97" s="234">
        <v>700.0</v>
      </c>
      <c r="Y97" s="222">
        <f t="shared" si="5"/>
        <v>7000</v>
      </c>
      <c r="Z97" s="222" t="s">
        <v>178</v>
      </c>
      <c r="AA97" s="232"/>
      <c r="AB97" s="232" t="s">
        <v>1594</v>
      </c>
      <c r="AC97" s="232" t="s">
        <v>1932</v>
      </c>
      <c r="AD97" s="235" t="s">
        <v>435</v>
      </c>
      <c r="AE97" s="222" t="str">
        <f>IMAGE("https://robu.in/wp-content/uploads/2015/11/SKU-6337.png",1)</f>
        <v/>
      </c>
      <c r="AF97" s="358" t="s">
        <v>1688</v>
      </c>
      <c r="AG97" s="359"/>
      <c r="AH97" s="336"/>
      <c r="AI97" s="360"/>
      <c r="AJ97" s="222"/>
      <c r="AK97" s="299">
        <v>2.0</v>
      </c>
    </row>
    <row r="98" ht="40.5" customHeight="1">
      <c r="A98" s="11">
        <v>97.0</v>
      </c>
      <c r="B98" s="11" t="s">
        <v>173</v>
      </c>
      <c r="C98" s="11" t="s">
        <v>437</v>
      </c>
      <c r="D98" s="93" t="s">
        <v>438</v>
      </c>
      <c r="E98" s="215" t="s">
        <v>415</v>
      </c>
      <c r="F98" s="216">
        <v>10.0</v>
      </c>
      <c r="G98" s="106" t="s">
        <v>1806</v>
      </c>
      <c r="H98" s="216">
        <v>10.0</v>
      </c>
      <c r="I98" s="763" t="b">
        <v>0</v>
      </c>
      <c r="J98" s="763" t="b">
        <v>0</v>
      </c>
      <c r="K98" s="763" t="b">
        <v>0</v>
      </c>
      <c r="L98" s="763" t="b">
        <v>0</v>
      </c>
      <c r="M98" s="763" t="b">
        <v>0</v>
      </c>
      <c r="N98" s="763" t="b">
        <v>0</v>
      </c>
      <c r="O98" s="763" t="b">
        <v>0</v>
      </c>
      <c r="P98" s="763" t="b">
        <v>0</v>
      </c>
      <c r="Q98" s="763" t="b">
        <v>0</v>
      </c>
      <c r="R98" s="763" t="b">
        <v>0</v>
      </c>
      <c r="S98" s="763" t="b">
        <v>0</v>
      </c>
      <c r="T98" s="763" t="b">
        <v>0</v>
      </c>
      <c r="U98" s="763" t="b">
        <v>0</v>
      </c>
      <c r="V98" s="763" t="b">
        <v>0</v>
      </c>
      <c r="W98" s="763" t="b">
        <v>0</v>
      </c>
      <c r="X98" s="216">
        <v>150.0</v>
      </c>
      <c r="Y98" s="11">
        <f t="shared" si="5"/>
        <v>1500</v>
      </c>
      <c r="Z98" s="11" t="s">
        <v>178</v>
      </c>
      <c r="AA98" s="93"/>
      <c r="AB98" s="93" t="s">
        <v>2062</v>
      </c>
      <c r="AC98" s="93" t="s">
        <v>1937</v>
      </c>
      <c r="AD98" s="217" t="s">
        <v>439</v>
      </c>
      <c r="AE98" s="11" t="str">
        <f>IMAGE("https://www.electronicscomp.com/image/cache/catalog/esp8266-esp01-wifi-module-india-800x800.jpg",1)</f>
        <v/>
      </c>
      <c r="AF98" s="78" t="s">
        <v>1688</v>
      </c>
      <c r="AG98" s="74"/>
      <c r="AH98" s="75"/>
      <c r="AI98" s="12"/>
      <c r="AJ98" s="11"/>
      <c r="AK98" s="12">
        <v>1.0</v>
      </c>
    </row>
    <row r="99" ht="40.5" customHeight="1">
      <c r="A99" s="11">
        <v>98.0</v>
      </c>
      <c r="B99" s="11" t="s">
        <v>173</v>
      </c>
      <c r="C99" s="11" t="s">
        <v>440</v>
      </c>
      <c r="D99" s="93" t="s">
        <v>441</v>
      </c>
      <c r="E99" s="215" t="s">
        <v>415</v>
      </c>
      <c r="F99" s="216">
        <v>10.0</v>
      </c>
      <c r="G99" s="106" t="s">
        <v>1803</v>
      </c>
      <c r="H99" s="216">
        <v>10.0</v>
      </c>
      <c r="I99" s="763" t="b">
        <v>0</v>
      </c>
      <c r="J99" s="763" t="b">
        <v>0</v>
      </c>
      <c r="K99" s="763" t="b">
        <v>0</v>
      </c>
      <c r="L99" s="763" t="b">
        <v>0</v>
      </c>
      <c r="M99" s="763" t="b">
        <v>0</v>
      </c>
      <c r="N99" s="763" t="b">
        <v>0</v>
      </c>
      <c r="O99" s="763" t="b">
        <v>0</v>
      </c>
      <c r="P99" s="763" t="b">
        <v>0</v>
      </c>
      <c r="Q99" s="763" t="b">
        <v>0</v>
      </c>
      <c r="R99" s="763" t="b">
        <v>0</v>
      </c>
      <c r="S99" s="763" t="b">
        <v>0</v>
      </c>
      <c r="T99" s="763" t="b">
        <v>0</v>
      </c>
      <c r="U99" s="763" t="b">
        <v>0</v>
      </c>
      <c r="V99" s="763" t="b">
        <v>0</v>
      </c>
      <c r="W99" s="763" t="b">
        <v>0</v>
      </c>
      <c r="X99" s="216">
        <v>300.0</v>
      </c>
      <c r="Y99" s="11">
        <f t="shared" si="5"/>
        <v>3000</v>
      </c>
      <c r="Z99" s="11" t="s">
        <v>178</v>
      </c>
      <c r="AA99" s="93"/>
      <c r="AB99" s="93" t="s">
        <v>2062</v>
      </c>
      <c r="AC99" s="93" t="s">
        <v>1937</v>
      </c>
      <c r="AD99" s="217" t="s">
        <v>443</v>
      </c>
      <c r="AE99" s="11" t="str">
        <f>IMAGE("https://makerselectronics.com/wp-content/uploads/2020/07/ESP32-CAM-2.jpg",1)</f>
        <v/>
      </c>
      <c r="AF99" s="78" t="s">
        <v>1688</v>
      </c>
      <c r="AG99" s="74"/>
      <c r="AH99" s="75"/>
      <c r="AI99" s="12"/>
      <c r="AJ99" s="11"/>
      <c r="AK99" s="12">
        <v>1.0</v>
      </c>
    </row>
    <row r="100" ht="40.5" customHeight="1">
      <c r="A100" s="11">
        <v>99.0</v>
      </c>
      <c r="B100" s="11" t="s">
        <v>173</v>
      </c>
      <c r="C100" s="11" t="s">
        <v>445</v>
      </c>
      <c r="D100" s="93" t="s">
        <v>446</v>
      </c>
      <c r="E100" s="215" t="s">
        <v>415</v>
      </c>
      <c r="F100" s="216">
        <v>10.0</v>
      </c>
      <c r="G100" s="11" t="s">
        <v>2063</v>
      </c>
      <c r="H100" s="216">
        <v>10.0</v>
      </c>
      <c r="I100" s="763" t="b">
        <v>0</v>
      </c>
      <c r="J100" s="763" t="b">
        <v>0</v>
      </c>
      <c r="K100" s="763" t="b">
        <v>0</v>
      </c>
      <c r="L100" s="763" t="b">
        <v>0</v>
      </c>
      <c r="M100" s="763" t="b">
        <v>0</v>
      </c>
      <c r="N100" s="763" t="b">
        <v>0</v>
      </c>
      <c r="O100" s="763" t="b">
        <v>0</v>
      </c>
      <c r="P100" s="763" t="b">
        <v>0</v>
      </c>
      <c r="Q100" s="763" t="b">
        <v>0</v>
      </c>
      <c r="R100" s="763" t="b">
        <v>0</v>
      </c>
      <c r="S100" s="763" t="b">
        <v>0</v>
      </c>
      <c r="T100" s="763" t="b">
        <v>0</v>
      </c>
      <c r="U100" s="763" t="b">
        <v>0</v>
      </c>
      <c r="V100" s="763" t="b">
        <v>0</v>
      </c>
      <c r="W100" s="763" t="b">
        <v>0</v>
      </c>
      <c r="X100" s="216">
        <v>200.0</v>
      </c>
      <c r="Y100" s="11">
        <f t="shared" si="5"/>
        <v>2000</v>
      </c>
      <c r="Z100" s="11" t="s">
        <v>178</v>
      </c>
      <c r="AA100" s="93"/>
      <c r="AB100" s="93" t="s">
        <v>1594</v>
      </c>
      <c r="AC100" s="93" t="s">
        <v>1937</v>
      </c>
      <c r="AD100" s="217" t="s">
        <v>447</v>
      </c>
      <c r="AE100" s="11" t="str">
        <f>IMAGE("https://www.berrybase.de/media/image/c5/26/b6/ID_186599_orig_600x600.jpg",1)</f>
        <v/>
      </c>
      <c r="AF100" s="78" t="s">
        <v>1688</v>
      </c>
      <c r="AG100" s="74"/>
      <c r="AH100" s="75"/>
      <c r="AI100" s="12"/>
      <c r="AJ100" s="11"/>
      <c r="AK100" s="12">
        <v>1.0</v>
      </c>
    </row>
    <row r="101" ht="40.5" customHeight="1">
      <c r="A101" s="11">
        <v>100.0</v>
      </c>
      <c r="B101" s="11" t="s">
        <v>173</v>
      </c>
      <c r="C101" s="11" t="s">
        <v>449</v>
      </c>
      <c r="D101" s="93" t="s">
        <v>450</v>
      </c>
      <c r="E101" s="215" t="s">
        <v>415</v>
      </c>
      <c r="F101" s="216">
        <v>15.0</v>
      </c>
      <c r="G101" s="11" t="s">
        <v>2063</v>
      </c>
      <c r="H101" s="216">
        <v>15.0</v>
      </c>
      <c r="I101" s="763" t="b">
        <v>0</v>
      </c>
      <c r="J101" s="763" t="b">
        <v>0</v>
      </c>
      <c r="K101" s="763" t="b">
        <v>0</v>
      </c>
      <c r="L101" s="763" t="b">
        <v>0</v>
      </c>
      <c r="M101" s="763" t="b">
        <v>0</v>
      </c>
      <c r="N101" s="763" t="b">
        <v>0</v>
      </c>
      <c r="O101" s="763" t="b">
        <v>0</v>
      </c>
      <c r="P101" s="763" t="b">
        <v>0</v>
      </c>
      <c r="Q101" s="763" t="b">
        <v>0</v>
      </c>
      <c r="R101" s="763" t="b">
        <v>0</v>
      </c>
      <c r="S101" s="763" t="b">
        <v>0</v>
      </c>
      <c r="T101" s="763" t="b">
        <v>0</v>
      </c>
      <c r="U101" s="763" t="b">
        <v>0</v>
      </c>
      <c r="V101" s="763" t="b">
        <v>0</v>
      </c>
      <c r="W101" s="763" t="b">
        <v>0</v>
      </c>
      <c r="X101" s="216">
        <v>250.0</v>
      </c>
      <c r="Y101" s="11">
        <f t="shared" si="5"/>
        <v>3750</v>
      </c>
      <c r="Z101" s="11" t="s">
        <v>178</v>
      </c>
      <c r="AA101" s="93"/>
      <c r="AB101" s="93" t="s">
        <v>1594</v>
      </c>
      <c r="AC101" s="93" t="s">
        <v>1937</v>
      </c>
      <c r="AD101" s="217" t="s">
        <v>451</v>
      </c>
      <c r="AE101" s="11" t="str">
        <f>IMAGE("https://m.media-amazon.com/images/I/61rcnccrByL._SL1238_.jpg",1)</f>
        <v/>
      </c>
      <c r="AF101" s="78" t="s">
        <v>1688</v>
      </c>
      <c r="AG101" s="74"/>
      <c r="AH101" s="75"/>
      <c r="AI101" s="5"/>
      <c r="AJ101" s="14"/>
      <c r="AK101" s="12">
        <v>1.0</v>
      </c>
    </row>
    <row r="102" ht="40.5" customHeight="1">
      <c r="A102" s="11">
        <v>101.0</v>
      </c>
      <c r="B102" s="11" t="s">
        <v>173</v>
      </c>
      <c r="C102" s="11" t="s">
        <v>453</v>
      </c>
      <c r="D102" s="93" t="s">
        <v>454</v>
      </c>
      <c r="E102" s="215" t="s">
        <v>415</v>
      </c>
      <c r="F102" s="216">
        <v>15.0</v>
      </c>
      <c r="G102" s="11" t="s">
        <v>2064</v>
      </c>
      <c r="H102" s="216">
        <v>15.0</v>
      </c>
      <c r="I102" s="763" t="b">
        <v>0</v>
      </c>
      <c r="J102" s="763" t="b">
        <v>0</v>
      </c>
      <c r="K102" s="763" t="b">
        <v>0</v>
      </c>
      <c r="L102" s="763" t="b">
        <v>0</v>
      </c>
      <c r="M102" s="763" t="b">
        <v>0</v>
      </c>
      <c r="N102" s="763" t="b">
        <v>0</v>
      </c>
      <c r="O102" s="763" t="b">
        <v>0</v>
      </c>
      <c r="P102" s="763" t="b">
        <v>0</v>
      </c>
      <c r="Q102" s="763" t="b">
        <v>0</v>
      </c>
      <c r="R102" s="763" t="b">
        <v>0</v>
      </c>
      <c r="S102" s="763" t="b">
        <v>0</v>
      </c>
      <c r="T102" s="763" t="b">
        <v>0</v>
      </c>
      <c r="U102" s="763" t="b">
        <v>0</v>
      </c>
      <c r="V102" s="763" t="b">
        <v>0</v>
      </c>
      <c r="W102" s="763" t="b">
        <v>0</v>
      </c>
      <c r="X102" s="216">
        <v>400.0</v>
      </c>
      <c r="Y102" s="11">
        <f t="shared" si="5"/>
        <v>6000</v>
      </c>
      <c r="Z102" s="11" t="s">
        <v>178</v>
      </c>
      <c r="AA102" s="93"/>
      <c r="AB102" s="93" t="s">
        <v>1594</v>
      </c>
      <c r="AC102" s="93" t="s">
        <v>455</v>
      </c>
      <c r="AD102" s="217" t="s">
        <v>456</v>
      </c>
      <c r="AE102" s="11" t="str">
        <f>IMAGE("https://m.media-amazon.com/images/W/MEDIAX_792452-T2/images/I/61t+lNeiChL._SL1443_.jpg",1)</f>
        <v/>
      </c>
      <c r="AF102" s="78" t="s">
        <v>1688</v>
      </c>
      <c r="AG102" s="74"/>
      <c r="AH102" s="75"/>
      <c r="AI102" s="5"/>
      <c r="AJ102" s="14"/>
      <c r="AK102" s="12">
        <v>1.0</v>
      </c>
    </row>
    <row r="103" ht="40.5" customHeight="1">
      <c r="A103" s="11">
        <v>102.0</v>
      </c>
      <c r="B103" s="11" t="s">
        <v>173</v>
      </c>
      <c r="C103" s="11" t="s">
        <v>458</v>
      </c>
      <c r="D103" s="107" t="s">
        <v>459</v>
      </c>
      <c r="E103" s="215" t="s">
        <v>415</v>
      </c>
      <c r="F103" s="216">
        <v>10.0</v>
      </c>
      <c r="G103" s="11" t="s">
        <v>2064</v>
      </c>
      <c r="H103" s="216">
        <v>10.0</v>
      </c>
      <c r="I103" s="763" t="b">
        <v>0</v>
      </c>
      <c r="J103" s="763" t="b">
        <v>0</v>
      </c>
      <c r="K103" s="763" t="b">
        <v>0</v>
      </c>
      <c r="L103" s="763" t="b">
        <v>0</v>
      </c>
      <c r="M103" s="763" t="b">
        <v>0</v>
      </c>
      <c r="N103" s="763" t="b">
        <v>0</v>
      </c>
      <c r="O103" s="763" t="b">
        <v>0</v>
      </c>
      <c r="P103" s="763" t="b">
        <v>0</v>
      </c>
      <c r="Q103" s="763" t="b">
        <v>0</v>
      </c>
      <c r="R103" s="763" t="b">
        <v>0</v>
      </c>
      <c r="S103" s="763" t="b">
        <v>0</v>
      </c>
      <c r="T103" s="763" t="b">
        <v>0</v>
      </c>
      <c r="U103" s="763" t="b">
        <v>0</v>
      </c>
      <c r="V103" s="763" t="b">
        <v>0</v>
      </c>
      <c r="W103" s="763" t="b">
        <v>0</v>
      </c>
      <c r="X103" s="216">
        <v>500.0</v>
      </c>
      <c r="Y103" s="11">
        <f t="shared" si="5"/>
        <v>5000</v>
      </c>
      <c r="Z103" s="11" t="s">
        <v>178</v>
      </c>
      <c r="AA103" s="93"/>
      <c r="AB103" s="93" t="s">
        <v>1594</v>
      </c>
      <c r="AC103" s="93" t="s">
        <v>455</v>
      </c>
      <c r="AD103" s="217" t="s">
        <v>460</v>
      </c>
      <c r="AE103" s="11" t="str">
        <f>IMAGE("https://m.media-amazon.com/images/W/MEDIAX_792452-T2/images/I/61xb9SMx4AL._SL1440_.jpg",1)</f>
        <v/>
      </c>
      <c r="AF103" s="78" t="s">
        <v>1688</v>
      </c>
      <c r="AG103" s="74"/>
      <c r="AH103" s="75"/>
      <c r="AI103" s="12"/>
      <c r="AJ103" s="11"/>
      <c r="AK103" s="12">
        <v>1.0</v>
      </c>
    </row>
    <row r="104" ht="40.5" customHeight="1">
      <c r="A104" s="11">
        <v>103.0</v>
      </c>
      <c r="B104" s="222" t="s">
        <v>461</v>
      </c>
      <c r="C104" s="222" t="s">
        <v>463</v>
      </c>
      <c r="D104" s="232" t="s">
        <v>464</v>
      </c>
      <c r="E104" s="233" t="s">
        <v>465</v>
      </c>
      <c r="F104" s="234">
        <v>5.0</v>
      </c>
      <c r="G104" s="11" t="s">
        <v>2065</v>
      </c>
      <c r="H104" s="234">
        <v>5.0</v>
      </c>
      <c r="I104" s="763" t="b">
        <v>0</v>
      </c>
      <c r="J104" s="763" t="b">
        <v>0</v>
      </c>
      <c r="K104" s="763" t="b">
        <v>0</v>
      </c>
      <c r="L104" s="763" t="b">
        <v>0</v>
      </c>
      <c r="M104" s="763" t="b">
        <v>0</v>
      </c>
      <c r="N104" s="763" t="b">
        <v>0</v>
      </c>
      <c r="O104" s="763" t="b">
        <v>0</v>
      </c>
      <c r="P104" s="763" t="b">
        <v>0</v>
      </c>
      <c r="Q104" s="763" t="b">
        <v>0</v>
      </c>
      <c r="R104" s="763" t="b">
        <v>0</v>
      </c>
      <c r="S104" s="763" t="b">
        <v>0</v>
      </c>
      <c r="T104" s="763" t="b">
        <v>0</v>
      </c>
      <c r="U104" s="763" t="b">
        <v>0</v>
      </c>
      <c r="V104" s="763" t="b">
        <v>0</v>
      </c>
      <c r="W104" s="763" t="b">
        <v>0</v>
      </c>
      <c r="X104" s="234">
        <v>1200.0</v>
      </c>
      <c r="Y104" s="222">
        <f t="shared" si="5"/>
        <v>6000</v>
      </c>
      <c r="Z104" s="222" t="s">
        <v>466</v>
      </c>
      <c r="AA104" s="232" t="s">
        <v>47</v>
      </c>
      <c r="AB104" s="232" t="s">
        <v>1895</v>
      </c>
      <c r="AC104" s="232" t="s">
        <v>1938</v>
      </c>
      <c r="AD104" s="235" t="s">
        <v>468</v>
      </c>
      <c r="AE104" s="222" t="str">
        <f>IMAGE("https://5.imimg.com/data5/SELLER/Default/2020/10/MN/BG/IF/24066098/sunlu-sl-300-3d-pen-green-500x500.jpg",1)</f>
        <v/>
      </c>
      <c r="AF104" s="619" t="s">
        <v>1684</v>
      </c>
      <c r="AG104" s="359">
        <f>3*60</f>
        <v>180</v>
      </c>
      <c r="AH104" s="336"/>
      <c r="AI104" s="360"/>
      <c r="AJ104" s="222"/>
      <c r="AK104" s="299">
        <v>1.0</v>
      </c>
    </row>
    <row r="105" ht="40.5" customHeight="1">
      <c r="A105" s="11">
        <v>104.0</v>
      </c>
      <c r="B105" s="11" t="s">
        <v>461</v>
      </c>
      <c r="C105" s="11" t="s">
        <v>470</v>
      </c>
      <c r="D105" s="93" t="s">
        <v>471</v>
      </c>
      <c r="E105" s="215" t="s">
        <v>465</v>
      </c>
      <c r="F105" s="216">
        <v>1.0</v>
      </c>
      <c r="G105" s="11" t="s">
        <v>2066</v>
      </c>
      <c r="H105" s="216">
        <v>1.0</v>
      </c>
      <c r="I105" s="763" t="b">
        <v>0</v>
      </c>
      <c r="J105" s="763" t="b">
        <v>0</v>
      </c>
      <c r="K105" s="763" t="b">
        <v>0</v>
      </c>
      <c r="L105" s="763" t="b">
        <v>0</v>
      </c>
      <c r="M105" s="763" t="b">
        <v>0</v>
      </c>
      <c r="N105" s="763" t="b">
        <v>0</v>
      </c>
      <c r="O105" s="763" t="b">
        <v>0</v>
      </c>
      <c r="P105" s="763" t="b">
        <v>0</v>
      </c>
      <c r="Q105" s="763" t="b">
        <v>0</v>
      </c>
      <c r="R105" s="763" t="b">
        <v>0</v>
      </c>
      <c r="S105" s="763" t="b">
        <v>0</v>
      </c>
      <c r="T105" s="763" t="b">
        <v>0</v>
      </c>
      <c r="U105" s="763" t="b">
        <v>0</v>
      </c>
      <c r="V105" s="763" t="b">
        <v>0</v>
      </c>
      <c r="W105" s="763" t="b">
        <v>0</v>
      </c>
      <c r="X105" s="216">
        <v>50000.0</v>
      </c>
      <c r="Y105" s="11">
        <f t="shared" si="5"/>
        <v>50000</v>
      </c>
      <c r="Z105" s="11" t="s">
        <v>466</v>
      </c>
      <c r="AA105" s="37" t="s">
        <v>47</v>
      </c>
      <c r="AB105" s="123" t="s">
        <v>65</v>
      </c>
      <c r="AC105" s="93" t="s">
        <v>1938</v>
      </c>
      <c r="AD105" s="217" t="s">
        <v>472</v>
      </c>
      <c r="AE105" s="11" t="str">
        <f>IMAGE("https://m.media-amazon.com/images/I/61UtNlSmPaL._SX342_.jpg",1)</f>
        <v/>
      </c>
      <c r="AF105" s="73" t="s">
        <v>1684</v>
      </c>
      <c r="AG105" s="74">
        <f>55</f>
        <v>55</v>
      </c>
      <c r="AH105" s="75"/>
      <c r="AI105" s="12"/>
      <c r="AJ105" s="11"/>
      <c r="AK105" s="12">
        <v>3.0</v>
      </c>
    </row>
    <row r="106" ht="40.5" customHeight="1">
      <c r="A106" s="11">
        <v>105.0</v>
      </c>
      <c r="B106" s="11" t="s">
        <v>461</v>
      </c>
      <c r="C106" s="11" t="s">
        <v>474</v>
      </c>
      <c r="D106" s="93" t="s">
        <v>475</v>
      </c>
      <c r="E106" s="215" t="s">
        <v>465</v>
      </c>
      <c r="F106" s="216" t="s">
        <v>56</v>
      </c>
      <c r="G106" s="11" t="s">
        <v>2067</v>
      </c>
      <c r="H106" s="216">
        <v>1.0</v>
      </c>
      <c r="I106" s="763" t="b">
        <v>0</v>
      </c>
      <c r="J106" s="763" t="b">
        <v>0</v>
      </c>
      <c r="K106" s="763" t="b">
        <v>0</v>
      </c>
      <c r="L106" s="763" t="b">
        <v>0</v>
      </c>
      <c r="M106" s="763" t="b">
        <v>0</v>
      </c>
      <c r="N106" s="763" t="b">
        <v>0</v>
      </c>
      <c r="O106" s="763" t="b">
        <v>0</v>
      </c>
      <c r="P106" s="763" t="b">
        <v>0</v>
      </c>
      <c r="Q106" s="763" t="b">
        <v>0</v>
      </c>
      <c r="R106" s="763" t="b">
        <v>0</v>
      </c>
      <c r="S106" s="763" t="b">
        <v>0</v>
      </c>
      <c r="T106" s="763" t="b">
        <v>0</v>
      </c>
      <c r="U106" s="763" t="b">
        <v>0</v>
      </c>
      <c r="V106" s="763" t="b">
        <v>0</v>
      </c>
      <c r="W106" s="763" t="b">
        <v>0</v>
      </c>
      <c r="X106" s="216">
        <v>500.0</v>
      </c>
      <c r="Y106" s="11">
        <f t="shared" si="5"/>
        <v>500</v>
      </c>
      <c r="Z106" s="11" t="s">
        <v>466</v>
      </c>
      <c r="AA106" s="11"/>
      <c r="AB106" s="93" t="s">
        <v>1594</v>
      </c>
      <c r="AC106" s="93" t="s">
        <v>1938</v>
      </c>
      <c r="AD106" s="217"/>
      <c r="AE106" s="11"/>
      <c r="AF106" s="73"/>
      <c r="AG106" s="74"/>
      <c r="AH106" s="75"/>
      <c r="AI106" s="12"/>
      <c r="AJ106" s="11"/>
      <c r="AK106" s="12">
        <v>1.0</v>
      </c>
    </row>
    <row r="107" ht="40.5" customHeight="1">
      <c r="A107" s="11">
        <v>106.0</v>
      </c>
      <c r="B107" s="222" t="s">
        <v>461</v>
      </c>
      <c r="C107" s="222" t="s">
        <v>478</v>
      </c>
      <c r="D107" s="232" t="s">
        <v>479</v>
      </c>
      <c r="E107" s="233" t="s">
        <v>465</v>
      </c>
      <c r="F107" s="234">
        <v>3.0</v>
      </c>
      <c r="G107" s="11" t="s">
        <v>2069</v>
      </c>
      <c r="H107" s="234">
        <v>3.0</v>
      </c>
      <c r="I107" s="763" t="b">
        <v>0</v>
      </c>
      <c r="J107" s="763" t="b">
        <v>0</v>
      </c>
      <c r="K107" s="763" t="b">
        <v>0</v>
      </c>
      <c r="L107" s="763" t="b">
        <v>0</v>
      </c>
      <c r="M107" s="763" t="b">
        <v>0</v>
      </c>
      <c r="N107" s="763" t="b">
        <v>0</v>
      </c>
      <c r="O107" s="763" t="b">
        <v>0</v>
      </c>
      <c r="P107" s="763" t="b">
        <v>0</v>
      </c>
      <c r="Q107" s="763" t="b">
        <v>0</v>
      </c>
      <c r="R107" s="763" t="b">
        <v>0</v>
      </c>
      <c r="S107" s="763" t="b">
        <v>0</v>
      </c>
      <c r="T107" s="763" t="b">
        <v>0</v>
      </c>
      <c r="U107" s="763" t="b">
        <v>0</v>
      </c>
      <c r="V107" s="763" t="b">
        <v>0</v>
      </c>
      <c r="W107" s="763" t="b">
        <v>0</v>
      </c>
      <c r="X107" s="234">
        <v>500.0</v>
      </c>
      <c r="Y107" s="222">
        <f t="shared" si="5"/>
        <v>1500</v>
      </c>
      <c r="Z107" s="222" t="s">
        <v>466</v>
      </c>
      <c r="AA107" s="232"/>
      <c r="AB107" s="232" t="s">
        <v>2068</v>
      </c>
      <c r="AC107" s="232" t="s">
        <v>1938</v>
      </c>
      <c r="AD107" s="235" t="s">
        <v>481</v>
      </c>
      <c r="AE107" s="222" t="str">
        <f>IMAGE("https://5.imimg.com/data5/LA/TM/JO/SELLER-79394111/3d-printer-nylon-filament-500x500.jpg",1)</f>
        <v/>
      </c>
      <c r="AF107" s="619" t="s">
        <v>1684</v>
      </c>
      <c r="AG107" s="359"/>
      <c r="AH107" s="336"/>
      <c r="AI107" s="360"/>
      <c r="AJ107" s="222"/>
      <c r="AK107" s="299">
        <v>1.0</v>
      </c>
    </row>
    <row r="108" ht="40.5" customHeight="1">
      <c r="A108" s="11">
        <v>107.0</v>
      </c>
      <c r="B108" s="11" t="s">
        <v>173</v>
      </c>
      <c r="C108" s="11" t="s">
        <v>487</v>
      </c>
      <c r="D108" s="93" t="s">
        <v>488</v>
      </c>
      <c r="E108" s="215" t="s">
        <v>489</v>
      </c>
      <c r="F108" s="216">
        <v>20.0</v>
      </c>
      <c r="G108" s="11" t="s">
        <v>1802</v>
      </c>
      <c r="H108" s="216">
        <v>20.0</v>
      </c>
      <c r="I108" s="763" t="b">
        <v>0</v>
      </c>
      <c r="J108" s="763" t="b">
        <v>0</v>
      </c>
      <c r="K108" s="763" t="b">
        <v>0</v>
      </c>
      <c r="L108" s="763" t="b">
        <v>0</v>
      </c>
      <c r="M108" s="763" t="b">
        <v>0</v>
      </c>
      <c r="N108" s="763" t="b">
        <v>0</v>
      </c>
      <c r="O108" s="763" t="b">
        <v>0</v>
      </c>
      <c r="P108" s="763" t="b">
        <v>0</v>
      </c>
      <c r="Q108" s="763" t="b">
        <v>0</v>
      </c>
      <c r="R108" s="763" t="b">
        <v>0</v>
      </c>
      <c r="S108" s="763" t="b">
        <v>0</v>
      </c>
      <c r="T108" s="763" t="b">
        <v>0</v>
      </c>
      <c r="U108" s="763" t="b">
        <v>0</v>
      </c>
      <c r="V108" s="763" t="b">
        <v>0</v>
      </c>
      <c r="W108" s="763" t="b">
        <v>0</v>
      </c>
      <c r="X108" s="216">
        <v>40.0</v>
      </c>
      <c r="Y108" s="11">
        <f t="shared" si="5"/>
        <v>800</v>
      </c>
      <c r="Z108" s="11" t="s">
        <v>178</v>
      </c>
      <c r="AA108" s="93"/>
      <c r="AB108" s="93" t="s">
        <v>2070</v>
      </c>
      <c r="AC108" s="93" t="s">
        <v>1941</v>
      </c>
      <c r="AD108" s="217" t="s">
        <v>490</v>
      </c>
      <c r="AE108" s="11" t="str">
        <f>IMAGE("https://m.media-amazon.com/images/I/51BByYhTjOL._SX425_.jpg",1)</f>
        <v/>
      </c>
      <c r="AF108" s="78" t="s">
        <v>1688</v>
      </c>
      <c r="AG108" s="79"/>
      <c r="AH108" s="80"/>
      <c r="AI108" s="12"/>
      <c r="AJ108" s="11"/>
      <c r="AK108" s="12">
        <v>1.0</v>
      </c>
    </row>
    <row r="109" ht="40.5" customHeight="1">
      <c r="A109" s="11">
        <v>108.0</v>
      </c>
      <c r="B109" s="11" t="s">
        <v>173</v>
      </c>
      <c r="C109" s="11" t="s">
        <v>492</v>
      </c>
      <c r="D109" s="93" t="s">
        <v>1942</v>
      </c>
      <c r="E109" s="215" t="s">
        <v>489</v>
      </c>
      <c r="F109" s="216">
        <v>10.0</v>
      </c>
      <c r="G109" s="11" t="s">
        <v>2071</v>
      </c>
      <c r="H109" s="216">
        <v>10.0</v>
      </c>
      <c r="I109" s="763" t="b">
        <v>0</v>
      </c>
      <c r="J109" s="763" t="b">
        <v>0</v>
      </c>
      <c r="K109" s="763" t="b">
        <v>0</v>
      </c>
      <c r="L109" s="763" t="b">
        <v>0</v>
      </c>
      <c r="M109" s="763" t="b">
        <v>0</v>
      </c>
      <c r="N109" s="763" t="b">
        <v>0</v>
      </c>
      <c r="O109" s="763" t="b">
        <v>0</v>
      </c>
      <c r="P109" s="763" t="b">
        <v>0</v>
      </c>
      <c r="Q109" s="763" t="b">
        <v>0</v>
      </c>
      <c r="R109" s="763" t="b">
        <v>0</v>
      </c>
      <c r="S109" s="763" t="b">
        <v>0</v>
      </c>
      <c r="T109" s="763" t="b">
        <v>0</v>
      </c>
      <c r="U109" s="763" t="b">
        <v>0</v>
      </c>
      <c r="V109" s="763" t="b">
        <v>0</v>
      </c>
      <c r="W109" s="763" t="b">
        <v>0</v>
      </c>
      <c r="X109" s="216">
        <v>60.0</v>
      </c>
      <c r="Y109" s="11">
        <f t="shared" si="5"/>
        <v>600</v>
      </c>
      <c r="Z109" s="11" t="s">
        <v>178</v>
      </c>
      <c r="AA109" s="93"/>
      <c r="AB109" s="93" t="s">
        <v>2012</v>
      </c>
      <c r="AC109" s="93" t="s">
        <v>493</v>
      </c>
      <c r="AD109" s="217" t="s">
        <v>494</v>
      </c>
      <c r="AE109" s="11" t="str">
        <f>IMAGE("https://5.imimg.com/data5/SR/JZ/RD/SELLER-80355495/large-breadboard-800-points--500x500.jpg",1)</f>
        <v/>
      </c>
      <c r="AF109" s="78" t="s">
        <v>1688</v>
      </c>
      <c r="AG109" s="74"/>
      <c r="AH109" s="75"/>
      <c r="AI109" s="12"/>
      <c r="AJ109" s="11"/>
      <c r="AK109" s="12">
        <v>1.0</v>
      </c>
    </row>
    <row r="110" ht="40.5" customHeight="1">
      <c r="A110" s="11">
        <v>109.0</v>
      </c>
      <c r="B110" s="11" t="s">
        <v>173</v>
      </c>
      <c r="C110" s="11" t="s">
        <v>496</v>
      </c>
      <c r="D110" s="93" t="s">
        <v>497</v>
      </c>
      <c r="E110" s="215" t="s">
        <v>489</v>
      </c>
      <c r="F110" s="216">
        <v>10.0</v>
      </c>
      <c r="G110" s="11" t="s">
        <v>2072</v>
      </c>
      <c r="H110" s="216">
        <v>10.0</v>
      </c>
      <c r="I110" s="763" t="b">
        <v>0</v>
      </c>
      <c r="J110" s="763" t="b">
        <v>0</v>
      </c>
      <c r="K110" s="763" t="b">
        <v>0</v>
      </c>
      <c r="L110" s="763" t="b">
        <v>0</v>
      </c>
      <c r="M110" s="763" t="b">
        <v>0</v>
      </c>
      <c r="N110" s="763" t="b">
        <v>0</v>
      </c>
      <c r="O110" s="763" t="b">
        <v>0</v>
      </c>
      <c r="P110" s="763" t="b">
        <v>0</v>
      </c>
      <c r="Q110" s="763" t="b">
        <v>0</v>
      </c>
      <c r="R110" s="763" t="b">
        <v>0</v>
      </c>
      <c r="S110" s="763" t="b">
        <v>0</v>
      </c>
      <c r="T110" s="763" t="b">
        <v>0</v>
      </c>
      <c r="U110" s="763" t="b">
        <v>0</v>
      </c>
      <c r="V110" s="763" t="b">
        <v>0</v>
      </c>
      <c r="W110" s="763" t="b">
        <v>0</v>
      </c>
      <c r="X110" s="216">
        <v>40.0</v>
      </c>
      <c r="Y110" s="11">
        <f t="shared" si="5"/>
        <v>400</v>
      </c>
      <c r="Z110" s="11" t="s">
        <v>178</v>
      </c>
      <c r="AA110" s="93"/>
      <c r="AB110" s="93" t="s">
        <v>2012</v>
      </c>
      <c r="AC110" s="93" t="s">
        <v>493</v>
      </c>
      <c r="AD110" s="217" t="s">
        <v>498</v>
      </c>
      <c r="AE110" s="11" t="str">
        <f>IMAGE("https://5.imimg.com/data5/SELLER/Default/2020/12/GY/DK/LM/59387089/400-point-solderless-breadboard-500x500.jpg",1)</f>
        <v/>
      </c>
      <c r="AF110" s="78" t="s">
        <v>1688</v>
      </c>
      <c r="AG110" s="74"/>
      <c r="AH110" s="75"/>
      <c r="AI110" s="12"/>
      <c r="AJ110" s="11"/>
      <c r="AK110" s="12">
        <v>1.0</v>
      </c>
    </row>
    <row r="111" ht="40.5" customHeight="1">
      <c r="A111" s="11">
        <v>110.0</v>
      </c>
      <c r="B111" s="11" t="s">
        <v>173</v>
      </c>
      <c r="C111" s="11" t="s">
        <v>500</v>
      </c>
      <c r="D111" s="93" t="s">
        <v>501</v>
      </c>
      <c r="E111" s="215" t="s">
        <v>489</v>
      </c>
      <c r="F111" s="216">
        <v>10.0</v>
      </c>
      <c r="G111" s="11" t="s">
        <v>2073</v>
      </c>
      <c r="H111" s="216">
        <v>10.0</v>
      </c>
      <c r="I111" s="763" t="b">
        <v>0</v>
      </c>
      <c r="J111" s="763" t="b">
        <v>0</v>
      </c>
      <c r="K111" s="763" t="b">
        <v>0</v>
      </c>
      <c r="L111" s="763" t="b">
        <v>0</v>
      </c>
      <c r="M111" s="763" t="b">
        <v>0</v>
      </c>
      <c r="N111" s="763" t="b">
        <v>0</v>
      </c>
      <c r="O111" s="763" t="b">
        <v>0</v>
      </c>
      <c r="P111" s="763" t="b">
        <v>0</v>
      </c>
      <c r="Q111" s="763" t="b">
        <v>0</v>
      </c>
      <c r="R111" s="763" t="b">
        <v>0</v>
      </c>
      <c r="S111" s="763" t="b">
        <v>0</v>
      </c>
      <c r="T111" s="763" t="b">
        <v>0</v>
      </c>
      <c r="U111" s="763" t="b">
        <v>0</v>
      </c>
      <c r="V111" s="763" t="b">
        <v>0</v>
      </c>
      <c r="W111" s="763" t="b">
        <v>0</v>
      </c>
      <c r="X111" s="216">
        <v>200.0</v>
      </c>
      <c r="Y111" s="11">
        <f t="shared" si="5"/>
        <v>2000</v>
      </c>
      <c r="Z111" s="11" t="s">
        <v>178</v>
      </c>
      <c r="AA111" s="93"/>
      <c r="AB111" s="93" t="s">
        <v>1895</v>
      </c>
      <c r="AC111" s="93" t="s">
        <v>493</v>
      </c>
      <c r="AD111" s="238" t="s">
        <v>502</v>
      </c>
      <c r="AE111" s="11" t="str">
        <f>IMAGE("https://1ohm.in/wp-content/uploads/2021/07/MB102-3.3V5V-Breadboard-Power-Supply-Module.png",1)</f>
        <v/>
      </c>
      <c r="AF111" s="78" t="s">
        <v>1688</v>
      </c>
      <c r="AG111" s="74"/>
      <c r="AH111" s="75"/>
      <c r="AI111" s="12"/>
      <c r="AJ111" s="11"/>
      <c r="AK111" s="12">
        <v>1.0</v>
      </c>
    </row>
    <row r="112" ht="40.5" customHeight="1">
      <c r="A112" s="11">
        <v>111.0</v>
      </c>
      <c r="B112" s="11" t="s">
        <v>173</v>
      </c>
      <c r="C112" s="11" t="s">
        <v>504</v>
      </c>
      <c r="D112" s="93" t="s">
        <v>505</v>
      </c>
      <c r="E112" s="215" t="s">
        <v>489</v>
      </c>
      <c r="F112" s="216">
        <v>100.0</v>
      </c>
      <c r="G112" s="221" t="s">
        <v>2075</v>
      </c>
      <c r="H112" s="216">
        <v>100.0</v>
      </c>
      <c r="I112" s="763" t="b">
        <v>0</v>
      </c>
      <c r="J112" s="763" t="b">
        <v>0</v>
      </c>
      <c r="K112" s="763" t="b">
        <v>0</v>
      </c>
      <c r="L112" s="763" t="b">
        <v>0</v>
      </c>
      <c r="M112" s="763" t="b">
        <v>0</v>
      </c>
      <c r="N112" s="763" t="b">
        <v>0</v>
      </c>
      <c r="O112" s="763" t="b">
        <v>0</v>
      </c>
      <c r="P112" s="763" t="b">
        <v>0</v>
      </c>
      <c r="Q112" s="763" t="b">
        <v>0</v>
      </c>
      <c r="R112" s="763" t="b">
        <v>0</v>
      </c>
      <c r="S112" s="763" t="b">
        <v>0</v>
      </c>
      <c r="T112" s="763" t="b">
        <v>0</v>
      </c>
      <c r="U112" s="763" t="b">
        <v>0</v>
      </c>
      <c r="V112" s="763" t="b">
        <v>0</v>
      </c>
      <c r="W112" s="763" t="b">
        <v>0</v>
      </c>
      <c r="X112" s="216">
        <v>10.0</v>
      </c>
      <c r="Y112" s="11">
        <f t="shared" si="5"/>
        <v>1000</v>
      </c>
      <c r="Z112" s="11" t="s">
        <v>178</v>
      </c>
      <c r="AA112" s="93"/>
      <c r="AB112" s="93" t="s">
        <v>2074</v>
      </c>
      <c r="AC112" s="93" t="s">
        <v>23</v>
      </c>
      <c r="AD112" s="217" t="s">
        <v>506</v>
      </c>
      <c r="AE112" s="11" t="str">
        <f>IMAGE("https://rukminim2.flixcart.com/image/832/832/ks243gw0/electronic-hobby-kit/x/f/2/2mm-pitch-female-burg-strip-40-pin-5-pcs-prime-intact-original-imag5pxpqjxcdsgh.jpeg?q=70",1)</f>
        <v/>
      </c>
      <c r="AF112" s="78" t="s">
        <v>1688</v>
      </c>
      <c r="AG112" s="74"/>
      <c r="AH112" s="75"/>
      <c r="AI112" s="12"/>
      <c r="AJ112" s="11"/>
      <c r="AK112" s="12">
        <v>1.0</v>
      </c>
    </row>
    <row r="113" ht="40.5" customHeight="1">
      <c r="A113" s="11">
        <v>112.0</v>
      </c>
      <c r="B113" s="11" t="s">
        <v>173</v>
      </c>
      <c r="C113" s="11" t="s">
        <v>508</v>
      </c>
      <c r="D113" s="93" t="s">
        <v>509</v>
      </c>
      <c r="E113" s="215" t="s">
        <v>489</v>
      </c>
      <c r="F113" s="216">
        <v>50.0</v>
      </c>
      <c r="G113" s="221" t="s">
        <v>2076</v>
      </c>
      <c r="H113" s="216">
        <v>50.0</v>
      </c>
      <c r="I113" s="763" t="b">
        <v>0</v>
      </c>
      <c r="J113" s="763" t="b">
        <v>0</v>
      </c>
      <c r="K113" s="763" t="b">
        <v>0</v>
      </c>
      <c r="L113" s="763" t="b">
        <v>0</v>
      </c>
      <c r="M113" s="763" t="b">
        <v>0</v>
      </c>
      <c r="N113" s="763" t="b">
        <v>0</v>
      </c>
      <c r="O113" s="763" t="b">
        <v>0</v>
      </c>
      <c r="P113" s="763" t="b">
        <v>0</v>
      </c>
      <c r="Q113" s="763" t="b">
        <v>0</v>
      </c>
      <c r="R113" s="763" t="b">
        <v>0</v>
      </c>
      <c r="S113" s="763" t="b">
        <v>0</v>
      </c>
      <c r="T113" s="763" t="b">
        <v>0</v>
      </c>
      <c r="U113" s="763" t="b">
        <v>0</v>
      </c>
      <c r="V113" s="763" t="b">
        <v>0</v>
      </c>
      <c r="W113" s="763" t="b">
        <v>0</v>
      </c>
      <c r="X113" s="216">
        <v>15.0</v>
      </c>
      <c r="Y113" s="11">
        <f t="shared" si="5"/>
        <v>750</v>
      </c>
      <c r="Z113" s="11" t="s">
        <v>178</v>
      </c>
      <c r="AA113" s="93"/>
      <c r="AB113" s="93" t="s">
        <v>2074</v>
      </c>
      <c r="AC113" s="93" t="s">
        <v>237</v>
      </c>
      <c r="AD113" s="217" t="s">
        <v>510</v>
      </c>
      <c r="AE113" s="11" t="str">
        <f>IMAGE("https://5.imimg.com/data5/OF/VW/IL/SELLER-9316309/burg-strips-500x500.jpg",1)</f>
        <v/>
      </c>
      <c r="AF113" s="78" t="s">
        <v>1688</v>
      </c>
      <c r="AG113" s="74"/>
      <c r="AH113" s="75"/>
      <c r="AI113" s="12"/>
      <c r="AJ113" s="11"/>
      <c r="AK113" s="12">
        <v>1.0</v>
      </c>
    </row>
    <row r="114" ht="40.5" customHeight="1">
      <c r="A114" s="11">
        <v>113.0</v>
      </c>
      <c r="B114" s="11" t="s">
        <v>173</v>
      </c>
      <c r="C114" s="11" t="s">
        <v>512</v>
      </c>
      <c r="D114" s="93" t="s">
        <v>513</v>
      </c>
      <c r="E114" s="215" t="s">
        <v>489</v>
      </c>
      <c r="F114" s="216">
        <v>50.0</v>
      </c>
      <c r="G114" s="221" t="s">
        <v>2077</v>
      </c>
      <c r="H114" s="216">
        <v>50.0</v>
      </c>
      <c r="I114" s="763" t="b">
        <v>0</v>
      </c>
      <c r="J114" s="763" t="b">
        <v>0</v>
      </c>
      <c r="K114" s="763" t="b">
        <v>0</v>
      </c>
      <c r="L114" s="763" t="b">
        <v>0</v>
      </c>
      <c r="M114" s="763" t="b">
        <v>0</v>
      </c>
      <c r="N114" s="763" t="b">
        <v>0</v>
      </c>
      <c r="O114" s="763" t="b">
        <v>0</v>
      </c>
      <c r="P114" s="763" t="b">
        <v>0</v>
      </c>
      <c r="Q114" s="763" t="b">
        <v>0</v>
      </c>
      <c r="R114" s="763" t="b">
        <v>0</v>
      </c>
      <c r="S114" s="763" t="b">
        <v>0</v>
      </c>
      <c r="T114" s="763" t="b">
        <v>0</v>
      </c>
      <c r="U114" s="763" t="b">
        <v>0</v>
      </c>
      <c r="V114" s="763" t="b">
        <v>0</v>
      </c>
      <c r="W114" s="763" t="b">
        <v>0</v>
      </c>
      <c r="X114" s="216">
        <v>20.0</v>
      </c>
      <c r="Y114" s="11">
        <f t="shared" si="5"/>
        <v>1000</v>
      </c>
      <c r="Z114" s="11" t="s">
        <v>178</v>
      </c>
      <c r="AA114" s="93"/>
      <c r="AB114" s="93" t="s">
        <v>2074</v>
      </c>
      <c r="AC114" s="93" t="s">
        <v>237</v>
      </c>
      <c r="AD114" s="217" t="s">
        <v>514</v>
      </c>
      <c r="AE114" s="11" t="str">
        <f>IMAGE("https://www.tomsonelectronics.com/cdn/shop/products/40X1MALERAI_2048x2048.jpg?v=1602835171",1)</f>
        <v/>
      </c>
      <c r="AF114" s="78" t="s">
        <v>1688</v>
      </c>
      <c r="AG114" s="74"/>
      <c r="AH114" s="75"/>
      <c r="AI114" s="12"/>
      <c r="AJ114" s="11"/>
      <c r="AK114" s="12">
        <v>1.0</v>
      </c>
    </row>
    <row r="115" ht="40.5" customHeight="1">
      <c r="A115" s="11">
        <v>114.0</v>
      </c>
      <c r="B115" s="11" t="s">
        <v>173</v>
      </c>
      <c r="C115" s="239" t="s">
        <v>521</v>
      </c>
      <c r="D115" s="240" t="s">
        <v>522</v>
      </c>
      <c r="E115" s="215" t="s">
        <v>489</v>
      </c>
      <c r="F115" s="216">
        <v>100.0</v>
      </c>
      <c r="G115" s="11" t="s">
        <v>1844</v>
      </c>
      <c r="H115" s="216">
        <v>100.0</v>
      </c>
      <c r="I115" s="763" t="b">
        <v>0</v>
      </c>
      <c r="J115" s="763" t="b">
        <v>0</v>
      </c>
      <c r="K115" s="763" t="b">
        <v>0</v>
      </c>
      <c r="L115" s="763" t="b">
        <v>0</v>
      </c>
      <c r="M115" s="763" t="b">
        <v>0</v>
      </c>
      <c r="N115" s="763" t="b">
        <v>0</v>
      </c>
      <c r="O115" s="763" t="b">
        <v>0</v>
      </c>
      <c r="P115" s="763" t="b">
        <v>0</v>
      </c>
      <c r="Q115" s="763" t="b">
        <v>0</v>
      </c>
      <c r="R115" s="763" t="b">
        <v>0</v>
      </c>
      <c r="S115" s="763" t="b">
        <v>0</v>
      </c>
      <c r="T115" s="763" t="b">
        <v>0</v>
      </c>
      <c r="U115" s="763" t="b">
        <v>0</v>
      </c>
      <c r="V115" s="763" t="b">
        <v>0</v>
      </c>
      <c r="W115" s="763" t="b">
        <v>0</v>
      </c>
      <c r="X115" s="216">
        <v>5.0</v>
      </c>
      <c r="Y115" s="11">
        <f t="shared" si="5"/>
        <v>500</v>
      </c>
      <c r="Z115" s="11" t="s">
        <v>178</v>
      </c>
      <c r="AA115" s="93" t="s">
        <v>65</v>
      </c>
      <c r="AB115" s="93" t="s">
        <v>2078</v>
      </c>
      <c r="AC115" s="93" t="s">
        <v>1943</v>
      </c>
      <c r="AD115" s="217" t="s">
        <v>519</v>
      </c>
      <c r="AE115" s="11" t="str">
        <f>IMAGE("https://projectpoint.in/image/cache/catalog/102-672x504.jpg",1)</f>
        <v/>
      </c>
      <c r="AF115" s="78" t="s">
        <v>1688</v>
      </c>
      <c r="AG115" s="74"/>
      <c r="AH115" s="75"/>
      <c r="AI115" s="12"/>
      <c r="AJ115" s="11"/>
      <c r="AK115" s="12">
        <v>1.0</v>
      </c>
    </row>
    <row r="116" ht="40.5" customHeight="1">
      <c r="A116" s="11">
        <v>115.0</v>
      </c>
      <c r="B116" s="11" t="s">
        <v>173</v>
      </c>
      <c r="C116" s="239" t="s">
        <v>516</v>
      </c>
      <c r="D116" s="240" t="s">
        <v>517</v>
      </c>
      <c r="E116" s="215" t="s">
        <v>489</v>
      </c>
      <c r="F116" s="216">
        <v>100.0</v>
      </c>
      <c r="G116" s="11" t="s">
        <v>1844</v>
      </c>
      <c r="H116" s="216">
        <v>100.0</v>
      </c>
      <c r="I116" s="763" t="b">
        <v>0</v>
      </c>
      <c r="J116" s="763" t="b">
        <v>0</v>
      </c>
      <c r="K116" s="763" t="b">
        <v>0</v>
      </c>
      <c r="L116" s="763" t="b">
        <v>0</v>
      </c>
      <c r="M116" s="763" t="b">
        <v>0</v>
      </c>
      <c r="N116" s="763" t="b">
        <v>0</v>
      </c>
      <c r="O116" s="763" t="b">
        <v>0</v>
      </c>
      <c r="P116" s="763" t="b">
        <v>0</v>
      </c>
      <c r="Q116" s="763" t="b">
        <v>0</v>
      </c>
      <c r="R116" s="763" t="b">
        <v>0</v>
      </c>
      <c r="S116" s="763" t="b">
        <v>0</v>
      </c>
      <c r="T116" s="763" t="b">
        <v>0</v>
      </c>
      <c r="U116" s="763" t="b">
        <v>0</v>
      </c>
      <c r="V116" s="763" t="b">
        <v>0</v>
      </c>
      <c r="W116" s="763" t="b">
        <v>0</v>
      </c>
      <c r="X116" s="216">
        <v>5.0</v>
      </c>
      <c r="Y116" s="11">
        <f t="shared" si="5"/>
        <v>500</v>
      </c>
      <c r="Z116" s="11" t="s">
        <v>178</v>
      </c>
      <c r="AA116" s="93" t="s">
        <v>65</v>
      </c>
      <c r="AB116" s="93" t="s">
        <v>2078</v>
      </c>
      <c r="AC116" s="93" t="s">
        <v>1943</v>
      </c>
      <c r="AD116" s="217" t="s">
        <v>523</v>
      </c>
      <c r="AE116" s="11" t="str">
        <f t="shared" ref="AE116:AE117" si="6">IMAGE("https://projectpoint.in/image/cache/catalog/103-672x504.jpg",1)</f>
        <v/>
      </c>
      <c r="AF116" s="78" t="s">
        <v>1688</v>
      </c>
      <c r="AG116" s="74"/>
      <c r="AH116" s="75"/>
      <c r="AI116" s="12"/>
      <c r="AJ116" s="11"/>
      <c r="AK116" s="12">
        <v>1.0</v>
      </c>
    </row>
    <row r="117" ht="40.5" customHeight="1">
      <c r="A117" s="11">
        <v>116.0</v>
      </c>
      <c r="B117" s="11" t="s">
        <v>173</v>
      </c>
      <c r="C117" s="239" t="s">
        <v>529</v>
      </c>
      <c r="D117" s="240" t="s">
        <v>530</v>
      </c>
      <c r="E117" s="215" t="s">
        <v>489</v>
      </c>
      <c r="F117" s="216">
        <v>100.0</v>
      </c>
      <c r="G117" s="11" t="s">
        <v>1845</v>
      </c>
      <c r="H117" s="216">
        <v>100.0</v>
      </c>
      <c r="I117" s="763" t="b">
        <v>0</v>
      </c>
      <c r="J117" s="763" t="b">
        <v>0</v>
      </c>
      <c r="K117" s="763" t="b">
        <v>0</v>
      </c>
      <c r="L117" s="763" t="b">
        <v>0</v>
      </c>
      <c r="M117" s="763" t="b">
        <v>0</v>
      </c>
      <c r="N117" s="763" t="b">
        <v>0</v>
      </c>
      <c r="O117" s="763" t="b">
        <v>0</v>
      </c>
      <c r="P117" s="763" t="b">
        <v>0</v>
      </c>
      <c r="Q117" s="763" t="b">
        <v>0</v>
      </c>
      <c r="R117" s="763" t="b">
        <v>0</v>
      </c>
      <c r="S117" s="763" t="b">
        <v>0</v>
      </c>
      <c r="T117" s="763" t="b">
        <v>0</v>
      </c>
      <c r="U117" s="763" t="b">
        <v>0</v>
      </c>
      <c r="V117" s="763" t="b">
        <v>0</v>
      </c>
      <c r="W117" s="763" t="b">
        <v>0</v>
      </c>
      <c r="X117" s="216">
        <v>5.0</v>
      </c>
      <c r="Y117" s="11">
        <f t="shared" si="5"/>
        <v>500</v>
      </c>
      <c r="Z117" s="11" t="s">
        <v>178</v>
      </c>
      <c r="AA117" s="93" t="s">
        <v>65</v>
      </c>
      <c r="AB117" s="93" t="s">
        <v>2078</v>
      </c>
      <c r="AC117" s="93" t="s">
        <v>1943</v>
      </c>
      <c r="AD117" s="217" t="s">
        <v>527</v>
      </c>
      <c r="AE117" s="11" t="str">
        <f t="shared" si="6"/>
        <v/>
      </c>
      <c r="AF117" s="78" t="s">
        <v>1688</v>
      </c>
      <c r="AG117" s="74"/>
      <c r="AH117" s="75"/>
      <c r="AI117" s="12"/>
      <c r="AJ117" s="11"/>
      <c r="AK117" s="12">
        <v>1.0</v>
      </c>
    </row>
    <row r="118" ht="40.5" customHeight="1">
      <c r="A118" s="11">
        <v>117.0</v>
      </c>
      <c r="B118" s="11" t="s">
        <v>173</v>
      </c>
      <c r="C118" s="239" t="s">
        <v>525</v>
      </c>
      <c r="D118" s="240" t="s">
        <v>526</v>
      </c>
      <c r="E118" s="215" t="s">
        <v>489</v>
      </c>
      <c r="F118" s="216">
        <v>100.0</v>
      </c>
      <c r="G118" s="11" t="s">
        <v>1845</v>
      </c>
      <c r="H118" s="216">
        <v>100.0</v>
      </c>
      <c r="I118" s="763" t="b">
        <v>0</v>
      </c>
      <c r="J118" s="763" t="b">
        <v>0</v>
      </c>
      <c r="K118" s="763" t="b">
        <v>0</v>
      </c>
      <c r="L118" s="763" t="b">
        <v>0</v>
      </c>
      <c r="M118" s="763" t="b">
        <v>0</v>
      </c>
      <c r="N118" s="763" t="b">
        <v>0</v>
      </c>
      <c r="O118" s="763" t="b">
        <v>0</v>
      </c>
      <c r="P118" s="763" t="b">
        <v>0</v>
      </c>
      <c r="Q118" s="763" t="b">
        <v>0</v>
      </c>
      <c r="R118" s="763" t="b">
        <v>0</v>
      </c>
      <c r="S118" s="763" t="b">
        <v>0</v>
      </c>
      <c r="T118" s="763" t="b">
        <v>0</v>
      </c>
      <c r="U118" s="763" t="b">
        <v>0</v>
      </c>
      <c r="V118" s="763" t="b">
        <v>0</v>
      </c>
      <c r="W118" s="763" t="b">
        <v>0</v>
      </c>
      <c r="X118" s="216">
        <v>5.0</v>
      </c>
      <c r="Y118" s="11">
        <f t="shared" si="5"/>
        <v>500</v>
      </c>
      <c r="Z118" s="11" t="s">
        <v>178</v>
      </c>
      <c r="AA118" s="93" t="s">
        <v>65</v>
      </c>
      <c r="AB118" s="93" t="s">
        <v>2078</v>
      </c>
      <c r="AC118" s="93" t="s">
        <v>1943</v>
      </c>
      <c r="AD118" s="217" t="s">
        <v>531</v>
      </c>
      <c r="AE118" s="11" t="str">
        <f t="shared" ref="AE118:AE120" si="7">IMAGE("https://www.ato.com/content/images/thumbs/0011952_01f-50v-disc-ceramic-capacitor_550.jpeg",1)</f>
        <v/>
      </c>
      <c r="AF118" s="78" t="s">
        <v>1688</v>
      </c>
      <c r="AG118" s="74"/>
      <c r="AH118" s="75"/>
      <c r="AI118" s="12"/>
      <c r="AJ118" s="11"/>
      <c r="AK118" s="12">
        <v>1.0</v>
      </c>
    </row>
    <row r="119" ht="40.5" customHeight="1">
      <c r="A119" s="11">
        <v>118.0</v>
      </c>
      <c r="B119" s="11" t="s">
        <v>173</v>
      </c>
      <c r="C119" s="239" t="s">
        <v>565</v>
      </c>
      <c r="D119" s="240" t="s">
        <v>566</v>
      </c>
      <c r="E119" s="215" t="s">
        <v>489</v>
      </c>
      <c r="F119" s="216">
        <v>50.0</v>
      </c>
      <c r="G119" s="11" t="s">
        <v>1846</v>
      </c>
      <c r="H119" s="216">
        <v>50.0</v>
      </c>
      <c r="I119" s="763" t="b">
        <v>0</v>
      </c>
      <c r="J119" s="763" t="b">
        <v>0</v>
      </c>
      <c r="K119" s="763" t="b">
        <v>0</v>
      </c>
      <c r="L119" s="763" t="b">
        <v>0</v>
      </c>
      <c r="M119" s="763" t="b">
        <v>0</v>
      </c>
      <c r="N119" s="763" t="b">
        <v>0</v>
      </c>
      <c r="O119" s="763" t="b">
        <v>0</v>
      </c>
      <c r="P119" s="763" t="b">
        <v>0</v>
      </c>
      <c r="Q119" s="763" t="b">
        <v>0</v>
      </c>
      <c r="R119" s="763" t="b">
        <v>0</v>
      </c>
      <c r="S119" s="763" t="b">
        <v>0</v>
      </c>
      <c r="T119" s="763" t="b">
        <v>0</v>
      </c>
      <c r="U119" s="763" t="b">
        <v>0</v>
      </c>
      <c r="V119" s="763" t="b">
        <v>0</v>
      </c>
      <c r="W119" s="763" t="b">
        <v>0</v>
      </c>
      <c r="X119" s="216">
        <v>10.0</v>
      </c>
      <c r="Y119" s="11">
        <f t="shared" si="5"/>
        <v>500</v>
      </c>
      <c r="Z119" s="11" t="s">
        <v>178</v>
      </c>
      <c r="AA119" s="93" t="s">
        <v>65</v>
      </c>
      <c r="AB119" s="93" t="s">
        <v>2078</v>
      </c>
      <c r="AC119" s="93" t="s">
        <v>1943</v>
      </c>
      <c r="AD119" s="217" t="s">
        <v>535</v>
      </c>
      <c r="AE119" s="11" t="str">
        <f t="shared" si="7"/>
        <v/>
      </c>
      <c r="AF119" s="78" t="s">
        <v>1688</v>
      </c>
      <c r="AG119" s="74"/>
      <c r="AH119" s="75"/>
      <c r="AI119" s="12"/>
      <c r="AJ119" s="11"/>
      <c r="AK119" s="12">
        <v>1.0</v>
      </c>
    </row>
    <row r="120" ht="40.5" customHeight="1">
      <c r="A120" s="11">
        <v>119.0</v>
      </c>
      <c r="B120" s="11" t="s">
        <v>173</v>
      </c>
      <c r="C120" s="239" t="s">
        <v>573</v>
      </c>
      <c r="D120" s="240" t="s">
        <v>574</v>
      </c>
      <c r="E120" s="215" t="s">
        <v>489</v>
      </c>
      <c r="F120" s="216">
        <v>50.0</v>
      </c>
      <c r="G120" s="11" t="s">
        <v>1846</v>
      </c>
      <c r="H120" s="216">
        <v>50.0</v>
      </c>
      <c r="I120" s="763" t="b">
        <v>0</v>
      </c>
      <c r="J120" s="763" t="b">
        <v>0</v>
      </c>
      <c r="K120" s="763" t="b">
        <v>0</v>
      </c>
      <c r="L120" s="763" t="b">
        <v>0</v>
      </c>
      <c r="M120" s="763" t="b">
        <v>0</v>
      </c>
      <c r="N120" s="763" t="b">
        <v>0</v>
      </c>
      <c r="O120" s="763" t="b">
        <v>0</v>
      </c>
      <c r="P120" s="763" t="b">
        <v>0</v>
      </c>
      <c r="Q120" s="763" t="b">
        <v>0</v>
      </c>
      <c r="R120" s="763" t="b">
        <v>0</v>
      </c>
      <c r="S120" s="763" t="b">
        <v>0</v>
      </c>
      <c r="T120" s="763" t="b">
        <v>0</v>
      </c>
      <c r="U120" s="763" t="b">
        <v>0</v>
      </c>
      <c r="V120" s="763" t="b">
        <v>0</v>
      </c>
      <c r="W120" s="763" t="b">
        <v>0</v>
      </c>
      <c r="X120" s="216">
        <v>15.0</v>
      </c>
      <c r="Y120" s="11">
        <f t="shared" si="5"/>
        <v>750</v>
      </c>
      <c r="Z120" s="11" t="s">
        <v>178</v>
      </c>
      <c r="AA120" s="93" t="s">
        <v>65</v>
      </c>
      <c r="AB120" s="93" t="s">
        <v>2078</v>
      </c>
      <c r="AC120" s="93" t="s">
        <v>1943</v>
      </c>
      <c r="AD120" s="217" t="s">
        <v>539</v>
      </c>
      <c r="AE120" s="11" t="str">
        <f t="shared" si="7"/>
        <v/>
      </c>
      <c r="AF120" s="78" t="s">
        <v>1688</v>
      </c>
      <c r="AG120" s="74"/>
      <c r="AH120" s="75"/>
      <c r="AI120" s="12"/>
      <c r="AJ120" s="11"/>
      <c r="AK120" s="12">
        <v>1.0</v>
      </c>
    </row>
    <row r="121" ht="40.5" customHeight="1">
      <c r="A121" s="11">
        <v>120.0</v>
      </c>
      <c r="B121" s="11" t="s">
        <v>173</v>
      </c>
      <c r="C121" s="239" t="s">
        <v>533</v>
      </c>
      <c r="D121" s="240" t="s">
        <v>534</v>
      </c>
      <c r="E121" s="215" t="s">
        <v>489</v>
      </c>
      <c r="F121" s="216">
        <v>20.0</v>
      </c>
      <c r="G121" s="11" t="s">
        <v>1850</v>
      </c>
      <c r="H121" s="216">
        <v>20.0</v>
      </c>
      <c r="I121" s="763" t="b">
        <v>0</v>
      </c>
      <c r="J121" s="763" t="b">
        <v>0</v>
      </c>
      <c r="K121" s="763" t="b">
        <v>0</v>
      </c>
      <c r="L121" s="763" t="b">
        <v>0</v>
      </c>
      <c r="M121" s="763" t="b">
        <v>0</v>
      </c>
      <c r="N121" s="763" t="b">
        <v>0</v>
      </c>
      <c r="O121" s="763" t="b">
        <v>0</v>
      </c>
      <c r="P121" s="763" t="b">
        <v>0</v>
      </c>
      <c r="Q121" s="763" t="b">
        <v>0</v>
      </c>
      <c r="R121" s="763" t="b">
        <v>0</v>
      </c>
      <c r="S121" s="763" t="b">
        <v>0</v>
      </c>
      <c r="T121" s="763" t="b">
        <v>0</v>
      </c>
      <c r="U121" s="763" t="b">
        <v>0</v>
      </c>
      <c r="V121" s="763" t="b">
        <v>0</v>
      </c>
      <c r="W121" s="763" t="b">
        <v>0</v>
      </c>
      <c r="X121" s="216">
        <v>20.0</v>
      </c>
      <c r="Y121" s="11">
        <f t="shared" si="5"/>
        <v>400</v>
      </c>
      <c r="Z121" s="11" t="s">
        <v>178</v>
      </c>
      <c r="AA121" s="93" t="s">
        <v>65</v>
      </c>
      <c r="AB121" s="93" t="s">
        <v>2078</v>
      </c>
      <c r="AC121" s="93" t="s">
        <v>1943</v>
      </c>
      <c r="AD121" s="217" t="s">
        <v>543</v>
      </c>
      <c r="AE121" s="11" t="str">
        <f>IMAGE("https://projectpoint.in/image/cache/catalog/22uf-450v-672x504.jpg",1)</f>
        <v/>
      </c>
      <c r="AF121" s="78" t="s">
        <v>1688</v>
      </c>
      <c r="AG121" s="74"/>
      <c r="AH121" s="75"/>
      <c r="AI121" s="12"/>
      <c r="AJ121" s="11"/>
      <c r="AK121" s="12">
        <v>1.0</v>
      </c>
    </row>
    <row r="122" ht="40.5" customHeight="1">
      <c r="A122" s="11">
        <v>121.0</v>
      </c>
      <c r="B122" s="11" t="s">
        <v>173</v>
      </c>
      <c r="C122" s="239" t="s">
        <v>549</v>
      </c>
      <c r="D122" s="240" t="s">
        <v>550</v>
      </c>
      <c r="E122" s="215" t="s">
        <v>489</v>
      </c>
      <c r="F122" s="216">
        <v>20.0</v>
      </c>
      <c r="G122" s="11" t="s">
        <v>1850</v>
      </c>
      <c r="H122" s="216">
        <v>20.0</v>
      </c>
      <c r="I122" s="763" t="b">
        <v>0</v>
      </c>
      <c r="J122" s="763" t="b">
        <v>0</v>
      </c>
      <c r="K122" s="763" t="b">
        <v>0</v>
      </c>
      <c r="L122" s="763" t="b">
        <v>0</v>
      </c>
      <c r="M122" s="763" t="b">
        <v>0</v>
      </c>
      <c r="N122" s="763" t="b">
        <v>0</v>
      </c>
      <c r="O122" s="763" t="b">
        <v>0</v>
      </c>
      <c r="P122" s="763" t="b">
        <v>0</v>
      </c>
      <c r="Q122" s="763" t="b">
        <v>0</v>
      </c>
      <c r="R122" s="763" t="b">
        <v>0</v>
      </c>
      <c r="S122" s="763" t="b">
        <v>0</v>
      </c>
      <c r="T122" s="763" t="b">
        <v>0</v>
      </c>
      <c r="U122" s="763" t="b">
        <v>0</v>
      </c>
      <c r="V122" s="763" t="b">
        <v>0</v>
      </c>
      <c r="W122" s="763" t="b">
        <v>0</v>
      </c>
      <c r="X122" s="216">
        <v>30.0</v>
      </c>
      <c r="Y122" s="11">
        <f t="shared" si="5"/>
        <v>600</v>
      </c>
      <c r="Z122" s="11" t="s">
        <v>178</v>
      </c>
      <c r="AA122" s="93" t="s">
        <v>65</v>
      </c>
      <c r="AB122" s="93" t="s">
        <v>2078</v>
      </c>
      <c r="AC122" s="93" t="s">
        <v>1943</v>
      </c>
      <c r="AD122" s="217" t="s">
        <v>547</v>
      </c>
      <c r="AE122" s="11" t="str">
        <f>IMAGE("https://res.cloudinary.com/rsc/image/upload/b_rgb:FFFFFF,c_pad,dpr_1.0,f_auto,q_auto,w_700/c_pad,w_700/F5201539-01",1)</f>
        <v/>
      </c>
      <c r="AF122" s="78" t="s">
        <v>1688</v>
      </c>
      <c r="AG122" s="74"/>
      <c r="AH122" s="75"/>
      <c r="AI122" s="12"/>
      <c r="AJ122" s="11"/>
      <c r="AK122" s="12">
        <v>1.0</v>
      </c>
    </row>
    <row r="123" ht="40.5" customHeight="1">
      <c r="A123" s="11">
        <v>122.0</v>
      </c>
      <c r="B123" s="11" t="s">
        <v>173</v>
      </c>
      <c r="C123" s="239" t="s">
        <v>569</v>
      </c>
      <c r="D123" s="240" t="s">
        <v>570</v>
      </c>
      <c r="E123" s="215" t="s">
        <v>489</v>
      </c>
      <c r="F123" s="216">
        <v>50.0</v>
      </c>
      <c r="G123" s="11" t="s">
        <v>1851</v>
      </c>
      <c r="H123" s="216">
        <v>50.0</v>
      </c>
      <c r="I123" s="763" t="b">
        <v>0</v>
      </c>
      <c r="J123" s="763" t="b">
        <v>0</v>
      </c>
      <c r="K123" s="763" t="b">
        <v>0</v>
      </c>
      <c r="L123" s="763" t="b">
        <v>0</v>
      </c>
      <c r="M123" s="763" t="b">
        <v>0</v>
      </c>
      <c r="N123" s="763" t="b">
        <v>0</v>
      </c>
      <c r="O123" s="763" t="b">
        <v>0</v>
      </c>
      <c r="P123" s="763" t="b">
        <v>0</v>
      </c>
      <c r="Q123" s="763" t="b">
        <v>0</v>
      </c>
      <c r="R123" s="763" t="b">
        <v>0</v>
      </c>
      <c r="S123" s="763" t="b">
        <v>0</v>
      </c>
      <c r="T123" s="763" t="b">
        <v>0</v>
      </c>
      <c r="U123" s="763" t="b">
        <v>0</v>
      </c>
      <c r="V123" s="763" t="b">
        <v>0</v>
      </c>
      <c r="W123" s="763" t="b">
        <v>0</v>
      </c>
      <c r="X123" s="216">
        <v>10.0</v>
      </c>
      <c r="Y123" s="11">
        <f t="shared" si="5"/>
        <v>500</v>
      </c>
      <c r="Z123" s="11" t="s">
        <v>178</v>
      </c>
      <c r="AA123" s="93" t="s">
        <v>65</v>
      </c>
      <c r="AB123" s="93" t="s">
        <v>2078</v>
      </c>
      <c r="AC123" s="93" t="s">
        <v>1943</v>
      </c>
      <c r="AD123" s="217" t="s">
        <v>551</v>
      </c>
      <c r="AE123" s="11" t="str">
        <f>IMAGE("https://sharvielectronics.com/wp-content/uploads/2020/02/2.2uF-50V-Electrolytic-Capacitor.jpg",1)</f>
        <v/>
      </c>
      <c r="AF123" s="78" t="s">
        <v>1688</v>
      </c>
      <c r="AG123" s="74"/>
      <c r="AH123" s="75"/>
      <c r="AI123" s="12"/>
      <c r="AJ123" s="11"/>
      <c r="AK123" s="12">
        <v>1.0</v>
      </c>
    </row>
    <row r="124" ht="40.5" customHeight="1">
      <c r="A124" s="11">
        <v>123.0</v>
      </c>
      <c r="B124" s="11" t="s">
        <v>173</v>
      </c>
      <c r="C124" s="239" t="s">
        <v>537</v>
      </c>
      <c r="D124" s="240" t="s">
        <v>538</v>
      </c>
      <c r="E124" s="215" t="s">
        <v>489</v>
      </c>
      <c r="F124" s="216">
        <v>50.0</v>
      </c>
      <c r="G124" s="11" t="s">
        <v>1851</v>
      </c>
      <c r="H124" s="216">
        <v>50.0</v>
      </c>
      <c r="I124" s="763" t="b">
        <v>0</v>
      </c>
      <c r="J124" s="763" t="b">
        <v>0</v>
      </c>
      <c r="K124" s="763" t="b">
        <v>0</v>
      </c>
      <c r="L124" s="763" t="b">
        <v>0</v>
      </c>
      <c r="M124" s="763" t="b">
        <v>0</v>
      </c>
      <c r="N124" s="763" t="b">
        <v>0</v>
      </c>
      <c r="O124" s="763" t="b">
        <v>0</v>
      </c>
      <c r="P124" s="763" t="b">
        <v>0</v>
      </c>
      <c r="Q124" s="763" t="b">
        <v>0</v>
      </c>
      <c r="R124" s="763" t="b">
        <v>0</v>
      </c>
      <c r="S124" s="763" t="b">
        <v>0</v>
      </c>
      <c r="T124" s="763" t="b">
        <v>0</v>
      </c>
      <c r="U124" s="763" t="b">
        <v>0</v>
      </c>
      <c r="V124" s="763" t="b">
        <v>0</v>
      </c>
      <c r="W124" s="763" t="b">
        <v>0</v>
      </c>
      <c r="X124" s="216">
        <v>15.0</v>
      </c>
      <c r="Y124" s="11">
        <f t="shared" si="5"/>
        <v>750</v>
      </c>
      <c r="Z124" s="11" t="s">
        <v>178</v>
      </c>
      <c r="AA124" s="93" t="s">
        <v>65</v>
      </c>
      <c r="AB124" s="93" t="s">
        <v>2078</v>
      </c>
      <c r="AC124" s="93" t="s">
        <v>1943</v>
      </c>
      <c r="AD124" s="217" t="s">
        <v>555</v>
      </c>
      <c r="AE124" s="11" t="str">
        <f>IMAGE("https://projectpoint.in/image/cache/catalog/22uf-450v-672x504.jpg",1)</f>
        <v/>
      </c>
      <c r="AF124" s="78" t="s">
        <v>1688</v>
      </c>
      <c r="AG124" s="79"/>
      <c r="AH124" s="80"/>
      <c r="AI124" s="12"/>
      <c r="AJ124" s="11"/>
      <c r="AK124" s="12">
        <v>1.0</v>
      </c>
    </row>
    <row r="125" ht="40.5" customHeight="1">
      <c r="A125" s="11">
        <v>124.0</v>
      </c>
      <c r="B125" s="11" t="s">
        <v>173</v>
      </c>
      <c r="C125" s="239" t="s">
        <v>553</v>
      </c>
      <c r="D125" s="240" t="s">
        <v>554</v>
      </c>
      <c r="E125" s="215" t="s">
        <v>489</v>
      </c>
      <c r="F125" s="216">
        <v>20.0</v>
      </c>
      <c r="G125" s="11" t="s">
        <v>1852</v>
      </c>
      <c r="H125" s="216">
        <v>20.0</v>
      </c>
      <c r="I125" s="763" t="b">
        <v>0</v>
      </c>
      <c r="J125" s="763" t="b">
        <v>0</v>
      </c>
      <c r="K125" s="763" t="b">
        <v>0</v>
      </c>
      <c r="L125" s="763" t="b">
        <v>0</v>
      </c>
      <c r="M125" s="763" t="b">
        <v>0</v>
      </c>
      <c r="N125" s="763" t="b">
        <v>0</v>
      </c>
      <c r="O125" s="763" t="b">
        <v>0</v>
      </c>
      <c r="P125" s="763" t="b">
        <v>0</v>
      </c>
      <c r="Q125" s="763" t="b">
        <v>0</v>
      </c>
      <c r="R125" s="763" t="b">
        <v>0</v>
      </c>
      <c r="S125" s="763" t="b">
        <v>0</v>
      </c>
      <c r="T125" s="763" t="b">
        <v>0</v>
      </c>
      <c r="U125" s="763" t="b">
        <v>0</v>
      </c>
      <c r="V125" s="763" t="b">
        <v>0</v>
      </c>
      <c r="W125" s="763" t="b">
        <v>0</v>
      </c>
      <c r="X125" s="216">
        <v>20.0</v>
      </c>
      <c r="Y125" s="11">
        <f t="shared" si="5"/>
        <v>400</v>
      </c>
      <c r="Z125" s="11" t="s">
        <v>178</v>
      </c>
      <c r="AA125" s="93" t="s">
        <v>65</v>
      </c>
      <c r="AB125" s="93" t="s">
        <v>2078</v>
      </c>
      <c r="AC125" s="93" t="s">
        <v>1943</v>
      </c>
      <c r="AD125" s="217" t="s">
        <v>559</v>
      </c>
      <c r="AE125" s="11" t="str">
        <f>IMAGE("https://5.imimg.com/data5/SP/GM/AD/SELLER-84581978/keltron-2200uf-35-v-electrolytic-capacitors-500x500.jpg",1)</f>
        <v/>
      </c>
      <c r="AF125" s="78" t="s">
        <v>1688</v>
      </c>
      <c r="AG125" s="79"/>
      <c r="AH125" s="80"/>
      <c r="AI125" s="12"/>
      <c r="AJ125" s="11"/>
      <c r="AK125" s="12">
        <v>1.0</v>
      </c>
    </row>
    <row r="126" ht="40.5" customHeight="1">
      <c r="A126" s="11">
        <v>125.0</v>
      </c>
      <c r="B126" s="11" t="s">
        <v>173</v>
      </c>
      <c r="C126" s="239" t="s">
        <v>577</v>
      </c>
      <c r="D126" s="240" t="s">
        <v>578</v>
      </c>
      <c r="E126" s="215" t="s">
        <v>489</v>
      </c>
      <c r="F126" s="216">
        <v>20.0</v>
      </c>
      <c r="G126" s="11" t="s">
        <v>1852</v>
      </c>
      <c r="H126" s="216">
        <v>20.0</v>
      </c>
      <c r="I126" s="763" t="b">
        <v>0</v>
      </c>
      <c r="J126" s="763" t="b">
        <v>0</v>
      </c>
      <c r="K126" s="763" t="b">
        <v>0</v>
      </c>
      <c r="L126" s="763" t="b">
        <v>0</v>
      </c>
      <c r="M126" s="763" t="b">
        <v>0</v>
      </c>
      <c r="N126" s="763" t="b">
        <v>0</v>
      </c>
      <c r="O126" s="763" t="b">
        <v>0</v>
      </c>
      <c r="P126" s="763" t="b">
        <v>0</v>
      </c>
      <c r="Q126" s="763" t="b">
        <v>0</v>
      </c>
      <c r="R126" s="763" t="b">
        <v>0</v>
      </c>
      <c r="S126" s="763" t="b">
        <v>0</v>
      </c>
      <c r="T126" s="763" t="b">
        <v>0</v>
      </c>
      <c r="U126" s="763" t="b">
        <v>0</v>
      </c>
      <c r="V126" s="763" t="b">
        <v>0</v>
      </c>
      <c r="W126" s="763" t="b">
        <v>0</v>
      </c>
      <c r="X126" s="216">
        <v>30.0</v>
      </c>
      <c r="Y126" s="11">
        <f t="shared" si="5"/>
        <v>600</v>
      </c>
      <c r="Z126" s="11" t="s">
        <v>178</v>
      </c>
      <c r="AA126" s="93" t="s">
        <v>65</v>
      </c>
      <c r="AB126" s="93" t="s">
        <v>2078</v>
      </c>
      <c r="AC126" s="93" t="s">
        <v>1943</v>
      </c>
      <c r="AD126" s="217" t="s">
        <v>563</v>
      </c>
      <c r="AE126" s="11" t="str">
        <f>IMAGE("https://5.imimg.com/data5/QO/AU/MY-77080729/uge-electrolytic-capacitors-500x375-500x500.jpg",1)</f>
        <v/>
      </c>
      <c r="AF126" s="78" t="s">
        <v>1688</v>
      </c>
      <c r="AG126" s="74"/>
      <c r="AH126" s="75"/>
      <c r="AI126" s="12"/>
      <c r="AJ126" s="11"/>
      <c r="AK126" s="12">
        <v>1.0</v>
      </c>
    </row>
    <row r="127" ht="40.5" customHeight="1">
      <c r="A127" s="11">
        <v>126.0</v>
      </c>
      <c r="B127" s="11" t="s">
        <v>173</v>
      </c>
      <c r="C127" s="239" t="s">
        <v>541</v>
      </c>
      <c r="D127" s="240" t="s">
        <v>542</v>
      </c>
      <c r="E127" s="215" t="s">
        <v>489</v>
      </c>
      <c r="F127" s="216">
        <v>100.0</v>
      </c>
      <c r="G127" s="11" t="s">
        <v>1853</v>
      </c>
      <c r="H127" s="216">
        <v>100.0</v>
      </c>
      <c r="I127" s="763" t="b">
        <v>0</v>
      </c>
      <c r="J127" s="763" t="b">
        <v>0</v>
      </c>
      <c r="K127" s="763" t="b">
        <v>0</v>
      </c>
      <c r="L127" s="763" t="b">
        <v>0</v>
      </c>
      <c r="M127" s="763" t="b">
        <v>0</v>
      </c>
      <c r="N127" s="763" t="b">
        <v>0</v>
      </c>
      <c r="O127" s="763" t="b">
        <v>0</v>
      </c>
      <c r="P127" s="763" t="b">
        <v>0</v>
      </c>
      <c r="Q127" s="763" t="b">
        <v>0</v>
      </c>
      <c r="R127" s="763" t="b">
        <v>0</v>
      </c>
      <c r="S127" s="763" t="b">
        <v>0</v>
      </c>
      <c r="T127" s="763" t="b">
        <v>0</v>
      </c>
      <c r="U127" s="763" t="b">
        <v>0</v>
      </c>
      <c r="V127" s="763" t="b">
        <v>0</v>
      </c>
      <c r="W127" s="763" t="b">
        <v>0</v>
      </c>
      <c r="X127" s="216">
        <v>5.0</v>
      </c>
      <c r="Y127" s="11">
        <f t="shared" si="5"/>
        <v>500</v>
      </c>
      <c r="Z127" s="11" t="s">
        <v>178</v>
      </c>
      <c r="AA127" s="93" t="s">
        <v>65</v>
      </c>
      <c r="AB127" s="93" t="s">
        <v>2078</v>
      </c>
      <c r="AC127" s="93" t="s">
        <v>1943</v>
      </c>
      <c r="AD127" s="217" t="s">
        <v>567</v>
      </c>
      <c r="AE127" s="11"/>
      <c r="AF127" s="78" t="s">
        <v>1688</v>
      </c>
      <c r="AG127" s="79"/>
      <c r="AH127" s="80"/>
      <c r="AI127" s="12"/>
      <c r="AJ127" s="11"/>
      <c r="AK127" s="12">
        <v>1.0</v>
      </c>
    </row>
    <row r="128" ht="40.5" customHeight="1">
      <c r="A128" s="11">
        <v>127.0</v>
      </c>
      <c r="B128" s="11" t="s">
        <v>173</v>
      </c>
      <c r="C128" s="239" t="s">
        <v>557</v>
      </c>
      <c r="D128" s="240" t="s">
        <v>558</v>
      </c>
      <c r="E128" s="215" t="s">
        <v>489</v>
      </c>
      <c r="F128" s="216">
        <v>100.0</v>
      </c>
      <c r="G128" s="11" t="s">
        <v>1853</v>
      </c>
      <c r="H128" s="216">
        <v>100.0</v>
      </c>
      <c r="I128" s="763" t="b">
        <v>0</v>
      </c>
      <c r="J128" s="763" t="b">
        <v>0</v>
      </c>
      <c r="K128" s="763" t="b">
        <v>0</v>
      </c>
      <c r="L128" s="763" t="b">
        <v>0</v>
      </c>
      <c r="M128" s="763" t="b">
        <v>0</v>
      </c>
      <c r="N128" s="763" t="b">
        <v>0</v>
      </c>
      <c r="O128" s="763" t="b">
        <v>0</v>
      </c>
      <c r="P128" s="763" t="b">
        <v>0</v>
      </c>
      <c r="Q128" s="763" t="b">
        <v>0</v>
      </c>
      <c r="R128" s="763" t="b">
        <v>0</v>
      </c>
      <c r="S128" s="763" t="b">
        <v>0</v>
      </c>
      <c r="T128" s="763" t="b">
        <v>0</v>
      </c>
      <c r="U128" s="763" t="b">
        <v>0</v>
      </c>
      <c r="V128" s="763" t="b">
        <v>0</v>
      </c>
      <c r="W128" s="763" t="b">
        <v>0</v>
      </c>
      <c r="X128" s="216">
        <v>5.0</v>
      </c>
      <c r="Y128" s="11">
        <f t="shared" si="5"/>
        <v>500</v>
      </c>
      <c r="Z128" s="11" t="s">
        <v>178</v>
      </c>
      <c r="AA128" s="93" t="s">
        <v>65</v>
      </c>
      <c r="AB128" s="93" t="s">
        <v>2078</v>
      </c>
      <c r="AC128" s="93" t="s">
        <v>1943</v>
      </c>
      <c r="AD128" s="217" t="s">
        <v>571</v>
      </c>
      <c r="AE128" s="11" t="str">
        <f>IMAGE("https://5.imimg.com/data5/SP/GM/AD/SELLER-84581978/keltron-2200uf-35-v-electrolytic-capacitors-500x500.jpg",1)</f>
        <v/>
      </c>
      <c r="AF128" s="78" t="s">
        <v>1688</v>
      </c>
      <c r="AG128" s="79"/>
      <c r="AH128" s="80"/>
      <c r="AI128" s="12"/>
      <c r="AJ128" s="11"/>
      <c r="AK128" s="12">
        <v>1.0</v>
      </c>
    </row>
    <row r="129" ht="40.5" customHeight="1">
      <c r="A129" s="11">
        <v>128.0</v>
      </c>
      <c r="B129" s="11" t="s">
        <v>173</v>
      </c>
      <c r="C129" s="239" t="s">
        <v>581</v>
      </c>
      <c r="D129" s="240" t="s">
        <v>582</v>
      </c>
      <c r="E129" s="215" t="s">
        <v>489</v>
      </c>
      <c r="F129" s="216">
        <v>50.0</v>
      </c>
      <c r="G129" s="11" t="s">
        <v>1854</v>
      </c>
      <c r="H129" s="216">
        <v>50.0</v>
      </c>
      <c r="I129" s="763" t="b">
        <v>0</v>
      </c>
      <c r="J129" s="763" t="b">
        <v>0</v>
      </c>
      <c r="K129" s="763" t="b">
        <v>0</v>
      </c>
      <c r="L129" s="763" t="b">
        <v>0</v>
      </c>
      <c r="M129" s="763" t="b">
        <v>0</v>
      </c>
      <c r="N129" s="763" t="b">
        <v>0</v>
      </c>
      <c r="O129" s="763" t="b">
        <v>0</v>
      </c>
      <c r="P129" s="763" t="b">
        <v>0</v>
      </c>
      <c r="Q129" s="763" t="b">
        <v>0</v>
      </c>
      <c r="R129" s="763" t="b">
        <v>0</v>
      </c>
      <c r="S129" s="763" t="b">
        <v>0</v>
      </c>
      <c r="T129" s="763" t="b">
        <v>0</v>
      </c>
      <c r="U129" s="763" t="b">
        <v>0</v>
      </c>
      <c r="V129" s="763" t="b">
        <v>0</v>
      </c>
      <c r="W129" s="763" t="b">
        <v>0</v>
      </c>
      <c r="X129" s="216">
        <v>10.0</v>
      </c>
      <c r="Y129" s="11">
        <f t="shared" si="5"/>
        <v>500</v>
      </c>
      <c r="Z129" s="11" t="s">
        <v>178</v>
      </c>
      <c r="AA129" s="93" t="s">
        <v>65</v>
      </c>
      <c r="AB129" s="93" t="s">
        <v>2078</v>
      </c>
      <c r="AC129" s="93" t="s">
        <v>1943</v>
      </c>
      <c r="AD129" s="217" t="s">
        <v>575</v>
      </c>
      <c r="AE129" s="11" t="str">
        <f>IMAGE("https://5.imimg.com/data5/JL/JS/ZA/SELLER-21614932/4-7uf-400v-keltron-capacitor-500x500.jpg",1)</f>
        <v/>
      </c>
      <c r="AF129" s="78" t="s">
        <v>1688</v>
      </c>
      <c r="AG129" s="79"/>
      <c r="AH129" s="80"/>
      <c r="AI129" s="12"/>
      <c r="AJ129" s="11"/>
      <c r="AK129" s="12">
        <v>1.0</v>
      </c>
    </row>
    <row r="130" ht="40.5" customHeight="1">
      <c r="A130" s="11">
        <v>129.0</v>
      </c>
      <c r="B130" s="11" t="s">
        <v>173</v>
      </c>
      <c r="C130" s="239" t="s">
        <v>545</v>
      </c>
      <c r="D130" s="240" t="s">
        <v>546</v>
      </c>
      <c r="E130" s="215" t="s">
        <v>489</v>
      </c>
      <c r="F130" s="216">
        <v>50.0</v>
      </c>
      <c r="G130" s="11" t="s">
        <v>1854</v>
      </c>
      <c r="H130" s="216">
        <v>50.0</v>
      </c>
      <c r="I130" s="763" t="b">
        <v>0</v>
      </c>
      <c r="J130" s="763" t="b">
        <v>0</v>
      </c>
      <c r="K130" s="763" t="b">
        <v>0</v>
      </c>
      <c r="L130" s="763" t="b">
        <v>0</v>
      </c>
      <c r="M130" s="763" t="b">
        <v>0</v>
      </c>
      <c r="N130" s="763" t="b">
        <v>0</v>
      </c>
      <c r="O130" s="763" t="b">
        <v>0</v>
      </c>
      <c r="P130" s="763" t="b">
        <v>0</v>
      </c>
      <c r="Q130" s="763" t="b">
        <v>0</v>
      </c>
      <c r="R130" s="763" t="b">
        <v>0</v>
      </c>
      <c r="S130" s="763" t="b">
        <v>0</v>
      </c>
      <c r="T130" s="763" t="b">
        <v>0</v>
      </c>
      <c r="U130" s="763" t="b">
        <v>0</v>
      </c>
      <c r="V130" s="763" t="b">
        <v>0</v>
      </c>
      <c r="W130" s="763" t="b">
        <v>0</v>
      </c>
      <c r="X130" s="216">
        <v>15.0</v>
      </c>
      <c r="Y130" s="11">
        <f t="shared" si="5"/>
        <v>750</v>
      </c>
      <c r="Z130" s="11" t="s">
        <v>178</v>
      </c>
      <c r="AA130" s="93" t="s">
        <v>65</v>
      </c>
      <c r="AB130" s="93" t="s">
        <v>2078</v>
      </c>
      <c r="AC130" s="93" t="s">
        <v>1943</v>
      </c>
      <c r="AD130" s="217" t="s">
        <v>579</v>
      </c>
      <c r="AE130" s="11" t="str">
        <f>IMAGE("https://projectpoint.in/image/cache/catalog/47uf-250v-672x504.jpg",1)</f>
        <v/>
      </c>
      <c r="AF130" s="78" t="s">
        <v>1688</v>
      </c>
      <c r="AG130" s="74"/>
      <c r="AH130" s="75"/>
      <c r="AI130" s="12"/>
      <c r="AJ130" s="11"/>
      <c r="AK130" s="12">
        <v>1.0</v>
      </c>
    </row>
    <row r="131" ht="40.5" customHeight="1">
      <c r="A131" s="11">
        <v>130.0</v>
      </c>
      <c r="B131" s="11" t="s">
        <v>173</v>
      </c>
      <c r="C131" s="239" t="s">
        <v>561</v>
      </c>
      <c r="D131" s="240" t="s">
        <v>562</v>
      </c>
      <c r="E131" s="215" t="s">
        <v>489</v>
      </c>
      <c r="F131" s="216">
        <v>20.0</v>
      </c>
      <c r="G131" s="11" t="s">
        <v>1855</v>
      </c>
      <c r="H131" s="216">
        <v>20.0</v>
      </c>
      <c r="I131" s="763" t="b">
        <v>0</v>
      </c>
      <c r="J131" s="763" t="b">
        <v>0</v>
      </c>
      <c r="K131" s="763" t="b">
        <v>0</v>
      </c>
      <c r="L131" s="763" t="b">
        <v>0</v>
      </c>
      <c r="M131" s="763" t="b">
        <v>0</v>
      </c>
      <c r="N131" s="763" t="b">
        <v>0</v>
      </c>
      <c r="O131" s="763" t="b">
        <v>0</v>
      </c>
      <c r="P131" s="763" t="b">
        <v>0</v>
      </c>
      <c r="Q131" s="763" t="b">
        <v>0</v>
      </c>
      <c r="R131" s="763" t="b">
        <v>0</v>
      </c>
      <c r="S131" s="763" t="b">
        <v>0</v>
      </c>
      <c r="T131" s="763" t="b">
        <v>0</v>
      </c>
      <c r="U131" s="763" t="b">
        <v>0</v>
      </c>
      <c r="V131" s="763" t="b">
        <v>0</v>
      </c>
      <c r="W131" s="763" t="b">
        <v>0</v>
      </c>
      <c r="X131" s="216">
        <v>20.0</v>
      </c>
      <c r="Y131" s="11">
        <f t="shared" si="5"/>
        <v>400</v>
      </c>
      <c r="Z131" s="11" t="s">
        <v>178</v>
      </c>
      <c r="AA131" s="93" t="s">
        <v>65</v>
      </c>
      <c r="AB131" s="93" t="s">
        <v>2078</v>
      </c>
      <c r="AC131" s="93" t="s">
        <v>1943</v>
      </c>
      <c r="AD131" s="217" t="s">
        <v>583</v>
      </c>
      <c r="AE131" s="11" t="str">
        <f>IMAGE("https://5.imimg.com/data5/QO/AU/MY-77080729/uge-electrolytic-capacitors-500x375-500x500.jpg",1)</f>
        <v/>
      </c>
      <c r="AF131" s="78" t="s">
        <v>1688</v>
      </c>
      <c r="AG131" s="74"/>
      <c r="AH131" s="75"/>
      <c r="AI131" s="12"/>
      <c r="AJ131" s="11"/>
      <c r="AK131" s="12">
        <v>1.0</v>
      </c>
    </row>
    <row r="132" ht="40.5" customHeight="1">
      <c r="A132" s="11">
        <v>131.0</v>
      </c>
      <c r="B132" s="11" t="s">
        <v>173</v>
      </c>
      <c r="C132" s="11" t="s">
        <v>585</v>
      </c>
      <c r="D132" s="93" t="s">
        <v>1860</v>
      </c>
      <c r="E132" s="215" t="s">
        <v>489</v>
      </c>
      <c r="F132" s="216">
        <v>20.0</v>
      </c>
      <c r="G132" s="11" t="s">
        <v>1861</v>
      </c>
      <c r="H132" s="216">
        <v>20.0</v>
      </c>
      <c r="I132" s="763" t="b">
        <v>0</v>
      </c>
      <c r="J132" s="763" t="b">
        <v>0</v>
      </c>
      <c r="K132" s="763" t="b">
        <v>0</v>
      </c>
      <c r="L132" s="763" t="b">
        <v>0</v>
      </c>
      <c r="M132" s="763" t="b">
        <v>0</v>
      </c>
      <c r="N132" s="763" t="b">
        <v>0</v>
      </c>
      <c r="O132" s="763" t="b">
        <v>0</v>
      </c>
      <c r="P132" s="763" t="b">
        <v>0</v>
      </c>
      <c r="Q132" s="763" t="b">
        <v>0</v>
      </c>
      <c r="R132" s="763" t="b">
        <v>0</v>
      </c>
      <c r="S132" s="763" t="b">
        <v>0</v>
      </c>
      <c r="T132" s="763" t="b">
        <v>0</v>
      </c>
      <c r="U132" s="763" t="b">
        <v>0</v>
      </c>
      <c r="V132" s="763" t="b">
        <v>0</v>
      </c>
      <c r="W132" s="763" t="b">
        <v>0</v>
      </c>
      <c r="X132" s="216">
        <v>25.0</v>
      </c>
      <c r="Y132" s="11">
        <f t="shared" si="5"/>
        <v>500</v>
      </c>
      <c r="Z132" s="11" t="s">
        <v>178</v>
      </c>
      <c r="AA132" s="93"/>
      <c r="AB132" s="93" t="s">
        <v>2078</v>
      </c>
      <c r="AC132" s="93" t="s">
        <v>1944</v>
      </c>
      <c r="AD132" s="217" t="s">
        <v>587</v>
      </c>
      <c r="AE132" s="11" t="str">
        <f>IMAGE("https://www.electronicscomp.com/image/cache/catalog/cd4033-5-stage-johnson-decade-counter-ic-dip-16-800x800.jpg",1)</f>
        <v/>
      </c>
      <c r="AF132" s="78" t="s">
        <v>1688</v>
      </c>
      <c r="AG132" s="74"/>
      <c r="AH132" s="75"/>
      <c r="AI132" s="12"/>
      <c r="AJ132" s="11"/>
      <c r="AK132" s="12">
        <v>1.0</v>
      </c>
    </row>
    <row r="133" ht="40.5" customHeight="1">
      <c r="A133" s="11">
        <v>132.0</v>
      </c>
      <c r="B133" s="11" t="s">
        <v>173</v>
      </c>
      <c r="C133" s="11" t="s">
        <v>589</v>
      </c>
      <c r="D133" s="93" t="s">
        <v>590</v>
      </c>
      <c r="E133" s="215" t="s">
        <v>489</v>
      </c>
      <c r="F133" s="216">
        <v>20.0</v>
      </c>
      <c r="G133" s="11" t="s">
        <v>1842</v>
      </c>
      <c r="H133" s="216">
        <v>20.0</v>
      </c>
      <c r="I133" s="763" t="b">
        <v>0</v>
      </c>
      <c r="J133" s="763" t="b">
        <v>0</v>
      </c>
      <c r="K133" s="763" t="b">
        <v>0</v>
      </c>
      <c r="L133" s="763" t="b">
        <v>0</v>
      </c>
      <c r="M133" s="763" t="b">
        <v>0</v>
      </c>
      <c r="N133" s="763" t="b">
        <v>0</v>
      </c>
      <c r="O133" s="763" t="b">
        <v>0</v>
      </c>
      <c r="P133" s="763" t="b">
        <v>0</v>
      </c>
      <c r="Q133" s="763" t="b">
        <v>0</v>
      </c>
      <c r="R133" s="763" t="b">
        <v>0</v>
      </c>
      <c r="S133" s="763" t="b">
        <v>0</v>
      </c>
      <c r="T133" s="763" t="b">
        <v>0</v>
      </c>
      <c r="U133" s="763" t="b">
        <v>0</v>
      </c>
      <c r="V133" s="763" t="b">
        <v>0</v>
      </c>
      <c r="W133" s="763" t="b">
        <v>0</v>
      </c>
      <c r="X133" s="216">
        <v>5.0</v>
      </c>
      <c r="Y133" s="11">
        <f t="shared" si="5"/>
        <v>100</v>
      </c>
      <c r="Z133" s="11" t="s">
        <v>178</v>
      </c>
      <c r="AA133" s="93"/>
      <c r="AB133" s="93" t="s">
        <v>2078</v>
      </c>
      <c r="AC133" s="93" t="s">
        <v>1945</v>
      </c>
      <c r="AD133" s="243" t="s">
        <v>591</v>
      </c>
      <c r="AE133" s="11" t="str">
        <f t="shared" ref="AE133:AE134" si="8">IMAGE("https://m.media-amazon.com/images/W/MEDIAX_792452-T2/images/I/41A+MQfyyEL.jpg",1)</f>
        <v/>
      </c>
      <c r="AF133" s="78" t="s">
        <v>1688</v>
      </c>
      <c r="AG133" s="74"/>
      <c r="AH133" s="75"/>
      <c r="AI133" s="12"/>
      <c r="AJ133" s="11"/>
      <c r="AK133" s="12">
        <v>1.0</v>
      </c>
    </row>
    <row r="134" ht="40.5" customHeight="1">
      <c r="A134" s="11">
        <v>133.0</v>
      </c>
      <c r="B134" s="11" t="s">
        <v>173</v>
      </c>
      <c r="C134" s="11" t="s">
        <v>593</v>
      </c>
      <c r="D134" s="93" t="s">
        <v>594</v>
      </c>
      <c r="E134" s="215" t="s">
        <v>489</v>
      </c>
      <c r="F134" s="216">
        <v>20.0</v>
      </c>
      <c r="G134" s="11" t="s">
        <v>1842</v>
      </c>
      <c r="H134" s="216">
        <v>20.0</v>
      </c>
      <c r="I134" s="763" t="b">
        <v>0</v>
      </c>
      <c r="J134" s="763" t="b">
        <v>0</v>
      </c>
      <c r="K134" s="763" t="b">
        <v>0</v>
      </c>
      <c r="L134" s="763" t="b">
        <v>0</v>
      </c>
      <c r="M134" s="763" t="b">
        <v>0</v>
      </c>
      <c r="N134" s="763" t="b">
        <v>0</v>
      </c>
      <c r="O134" s="763" t="b">
        <v>0</v>
      </c>
      <c r="P134" s="763" t="b">
        <v>0</v>
      </c>
      <c r="Q134" s="763" t="b">
        <v>0</v>
      </c>
      <c r="R134" s="763" t="b">
        <v>0</v>
      </c>
      <c r="S134" s="763" t="b">
        <v>0</v>
      </c>
      <c r="T134" s="763" t="b">
        <v>0</v>
      </c>
      <c r="U134" s="763" t="b">
        <v>0</v>
      </c>
      <c r="V134" s="763" t="b">
        <v>0</v>
      </c>
      <c r="W134" s="763" t="b">
        <v>0</v>
      </c>
      <c r="X134" s="216">
        <v>5.0</v>
      </c>
      <c r="Y134" s="11">
        <f t="shared" si="5"/>
        <v>100</v>
      </c>
      <c r="Z134" s="11" t="s">
        <v>178</v>
      </c>
      <c r="AA134" s="93"/>
      <c r="AB134" s="93" t="s">
        <v>2078</v>
      </c>
      <c r="AC134" s="93" t="s">
        <v>1945</v>
      </c>
      <c r="AD134" s="217" t="s">
        <v>595</v>
      </c>
      <c r="AE134" s="11" t="str">
        <f t="shared" si="8"/>
        <v/>
      </c>
      <c r="AF134" s="78" t="s">
        <v>1688</v>
      </c>
      <c r="AG134" s="74"/>
      <c r="AH134" s="75"/>
      <c r="AI134" s="12"/>
      <c r="AJ134" s="11"/>
      <c r="AK134" s="12">
        <v>1.0</v>
      </c>
    </row>
    <row r="135" ht="40.5" customHeight="1">
      <c r="A135" s="11">
        <v>134.0</v>
      </c>
      <c r="B135" s="11" t="s">
        <v>173</v>
      </c>
      <c r="C135" s="11" t="s">
        <v>597</v>
      </c>
      <c r="D135" s="93" t="s">
        <v>1862</v>
      </c>
      <c r="E135" s="215" t="s">
        <v>489</v>
      </c>
      <c r="F135" s="216">
        <v>20.0</v>
      </c>
      <c r="G135" s="11" t="s">
        <v>1863</v>
      </c>
      <c r="H135" s="216">
        <v>20.0</v>
      </c>
      <c r="I135" s="763" t="b">
        <v>0</v>
      </c>
      <c r="J135" s="763" t="b">
        <v>0</v>
      </c>
      <c r="K135" s="763" t="b">
        <v>0</v>
      </c>
      <c r="L135" s="763" t="b">
        <v>0</v>
      </c>
      <c r="M135" s="763" t="b">
        <v>0</v>
      </c>
      <c r="N135" s="763" t="b">
        <v>0</v>
      </c>
      <c r="O135" s="763" t="b">
        <v>0</v>
      </c>
      <c r="P135" s="763" t="b">
        <v>0</v>
      </c>
      <c r="Q135" s="763" t="b">
        <v>0</v>
      </c>
      <c r="R135" s="763" t="b">
        <v>0</v>
      </c>
      <c r="S135" s="763" t="b">
        <v>0</v>
      </c>
      <c r="T135" s="763" t="b">
        <v>0</v>
      </c>
      <c r="U135" s="763" t="b">
        <v>0</v>
      </c>
      <c r="V135" s="763" t="b">
        <v>0</v>
      </c>
      <c r="W135" s="763" t="b">
        <v>0</v>
      </c>
      <c r="X135" s="216">
        <v>30.0</v>
      </c>
      <c r="Y135" s="11">
        <f t="shared" si="5"/>
        <v>600</v>
      </c>
      <c r="Z135" s="11" t="s">
        <v>178</v>
      </c>
      <c r="AA135" s="93"/>
      <c r="AB135" s="93" t="s">
        <v>2078</v>
      </c>
      <c r="AC135" s="93" t="s">
        <v>1944</v>
      </c>
      <c r="AD135" s="217" t="s">
        <v>600</v>
      </c>
      <c r="AE135" s="11" t="str">
        <f>IMAGE("https://robu.in/wp-content/uploads/2018/11/LM358P-PDIP-8-High-Gain-Operational-Amplifier-Pack-of-5-ICs-9.jpg",1)</f>
        <v/>
      </c>
      <c r="AF135" s="78" t="s">
        <v>1688</v>
      </c>
      <c r="AG135" s="74"/>
      <c r="AH135" s="75"/>
      <c r="AI135" s="12"/>
      <c r="AJ135" s="11"/>
      <c r="AK135" s="12">
        <v>1.0</v>
      </c>
    </row>
    <row r="136" ht="40.5" customHeight="1">
      <c r="A136" s="11">
        <v>135.0</v>
      </c>
      <c r="B136" s="11" t="s">
        <v>173</v>
      </c>
      <c r="C136" s="11" t="s">
        <v>602</v>
      </c>
      <c r="D136" s="93" t="s">
        <v>603</v>
      </c>
      <c r="E136" s="215" t="s">
        <v>489</v>
      </c>
      <c r="F136" s="216">
        <v>500.0</v>
      </c>
      <c r="G136" s="244" t="s">
        <v>2079</v>
      </c>
      <c r="H136" s="216">
        <v>500.0</v>
      </c>
      <c r="I136" s="763" t="b">
        <v>0</v>
      </c>
      <c r="J136" s="763" t="b">
        <v>0</v>
      </c>
      <c r="K136" s="763" t="b">
        <v>0</v>
      </c>
      <c r="L136" s="763" t="b">
        <v>0</v>
      </c>
      <c r="M136" s="763" t="b">
        <v>0</v>
      </c>
      <c r="N136" s="763" t="b">
        <v>0</v>
      </c>
      <c r="O136" s="763" t="b">
        <v>0</v>
      </c>
      <c r="P136" s="763" t="b">
        <v>0</v>
      </c>
      <c r="Q136" s="763" t="b">
        <v>0</v>
      </c>
      <c r="R136" s="763" t="b">
        <v>0</v>
      </c>
      <c r="S136" s="763" t="b">
        <v>0</v>
      </c>
      <c r="T136" s="763" t="b">
        <v>0</v>
      </c>
      <c r="U136" s="763" t="b">
        <v>0</v>
      </c>
      <c r="V136" s="763" t="b">
        <v>0</v>
      </c>
      <c r="W136" s="763" t="b">
        <v>0</v>
      </c>
      <c r="X136" s="216">
        <v>1.5</v>
      </c>
      <c r="Y136" s="11">
        <f t="shared" si="5"/>
        <v>750</v>
      </c>
      <c r="Z136" s="11" t="s">
        <v>178</v>
      </c>
      <c r="AA136" s="93"/>
      <c r="AB136" s="93" t="s">
        <v>2078</v>
      </c>
      <c r="AC136" s="93" t="s">
        <v>1946</v>
      </c>
      <c r="AD136" s="217" t="s">
        <v>604</v>
      </c>
      <c r="AE136" s="11" t="str">
        <f>IMAGE("https://rukminim2.flixcart.com/image/832/832/xif0q/electronic-hobby-kit/d/o/s/50-pcs-blue-led-5mm-kitsguru-original-imaghfqbjbn4hshz.jpeg?q=70",1)</f>
        <v/>
      </c>
      <c r="AF136" s="78" t="s">
        <v>1688</v>
      </c>
      <c r="AG136" s="79"/>
      <c r="AH136" s="80"/>
      <c r="AI136" s="12"/>
      <c r="AJ136" s="11"/>
      <c r="AK136" s="12">
        <v>1.0</v>
      </c>
    </row>
    <row r="137" ht="40.5" customHeight="1">
      <c r="A137" s="11">
        <v>136.0</v>
      </c>
      <c r="B137" s="11" t="s">
        <v>173</v>
      </c>
      <c r="C137" s="11" t="s">
        <v>606</v>
      </c>
      <c r="D137" s="93" t="s">
        <v>607</v>
      </c>
      <c r="E137" s="215" t="s">
        <v>489</v>
      </c>
      <c r="F137" s="216">
        <v>500.0</v>
      </c>
      <c r="G137" s="244" t="s">
        <v>2080</v>
      </c>
      <c r="H137" s="216">
        <v>500.0</v>
      </c>
      <c r="I137" s="763" t="b">
        <v>0</v>
      </c>
      <c r="J137" s="763" t="b">
        <v>0</v>
      </c>
      <c r="K137" s="763" t="b">
        <v>0</v>
      </c>
      <c r="L137" s="763" t="b">
        <v>0</v>
      </c>
      <c r="M137" s="763" t="b">
        <v>0</v>
      </c>
      <c r="N137" s="763" t="b">
        <v>0</v>
      </c>
      <c r="O137" s="763" t="b">
        <v>0</v>
      </c>
      <c r="P137" s="763" t="b">
        <v>0</v>
      </c>
      <c r="Q137" s="763" t="b">
        <v>0</v>
      </c>
      <c r="R137" s="763" t="b">
        <v>0</v>
      </c>
      <c r="S137" s="763" t="b">
        <v>0</v>
      </c>
      <c r="T137" s="763" t="b">
        <v>0</v>
      </c>
      <c r="U137" s="763" t="b">
        <v>0</v>
      </c>
      <c r="V137" s="763" t="b">
        <v>0</v>
      </c>
      <c r="W137" s="763" t="b">
        <v>0</v>
      </c>
      <c r="X137" s="216">
        <v>1.5</v>
      </c>
      <c r="Y137" s="11">
        <f t="shared" si="5"/>
        <v>750</v>
      </c>
      <c r="Z137" s="11" t="s">
        <v>178</v>
      </c>
      <c r="AA137" s="93"/>
      <c r="AB137" s="93" t="s">
        <v>2078</v>
      </c>
      <c r="AC137" s="93" t="s">
        <v>1946</v>
      </c>
      <c r="AD137" s="217"/>
      <c r="AE137" s="11" t="str">
        <f>IMAGE("https://rukminim2.flixcart.com/image/832/832/krz97rk0/electronic-hobby-kit/r/p/r/5mm-green-led-light-emitting-diode-highlight-for-arduino-pack-of-original-imag5n63ad6pnxqe.jpeg?q=70", 1)</f>
        <v/>
      </c>
      <c r="AF137" s="78" t="s">
        <v>1688</v>
      </c>
      <c r="AG137" s="79"/>
      <c r="AH137" s="80"/>
      <c r="AI137" s="12"/>
      <c r="AJ137" s="11"/>
      <c r="AK137" s="12">
        <v>1.0</v>
      </c>
    </row>
    <row r="138" ht="40.5" customHeight="1">
      <c r="A138" s="11">
        <v>137.0</v>
      </c>
      <c r="B138" s="11" t="s">
        <v>173</v>
      </c>
      <c r="C138" s="11" t="s">
        <v>609</v>
      </c>
      <c r="D138" s="93" t="s">
        <v>610</v>
      </c>
      <c r="E138" s="215" t="s">
        <v>489</v>
      </c>
      <c r="F138" s="216">
        <v>500.0</v>
      </c>
      <c r="G138" s="244" t="s">
        <v>2081</v>
      </c>
      <c r="H138" s="216">
        <v>500.0</v>
      </c>
      <c r="I138" s="763" t="b">
        <v>0</v>
      </c>
      <c r="J138" s="763" t="b">
        <v>0</v>
      </c>
      <c r="K138" s="763" t="b">
        <v>0</v>
      </c>
      <c r="L138" s="763" t="b">
        <v>0</v>
      </c>
      <c r="M138" s="763" t="b">
        <v>0</v>
      </c>
      <c r="N138" s="763" t="b">
        <v>0</v>
      </c>
      <c r="O138" s="763" t="b">
        <v>0</v>
      </c>
      <c r="P138" s="763" t="b">
        <v>0</v>
      </c>
      <c r="Q138" s="763" t="b">
        <v>0</v>
      </c>
      <c r="R138" s="763" t="b">
        <v>0</v>
      </c>
      <c r="S138" s="763" t="b">
        <v>0</v>
      </c>
      <c r="T138" s="763" t="b">
        <v>0</v>
      </c>
      <c r="U138" s="763" t="b">
        <v>0</v>
      </c>
      <c r="V138" s="763" t="b">
        <v>0</v>
      </c>
      <c r="W138" s="763" t="b">
        <v>0</v>
      </c>
      <c r="X138" s="216">
        <v>1.5</v>
      </c>
      <c r="Y138" s="11">
        <f t="shared" si="5"/>
        <v>750</v>
      </c>
      <c r="Z138" s="11" t="s">
        <v>178</v>
      </c>
      <c r="AA138" s="93"/>
      <c r="AB138" s="93" t="s">
        <v>2078</v>
      </c>
      <c r="AC138" s="93" t="s">
        <v>1946</v>
      </c>
      <c r="AD138" s="217" t="s">
        <v>611</v>
      </c>
      <c r="AE138" s="11" t="str">
        <f>IMAGE("https://rukminim2.flixcart.com/image/832/832/ktrk13k0/electronic-hobby-kit/u/f/w/10-pcs-5mm-round-diffused-red-color-led-light-bulb-lamp-light-original-imag7ff6rchccrbz.jpeg?q=70", 1)</f>
        <v/>
      </c>
      <c r="AF138" s="78" t="s">
        <v>1688</v>
      </c>
      <c r="AG138" s="74"/>
      <c r="AH138" s="75"/>
      <c r="AI138" s="12"/>
      <c r="AJ138" s="11"/>
      <c r="AK138" s="12">
        <v>1.0</v>
      </c>
    </row>
    <row r="139" ht="40.5" customHeight="1">
      <c r="A139" s="11">
        <v>138.0</v>
      </c>
      <c r="B139" s="11" t="s">
        <v>173</v>
      </c>
      <c r="C139" s="11" t="s">
        <v>613</v>
      </c>
      <c r="D139" s="93" t="s">
        <v>614</v>
      </c>
      <c r="E139" s="215" t="s">
        <v>489</v>
      </c>
      <c r="F139" s="216">
        <v>500.0</v>
      </c>
      <c r="G139" s="244" t="s">
        <v>2082</v>
      </c>
      <c r="H139" s="216">
        <v>500.0</v>
      </c>
      <c r="I139" s="763" t="b">
        <v>0</v>
      </c>
      <c r="J139" s="763" t="b">
        <v>0</v>
      </c>
      <c r="K139" s="763" t="b">
        <v>0</v>
      </c>
      <c r="L139" s="763" t="b">
        <v>0</v>
      </c>
      <c r="M139" s="763" t="b">
        <v>0</v>
      </c>
      <c r="N139" s="763" t="b">
        <v>0</v>
      </c>
      <c r="O139" s="763" t="b">
        <v>0</v>
      </c>
      <c r="P139" s="763" t="b">
        <v>0</v>
      </c>
      <c r="Q139" s="763" t="b">
        <v>0</v>
      </c>
      <c r="R139" s="763" t="b">
        <v>0</v>
      </c>
      <c r="S139" s="763" t="b">
        <v>0</v>
      </c>
      <c r="T139" s="763" t="b">
        <v>0</v>
      </c>
      <c r="U139" s="763" t="b">
        <v>0</v>
      </c>
      <c r="V139" s="763" t="b">
        <v>0</v>
      </c>
      <c r="W139" s="763" t="b">
        <v>0</v>
      </c>
      <c r="X139" s="216">
        <v>1.5</v>
      </c>
      <c r="Y139" s="11">
        <f t="shared" si="5"/>
        <v>750</v>
      </c>
      <c r="Z139" s="11" t="s">
        <v>178</v>
      </c>
      <c r="AA139" s="93"/>
      <c r="AB139" s="93" t="s">
        <v>2078</v>
      </c>
      <c r="AC139" s="93" t="s">
        <v>1946</v>
      </c>
      <c r="AD139" s="217" t="s">
        <v>615</v>
      </c>
      <c r="AE139" s="11" t="str">
        <f>IMAGE("https://robu.in/wp-content/uploads/2020/10/5mm-DIP-Led-White.png", 1)</f>
        <v/>
      </c>
      <c r="AF139" s="78" t="s">
        <v>1688</v>
      </c>
      <c r="AG139" s="74"/>
      <c r="AH139" s="75"/>
      <c r="AI139" s="12"/>
      <c r="AJ139" s="11"/>
      <c r="AK139" s="12">
        <v>1.0</v>
      </c>
    </row>
    <row r="140" ht="40.5" customHeight="1">
      <c r="A140" s="11">
        <v>139.0</v>
      </c>
      <c r="B140" s="11" t="s">
        <v>173</v>
      </c>
      <c r="C140" s="11" t="s">
        <v>617</v>
      </c>
      <c r="D140" s="93" t="s">
        <v>618</v>
      </c>
      <c r="E140" s="215" t="s">
        <v>489</v>
      </c>
      <c r="F140" s="216">
        <v>500.0</v>
      </c>
      <c r="G140" s="244" t="s">
        <v>2083</v>
      </c>
      <c r="H140" s="216">
        <v>500.0</v>
      </c>
      <c r="I140" s="763" t="b">
        <v>0</v>
      </c>
      <c r="J140" s="763" t="b">
        <v>0</v>
      </c>
      <c r="K140" s="763" t="b">
        <v>0</v>
      </c>
      <c r="L140" s="763" t="b">
        <v>0</v>
      </c>
      <c r="M140" s="763" t="b">
        <v>0</v>
      </c>
      <c r="N140" s="763" t="b">
        <v>0</v>
      </c>
      <c r="O140" s="763" t="b">
        <v>0</v>
      </c>
      <c r="P140" s="763" t="b">
        <v>0</v>
      </c>
      <c r="Q140" s="763" t="b">
        <v>0</v>
      </c>
      <c r="R140" s="763" t="b">
        <v>0</v>
      </c>
      <c r="S140" s="763" t="b">
        <v>0</v>
      </c>
      <c r="T140" s="763" t="b">
        <v>0</v>
      </c>
      <c r="U140" s="763" t="b">
        <v>0</v>
      </c>
      <c r="V140" s="763" t="b">
        <v>0</v>
      </c>
      <c r="W140" s="763" t="b">
        <v>0</v>
      </c>
      <c r="X140" s="216">
        <v>1.5</v>
      </c>
      <c r="Y140" s="11">
        <f t="shared" si="5"/>
        <v>750</v>
      </c>
      <c r="Z140" s="11" t="s">
        <v>178</v>
      </c>
      <c r="AA140" s="93"/>
      <c r="AB140" s="93" t="s">
        <v>2078</v>
      </c>
      <c r="AC140" s="93" t="s">
        <v>1946</v>
      </c>
      <c r="AD140" s="223" t="s">
        <v>619</v>
      </c>
      <c r="AE140" s="11" t="str">
        <f>IMAGE("https://robu.in/wp-content/uploads/2020/10/5-mm-DIP-Led-Yellow.png", 1)</f>
        <v/>
      </c>
      <c r="AF140" s="78" t="s">
        <v>1688</v>
      </c>
      <c r="AG140" s="74"/>
      <c r="AH140" s="75"/>
      <c r="AI140" s="12"/>
      <c r="AJ140" s="11"/>
      <c r="AK140" s="12">
        <v>1.0</v>
      </c>
    </row>
    <row r="141" ht="40.5" customHeight="1">
      <c r="A141" s="11">
        <v>140.0</v>
      </c>
      <c r="B141" s="11" t="s">
        <v>173</v>
      </c>
      <c r="C141" s="11" t="s">
        <v>621</v>
      </c>
      <c r="D141" s="93" t="s">
        <v>622</v>
      </c>
      <c r="E141" s="215" t="s">
        <v>489</v>
      </c>
      <c r="F141" s="216">
        <v>100.0</v>
      </c>
      <c r="G141" s="244" t="s">
        <v>2084</v>
      </c>
      <c r="H141" s="216">
        <v>100.0</v>
      </c>
      <c r="I141" s="763" t="b">
        <v>0</v>
      </c>
      <c r="J141" s="763" t="b">
        <v>0</v>
      </c>
      <c r="K141" s="763" t="b">
        <v>0</v>
      </c>
      <c r="L141" s="763" t="b">
        <v>0</v>
      </c>
      <c r="M141" s="763" t="b">
        <v>0</v>
      </c>
      <c r="N141" s="763" t="b">
        <v>0</v>
      </c>
      <c r="O141" s="763" t="b">
        <v>0</v>
      </c>
      <c r="P141" s="763" t="b">
        <v>0</v>
      </c>
      <c r="Q141" s="763" t="b">
        <v>0</v>
      </c>
      <c r="R141" s="763" t="b">
        <v>0</v>
      </c>
      <c r="S141" s="763" t="b">
        <v>0</v>
      </c>
      <c r="T141" s="763" t="b">
        <v>0</v>
      </c>
      <c r="U141" s="763" t="b">
        <v>0</v>
      </c>
      <c r="V141" s="763" t="b">
        <v>0</v>
      </c>
      <c r="W141" s="763" t="b">
        <v>0</v>
      </c>
      <c r="X141" s="216">
        <v>20.0</v>
      </c>
      <c r="Y141" s="11">
        <f t="shared" si="5"/>
        <v>2000</v>
      </c>
      <c r="Z141" s="11" t="s">
        <v>178</v>
      </c>
      <c r="AA141" s="93"/>
      <c r="AB141" s="93" t="s">
        <v>2078</v>
      </c>
      <c r="AC141" s="93" t="s">
        <v>1946</v>
      </c>
      <c r="AD141" s="217" t="s">
        <v>623</v>
      </c>
      <c r="AE141" s="11" t="str">
        <f>IMAGE("https://image.robotistan.com/5mm-transparent-rgb-led-2633-11-O.jpg", 1)</f>
        <v/>
      </c>
      <c r="AF141" s="78" t="s">
        <v>1688</v>
      </c>
      <c r="AG141" s="79"/>
      <c r="AH141" s="80"/>
      <c r="AI141" s="12"/>
      <c r="AJ141" s="11"/>
      <c r="AK141" s="12">
        <v>1.0</v>
      </c>
    </row>
    <row r="142" ht="40.5" customHeight="1">
      <c r="A142" s="11">
        <v>141.0</v>
      </c>
      <c r="B142" s="11" t="s">
        <v>173</v>
      </c>
      <c r="C142" s="11" t="s">
        <v>625</v>
      </c>
      <c r="D142" s="93" t="s">
        <v>626</v>
      </c>
      <c r="E142" s="215" t="s">
        <v>489</v>
      </c>
      <c r="F142" s="216">
        <v>20.0</v>
      </c>
      <c r="G142" s="11" t="s">
        <v>1788</v>
      </c>
      <c r="H142" s="216">
        <v>20.0</v>
      </c>
      <c r="I142" s="763" t="b">
        <v>0</v>
      </c>
      <c r="J142" s="763" t="b">
        <v>0</v>
      </c>
      <c r="K142" s="763" t="b">
        <v>0</v>
      </c>
      <c r="L142" s="763" t="b">
        <v>0</v>
      </c>
      <c r="M142" s="763" t="b">
        <v>0</v>
      </c>
      <c r="N142" s="763" t="b">
        <v>0</v>
      </c>
      <c r="O142" s="763" t="b">
        <v>0</v>
      </c>
      <c r="P142" s="763" t="b">
        <v>0</v>
      </c>
      <c r="Q142" s="763" t="b">
        <v>0</v>
      </c>
      <c r="R142" s="763" t="b">
        <v>0</v>
      </c>
      <c r="S142" s="763" t="b">
        <v>0</v>
      </c>
      <c r="T142" s="763" t="b">
        <v>0</v>
      </c>
      <c r="U142" s="763" t="b">
        <v>0</v>
      </c>
      <c r="V142" s="763" t="b">
        <v>0</v>
      </c>
      <c r="W142" s="763" t="b">
        <v>0</v>
      </c>
      <c r="X142" s="216">
        <v>15.0</v>
      </c>
      <c r="Y142" s="11">
        <f t="shared" si="5"/>
        <v>300</v>
      </c>
      <c r="Z142" s="11" t="s">
        <v>178</v>
      </c>
      <c r="AA142" s="93"/>
      <c r="AB142" s="93" t="s">
        <v>2070</v>
      </c>
      <c r="AC142" s="93" t="s">
        <v>1947</v>
      </c>
      <c r="AD142" s="217" t="s">
        <v>627</v>
      </c>
      <c r="AE142" s="11" t="str">
        <f>IMAGE("https://5.imimg.com/data5/AH/OG/AM/SELLER-5278310/mkc-27701-changeover-reed-switch-500x500.jpg",1)</f>
        <v/>
      </c>
      <c r="AF142" s="78" t="s">
        <v>1688</v>
      </c>
      <c r="AG142" s="74"/>
      <c r="AH142" s="75"/>
      <c r="AI142" s="12"/>
      <c r="AJ142" s="11"/>
      <c r="AK142" s="12">
        <v>1.0</v>
      </c>
    </row>
    <row r="143" ht="40.5" customHeight="1">
      <c r="A143" s="11">
        <v>142.0</v>
      </c>
      <c r="B143" s="11" t="s">
        <v>173</v>
      </c>
      <c r="C143" s="11" t="s">
        <v>629</v>
      </c>
      <c r="D143" s="93" t="s">
        <v>630</v>
      </c>
      <c r="E143" s="215" t="s">
        <v>489</v>
      </c>
      <c r="F143" s="216">
        <v>20.0</v>
      </c>
      <c r="G143" s="11" t="s">
        <v>1843</v>
      </c>
      <c r="H143" s="216">
        <v>20.0</v>
      </c>
      <c r="I143" s="763" t="b">
        <v>0</v>
      </c>
      <c r="J143" s="763" t="b">
        <v>0</v>
      </c>
      <c r="K143" s="763" t="b">
        <v>0</v>
      </c>
      <c r="L143" s="763" t="b">
        <v>0</v>
      </c>
      <c r="M143" s="763" t="b">
        <v>0</v>
      </c>
      <c r="N143" s="763" t="b">
        <v>0</v>
      </c>
      <c r="O143" s="763" t="b">
        <v>0</v>
      </c>
      <c r="P143" s="763" t="b">
        <v>0</v>
      </c>
      <c r="Q143" s="763" t="b">
        <v>0</v>
      </c>
      <c r="R143" s="763" t="b">
        <v>0</v>
      </c>
      <c r="S143" s="763" t="b">
        <v>0</v>
      </c>
      <c r="T143" s="763" t="b">
        <v>0</v>
      </c>
      <c r="U143" s="763" t="b">
        <v>0</v>
      </c>
      <c r="V143" s="763" t="b">
        <v>0</v>
      </c>
      <c r="W143" s="763" t="b">
        <v>0</v>
      </c>
      <c r="X143" s="216">
        <v>20.0</v>
      </c>
      <c r="Y143" s="11">
        <f t="shared" si="5"/>
        <v>400</v>
      </c>
      <c r="Z143" s="11" t="s">
        <v>178</v>
      </c>
      <c r="AA143" s="93"/>
      <c r="AB143" s="93" t="s">
        <v>2078</v>
      </c>
      <c r="AC143" s="93" t="s">
        <v>1948</v>
      </c>
      <c r="AD143" s="217" t="s">
        <v>631</v>
      </c>
      <c r="AE143" s="11" t="str">
        <f t="shared" ref="AE143:AE144" si="9">IMAGE("https://www.electronicscomp.com/image/cache/catalog/irfz44-n-channel-power-mosfet-1-800x800.JPG",1)</f>
        <v/>
      </c>
      <c r="AF143" s="78" t="s">
        <v>1688</v>
      </c>
      <c r="AG143" s="74"/>
      <c r="AH143" s="75"/>
      <c r="AI143" s="12"/>
      <c r="AJ143" s="11"/>
      <c r="AK143" s="12">
        <v>1.0</v>
      </c>
    </row>
    <row r="144" ht="40.5" customHeight="1">
      <c r="A144" s="11">
        <v>143.0</v>
      </c>
      <c r="B144" s="11" t="s">
        <v>173</v>
      </c>
      <c r="C144" s="11" t="s">
        <v>633</v>
      </c>
      <c r="D144" s="93" t="s">
        <v>634</v>
      </c>
      <c r="E144" s="215" t="s">
        <v>489</v>
      </c>
      <c r="F144" s="216">
        <v>20.0</v>
      </c>
      <c r="G144" s="11" t="s">
        <v>1843</v>
      </c>
      <c r="H144" s="216">
        <v>20.0</v>
      </c>
      <c r="I144" s="763" t="b">
        <v>0</v>
      </c>
      <c r="J144" s="763" t="b">
        <v>0</v>
      </c>
      <c r="K144" s="763" t="b">
        <v>0</v>
      </c>
      <c r="L144" s="763" t="b">
        <v>0</v>
      </c>
      <c r="M144" s="763" t="b">
        <v>0</v>
      </c>
      <c r="N144" s="763" t="b">
        <v>0</v>
      </c>
      <c r="O144" s="763" t="b">
        <v>0</v>
      </c>
      <c r="P144" s="763" t="b">
        <v>0</v>
      </c>
      <c r="Q144" s="763" t="b">
        <v>0</v>
      </c>
      <c r="R144" s="763" t="b">
        <v>0</v>
      </c>
      <c r="S144" s="763" t="b">
        <v>0</v>
      </c>
      <c r="T144" s="763" t="b">
        <v>0</v>
      </c>
      <c r="U144" s="763" t="b">
        <v>0</v>
      </c>
      <c r="V144" s="763" t="b">
        <v>0</v>
      </c>
      <c r="W144" s="763" t="b">
        <v>0</v>
      </c>
      <c r="X144" s="216">
        <v>30.0</v>
      </c>
      <c r="Y144" s="11">
        <f t="shared" si="5"/>
        <v>600</v>
      </c>
      <c r="Z144" s="11" t="s">
        <v>178</v>
      </c>
      <c r="AA144" s="93"/>
      <c r="AB144" s="93" t="s">
        <v>2078</v>
      </c>
      <c r="AC144" s="93" t="s">
        <v>1948</v>
      </c>
      <c r="AD144" s="217" t="s">
        <v>635</v>
      </c>
      <c r="AE144" s="11" t="str">
        <f t="shared" si="9"/>
        <v/>
      </c>
      <c r="AF144" s="78" t="s">
        <v>1688</v>
      </c>
      <c r="AG144" s="74"/>
      <c r="AH144" s="75"/>
      <c r="AI144" s="12"/>
      <c r="AJ144" s="11"/>
      <c r="AK144" s="12">
        <v>1.0</v>
      </c>
    </row>
    <row r="145" ht="40.5" customHeight="1">
      <c r="A145" s="11">
        <v>144.0</v>
      </c>
      <c r="B145" s="11" t="s">
        <v>173</v>
      </c>
      <c r="C145" s="11" t="s">
        <v>637</v>
      </c>
      <c r="D145" s="93" t="s">
        <v>1804</v>
      </c>
      <c r="E145" s="215" t="s">
        <v>489</v>
      </c>
      <c r="F145" s="216">
        <v>20.0</v>
      </c>
      <c r="G145" s="11" t="s">
        <v>1802</v>
      </c>
      <c r="H145" s="216">
        <v>20.0</v>
      </c>
      <c r="I145" s="763" t="b">
        <v>0</v>
      </c>
      <c r="J145" s="763" t="b">
        <v>0</v>
      </c>
      <c r="K145" s="763" t="b">
        <v>0</v>
      </c>
      <c r="L145" s="763" t="b">
        <v>0</v>
      </c>
      <c r="M145" s="763" t="b">
        <v>0</v>
      </c>
      <c r="N145" s="763" t="b">
        <v>0</v>
      </c>
      <c r="O145" s="763" t="b">
        <v>0</v>
      </c>
      <c r="P145" s="763" t="b">
        <v>0</v>
      </c>
      <c r="Q145" s="763" t="b">
        <v>0</v>
      </c>
      <c r="R145" s="763" t="b">
        <v>0</v>
      </c>
      <c r="S145" s="763" t="b">
        <v>0</v>
      </c>
      <c r="T145" s="763" t="b">
        <v>0</v>
      </c>
      <c r="U145" s="763" t="b">
        <v>0</v>
      </c>
      <c r="V145" s="763" t="b">
        <v>0</v>
      </c>
      <c r="W145" s="763" t="b">
        <v>0</v>
      </c>
      <c r="X145" s="216">
        <v>50.0</v>
      </c>
      <c r="Y145" s="11">
        <f t="shared" si="5"/>
        <v>1000</v>
      </c>
      <c r="Z145" s="11" t="s">
        <v>178</v>
      </c>
      <c r="AA145" s="93"/>
      <c r="AB145" s="93" t="s">
        <v>2070</v>
      </c>
      <c r="AC145" s="93" t="s">
        <v>1941</v>
      </c>
      <c r="AD145" s="217" t="s">
        <v>639</v>
      </c>
      <c r="AE145" s="11" t="str">
        <f>IMAGE("https://5.imimg.com/data5/FI/FV/DZ/SELLER-22718366/27-mm-3p-piezoelectric-buzzer-plate-500x500.jpg",1)</f>
        <v/>
      </c>
      <c r="AF145" s="78" t="s">
        <v>1688</v>
      </c>
      <c r="AG145" s="74"/>
      <c r="AH145" s="75"/>
      <c r="AI145" s="12"/>
      <c r="AJ145" s="11"/>
      <c r="AK145" s="12">
        <v>1.0</v>
      </c>
    </row>
    <row r="146" ht="40.5" customHeight="1">
      <c r="A146" s="11">
        <v>145.0</v>
      </c>
      <c r="B146" s="11" t="s">
        <v>173</v>
      </c>
      <c r="C146" s="11" t="s">
        <v>641</v>
      </c>
      <c r="D146" s="93" t="s">
        <v>642</v>
      </c>
      <c r="E146" s="215" t="s">
        <v>489</v>
      </c>
      <c r="F146" s="216">
        <v>20.0</v>
      </c>
      <c r="G146" s="11" t="s">
        <v>1828</v>
      </c>
      <c r="H146" s="216">
        <v>20.0</v>
      </c>
      <c r="I146" s="763" t="b">
        <v>0</v>
      </c>
      <c r="J146" s="763" t="b">
        <v>0</v>
      </c>
      <c r="K146" s="763" t="b">
        <v>0</v>
      </c>
      <c r="L146" s="763" t="b">
        <v>0</v>
      </c>
      <c r="M146" s="763" t="b">
        <v>0</v>
      </c>
      <c r="N146" s="763" t="b">
        <v>0</v>
      </c>
      <c r="O146" s="763" t="b">
        <v>0</v>
      </c>
      <c r="P146" s="763" t="b">
        <v>0</v>
      </c>
      <c r="Q146" s="763" t="b">
        <v>0</v>
      </c>
      <c r="R146" s="763" t="b">
        <v>0</v>
      </c>
      <c r="S146" s="763" t="b">
        <v>0</v>
      </c>
      <c r="T146" s="763" t="b">
        <v>0</v>
      </c>
      <c r="U146" s="763" t="b">
        <v>0</v>
      </c>
      <c r="V146" s="763" t="b">
        <v>0</v>
      </c>
      <c r="W146" s="763" t="b">
        <v>0</v>
      </c>
      <c r="X146" s="216">
        <v>20.0</v>
      </c>
      <c r="Y146" s="11">
        <f t="shared" si="5"/>
        <v>400</v>
      </c>
      <c r="Z146" s="11" t="s">
        <v>178</v>
      </c>
      <c r="AA146" s="93"/>
      <c r="AB146" s="93" t="s">
        <v>2070</v>
      </c>
      <c r="AC146" s="93" t="s">
        <v>1949</v>
      </c>
      <c r="AD146" s="217" t="s">
        <v>643</v>
      </c>
      <c r="AE146" s="11" t="str">
        <f t="shared" ref="AE146:AE149" si="10">IMAGE("https://m.media-amazon.com/images/I/31ALofIyvBL._SX466_.jpg",1)</f>
        <v/>
      </c>
      <c r="AF146" s="78" t="s">
        <v>1688</v>
      </c>
      <c r="AG146" s="74"/>
      <c r="AH146" s="75"/>
      <c r="AI146" s="12"/>
      <c r="AJ146" s="11"/>
      <c r="AK146" s="12">
        <v>1.0</v>
      </c>
    </row>
    <row r="147" ht="40.5" customHeight="1">
      <c r="A147" s="11">
        <v>146.0</v>
      </c>
      <c r="B147" s="11" t="s">
        <v>173</v>
      </c>
      <c r="C147" s="11" t="s">
        <v>645</v>
      </c>
      <c r="D147" s="93" t="s">
        <v>646</v>
      </c>
      <c r="E147" s="215" t="s">
        <v>489</v>
      </c>
      <c r="F147" s="216">
        <v>20.0</v>
      </c>
      <c r="G147" s="245" t="s">
        <v>1826</v>
      </c>
      <c r="H147" s="216">
        <v>20.0</v>
      </c>
      <c r="I147" s="763" t="b">
        <v>0</v>
      </c>
      <c r="J147" s="763" t="b">
        <v>0</v>
      </c>
      <c r="K147" s="763" t="b">
        <v>0</v>
      </c>
      <c r="L147" s="763" t="b">
        <v>0</v>
      </c>
      <c r="M147" s="763" t="b">
        <v>0</v>
      </c>
      <c r="N147" s="763" t="b">
        <v>0</v>
      </c>
      <c r="O147" s="763" t="b">
        <v>0</v>
      </c>
      <c r="P147" s="763" t="b">
        <v>0</v>
      </c>
      <c r="Q147" s="763" t="b">
        <v>0</v>
      </c>
      <c r="R147" s="763" t="b">
        <v>0</v>
      </c>
      <c r="S147" s="763" t="b">
        <v>0</v>
      </c>
      <c r="T147" s="763" t="b">
        <v>0</v>
      </c>
      <c r="U147" s="763" t="b">
        <v>0</v>
      </c>
      <c r="V147" s="763" t="b">
        <v>0</v>
      </c>
      <c r="W147" s="763" t="b">
        <v>0</v>
      </c>
      <c r="X147" s="216">
        <v>15.0</v>
      </c>
      <c r="Y147" s="11">
        <f t="shared" si="5"/>
        <v>300</v>
      </c>
      <c r="Z147" s="11" t="s">
        <v>178</v>
      </c>
      <c r="AA147" s="93"/>
      <c r="AB147" s="93" t="s">
        <v>2070</v>
      </c>
      <c r="AC147" s="93" t="s">
        <v>1949</v>
      </c>
      <c r="AD147" s="217" t="s">
        <v>647</v>
      </c>
      <c r="AE147" s="11" t="str">
        <f t="shared" si="10"/>
        <v/>
      </c>
      <c r="AF147" s="78" t="s">
        <v>1688</v>
      </c>
      <c r="AG147" s="74"/>
      <c r="AH147" s="75"/>
      <c r="AI147" s="12"/>
      <c r="AJ147" s="11"/>
      <c r="AK147" s="12">
        <v>1.0</v>
      </c>
    </row>
    <row r="148" ht="40.5" customHeight="1">
      <c r="A148" s="11">
        <v>147.0</v>
      </c>
      <c r="B148" s="11" t="s">
        <v>173</v>
      </c>
      <c r="C148" s="11" t="s">
        <v>649</v>
      </c>
      <c r="D148" s="93" t="s">
        <v>650</v>
      </c>
      <c r="E148" s="215" t="s">
        <v>489</v>
      </c>
      <c r="F148" s="216">
        <v>20.0</v>
      </c>
      <c r="G148" s="245" t="s">
        <v>1826</v>
      </c>
      <c r="H148" s="216">
        <v>20.0</v>
      </c>
      <c r="I148" s="763" t="b">
        <v>0</v>
      </c>
      <c r="J148" s="763" t="b">
        <v>0</v>
      </c>
      <c r="K148" s="763" t="b">
        <v>0</v>
      </c>
      <c r="L148" s="763" t="b">
        <v>0</v>
      </c>
      <c r="M148" s="763" t="b">
        <v>0</v>
      </c>
      <c r="N148" s="763" t="b">
        <v>0</v>
      </c>
      <c r="O148" s="763" t="b">
        <v>0</v>
      </c>
      <c r="P148" s="763" t="b">
        <v>0</v>
      </c>
      <c r="Q148" s="763" t="b">
        <v>0</v>
      </c>
      <c r="R148" s="763" t="b">
        <v>0</v>
      </c>
      <c r="S148" s="763" t="b">
        <v>0</v>
      </c>
      <c r="T148" s="763" t="b">
        <v>0</v>
      </c>
      <c r="U148" s="763" t="b">
        <v>0</v>
      </c>
      <c r="V148" s="763" t="b">
        <v>0</v>
      </c>
      <c r="W148" s="763" t="b">
        <v>0</v>
      </c>
      <c r="X148" s="216">
        <v>10.0</v>
      </c>
      <c r="Y148" s="11">
        <f t="shared" si="5"/>
        <v>200</v>
      </c>
      <c r="Z148" s="11" t="s">
        <v>178</v>
      </c>
      <c r="AA148" s="93"/>
      <c r="AB148" s="93" t="s">
        <v>2070</v>
      </c>
      <c r="AC148" s="93" t="s">
        <v>1949</v>
      </c>
      <c r="AD148" s="217" t="s">
        <v>651</v>
      </c>
      <c r="AE148" s="11" t="str">
        <f t="shared" si="10"/>
        <v/>
      </c>
      <c r="AF148" s="78" t="s">
        <v>1688</v>
      </c>
      <c r="AG148" s="74"/>
      <c r="AH148" s="75"/>
      <c r="AI148" s="12"/>
      <c r="AJ148" s="11"/>
      <c r="AK148" s="12">
        <v>1.0</v>
      </c>
    </row>
    <row r="149" ht="40.5" customHeight="1">
      <c r="A149" s="11">
        <v>148.0</v>
      </c>
      <c r="B149" s="11" t="s">
        <v>173</v>
      </c>
      <c r="C149" s="11" t="s">
        <v>653</v>
      </c>
      <c r="D149" s="93" t="s">
        <v>654</v>
      </c>
      <c r="E149" s="215" t="s">
        <v>489</v>
      </c>
      <c r="F149" s="216">
        <v>20.0</v>
      </c>
      <c r="G149" s="11" t="s">
        <v>1828</v>
      </c>
      <c r="H149" s="216">
        <v>20.0</v>
      </c>
      <c r="I149" s="763" t="b">
        <v>0</v>
      </c>
      <c r="J149" s="763" t="b">
        <v>0</v>
      </c>
      <c r="K149" s="763" t="b">
        <v>0</v>
      </c>
      <c r="L149" s="763" t="b">
        <v>0</v>
      </c>
      <c r="M149" s="763" t="b">
        <v>0</v>
      </c>
      <c r="N149" s="763" t="b">
        <v>0</v>
      </c>
      <c r="O149" s="763" t="b">
        <v>0</v>
      </c>
      <c r="P149" s="763" t="b">
        <v>0</v>
      </c>
      <c r="Q149" s="763" t="b">
        <v>0</v>
      </c>
      <c r="R149" s="763" t="b">
        <v>0</v>
      </c>
      <c r="S149" s="763" t="b">
        <v>0</v>
      </c>
      <c r="T149" s="763" t="b">
        <v>0</v>
      </c>
      <c r="U149" s="763" t="b">
        <v>0</v>
      </c>
      <c r="V149" s="763" t="b">
        <v>0</v>
      </c>
      <c r="W149" s="763" t="b">
        <v>0</v>
      </c>
      <c r="X149" s="216">
        <v>25.0</v>
      </c>
      <c r="Y149" s="11">
        <f t="shared" si="5"/>
        <v>500</v>
      </c>
      <c r="Z149" s="11" t="s">
        <v>178</v>
      </c>
      <c r="AA149" s="93"/>
      <c r="AB149" s="93" t="s">
        <v>2070</v>
      </c>
      <c r="AC149" s="93" t="s">
        <v>1949</v>
      </c>
      <c r="AD149" s="217" t="s">
        <v>655</v>
      </c>
      <c r="AE149" s="11" t="str">
        <f t="shared" si="10"/>
        <v/>
      </c>
      <c r="AF149" s="78" t="s">
        <v>1688</v>
      </c>
      <c r="AG149" s="79"/>
      <c r="AH149" s="80"/>
      <c r="AI149" s="12"/>
      <c r="AJ149" s="11"/>
      <c r="AK149" s="12">
        <v>1.0</v>
      </c>
    </row>
    <row r="150" ht="40.5" customHeight="1">
      <c r="A150" s="11">
        <v>149.0</v>
      </c>
      <c r="B150" s="11" t="s">
        <v>173</v>
      </c>
      <c r="C150" s="116" t="s">
        <v>661</v>
      </c>
      <c r="D150" s="115" t="s">
        <v>662</v>
      </c>
      <c r="E150" s="215" t="s">
        <v>489</v>
      </c>
      <c r="F150" s="216">
        <v>100.0</v>
      </c>
      <c r="G150" s="11" t="s">
        <v>1753</v>
      </c>
      <c r="H150" s="216">
        <v>100.0</v>
      </c>
      <c r="I150" s="763" t="b">
        <v>0</v>
      </c>
      <c r="J150" s="763" t="b">
        <v>0</v>
      </c>
      <c r="K150" s="763" t="b">
        <v>0</v>
      </c>
      <c r="L150" s="763" t="b">
        <v>0</v>
      </c>
      <c r="M150" s="763" t="b">
        <v>0</v>
      </c>
      <c r="N150" s="763" t="b">
        <v>0</v>
      </c>
      <c r="O150" s="763" t="b">
        <v>0</v>
      </c>
      <c r="P150" s="763" t="b">
        <v>0</v>
      </c>
      <c r="Q150" s="763" t="b">
        <v>0</v>
      </c>
      <c r="R150" s="763" t="b">
        <v>0</v>
      </c>
      <c r="S150" s="763" t="b">
        <v>0</v>
      </c>
      <c r="T150" s="763" t="b">
        <v>0</v>
      </c>
      <c r="U150" s="763" t="b">
        <v>0</v>
      </c>
      <c r="V150" s="763" t="b">
        <v>0</v>
      </c>
      <c r="W150" s="763" t="b">
        <v>0</v>
      </c>
      <c r="X150" s="216">
        <v>1.0</v>
      </c>
      <c r="Y150" s="11">
        <f t="shared" si="5"/>
        <v>100</v>
      </c>
      <c r="Z150" s="11" t="s">
        <v>178</v>
      </c>
      <c r="AA150" s="93"/>
      <c r="AB150" s="93" t="s">
        <v>2078</v>
      </c>
      <c r="AC150" s="93" t="s">
        <v>1950</v>
      </c>
      <c r="AD150" s="217" t="s">
        <v>659</v>
      </c>
      <c r="AE150" s="11" t="str">
        <f t="shared" ref="AE150:AE191" si="11">IMAGE("https://projectpoint.in/image/cache/catalog/CFR_Resistor_Kit-672x504.jpg",1)</f>
        <v/>
      </c>
      <c r="AF150" s="78" t="s">
        <v>1688</v>
      </c>
      <c r="AG150" s="74"/>
      <c r="AH150" s="75"/>
      <c r="AI150" s="12"/>
      <c r="AJ150" s="11"/>
      <c r="AK150" s="12">
        <v>1.0</v>
      </c>
    </row>
    <row r="151" ht="40.5" customHeight="1">
      <c r="A151" s="11">
        <v>150.0</v>
      </c>
      <c r="B151" s="11" t="s">
        <v>173</v>
      </c>
      <c r="C151" s="239" t="s">
        <v>789</v>
      </c>
      <c r="D151" s="240" t="s">
        <v>1757</v>
      </c>
      <c r="E151" s="215" t="s">
        <v>489</v>
      </c>
      <c r="F151" s="216">
        <v>100.0</v>
      </c>
      <c r="G151" s="11" t="s">
        <v>1753</v>
      </c>
      <c r="H151" s="216">
        <v>100.0</v>
      </c>
      <c r="I151" s="763" t="b">
        <v>0</v>
      </c>
      <c r="J151" s="763" t="b">
        <v>0</v>
      </c>
      <c r="K151" s="763" t="b">
        <v>0</v>
      </c>
      <c r="L151" s="763" t="b">
        <v>0</v>
      </c>
      <c r="M151" s="763" t="b">
        <v>0</v>
      </c>
      <c r="N151" s="763" t="b">
        <v>0</v>
      </c>
      <c r="O151" s="763" t="b">
        <v>0</v>
      </c>
      <c r="P151" s="763" t="b">
        <v>0</v>
      </c>
      <c r="Q151" s="763" t="b">
        <v>0</v>
      </c>
      <c r="R151" s="763" t="b">
        <v>0</v>
      </c>
      <c r="S151" s="763" t="b">
        <v>0</v>
      </c>
      <c r="T151" s="763" t="b">
        <v>0</v>
      </c>
      <c r="U151" s="763" t="b">
        <v>0</v>
      </c>
      <c r="V151" s="763" t="b">
        <v>0</v>
      </c>
      <c r="W151" s="763" t="b">
        <v>0</v>
      </c>
      <c r="X151" s="216">
        <v>1.0</v>
      </c>
      <c r="Y151" s="11">
        <f t="shared" si="5"/>
        <v>100</v>
      </c>
      <c r="Z151" s="11" t="s">
        <v>178</v>
      </c>
      <c r="AA151" s="93"/>
      <c r="AB151" s="93" t="s">
        <v>2078</v>
      </c>
      <c r="AC151" s="93" t="s">
        <v>1950</v>
      </c>
      <c r="AD151" s="217" t="s">
        <v>663</v>
      </c>
      <c r="AE151" s="11" t="str">
        <f t="shared" si="11"/>
        <v/>
      </c>
      <c r="AF151" s="78" t="s">
        <v>1688</v>
      </c>
      <c r="AG151" s="74"/>
      <c r="AH151" s="75"/>
      <c r="AI151" s="12"/>
      <c r="AJ151" s="11"/>
      <c r="AK151" s="12">
        <v>1.0</v>
      </c>
    </row>
    <row r="152" ht="40.5" customHeight="1">
      <c r="A152" s="11">
        <v>151.0</v>
      </c>
      <c r="B152" s="11" t="s">
        <v>173</v>
      </c>
      <c r="C152" s="239" t="s">
        <v>697</v>
      </c>
      <c r="D152" s="240" t="s">
        <v>698</v>
      </c>
      <c r="E152" s="215" t="s">
        <v>489</v>
      </c>
      <c r="F152" s="216">
        <v>100.0</v>
      </c>
      <c r="G152" s="11" t="s">
        <v>1762</v>
      </c>
      <c r="H152" s="216">
        <v>100.0</v>
      </c>
      <c r="I152" s="763" t="b">
        <v>0</v>
      </c>
      <c r="J152" s="763" t="b">
        <v>0</v>
      </c>
      <c r="K152" s="763" t="b">
        <v>0</v>
      </c>
      <c r="L152" s="763" t="b">
        <v>0</v>
      </c>
      <c r="M152" s="763" t="b">
        <v>0</v>
      </c>
      <c r="N152" s="763" t="b">
        <v>0</v>
      </c>
      <c r="O152" s="763" t="b">
        <v>0</v>
      </c>
      <c r="P152" s="763" t="b">
        <v>0</v>
      </c>
      <c r="Q152" s="763" t="b">
        <v>0</v>
      </c>
      <c r="R152" s="763" t="b">
        <v>0</v>
      </c>
      <c r="S152" s="763" t="b">
        <v>0</v>
      </c>
      <c r="T152" s="763" t="b">
        <v>0</v>
      </c>
      <c r="U152" s="763" t="b">
        <v>0</v>
      </c>
      <c r="V152" s="763" t="b">
        <v>0</v>
      </c>
      <c r="W152" s="763" t="b">
        <v>0</v>
      </c>
      <c r="X152" s="216">
        <v>1.0</v>
      </c>
      <c r="Y152" s="11">
        <f t="shared" si="5"/>
        <v>100</v>
      </c>
      <c r="Z152" s="11" t="s">
        <v>178</v>
      </c>
      <c r="AA152" s="93"/>
      <c r="AB152" s="93" t="s">
        <v>2078</v>
      </c>
      <c r="AC152" s="93" t="s">
        <v>1950</v>
      </c>
      <c r="AD152" s="217" t="s">
        <v>667</v>
      </c>
      <c r="AE152" s="11" t="str">
        <f t="shared" si="11"/>
        <v/>
      </c>
      <c r="AF152" s="78" t="s">
        <v>1688</v>
      </c>
      <c r="AG152" s="74"/>
      <c r="AH152" s="75"/>
      <c r="AI152" s="12"/>
      <c r="AJ152" s="11"/>
      <c r="AK152" s="12">
        <v>1.0</v>
      </c>
    </row>
    <row r="153" ht="40.5" customHeight="1">
      <c r="A153" s="11">
        <v>152.0</v>
      </c>
      <c r="B153" s="11" t="s">
        <v>173</v>
      </c>
      <c r="C153" s="239" t="s">
        <v>705</v>
      </c>
      <c r="D153" s="240" t="s">
        <v>706</v>
      </c>
      <c r="E153" s="215" t="s">
        <v>489</v>
      </c>
      <c r="F153" s="216">
        <v>100.0</v>
      </c>
      <c r="G153" s="11" t="s">
        <v>1762</v>
      </c>
      <c r="H153" s="216">
        <v>100.0</v>
      </c>
      <c r="I153" s="763" t="b">
        <v>0</v>
      </c>
      <c r="J153" s="763" t="b">
        <v>0</v>
      </c>
      <c r="K153" s="763" t="b">
        <v>0</v>
      </c>
      <c r="L153" s="763" t="b">
        <v>0</v>
      </c>
      <c r="M153" s="763" t="b">
        <v>0</v>
      </c>
      <c r="N153" s="763" t="b">
        <v>0</v>
      </c>
      <c r="O153" s="763" t="b">
        <v>0</v>
      </c>
      <c r="P153" s="763" t="b">
        <v>0</v>
      </c>
      <c r="Q153" s="763" t="b">
        <v>0</v>
      </c>
      <c r="R153" s="763" t="b">
        <v>0</v>
      </c>
      <c r="S153" s="763" t="b">
        <v>0</v>
      </c>
      <c r="T153" s="763" t="b">
        <v>0</v>
      </c>
      <c r="U153" s="763" t="b">
        <v>0</v>
      </c>
      <c r="V153" s="763" t="b">
        <v>0</v>
      </c>
      <c r="W153" s="763" t="b">
        <v>0</v>
      </c>
      <c r="X153" s="216">
        <v>1.0</v>
      </c>
      <c r="Y153" s="11">
        <f t="shared" si="5"/>
        <v>100</v>
      </c>
      <c r="Z153" s="11" t="s">
        <v>178</v>
      </c>
      <c r="AA153" s="93"/>
      <c r="AB153" s="93" t="s">
        <v>2078</v>
      </c>
      <c r="AC153" s="93" t="s">
        <v>1950</v>
      </c>
      <c r="AD153" s="217" t="s">
        <v>671</v>
      </c>
      <c r="AE153" s="11" t="str">
        <f t="shared" si="11"/>
        <v/>
      </c>
      <c r="AF153" s="78" t="s">
        <v>1688</v>
      </c>
      <c r="AG153" s="74"/>
      <c r="AH153" s="75"/>
      <c r="AI153" s="12"/>
      <c r="AJ153" s="11"/>
      <c r="AK153" s="12">
        <v>1.0</v>
      </c>
    </row>
    <row r="154" ht="40.5" customHeight="1">
      <c r="A154" s="11">
        <v>153.0</v>
      </c>
      <c r="B154" s="11" t="s">
        <v>173</v>
      </c>
      <c r="C154" s="239" t="s">
        <v>717</v>
      </c>
      <c r="D154" s="240" t="s">
        <v>718</v>
      </c>
      <c r="E154" s="215" t="s">
        <v>489</v>
      </c>
      <c r="F154" s="216">
        <v>100.0</v>
      </c>
      <c r="G154" s="11" t="s">
        <v>1771</v>
      </c>
      <c r="H154" s="216">
        <v>100.0</v>
      </c>
      <c r="I154" s="763" t="b">
        <v>0</v>
      </c>
      <c r="J154" s="763" t="b">
        <v>0</v>
      </c>
      <c r="K154" s="763" t="b">
        <v>0</v>
      </c>
      <c r="L154" s="763" t="b">
        <v>0</v>
      </c>
      <c r="M154" s="763" t="b">
        <v>0</v>
      </c>
      <c r="N154" s="763" t="b">
        <v>0</v>
      </c>
      <c r="O154" s="763" t="b">
        <v>0</v>
      </c>
      <c r="P154" s="763" t="b">
        <v>0</v>
      </c>
      <c r="Q154" s="763" t="b">
        <v>0</v>
      </c>
      <c r="R154" s="763" t="b">
        <v>0</v>
      </c>
      <c r="S154" s="763" t="b">
        <v>0</v>
      </c>
      <c r="T154" s="763" t="b">
        <v>0</v>
      </c>
      <c r="U154" s="763" t="b">
        <v>0</v>
      </c>
      <c r="V154" s="763" t="b">
        <v>0</v>
      </c>
      <c r="W154" s="763" t="b">
        <v>0</v>
      </c>
      <c r="X154" s="216">
        <v>1.0</v>
      </c>
      <c r="Y154" s="11">
        <f t="shared" si="5"/>
        <v>100</v>
      </c>
      <c r="Z154" s="11" t="s">
        <v>178</v>
      </c>
      <c r="AA154" s="93"/>
      <c r="AB154" s="93" t="s">
        <v>2078</v>
      </c>
      <c r="AC154" s="93" t="s">
        <v>1950</v>
      </c>
      <c r="AD154" s="217" t="s">
        <v>675</v>
      </c>
      <c r="AE154" s="11" t="str">
        <f t="shared" si="11"/>
        <v/>
      </c>
      <c r="AF154" s="78" t="s">
        <v>1688</v>
      </c>
      <c r="AG154" s="74"/>
      <c r="AH154" s="75"/>
      <c r="AI154" s="12"/>
      <c r="AJ154" s="11"/>
      <c r="AK154" s="12">
        <v>1.0</v>
      </c>
    </row>
    <row r="155" ht="40.5" customHeight="1">
      <c r="A155" s="11">
        <v>154.0</v>
      </c>
      <c r="B155" s="11" t="s">
        <v>173</v>
      </c>
      <c r="C155" s="239" t="s">
        <v>733</v>
      </c>
      <c r="D155" s="240" t="s">
        <v>734</v>
      </c>
      <c r="E155" s="215" t="s">
        <v>489</v>
      </c>
      <c r="F155" s="216">
        <v>100.0</v>
      </c>
      <c r="G155" s="11" t="s">
        <v>1771</v>
      </c>
      <c r="H155" s="216">
        <v>100.0</v>
      </c>
      <c r="I155" s="763" t="b">
        <v>0</v>
      </c>
      <c r="J155" s="763" t="b">
        <v>0</v>
      </c>
      <c r="K155" s="763" t="b">
        <v>0</v>
      </c>
      <c r="L155" s="763" t="b">
        <v>0</v>
      </c>
      <c r="M155" s="763" t="b">
        <v>0</v>
      </c>
      <c r="N155" s="763" t="b">
        <v>0</v>
      </c>
      <c r="O155" s="763" t="b">
        <v>0</v>
      </c>
      <c r="P155" s="763" t="b">
        <v>0</v>
      </c>
      <c r="Q155" s="763" t="b">
        <v>0</v>
      </c>
      <c r="R155" s="763" t="b">
        <v>0</v>
      </c>
      <c r="S155" s="763" t="b">
        <v>0</v>
      </c>
      <c r="T155" s="763" t="b">
        <v>0</v>
      </c>
      <c r="U155" s="763" t="b">
        <v>0</v>
      </c>
      <c r="V155" s="763" t="b">
        <v>0</v>
      </c>
      <c r="W155" s="763" t="b">
        <v>0</v>
      </c>
      <c r="X155" s="216">
        <v>1.0</v>
      </c>
      <c r="Y155" s="11">
        <f t="shared" si="5"/>
        <v>100</v>
      </c>
      <c r="Z155" s="11" t="s">
        <v>178</v>
      </c>
      <c r="AA155" s="93"/>
      <c r="AB155" s="93" t="s">
        <v>2078</v>
      </c>
      <c r="AC155" s="93" t="s">
        <v>1950</v>
      </c>
      <c r="AD155" s="217" t="s">
        <v>679</v>
      </c>
      <c r="AE155" s="11" t="str">
        <f t="shared" si="11"/>
        <v/>
      </c>
      <c r="AF155" s="78" t="s">
        <v>1688</v>
      </c>
      <c r="AG155" s="74"/>
      <c r="AH155" s="75"/>
      <c r="AI155" s="12"/>
      <c r="AJ155" s="11"/>
      <c r="AK155" s="12">
        <v>1.0</v>
      </c>
    </row>
    <row r="156" ht="40.5" customHeight="1">
      <c r="A156" s="11">
        <v>155.0</v>
      </c>
      <c r="B156" s="11" t="s">
        <v>173</v>
      </c>
      <c r="C156" s="239" t="s">
        <v>817</v>
      </c>
      <c r="D156" s="240" t="s">
        <v>1779</v>
      </c>
      <c r="E156" s="215" t="s">
        <v>489</v>
      </c>
      <c r="F156" s="216">
        <v>100.0</v>
      </c>
      <c r="G156" s="246" t="s">
        <v>1780</v>
      </c>
      <c r="H156" s="216">
        <v>100.0</v>
      </c>
      <c r="I156" s="763" t="b">
        <v>0</v>
      </c>
      <c r="J156" s="763" t="b">
        <v>0</v>
      </c>
      <c r="K156" s="763" t="b">
        <v>0</v>
      </c>
      <c r="L156" s="763" t="b">
        <v>0</v>
      </c>
      <c r="M156" s="763" t="b">
        <v>0</v>
      </c>
      <c r="N156" s="763" t="b">
        <v>0</v>
      </c>
      <c r="O156" s="763" t="b">
        <v>0</v>
      </c>
      <c r="P156" s="763" t="b">
        <v>0</v>
      </c>
      <c r="Q156" s="763" t="b">
        <v>0</v>
      </c>
      <c r="R156" s="763" t="b">
        <v>0</v>
      </c>
      <c r="S156" s="763" t="b">
        <v>0</v>
      </c>
      <c r="T156" s="763" t="b">
        <v>0</v>
      </c>
      <c r="U156" s="763" t="b">
        <v>0</v>
      </c>
      <c r="V156" s="763" t="b">
        <v>0</v>
      </c>
      <c r="W156" s="763" t="b">
        <v>0</v>
      </c>
      <c r="X156" s="216">
        <v>1.0</v>
      </c>
      <c r="Y156" s="11">
        <f t="shared" si="5"/>
        <v>100</v>
      </c>
      <c r="Z156" s="11" t="s">
        <v>178</v>
      </c>
      <c r="AA156" s="93"/>
      <c r="AB156" s="93" t="s">
        <v>2078</v>
      </c>
      <c r="AC156" s="93" t="s">
        <v>1950</v>
      </c>
      <c r="AD156" s="217" t="s">
        <v>683</v>
      </c>
      <c r="AE156" s="11" t="str">
        <f t="shared" si="11"/>
        <v/>
      </c>
      <c r="AF156" s="78" t="s">
        <v>1688</v>
      </c>
      <c r="AG156" s="74"/>
      <c r="AH156" s="75"/>
      <c r="AI156" s="12"/>
      <c r="AJ156" s="11"/>
      <c r="AK156" s="12">
        <v>1.0</v>
      </c>
    </row>
    <row r="157" ht="40.5" customHeight="1">
      <c r="A157" s="11">
        <v>156.0</v>
      </c>
      <c r="B157" s="11" t="s">
        <v>173</v>
      </c>
      <c r="C157" s="239" t="s">
        <v>753</v>
      </c>
      <c r="D157" s="240" t="s">
        <v>754</v>
      </c>
      <c r="E157" s="215" t="s">
        <v>489</v>
      </c>
      <c r="F157" s="216">
        <v>100.0</v>
      </c>
      <c r="G157" s="246" t="s">
        <v>1780</v>
      </c>
      <c r="H157" s="216">
        <v>100.0</v>
      </c>
      <c r="I157" s="763" t="b">
        <v>0</v>
      </c>
      <c r="J157" s="763" t="b">
        <v>0</v>
      </c>
      <c r="K157" s="763" t="b">
        <v>0</v>
      </c>
      <c r="L157" s="763" t="b">
        <v>0</v>
      </c>
      <c r="M157" s="763" t="b">
        <v>0</v>
      </c>
      <c r="N157" s="763" t="b">
        <v>0</v>
      </c>
      <c r="O157" s="763" t="b">
        <v>0</v>
      </c>
      <c r="P157" s="763" t="b">
        <v>0</v>
      </c>
      <c r="Q157" s="763" t="b">
        <v>0</v>
      </c>
      <c r="R157" s="763" t="b">
        <v>0</v>
      </c>
      <c r="S157" s="763" t="b">
        <v>0</v>
      </c>
      <c r="T157" s="763" t="b">
        <v>0</v>
      </c>
      <c r="U157" s="763" t="b">
        <v>0</v>
      </c>
      <c r="V157" s="763" t="b">
        <v>0</v>
      </c>
      <c r="W157" s="763" t="b">
        <v>0</v>
      </c>
      <c r="X157" s="216">
        <v>1.0</v>
      </c>
      <c r="Y157" s="11">
        <f t="shared" si="5"/>
        <v>100</v>
      </c>
      <c r="Z157" s="11" t="s">
        <v>178</v>
      </c>
      <c r="AA157" s="93"/>
      <c r="AB157" s="93" t="s">
        <v>2078</v>
      </c>
      <c r="AC157" s="93" t="s">
        <v>1950</v>
      </c>
      <c r="AD157" s="217" t="s">
        <v>687</v>
      </c>
      <c r="AE157" s="11" t="str">
        <f t="shared" si="11"/>
        <v/>
      </c>
      <c r="AF157" s="78" t="s">
        <v>1688</v>
      </c>
      <c r="AG157" s="74"/>
      <c r="AH157" s="75"/>
      <c r="AI157" s="12"/>
      <c r="AJ157" s="11"/>
      <c r="AK157" s="12">
        <v>1.0</v>
      </c>
    </row>
    <row r="158" ht="40.5" customHeight="1">
      <c r="A158" s="11">
        <v>157.0</v>
      </c>
      <c r="B158" s="11" t="s">
        <v>173</v>
      </c>
      <c r="C158" s="239" t="s">
        <v>773</v>
      </c>
      <c r="D158" s="240" t="s">
        <v>774</v>
      </c>
      <c r="E158" s="215" t="s">
        <v>489</v>
      </c>
      <c r="F158" s="216">
        <v>100.0</v>
      </c>
      <c r="G158" s="246" t="s">
        <v>1785</v>
      </c>
      <c r="H158" s="216">
        <v>100.0</v>
      </c>
      <c r="I158" s="763" t="b">
        <v>0</v>
      </c>
      <c r="J158" s="763" t="b">
        <v>0</v>
      </c>
      <c r="K158" s="763" t="b">
        <v>0</v>
      </c>
      <c r="L158" s="763" t="b">
        <v>0</v>
      </c>
      <c r="M158" s="763" t="b">
        <v>0</v>
      </c>
      <c r="N158" s="763" t="b">
        <v>0</v>
      </c>
      <c r="O158" s="763" t="b">
        <v>0</v>
      </c>
      <c r="P158" s="763" t="b">
        <v>0</v>
      </c>
      <c r="Q158" s="763" t="b">
        <v>0</v>
      </c>
      <c r="R158" s="763" t="b">
        <v>0</v>
      </c>
      <c r="S158" s="763" t="b">
        <v>0</v>
      </c>
      <c r="T158" s="763" t="b">
        <v>0</v>
      </c>
      <c r="U158" s="763" t="b">
        <v>0</v>
      </c>
      <c r="V158" s="763" t="b">
        <v>0</v>
      </c>
      <c r="W158" s="763" t="b">
        <v>0</v>
      </c>
      <c r="X158" s="216">
        <v>1.0</v>
      </c>
      <c r="Y158" s="11">
        <f t="shared" si="5"/>
        <v>100</v>
      </c>
      <c r="Z158" s="11" t="s">
        <v>178</v>
      </c>
      <c r="AA158" s="93"/>
      <c r="AB158" s="93" t="s">
        <v>2078</v>
      </c>
      <c r="AC158" s="93" t="s">
        <v>1950</v>
      </c>
      <c r="AD158" s="217" t="s">
        <v>691</v>
      </c>
      <c r="AE158" s="11" t="str">
        <f t="shared" si="11"/>
        <v/>
      </c>
      <c r="AF158" s="78" t="s">
        <v>1688</v>
      </c>
      <c r="AG158" s="74"/>
      <c r="AH158" s="75"/>
      <c r="AI158" s="12"/>
      <c r="AJ158" s="11"/>
      <c r="AK158" s="12">
        <v>1.0</v>
      </c>
    </row>
    <row r="159" ht="40.5" customHeight="1">
      <c r="A159" s="11">
        <v>158.0</v>
      </c>
      <c r="B159" s="11" t="s">
        <v>173</v>
      </c>
      <c r="C159" s="239" t="s">
        <v>657</v>
      </c>
      <c r="D159" s="240" t="s">
        <v>658</v>
      </c>
      <c r="E159" s="215" t="s">
        <v>489</v>
      </c>
      <c r="F159" s="216">
        <v>100.0</v>
      </c>
      <c r="G159" s="246" t="s">
        <v>1785</v>
      </c>
      <c r="H159" s="216">
        <v>100.0</v>
      </c>
      <c r="I159" s="763" t="b">
        <v>0</v>
      </c>
      <c r="J159" s="763" t="b">
        <v>0</v>
      </c>
      <c r="K159" s="763" t="b">
        <v>0</v>
      </c>
      <c r="L159" s="763" t="b">
        <v>0</v>
      </c>
      <c r="M159" s="763" t="b">
        <v>0</v>
      </c>
      <c r="N159" s="763" t="b">
        <v>0</v>
      </c>
      <c r="O159" s="763" t="b">
        <v>0</v>
      </c>
      <c r="P159" s="763" t="b">
        <v>0</v>
      </c>
      <c r="Q159" s="763" t="b">
        <v>0</v>
      </c>
      <c r="R159" s="763" t="b">
        <v>0</v>
      </c>
      <c r="S159" s="763" t="b">
        <v>0</v>
      </c>
      <c r="T159" s="763" t="b">
        <v>0</v>
      </c>
      <c r="U159" s="763" t="b">
        <v>0</v>
      </c>
      <c r="V159" s="763" t="b">
        <v>0</v>
      </c>
      <c r="W159" s="763" t="b">
        <v>0</v>
      </c>
      <c r="X159" s="216">
        <v>1.0</v>
      </c>
      <c r="Y159" s="11">
        <f t="shared" si="5"/>
        <v>100</v>
      </c>
      <c r="Z159" s="11" t="s">
        <v>178</v>
      </c>
      <c r="AA159" s="93"/>
      <c r="AB159" s="93" t="s">
        <v>2078</v>
      </c>
      <c r="AC159" s="93" t="s">
        <v>1950</v>
      </c>
      <c r="AD159" s="217" t="s">
        <v>695</v>
      </c>
      <c r="AE159" s="11" t="str">
        <f t="shared" si="11"/>
        <v/>
      </c>
      <c r="AF159" s="78" t="s">
        <v>1688</v>
      </c>
      <c r="AG159" s="74"/>
      <c r="AH159" s="75"/>
      <c r="AI159" s="12"/>
      <c r="AJ159" s="11"/>
      <c r="AK159" s="12">
        <v>1.0</v>
      </c>
    </row>
    <row r="160" ht="40.5" customHeight="1">
      <c r="A160" s="11">
        <v>159.0</v>
      </c>
      <c r="B160" s="11" t="s">
        <v>173</v>
      </c>
      <c r="C160" s="239" t="s">
        <v>781</v>
      </c>
      <c r="D160" s="240" t="s">
        <v>1792</v>
      </c>
      <c r="E160" s="215" t="s">
        <v>489</v>
      </c>
      <c r="F160" s="216">
        <v>100.0</v>
      </c>
      <c r="G160" s="246" t="s">
        <v>1793</v>
      </c>
      <c r="H160" s="216">
        <v>100.0</v>
      </c>
      <c r="I160" s="763" t="b">
        <v>0</v>
      </c>
      <c r="J160" s="763" t="b">
        <v>0</v>
      </c>
      <c r="K160" s="763" t="b">
        <v>0</v>
      </c>
      <c r="L160" s="763" t="b">
        <v>0</v>
      </c>
      <c r="M160" s="763" t="b">
        <v>0</v>
      </c>
      <c r="N160" s="763" t="b">
        <v>0</v>
      </c>
      <c r="O160" s="763" t="b">
        <v>0</v>
      </c>
      <c r="P160" s="763" t="b">
        <v>0</v>
      </c>
      <c r="Q160" s="763" t="b">
        <v>0</v>
      </c>
      <c r="R160" s="763" t="b">
        <v>0</v>
      </c>
      <c r="S160" s="763" t="b">
        <v>0</v>
      </c>
      <c r="T160" s="763" t="b">
        <v>0</v>
      </c>
      <c r="U160" s="763" t="b">
        <v>0</v>
      </c>
      <c r="V160" s="763" t="b">
        <v>0</v>
      </c>
      <c r="W160" s="763" t="b">
        <v>0</v>
      </c>
      <c r="X160" s="216">
        <v>1.0</v>
      </c>
      <c r="Y160" s="11">
        <f t="shared" si="5"/>
        <v>100</v>
      </c>
      <c r="Z160" s="11" t="s">
        <v>178</v>
      </c>
      <c r="AA160" s="93"/>
      <c r="AB160" s="93" t="s">
        <v>2078</v>
      </c>
      <c r="AC160" s="93" t="s">
        <v>1950</v>
      </c>
      <c r="AD160" s="217" t="s">
        <v>699</v>
      </c>
      <c r="AE160" s="11" t="str">
        <f t="shared" si="11"/>
        <v/>
      </c>
      <c r="AF160" s="78" t="s">
        <v>1688</v>
      </c>
      <c r="AG160" s="74"/>
      <c r="AH160" s="75"/>
      <c r="AI160" s="5"/>
      <c r="AJ160" s="14"/>
      <c r="AK160" s="12">
        <v>1.0</v>
      </c>
    </row>
    <row r="161" ht="40.5" customHeight="1">
      <c r="A161" s="11">
        <v>160.0</v>
      </c>
      <c r="B161" s="11" t="s">
        <v>173</v>
      </c>
      <c r="C161" s="239" t="s">
        <v>689</v>
      </c>
      <c r="D161" s="240" t="s">
        <v>690</v>
      </c>
      <c r="E161" s="215" t="s">
        <v>489</v>
      </c>
      <c r="F161" s="216">
        <v>100.0</v>
      </c>
      <c r="G161" s="246" t="s">
        <v>1793</v>
      </c>
      <c r="H161" s="216">
        <v>100.0</v>
      </c>
      <c r="I161" s="763" t="b">
        <v>0</v>
      </c>
      <c r="J161" s="763" t="b">
        <v>0</v>
      </c>
      <c r="K161" s="763" t="b">
        <v>0</v>
      </c>
      <c r="L161" s="763" t="b">
        <v>0</v>
      </c>
      <c r="M161" s="763" t="b">
        <v>0</v>
      </c>
      <c r="N161" s="763" t="b">
        <v>0</v>
      </c>
      <c r="O161" s="763" t="b">
        <v>0</v>
      </c>
      <c r="P161" s="763" t="b">
        <v>0</v>
      </c>
      <c r="Q161" s="763" t="b">
        <v>0</v>
      </c>
      <c r="R161" s="763" t="b">
        <v>0</v>
      </c>
      <c r="S161" s="763" t="b">
        <v>0</v>
      </c>
      <c r="T161" s="763" t="b">
        <v>0</v>
      </c>
      <c r="U161" s="763" t="b">
        <v>0</v>
      </c>
      <c r="V161" s="763" t="b">
        <v>0</v>
      </c>
      <c r="W161" s="763" t="b">
        <v>0</v>
      </c>
      <c r="X161" s="216">
        <v>1.0</v>
      </c>
      <c r="Y161" s="11">
        <f t="shared" si="5"/>
        <v>100</v>
      </c>
      <c r="Z161" s="11" t="s">
        <v>178</v>
      </c>
      <c r="AA161" s="93"/>
      <c r="AB161" s="93" t="s">
        <v>2078</v>
      </c>
      <c r="AC161" s="93" t="s">
        <v>1950</v>
      </c>
      <c r="AD161" s="217" t="s">
        <v>703</v>
      </c>
      <c r="AE161" s="11" t="str">
        <f t="shared" si="11"/>
        <v/>
      </c>
      <c r="AF161" s="78" t="s">
        <v>1688</v>
      </c>
      <c r="AG161" s="74"/>
      <c r="AH161" s="75"/>
      <c r="AI161" s="12"/>
      <c r="AJ161" s="11"/>
      <c r="AK161" s="12">
        <v>1.0</v>
      </c>
    </row>
    <row r="162" ht="40.5" customHeight="1">
      <c r="A162" s="11">
        <v>161.0</v>
      </c>
      <c r="B162" s="11" t="s">
        <v>173</v>
      </c>
      <c r="C162" s="239" t="s">
        <v>797</v>
      </c>
      <c r="D162" s="240" t="s">
        <v>1799</v>
      </c>
      <c r="E162" s="215" t="s">
        <v>489</v>
      </c>
      <c r="F162" s="216">
        <v>100.0</v>
      </c>
      <c r="G162" s="246" t="s">
        <v>1800</v>
      </c>
      <c r="H162" s="216">
        <v>100.0</v>
      </c>
      <c r="I162" s="763" t="b">
        <v>0</v>
      </c>
      <c r="J162" s="763" t="b">
        <v>0</v>
      </c>
      <c r="K162" s="763" t="b">
        <v>0</v>
      </c>
      <c r="L162" s="763" t="b">
        <v>0</v>
      </c>
      <c r="M162" s="763" t="b">
        <v>0</v>
      </c>
      <c r="N162" s="763" t="b">
        <v>0</v>
      </c>
      <c r="O162" s="763" t="b">
        <v>0</v>
      </c>
      <c r="P162" s="763" t="b">
        <v>0</v>
      </c>
      <c r="Q162" s="763" t="b">
        <v>0</v>
      </c>
      <c r="R162" s="763" t="b">
        <v>0</v>
      </c>
      <c r="S162" s="763" t="b">
        <v>0</v>
      </c>
      <c r="T162" s="763" t="b">
        <v>0</v>
      </c>
      <c r="U162" s="763" t="b">
        <v>0</v>
      </c>
      <c r="V162" s="763" t="b">
        <v>0</v>
      </c>
      <c r="W162" s="763" t="b">
        <v>0</v>
      </c>
      <c r="X162" s="216">
        <v>1.0</v>
      </c>
      <c r="Y162" s="11">
        <f t="shared" si="5"/>
        <v>100</v>
      </c>
      <c r="Z162" s="11" t="s">
        <v>178</v>
      </c>
      <c r="AA162" s="93"/>
      <c r="AB162" s="93" t="s">
        <v>2078</v>
      </c>
      <c r="AC162" s="93" t="s">
        <v>1950</v>
      </c>
      <c r="AD162" s="217" t="s">
        <v>707</v>
      </c>
      <c r="AE162" s="11" t="str">
        <f t="shared" si="11"/>
        <v/>
      </c>
      <c r="AF162" s="78" t="s">
        <v>1688</v>
      </c>
      <c r="AG162" s="74"/>
      <c r="AH162" s="75"/>
      <c r="AI162" s="12"/>
      <c r="AJ162" s="11"/>
      <c r="AK162" s="12">
        <v>1.0</v>
      </c>
    </row>
    <row r="163" ht="40.5" customHeight="1">
      <c r="A163" s="11">
        <v>162.0</v>
      </c>
      <c r="B163" s="11" t="s">
        <v>173</v>
      </c>
      <c r="C163" s="239" t="s">
        <v>709</v>
      </c>
      <c r="D163" s="240" t="s">
        <v>710</v>
      </c>
      <c r="E163" s="215" t="s">
        <v>489</v>
      </c>
      <c r="F163" s="216">
        <v>100.0</v>
      </c>
      <c r="G163" s="246" t="s">
        <v>1800</v>
      </c>
      <c r="H163" s="216">
        <v>100.0</v>
      </c>
      <c r="I163" s="763" t="b">
        <v>0</v>
      </c>
      <c r="J163" s="763" t="b">
        <v>0</v>
      </c>
      <c r="K163" s="763" t="b">
        <v>0</v>
      </c>
      <c r="L163" s="763" t="b">
        <v>0</v>
      </c>
      <c r="M163" s="763" t="b">
        <v>0</v>
      </c>
      <c r="N163" s="763" t="b">
        <v>0</v>
      </c>
      <c r="O163" s="763" t="b">
        <v>0</v>
      </c>
      <c r="P163" s="763" t="b">
        <v>0</v>
      </c>
      <c r="Q163" s="763" t="b">
        <v>0</v>
      </c>
      <c r="R163" s="763" t="b">
        <v>0</v>
      </c>
      <c r="S163" s="763" t="b">
        <v>0</v>
      </c>
      <c r="T163" s="763" t="b">
        <v>0</v>
      </c>
      <c r="U163" s="763" t="b">
        <v>0</v>
      </c>
      <c r="V163" s="763" t="b">
        <v>0</v>
      </c>
      <c r="W163" s="763" t="b">
        <v>0</v>
      </c>
      <c r="X163" s="216">
        <v>1.0</v>
      </c>
      <c r="Y163" s="11">
        <f t="shared" si="5"/>
        <v>100</v>
      </c>
      <c r="Z163" s="11" t="s">
        <v>178</v>
      </c>
      <c r="AA163" s="93"/>
      <c r="AB163" s="93" t="s">
        <v>2078</v>
      </c>
      <c r="AC163" s="93" t="s">
        <v>1950</v>
      </c>
      <c r="AD163" s="217" t="s">
        <v>711</v>
      </c>
      <c r="AE163" s="11" t="str">
        <f t="shared" si="11"/>
        <v/>
      </c>
      <c r="AF163" s="78" t="s">
        <v>1688</v>
      </c>
      <c r="AG163" s="74"/>
      <c r="AH163" s="75"/>
      <c r="AI163" s="12"/>
      <c r="AJ163" s="11"/>
      <c r="AK163" s="12">
        <v>1.0</v>
      </c>
    </row>
    <row r="164" ht="40.5" customHeight="1">
      <c r="A164" s="11">
        <v>163.0</v>
      </c>
      <c r="B164" s="11" t="s">
        <v>173</v>
      </c>
      <c r="C164" s="239" t="s">
        <v>725</v>
      </c>
      <c r="D164" s="240" t="s">
        <v>726</v>
      </c>
      <c r="E164" s="215" t="s">
        <v>489</v>
      </c>
      <c r="F164" s="216">
        <v>100.0</v>
      </c>
      <c r="G164" s="246" t="s">
        <v>1805</v>
      </c>
      <c r="H164" s="216">
        <v>100.0</v>
      </c>
      <c r="I164" s="763" t="b">
        <v>0</v>
      </c>
      <c r="J164" s="763" t="b">
        <v>0</v>
      </c>
      <c r="K164" s="763" t="b">
        <v>0</v>
      </c>
      <c r="L164" s="763" t="b">
        <v>0</v>
      </c>
      <c r="M164" s="763" t="b">
        <v>0</v>
      </c>
      <c r="N164" s="763" t="b">
        <v>0</v>
      </c>
      <c r="O164" s="763" t="b">
        <v>0</v>
      </c>
      <c r="P164" s="763" t="b">
        <v>0</v>
      </c>
      <c r="Q164" s="763" t="b">
        <v>0</v>
      </c>
      <c r="R164" s="763" t="b">
        <v>0</v>
      </c>
      <c r="S164" s="763" t="b">
        <v>0</v>
      </c>
      <c r="T164" s="763" t="b">
        <v>0</v>
      </c>
      <c r="U164" s="763" t="b">
        <v>0</v>
      </c>
      <c r="V164" s="763" t="b">
        <v>0</v>
      </c>
      <c r="W164" s="763" t="b">
        <v>0</v>
      </c>
      <c r="X164" s="216">
        <v>1.0</v>
      </c>
      <c r="Y164" s="11">
        <f t="shared" si="5"/>
        <v>100</v>
      </c>
      <c r="Z164" s="11" t="s">
        <v>178</v>
      </c>
      <c r="AA164" s="93"/>
      <c r="AB164" s="93" t="s">
        <v>2078</v>
      </c>
      <c r="AC164" s="93" t="s">
        <v>1950</v>
      </c>
      <c r="AD164" s="217" t="s">
        <v>715</v>
      </c>
      <c r="AE164" s="11" t="str">
        <f t="shared" si="11"/>
        <v/>
      </c>
      <c r="AF164" s="78" t="s">
        <v>1688</v>
      </c>
      <c r="AG164" s="74"/>
      <c r="AH164" s="75"/>
      <c r="AI164" s="12"/>
      <c r="AJ164" s="11"/>
      <c r="AK164" s="12">
        <v>1.0</v>
      </c>
    </row>
    <row r="165" ht="40.5" customHeight="1">
      <c r="A165" s="11">
        <v>164.0</v>
      </c>
      <c r="B165" s="11" t="s">
        <v>173</v>
      </c>
      <c r="C165" s="239" t="s">
        <v>809</v>
      </c>
      <c r="D165" s="240" t="s">
        <v>1808</v>
      </c>
      <c r="E165" s="215" t="s">
        <v>489</v>
      </c>
      <c r="F165" s="216">
        <v>100.0</v>
      </c>
      <c r="G165" s="246" t="s">
        <v>1805</v>
      </c>
      <c r="H165" s="216">
        <v>100.0</v>
      </c>
      <c r="I165" s="763" t="b">
        <v>0</v>
      </c>
      <c r="J165" s="763" t="b">
        <v>0</v>
      </c>
      <c r="K165" s="763" t="b">
        <v>0</v>
      </c>
      <c r="L165" s="763" t="b">
        <v>0</v>
      </c>
      <c r="M165" s="763" t="b">
        <v>0</v>
      </c>
      <c r="N165" s="763" t="b">
        <v>0</v>
      </c>
      <c r="O165" s="763" t="b">
        <v>0</v>
      </c>
      <c r="P165" s="763" t="b">
        <v>0</v>
      </c>
      <c r="Q165" s="763" t="b">
        <v>0</v>
      </c>
      <c r="R165" s="763" t="b">
        <v>0</v>
      </c>
      <c r="S165" s="763" t="b">
        <v>0</v>
      </c>
      <c r="T165" s="763" t="b">
        <v>0</v>
      </c>
      <c r="U165" s="763" t="b">
        <v>0</v>
      </c>
      <c r="V165" s="763" t="b">
        <v>0</v>
      </c>
      <c r="W165" s="763" t="b">
        <v>0</v>
      </c>
      <c r="X165" s="216">
        <v>1.0</v>
      </c>
      <c r="Y165" s="11">
        <f t="shared" si="5"/>
        <v>100</v>
      </c>
      <c r="Z165" s="11" t="s">
        <v>178</v>
      </c>
      <c r="AA165" s="93"/>
      <c r="AB165" s="93" t="s">
        <v>2078</v>
      </c>
      <c r="AC165" s="93" t="s">
        <v>1950</v>
      </c>
      <c r="AD165" s="217" t="s">
        <v>719</v>
      </c>
      <c r="AE165" s="11" t="str">
        <f t="shared" si="11"/>
        <v/>
      </c>
      <c r="AF165" s="78" t="s">
        <v>1688</v>
      </c>
      <c r="AG165" s="74"/>
      <c r="AH165" s="75"/>
      <c r="AI165" s="12"/>
      <c r="AJ165" s="11"/>
      <c r="AK165" s="12">
        <v>1.0</v>
      </c>
    </row>
    <row r="166" ht="40.5" customHeight="1">
      <c r="A166" s="11">
        <v>165.0</v>
      </c>
      <c r="B166" s="11" t="s">
        <v>173</v>
      </c>
      <c r="C166" s="239" t="s">
        <v>745</v>
      </c>
      <c r="D166" s="240" t="s">
        <v>746</v>
      </c>
      <c r="E166" s="215" t="s">
        <v>489</v>
      </c>
      <c r="F166" s="216">
        <v>100.0</v>
      </c>
      <c r="G166" s="246" t="s">
        <v>1810</v>
      </c>
      <c r="H166" s="216">
        <v>100.0</v>
      </c>
      <c r="I166" s="763" t="b">
        <v>0</v>
      </c>
      <c r="J166" s="763" t="b">
        <v>0</v>
      </c>
      <c r="K166" s="763" t="b">
        <v>0</v>
      </c>
      <c r="L166" s="763" t="b">
        <v>0</v>
      </c>
      <c r="M166" s="763" t="b">
        <v>0</v>
      </c>
      <c r="N166" s="763" t="b">
        <v>0</v>
      </c>
      <c r="O166" s="763" t="b">
        <v>0</v>
      </c>
      <c r="P166" s="763" t="b">
        <v>0</v>
      </c>
      <c r="Q166" s="763" t="b">
        <v>0</v>
      </c>
      <c r="R166" s="763" t="b">
        <v>0</v>
      </c>
      <c r="S166" s="763" t="b">
        <v>0</v>
      </c>
      <c r="T166" s="763" t="b">
        <v>0</v>
      </c>
      <c r="U166" s="763" t="b">
        <v>0</v>
      </c>
      <c r="V166" s="763" t="b">
        <v>0</v>
      </c>
      <c r="W166" s="763" t="b">
        <v>0</v>
      </c>
      <c r="X166" s="216">
        <v>1.0</v>
      </c>
      <c r="Y166" s="11">
        <f t="shared" si="5"/>
        <v>100</v>
      </c>
      <c r="Z166" s="11" t="s">
        <v>178</v>
      </c>
      <c r="AA166" s="93"/>
      <c r="AB166" s="93" t="s">
        <v>2078</v>
      </c>
      <c r="AC166" s="93" t="s">
        <v>1950</v>
      </c>
      <c r="AD166" s="217" t="s">
        <v>723</v>
      </c>
      <c r="AE166" s="11" t="str">
        <f t="shared" si="11"/>
        <v/>
      </c>
      <c r="AF166" s="78" t="s">
        <v>1688</v>
      </c>
      <c r="AG166" s="74"/>
      <c r="AH166" s="75"/>
      <c r="AI166" s="12"/>
      <c r="AJ166" s="11"/>
      <c r="AK166" s="12">
        <v>1.0</v>
      </c>
    </row>
    <row r="167" ht="40.5" customHeight="1">
      <c r="A167" s="11">
        <v>166.0</v>
      </c>
      <c r="B167" s="11" t="s">
        <v>173</v>
      </c>
      <c r="C167" s="239" t="s">
        <v>765</v>
      </c>
      <c r="D167" s="240" t="s">
        <v>766</v>
      </c>
      <c r="E167" s="215" t="s">
        <v>489</v>
      </c>
      <c r="F167" s="216">
        <v>100.0</v>
      </c>
      <c r="G167" s="246" t="s">
        <v>1810</v>
      </c>
      <c r="H167" s="216">
        <v>100.0</v>
      </c>
      <c r="I167" s="763" t="b">
        <v>0</v>
      </c>
      <c r="J167" s="763" t="b">
        <v>0</v>
      </c>
      <c r="K167" s="763" t="b">
        <v>0</v>
      </c>
      <c r="L167" s="763" t="b">
        <v>0</v>
      </c>
      <c r="M167" s="763" t="b">
        <v>0</v>
      </c>
      <c r="N167" s="763" t="b">
        <v>0</v>
      </c>
      <c r="O167" s="763" t="b">
        <v>0</v>
      </c>
      <c r="P167" s="763" t="b">
        <v>0</v>
      </c>
      <c r="Q167" s="763" t="b">
        <v>0</v>
      </c>
      <c r="R167" s="763" t="b">
        <v>0</v>
      </c>
      <c r="S167" s="763" t="b">
        <v>0</v>
      </c>
      <c r="T167" s="763" t="b">
        <v>0</v>
      </c>
      <c r="U167" s="763" t="b">
        <v>0</v>
      </c>
      <c r="V167" s="763" t="b">
        <v>0</v>
      </c>
      <c r="W167" s="763" t="b">
        <v>0</v>
      </c>
      <c r="X167" s="216">
        <v>1.0</v>
      </c>
      <c r="Y167" s="11">
        <f t="shared" si="5"/>
        <v>100</v>
      </c>
      <c r="Z167" s="11" t="s">
        <v>178</v>
      </c>
      <c r="AA167" s="93"/>
      <c r="AB167" s="93" t="s">
        <v>2078</v>
      </c>
      <c r="AC167" s="93" t="s">
        <v>1950</v>
      </c>
      <c r="AD167" s="217" t="s">
        <v>727</v>
      </c>
      <c r="AE167" s="11" t="str">
        <f t="shared" si="11"/>
        <v/>
      </c>
      <c r="AF167" s="78" t="s">
        <v>1688</v>
      </c>
      <c r="AG167" s="74"/>
      <c r="AH167" s="75"/>
      <c r="AI167" s="12"/>
      <c r="AJ167" s="11"/>
      <c r="AK167" s="12">
        <v>1.0</v>
      </c>
    </row>
    <row r="168" ht="40.5" customHeight="1">
      <c r="A168" s="11">
        <v>167.0</v>
      </c>
      <c r="B168" s="11" t="s">
        <v>173</v>
      </c>
      <c r="C168" s="239" t="s">
        <v>677</v>
      </c>
      <c r="D168" s="240" t="s">
        <v>678</v>
      </c>
      <c r="E168" s="215" t="s">
        <v>489</v>
      </c>
      <c r="F168" s="216">
        <v>100.0</v>
      </c>
      <c r="G168" s="246" t="s">
        <v>1816</v>
      </c>
      <c r="H168" s="216">
        <v>100.0</v>
      </c>
      <c r="I168" s="763" t="b">
        <v>0</v>
      </c>
      <c r="J168" s="763" t="b">
        <v>0</v>
      </c>
      <c r="K168" s="763" t="b">
        <v>0</v>
      </c>
      <c r="L168" s="763" t="b">
        <v>0</v>
      </c>
      <c r="M168" s="763" t="b">
        <v>0</v>
      </c>
      <c r="N168" s="763" t="b">
        <v>0</v>
      </c>
      <c r="O168" s="763" t="b">
        <v>0</v>
      </c>
      <c r="P168" s="763" t="b">
        <v>0</v>
      </c>
      <c r="Q168" s="763" t="b">
        <v>0</v>
      </c>
      <c r="R168" s="763" t="b">
        <v>0</v>
      </c>
      <c r="S168" s="763" t="b">
        <v>0</v>
      </c>
      <c r="T168" s="763" t="b">
        <v>0</v>
      </c>
      <c r="U168" s="763" t="b">
        <v>0</v>
      </c>
      <c r="V168" s="763" t="b">
        <v>0</v>
      </c>
      <c r="W168" s="763" t="b">
        <v>0</v>
      </c>
      <c r="X168" s="216">
        <v>1.0</v>
      </c>
      <c r="Y168" s="11">
        <f t="shared" si="5"/>
        <v>100</v>
      </c>
      <c r="Z168" s="11" t="s">
        <v>178</v>
      </c>
      <c r="AA168" s="93"/>
      <c r="AB168" s="93" t="s">
        <v>2078</v>
      </c>
      <c r="AC168" s="93" t="s">
        <v>1950</v>
      </c>
      <c r="AD168" s="217" t="s">
        <v>731</v>
      </c>
      <c r="AE168" s="11" t="str">
        <f t="shared" si="11"/>
        <v/>
      </c>
      <c r="AF168" s="78" t="s">
        <v>1688</v>
      </c>
      <c r="AG168" s="74"/>
      <c r="AH168" s="75"/>
      <c r="AI168" s="12"/>
      <c r="AJ168" s="11"/>
      <c r="AK168" s="12">
        <v>1.0</v>
      </c>
    </row>
    <row r="169" ht="40.5" customHeight="1">
      <c r="A169" s="11">
        <v>168.0</v>
      </c>
      <c r="B169" s="11" t="s">
        <v>173</v>
      </c>
      <c r="C169" s="239" t="s">
        <v>685</v>
      </c>
      <c r="D169" s="240" t="s">
        <v>686</v>
      </c>
      <c r="E169" s="215" t="s">
        <v>489</v>
      </c>
      <c r="F169" s="216">
        <v>100.0</v>
      </c>
      <c r="G169" s="246" t="s">
        <v>1816</v>
      </c>
      <c r="H169" s="216">
        <v>100.0</v>
      </c>
      <c r="I169" s="763" t="b">
        <v>0</v>
      </c>
      <c r="J169" s="763" t="b">
        <v>0</v>
      </c>
      <c r="K169" s="763" t="b">
        <v>0</v>
      </c>
      <c r="L169" s="763" t="b">
        <v>0</v>
      </c>
      <c r="M169" s="763" t="b">
        <v>0</v>
      </c>
      <c r="N169" s="763" t="b">
        <v>0</v>
      </c>
      <c r="O169" s="763" t="b">
        <v>0</v>
      </c>
      <c r="P169" s="763" t="b">
        <v>0</v>
      </c>
      <c r="Q169" s="763" t="b">
        <v>0</v>
      </c>
      <c r="R169" s="763" t="b">
        <v>0</v>
      </c>
      <c r="S169" s="763" t="b">
        <v>0</v>
      </c>
      <c r="T169" s="763" t="b">
        <v>0</v>
      </c>
      <c r="U169" s="763" t="b">
        <v>0</v>
      </c>
      <c r="V169" s="763" t="b">
        <v>0</v>
      </c>
      <c r="W169" s="763" t="b">
        <v>0</v>
      </c>
      <c r="X169" s="216">
        <v>1.0</v>
      </c>
      <c r="Y169" s="11">
        <f t="shared" si="5"/>
        <v>100</v>
      </c>
      <c r="Z169" s="11" t="s">
        <v>178</v>
      </c>
      <c r="AA169" s="93"/>
      <c r="AB169" s="93" t="s">
        <v>2078</v>
      </c>
      <c r="AC169" s="93" t="s">
        <v>1950</v>
      </c>
      <c r="AD169" s="217" t="s">
        <v>735</v>
      </c>
      <c r="AE169" s="11" t="str">
        <f t="shared" si="11"/>
        <v/>
      </c>
      <c r="AF169" s="78" t="s">
        <v>1688</v>
      </c>
      <c r="AG169" s="74"/>
      <c r="AH169" s="75"/>
      <c r="AI169" s="5"/>
      <c r="AJ169" s="14"/>
      <c r="AK169" s="12">
        <v>1.0</v>
      </c>
    </row>
    <row r="170" ht="40.5" customHeight="1">
      <c r="A170" s="11">
        <v>169.0</v>
      </c>
      <c r="B170" s="11" t="s">
        <v>173</v>
      </c>
      <c r="C170" s="239" t="s">
        <v>741</v>
      </c>
      <c r="D170" s="240" t="s">
        <v>742</v>
      </c>
      <c r="E170" s="215" t="s">
        <v>489</v>
      </c>
      <c r="F170" s="216">
        <v>100.0</v>
      </c>
      <c r="G170" s="246" t="s">
        <v>1821</v>
      </c>
      <c r="H170" s="216">
        <v>100.0</v>
      </c>
      <c r="I170" s="763" t="b">
        <v>0</v>
      </c>
      <c r="J170" s="763" t="b">
        <v>0</v>
      </c>
      <c r="K170" s="763" t="b">
        <v>0</v>
      </c>
      <c r="L170" s="763" t="b">
        <v>0</v>
      </c>
      <c r="M170" s="763" t="b">
        <v>0</v>
      </c>
      <c r="N170" s="763" t="b">
        <v>0</v>
      </c>
      <c r="O170" s="763" t="b">
        <v>0</v>
      </c>
      <c r="P170" s="763" t="b">
        <v>0</v>
      </c>
      <c r="Q170" s="763" t="b">
        <v>0</v>
      </c>
      <c r="R170" s="763" t="b">
        <v>0</v>
      </c>
      <c r="S170" s="763" t="b">
        <v>0</v>
      </c>
      <c r="T170" s="763" t="b">
        <v>0</v>
      </c>
      <c r="U170" s="763" t="b">
        <v>0</v>
      </c>
      <c r="V170" s="763" t="b">
        <v>0</v>
      </c>
      <c r="W170" s="763" t="b">
        <v>0</v>
      </c>
      <c r="X170" s="216">
        <v>1.0</v>
      </c>
      <c r="Y170" s="11">
        <f t="shared" si="5"/>
        <v>100</v>
      </c>
      <c r="Z170" s="11" t="s">
        <v>178</v>
      </c>
      <c r="AA170" s="93"/>
      <c r="AB170" s="93" t="s">
        <v>2078</v>
      </c>
      <c r="AC170" s="93" t="s">
        <v>1950</v>
      </c>
      <c r="AD170" s="217" t="s">
        <v>739</v>
      </c>
      <c r="AE170" s="11" t="str">
        <f t="shared" si="11"/>
        <v/>
      </c>
      <c r="AF170" s="78" t="s">
        <v>1688</v>
      </c>
      <c r="AG170" s="74"/>
      <c r="AH170" s="75"/>
      <c r="AI170" s="12"/>
      <c r="AJ170" s="11"/>
      <c r="AK170" s="12">
        <v>1.0</v>
      </c>
    </row>
    <row r="171" ht="40.5" customHeight="1">
      <c r="A171" s="11">
        <v>170.0</v>
      </c>
      <c r="B171" s="11" t="s">
        <v>173</v>
      </c>
      <c r="C171" s="239" t="s">
        <v>665</v>
      </c>
      <c r="D171" s="240" t="s">
        <v>666</v>
      </c>
      <c r="E171" s="215" t="s">
        <v>489</v>
      </c>
      <c r="F171" s="216">
        <v>100.0</v>
      </c>
      <c r="G171" s="246" t="s">
        <v>1821</v>
      </c>
      <c r="H171" s="216">
        <v>100.0</v>
      </c>
      <c r="I171" s="763" t="b">
        <v>0</v>
      </c>
      <c r="J171" s="763" t="b">
        <v>0</v>
      </c>
      <c r="K171" s="763" t="b">
        <v>0</v>
      </c>
      <c r="L171" s="763" t="b">
        <v>0</v>
      </c>
      <c r="M171" s="763" t="b">
        <v>0</v>
      </c>
      <c r="N171" s="763" t="b">
        <v>0</v>
      </c>
      <c r="O171" s="763" t="b">
        <v>0</v>
      </c>
      <c r="P171" s="763" t="b">
        <v>0</v>
      </c>
      <c r="Q171" s="763" t="b">
        <v>0</v>
      </c>
      <c r="R171" s="763" t="b">
        <v>0</v>
      </c>
      <c r="S171" s="763" t="b">
        <v>0</v>
      </c>
      <c r="T171" s="763" t="b">
        <v>0</v>
      </c>
      <c r="U171" s="763" t="b">
        <v>0</v>
      </c>
      <c r="V171" s="763" t="b">
        <v>0</v>
      </c>
      <c r="W171" s="763" t="b">
        <v>0</v>
      </c>
      <c r="X171" s="216">
        <v>1.0</v>
      </c>
      <c r="Y171" s="11">
        <f t="shared" si="5"/>
        <v>100</v>
      </c>
      <c r="Z171" s="11" t="s">
        <v>178</v>
      </c>
      <c r="AA171" s="93"/>
      <c r="AB171" s="93" t="s">
        <v>2078</v>
      </c>
      <c r="AC171" s="93" t="s">
        <v>1950</v>
      </c>
      <c r="AD171" s="217" t="s">
        <v>743</v>
      </c>
      <c r="AE171" s="11" t="str">
        <f t="shared" si="11"/>
        <v/>
      </c>
      <c r="AF171" s="78" t="s">
        <v>1688</v>
      </c>
      <c r="AG171" s="74"/>
      <c r="AH171" s="75"/>
      <c r="AI171" s="12"/>
      <c r="AJ171" s="11"/>
      <c r="AK171" s="12">
        <v>1.0</v>
      </c>
    </row>
    <row r="172" ht="40.5" customHeight="1">
      <c r="A172" s="11">
        <v>171.0</v>
      </c>
      <c r="B172" s="11" t="s">
        <v>173</v>
      </c>
      <c r="C172" s="239" t="s">
        <v>793</v>
      </c>
      <c r="D172" s="240" t="s">
        <v>794</v>
      </c>
      <c r="E172" s="215" t="s">
        <v>489</v>
      </c>
      <c r="F172" s="216">
        <v>100.0</v>
      </c>
      <c r="G172" s="246" t="s">
        <v>1825</v>
      </c>
      <c r="H172" s="216">
        <v>100.0</v>
      </c>
      <c r="I172" s="763" t="b">
        <v>0</v>
      </c>
      <c r="J172" s="763" t="b">
        <v>0</v>
      </c>
      <c r="K172" s="763" t="b">
        <v>0</v>
      </c>
      <c r="L172" s="763" t="b">
        <v>0</v>
      </c>
      <c r="M172" s="763" t="b">
        <v>0</v>
      </c>
      <c r="N172" s="763" t="b">
        <v>0</v>
      </c>
      <c r="O172" s="763" t="b">
        <v>0</v>
      </c>
      <c r="P172" s="763" t="b">
        <v>0</v>
      </c>
      <c r="Q172" s="763" t="b">
        <v>0</v>
      </c>
      <c r="R172" s="763" t="b">
        <v>0</v>
      </c>
      <c r="S172" s="763" t="b">
        <v>0</v>
      </c>
      <c r="T172" s="763" t="b">
        <v>0</v>
      </c>
      <c r="U172" s="763" t="b">
        <v>0</v>
      </c>
      <c r="V172" s="763" t="b">
        <v>0</v>
      </c>
      <c r="W172" s="763" t="b">
        <v>0</v>
      </c>
      <c r="X172" s="216">
        <v>1.0</v>
      </c>
      <c r="Y172" s="11">
        <f t="shared" si="5"/>
        <v>100</v>
      </c>
      <c r="Z172" s="11" t="s">
        <v>178</v>
      </c>
      <c r="AA172" s="93"/>
      <c r="AB172" s="93" t="s">
        <v>2078</v>
      </c>
      <c r="AC172" s="93" t="s">
        <v>1950</v>
      </c>
      <c r="AD172" s="217" t="s">
        <v>747</v>
      </c>
      <c r="AE172" s="11" t="str">
        <f t="shared" si="11"/>
        <v/>
      </c>
      <c r="AF172" s="78" t="s">
        <v>1688</v>
      </c>
      <c r="AG172" s="74"/>
      <c r="AH172" s="75"/>
      <c r="AI172" s="12"/>
      <c r="AJ172" s="11"/>
      <c r="AK172" s="12">
        <v>1.0</v>
      </c>
    </row>
    <row r="173" ht="40.5" customHeight="1">
      <c r="A173" s="11">
        <v>172.0</v>
      </c>
      <c r="B173" s="11" t="s">
        <v>173</v>
      </c>
      <c r="C173" s="239" t="s">
        <v>701</v>
      </c>
      <c r="D173" s="240" t="s">
        <v>702</v>
      </c>
      <c r="E173" s="215" t="s">
        <v>489</v>
      </c>
      <c r="F173" s="216">
        <v>100.0</v>
      </c>
      <c r="G173" s="246" t="s">
        <v>1825</v>
      </c>
      <c r="H173" s="216">
        <v>100.0</v>
      </c>
      <c r="I173" s="763" t="b">
        <v>0</v>
      </c>
      <c r="J173" s="763" t="b">
        <v>0</v>
      </c>
      <c r="K173" s="763" t="b">
        <v>0</v>
      </c>
      <c r="L173" s="763" t="b">
        <v>0</v>
      </c>
      <c r="M173" s="763" t="b">
        <v>0</v>
      </c>
      <c r="N173" s="763" t="b">
        <v>0</v>
      </c>
      <c r="O173" s="763" t="b">
        <v>0</v>
      </c>
      <c r="P173" s="763" t="b">
        <v>0</v>
      </c>
      <c r="Q173" s="763" t="b">
        <v>0</v>
      </c>
      <c r="R173" s="763" t="b">
        <v>0</v>
      </c>
      <c r="S173" s="763" t="b">
        <v>0</v>
      </c>
      <c r="T173" s="763" t="b">
        <v>0</v>
      </c>
      <c r="U173" s="763" t="b">
        <v>0</v>
      </c>
      <c r="V173" s="763" t="b">
        <v>0</v>
      </c>
      <c r="W173" s="763" t="b">
        <v>0</v>
      </c>
      <c r="X173" s="216">
        <v>1.0</v>
      </c>
      <c r="Y173" s="11">
        <f t="shared" si="5"/>
        <v>100</v>
      </c>
      <c r="Z173" s="11" t="s">
        <v>178</v>
      </c>
      <c r="AA173" s="93"/>
      <c r="AB173" s="93" t="s">
        <v>2078</v>
      </c>
      <c r="AC173" s="93" t="s">
        <v>1950</v>
      </c>
      <c r="AD173" s="217" t="s">
        <v>751</v>
      </c>
      <c r="AE173" s="11" t="str">
        <f t="shared" si="11"/>
        <v/>
      </c>
      <c r="AF173" s="78" t="s">
        <v>1688</v>
      </c>
      <c r="AG173" s="74"/>
      <c r="AH173" s="75"/>
      <c r="AI173" s="12"/>
      <c r="AJ173" s="11"/>
      <c r="AK173" s="12">
        <v>1.0</v>
      </c>
    </row>
    <row r="174" ht="40.5" customHeight="1">
      <c r="A174" s="11">
        <v>173.0</v>
      </c>
      <c r="B174" s="11" t="s">
        <v>173</v>
      </c>
      <c r="C174" s="239" t="s">
        <v>805</v>
      </c>
      <c r="D174" s="240" t="s">
        <v>806</v>
      </c>
      <c r="E174" s="215" t="s">
        <v>489</v>
      </c>
      <c r="F174" s="216">
        <v>100.0</v>
      </c>
      <c r="G174" s="246" t="s">
        <v>1827</v>
      </c>
      <c r="H174" s="216">
        <v>100.0</v>
      </c>
      <c r="I174" s="763" t="b">
        <v>0</v>
      </c>
      <c r="J174" s="763" t="b">
        <v>0</v>
      </c>
      <c r="K174" s="763" t="b">
        <v>0</v>
      </c>
      <c r="L174" s="763" t="b">
        <v>0</v>
      </c>
      <c r="M174" s="763" t="b">
        <v>0</v>
      </c>
      <c r="N174" s="763" t="b">
        <v>0</v>
      </c>
      <c r="O174" s="763" t="b">
        <v>0</v>
      </c>
      <c r="P174" s="763" t="b">
        <v>0</v>
      </c>
      <c r="Q174" s="763" t="b">
        <v>0</v>
      </c>
      <c r="R174" s="763" t="b">
        <v>0</v>
      </c>
      <c r="S174" s="763" t="b">
        <v>0</v>
      </c>
      <c r="T174" s="763" t="b">
        <v>0</v>
      </c>
      <c r="U174" s="763" t="b">
        <v>0</v>
      </c>
      <c r="V174" s="763" t="b">
        <v>0</v>
      </c>
      <c r="W174" s="763" t="b">
        <v>0</v>
      </c>
      <c r="X174" s="216">
        <v>1.0</v>
      </c>
      <c r="Y174" s="11">
        <f t="shared" si="5"/>
        <v>100</v>
      </c>
      <c r="Z174" s="11" t="s">
        <v>178</v>
      </c>
      <c r="AA174" s="93"/>
      <c r="AB174" s="93" t="s">
        <v>2078</v>
      </c>
      <c r="AC174" s="93" t="s">
        <v>1950</v>
      </c>
      <c r="AD174" s="217" t="s">
        <v>755</v>
      </c>
      <c r="AE174" s="11" t="str">
        <f t="shared" si="11"/>
        <v/>
      </c>
      <c r="AF174" s="78" t="s">
        <v>1688</v>
      </c>
      <c r="AG174" s="74"/>
      <c r="AH174" s="75"/>
      <c r="AI174" s="12"/>
      <c r="AJ174" s="11"/>
      <c r="AK174" s="12">
        <v>1.0</v>
      </c>
    </row>
    <row r="175" ht="40.5" customHeight="1">
      <c r="A175" s="11">
        <v>174.0</v>
      </c>
      <c r="B175" s="11" t="s">
        <v>173</v>
      </c>
      <c r="C175" s="239" t="s">
        <v>721</v>
      </c>
      <c r="D175" s="240" t="s">
        <v>722</v>
      </c>
      <c r="E175" s="215" t="s">
        <v>489</v>
      </c>
      <c r="F175" s="216">
        <v>100.0</v>
      </c>
      <c r="G175" s="246" t="s">
        <v>1827</v>
      </c>
      <c r="H175" s="216">
        <v>100.0</v>
      </c>
      <c r="I175" s="763" t="b">
        <v>0</v>
      </c>
      <c r="J175" s="763" t="b">
        <v>0</v>
      </c>
      <c r="K175" s="763" t="b">
        <v>0</v>
      </c>
      <c r="L175" s="763" t="b">
        <v>0</v>
      </c>
      <c r="M175" s="763" t="b">
        <v>0</v>
      </c>
      <c r="N175" s="763" t="b">
        <v>0</v>
      </c>
      <c r="O175" s="763" t="b">
        <v>0</v>
      </c>
      <c r="P175" s="763" t="b">
        <v>0</v>
      </c>
      <c r="Q175" s="763" t="b">
        <v>0</v>
      </c>
      <c r="R175" s="763" t="b">
        <v>0</v>
      </c>
      <c r="S175" s="763" t="b">
        <v>0</v>
      </c>
      <c r="T175" s="763" t="b">
        <v>0</v>
      </c>
      <c r="U175" s="763" t="b">
        <v>0</v>
      </c>
      <c r="V175" s="763" t="b">
        <v>0</v>
      </c>
      <c r="W175" s="763" t="b">
        <v>0</v>
      </c>
      <c r="X175" s="216">
        <v>1.0</v>
      </c>
      <c r="Y175" s="11">
        <f t="shared" si="5"/>
        <v>100</v>
      </c>
      <c r="Z175" s="11" t="s">
        <v>178</v>
      </c>
      <c r="AA175" s="93"/>
      <c r="AB175" s="93" t="s">
        <v>2078</v>
      </c>
      <c r="AC175" s="93" t="s">
        <v>1950</v>
      </c>
      <c r="AD175" s="217" t="s">
        <v>759</v>
      </c>
      <c r="AE175" s="11" t="str">
        <f t="shared" si="11"/>
        <v/>
      </c>
      <c r="AF175" s="78" t="s">
        <v>1688</v>
      </c>
      <c r="AG175" s="74"/>
      <c r="AH175" s="75"/>
      <c r="AI175" s="12"/>
      <c r="AJ175" s="11"/>
      <c r="AK175" s="12">
        <v>1.0</v>
      </c>
    </row>
    <row r="176" ht="40.5" customHeight="1">
      <c r="A176" s="11">
        <v>175.0</v>
      </c>
      <c r="B176" s="11" t="s">
        <v>173</v>
      </c>
      <c r="C176" s="239" t="s">
        <v>737</v>
      </c>
      <c r="D176" s="240" t="s">
        <v>738</v>
      </c>
      <c r="E176" s="215" t="s">
        <v>489</v>
      </c>
      <c r="F176" s="216">
        <v>100.0</v>
      </c>
      <c r="G176" s="246" t="s">
        <v>1829</v>
      </c>
      <c r="H176" s="216">
        <v>100.0</v>
      </c>
      <c r="I176" s="763" t="b">
        <v>0</v>
      </c>
      <c r="J176" s="763" t="b">
        <v>0</v>
      </c>
      <c r="K176" s="763" t="b">
        <v>0</v>
      </c>
      <c r="L176" s="763" t="b">
        <v>0</v>
      </c>
      <c r="M176" s="763" t="b">
        <v>0</v>
      </c>
      <c r="N176" s="763" t="b">
        <v>0</v>
      </c>
      <c r="O176" s="763" t="b">
        <v>0</v>
      </c>
      <c r="P176" s="763" t="b">
        <v>0</v>
      </c>
      <c r="Q176" s="763" t="b">
        <v>0</v>
      </c>
      <c r="R176" s="763" t="b">
        <v>0</v>
      </c>
      <c r="S176" s="763" t="b">
        <v>0</v>
      </c>
      <c r="T176" s="763" t="b">
        <v>0</v>
      </c>
      <c r="U176" s="763" t="b">
        <v>0</v>
      </c>
      <c r="V176" s="763" t="b">
        <v>0</v>
      </c>
      <c r="W176" s="763" t="b">
        <v>0</v>
      </c>
      <c r="X176" s="216">
        <v>1.0</v>
      </c>
      <c r="Y176" s="11">
        <f t="shared" si="5"/>
        <v>100</v>
      </c>
      <c r="Z176" s="11" t="s">
        <v>178</v>
      </c>
      <c r="AA176" s="93"/>
      <c r="AB176" s="93" t="s">
        <v>2078</v>
      </c>
      <c r="AC176" s="93" t="s">
        <v>1950</v>
      </c>
      <c r="AD176" s="217" t="s">
        <v>763</v>
      </c>
      <c r="AE176" s="11" t="str">
        <f t="shared" si="11"/>
        <v/>
      </c>
      <c r="AF176" s="78" t="s">
        <v>1688</v>
      </c>
      <c r="AG176" s="74"/>
      <c r="AH176" s="75"/>
      <c r="AI176" s="12"/>
      <c r="AJ176" s="11"/>
      <c r="AK176" s="12">
        <v>1.0</v>
      </c>
    </row>
    <row r="177" ht="40.5" customHeight="1">
      <c r="A177" s="11">
        <v>176.0</v>
      </c>
      <c r="B177" s="11" t="s">
        <v>173</v>
      </c>
      <c r="C177" s="239" t="s">
        <v>821</v>
      </c>
      <c r="D177" s="240" t="s">
        <v>822</v>
      </c>
      <c r="E177" s="215" t="s">
        <v>489</v>
      </c>
      <c r="F177" s="216">
        <v>100.0</v>
      </c>
      <c r="G177" s="246" t="s">
        <v>1829</v>
      </c>
      <c r="H177" s="216">
        <v>100.0</v>
      </c>
      <c r="I177" s="763" t="b">
        <v>0</v>
      </c>
      <c r="J177" s="763" t="b">
        <v>0</v>
      </c>
      <c r="K177" s="763" t="b">
        <v>0</v>
      </c>
      <c r="L177" s="763" t="b">
        <v>0</v>
      </c>
      <c r="M177" s="763" t="b">
        <v>0</v>
      </c>
      <c r="N177" s="763" t="b">
        <v>0</v>
      </c>
      <c r="O177" s="763" t="b">
        <v>0</v>
      </c>
      <c r="P177" s="763" t="b">
        <v>0</v>
      </c>
      <c r="Q177" s="763" t="b">
        <v>0</v>
      </c>
      <c r="R177" s="763" t="b">
        <v>0</v>
      </c>
      <c r="S177" s="763" t="b">
        <v>0</v>
      </c>
      <c r="T177" s="763" t="b">
        <v>0</v>
      </c>
      <c r="U177" s="763" t="b">
        <v>0</v>
      </c>
      <c r="V177" s="763" t="b">
        <v>0</v>
      </c>
      <c r="W177" s="763" t="b">
        <v>0</v>
      </c>
      <c r="X177" s="216">
        <v>1.0</v>
      </c>
      <c r="Y177" s="11">
        <f t="shared" si="5"/>
        <v>100</v>
      </c>
      <c r="Z177" s="11" t="s">
        <v>178</v>
      </c>
      <c r="AA177" s="93"/>
      <c r="AB177" s="93" t="s">
        <v>2078</v>
      </c>
      <c r="AC177" s="93" t="s">
        <v>1950</v>
      </c>
      <c r="AD177" s="217" t="s">
        <v>767</v>
      </c>
      <c r="AE177" s="11" t="str">
        <f t="shared" si="11"/>
        <v/>
      </c>
      <c r="AF177" s="78" t="s">
        <v>1688</v>
      </c>
      <c r="AG177" s="74"/>
      <c r="AH177" s="75"/>
      <c r="AI177" s="12"/>
      <c r="AJ177" s="11"/>
      <c r="AK177" s="12">
        <v>1.0</v>
      </c>
    </row>
    <row r="178" ht="40.5" customHeight="1">
      <c r="A178" s="11">
        <v>177.0</v>
      </c>
      <c r="B178" s="11" t="s">
        <v>173</v>
      </c>
      <c r="C178" s="239" t="s">
        <v>757</v>
      </c>
      <c r="D178" s="240" t="s">
        <v>758</v>
      </c>
      <c r="E178" s="215" t="s">
        <v>489</v>
      </c>
      <c r="F178" s="216">
        <v>100.0</v>
      </c>
      <c r="G178" s="246" t="s">
        <v>1832</v>
      </c>
      <c r="H178" s="216">
        <v>100.0</v>
      </c>
      <c r="I178" s="763" t="b">
        <v>0</v>
      </c>
      <c r="J178" s="763" t="b">
        <v>0</v>
      </c>
      <c r="K178" s="763" t="b">
        <v>0</v>
      </c>
      <c r="L178" s="763" t="b">
        <v>0</v>
      </c>
      <c r="M178" s="763" t="b">
        <v>0</v>
      </c>
      <c r="N178" s="763" t="b">
        <v>0</v>
      </c>
      <c r="O178" s="763" t="b">
        <v>0</v>
      </c>
      <c r="P178" s="763" t="b">
        <v>0</v>
      </c>
      <c r="Q178" s="763" t="b">
        <v>0</v>
      </c>
      <c r="R178" s="763" t="b">
        <v>0</v>
      </c>
      <c r="S178" s="763" t="b">
        <v>0</v>
      </c>
      <c r="T178" s="763" t="b">
        <v>0</v>
      </c>
      <c r="U178" s="763" t="b">
        <v>0</v>
      </c>
      <c r="V178" s="763" t="b">
        <v>0</v>
      </c>
      <c r="W178" s="763" t="b">
        <v>0</v>
      </c>
      <c r="X178" s="216">
        <v>1.0</v>
      </c>
      <c r="Y178" s="11">
        <f t="shared" si="5"/>
        <v>100</v>
      </c>
      <c r="Z178" s="11" t="s">
        <v>178</v>
      </c>
      <c r="AA178" s="93"/>
      <c r="AB178" s="93" t="s">
        <v>2078</v>
      </c>
      <c r="AC178" s="93" t="s">
        <v>1950</v>
      </c>
      <c r="AD178" s="217" t="s">
        <v>771</v>
      </c>
      <c r="AE178" s="11" t="str">
        <f t="shared" si="11"/>
        <v/>
      </c>
      <c r="AF178" s="78" t="s">
        <v>1688</v>
      </c>
      <c r="AG178" s="74"/>
      <c r="AH178" s="75"/>
      <c r="AI178" s="12"/>
      <c r="AJ178" s="11"/>
      <c r="AK178" s="12">
        <v>1.0</v>
      </c>
    </row>
    <row r="179" ht="40.5" customHeight="1">
      <c r="A179" s="11">
        <v>178.0</v>
      </c>
      <c r="B179" s="11" t="s">
        <v>173</v>
      </c>
      <c r="C179" s="239" t="s">
        <v>777</v>
      </c>
      <c r="D179" s="240" t="s">
        <v>778</v>
      </c>
      <c r="E179" s="215" t="s">
        <v>489</v>
      </c>
      <c r="F179" s="216">
        <v>100.0</v>
      </c>
      <c r="G179" s="246" t="s">
        <v>1832</v>
      </c>
      <c r="H179" s="216">
        <v>100.0</v>
      </c>
      <c r="I179" s="763" t="b">
        <v>0</v>
      </c>
      <c r="J179" s="763" t="b">
        <v>0</v>
      </c>
      <c r="K179" s="763" t="b">
        <v>0</v>
      </c>
      <c r="L179" s="763" t="b">
        <v>0</v>
      </c>
      <c r="M179" s="763" t="b">
        <v>0</v>
      </c>
      <c r="N179" s="763" t="b">
        <v>0</v>
      </c>
      <c r="O179" s="763" t="b">
        <v>0</v>
      </c>
      <c r="P179" s="763" t="b">
        <v>0</v>
      </c>
      <c r="Q179" s="763" t="b">
        <v>0</v>
      </c>
      <c r="R179" s="763" t="b">
        <v>0</v>
      </c>
      <c r="S179" s="763" t="b">
        <v>0</v>
      </c>
      <c r="T179" s="763" t="b">
        <v>0</v>
      </c>
      <c r="U179" s="763" t="b">
        <v>0</v>
      </c>
      <c r="V179" s="763" t="b">
        <v>0</v>
      </c>
      <c r="W179" s="763" t="b">
        <v>0</v>
      </c>
      <c r="X179" s="216">
        <v>1.0</v>
      </c>
      <c r="Y179" s="11">
        <f t="shared" si="5"/>
        <v>100</v>
      </c>
      <c r="Z179" s="11" t="s">
        <v>178</v>
      </c>
      <c r="AA179" s="93"/>
      <c r="AB179" s="93" t="s">
        <v>2078</v>
      </c>
      <c r="AC179" s="93" t="s">
        <v>1950</v>
      </c>
      <c r="AD179" s="217" t="s">
        <v>775</v>
      </c>
      <c r="AE179" s="11" t="str">
        <f t="shared" si="11"/>
        <v/>
      </c>
      <c r="AF179" s="78" t="s">
        <v>1688</v>
      </c>
      <c r="AG179" s="74"/>
      <c r="AH179" s="75"/>
      <c r="AI179" s="12"/>
      <c r="AJ179" s="11"/>
      <c r="AK179" s="12">
        <v>1.0</v>
      </c>
    </row>
    <row r="180" ht="40.5" customHeight="1">
      <c r="A180" s="11">
        <v>179.0</v>
      </c>
      <c r="B180" s="11" t="s">
        <v>173</v>
      </c>
      <c r="C180" s="239" t="s">
        <v>669</v>
      </c>
      <c r="D180" s="240" t="s">
        <v>670</v>
      </c>
      <c r="E180" s="215" t="s">
        <v>489</v>
      </c>
      <c r="F180" s="216">
        <v>100.0</v>
      </c>
      <c r="G180" s="246" t="s">
        <v>1835</v>
      </c>
      <c r="H180" s="216">
        <v>100.0</v>
      </c>
      <c r="I180" s="763" t="b">
        <v>0</v>
      </c>
      <c r="J180" s="763" t="b">
        <v>0</v>
      </c>
      <c r="K180" s="763" t="b">
        <v>0</v>
      </c>
      <c r="L180" s="763" t="b">
        <v>0</v>
      </c>
      <c r="M180" s="763" t="b">
        <v>0</v>
      </c>
      <c r="N180" s="763" t="b">
        <v>0</v>
      </c>
      <c r="O180" s="763" t="b">
        <v>0</v>
      </c>
      <c r="P180" s="763" t="b">
        <v>0</v>
      </c>
      <c r="Q180" s="763" t="b">
        <v>0</v>
      </c>
      <c r="R180" s="763" t="b">
        <v>0</v>
      </c>
      <c r="S180" s="763" t="b">
        <v>0</v>
      </c>
      <c r="T180" s="763" t="b">
        <v>0</v>
      </c>
      <c r="U180" s="763" t="b">
        <v>0</v>
      </c>
      <c r="V180" s="763" t="b">
        <v>0</v>
      </c>
      <c r="W180" s="763" t="b">
        <v>0</v>
      </c>
      <c r="X180" s="216">
        <v>1.0</v>
      </c>
      <c r="Y180" s="11">
        <f t="shared" si="5"/>
        <v>100</v>
      </c>
      <c r="Z180" s="11" t="s">
        <v>178</v>
      </c>
      <c r="AA180" s="93"/>
      <c r="AB180" s="93" t="s">
        <v>2078</v>
      </c>
      <c r="AC180" s="93" t="s">
        <v>1950</v>
      </c>
      <c r="AD180" s="217" t="s">
        <v>779</v>
      </c>
      <c r="AE180" s="11" t="str">
        <f t="shared" si="11"/>
        <v/>
      </c>
      <c r="AF180" s="78" t="s">
        <v>1688</v>
      </c>
      <c r="AG180" s="74"/>
      <c r="AH180" s="75"/>
      <c r="AI180" s="12"/>
      <c r="AJ180" s="11"/>
      <c r="AK180" s="12">
        <v>1.0</v>
      </c>
    </row>
    <row r="181" ht="40.5" customHeight="1">
      <c r="A181" s="11">
        <v>180.0</v>
      </c>
      <c r="B181" s="11" t="s">
        <v>173</v>
      </c>
      <c r="C181" s="239" t="s">
        <v>785</v>
      </c>
      <c r="D181" s="240" t="s">
        <v>786</v>
      </c>
      <c r="E181" s="215" t="s">
        <v>489</v>
      </c>
      <c r="F181" s="216">
        <v>100.0</v>
      </c>
      <c r="G181" s="246" t="s">
        <v>1835</v>
      </c>
      <c r="H181" s="216">
        <v>100.0</v>
      </c>
      <c r="I181" s="763" t="b">
        <v>0</v>
      </c>
      <c r="J181" s="763" t="b">
        <v>0</v>
      </c>
      <c r="K181" s="763" t="b">
        <v>0</v>
      </c>
      <c r="L181" s="763" t="b">
        <v>0</v>
      </c>
      <c r="M181" s="763" t="b">
        <v>0</v>
      </c>
      <c r="N181" s="763" t="b">
        <v>0</v>
      </c>
      <c r="O181" s="763" t="b">
        <v>0</v>
      </c>
      <c r="P181" s="763" t="b">
        <v>0</v>
      </c>
      <c r="Q181" s="763" t="b">
        <v>0</v>
      </c>
      <c r="R181" s="763" t="b">
        <v>0</v>
      </c>
      <c r="S181" s="763" t="b">
        <v>0</v>
      </c>
      <c r="T181" s="763" t="b">
        <v>0</v>
      </c>
      <c r="U181" s="763" t="b">
        <v>0</v>
      </c>
      <c r="V181" s="763" t="b">
        <v>0</v>
      </c>
      <c r="W181" s="763" t="b">
        <v>0</v>
      </c>
      <c r="X181" s="216">
        <v>1.0</v>
      </c>
      <c r="Y181" s="11">
        <f t="shared" si="5"/>
        <v>100</v>
      </c>
      <c r="Z181" s="11" t="s">
        <v>178</v>
      </c>
      <c r="AA181" s="93"/>
      <c r="AB181" s="93" t="s">
        <v>2078</v>
      </c>
      <c r="AC181" s="93" t="s">
        <v>1950</v>
      </c>
      <c r="AD181" s="217" t="s">
        <v>783</v>
      </c>
      <c r="AE181" s="11" t="str">
        <f t="shared" si="11"/>
        <v/>
      </c>
      <c r="AF181" s="78" t="s">
        <v>1688</v>
      </c>
      <c r="AG181" s="74"/>
      <c r="AH181" s="75"/>
      <c r="AI181" s="12"/>
      <c r="AJ181" s="11"/>
      <c r="AK181" s="12">
        <v>1.0</v>
      </c>
    </row>
    <row r="182" ht="40.5" customHeight="1">
      <c r="A182" s="11">
        <v>181.0</v>
      </c>
      <c r="B182" s="11" t="s">
        <v>173</v>
      </c>
      <c r="C182" s="239" t="s">
        <v>673</v>
      </c>
      <c r="D182" s="240" t="s">
        <v>674</v>
      </c>
      <c r="E182" s="215" t="s">
        <v>489</v>
      </c>
      <c r="F182" s="216">
        <v>100.0</v>
      </c>
      <c r="G182" s="246" t="s">
        <v>1836</v>
      </c>
      <c r="H182" s="216">
        <v>100.0</v>
      </c>
      <c r="I182" s="763" t="b">
        <v>0</v>
      </c>
      <c r="J182" s="763" t="b">
        <v>0</v>
      </c>
      <c r="K182" s="763" t="b">
        <v>0</v>
      </c>
      <c r="L182" s="763" t="b">
        <v>0</v>
      </c>
      <c r="M182" s="763" t="b">
        <v>0</v>
      </c>
      <c r="N182" s="763" t="b">
        <v>0</v>
      </c>
      <c r="O182" s="763" t="b">
        <v>0</v>
      </c>
      <c r="P182" s="763" t="b">
        <v>0</v>
      </c>
      <c r="Q182" s="763" t="b">
        <v>0</v>
      </c>
      <c r="R182" s="763" t="b">
        <v>0</v>
      </c>
      <c r="S182" s="763" t="b">
        <v>0</v>
      </c>
      <c r="T182" s="763" t="b">
        <v>0</v>
      </c>
      <c r="U182" s="763" t="b">
        <v>0</v>
      </c>
      <c r="V182" s="763" t="b">
        <v>0</v>
      </c>
      <c r="W182" s="763" t="b">
        <v>0</v>
      </c>
      <c r="X182" s="216">
        <v>1.0</v>
      </c>
      <c r="Y182" s="11">
        <f t="shared" si="5"/>
        <v>100</v>
      </c>
      <c r="Z182" s="11" t="s">
        <v>178</v>
      </c>
      <c r="AA182" s="93"/>
      <c r="AB182" s="93" t="s">
        <v>2078</v>
      </c>
      <c r="AC182" s="93" t="s">
        <v>1950</v>
      </c>
      <c r="AD182" s="217" t="s">
        <v>787</v>
      </c>
      <c r="AE182" s="11" t="str">
        <f t="shared" si="11"/>
        <v/>
      </c>
      <c r="AF182" s="78" t="s">
        <v>1688</v>
      </c>
      <c r="AG182" s="74"/>
      <c r="AH182" s="75"/>
      <c r="AI182" s="12"/>
      <c r="AJ182" s="11"/>
      <c r="AK182" s="12">
        <v>1.0</v>
      </c>
    </row>
    <row r="183" ht="40.5" customHeight="1">
      <c r="A183" s="11">
        <v>182.0</v>
      </c>
      <c r="B183" s="11" t="s">
        <v>173</v>
      </c>
      <c r="C183" s="239" t="s">
        <v>693</v>
      </c>
      <c r="D183" s="240" t="s">
        <v>694</v>
      </c>
      <c r="E183" s="215" t="s">
        <v>489</v>
      </c>
      <c r="F183" s="216">
        <v>100.0</v>
      </c>
      <c r="G183" s="246" t="s">
        <v>1836</v>
      </c>
      <c r="H183" s="216">
        <v>100.0</v>
      </c>
      <c r="I183" s="763" t="b">
        <v>0</v>
      </c>
      <c r="J183" s="763" t="b">
        <v>0</v>
      </c>
      <c r="K183" s="763" t="b">
        <v>0</v>
      </c>
      <c r="L183" s="763" t="b">
        <v>0</v>
      </c>
      <c r="M183" s="763" t="b">
        <v>0</v>
      </c>
      <c r="N183" s="763" t="b">
        <v>0</v>
      </c>
      <c r="O183" s="763" t="b">
        <v>0</v>
      </c>
      <c r="P183" s="763" t="b">
        <v>0</v>
      </c>
      <c r="Q183" s="763" t="b">
        <v>0</v>
      </c>
      <c r="R183" s="763" t="b">
        <v>0</v>
      </c>
      <c r="S183" s="763" t="b">
        <v>0</v>
      </c>
      <c r="T183" s="763" t="b">
        <v>0</v>
      </c>
      <c r="U183" s="763" t="b">
        <v>0</v>
      </c>
      <c r="V183" s="763" t="b">
        <v>0</v>
      </c>
      <c r="W183" s="763" t="b">
        <v>0</v>
      </c>
      <c r="X183" s="216">
        <v>1.0</v>
      </c>
      <c r="Y183" s="11">
        <f t="shared" si="5"/>
        <v>100</v>
      </c>
      <c r="Z183" s="11" t="s">
        <v>178</v>
      </c>
      <c r="AA183" s="93"/>
      <c r="AB183" s="93" t="s">
        <v>2078</v>
      </c>
      <c r="AC183" s="93" t="s">
        <v>1950</v>
      </c>
      <c r="AD183" s="217" t="s">
        <v>791</v>
      </c>
      <c r="AE183" s="11" t="str">
        <f t="shared" si="11"/>
        <v/>
      </c>
      <c r="AF183" s="78" t="s">
        <v>1688</v>
      </c>
      <c r="AG183" s="74"/>
      <c r="AH183" s="75"/>
      <c r="AI183" s="12"/>
      <c r="AJ183" s="11"/>
      <c r="AK183" s="12">
        <v>1.0</v>
      </c>
    </row>
    <row r="184" ht="40.5" customHeight="1">
      <c r="A184" s="11">
        <v>183.0</v>
      </c>
      <c r="B184" s="11" t="s">
        <v>173</v>
      </c>
      <c r="C184" s="239" t="s">
        <v>801</v>
      </c>
      <c r="D184" s="240" t="s">
        <v>802</v>
      </c>
      <c r="E184" s="215" t="s">
        <v>489</v>
      </c>
      <c r="F184" s="216">
        <v>100.0</v>
      </c>
      <c r="G184" s="246" t="s">
        <v>1837</v>
      </c>
      <c r="H184" s="216">
        <v>100.0</v>
      </c>
      <c r="I184" s="763" t="b">
        <v>0</v>
      </c>
      <c r="J184" s="763" t="b">
        <v>0</v>
      </c>
      <c r="K184" s="763" t="b">
        <v>0</v>
      </c>
      <c r="L184" s="763" t="b">
        <v>0</v>
      </c>
      <c r="M184" s="763" t="b">
        <v>0</v>
      </c>
      <c r="N184" s="763" t="b">
        <v>0</v>
      </c>
      <c r="O184" s="763" t="b">
        <v>0</v>
      </c>
      <c r="P184" s="763" t="b">
        <v>0</v>
      </c>
      <c r="Q184" s="763" t="b">
        <v>0</v>
      </c>
      <c r="R184" s="763" t="b">
        <v>0</v>
      </c>
      <c r="S184" s="763" t="b">
        <v>0</v>
      </c>
      <c r="T184" s="763" t="b">
        <v>0</v>
      </c>
      <c r="U184" s="763" t="b">
        <v>0</v>
      </c>
      <c r="V184" s="763" t="b">
        <v>0</v>
      </c>
      <c r="W184" s="763" t="b">
        <v>0</v>
      </c>
      <c r="X184" s="216">
        <v>1.0</v>
      </c>
      <c r="Y184" s="11">
        <f t="shared" si="5"/>
        <v>100</v>
      </c>
      <c r="Z184" s="11" t="s">
        <v>178</v>
      </c>
      <c r="AA184" s="93"/>
      <c r="AB184" s="93" t="s">
        <v>2078</v>
      </c>
      <c r="AC184" s="93" t="s">
        <v>1950</v>
      </c>
      <c r="AD184" s="217" t="s">
        <v>795</v>
      </c>
      <c r="AE184" s="11" t="str">
        <f t="shared" si="11"/>
        <v/>
      </c>
      <c r="AF184" s="78" t="s">
        <v>1688</v>
      </c>
      <c r="AG184" s="74"/>
      <c r="AH184" s="75"/>
      <c r="AI184" s="12"/>
      <c r="AJ184" s="11"/>
      <c r="AK184" s="12">
        <v>1.0</v>
      </c>
    </row>
    <row r="185" ht="40.5" customHeight="1">
      <c r="A185" s="11">
        <v>184.0</v>
      </c>
      <c r="B185" s="11" t="s">
        <v>173</v>
      </c>
      <c r="C185" s="239" t="s">
        <v>713</v>
      </c>
      <c r="D185" s="240" t="s">
        <v>714</v>
      </c>
      <c r="E185" s="215" t="s">
        <v>489</v>
      </c>
      <c r="F185" s="216">
        <v>100.0</v>
      </c>
      <c r="G185" s="246" t="s">
        <v>1837</v>
      </c>
      <c r="H185" s="216">
        <v>100.0</v>
      </c>
      <c r="I185" s="763" t="b">
        <v>0</v>
      </c>
      <c r="J185" s="763" t="b">
        <v>0</v>
      </c>
      <c r="K185" s="763" t="b">
        <v>0</v>
      </c>
      <c r="L185" s="763" t="b">
        <v>0</v>
      </c>
      <c r="M185" s="763" t="b">
        <v>0</v>
      </c>
      <c r="N185" s="763" t="b">
        <v>0</v>
      </c>
      <c r="O185" s="763" t="b">
        <v>0</v>
      </c>
      <c r="P185" s="763" t="b">
        <v>0</v>
      </c>
      <c r="Q185" s="763" t="b">
        <v>0</v>
      </c>
      <c r="R185" s="763" t="b">
        <v>0</v>
      </c>
      <c r="S185" s="763" t="b">
        <v>0</v>
      </c>
      <c r="T185" s="763" t="b">
        <v>0</v>
      </c>
      <c r="U185" s="763" t="b">
        <v>0</v>
      </c>
      <c r="V185" s="763" t="b">
        <v>0</v>
      </c>
      <c r="W185" s="763" t="b">
        <v>0</v>
      </c>
      <c r="X185" s="216">
        <v>1.0</v>
      </c>
      <c r="Y185" s="11">
        <f t="shared" si="5"/>
        <v>100</v>
      </c>
      <c r="Z185" s="11" t="s">
        <v>178</v>
      </c>
      <c r="AA185" s="93"/>
      <c r="AB185" s="93" t="s">
        <v>2078</v>
      </c>
      <c r="AC185" s="93" t="s">
        <v>1950</v>
      </c>
      <c r="AD185" s="217" t="s">
        <v>799</v>
      </c>
      <c r="AE185" s="11" t="str">
        <f t="shared" si="11"/>
        <v/>
      </c>
      <c r="AF185" s="78" t="s">
        <v>1688</v>
      </c>
      <c r="AG185" s="74"/>
      <c r="AH185" s="75"/>
      <c r="AI185" s="12"/>
      <c r="AJ185" s="11"/>
      <c r="AK185" s="12">
        <v>1.0</v>
      </c>
    </row>
    <row r="186" ht="40.5" customHeight="1">
      <c r="A186" s="11">
        <v>185.0</v>
      </c>
      <c r="B186" s="11" t="s">
        <v>173</v>
      </c>
      <c r="C186" s="239" t="s">
        <v>729</v>
      </c>
      <c r="D186" s="240" t="s">
        <v>730</v>
      </c>
      <c r="E186" s="215" t="s">
        <v>489</v>
      </c>
      <c r="F186" s="216">
        <v>100.0</v>
      </c>
      <c r="G186" s="246" t="s">
        <v>1838</v>
      </c>
      <c r="H186" s="216">
        <v>100.0</v>
      </c>
      <c r="I186" s="763" t="b">
        <v>0</v>
      </c>
      <c r="J186" s="763" t="b">
        <v>0</v>
      </c>
      <c r="K186" s="763" t="b">
        <v>0</v>
      </c>
      <c r="L186" s="763" t="b">
        <v>0</v>
      </c>
      <c r="M186" s="763" t="b">
        <v>0</v>
      </c>
      <c r="N186" s="763" t="b">
        <v>0</v>
      </c>
      <c r="O186" s="763" t="b">
        <v>0</v>
      </c>
      <c r="P186" s="763" t="b">
        <v>0</v>
      </c>
      <c r="Q186" s="763" t="b">
        <v>0</v>
      </c>
      <c r="R186" s="763" t="b">
        <v>0</v>
      </c>
      <c r="S186" s="763" t="b">
        <v>0</v>
      </c>
      <c r="T186" s="763" t="b">
        <v>0</v>
      </c>
      <c r="U186" s="763" t="b">
        <v>0</v>
      </c>
      <c r="V186" s="763" t="b">
        <v>0</v>
      </c>
      <c r="W186" s="763" t="b">
        <v>0</v>
      </c>
      <c r="X186" s="216">
        <v>1.0</v>
      </c>
      <c r="Y186" s="11">
        <f t="shared" si="5"/>
        <v>100</v>
      </c>
      <c r="Z186" s="11" t="s">
        <v>178</v>
      </c>
      <c r="AA186" s="93"/>
      <c r="AB186" s="93" t="s">
        <v>2078</v>
      </c>
      <c r="AC186" s="93" t="s">
        <v>1950</v>
      </c>
      <c r="AD186" s="217" t="s">
        <v>803</v>
      </c>
      <c r="AE186" s="11" t="str">
        <f t="shared" si="11"/>
        <v/>
      </c>
      <c r="AF186" s="78" t="s">
        <v>1688</v>
      </c>
      <c r="AG186" s="74"/>
      <c r="AH186" s="75"/>
      <c r="AI186" s="12"/>
      <c r="AJ186" s="11"/>
      <c r="AK186" s="12">
        <v>1.0</v>
      </c>
    </row>
    <row r="187" ht="40.5" customHeight="1">
      <c r="A187" s="11">
        <v>186.0</v>
      </c>
      <c r="B187" s="11" t="s">
        <v>173</v>
      </c>
      <c r="C187" s="239" t="s">
        <v>813</v>
      </c>
      <c r="D187" s="240" t="s">
        <v>814</v>
      </c>
      <c r="E187" s="215" t="s">
        <v>489</v>
      </c>
      <c r="F187" s="216">
        <v>100.0</v>
      </c>
      <c r="G187" s="246" t="s">
        <v>1838</v>
      </c>
      <c r="H187" s="216">
        <v>100.0</v>
      </c>
      <c r="I187" s="763" t="b">
        <v>0</v>
      </c>
      <c r="J187" s="763" t="b">
        <v>0</v>
      </c>
      <c r="K187" s="763" t="b">
        <v>0</v>
      </c>
      <c r="L187" s="763" t="b">
        <v>0</v>
      </c>
      <c r="M187" s="763" t="b">
        <v>0</v>
      </c>
      <c r="N187" s="763" t="b">
        <v>0</v>
      </c>
      <c r="O187" s="763" t="b">
        <v>0</v>
      </c>
      <c r="P187" s="763" t="b">
        <v>0</v>
      </c>
      <c r="Q187" s="763" t="b">
        <v>0</v>
      </c>
      <c r="R187" s="763" t="b">
        <v>0</v>
      </c>
      <c r="S187" s="763" t="b">
        <v>0</v>
      </c>
      <c r="T187" s="763" t="b">
        <v>0</v>
      </c>
      <c r="U187" s="763" t="b">
        <v>0</v>
      </c>
      <c r="V187" s="763" t="b">
        <v>0</v>
      </c>
      <c r="W187" s="763" t="b">
        <v>0</v>
      </c>
      <c r="X187" s="216">
        <v>1.0</v>
      </c>
      <c r="Y187" s="11">
        <f t="shared" si="5"/>
        <v>100</v>
      </c>
      <c r="Z187" s="11" t="s">
        <v>178</v>
      </c>
      <c r="AA187" s="93"/>
      <c r="AB187" s="93" t="s">
        <v>2078</v>
      </c>
      <c r="AC187" s="93" t="s">
        <v>1950</v>
      </c>
      <c r="AD187" s="217" t="s">
        <v>807</v>
      </c>
      <c r="AE187" s="11" t="str">
        <f t="shared" si="11"/>
        <v/>
      </c>
      <c r="AF187" s="78" t="s">
        <v>1688</v>
      </c>
      <c r="AG187" s="74"/>
      <c r="AH187" s="75"/>
      <c r="AI187" s="12"/>
      <c r="AJ187" s="11"/>
      <c r="AK187" s="12">
        <v>1.0</v>
      </c>
    </row>
    <row r="188" ht="40.5" customHeight="1">
      <c r="A188" s="11">
        <v>187.0</v>
      </c>
      <c r="B188" s="11" t="s">
        <v>173</v>
      </c>
      <c r="C188" s="239" t="s">
        <v>749</v>
      </c>
      <c r="D188" s="240" t="s">
        <v>750</v>
      </c>
      <c r="E188" s="215" t="s">
        <v>489</v>
      </c>
      <c r="F188" s="216">
        <v>100.0</v>
      </c>
      <c r="G188" s="246" t="s">
        <v>1839</v>
      </c>
      <c r="H188" s="216">
        <v>100.0</v>
      </c>
      <c r="I188" s="763" t="b">
        <v>0</v>
      </c>
      <c r="J188" s="763" t="b">
        <v>0</v>
      </c>
      <c r="K188" s="763" t="b">
        <v>0</v>
      </c>
      <c r="L188" s="763" t="b">
        <v>0</v>
      </c>
      <c r="M188" s="763" t="b">
        <v>0</v>
      </c>
      <c r="N188" s="763" t="b">
        <v>0</v>
      </c>
      <c r="O188" s="763" t="b">
        <v>0</v>
      </c>
      <c r="P188" s="763" t="b">
        <v>0</v>
      </c>
      <c r="Q188" s="763" t="b">
        <v>0</v>
      </c>
      <c r="R188" s="763" t="b">
        <v>0</v>
      </c>
      <c r="S188" s="763" t="b">
        <v>0</v>
      </c>
      <c r="T188" s="763" t="b">
        <v>0</v>
      </c>
      <c r="U188" s="763" t="b">
        <v>0</v>
      </c>
      <c r="V188" s="763" t="b">
        <v>0</v>
      </c>
      <c r="W188" s="763" t="b">
        <v>0</v>
      </c>
      <c r="X188" s="216">
        <v>1.0</v>
      </c>
      <c r="Y188" s="11">
        <f t="shared" si="5"/>
        <v>100</v>
      </c>
      <c r="Z188" s="11" t="s">
        <v>178</v>
      </c>
      <c r="AA188" s="93"/>
      <c r="AB188" s="93" t="s">
        <v>2078</v>
      </c>
      <c r="AC188" s="93" t="s">
        <v>1950</v>
      </c>
      <c r="AD188" s="217" t="s">
        <v>811</v>
      </c>
      <c r="AE188" s="11" t="str">
        <f t="shared" si="11"/>
        <v/>
      </c>
      <c r="AF188" s="78" t="s">
        <v>1688</v>
      </c>
      <c r="AG188" s="74"/>
      <c r="AH188" s="75"/>
      <c r="AI188" s="12"/>
      <c r="AJ188" s="11"/>
      <c r="AK188" s="12">
        <v>1.0</v>
      </c>
    </row>
    <row r="189" ht="40.5" customHeight="1">
      <c r="A189" s="11">
        <v>188.0</v>
      </c>
      <c r="B189" s="11" t="s">
        <v>173</v>
      </c>
      <c r="C189" s="239" t="s">
        <v>761</v>
      </c>
      <c r="D189" s="240" t="s">
        <v>762</v>
      </c>
      <c r="E189" s="215" t="s">
        <v>489</v>
      </c>
      <c r="F189" s="216">
        <v>100.0</v>
      </c>
      <c r="G189" s="246" t="s">
        <v>1839</v>
      </c>
      <c r="H189" s="216">
        <v>100.0</v>
      </c>
      <c r="I189" s="763" t="b">
        <v>0</v>
      </c>
      <c r="J189" s="763" t="b">
        <v>0</v>
      </c>
      <c r="K189" s="763" t="b">
        <v>0</v>
      </c>
      <c r="L189" s="763" t="b">
        <v>0</v>
      </c>
      <c r="M189" s="763" t="b">
        <v>0</v>
      </c>
      <c r="N189" s="763" t="b">
        <v>0</v>
      </c>
      <c r="O189" s="763" t="b">
        <v>0</v>
      </c>
      <c r="P189" s="763" t="b">
        <v>0</v>
      </c>
      <c r="Q189" s="763" t="b">
        <v>0</v>
      </c>
      <c r="R189" s="763" t="b">
        <v>0</v>
      </c>
      <c r="S189" s="763" t="b">
        <v>0</v>
      </c>
      <c r="T189" s="763" t="b">
        <v>0</v>
      </c>
      <c r="U189" s="763" t="b">
        <v>0</v>
      </c>
      <c r="V189" s="763" t="b">
        <v>0</v>
      </c>
      <c r="W189" s="763" t="b">
        <v>0</v>
      </c>
      <c r="X189" s="216">
        <v>1.0</v>
      </c>
      <c r="Y189" s="11">
        <f t="shared" si="5"/>
        <v>100</v>
      </c>
      <c r="Z189" s="11" t="s">
        <v>178</v>
      </c>
      <c r="AA189" s="93"/>
      <c r="AB189" s="93" t="s">
        <v>2078</v>
      </c>
      <c r="AC189" s="93" t="s">
        <v>1950</v>
      </c>
      <c r="AD189" s="217" t="s">
        <v>815</v>
      </c>
      <c r="AE189" s="11" t="str">
        <f t="shared" si="11"/>
        <v/>
      </c>
      <c r="AF189" s="78" t="s">
        <v>1688</v>
      </c>
      <c r="AG189" s="74"/>
      <c r="AH189" s="75"/>
      <c r="AI189" s="12"/>
      <c r="AJ189" s="11"/>
      <c r="AK189" s="12">
        <v>1.0</v>
      </c>
    </row>
    <row r="190" ht="40.5" customHeight="1">
      <c r="A190" s="11">
        <v>189.0</v>
      </c>
      <c r="B190" s="11" t="s">
        <v>173</v>
      </c>
      <c r="C190" s="239" t="s">
        <v>769</v>
      </c>
      <c r="D190" s="240" t="s">
        <v>770</v>
      </c>
      <c r="E190" s="215" t="s">
        <v>489</v>
      </c>
      <c r="F190" s="216">
        <v>100.0</v>
      </c>
      <c r="G190" s="246" t="s">
        <v>1840</v>
      </c>
      <c r="H190" s="216">
        <v>100.0</v>
      </c>
      <c r="I190" s="763" t="b">
        <v>0</v>
      </c>
      <c r="J190" s="763" t="b">
        <v>0</v>
      </c>
      <c r="K190" s="763" t="b">
        <v>0</v>
      </c>
      <c r="L190" s="763" t="b">
        <v>0</v>
      </c>
      <c r="M190" s="763" t="b">
        <v>0</v>
      </c>
      <c r="N190" s="763" t="b">
        <v>0</v>
      </c>
      <c r="O190" s="763" t="b">
        <v>0</v>
      </c>
      <c r="P190" s="763" t="b">
        <v>0</v>
      </c>
      <c r="Q190" s="763" t="b">
        <v>0</v>
      </c>
      <c r="R190" s="763" t="b">
        <v>0</v>
      </c>
      <c r="S190" s="763" t="b">
        <v>0</v>
      </c>
      <c r="T190" s="763" t="b">
        <v>0</v>
      </c>
      <c r="U190" s="763" t="b">
        <v>0</v>
      </c>
      <c r="V190" s="763" t="b">
        <v>0</v>
      </c>
      <c r="W190" s="763" t="b">
        <v>0</v>
      </c>
      <c r="X190" s="216">
        <v>1.0</v>
      </c>
      <c r="Y190" s="11">
        <f t="shared" si="5"/>
        <v>100</v>
      </c>
      <c r="Z190" s="11" t="s">
        <v>178</v>
      </c>
      <c r="AA190" s="93"/>
      <c r="AB190" s="93" t="s">
        <v>2078</v>
      </c>
      <c r="AC190" s="93" t="s">
        <v>1950</v>
      </c>
      <c r="AD190" s="217" t="s">
        <v>819</v>
      </c>
      <c r="AE190" s="11" t="str">
        <f t="shared" si="11"/>
        <v/>
      </c>
      <c r="AF190" s="78" t="s">
        <v>1688</v>
      </c>
      <c r="AG190" s="74"/>
      <c r="AH190" s="75"/>
      <c r="AI190" s="12"/>
      <c r="AJ190" s="11"/>
      <c r="AK190" s="12">
        <v>1.0</v>
      </c>
    </row>
    <row r="191" ht="40.5" customHeight="1">
      <c r="A191" s="11">
        <v>190.0</v>
      </c>
      <c r="B191" s="11" t="s">
        <v>173</v>
      </c>
      <c r="C191" s="239" t="s">
        <v>681</v>
      </c>
      <c r="D191" s="240" t="s">
        <v>682</v>
      </c>
      <c r="E191" s="215" t="s">
        <v>489</v>
      </c>
      <c r="F191" s="216">
        <v>100.0</v>
      </c>
      <c r="G191" s="246" t="s">
        <v>1840</v>
      </c>
      <c r="H191" s="216">
        <v>100.0</v>
      </c>
      <c r="I191" s="763" t="b">
        <v>0</v>
      </c>
      <c r="J191" s="763" t="b">
        <v>0</v>
      </c>
      <c r="K191" s="763" t="b">
        <v>0</v>
      </c>
      <c r="L191" s="763" t="b">
        <v>0</v>
      </c>
      <c r="M191" s="763" t="b">
        <v>0</v>
      </c>
      <c r="N191" s="763" t="b">
        <v>0</v>
      </c>
      <c r="O191" s="763" t="b">
        <v>0</v>
      </c>
      <c r="P191" s="763" t="b">
        <v>0</v>
      </c>
      <c r="Q191" s="763" t="b">
        <v>0</v>
      </c>
      <c r="R191" s="763" t="b">
        <v>0</v>
      </c>
      <c r="S191" s="763" t="b">
        <v>0</v>
      </c>
      <c r="T191" s="763" t="b">
        <v>0</v>
      </c>
      <c r="U191" s="763" t="b">
        <v>0</v>
      </c>
      <c r="V191" s="763" t="b">
        <v>0</v>
      </c>
      <c r="W191" s="763" t="b">
        <v>0</v>
      </c>
      <c r="X191" s="216">
        <v>1.0</v>
      </c>
      <c r="Y191" s="11">
        <f t="shared" si="5"/>
        <v>100</v>
      </c>
      <c r="Z191" s="11" t="s">
        <v>178</v>
      </c>
      <c r="AA191" s="93"/>
      <c r="AB191" s="93" t="s">
        <v>2078</v>
      </c>
      <c r="AC191" s="93" t="s">
        <v>1950</v>
      </c>
      <c r="AD191" s="217" t="s">
        <v>823</v>
      </c>
      <c r="AE191" s="11" t="str">
        <f t="shared" si="11"/>
        <v/>
      </c>
      <c r="AF191" s="78" t="s">
        <v>1688</v>
      </c>
      <c r="AG191" s="74"/>
      <c r="AH191" s="75"/>
      <c r="AI191" s="12"/>
      <c r="AJ191" s="11"/>
      <c r="AK191" s="12">
        <v>1.0</v>
      </c>
    </row>
    <row r="192" ht="40.5" customHeight="1">
      <c r="A192" s="11">
        <v>191.0</v>
      </c>
      <c r="B192" s="11" t="s">
        <v>173</v>
      </c>
      <c r="C192" s="11" t="s">
        <v>825</v>
      </c>
      <c r="D192" s="93" t="s">
        <v>826</v>
      </c>
      <c r="E192" s="215" t="s">
        <v>489</v>
      </c>
      <c r="F192" s="216">
        <v>100.0</v>
      </c>
      <c r="G192" s="11" t="s">
        <v>1857</v>
      </c>
      <c r="H192" s="216">
        <v>100.0</v>
      </c>
      <c r="I192" s="763" t="b">
        <v>0</v>
      </c>
      <c r="J192" s="763" t="b">
        <v>0</v>
      </c>
      <c r="K192" s="763" t="b">
        <v>0</v>
      </c>
      <c r="L192" s="763" t="b">
        <v>0</v>
      </c>
      <c r="M192" s="763" t="b">
        <v>0</v>
      </c>
      <c r="N192" s="763" t="b">
        <v>0</v>
      </c>
      <c r="O192" s="763" t="b">
        <v>0</v>
      </c>
      <c r="P192" s="763" t="b">
        <v>0</v>
      </c>
      <c r="Q192" s="763" t="b">
        <v>0</v>
      </c>
      <c r="R192" s="763" t="b">
        <v>0</v>
      </c>
      <c r="S192" s="763" t="b">
        <v>0</v>
      </c>
      <c r="T192" s="763" t="b">
        <v>0</v>
      </c>
      <c r="U192" s="763" t="b">
        <v>0</v>
      </c>
      <c r="V192" s="763" t="b">
        <v>0</v>
      </c>
      <c r="W192" s="763" t="b">
        <v>0</v>
      </c>
      <c r="X192" s="216">
        <v>3.0</v>
      </c>
      <c r="Y192" s="11">
        <f t="shared" si="5"/>
        <v>300</v>
      </c>
      <c r="Z192" s="11" t="s">
        <v>178</v>
      </c>
      <c r="AA192" s="93"/>
      <c r="AB192" s="93" t="s">
        <v>2078</v>
      </c>
      <c r="AC192" s="93" t="s">
        <v>1951</v>
      </c>
      <c r="AD192" s="217" t="s">
        <v>827</v>
      </c>
      <c r="AE192" s="11" t="str">
        <f>IMAGE("https://encrypted-tbn0.gstatic.com/images?q=tbn:ANd9GcR-ur1Cl_3Rq82qZ9KbLtZX3U_7cevDQWdUVA&amp;usqp=CAU",1)</f>
        <v/>
      </c>
      <c r="AF192" s="78" t="s">
        <v>1688</v>
      </c>
      <c r="AG192" s="74"/>
      <c r="AH192" s="75"/>
      <c r="AI192" s="12"/>
      <c r="AJ192" s="11"/>
      <c r="AK192" s="12">
        <v>1.0</v>
      </c>
    </row>
    <row r="193" ht="40.5" customHeight="1">
      <c r="A193" s="11">
        <v>192.0</v>
      </c>
      <c r="B193" s="11" t="s">
        <v>173</v>
      </c>
      <c r="C193" s="11" t="s">
        <v>829</v>
      </c>
      <c r="D193" s="93" t="s">
        <v>830</v>
      </c>
      <c r="E193" s="215" t="s">
        <v>489</v>
      </c>
      <c r="F193" s="216">
        <v>50.0</v>
      </c>
      <c r="G193" s="11" t="s">
        <v>1857</v>
      </c>
      <c r="H193" s="216">
        <v>50.0</v>
      </c>
      <c r="I193" s="763" t="b">
        <v>0</v>
      </c>
      <c r="J193" s="763" t="b">
        <v>0</v>
      </c>
      <c r="K193" s="763" t="b">
        <v>0</v>
      </c>
      <c r="L193" s="763" t="b">
        <v>0</v>
      </c>
      <c r="M193" s="763" t="b">
        <v>0</v>
      </c>
      <c r="N193" s="763" t="b">
        <v>0</v>
      </c>
      <c r="O193" s="763" t="b">
        <v>0</v>
      </c>
      <c r="P193" s="763" t="b">
        <v>0</v>
      </c>
      <c r="Q193" s="763" t="b">
        <v>0</v>
      </c>
      <c r="R193" s="763" t="b">
        <v>0</v>
      </c>
      <c r="S193" s="763" t="b">
        <v>0</v>
      </c>
      <c r="T193" s="763" t="b">
        <v>0</v>
      </c>
      <c r="U193" s="763" t="b">
        <v>0</v>
      </c>
      <c r="V193" s="763" t="b">
        <v>0</v>
      </c>
      <c r="W193" s="763" t="b">
        <v>0</v>
      </c>
      <c r="X193" s="216">
        <v>10.0</v>
      </c>
      <c r="Y193" s="11">
        <f t="shared" si="5"/>
        <v>500</v>
      </c>
      <c r="Z193" s="11" t="s">
        <v>178</v>
      </c>
      <c r="AA193" s="93"/>
      <c r="AB193" s="93" t="s">
        <v>2078</v>
      </c>
      <c r="AC193" s="93" t="s">
        <v>1951</v>
      </c>
      <c r="AD193" s="217" t="s">
        <v>831</v>
      </c>
      <c r="AE193" s="11" t="str">
        <f>IMAGE("https://m.media-amazon.com/images/I/51khY6g46VL._AC_SL1500_.jpg",1)</f>
        <v/>
      </c>
      <c r="AF193" s="78" t="s">
        <v>1688</v>
      </c>
      <c r="AG193" s="74"/>
      <c r="AH193" s="75"/>
      <c r="AI193" s="12"/>
      <c r="AJ193" s="11"/>
      <c r="AK193" s="12">
        <v>1.0</v>
      </c>
    </row>
    <row r="194" ht="40.5" customHeight="1">
      <c r="A194" s="11">
        <v>193.0</v>
      </c>
      <c r="B194" s="11" t="s">
        <v>173</v>
      </c>
      <c r="C194" s="11" t="s">
        <v>833</v>
      </c>
      <c r="D194" s="93" t="s">
        <v>834</v>
      </c>
      <c r="E194" s="215" t="s">
        <v>489</v>
      </c>
      <c r="F194" s="216">
        <v>50.0</v>
      </c>
      <c r="G194" s="249" t="s">
        <v>1859</v>
      </c>
      <c r="H194" s="216">
        <v>50.0</v>
      </c>
      <c r="I194" s="763" t="b">
        <v>0</v>
      </c>
      <c r="J194" s="763" t="b">
        <v>0</v>
      </c>
      <c r="K194" s="763" t="b">
        <v>0</v>
      </c>
      <c r="L194" s="763" t="b">
        <v>0</v>
      </c>
      <c r="M194" s="763" t="b">
        <v>0</v>
      </c>
      <c r="N194" s="763" t="b">
        <v>0</v>
      </c>
      <c r="O194" s="763" t="b">
        <v>0</v>
      </c>
      <c r="P194" s="763" t="b">
        <v>0</v>
      </c>
      <c r="Q194" s="763" t="b">
        <v>0</v>
      </c>
      <c r="R194" s="763" t="b">
        <v>0</v>
      </c>
      <c r="S194" s="763" t="b">
        <v>0</v>
      </c>
      <c r="T194" s="763" t="b">
        <v>0</v>
      </c>
      <c r="U194" s="763" t="b">
        <v>0</v>
      </c>
      <c r="V194" s="763" t="b">
        <v>0</v>
      </c>
      <c r="W194" s="763" t="b">
        <v>0</v>
      </c>
      <c r="X194" s="216">
        <v>10.0</v>
      </c>
      <c r="Y194" s="11">
        <f t="shared" si="5"/>
        <v>500</v>
      </c>
      <c r="Z194" s="11" t="s">
        <v>178</v>
      </c>
      <c r="AA194" s="93"/>
      <c r="AB194" s="93" t="s">
        <v>2078</v>
      </c>
      <c r="AC194" s="93" t="s">
        <v>1951</v>
      </c>
      <c r="AD194" s="217" t="s">
        <v>835</v>
      </c>
      <c r="AE194" s="11" t="str">
        <f>IMAGE("https://etstore.in/wp-content/uploads/2021/12/IMG_20201130_100203.png",1)</f>
        <v/>
      </c>
      <c r="AF194" s="78" t="s">
        <v>1688</v>
      </c>
      <c r="AG194" s="79"/>
      <c r="AH194" s="80"/>
      <c r="AI194" s="12"/>
      <c r="AJ194" s="11"/>
      <c r="AK194" s="12">
        <v>1.0</v>
      </c>
    </row>
    <row r="195" ht="40.5" customHeight="1">
      <c r="A195" s="11">
        <v>194.0</v>
      </c>
      <c r="B195" s="11" t="s">
        <v>173</v>
      </c>
      <c r="C195" s="11" t="s">
        <v>837</v>
      </c>
      <c r="D195" s="93" t="s">
        <v>838</v>
      </c>
      <c r="E195" s="215" t="s">
        <v>489</v>
      </c>
      <c r="F195" s="216">
        <v>50.0</v>
      </c>
      <c r="G195" s="246" t="s">
        <v>1859</v>
      </c>
      <c r="H195" s="216">
        <v>50.0</v>
      </c>
      <c r="I195" s="763" t="b">
        <v>0</v>
      </c>
      <c r="J195" s="763" t="b">
        <v>0</v>
      </c>
      <c r="K195" s="763" t="b">
        <v>0</v>
      </c>
      <c r="L195" s="763" t="b">
        <v>0</v>
      </c>
      <c r="M195" s="763" t="b">
        <v>0</v>
      </c>
      <c r="N195" s="763" t="b">
        <v>0</v>
      </c>
      <c r="O195" s="763" t="b">
        <v>0</v>
      </c>
      <c r="P195" s="763" t="b">
        <v>0</v>
      </c>
      <c r="Q195" s="763" t="b">
        <v>0</v>
      </c>
      <c r="R195" s="763" t="b">
        <v>0</v>
      </c>
      <c r="S195" s="763" t="b">
        <v>0</v>
      </c>
      <c r="T195" s="763" t="b">
        <v>0</v>
      </c>
      <c r="U195" s="763" t="b">
        <v>0</v>
      </c>
      <c r="V195" s="763" t="b">
        <v>0</v>
      </c>
      <c r="W195" s="763" t="b">
        <v>0</v>
      </c>
      <c r="X195" s="216">
        <v>10.0</v>
      </c>
      <c r="Y195" s="11">
        <f t="shared" si="5"/>
        <v>500</v>
      </c>
      <c r="Z195" s="11" t="s">
        <v>178</v>
      </c>
      <c r="AA195" s="93"/>
      <c r="AB195" s="93" t="s">
        <v>2078</v>
      </c>
      <c r="AC195" s="93" t="s">
        <v>1951</v>
      </c>
      <c r="AD195" s="217" t="s">
        <v>839</v>
      </c>
      <c r="AE195" s="11" t="str">
        <f>IMAGE("https://m.media-amazon.com/images/I/71UDXftBeaL._SX466_.jpg",1)</f>
        <v/>
      </c>
      <c r="AF195" s="78" t="s">
        <v>1688</v>
      </c>
      <c r="AG195" s="74"/>
      <c r="AH195" s="75"/>
      <c r="AI195" s="12"/>
      <c r="AJ195" s="11"/>
      <c r="AK195" s="12">
        <v>1.0</v>
      </c>
    </row>
    <row r="196" ht="40.5" customHeight="1">
      <c r="A196" s="11">
        <v>195.0</v>
      </c>
      <c r="B196" s="11" t="s">
        <v>173</v>
      </c>
      <c r="C196" s="11" t="s">
        <v>841</v>
      </c>
      <c r="D196" s="93" t="s">
        <v>842</v>
      </c>
      <c r="E196" s="215" t="s">
        <v>489</v>
      </c>
      <c r="F196" s="216">
        <v>50.0</v>
      </c>
      <c r="G196" s="245" t="s">
        <v>1833</v>
      </c>
      <c r="H196" s="216">
        <v>50.0</v>
      </c>
      <c r="I196" s="763" t="b">
        <v>0</v>
      </c>
      <c r="J196" s="763" t="b">
        <v>0</v>
      </c>
      <c r="K196" s="763" t="b">
        <v>0</v>
      </c>
      <c r="L196" s="763" t="b">
        <v>0</v>
      </c>
      <c r="M196" s="763" t="b">
        <v>0</v>
      </c>
      <c r="N196" s="763" t="b">
        <v>0</v>
      </c>
      <c r="O196" s="763" t="b">
        <v>0</v>
      </c>
      <c r="P196" s="763" t="b">
        <v>0</v>
      </c>
      <c r="Q196" s="763" t="b">
        <v>0</v>
      </c>
      <c r="R196" s="763" t="b">
        <v>0</v>
      </c>
      <c r="S196" s="763" t="b">
        <v>0</v>
      </c>
      <c r="T196" s="763" t="b">
        <v>0</v>
      </c>
      <c r="U196" s="763" t="b">
        <v>0</v>
      </c>
      <c r="V196" s="763" t="b">
        <v>0</v>
      </c>
      <c r="W196" s="763" t="b">
        <v>0</v>
      </c>
      <c r="X196" s="216">
        <v>10.0</v>
      </c>
      <c r="Y196" s="11">
        <f t="shared" si="5"/>
        <v>500</v>
      </c>
      <c r="Z196" s="11" t="s">
        <v>178</v>
      </c>
      <c r="AA196" s="93"/>
      <c r="AB196" s="93" t="s">
        <v>2070</v>
      </c>
      <c r="AC196" s="93" t="s">
        <v>1951</v>
      </c>
      <c r="AD196" s="217" t="s">
        <v>843</v>
      </c>
      <c r="AE196" s="11" t="str">
        <f>IMAGE("https://m.media-amazon.com/images/I/4116hBQx0XL._SX425_.jpg",1)</f>
        <v/>
      </c>
      <c r="AF196" s="78" t="s">
        <v>1688</v>
      </c>
      <c r="AG196" s="79"/>
      <c r="AH196" s="80"/>
      <c r="AI196" s="12"/>
      <c r="AJ196" s="11"/>
      <c r="AK196" s="12">
        <v>1.0</v>
      </c>
    </row>
    <row r="197" ht="40.5" customHeight="1">
      <c r="A197" s="11">
        <v>196.0</v>
      </c>
      <c r="B197" s="11" t="s">
        <v>173</v>
      </c>
      <c r="C197" s="11" t="s">
        <v>845</v>
      </c>
      <c r="D197" s="93" t="s">
        <v>2085</v>
      </c>
      <c r="E197" s="215" t="s">
        <v>489</v>
      </c>
      <c r="F197" s="216">
        <v>20.0</v>
      </c>
      <c r="G197" s="245" t="s">
        <v>1864</v>
      </c>
      <c r="H197" s="216">
        <v>20.0</v>
      </c>
      <c r="I197" s="763" t="b">
        <v>0</v>
      </c>
      <c r="J197" s="763" t="b">
        <v>0</v>
      </c>
      <c r="K197" s="763" t="b">
        <v>0</v>
      </c>
      <c r="L197" s="763" t="b">
        <v>0</v>
      </c>
      <c r="M197" s="763" t="b">
        <v>0</v>
      </c>
      <c r="N197" s="763" t="b">
        <v>0</v>
      </c>
      <c r="O197" s="763" t="b">
        <v>0</v>
      </c>
      <c r="P197" s="763" t="b">
        <v>0</v>
      </c>
      <c r="Q197" s="763" t="b">
        <v>0</v>
      </c>
      <c r="R197" s="763" t="b">
        <v>0</v>
      </c>
      <c r="S197" s="763" t="b">
        <v>0</v>
      </c>
      <c r="T197" s="763" t="b">
        <v>0</v>
      </c>
      <c r="U197" s="763" t="b">
        <v>0</v>
      </c>
      <c r="V197" s="763" t="b">
        <v>0</v>
      </c>
      <c r="W197" s="763" t="b">
        <v>0</v>
      </c>
      <c r="X197" s="216">
        <v>5.0</v>
      </c>
      <c r="Y197" s="11">
        <f t="shared" si="5"/>
        <v>100</v>
      </c>
      <c r="Z197" s="11" t="s">
        <v>178</v>
      </c>
      <c r="AA197" s="93"/>
      <c r="AB197" s="93" t="s">
        <v>2078</v>
      </c>
      <c r="AC197" s="93" t="s">
        <v>1944</v>
      </c>
      <c r="AD197" s="217" t="s">
        <v>847</v>
      </c>
      <c r="AE197" s="11" t="str">
        <f>IMAGE("https://potentiallabs.com/cart/image/cache/catalog/2021/555-timer-ic-400x400.jpeg",1)</f>
        <v/>
      </c>
      <c r="AF197" s="78" t="s">
        <v>1688</v>
      </c>
      <c r="AG197" s="74"/>
      <c r="AH197" s="75"/>
      <c r="AI197" s="12"/>
      <c r="AJ197" s="11"/>
      <c r="AK197" s="12">
        <v>1.0</v>
      </c>
    </row>
    <row r="198" ht="40.5" customHeight="1">
      <c r="A198" s="11">
        <v>197.0</v>
      </c>
      <c r="B198" s="11" t="s">
        <v>173</v>
      </c>
      <c r="C198" s="11" t="s">
        <v>849</v>
      </c>
      <c r="D198" s="93" t="s">
        <v>850</v>
      </c>
      <c r="E198" s="215" t="s">
        <v>489</v>
      </c>
      <c r="F198" s="216">
        <v>100.0</v>
      </c>
      <c r="G198" s="246" t="s">
        <v>1847</v>
      </c>
      <c r="H198" s="216">
        <v>100.0</v>
      </c>
      <c r="I198" s="763" t="b">
        <v>0</v>
      </c>
      <c r="J198" s="763" t="b">
        <v>0</v>
      </c>
      <c r="K198" s="763" t="b">
        <v>0</v>
      </c>
      <c r="L198" s="763" t="b">
        <v>0</v>
      </c>
      <c r="M198" s="763" t="b">
        <v>0</v>
      </c>
      <c r="N198" s="763" t="b">
        <v>0</v>
      </c>
      <c r="O198" s="763" t="b">
        <v>0</v>
      </c>
      <c r="P198" s="763" t="b">
        <v>0</v>
      </c>
      <c r="Q198" s="763" t="b">
        <v>0</v>
      </c>
      <c r="R198" s="763" t="b">
        <v>0</v>
      </c>
      <c r="S198" s="763" t="b">
        <v>0</v>
      </c>
      <c r="T198" s="763" t="b">
        <v>0</v>
      </c>
      <c r="U198" s="763" t="b">
        <v>0</v>
      </c>
      <c r="V198" s="763" t="b">
        <v>0</v>
      </c>
      <c r="W198" s="763" t="b">
        <v>0</v>
      </c>
      <c r="X198" s="216">
        <v>5.0</v>
      </c>
      <c r="Y198" s="11">
        <f t="shared" si="5"/>
        <v>500</v>
      </c>
      <c r="Z198" s="11" t="s">
        <v>178</v>
      </c>
      <c r="AA198" s="93"/>
      <c r="AB198" s="93" t="s">
        <v>2078</v>
      </c>
      <c r="AC198" s="93" t="s">
        <v>1953</v>
      </c>
      <c r="AD198" s="217" t="s">
        <v>851</v>
      </c>
      <c r="AE198" s="11" t="str">
        <f>IMAGE("https://5.imimg.com/data5/SELLER/Default/2020/8/IJ/BD/HA/84543611/2n3904-transistor-500x500.jpg",1)</f>
        <v/>
      </c>
      <c r="AF198" s="78" t="s">
        <v>1688</v>
      </c>
      <c r="AG198" s="74"/>
      <c r="AH198" s="75"/>
      <c r="AI198" s="12"/>
      <c r="AJ198" s="11"/>
      <c r="AK198" s="12">
        <v>1.0</v>
      </c>
    </row>
    <row r="199" ht="40.5" customHeight="1">
      <c r="A199" s="11">
        <v>198.0</v>
      </c>
      <c r="B199" s="11" t="s">
        <v>173</v>
      </c>
      <c r="C199" s="11" t="s">
        <v>853</v>
      </c>
      <c r="D199" s="93" t="s">
        <v>854</v>
      </c>
      <c r="E199" s="215" t="s">
        <v>489</v>
      </c>
      <c r="F199" s="216">
        <v>100.0</v>
      </c>
      <c r="G199" s="249" t="s">
        <v>1848</v>
      </c>
      <c r="H199" s="216">
        <v>100.0</v>
      </c>
      <c r="I199" s="763" t="b">
        <v>0</v>
      </c>
      <c r="J199" s="763" t="b">
        <v>0</v>
      </c>
      <c r="K199" s="763" t="b">
        <v>0</v>
      </c>
      <c r="L199" s="763" t="b">
        <v>0</v>
      </c>
      <c r="M199" s="763" t="b">
        <v>0</v>
      </c>
      <c r="N199" s="763" t="b">
        <v>0</v>
      </c>
      <c r="O199" s="763" t="b">
        <v>0</v>
      </c>
      <c r="P199" s="763" t="b">
        <v>0</v>
      </c>
      <c r="Q199" s="763" t="b">
        <v>0</v>
      </c>
      <c r="R199" s="763" t="b">
        <v>0</v>
      </c>
      <c r="S199" s="763" t="b">
        <v>0</v>
      </c>
      <c r="T199" s="763" t="b">
        <v>0</v>
      </c>
      <c r="U199" s="763" t="b">
        <v>0</v>
      </c>
      <c r="V199" s="763" t="b">
        <v>0</v>
      </c>
      <c r="W199" s="763" t="b">
        <v>0</v>
      </c>
      <c r="X199" s="216">
        <v>5.0</v>
      </c>
      <c r="Y199" s="11">
        <f t="shared" si="5"/>
        <v>500</v>
      </c>
      <c r="Z199" s="11" t="s">
        <v>178</v>
      </c>
      <c r="AA199" s="93"/>
      <c r="AB199" s="93" t="s">
        <v>2078</v>
      </c>
      <c r="AC199" s="93" t="s">
        <v>1953</v>
      </c>
      <c r="AD199" s="217" t="s">
        <v>855</v>
      </c>
      <c r="AE199" s="11" t="str">
        <f>IMAGE("https://rukminim2.flixcart.com/image/832/832/k44hksw0/transistor/d/m/d/100-pics-bc547-npn-transistor-sme-original-imafn3dfw2fqwgxg.jpeg?q=70",1)</f>
        <v/>
      </c>
      <c r="AF199" s="78" t="s">
        <v>1688</v>
      </c>
      <c r="AG199" s="74"/>
      <c r="AH199" s="75"/>
      <c r="AI199" s="12"/>
      <c r="AJ199" s="11"/>
      <c r="AK199" s="12">
        <v>1.0</v>
      </c>
    </row>
    <row r="200" ht="40.5" customHeight="1">
      <c r="A200" s="11">
        <v>199.0</v>
      </c>
      <c r="B200" s="11" t="s">
        <v>173</v>
      </c>
      <c r="C200" s="11" t="s">
        <v>857</v>
      </c>
      <c r="D200" s="93" t="s">
        <v>858</v>
      </c>
      <c r="E200" s="215" t="s">
        <v>489</v>
      </c>
      <c r="F200" s="216">
        <v>100.0</v>
      </c>
      <c r="G200" s="11" t="s">
        <v>1848</v>
      </c>
      <c r="H200" s="216">
        <v>100.0</v>
      </c>
      <c r="I200" s="763" t="b">
        <v>0</v>
      </c>
      <c r="J200" s="763" t="b">
        <v>0</v>
      </c>
      <c r="K200" s="763" t="b">
        <v>0</v>
      </c>
      <c r="L200" s="763" t="b">
        <v>0</v>
      </c>
      <c r="M200" s="763" t="b">
        <v>0</v>
      </c>
      <c r="N200" s="763" t="b">
        <v>0</v>
      </c>
      <c r="O200" s="763" t="b">
        <v>0</v>
      </c>
      <c r="P200" s="763" t="b">
        <v>0</v>
      </c>
      <c r="Q200" s="763" t="b">
        <v>0</v>
      </c>
      <c r="R200" s="763" t="b">
        <v>0</v>
      </c>
      <c r="S200" s="763" t="b">
        <v>0</v>
      </c>
      <c r="T200" s="763" t="b">
        <v>0</v>
      </c>
      <c r="U200" s="763" t="b">
        <v>0</v>
      </c>
      <c r="V200" s="763" t="b">
        <v>0</v>
      </c>
      <c r="W200" s="763" t="b">
        <v>0</v>
      </c>
      <c r="X200" s="216">
        <v>5.0</v>
      </c>
      <c r="Y200" s="11">
        <f t="shared" si="5"/>
        <v>500</v>
      </c>
      <c r="Z200" s="11" t="s">
        <v>178</v>
      </c>
      <c r="AA200" s="93"/>
      <c r="AB200" s="93" t="s">
        <v>2078</v>
      </c>
      <c r="AC200" s="93" t="s">
        <v>1953</v>
      </c>
      <c r="AD200" s="217" t="s">
        <v>859</v>
      </c>
      <c r="AE200" s="11" t="str">
        <f>IMAGE("https://m.media-amazon.com/images/W/MEDIAX_792452-T2/images/I/31po6g2eu+L.jpg",1)</f>
        <v/>
      </c>
      <c r="AF200" s="78" t="s">
        <v>1688</v>
      </c>
      <c r="AG200" s="74"/>
      <c r="AH200" s="75"/>
      <c r="AI200" s="12"/>
      <c r="AJ200" s="11"/>
      <c r="AK200" s="12">
        <v>1.0</v>
      </c>
    </row>
    <row r="201" ht="40.5" customHeight="1">
      <c r="A201" s="11">
        <v>200.0</v>
      </c>
      <c r="B201" s="11" t="s">
        <v>173</v>
      </c>
      <c r="C201" s="11" t="s">
        <v>861</v>
      </c>
      <c r="D201" s="93" t="s">
        <v>862</v>
      </c>
      <c r="E201" s="215" t="s">
        <v>489</v>
      </c>
      <c r="F201" s="216">
        <v>100.0</v>
      </c>
      <c r="G201" s="11" t="s">
        <v>1848</v>
      </c>
      <c r="H201" s="216">
        <v>100.0</v>
      </c>
      <c r="I201" s="763" t="b">
        <v>0</v>
      </c>
      <c r="J201" s="763" t="b">
        <v>0</v>
      </c>
      <c r="K201" s="763" t="b">
        <v>0</v>
      </c>
      <c r="L201" s="763" t="b">
        <v>0</v>
      </c>
      <c r="M201" s="763" t="b">
        <v>0</v>
      </c>
      <c r="N201" s="763" t="b">
        <v>0</v>
      </c>
      <c r="O201" s="763" t="b">
        <v>0</v>
      </c>
      <c r="P201" s="763" t="b">
        <v>0</v>
      </c>
      <c r="Q201" s="763" t="b">
        <v>0</v>
      </c>
      <c r="R201" s="763" t="b">
        <v>0</v>
      </c>
      <c r="S201" s="763" t="b">
        <v>0</v>
      </c>
      <c r="T201" s="763" t="b">
        <v>0</v>
      </c>
      <c r="U201" s="763" t="b">
        <v>0</v>
      </c>
      <c r="V201" s="763" t="b">
        <v>0</v>
      </c>
      <c r="W201" s="763" t="b">
        <v>0</v>
      </c>
      <c r="X201" s="216">
        <v>5.0</v>
      </c>
      <c r="Y201" s="11">
        <f t="shared" si="5"/>
        <v>500</v>
      </c>
      <c r="Z201" s="11" t="s">
        <v>178</v>
      </c>
      <c r="AA201" s="93"/>
      <c r="AB201" s="93" t="s">
        <v>2078</v>
      </c>
      <c r="AC201" s="93" t="s">
        <v>1953</v>
      </c>
      <c r="AD201" s="217" t="s">
        <v>863</v>
      </c>
      <c r="AE201" s="11" t="str">
        <f>IMAGE("https://5.imimg.com/data5/MA/XW/GW/SELLER-84581978/cdil-transistor-bc557-500x500.jpg",1)</f>
        <v/>
      </c>
      <c r="AF201" s="78" t="s">
        <v>1688</v>
      </c>
      <c r="AG201" s="74"/>
      <c r="AH201" s="75"/>
      <c r="AI201" s="12"/>
      <c r="AJ201" s="11"/>
      <c r="AK201" s="12">
        <v>1.0</v>
      </c>
    </row>
    <row r="202" ht="40.5" customHeight="1">
      <c r="A202" s="11">
        <v>201.0</v>
      </c>
      <c r="B202" s="11" t="s">
        <v>173</v>
      </c>
      <c r="C202" s="11" t="s">
        <v>865</v>
      </c>
      <c r="D202" s="93" t="s">
        <v>866</v>
      </c>
      <c r="E202" s="215" t="s">
        <v>489</v>
      </c>
      <c r="F202" s="216">
        <v>100.0</v>
      </c>
      <c r="G202" s="245" t="s">
        <v>1849</v>
      </c>
      <c r="H202" s="216">
        <v>100.0</v>
      </c>
      <c r="I202" s="763" t="b">
        <v>0</v>
      </c>
      <c r="J202" s="763" t="b">
        <v>0</v>
      </c>
      <c r="K202" s="763" t="b">
        <v>0</v>
      </c>
      <c r="L202" s="763" t="b">
        <v>0</v>
      </c>
      <c r="M202" s="763" t="b">
        <v>0</v>
      </c>
      <c r="N202" s="763" t="b">
        <v>0</v>
      </c>
      <c r="O202" s="763" t="b">
        <v>0</v>
      </c>
      <c r="P202" s="763" t="b">
        <v>0</v>
      </c>
      <c r="Q202" s="763" t="b">
        <v>0</v>
      </c>
      <c r="R202" s="763" t="b">
        <v>0</v>
      </c>
      <c r="S202" s="763" t="b">
        <v>0</v>
      </c>
      <c r="T202" s="763" t="b">
        <v>0</v>
      </c>
      <c r="U202" s="763" t="b">
        <v>0</v>
      </c>
      <c r="V202" s="763" t="b">
        <v>0</v>
      </c>
      <c r="W202" s="763" t="b">
        <v>0</v>
      </c>
      <c r="X202" s="216">
        <v>5.0</v>
      </c>
      <c r="Y202" s="11">
        <f t="shared" si="5"/>
        <v>500</v>
      </c>
      <c r="Z202" s="11" t="s">
        <v>178</v>
      </c>
      <c r="AA202" s="93"/>
      <c r="AB202" s="93" t="s">
        <v>2078</v>
      </c>
      <c r="AC202" s="93" t="s">
        <v>1953</v>
      </c>
      <c r="AD202" s="217" t="s">
        <v>867</v>
      </c>
      <c r="AE202" s="11" t="str">
        <f>IMAGE("https://www.chipmart.in/wp-content/uploads/2022/08/SL100-NPN-General-Purpose-Medium-Power-Transistor-50V-500mA.png",1)</f>
        <v/>
      </c>
      <c r="AF202" s="78" t="s">
        <v>1688</v>
      </c>
      <c r="AG202" s="74"/>
      <c r="AH202" s="75"/>
      <c r="AI202" s="12"/>
      <c r="AJ202" s="11"/>
      <c r="AK202" s="12">
        <v>1.0</v>
      </c>
    </row>
    <row r="203" ht="40.5" customHeight="1">
      <c r="A203" s="11">
        <v>202.0</v>
      </c>
      <c r="B203" s="11" t="s">
        <v>173</v>
      </c>
      <c r="C203" s="11" t="s">
        <v>869</v>
      </c>
      <c r="D203" s="93" t="s">
        <v>870</v>
      </c>
      <c r="E203" s="215" t="s">
        <v>489</v>
      </c>
      <c r="F203" s="216">
        <v>100.0</v>
      </c>
      <c r="G203" s="11" t="s">
        <v>1847</v>
      </c>
      <c r="H203" s="216">
        <v>100.0</v>
      </c>
      <c r="I203" s="763" t="b">
        <v>0</v>
      </c>
      <c r="J203" s="763" t="b">
        <v>0</v>
      </c>
      <c r="K203" s="763" t="b">
        <v>0</v>
      </c>
      <c r="L203" s="763" t="b">
        <v>0</v>
      </c>
      <c r="M203" s="763" t="b">
        <v>0</v>
      </c>
      <c r="N203" s="763" t="b">
        <v>0</v>
      </c>
      <c r="O203" s="763" t="b">
        <v>0</v>
      </c>
      <c r="P203" s="763" t="b">
        <v>0</v>
      </c>
      <c r="Q203" s="763" t="b">
        <v>0</v>
      </c>
      <c r="R203" s="763" t="b">
        <v>0</v>
      </c>
      <c r="S203" s="763" t="b">
        <v>0</v>
      </c>
      <c r="T203" s="763" t="b">
        <v>0</v>
      </c>
      <c r="U203" s="763" t="b">
        <v>0</v>
      </c>
      <c r="V203" s="763" t="b">
        <v>0</v>
      </c>
      <c r="W203" s="763" t="b">
        <v>0</v>
      </c>
      <c r="X203" s="216">
        <v>5.0</v>
      </c>
      <c r="Y203" s="11">
        <f t="shared" si="5"/>
        <v>500</v>
      </c>
      <c r="Z203" s="11" t="s">
        <v>178</v>
      </c>
      <c r="AA203" s="93"/>
      <c r="AB203" s="93" t="s">
        <v>2078</v>
      </c>
      <c r="AC203" s="93" t="s">
        <v>1953</v>
      </c>
      <c r="AD203" s="217" t="s">
        <v>871</v>
      </c>
      <c r="AE203" s="11" t="str">
        <f>IMAGE("https://5.imimg.com/data5/WJ/EW/MY-25117786/2n2222-npn-transistors-500x500.jpg",1)</f>
        <v/>
      </c>
      <c r="AF203" s="78" t="s">
        <v>1688</v>
      </c>
      <c r="AG203" s="74"/>
      <c r="AH203" s="75"/>
      <c r="AI203" s="12"/>
      <c r="AJ203" s="11"/>
      <c r="AK203" s="12">
        <v>1.0</v>
      </c>
    </row>
    <row r="204" ht="40.5" customHeight="1">
      <c r="A204" s="11">
        <v>203.0</v>
      </c>
      <c r="B204" s="11" t="s">
        <v>173</v>
      </c>
      <c r="C204" s="11" t="s">
        <v>873</v>
      </c>
      <c r="D204" s="93" t="s">
        <v>874</v>
      </c>
      <c r="E204" s="215" t="s">
        <v>489</v>
      </c>
      <c r="F204" s="216">
        <v>20.0</v>
      </c>
      <c r="G204" s="11" t="s">
        <v>1841</v>
      </c>
      <c r="H204" s="216">
        <v>20.0</v>
      </c>
      <c r="I204" s="763" t="b">
        <v>0</v>
      </c>
      <c r="J204" s="763" t="b">
        <v>0</v>
      </c>
      <c r="K204" s="763" t="b">
        <v>0</v>
      </c>
      <c r="L204" s="763" t="b">
        <v>0</v>
      </c>
      <c r="M204" s="763" t="b">
        <v>0</v>
      </c>
      <c r="N204" s="763" t="b">
        <v>0</v>
      </c>
      <c r="O204" s="763" t="b">
        <v>0</v>
      </c>
      <c r="P204" s="763" t="b">
        <v>0</v>
      </c>
      <c r="Q204" s="763" t="b">
        <v>0</v>
      </c>
      <c r="R204" s="763" t="b">
        <v>0</v>
      </c>
      <c r="S204" s="763" t="b">
        <v>0</v>
      </c>
      <c r="T204" s="763" t="b">
        <v>0</v>
      </c>
      <c r="U204" s="763" t="b">
        <v>0</v>
      </c>
      <c r="V204" s="763" t="b">
        <v>0</v>
      </c>
      <c r="W204" s="763" t="b">
        <v>0</v>
      </c>
      <c r="X204" s="216">
        <v>10.0</v>
      </c>
      <c r="Y204" s="11">
        <f t="shared" si="5"/>
        <v>200</v>
      </c>
      <c r="Z204" s="11" t="s">
        <v>178</v>
      </c>
      <c r="AA204" s="93"/>
      <c r="AB204" s="93" t="s">
        <v>2078</v>
      </c>
      <c r="AC204" s="93" t="s">
        <v>1949</v>
      </c>
      <c r="AD204" s="217" t="s">
        <v>875</v>
      </c>
      <c r="AE204" s="11" t="str">
        <f t="shared" ref="AE204:AE206" si="12">IMAGE("https://probots.co.in/pub/media/catalog/product/cache/d8ddd0f9b0cd008b57085cd218b48832/1/k/1k_ohm_variable_resistor_potentiometer1-1000x1000_12.jpg",1)</f>
        <v/>
      </c>
      <c r="AF204" s="78" t="s">
        <v>1688</v>
      </c>
      <c r="AG204" s="74"/>
      <c r="AH204" s="75"/>
      <c r="AI204" s="12"/>
      <c r="AJ204" s="11"/>
      <c r="AK204" s="12">
        <v>1.0</v>
      </c>
    </row>
    <row r="205" ht="40.5" customHeight="1">
      <c r="A205" s="11">
        <v>204.0</v>
      </c>
      <c r="B205" s="11" t="s">
        <v>173</v>
      </c>
      <c r="C205" s="11" t="s">
        <v>877</v>
      </c>
      <c r="D205" s="93" t="s">
        <v>878</v>
      </c>
      <c r="E205" s="215" t="s">
        <v>489</v>
      </c>
      <c r="F205" s="216">
        <v>20.0</v>
      </c>
      <c r="G205" s="11" t="s">
        <v>1841</v>
      </c>
      <c r="H205" s="216">
        <v>20.0</v>
      </c>
      <c r="I205" s="763" t="b">
        <v>0</v>
      </c>
      <c r="J205" s="763" t="b">
        <v>0</v>
      </c>
      <c r="K205" s="763" t="b">
        <v>0</v>
      </c>
      <c r="L205" s="763" t="b">
        <v>0</v>
      </c>
      <c r="M205" s="763" t="b">
        <v>0</v>
      </c>
      <c r="N205" s="763" t="b">
        <v>0</v>
      </c>
      <c r="O205" s="763" t="b">
        <v>0</v>
      </c>
      <c r="P205" s="763" t="b">
        <v>0</v>
      </c>
      <c r="Q205" s="763" t="b">
        <v>0</v>
      </c>
      <c r="R205" s="763" t="b">
        <v>0</v>
      </c>
      <c r="S205" s="763" t="b">
        <v>0</v>
      </c>
      <c r="T205" s="763" t="b">
        <v>0</v>
      </c>
      <c r="U205" s="763" t="b">
        <v>0</v>
      </c>
      <c r="V205" s="763" t="b">
        <v>0</v>
      </c>
      <c r="W205" s="763" t="b">
        <v>0</v>
      </c>
      <c r="X205" s="216">
        <v>10.0</v>
      </c>
      <c r="Y205" s="11">
        <f t="shared" si="5"/>
        <v>200</v>
      </c>
      <c r="Z205" s="11" t="s">
        <v>178</v>
      </c>
      <c r="AA205" s="93"/>
      <c r="AB205" s="93" t="s">
        <v>2078</v>
      </c>
      <c r="AC205" s="93" t="s">
        <v>1949</v>
      </c>
      <c r="AD205" s="217" t="s">
        <v>879</v>
      </c>
      <c r="AE205" s="11" t="str">
        <f t="shared" si="12"/>
        <v/>
      </c>
      <c r="AF205" s="78" t="s">
        <v>1688</v>
      </c>
      <c r="AG205" s="74"/>
      <c r="AH205" s="75"/>
      <c r="AI205" s="12"/>
      <c r="AJ205" s="11"/>
      <c r="AK205" s="12">
        <v>1.0</v>
      </c>
    </row>
    <row r="206" ht="40.5" customHeight="1">
      <c r="A206" s="11">
        <v>205.0</v>
      </c>
      <c r="B206" s="11" t="s">
        <v>173</v>
      </c>
      <c r="C206" s="11" t="s">
        <v>881</v>
      </c>
      <c r="D206" s="93" t="s">
        <v>882</v>
      </c>
      <c r="E206" s="215" t="s">
        <v>489</v>
      </c>
      <c r="F206" s="216">
        <v>20.0</v>
      </c>
      <c r="G206" s="11" t="s">
        <v>1841</v>
      </c>
      <c r="H206" s="216">
        <v>20.0</v>
      </c>
      <c r="I206" s="763" t="b">
        <v>0</v>
      </c>
      <c r="J206" s="763" t="b">
        <v>0</v>
      </c>
      <c r="K206" s="763" t="b">
        <v>0</v>
      </c>
      <c r="L206" s="763" t="b">
        <v>0</v>
      </c>
      <c r="M206" s="763" t="b">
        <v>0</v>
      </c>
      <c r="N206" s="763" t="b">
        <v>0</v>
      </c>
      <c r="O206" s="763" t="b">
        <v>0</v>
      </c>
      <c r="P206" s="763" t="b">
        <v>0</v>
      </c>
      <c r="Q206" s="763" t="b">
        <v>0</v>
      </c>
      <c r="R206" s="763" t="b">
        <v>0</v>
      </c>
      <c r="S206" s="763" t="b">
        <v>0</v>
      </c>
      <c r="T206" s="763" t="b">
        <v>0</v>
      </c>
      <c r="U206" s="763" t="b">
        <v>0</v>
      </c>
      <c r="V206" s="763" t="b">
        <v>0</v>
      </c>
      <c r="W206" s="763" t="b">
        <v>0</v>
      </c>
      <c r="X206" s="216">
        <v>10.0</v>
      </c>
      <c r="Y206" s="11">
        <f t="shared" si="5"/>
        <v>200</v>
      </c>
      <c r="Z206" s="11" t="s">
        <v>178</v>
      </c>
      <c r="AA206" s="93"/>
      <c r="AB206" s="93" t="s">
        <v>2078</v>
      </c>
      <c r="AC206" s="93" t="s">
        <v>1949</v>
      </c>
      <c r="AD206" s="217" t="s">
        <v>883</v>
      </c>
      <c r="AE206" s="11" t="str">
        <f t="shared" si="12"/>
        <v/>
      </c>
      <c r="AF206" s="78" t="s">
        <v>1688</v>
      </c>
      <c r="AG206" s="74"/>
      <c r="AH206" s="75"/>
      <c r="AI206" s="12"/>
      <c r="AJ206" s="11"/>
      <c r="AK206" s="12">
        <v>1.0</v>
      </c>
    </row>
    <row r="207" ht="40.5" customHeight="1">
      <c r="A207" s="11">
        <v>206.0</v>
      </c>
      <c r="B207" s="11" t="s">
        <v>173</v>
      </c>
      <c r="C207" s="11" t="s">
        <v>885</v>
      </c>
      <c r="D207" s="93" t="s">
        <v>886</v>
      </c>
      <c r="E207" s="215" t="s">
        <v>489</v>
      </c>
      <c r="F207" s="216">
        <v>20.0</v>
      </c>
      <c r="G207" s="11" t="s">
        <v>1834</v>
      </c>
      <c r="H207" s="216">
        <v>20.0</v>
      </c>
      <c r="I207" s="763" t="b">
        <v>0</v>
      </c>
      <c r="J207" s="763" t="b">
        <v>0</v>
      </c>
      <c r="K207" s="763" t="b">
        <v>0</v>
      </c>
      <c r="L207" s="763" t="b">
        <v>0</v>
      </c>
      <c r="M207" s="763" t="b">
        <v>0</v>
      </c>
      <c r="N207" s="763" t="b">
        <v>0</v>
      </c>
      <c r="O207" s="763" t="b">
        <v>0</v>
      </c>
      <c r="P207" s="763" t="b">
        <v>0</v>
      </c>
      <c r="Q207" s="763" t="b">
        <v>0</v>
      </c>
      <c r="R207" s="763" t="b">
        <v>0</v>
      </c>
      <c r="S207" s="763" t="b">
        <v>0</v>
      </c>
      <c r="T207" s="763" t="b">
        <v>0</v>
      </c>
      <c r="U207" s="763" t="b">
        <v>0</v>
      </c>
      <c r="V207" s="763" t="b">
        <v>0</v>
      </c>
      <c r="W207" s="763" t="b">
        <v>0</v>
      </c>
      <c r="X207" s="216">
        <v>20.0</v>
      </c>
      <c r="Y207" s="11">
        <f t="shared" si="5"/>
        <v>400</v>
      </c>
      <c r="Z207" s="11" t="s">
        <v>178</v>
      </c>
      <c r="AA207" s="93"/>
      <c r="AB207" s="93" t="s">
        <v>2070</v>
      </c>
      <c r="AC207" s="93" t="s">
        <v>1954</v>
      </c>
      <c r="AD207" s="217" t="s">
        <v>887</v>
      </c>
      <c r="AE207" s="11" t="str">
        <f>IMAGE("https://www.olelectronics.in/wp-content/uploads/Miniature-Vibration-Motor.png",1)</f>
        <v/>
      </c>
      <c r="AF207" s="78" t="s">
        <v>1688</v>
      </c>
      <c r="AG207" s="74"/>
      <c r="AH207" s="75"/>
      <c r="AI207" s="12"/>
      <c r="AJ207" s="11"/>
      <c r="AK207" s="12">
        <v>1.0</v>
      </c>
    </row>
    <row r="208" ht="40.5" customHeight="1">
      <c r="A208" s="11">
        <v>207.0</v>
      </c>
      <c r="B208" s="11" t="s">
        <v>173</v>
      </c>
      <c r="C208" s="11" t="s">
        <v>889</v>
      </c>
      <c r="D208" s="93" t="s">
        <v>1754</v>
      </c>
      <c r="E208" s="215" t="s">
        <v>891</v>
      </c>
      <c r="F208" s="216">
        <v>10.0</v>
      </c>
      <c r="G208" s="11" t="s">
        <v>1755</v>
      </c>
      <c r="H208" s="216">
        <v>10.0</v>
      </c>
      <c r="I208" s="763" t="b">
        <v>0</v>
      </c>
      <c r="J208" s="763" t="b">
        <v>0</v>
      </c>
      <c r="K208" s="763" t="b">
        <v>0</v>
      </c>
      <c r="L208" s="763" t="b">
        <v>0</v>
      </c>
      <c r="M208" s="763" t="b">
        <v>0</v>
      </c>
      <c r="N208" s="763" t="b">
        <v>0</v>
      </c>
      <c r="O208" s="763" t="b">
        <v>0</v>
      </c>
      <c r="P208" s="763" t="b">
        <v>0</v>
      </c>
      <c r="Q208" s="763" t="b">
        <v>0</v>
      </c>
      <c r="R208" s="763" t="b">
        <v>0</v>
      </c>
      <c r="S208" s="763" t="b">
        <v>0</v>
      </c>
      <c r="T208" s="763" t="b">
        <v>0</v>
      </c>
      <c r="U208" s="763" t="b">
        <v>0</v>
      </c>
      <c r="V208" s="763" t="b">
        <v>0</v>
      </c>
      <c r="W208" s="763" t="b">
        <v>0</v>
      </c>
      <c r="X208" s="216">
        <v>300.0</v>
      </c>
      <c r="Y208" s="11">
        <f t="shared" si="5"/>
        <v>3000</v>
      </c>
      <c r="Z208" s="11" t="s">
        <v>178</v>
      </c>
      <c r="AA208" s="93"/>
      <c r="AB208" s="93" t="s">
        <v>2062</v>
      </c>
      <c r="AC208" s="93" t="s">
        <v>1947</v>
      </c>
      <c r="AD208" s="217" t="s">
        <v>892</v>
      </c>
      <c r="AE208" s="11" t="str">
        <f>IMAGE("https://encrypted-tbn0.gstatic.com/images?q=tbn:ANd9GcQ9HdcUbkhENGQnNmIni640zFk33IAUdUx_x0uluq_AFf1Hud04FBhhZQFZXM2xrHw_7W4&amp;usqp=CAU",1)</f>
        <v/>
      </c>
      <c r="AF208" s="78" t="s">
        <v>1688</v>
      </c>
      <c r="AG208" s="74"/>
      <c r="AH208" s="75"/>
      <c r="AI208" s="12"/>
      <c r="AJ208" s="11"/>
      <c r="AK208" s="12">
        <v>1.0</v>
      </c>
    </row>
    <row r="209" ht="40.5" customHeight="1">
      <c r="A209" s="11">
        <v>208.0</v>
      </c>
      <c r="B209" s="11" t="s">
        <v>173</v>
      </c>
      <c r="C209" s="11" t="s">
        <v>894</v>
      </c>
      <c r="D209" s="93" t="s">
        <v>895</v>
      </c>
      <c r="E209" s="215" t="s">
        <v>891</v>
      </c>
      <c r="F209" s="216">
        <v>10.0</v>
      </c>
      <c r="G209" s="11" t="s">
        <v>1756</v>
      </c>
      <c r="H209" s="216">
        <v>10.0</v>
      </c>
      <c r="I209" s="763" t="b">
        <v>0</v>
      </c>
      <c r="J209" s="763" t="b">
        <v>0</v>
      </c>
      <c r="K209" s="763" t="b">
        <v>0</v>
      </c>
      <c r="L209" s="763" t="b">
        <v>0</v>
      </c>
      <c r="M209" s="763" t="b">
        <v>0</v>
      </c>
      <c r="N209" s="763" t="b">
        <v>0</v>
      </c>
      <c r="O209" s="763" t="b">
        <v>0</v>
      </c>
      <c r="P209" s="763" t="b">
        <v>0</v>
      </c>
      <c r="Q209" s="763" t="b">
        <v>0</v>
      </c>
      <c r="R209" s="763" t="b">
        <v>0</v>
      </c>
      <c r="S209" s="763" t="b">
        <v>0</v>
      </c>
      <c r="T209" s="763" t="b">
        <v>0</v>
      </c>
      <c r="U209" s="763" t="b">
        <v>0</v>
      </c>
      <c r="V209" s="763" t="b">
        <v>0</v>
      </c>
      <c r="W209" s="763" t="b">
        <v>0</v>
      </c>
      <c r="X209" s="216">
        <v>200.0</v>
      </c>
      <c r="Y209" s="11">
        <f t="shared" si="5"/>
        <v>2000</v>
      </c>
      <c r="Z209" s="11" t="s">
        <v>178</v>
      </c>
      <c r="AA209" s="93"/>
      <c r="AB209" s="93" t="s">
        <v>2070</v>
      </c>
      <c r="AC209" s="93" t="s">
        <v>1947</v>
      </c>
      <c r="AD209" s="217" t="s">
        <v>896</v>
      </c>
      <c r="AE209" s="11" t="str">
        <f>IMAGE("https://m.media-amazon.com/images/W/MEDIAX_792452-T2/images/I/612Fb4y5P6S._SL1100_.jpg",1)</f>
        <v/>
      </c>
      <c r="AF209" s="78" t="s">
        <v>1688</v>
      </c>
      <c r="AG209" s="74"/>
      <c r="AH209" s="75"/>
      <c r="AI209" s="12"/>
      <c r="AJ209" s="11"/>
      <c r="AK209" s="12">
        <v>1.0</v>
      </c>
    </row>
    <row r="210" ht="40.5" customHeight="1">
      <c r="A210" s="11">
        <v>209.0</v>
      </c>
      <c r="B210" s="222" t="s">
        <v>173</v>
      </c>
      <c r="C210" s="222" t="s">
        <v>898</v>
      </c>
      <c r="D210" s="232" t="s">
        <v>899</v>
      </c>
      <c r="E210" s="233" t="s">
        <v>891</v>
      </c>
      <c r="F210" s="222" t="s">
        <v>56</v>
      </c>
      <c r="G210" s="11"/>
      <c r="H210" s="222">
        <v>1.0</v>
      </c>
      <c r="I210" s="763" t="b">
        <v>0</v>
      </c>
      <c r="J210" s="763" t="b">
        <v>0</v>
      </c>
      <c r="K210" s="763" t="b">
        <v>0</v>
      </c>
      <c r="L210" s="763" t="b">
        <v>0</v>
      </c>
      <c r="M210" s="763" t="b">
        <v>0</v>
      </c>
      <c r="N210" s="763" t="b">
        <v>0</v>
      </c>
      <c r="O210" s="763" t="b">
        <v>0</v>
      </c>
      <c r="P210" s="763" t="b">
        <v>0</v>
      </c>
      <c r="Q210" s="763" t="b">
        <v>0</v>
      </c>
      <c r="R210" s="763" t="b">
        <v>0</v>
      </c>
      <c r="S210" s="763" t="b">
        <v>0</v>
      </c>
      <c r="T210" s="763" t="b">
        <v>0</v>
      </c>
      <c r="U210" s="763" t="b">
        <v>0</v>
      </c>
      <c r="V210" s="763" t="b">
        <v>0</v>
      </c>
      <c r="W210" s="763" t="b">
        <v>0</v>
      </c>
      <c r="X210" s="222">
        <v>75.0</v>
      </c>
      <c r="Y210" s="222">
        <f t="shared" si="5"/>
        <v>75</v>
      </c>
      <c r="Z210" s="222" t="s">
        <v>178</v>
      </c>
      <c r="AA210" s="232"/>
      <c r="AB210" s="232" t="s">
        <v>599</v>
      </c>
      <c r="AC210" s="232" t="s">
        <v>1947</v>
      </c>
      <c r="AD210" s="235" t="s">
        <v>900</v>
      </c>
      <c r="AE210" s="222" t="str">
        <f>IMAGE("https://robu.in/wp-content/uploads/2021/05/DC-DC-Boost-Module-0.9V5V-to-5V-600MA-USB-Step-up-Board-5V-Output-1.png",1)</f>
        <v/>
      </c>
      <c r="AF210" s="358"/>
      <c r="AG210" s="359"/>
      <c r="AH210" s="336"/>
      <c r="AI210" s="360"/>
      <c r="AJ210" s="222"/>
      <c r="AK210" s="299">
        <v>2.0</v>
      </c>
    </row>
    <row r="211" ht="40.5" customHeight="1">
      <c r="A211" s="11">
        <v>210.0</v>
      </c>
      <c r="B211" s="11" t="s">
        <v>173</v>
      </c>
      <c r="C211" s="11" t="s">
        <v>902</v>
      </c>
      <c r="D211" s="93" t="s">
        <v>903</v>
      </c>
      <c r="E211" s="215" t="s">
        <v>891</v>
      </c>
      <c r="F211" s="216">
        <v>5.0</v>
      </c>
      <c r="G211" s="11" t="s">
        <v>2087</v>
      </c>
      <c r="H211" s="216">
        <v>5.0</v>
      </c>
      <c r="I211" s="763" t="b">
        <v>0</v>
      </c>
      <c r="J211" s="763" t="b">
        <v>0</v>
      </c>
      <c r="K211" s="763" t="b">
        <v>0</v>
      </c>
      <c r="L211" s="763" t="b">
        <v>0</v>
      </c>
      <c r="M211" s="763" t="b">
        <v>0</v>
      </c>
      <c r="N211" s="763" t="b">
        <v>0</v>
      </c>
      <c r="O211" s="763" t="b">
        <v>0</v>
      </c>
      <c r="P211" s="763" t="b">
        <v>0</v>
      </c>
      <c r="Q211" s="763" t="b">
        <v>0</v>
      </c>
      <c r="R211" s="763" t="b">
        <v>0</v>
      </c>
      <c r="S211" s="763" t="b">
        <v>0</v>
      </c>
      <c r="T211" s="763" t="b">
        <v>0</v>
      </c>
      <c r="U211" s="763" t="b">
        <v>0</v>
      </c>
      <c r="V211" s="763" t="b">
        <v>0</v>
      </c>
      <c r="W211" s="763" t="b">
        <v>0</v>
      </c>
      <c r="X211" s="216">
        <v>150.0</v>
      </c>
      <c r="Y211" s="11">
        <f t="shared" si="5"/>
        <v>750</v>
      </c>
      <c r="Z211" s="11" t="s">
        <v>178</v>
      </c>
      <c r="AA211" s="93"/>
      <c r="AB211" s="93" t="s">
        <v>2012</v>
      </c>
      <c r="AC211" s="93" t="s">
        <v>1954</v>
      </c>
      <c r="AD211" s="217" t="s">
        <v>904</v>
      </c>
      <c r="AE211" s="11" t="str">
        <f>IMAGE("https://makerbazar.in/cdn/shop/files/6015fanwithwire_600x.jpg?v=1695792315",1)</f>
        <v/>
      </c>
      <c r="AF211" s="78" t="s">
        <v>1688</v>
      </c>
      <c r="AG211" s="74"/>
      <c r="AH211" s="75"/>
      <c r="AI211" s="12"/>
      <c r="AJ211" s="11"/>
      <c r="AK211" s="12">
        <v>1.0</v>
      </c>
    </row>
    <row r="212" ht="40.5" customHeight="1">
      <c r="A212" s="11">
        <v>211.0</v>
      </c>
      <c r="B212" s="11" t="s">
        <v>173</v>
      </c>
      <c r="C212" s="11" t="s">
        <v>906</v>
      </c>
      <c r="D212" s="93" t="s">
        <v>1955</v>
      </c>
      <c r="E212" s="215" t="s">
        <v>891</v>
      </c>
      <c r="F212" s="216">
        <v>10.0</v>
      </c>
      <c r="G212" s="221" t="s">
        <v>2088</v>
      </c>
      <c r="H212" s="216">
        <v>10.0</v>
      </c>
      <c r="I212" s="763" t="b">
        <v>0</v>
      </c>
      <c r="J212" s="763" t="b">
        <v>0</v>
      </c>
      <c r="K212" s="763" t="b">
        <v>0</v>
      </c>
      <c r="L212" s="763" t="b">
        <v>0</v>
      </c>
      <c r="M212" s="763" t="b">
        <v>0</v>
      </c>
      <c r="N212" s="763" t="b">
        <v>0</v>
      </c>
      <c r="O212" s="763" t="b">
        <v>0</v>
      </c>
      <c r="P212" s="763" t="b">
        <v>0</v>
      </c>
      <c r="Q212" s="763" t="b">
        <v>0</v>
      </c>
      <c r="R212" s="763" t="b">
        <v>0</v>
      </c>
      <c r="S212" s="763" t="b">
        <v>0</v>
      </c>
      <c r="T212" s="763" t="b">
        <v>0</v>
      </c>
      <c r="U212" s="763" t="b">
        <v>0</v>
      </c>
      <c r="V212" s="763" t="b">
        <v>0</v>
      </c>
      <c r="W212" s="763" t="b">
        <v>0</v>
      </c>
      <c r="X212" s="216">
        <v>200.0</v>
      </c>
      <c r="Y212" s="11">
        <f t="shared" si="5"/>
        <v>2000</v>
      </c>
      <c r="Z212" s="11" t="s">
        <v>178</v>
      </c>
      <c r="AA212" s="93"/>
      <c r="AB212" s="93" t="s">
        <v>1895</v>
      </c>
      <c r="AC212" s="93" t="s">
        <v>1956</v>
      </c>
      <c r="AD212" s="217" t="s">
        <v>908</v>
      </c>
      <c r="AE212" s="11" t="str">
        <f>IMAGE("https://5.imimg.com/data5/II/UT/SO/SELLER-1968074/16x2-lcd-display-500x500.jpg",1)</f>
        <v/>
      </c>
      <c r="AF212" s="78" t="s">
        <v>1688</v>
      </c>
      <c r="AG212" s="74"/>
      <c r="AH212" s="75"/>
      <c r="AI212" s="12"/>
      <c r="AJ212" s="11"/>
      <c r="AK212" s="12">
        <v>1.0</v>
      </c>
    </row>
    <row r="213" ht="40.5" customHeight="1">
      <c r="A213" s="11">
        <v>212.0</v>
      </c>
      <c r="B213" s="11" t="s">
        <v>173</v>
      </c>
      <c r="C213" s="11" t="s">
        <v>910</v>
      </c>
      <c r="D213" s="93" t="s">
        <v>911</v>
      </c>
      <c r="E213" s="215" t="s">
        <v>891</v>
      </c>
      <c r="F213" s="216">
        <v>20.0</v>
      </c>
      <c r="G213" s="11" t="s">
        <v>1752</v>
      </c>
      <c r="H213" s="216">
        <v>20.0</v>
      </c>
      <c r="I213" s="763" t="b">
        <v>0</v>
      </c>
      <c r="J213" s="763" t="b">
        <v>0</v>
      </c>
      <c r="K213" s="763" t="b">
        <v>0</v>
      </c>
      <c r="L213" s="763" t="b">
        <v>0</v>
      </c>
      <c r="M213" s="763" t="b">
        <v>0</v>
      </c>
      <c r="N213" s="763" t="b">
        <v>0</v>
      </c>
      <c r="O213" s="763" t="b">
        <v>0</v>
      </c>
      <c r="P213" s="763" t="b">
        <v>0</v>
      </c>
      <c r="Q213" s="763" t="b">
        <v>0</v>
      </c>
      <c r="R213" s="763" t="b">
        <v>0</v>
      </c>
      <c r="S213" s="763" t="b">
        <v>0</v>
      </c>
      <c r="T213" s="763" t="b">
        <v>0</v>
      </c>
      <c r="U213" s="763" t="b">
        <v>0</v>
      </c>
      <c r="V213" s="763" t="b">
        <v>0</v>
      </c>
      <c r="W213" s="763" t="b">
        <v>0</v>
      </c>
      <c r="X213" s="216">
        <v>15.0</v>
      </c>
      <c r="Y213" s="11">
        <f t="shared" si="5"/>
        <v>300</v>
      </c>
      <c r="Z213" s="11" t="s">
        <v>178</v>
      </c>
      <c r="AA213" s="93"/>
      <c r="AB213" s="93" t="s">
        <v>2070</v>
      </c>
      <c r="AC213" s="93" t="s">
        <v>1903</v>
      </c>
      <c r="AD213" s="217" t="s">
        <v>912</v>
      </c>
      <c r="AE213" s="11" t="str">
        <f>IMAGE("https://ashokaonlineshop.in/wp-content/uploads/2022/11/650nm-Mini-Laser-Dot-Diode-Module1.jpeg",1)</f>
        <v/>
      </c>
      <c r="AF213" s="78" t="s">
        <v>1688</v>
      </c>
      <c r="AG213" s="79"/>
      <c r="AH213" s="80"/>
      <c r="AI213" s="12"/>
      <c r="AJ213" s="11"/>
      <c r="AK213" s="12">
        <v>1.0</v>
      </c>
    </row>
    <row r="214" ht="40.5" customHeight="1">
      <c r="A214" s="11">
        <v>213.0</v>
      </c>
      <c r="B214" s="11" t="s">
        <v>173</v>
      </c>
      <c r="C214" s="11" t="s">
        <v>914</v>
      </c>
      <c r="D214" s="93" t="s">
        <v>1811</v>
      </c>
      <c r="E214" s="215" t="s">
        <v>891</v>
      </c>
      <c r="F214" s="216">
        <v>10.0</v>
      </c>
      <c r="G214" s="11" t="s">
        <v>1812</v>
      </c>
      <c r="H214" s="216">
        <v>10.0</v>
      </c>
      <c r="I214" s="763" t="b">
        <v>0</v>
      </c>
      <c r="J214" s="763" t="b">
        <v>0</v>
      </c>
      <c r="K214" s="763" t="b">
        <v>0</v>
      </c>
      <c r="L214" s="763" t="b">
        <v>0</v>
      </c>
      <c r="M214" s="763" t="b">
        <v>0</v>
      </c>
      <c r="N214" s="763" t="b">
        <v>0</v>
      </c>
      <c r="O214" s="763" t="b">
        <v>0</v>
      </c>
      <c r="P214" s="763" t="b">
        <v>0</v>
      </c>
      <c r="Q214" s="763" t="b">
        <v>0</v>
      </c>
      <c r="R214" s="763" t="b">
        <v>0</v>
      </c>
      <c r="S214" s="763" t="b">
        <v>0</v>
      </c>
      <c r="T214" s="763" t="b">
        <v>0</v>
      </c>
      <c r="U214" s="763" t="b">
        <v>0</v>
      </c>
      <c r="V214" s="763" t="b">
        <v>0</v>
      </c>
      <c r="W214" s="763" t="b">
        <v>0</v>
      </c>
      <c r="X214" s="216">
        <v>300.0</v>
      </c>
      <c r="Y214" s="11">
        <f t="shared" si="5"/>
        <v>3000</v>
      </c>
      <c r="Z214" s="11" t="s">
        <v>178</v>
      </c>
      <c r="AA214" s="93"/>
      <c r="AB214" s="93" t="s">
        <v>2062</v>
      </c>
      <c r="AC214" s="93" t="s">
        <v>1956</v>
      </c>
      <c r="AD214" s="217" t="s">
        <v>916</v>
      </c>
      <c r="AE214" s="11" t="str">
        <f>IMAGE("https://m.media-amazon.com/images/I/51l+Qhaiu3L._SL1000_.jpg",1)</f>
        <v/>
      </c>
      <c r="AF214" s="78" t="s">
        <v>1688</v>
      </c>
      <c r="AG214" s="74"/>
      <c r="AH214" s="75"/>
      <c r="AI214" s="12"/>
      <c r="AJ214" s="11"/>
      <c r="AK214" s="12">
        <v>1.0</v>
      </c>
    </row>
    <row r="215" ht="40.5" customHeight="1">
      <c r="A215" s="11">
        <v>214.0</v>
      </c>
      <c r="B215" s="11" t="s">
        <v>173</v>
      </c>
      <c r="C215" s="11" t="s">
        <v>918</v>
      </c>
      <c r="D215" s="93" t="s">
        <v>1820</v>
      </c>
      <c r="E215" s="215" t="s">
        <v>891</v>
      </c>
      <c r="F215" s="216">
        <v>10.0</v>
      </c>
      <c r="G215" s="11" t="s">
        <v>1819</v>
      </c>
      <c r="H215" s="216">
        <v>10.0</v>
      </c>
      <c r="I215" s="763" t="b">
        <v>0</v>
      </c>
      <c r="J215" s="763" t="b">
        <v>0</v>
      </c>
      <c r="K215" s="763" t="b">
        <v>0</v>
      </c>
      <c r="L215" s="763" t="b">
        <v>0</v>
      </c>
      <c r="M215" s="763" t="b">
        <v>0</v>
      </c>
      <c r="N215" s="763" t="b">
        <v>0</v>
      </c>
      <c r="O215" s="763" t="b">
        <v>0</v>
      </c>
      <c r="P215" s="763" t="b">
        <v>0</v>
      </c>
      <c r="Q215" s="763" t="b">
        <v>0</v>
      </c>
      <c r="R215" s="763" t="b">
        <v>0</v>
      </c>
      <c r="S215" s="763" t="b">
        <v>0</v>
      </c>
      <c r="T215" s="763" t="b">
        <v>0</v>
      </c>
      <c r="U215" s="763" t="b">
        <v>0</v>
      </c>
      <c r="V215" s="763" t="b">
        <v>0</v>
      </c>
      <c r="W215" s="763" t="b">
        <v>0</v>
      </c>
      <c r="X215" s="216">
        <v>100.0</v>
      </c>
      <c r="Y215" s="11">
        <f t="shared" si="5"/>
        <v>1000</v>
      </c>
      <c r="Z215" s="11" t="s">
        <v>178</v>
      </c>
      <c r="AA215" s="93"/>
      <c r="AB215" s="93" t="s">
        <v>2089</v>
      </c>
      <c r="AC215" s="93" t="s">
        <v>1905</v>
      </c>
      <c r="AD215" s="217" t="s">
        <v>920</v>
      </c>
      <c r="AE215" s="11" t="str">
        <f>IMAGE("https://rukminim1.flixcart.com/image/850/1000/k62i5jk0/solar-panel/7/g/q/diy-projects-6v-80ma-wire-attached-mini-power-solar-cells-for-original-imafzm93vcqqnsat.jpeg?q=20")</f>
        <v/>
      </c>
      <c r="AF215" s="78" t="s">
        <v>1688</v>
      </c>
      <c r="AG215" s="74"/>
      <c r="AH215" s="75"/>
      <c r="AI215" s="12"/>
      <c r="AJ215" s="11"/>
      <c r="AK215" s="12">
        <v>1.0</v>
      </c>
    </row>
    <row r="216" ht="40.5" customHeight="1">
      <c r="A216" s="11">
        <v>215.0</v>
      </c>
      <c r="B216" s="11" t="s">
        <v>173</v>
      </c>
      <c r="C216" s="11" t="s">
        <v>922</v>
      </c>
      <c r="D216" s="93" t="s">
        <v>923</v>
      </c>
      <c r="E216" s="215" t="s">
        <v>891</v>
      </c>
      <c r="F216" s="216">
        <v>5.0</v>
      </c>
      <c r="G216" s="250" t="s">
        <v>2090</v>
      </c>
      <c r="H216" s="216">
        <v>5.0</v>
      </c>
      <c r="I216" s="763" t="b">
        <v>0</v>
      </c>
      <c r="J216" s="763" t="b">
        <v>0</v>
      </c>
      <c r="K216" s="763" t="b">
        <v>0</v>
      </c>
      <c r="L216" s="763" t="b">
        <v>0</v>
      </c>
      <c r="M216" s="763" t="b">
        <v>0</v>
      </c>
      <c r="N216" s="763" t="b">
        <v>0</v>
      </c>
      <c r="O216" s="763" t="b">
        <v>0</v>
      </c>
      <c r="P216" s="763" t="b">
        <v>0</v>
      </c>
      <c r="Q216" s="763" t="b">
        <v>0</v>
      </c>
      <c r="R216" s="763" t="b">
        <v>0</v>
      </c>
      <c r="S216" s="763" t="b">
        <v>0</v>
      </c>
      <c r="T216" s="763" t="b">
        <v>0</v>
      </c>
      <c r="U216" s="763" t="b">
        <v>0</v>
      </c>
      <c r="V216" s="763" t="b">
        <v>0</v>
      </c>
      <c r="W216" s="763" t="b">
        <v>0</v>
      </c>
      <c r="X216" s="216">
        <v>250.0</v>
      </c>
      <c r="Y216" s="11">
        <f t="shared" si="5"/>
        <v>1250</v>
      </c>
      <c r="Z216" s="11" t="s">
        <v>178</v>
      </c>
      <c r="AA216" s="93"/>
      <c r="AB216" s="93" t="s">
        <v>1895</v>
      </c>
      <c r="AC216" s="93" t="s">
        <v>1947</v>
      </c>
      <c r="AD216" s="217" t="s">
        <v>924</v>
      </c>
      <c r="AE216" s="11" t="str">
        <f>IMAGE("https://robu.in/wp-content/uploads/2017/06/robu-3-13.jpg",1)</f>
        <v/>
      </c>
      <c r="AF216" s="78" t="s">
        <v>1688</v>
      </c>
      <c r="AG216" s="74"/>
      <c r="AH216" s="75"/>
      <c r="AI216" s="12"/>
      <c r="AJ216" s="11"/>
      <c r="AK216" s="12">
        <v>1.0</v>
      </c>
    </row>
    <row r="217" ht="40.5" customHeight="1">
      <c r="A217" s="11">
        <v>216.0</v>
      </c>
      <c r="B217" s="11" t="s">
        <v>173</v>
      </c>
      <c r="C217" s="11" t="s">
        <v>926</v>
      </c>
      <c r="D217" s="93" t="s">
        <v>927</v>
      </c>
      <c r="E217" s="215" t="s">
        <v>891</v>
      </c>
      <c r="F217" s="216">
        <v>10.0</v>
      </c>
      <c r="G217" s="11" t="s">
        <v>2091</v>
      </c>
      <c r="H217" s="216">
        <v>10.0</v>
      </c>
      <c r="I217" s="763" t="b">
        <v>0</v>
      </c>
      <c r="J217" s="763" t="b">
        <v>0</v>
      </c>
      <c r="K217" s="763" t="b">
        <v>0</v>
      </c>
      <c r="L217" s="763" t="b">
        <v>0</v>
      </c>
      <c r="M217" s="763" t="b">
        <v>0</v>
      </c>
      <c r="N217" s="763" t="b">
        <v>0</v>
      </c>
      <c r="O217" s="763" t="b">
        <v>0</v>
      </c>
      <c r="P217" s="763" t="b">
        <v>0</v>
      </c>
      <c r="Q217" s="763" t="b">
        <v>0</v>
      </c>
      <c r="R217" s="763" t="b">
        <v>0</v>
      </c>
      <c r="S217" s="763" t="b">
        <v>0</v>
      </c>
      <c r="T217" s="763" t="b">
        <v>0</v>
      </c>
      <c r="U217" s="763" t="b">
        <v>0</v>
      </c>
      <c r="V217" s="763" t="b">
        <v>0</v>
      </c>
      <c r="W217" s="763" t="b">
        <v>0</v>
      </c>
      <c r="X217" s="216">
        <v>50.0</v>
      </c>
      <c r="Y217" s="11">
        <f t="shared" si="5"/>
        <v>500</v>
      </c>
      <c r="Z217" s="11" t="s">
        <v>178</v>
      </c>
      <c r="AA217" s="93"/>
      <c r="AB217" s="93" t="s">
        <v>1895</v>
      </c>
      <c r="AC217" s="93" t="s">
        <v>1941</v>
      </c>
      <c r="AD217" s="217"/>
      <c r="AE217" s="11" t="str">
        <f>IMAGE("https://robu.in/wp-content/uploads/2021/05/0.5W-8OHM-Trumpet-Diameter-36mm-1.jpeg",1)</f>
        <v/>
      </c>
      <c r="AF217" s="78" t="s">
        <v>1688</v>
      </c>
      <c r="AG217" s="74"/>
      <c r="AH217" s="75"/>
      <c r="AI217" s="12"/>
      <c r="AJ217" s="11"/>
      <c r="AK217" s="12">
        <v>1.0</v>
      </c>
    </row>
    <row r="218" ht="40.5" customHeight="1">
      <c r="A218" s="11">
        <v>217.0</v>
      </c>
      <c r="B218" s="11" t="s">
        <v>173</v>
      </c>
      <c r="C218" s="11" t="s">
        <v>929</v>
      </c>
      <c r="D218" s="93" t="s">
        <v>930</v>
      </c>
      <c r="E218" s="215" t="s">
        <v>891</v>
      </c>
      <c r="F218" s="216">
        <v>10.0</v>
      </c>
      <c r="G218" s="11" t="s">
        <v>2092</v>
      </c>
      <c r="H218" s="216">
        <v>10.0</v>
      </c>
      <c r="I218" s="763" t="b">
        <v>0</v>
      </c>
      <c r="J218" s="763" t="b">
        <v>0</v>
      </c>
      <c r="K218" s="763" t="b">
        <v>0</v>
      </c>
      <c r="L218" s="763" t="b">
        <v>0</v>
      </c>
      <c r="M218" s="763" t="b">
        <v>0</v>
      </c>
      <c r="N218" s="763" t="b">
        <v>0</v>
      </c>
      <c r="O218" s="763" t="b">
        <v>0</v>
      </c>
      <c r="P218" s="763" t="b">
        <v>0</v>
      </c>
      <c r="Q218" s="763" t="b">
        <v>0</v>
      </c>
      <c r="R218" s="763" t="b">
        <v>0</v>
      </c>
      <c r="S218" s="763" t="b">
        <v>0</v>
      </c>
      <c r="T218" s="763" t="b">
        <v>0</v>
      </c>
      <c r="U218" s="763" t="b">
        <v>0</v>
      </c>
      <c r="V218" s="763" t="b">
        <v>0</v>
      </c>
      <c r="W218" s="763" t="b">
        <v>0</v>
      </c>
      <c r="X218" s="216">
        <v>40.0</v>
      </c>
      <c r="Y218" s="11">
        <f t="shared" si="5"/>
        <v>400</v>
      </c>
      <c r="Z218" s="11" t="s">
        <v>178</v>
      </c>
      <c r="AA218" s="93"/>
      <c r="AB218" s="93" t="s">
        <v>1895</v>
      </c>
      <c r="AC218" s="93" t="s">
        <v>1954</v>
      </c>
      <c r="AD218" s="217" t="s">
        <v>931</v>
      </c>
      <c r="AE218" s="11" t="str">
        <f>IMAGE("https://5.imimg.com/data5/SELLER/Default/2023/2/OP/GV/HH/182244990/water-pump-module-1000x1000.jpg",1)</f>
        <v/>
      </c>
      <c r="AF218" s="78" t="s">
        <v>1688</v>
      </c>
      <c r="AG218" s="74"/>
      <c r="AH218" s="75"/>
      <c r="AI218" s="12"/>
      <c r="AJ218" s="11"/>
      <c r="AK218" s="12">
        <v>1.0</v>
      </c>
    </row>
    <row r="219" ht="40.5" customHeight="1">
      <c r="A219" s="11">
        <v>218.0</v>
      </c>
      <c r="B219" s="222" t="s">
        <v>173</v>
      </c>
      <c r="C219" s="222" t="s">
        <v>933</v>
      </c>
      <c r="D219" s="232" t="s">
        <v>934</v>
      </c>
      <c r="E219" s="233" t="s">
        <v>891</v>
      </c>
      <c r="F219" s="222">
        <v>15.0</v>
      </c>
      <c r="G219" s="11"/>
      <c r="H219" s="222">
        <v>15.0</v>
      </c>
      <c r="I219" s="763" t="b">
        <v>0</v>
      </c>
      <c r="J219" s="763" t="b">
        <v>0</v>
      </c>
      <c r="K219" s="763" t="b">
        <v>0</v>
      </c>
      <c r="L219" s="763" t="b">
        <v>0</v>
      </c>
      <c r="M219" s="763" t="b">
        <v>0</v>
      </c>
      <c r="N219" s="763" t="b">
        <v>0</v>
      </c>
      <c r="O219" s="763" t="b">
        <v>0</v>
      </c>
      <c r="P219" s="763" t="b">
        <v>0</v>
      </c>
      <c r="Q219" s="763" t="b">
        <v>0</v>
      </c>
      <c r="R219" s="763" t="b">
        <v>0</v>
      </c>
      <c r="S219" s="763" t="b">
        <v>0</v>
      </c>
      <c r="T219" s="763" t="b">
        <v>0</v>
      </c>
      <c r="U219" s="763" t="b">
        <v>0</v>
      </c>
      <c r="V219" s="763" t="b">
        <v>0</v>
      </c>
      <c r="W219" s="763" t="b">
        <v>0</v>
      </c>
      <c r="X219" s="222">
        <v>21.0</v>
      </c>
      <c r="Y219" s="222">
        <f t="shared" si="5"/>
        <v>315</v>
      </c>
      <c r="Z219" s="222" t="s">
        <v>178</v>
      </c>
      <c r="AA219" s="232"/>
      <c r="AB219" s="232" t="s">
        <v>935</v>
      </c>
      <c r="AC219" s="232" t="s">
        <v>1909</v>
      </c>
      <c r="AD219" s="235" t="s">
        <v>937</v>
      </c>
      <c r="AE219" s="222" t="str">
        <f>IMAGE("https://robu.in/wp-content/uploads/2020/10/TP4056-1A-Li-ion-lithium-Battery-Charging-Module-With-Current-Protection-Type-C-2.png",1)</f>
        <v/>
      </c>
      <c r="AF219" s="358"/>
      <c r="AG219" s="359"/>
      <c r="AH219" s="336"/>
      <c r="AI219" s="360"/>
      <c r="AJ219" s="222"/>
      <c r="AK219" s="299">
        <v>2.0</v>
      </c>
    </row>
    <row r="220" ht="40.5" customHeight="1">
      <c r="A220" s="11">
        <v>219.0</v>
      </c>
      <c r="B220" s="11" t="s">
        <v>173</v>
      </c>
      <c r="C220" s="11" t="s">
        <v>939</v>
      </c>
      <c r="D220" s="93" t="s">
        <v>940</v>
      </c>
      <c r="E220" s="215" t="s">
        <v>891</v>
      </c>
      <c r="F220" s="216">
        <v>5.0</v>
      </c>
      <c r="G220" s="11" t="s">
        <v>1814</v>
      </c>
      <c r="H220" s="216">
        <v>5.0</v>
      </c>
      <c r="I220" s="763" t="b">
        <v>0</v>
      </c>
      <c r="J220" s="763" t="b">
        <v>0</v>
      </c>
      <c r="K220" s="763" t="b">
        <v>0</v>
      </c>
      <c r="L220" s="763" t="b">
        <v>0</v>
      </c>
      <c r="M220" s="763" t="b">
        <v>0</v>
      </c>
      <c r="N220" s="763" t="b">
        <v>0</v>
      </c>
      <c r="O220" s="763" t="b">
        <v>0</v>
      </c>
      <c r="P220" s="763" t="b">
        <v>0</v>
      </c>
      <c r="Q220" s="763" t="b">
        <v>0</v>
      </c>
      <c r="R220" s="763" t="b">
        <v>0</v>
      </c>
      <c r="S220" s="763" t="b">
        <v>0</v>
      </c>
      <c r="T220" s="763" t="b">
        <v>0</v>
      </c>
      <c r="U220" s="763" t="b">
        <v>0</v>
      </c>
      <c r="V220" s="763" t="b">
        <v>0</v>
      </c>
      <c r="W220" s="763" t="b">
        <v>0</v>
      </c>
      <c r="X220" s="216">
        <v>250.0</v>
      </c>
      <c r="Y220" s="11">
        <f t="shared" si="5"/>
        <v>1250</v>
      </c>
      <c r="Z220" s="11" t="s">
        <v>178</v>
      </c>
      <c r="AA220" s="93"/>
      <c r="AB220" s="93" t="s">
        <v>2062</v>
      </c>
      <c r="AC220" s="93" t="s">
        <v>1947</v>
      </c>
      <c r="AD220" s="217"/>
      <c r="AE220" s="11" t="str">
        <f>IMAGE("https://robu.in/wp-content/uploads/2016/03/Ublox-Neo-6M-GPS.jpg",1)</f>
        <v/>
      </c>
      <c r="AF220" s="78" t="s">
        <v>1688</v>
      </c>
      <c r="AG220" s="74"/>
      <c r="AH220" s="75"/>
      <c r="AI220" s="12"/>
      <c r="AJ220" s="11"/>
      <c r="AK220" s="12">
        <v>1.0</v>
      </c>
    </row>
    <row r="221" ht="40.5" customHeight="1">
      <c r="A221" s="11">
        <v>220.0</v>
      </c>
      <c r="B221" s="11" t="s">
        <v>173</v>
      </c>
      <c r="C221" s="11" t="s">
        <v>942</v>
      </c>
      <c r="D221" s="93" t="s">
        <v>943</v>
      </c>
      <c r="E221" s="215" t="s">
        <v>891</v>
      </c>
      <c r="F221" s="216">
        <v>5.0</v>
      </c>
      <c r="G221" s="11" t="s">
        <v>1815</v>
      </c>
      <c r="H221" s="216">
        <v>5.0</v>
      </c>
      <c r="I221" s="763" t="b">
        <v>0</v>
      </c>
      <c r="J221" s="763" t="b">
        <v>0</v>
      </c>
      <c r="K221" s="763" t="b">
        <v>0</v>
      </c>
      <c r="L221" s="763" t="b">
        <v>0</v>
      </c>
      <c r="M221" s="763" t="b">
        <v>0</v>
      </c>
      <c r="N221" s="763" t="b">
        <v>0</v>
      </c>
      <c r="O221" s="763" t="b">
        <v>0</v>
      </c>
      <c r="P221" s="763" t="b">
        <v>0</v>
      </c>
      <c r="Q221" s="763" t="b">
        <v>0</v>
      </c>
      <c r="R221" s="763" t="b">
        <v>0</v>
      </c>
      <c r="S221" s="763" t="b">
        <v>0</v>
      </c>
      <c r="T221" s="763" t="b">
        <v>0</v>
      </c>
      <c r="U221" s="763" t="b">
        <v>0</v>
      </c>
      <c r="V221" s="763" t="b">
        <v>0</v>
      </c>
      <c r="W221" s="763" t="b">
        <v>0</v>
      </c>
      <c r="X221" s="216">
        <v>40.0</v>
      </c>
      <c r="Y221" s="11">
        <f t="shared" si="5"/>
        <v>200</v>
      </c>
      <c r="Z221" s="11" t="s">
        <v>178</v>
      </c>
      <c r="AA221" s="93"/>
      <c r="AB221" s="93" t="s">
        <v>2070</v>
      </c>
      <c r="AC221" s="93" t="s">
        <v>1947</v>
      </c>
      <c r="AD221" s="217" t="s">
        <v>944</v>
      </c>
      <c r="AE221" s="11" t="str">
        <f>IMAGE("https://m.media-amazon.com/images/W/MEDIAX_792452-T2/images/I/51cWZAAMiWL._SL1000_.jpg",1)</f>
        <v/>
      </c>
      <c r="AF221" s="78" t="s">
        <v>1688</v>
      </c>
      <c r="AG221" s="74"/>
      <c r="AH221" s="75"/>
      <c r="AI221" s="12"/>
      <c r="AJ221" s="11"/>
      <c r="AK221" s="12">
        <v>1.0</v>
      </c>
    </row>
    <row r="222" ht="40.5" customHeight="1">
      <c r="A222" s="11">
        <v>221.0</v>
      </c>
      <c r="B222" s="11" t="s">
        <v>173</v>
      </c>
      <c r="C222" s="11" t="s">
        <v>946</v>
      </c>
      <c r="D222" s="93" t="s">
        <v>947</v>
      </c>
      <c r="E222" s="215" t="s">
        <v>891</v>
      </c>
      <c r="F222" s="216">
        <v>5.0</v>
      </c>
      <c r="G222" s="11" t="s">
        <v>1819</v>
      </c>
      <c r="H222" s="216">
        <v>5.0</v>
      </c>
      <c r="I222" s="763" t="b">
        <v>0</v>
      </c>
      <c r="J222" s="763" t="b">
        <v>0</v>
      </c>
      <c r="K222" s="763" t="b">
        <v>0</v>
      </c>
      <c r="L222" s="763" t="b">
        <v>0</v>
      </c>
      <c r="M222" s="763" t="b">
        <v>0</v>
      </c>
      <c r="N222" s="763" t="b">
        <v>0</v>
      </c>
      <c r="O222" s="763" t="b">
        <v>0</v>
      </c>
      <c r="P222" s="763" t="b">
        <v>0</v>
      </c>
      <c r="Q222" s="763" t="b">
        <v>0</v>
      </c>
      <c r="R222" s="763" t="b">
        <v>0</v>
      </c>
      <c r="S222" s="763" t="b">
        <v>0</v>
      </c>
      <c r="T222" s="763" t="b">
        <v>0</v>
      </c>
      <c r="U222" s="763" t="b">
        <v>0</v>
      </c>
      <c r="V222" s="763" t="b">
        <v>0</v>
      </c>
      <c r="W222" s="763" t="b">
        <v>0</v>
      </c>
      <c r="X222" s="216">
        <v>40.0</v>
      </c>
      <c r="Y222" s="11">
        <f t="shared" si="5"/>
        <v>200</v>
      </c>
      <c r="Z222" s="11" t="s">
        <v>178</v>
      </c>
      <c r="AA222" s="93"/>
      <c r="AB222" s="93" t="s">
        <v>2070</v>
      </c>
      <c r="AC222" s="93" t="s">
        <v>1947</v>
      </c>
      <c r="AD222" s="217"/>
      <c r="AE222" s="11" t="str">
        <f>IMAGE("https://m.media-amazon.com/images/W/MEDIAX_792452-T2/images/I/61wbYlIdx0L._SL1500_.jpg",1)</f>
        <v/>
      </c>
      <c r="AF222" s="78" t="s">
        <v>1688</v>
      </c>
      <c r="AG222" s="74"/>
      <c r="AH222" s="75"/>
      <c r="AI222" s="12"/>
      <c r="AJ222" s="11"/>
      <c r="AK222" s="12">
        <v>1.0</v>
      </c>
    </row>
    <row r="223" ht="40.5" customHeight="1">
      <c r="A223" s="11">
        <v>222.0</v>
      </c>
      <c r="B223" s="11" t="s">
        <v>173</v>
      </c>
      <c r="C223" s="11" t="s">
        <v>949</v>
      </c>
      <c r="D223" s="93" t="s">
        <v>950</v>
      </c>
      <c r="E223" s="215" t="s">
        <v>891</v>
      </c>
      <c r="F223" s="216">
        <v>10.0</v>
      </c>
      <c r="G223" s="11" t="s">
        <v>1809</v>
      </c>
      <c r="H223" s="216">
        <v>10.0</v>
      </c>
      <c r="I223" s="763" t="b">
        <v>0</v>
      </c>
      <c r="J223" s="763" t="b">
        <v>0</v>
      </c>
      <c r="K223" s="763" t="b">
        <v>0</v>
      </c>
      <c r="L223" s="763" t="b">
        <v>0</v>
      </c>
      <c r="M223" s="763" t="b">
        <v>0</v>
      </c>
      <c r="N223" s="763" t="b">
        <v>0</v>
      </c>
      <c r="O223" s="763" t="b">
        <v>0</v>
      </c>
      <c r="P223" s="763" t="b">
        <v>0</v>
      </c>
      <c r="Q223" s="763" t="b">
        <v>0</v>
      </c>
      <c r="R223" s="763" t="b">
        <v>0</v>
      </c>
      <c r="S223" s="763" t="b">
        <v>0</v>
      </c>
      <c r="T223" s="763" t="b">
        <v>0</v>
      </c>
      <c r="U223" s="763" t="b">
        <v>0</v>
      </c>
      <c r="V223" s="763" t="b">
        <v>0</v>
      </c>
      <c r="W223" s="763" t="b">
        <v>0</v>
      </c>
      <c r="X223" s="216">
        <v>40.0</v>
      </c>
      <c r="Y223" s="11">
        <f t="shared" si="5"/>
        <v>400</v>
      </c>
      <c r="Z223" s="11" t="s">
        <v>178</v>
      </c>
      <c r="AA223" s="93"/>
      <c r="AB223" s="93" t="s">
        <v>2062</v>
      </c>
      <c r="AC223" s="93" t="s">
        <v>1947</v>
      </c>
      <c r="AD223" s="217" t="s">
        <v>951</v>
      </c>
      <c r="AE223" s="11" t="str">
        <f>IMAGE("https://5.imimg.com/data5/SELLER/Default/2022/9/HX/YZ/GJ/43948449/micro-sd-card-adapter-with-level-shifter-500x500.png",1)</f>
        <v/>
      </c>
      <c r="AF223" s="78" t="s">
        <v>1688</v>
      </c>
      <c r="AG223" s="74"/>
      <c r="AH223" s="75"/>
      <c r="AI223" s="12"/>
      <c r="AJ223" s="11"/>
      <c r="AK223" s="12">
        <v>1.0</v>
      </c>
    </row>
    <row r="224" ht="40.5" customHeight="1">
      <c r="A224" s="11">
        <v>223.0</v>
      </c>
      <c r="B224" s="11" t="s">
        <v>173</v>
      </c>
      <c r="C224" s="11" t="s">
        <v>953</v>
      </c>
      <c r="D224" s="93" t="s">
        <v>1958</v>
      </c>
      <c r="E224" s="215" t="s">
        <v>891</v>
      </c>
      <c r="F224" s="216">
        <v>10.0</v>
      </c>
      <c r="G224" s="221" t="s">
        <v>2061</v>
      </c>
      <c r="H224" s="216">
        <v>10.0</v>
      </c>
      <c r="I224" s="763" t="b">
        <v>0</v>
      </c>
      <c r="J224" s="763" t="b">
        <v>0</v>
      </c>
      <c r="K224" s="763" t="b">
        <v>0</v>
      </c>
      <c r="L224" s="763" t="b">
        <v>0</v>
      </c>
      <c r="M224" s="763" t="b">
        <v>0</v>
      </c>
      <c r="N224" s="763" t="b">
        <v>0</v>
      </c>
      <c r="O224" s="763" t="b">
        <v>0</v>
      </c>
      <c r="P224" s="763" t="b">
        <v>0</v>
      </c>
      <c r="Q224" s="763" t="b">
        <v>0</v>
      </c>
      <c r="R224" s="763" t="b">
        <v>0</v>
      </c>
      <c r="S224" s="763" t="b">
        <v>0</v>
      </c>
      <c r="T224" s="763" t="b">
        <v>0</v>
      </c>
      <c r="U224" s="763" t="b">
        <v>0</v>
      </c>
      <c r="V224" s="763" t="b">
        <v>0</v>
      </c>
      <c r="W224" s="763" t="b">
        <v>0</v>
      </c>
      <c r="X224" s="216">
        <v>200.0</v>
      </c>
      <c r="Y224" s="11">
        <f t="shared" si="5"/>
        <v>2000</v>
      </c>
      <c r="Z224" s="11" t="s">
        <v>178</v>
      </c>
      <c r="AA224" s="93"/>
      <c r="AB224" s="93" t="s">
        <v>1594</v>
      </c>
      <c r="AC224" s="93" t="s">
        <v>1947</v>
      </c>
      <c r="AD224" s="223" t="s">
        <v>955</v>
      </c>
      <c r="AE224" s="11" t="str">
        <f>IMAGE("https://robu.in/wp-content/uploads/2020/09/L298P-Motor-Driver-Shield-for-Arduino-3.jpg",1)</f>
        <v/>
      </c>
      <c r="AF224" s="78" t="s">
        <v>1688</v>
      </c>
      <c r="AG224" s="74"/>
      <c r="AH224" s="75"/>
      <c r="AI224" s="12"/>
      <c r="AJ224" s="11"/>
      <c r="AK224" s="12">
        <v>1.0</v>
      </c>
    </row>
    <row r="225" ht="40.5" customHeight="1">
      <c r="A225" s="11">
        <v>224.0</v>
      </c>
      <c r="B225" s="11" t="s">
        <v>173</v>
      </c>
      <c r="C225" s="11" t="s">
        <v>957</v>
      </c>
      <c r="D225" s="93" t="s">
        <v>1760</v>
      </c>
      <c r="E225" s="215" t="s">
        <v>891</v>
      </c>
      <c r="F225" s="216">
        <v>5.0</v>
      </c>
      <c r="G225" s="11" t="s">
        <v>1761</v>
      </c>
      <c r="H225" s="216">
        <v>5.0</v>
      </c>
      <c r="I225" s="763" t="b">
        <v>0</v>
      </c>
      <c r="J225" s="763" t="b">
        <v>0</v>
      </c>
      <c r="K225" s="763" t="b">
        <v>0</v>
      </c>
      <c r="L225" s="763" t="b">
        <v>0</v>
      </c>
      <c r="M225" s="763" t="b">
        <v>0</v>
      </c>
      <c r="N225" s="763" t="b">
        <v>0</v>
      </c>
      <c r="O225" s="763" t="b">
        <v>0</v>
      </c>
      <c r="P225" s="763" t="b">
        <v>0</v>
      </c>
      <c r="Q225" s="763" t="b">
        <v>0</v>
      </c>
      <c r="R225" s="763" t="b">
        <v>0</v>
      </c>
      <c r="S225" s="763" t="b">
        <v>0</v>
      </c>
      <c r="T225" s="763" t="b">
        <v>0</v>
      </c>
      <c r="U225" s="763" t="b">
        <v>0</v>
      </c>
      <c r="V225" s="763" t="b">
        <v>0</v>
      </c>
      <c r="W225" s="763" t="b">
        <v>0</v>
      </c>
      <c r="X225" s="216">
        <v>95.0</v>
      </c>
      <c r="Y225" s="11">
        <f t="shared" si="5"/>
        <v>475</v>
      </c>
      <c r="Z225" s="11" t="s">
        <v>178</v>
      </c>
      <c r="AA225" s="93"/>
      <c r="AB225" s="93" t="s">
        <v>2070</v>
      </c>
      <c r="AC225" s="93" t="s">
        <v>1947</v>
      </c>
      <c r="AD225" s="217" t="s">
        <v>959</v>
      </c>
      <c r="AE225" s="11" t="str">
        <f>IMAGE("https://m.media-amazon.com/images/I/41Y-5b4TQcL.jpg",1)</f>
        <v/>
      </c>
      <c r="AF225" s="78" t="s">
        <v>1688</v>
      </c>
      <c r="AG225" s="74"/>
      <c r="AH225" s="75"/>
      <c r="AI225" s="12"/>
      <c r="AJ225" s="11"/>
      <c r="AK225" s="12">
        <v>1.0</v>
      </c>
    </row>
    <row r="226" ht="40.5" customHeight="1">
      <c r="A226" s="11">
        <v>225.0</v>
      </c>
      <c r="B226" s="11" t="s">
        <v>173</v>
      </c>
      <c r="C226" s="11" t="s">
        <v>961</v>
      </c>
      <c r="D226" s="93" t="s">
        <v>962</v>
      </c>
      <c r="E226" s="215" t="s">
        <v>891</v>
      </c>
      <c r="F226" s="216">
        <v>10.0</v>
      </c>
      <c r="G226" s="221" t="s">
        <v>2093</v>
      </c>
      <c r="H226" s="216">
        <v>10.0</v>
      </c>
      <c r="I226" s="763" t="b">
        <v>0</v>
      </c>
      <c r="J226" s="763" t="b">
        <v>0</v>
      </c>
      <c r="K226" s="763" t="b">
        <v>0</v>
      </c>
      <c r="L226" s="763" t="b">
        <v>0</v>
      </c>
      <c r="M226" s="763" t="b">
        <v>0</v>
      </c>
      <c r="N226" s="763" t="b">
        <v>0</v>
      </c>
      <c r="O226" s="763" t="b">
        <v>0</v>
      </c>
      <c r="P226" s="763" t="b">
        <v>0</v>
      </c>
      <c r="Q226" s="763" t="b">
        <v>0</v>
      </c>
      <c r="R226" s="763" t="b">
        <v>0</v>
      </c>
      <c r="S226" s="763" t="b">
        <v>0</v>
      </c>
      <c r="T226" s="763" t="b">
        <v>0</v>
      </c>
      <c r="U226" s="763" t="b">
        <v>0</v>
      </c>
      <c r="V226" s="763" t="b">
        <v>0</v>
      </c>
      <c r="W226" s="763" t="b">
        <v>0</v>
      </c>
      <c r="X226" s="216">
        <v>500.0</v>
      </c>
      <c r="Y226" s="11">
        <f t="shared" si="5"/>
        <v>5000</v>
      </c>
      <c r="Z226" s="11" t="s">
        <v>178</v>
      </c>
      <c r="AA226" s="93"/>
      <c r="AB226" s="93" t="s">
        <v>1895</v>
      </c>
      <c r="AC226" s="93" t="s">
        <v>1947</v>
      </c>
      <c r="AD226" s="217" t="s">
        <v>963</v>
      </c>
      <c r="AE226" s="11" t="str">
        <f>IMAGE("https://robu.in/wp-content/uploads/2016/02/617hpF6cJbL._SL1000_.jpg",1)</f>
        <v/>
      </c>
      <c r="AF226" s="78" t="s">
        <v>1688</v>
      </c>
      <c r="AG226" s="74"/>
      <c r="AH226" s="75"/>
      <c r="AI226" s="5"/>
      <c r="AJ226" s="14"/>
      <c r="AK226" s="12">
        <v>1.0</v>
      </c>
    </row>
    <row r="227" ht="40.5" customHeight="1">
      <c r="A227" s="11">
        <v>226.0</v>
      </c>
      <c r="B227" s="222" t="s">
        <v>321</v>
      </c>
      <c r="C227" s="222" t="s">
        <v>965</v>
      </c>
      <c r="D227" s="232" t="s">
        <v>1959</v>
      </c>
      <c r="E227" s="233" t="s">
        <v>326</v>
      </c>
      <c r="F227" s="234">
        <v>6.0</v>
      </c>
      <c r="G227" s="11" t="s">
        <v>2094</v>
      </c>
      <c r="H227" s="234">
        <v>6.0</v>
      </c>
      <c r="I227" s="763" t="b">
        <v>0</v>
      </c>
      <c r="J227" s="763" t="b">
        <v>0</v>
      </c>
      <c r="K227" s="763" t="b">
        <v>0</v>
      </c>
      <c r="L227" s="763" t="b">
        <v>0</v>
      </c>
      <c r="M227" s="763" t="b">
        <v>0</v>
      </c>
      <c r="N227" s="763" t="b">
        <v>0</v>
      </c>
      <c r="O227" s="763" t="b">
        <v>0</v>
      </c>
      <c r="P227" s="763" t="b">
        <v>0</v>
      </c>
      <c r="Q227" s="763" t="b">
        <v>0</v>
      </c>
      <c r="R227" s="763" t="b">
        <v>0</v>
      </c>
      <c r="S227" s="763" t="b">
        <v>0</v>
      </c>
      <c r="T227" s="763" t="b">
        <v>0</v>
      </c>
      <c r="U227" s="763" t="b">
        <v>0</v>
      </c>
      <c r="V227" s="763" t="b">
        <v>0</v>
      </c>
      <c r="W227" s="763" t="b">
        <v>0</v>
      </c>
      <c r="X227" s="234">
        <v>600.0</v>
      </c>
      <c r="Y227" s="222">
        <f t="shared" si="5"/>
        <v>3600</v>
      </c>
      <c r="Z227" s="222" t="s">
        <v>326</v>
      </c>
      <c r="AA227" s="622"/>
      <c r="AB227" s="232" t="s">
        <v>1960</v>
      </c>
      <c r="AC227" s="232" t="s">
        <v>1901</v>
      </c>
      <c r="AD227" s="357" t="s">
        <v>967</v>
      </c>
      <c r="AE227" s="222" t="str">
        <f>IMAGE("https://www.220converters.com/resize/Shared/images/Product/Seven-Star-ES5C-220-Volt-Universal-5-Outlet-Power-Strip-With-Surge-Protection-220V-240V/es5c.jpg?bw=500&amp;bh=500",1)</f>
        <v/>
      </c>
      <c r="AF227" s="358"/>
      <c r="AG227" s="359"/>
      <c r="AH227" s="336"/>
      <c r="AI227" s="623"/>
      <c r="AJ227" s="222"/>
      <c r="AK227" s="299">
        <v>1.0</v>
      </c>
    </row>
    <row r="228" ht="40.5" customHeight="1">
      <c r="A228" s="11">
        <v>227.0</v>
      </c>
      <c r="B228" s="222" t="s">
        <v>321</v>
      </c>
      <c r="C228" s="222" t="s">
        <v>969</v>
      </c>
      <c r="D228" s="232" t="s">
        <v>970</v>
      </c>
      <c r="E228" s="233" t="s">
        <v>326</v>
      </c>
      <c r="F228" s="234">
        <v>1.0</v>
      </c>
      <c r="G228" s="11" t="s">
        <v>2095</v>
      </c>
      <c r="H228" s="234">
        <v>1.0</v>
      </c>
      <c r="I228" s="763" t="b">
        <v>0</v>
      </c>
      <c r="J228" s="763" t="b">
        <v>0</v>
      </c>
      <c r="K228" s="763" t="b">
        <v>0</v>
      </c>
      <c r="L228" s="763" t="b">
        <v>0</v>
      </c>
      <c r="M228" s="763" t="b">
        <v>0</v>
      </c>
      <c r="N228" s="763" t="b">
        <v>0</v>
      </c>
      <c r="O228" s="763" t="b">
        <v>0</v>
      </c>
      <c r="P228" s="763" t="b">
        <v>0</v>
      </c>
      <c r="Q228" s="763" t="b">
        <v>0</v>
      </c>
      <c r="R228" s="763" t="b">
        <v>0</v>
      </c>
      <c r="S228" s="763" t="b">
        <v>0</v>
      </c>
      <c r="T228" s="763" t="b">
        <v>0</v>
      </c>
      <c r="U228" s="763" t="b">
        <v>0</v>
      </c>
      <c r="V228" s="763" t="b">
        <v>0</v>
      </c>
      <c r="W228" s="763" t="b">
        <v>0</v>
      </c>
      <c r="X228" s="234">
        <v>2000.0</v>
      </c>
      <c r="Y228" s="222">
        <f t="shared" si="5"/>
        <v>2000</v>
      </c>
      <c r="Z228" s="222" t="s">
        <v>326</v>
      </c>
      <c r="AA228" s="232"/>
      <c r="AB228" s="232"/>
      <c r="AC228" s="232" t="s">
        <v>1901</v>
      </c>
      <c r="AD228" s="235" t="s">
        <v>971</v>
      </c>
      <c r="AE228" s="222" t="str">
        <f>IMAGE("https://www.jiomart.com/images/product/original/491503417/mi-home-security-camera-digital-o491503417-p590045677-0-202010110622.jpeg")</f>
        <v/>
      </c>
      <c r="AF228" s="619" t="s">
        <v>1684</v>
      </c>
      <c r="AG228" s="359">
        <v>55.0</v>
      </c>
      <c r="AH228" s="336"/>
      <c r="AI228" s="360"/>
      <c r="AJ228" s="222"/>
      <c r="AK228" s="299">
        <v>3.0</v>
      </c>
    </row>
    <row r="229" ht="40.5" customHeight="1">
      <c r="A229" s="11">
        <v>228.0</v>
      </c>
      <c r="B229" s="11" t="s">
        <v>137</v>
      </c>
      <c r="C229" s="11" t="s">
        <v>973</v>
      </c>
      <c r="D229" s="93" t="s">
        <v>974</v>
      </c>
      <c r="E229" s="215" t="s">
        <v>326</v>
      </c>
      <c r="F229" s="216">
        <v>1.0</v>
      </c>
      <c r="G229" s="11" t="s">
        <v>2096</v>
      </c>
      <c r="H229" s="216">
        <v>1.0</v>
      </c>
      <c r="I229" s="763" t="b">
        <v>0</v>
      </c>
      <c r="J229" s="763" t="b">
        <v>0</v>
      </c>
      <c r="K229" s="763" t="b">
        <v>0</v>
      </c>
      <c r="L229" s="763" t="b">
        <v>0</v>
      </c>
      <c r="M229" s="763" t="b">
        <v>0</v>
      </c>
      <c r="N229" s="763" t="b">
        <v>0</v>
      </c>
      <c r="O229" s="763" t="b">
        <v>0</v>
      </c>
      <c r="P229" s="763" t="b">
        <v>0</v>
      </c>
      <c r="Q229" s="763" t="b">
        <v>0</v>
      </c>
      <c r="R229" s="763" t="b">
        <v>0</v>
      </c>
      <c r="S229" s="763" t="b">
        <v>0</v>
      </c>
      <c r="T229" s="763" t="b">
        <v>0</v>
      </c>
      <c r="U229" s="763" t="b">
        <v>0</v>
      </c>
      <c r="V229" s="763" t="b">
        <v>0</v>
      </c>
      <c r="W229" s="763" t="b">
        <v>0</v>
      </c>
      <c r="X229" s="216">
        <v>32000.0</v>
      </c>
      <c r="Y229" s="11">
        <f t="shared" si="5"/>
        <v>32000</v>
      </c>
      <c r="Z229" s="11" t="s">
        <v>142</v>
      </c>
      <c r="AA229" s="93"/>
      <c r="AB229" s="93"/>
      <c r="AC229" s="93" t="s">
        <v>1901</v>
      </c>
      <c r="AD229" s="217"/>
      <c r="AE229" s="11" t="str">
        <f>IMAGE("https://cdn.ttgtmedia.com/rms/onlineimages/hp_elitebook_mobile.jpg",1)</f>
        <v/>
      </c>
      <c r="AF229" s="73"/>
      <c r="AG229" s="74"/>
      <c r="AH229" s="75"/>
      <c r="AI229" s="12"/>
      <c r="AJ229" s="11"/>
      <c r="AK229" s="12">
        <v>3.0</v>
      </c>
    </row>
    <row r="230" ht="40.5" customHeight="1">
      <c r="A230" s="11">
        <v>229.0</v>
      </c>
      <c r="B230" s="222" t="s">
        <v>137</v>
      </c>
      <c r="C230" s="222" t="s">
        <v>976</v>
      </c>
      <c r="D230" s="232" t="s">
        <v>977</v>
      </c>
      <c r="E230" s="233" t="s">
        <v>326</v>
      </c>
      <c r="F230" s="234">
        <v>1.0</v>
      </c>
      <c r="G230" s="11" t="s">
        <v>2095</v>
      </c>
      <c r="H230" s="234">
        <v>1.0</v>
      </c>
      <c r="I230" s="763" t="b">
        <v>0</v>
      </c>
      <c r="J230" s="763" t="b">
        <v>0</v>
      </c>
      <c r="K230" s="763" t="b">
        <v>0</v>
      </c>
      <c r="L230" s="763" t="b">
        <v>0</v>
      </c>
      <c r="M230" s="763" t="b">
        <v>0</v>
      </c>
      <c r="N230" s="763" t="b">
        <v>0</v>
      </c>
      <c r="O230" s="763" t="b">
        <v>0</v>
      </c>
      <c r="P230" s="763" t="b">
        <v>0</v>
      </c>
      <c r="Q230" s="763" t="b">
        <v>0</v>
      </c>
      <c r="R230" s="763" t="b">
        <v>0</v>
      </c>
      <c r="S230" s="763" t="b">
        <v>0</v>
      </c>
      <c r="T230" s="763" t="b">
        <v>0</v>
      </c>
      <c r="U230" s="763" t="b">
        <v>0</v>
      </c>
      <c r="V230" s="763" t="b">
        <v>0</v>
      </c>
      <c r="W230" s="763" t="b">
        <v>0</v>
      </c>
      <c r="X230" s="234">
        <v>1500.0</v>
      </c>
      <c r="Y230" s="222">
        <f t="shared" si="5"/>
        <v>1500</v>
      </c>
      <c r="Z230" s="222" t="s">
        <v>142</v>
      </c>
      <c r="AA230" s="232"/>
      <c r="AB230" s="232"/>
      <c r="AC230" s="232" t="s">
        <v>1901</v>
      </c>
      <c r="AD230" s="235"/>
      <c r="AE230" s="222" t="str">
        <f>IMAGE("https://m.media-amazon.com/images/W/MEDIAX_792452-T2/images/I/51UzU+2x3OS._SL1000_.jpg")</f>
        <v/>
      </c>
      <c r="AF230" s="619" t="s">
        <v>1700</v>
      </c>
      <c r="AG230" s="359"/>
      <c r="AH230" s="336"/>
      <c r="AI230" s="360"/>
      <c r="AJ230" s="222"/>
      <c r="AK230" s="299">
        <v>3.0</v>
      </c>
    </row>
    <row r="231" ht="40.5" customHeight="1">
      <c r="A231" s="11">
        <v>230.0</v>
      </c>
      <c r="B231" s="11" t="s">
        <v>15</v>
      </c>
      <c r="C231" s="11" t="s">
        <v>979</v>
      </c>
      <c r="D231" s="93" t="s">
        <v>980</v>
      </c>
      <c r="E231" s="215" t="s">
        <v>981</v>
      </c>
      <c r="F231" s="216">
        <v>5.0</v>
      </c>
      <c r="G231" s="11" t="s">
        <v>2097</v>
      </c>
      <c r="H231" s="216">
        <v>5.0</v>
      </c>
      <c r="I231" s="763" t="b">
        <v>0</v>
      </c>
      <c r="J231" s="763" t="b">
        <v>0</v>
      </c>
      <c r="K231" s="763" t="b">
        <v>0</v>
      </c>
      <c r="L231" s="763" t="b">
        <v>0</v>
      </c>
      <c r="M231" s="763" t="b">
        <v>0</v>
      </c>
      <c r="N231" s="763" t="b">
        <v>0</v>
      </c>
      <c r="O231" s="763" t="b">
        <v>0</v>
      </c>
      <c r="P231" s="763" t="b">
        <v>0</v>
      </c>
      <c r="Q231" s="763" t="b">
        <v>0</v>
      </c>
      <c r="R231" s="763" t="b">
        <v>0</v>
      </c>
      <c r="S231" s="763" t="b">
        <v>0</v>
      </c>
      <c r="T231" s="763" t="b">
        <v>0</v>
      </c>
      <c r="U231" s="763" t="b">
        <v>0</v>
      </c>
      <c r="V231" s="763" t="b">
        <v>0</v>
      </c>
      <c r="W231" s="763" t="b">
        <v>0</v>
      </c>
      <c r="X231" s="218">
        <v>20.0</v>
      </c>
      <c r="Y231" s="11">
        <f t="shared" si="5"/>
        <v>100</v>
      </c>
      <c r="Z231" s="11" t="s">
        <v>20</v>
      </c>
      <c r="AA231" s="93" t="s">
        <v>77</v>
      </c>
      <c r="AB231" s="93" t="s">
        <v>2012</v>
      </c>
      <c r="AC231" s="215" t="s">
        <v>981</v>
      </c>
      <c r="AD231" s="217" t="s">
        <v>982</v>
      </c>
      <c r="AE231" s="11" t="str">
        <f t="shared" ref="AE231:AE233" si="13">IMAGE("https://encrypted-tbn0.gstatic.com/=IMAGEs?q=tbn:ANd9GcSdcvov5296EXdnf0Fj0qF-G6iK-nu0n6Z4THAWosUzBx_wQ7GuJyrL0Rnbt1uBxLroiao&amp;usqp=CAU",1)</f>
        <v/>
      </c>
      <c r="AF231" s="78"/>
      <c r="AG231" s="74"/>
      <c r="AH231" s="75"/>
      <c r="AI231" s="12"/>
      <c r="AJ231" s="11"/>
      <c r="AK231" s="12">
        <v>1.0</v>
      </c>
    </row>
    <row r="232" ht="40.5" customHeight="1">
      <c r="A232" s="11">
        <v>231.0</v>
      </c>
      <c r="B232" s="11" t="s">
        <v>15</v>
      </c>
      <c r="C232" s="11" t="s">
        <v>984</v>
      </c>
      <c r="D232" s="93" t="s">
        <v>985</v>
      </c>
      <c r="E232" s="215" t="s">
        <v>981</v>
      </c>
      <c r="F232" s="216">
        <v>5.0</v>
      </c>
      <c r="G232" s="11" t="s">
        <v>2097</v>
      </c>
      <c r="H232" s="216">
        <v>5.0</v>
      </c>
      <c r="I232" s="763" t="b">
        <v>0</v>
      </c>
      <c r="J232" s="763" t="b">
        <v>0</v>
      </c>
      <c r="K232" s="763" t="b">
        <v>0</v>
      </c>
      <c r="L232" s="763" t="b">
        <v>0</v>
      </c>
      <c r="M232" s="763" t="b">
        <v>0</v>
      </c>
      <c r="N232" s="763" t="b">
        <v>0</v>
      </c>
      <c r="O232" s="763" t="b">
        <v>0</v>
      </c>
      <c r="P232" s="763" t="b">
        <v>0</v>
      </c>
      <c r="Q232" s="763" t="b">
        <v>0</v>
      </c>
      <c r="R232" s="763" t="b">
        <v>0</v>
      </c>
      <c r="S232" s="763" t="b">
        <v>0</v>
      </c>
      <c r="T232" s="763" t="b">
        <v>0</v>
      </c>
      <c r="U232" s="763" t="b">
        <v>0</v>
      </c>
      <c r="V232" s="763" t="b">
        <v>0</v>
      </c>
      <c r="W232" s="763" t="b">
        <v>0</v>
      </c>
      <c r="X232" s="218">
        <v>40.0</v>
      </c>
      <c r="Y232" s="11">
        <f t="shared" si="5"/>
        <v>200</v>
      </c>
      <c r="Z232" s="11" t="s">
        <v>20</v>
      </c>
      <c r="AA232" s="93" t="s">
        <v>77</v>
      </c>
      <c r="AB232" s="93" t="s">
        <v>2012</v>
      </c>
      <c r="AC232" s="215" t="s">
        <v>981</v>
      </c>
      <c r="AD232" s="217" t="s">
        <v>986</v>
      </c>
      <c r="AE232" s="11" t="str">
        <f t="shared" si="13"/>
        <v/>
      </c>
      <c r="AF232" s="78"/>
      <c r="AG232" s="74"/>
      <c r="AH232" s="75"/>
      <c r="AI232" s="12"/>
      <c r="AJ232" s="11"/>
      <c r="AK232" s="12">
        <v>1.0</v>
      </c>
    </row>
    <row r="233" ht="40.5" customHeight="1">
      <c r="A233" s="11">
        <v>232.0</v>
      </c>
      <c r="B233" s="11" t="s">
        <v>15</v>
      </c>
      <c r="C233" s="11" t="s">
        <v>988</v>
      </c>
      <c r="D233" s="93" t="s">
        <v>989</v>
      </c>
      <c r="E233" s="215" t="s">
        <v>981</v>
      </c>
      <c r="F233" s="216">
        <v>2.0</v>
      </c>
      <c r="G233" s="11" t="s">
        <v>2097</v>
      </c>
      <c r="H233" s="216">
        <v>2.0</v>
      </c>
      <c r="I233" s="763" t="b">
        <v>0</v>
      </c>
      <c r="J233" s="763" t="b">
        <v>0</v>
      </c>
      <c r="K233" s="763" t="b">
        <v>0</v>
      </c>
      <c r="L233" s="763" t="b">
        <v>0</v>
      </c>
      <c r="M233" s="763" t="b">
        <v>0</v>
      </c>
      <c r="N233" s="763" t="b">
        <v>0</v>
      </c>
      <c r="O233" s="763" t="b">
        <v>0</v>
      </c>
      <c r="P233" s="763" t="b">
        <v>0</v>
      </c>
      <c r="Q233" s="763" t="b">
        <v>0</v>
      </c>
      <c r="R233" s="763" t="b">
        <v>0</v>
      </c>
      <c r="S233" s="763" t="b">
        <v>0</v>
      </c>
      <c r="T233" s="763" t="b">
        <v>0</v>
      </c>
      <c r="U233" s="763" t="b">
        <v>0</v>
      </c>
      <c r="V233" s="763" t="b">
        <v>0</v>
      </c>
      <c r="W233" s="763" t="b">
        <v>0</v>
      </c>
      <c r="X233" s="218">
        <v>50.0</v>
      </c>
      <c r="Y233" s="11">
        <f t="shared" si="5"/>
        <v>100</v>
      </c>
      <c r="Z233" s="11" t="s">
        <v>20</v>
      </c>
      <c r="AA233" s="93" t="s">
        <v>77</v>
      </c>
      <c r="AB233" s="93" t="s">
        <v>2012</v>
      </c>
      <c r="AC233" s="93" t="s">
        <v>981</v>
      </c>
      <c r="AD233" s="217" t="s">
        <v>990</v>
      </c>
      <c r="AE233" s="11" t="str">
        <f t="shared" si="13"/>
        <v/>
      </c>
      <c r="AF233" s="78"/>
      <c r="AG233" s="74"/>
      <c r="AH233" s="75"/>
      <c r="AI233" s="12"/>
      <c r="AJ233" s="11"/>
      <c r="AK233" s="12">
        <v>1.0</v>
      </c>
    </row>
    <row r="234" ht="40.5" customHeight="1">
      <c r="A234" s="11">
        <v>233.0</v>
      </c>
      <c r="B234" s="222" t="s">
        <v>15</v>
      </c>
      <c r="C234" s="222" t="s">
        <v>992</v>
      </c>
      <c r="D234" s="232" t="s">
        <v>993</v>
      </c>
      <c r="E234" s="233" t="s">
        <v>981</v>
      </c>
      <c r="F234" s="234">
        <v>5.0</v>
      </c>
      <c r="G234" s="11" t="s">
        <v>2098</v>
      </c>
      <c r="H234" s="234">
        <v>5.0</v>
      </c>
      <c r="I234" s="763" t="b">
        <v>0</v>
      </c>
      <c r="J234" s="763" t="b">
        <v>0</v>
      </c>
      <c r="K234" s="763" t="b">
        <v>0</v>
      </c>
      <c r="L234" s="763" t="b">
        <v>0</v>
      </c>
      <c r="M234" s="763" t="b">
        <v>0</v>
      </c>
      <c r="N234" s="763" t="b">
        <v>0</v>
      </c>
      <c r="O234" s="763" t="b">
        <v>0</v>
      </c>
      <c r="P234" s="763" t="b">
        <v>0</v>
      </c>
      <c r="Q234" s="763" t="b">
        <v>0</v>
      </c>
      <c r="R234" s="763" t="b">
        <v>0</v>
      </c>
      <c r="S234" s="763" t="b">
        <v>0</v>
      </c>
      <c r="T234" s="763" t="b">
        <v>0</v>
      </c>
      <c r="U234" s="763" t="b">
        <v>0</v>
      </c>
      <c r="V234" s="763" t="b">
        <v>0</v>
      </c>
      <c r="W234" s="763" t="b">
        <v>0</v>
      </c>
      <c r="X234" s="337">
        <v>50.0</v>
      </c>
      <c r="Y234" s="222">
        <f t="shared" si="5"/>
        <v>250</v>
      </c>
      <c r="Z234" s="222" t="s">
        <v>20</v>
      </c>
      <c r="AA234" s="232" t="s">
        <v>77</v>
      </c>
      <c r="AB234" s="232" t="s">
        <v>1902</v>
      </c>
      <c r="AC234" s="233" t="s">
        <v>981</v>
      </c>
      <c r="AD234" s="235" t="s">
        <v>994</v>
      </c>
      <c r="AE234" s="222" t="str">
        <f t="shared" ref="AE234:AE236" si="14">IMAGE("https://encrypted-tbn0.gstatic.com/=IMAGEs?q=tbn:ANd9GcTv3YU2gmM00qoI79XpKhq-dV1wM5aPXrLsmrVwQWwEda0tuTarN0ncQ0DMg_JUYk4IBe4&amp;usqp=CAU",1)</f>
        <v/>
      </c>
      <c r="AF234" s="358"/>
      <c r="AG234" s="359"/>
      <c r="AH234" s="336"/>
      <c r="AI234" s="360"/>
      <c r="AJ234" s="222"/>
      <c r="AK234" s="299">
        <v>1.0</v>
      </c>
    </row>
    <row r="235" ht="40.5" customHeight="1">
      <c r="A235" s="11">
        <v>234.0</v>
      </c>
      <c r="B235" s="222" t="s">
        <v>15</v>
      </c>
      <c r="C235" s="222" t="s">
        <v>996</v>
      </c>
      <c r="D235" s="232" t="s">
        <v>997</v>
      </c>
      <c r="E235" s="233" t="s">
        <v>981</v>
      </c>
      <c r="F235" s="234">
        <v>5.0</v>
      </c>
      <c r="G235" s="11" t="s">
        <v>2098</v>
      </c>
      <c r="H235" s="234">
        <v>5.0</v>
      </c>
      <c r="I235" s="763" t="b">
        <v>0</v>
      </c>
      <c r="J235" s="763" t="b">
        <v>0</v>
      </c>
      <c r="K235" s="763" t="b">
        <v>0</v>
      </c>
      <c r="L235" s="763" t="b">
        <v>0</v>
      </c>
      <c r="M235" s="763" t="b">
        <v>0</v>
      </c>
      <c r="N235" s="763" t="b">
        <v>0</v>
      </c>
      <c r="O235" s="763" t="b">
        <v>0</v>
      </c>
      <c r="P235" s="763" t="b">
        <v>0</v>
      </c>
      <c r="Q235" s="763" t="b">
        <v>0</v>
      </c>
      <c r="R235" s="763" t="b">
        <v>0</v>
      </c>
      <c r="S235" s="763" t="b">
        <v>0</v>
      </c>
      <c r="T235" s="763" t="b">
        <v>0</v>
      </c>
      <c r="U235" s="763" t="b">
        <v>0</v>
      </c>
      <c r="V235" s="763" t="b">
        <v>0</v>
      </c>
      <c r="W235" s="763" t="b">
        <v>0</v>
      </c>
      <c r="X235" s="337">
        <v>130.0</v>
      </c>
      <c r="Y235" s="222">
        <f t="shared" si="5"/>
        <v>650</v>
      </c>
      <c r="Z235" s="222" t="s">
        <v>20</v>
      </c>
      <c r="AA235" s="232" t="s">
        <v>77</v>
      </c>
      <c r="AB235" s="232" t="s">
        <v>1902</v>
      </c>
      <c r="AC235" s="233" t="s">
        <v>981</v>
      </c>
      <c r="AD235" s="235" t="s">
        <v>994</v>
      </c>
      <c r="AE235" s="222" t="str">
        <f t="shared" si="14"/>
        <v/>
      </c>
      <c r="AF235" s="358"/>
      <c r="AG235" s="621"/>
      <c r="AH235" s="339"/>
      <c r="AI235" s="360"/>
      <c r="AJ235" s="222"/>
      <c r="AK235" s="299">
        <v>1.0</v>
      </c>
    </row>
    <row r="236" ht="40.5" customHeight="1">
      <c r="A236" s="11">
        <v>235.0</v>
      </c>
      <c r="B236" s="222" t="s">
        <v>15</v>
      </c>
      <c r="C236" s="222" t="s">
        <v>999</v>
      </c>
      <c r="D236" s="232" t="s">
        <v>1000</v>
      </c>
      <c r="E236" s="233" t="s">
        <v>981</v>
      </c>
      <c r="F236" s="234">
        <v>5.0</v>
      </c>
      <c r="G236" s="11" t="s">
        <v>2098</v>
      </c>
      <c r="H236" s="234">
        <v>5.0</v>
      </c>
      <c r="I236" s="763" t="b">
        <v>0</v>
      </c>
      <c r="J236" s="763" t="b">
        <v>0</v>
      </c>
      <c r="K236" s="763" t="b">
        <v>0</v>
      </c>
      <c r="L236" s="763" t="b">
        <v>0</v>
      </c>
      <c r="M236" s="763" t="b">
        <v>0</v>
      </c>
      <c r="N236" s="763" t="b">
        <v>0</v>
      </c>
      <c r="O236" s="763" t="b">
        <v>0</v>
      </c>
      <c r="P236" s="763" t="b">
        <v>0</v>
      </c>
      <c r="Q236" s="763" t="b">
        <v>0</v>
      </c>
      <c r="R236" s="763" t="b">
        <v>0</v>
      </c>
      <c r="S236" s="763" t="b">
        <v>0</v>
      </c>
      <c r="T236" s="763" t="b">
        <v>0</v>
      </c>
      <c r="U236" s="763" t="b">
        <v>0</v>
      </c>
      <c r="V236" s="763" t="b">
        <v>0</v>
      </c>
      <c r="W236" s="763" t="b">
        <v>0</v>
      </c>
      <c r="X236" s="337">
        <v>180.0</v>
      </c>
      <c r="Y236" s="222">
        <f t="shared" si="5"/>
        <v>900</v>
      </c>
      <c r="Z236" s="222" t="s">
        <v>20</v>
      </c>
      <c r="AA236" s="232" t="s">
        <v>77</v>
      </c>
      <c r="AB236" s="232" t="s">
        <v>1902</v>
      </c>
      <c r="AC236" s="233" t="s">
        <v>981</v>
      </c>
      <c r="AD236" s="235" t="s">
        <v>1001</v>
      </c>
      <c r="AE236" s="222" t="str">
        <f t="shared" si="14"/>
        <v/>
      </c>
      <c r="AF236" s="358"/>
      <c r="AG236" s="359"/>
      <c r="AH236" s="336"/>
      <c r="AI236" s="360"/>
      <c r="AJ236" s="222"/>
      <c r="AK236" s="299">
        <v>1.0</v>
      </c>
    </row>
    <row r="237" ht="40.5" customHeight="1">
      <c r="A237" s="11">
        <v>236.0</v>
      </c>
      <c r="B237" s="222" t="s">
        <v>15</v>
      </c>
      <c r="C237" s="222" t="s">
        <v>1003</v>
      </c>
      <c r="D237" s="232" t="s">
        <v>1004</v>
      </c>
      <c r="E237" s="233" t="s">
        <v>981</v>
      </c>
      <c r="F237" s="234">
        <v>1.0</v>
      </c>
      <c r="G237" s="11" t="s">
        <v>2013</v>
      </c>
      <c r="H237" s="234">
        <v>1.0</v>
      </c>
      <c r="I237" s="763" t="b">
        <v>0</v>
      </c>
      <c r="J237" s="763" t="b">
        <v>0</v>
      </c>
      <c r="K237" s="763" t="b">
        <v>0</v>
      </c>
      <c r="L237" s="763" t="b">
        <v>0</v>
      </c>
      <c r="M237" s="763" t="b">
        <v>0</v>
      </c>
      <c r="N237" s="763" t="b">
        <v>0</v>
      </c>
      <c r="O237" s="763" t="b">
        <v>0</v>
      </c>
      <c r="P237" s="763" t="b">
        <v>0</v>
      </c>
      <c r="Q237" s="763" t="b">
        <v>0</v>
      </c>
      <c r="R237" s="763" t="b">
        <v>0</v>
      </c>
      <c r="S237" s="763" t="b">
        <v>0</v>
      </c>
      <c r="T237" s="763" t="b">
        <v>0</v>
      </c>
      <c r="U237" s="763" t="b">
        <v>0</v>
      </c>
      <c r="V237" s="763" t="b">
        <v>0</v>
      </c>
      <c r="W237" s="763" t="b">
        <v>0</v>
      </c>
      <c r="X237" s="234">
        <v>250.0</v>
      </c>
      <c r="Y237" s="222">
        <f t="shared" si="5"/>
        <v>250</v>
      </c>
      <c r="Z237" s="222" t="s">
        <v>20</v>
      </c>
      <c r="AA237" s="232" t="s">
        <v>77</v>
      </c>
      <c r="AB237" s="232" t="s">
        <v>2012</v>
      </c>
      <c r="AC237" s="233" t="s">
        <v>981</v>
      </c>
      <c r="AD237" s="235" t="s">
        <v>1005</v>
      </c>
      <c r="AE237" s="222" t="str">
        <f>IMAGE("https://3.imimg.com/data3/QQ/JR/MY-2/plastic-twine-500x500.jpg",1)</f>
        <v/>
      </c>
      <c r="AF237" s="358"/>
      <c r="AG237" s="359"/>
      <c r="AH237" s="336"/>
      <c r="AI237" s="360"/>
      <c r="AJ237" s="222"/>
      <c r="AK237" s="299">
        <v>1.0</v>
      </c>
    </row>
    <row r="238" ht="40.5" customHeight="1">
      <c r="A238" s="11">
        <v>237.0</v>
      </c>
      <c r="B238" s="11" t="s">
        <v>15</v>
      </c>
      <c r="C238" s="11" t="s">
        <v>1007</v>
      </c>
      <c r="D238" s="93" t="s">
        <v>1008</v>
      </c>
      <c r="E238" s="215" t="s">
        <v>981</v>
      </c>
      <c r="F238" s="216">
        <v>1.0</v>
      </c>
      <c r="G238" s="11" t="s">
        <v>2099</v>
      </c>
      <c r="H238" s="216">
        <v>1.0</v>
      </c>
      <c r="I238" s="763" t="b">
        <v>0</v>
      </c>
      <c r="J238" s="763" t="b">
        <v>0</v>
      </c>
      <c r="K238" s="763" t="b">
        <v>0</v>
      </c>
      <c r="L238" s="763" t="b">
        <v>0</v>
      </c>
      <c r="M238" s="763" t="b">
        <v>0</v>
      </c>
      <c r="N238" s="763" t="b">
        <v>0</v>
      </c>
      <c r="O238" s="763" t="b">
        <v>0</v>
      </c>
      <c r="P238" s="763" t="b">
        <v>0</v>
      </c>
      <c r="Q238" s="763" t="b">
        <v>0</v>
      </c>
      <c r="R238" s="763" t="b">
        <v>0</v>
      </c>
      <c r="S238" s="763" t="b">
        <v>0</v>
      </c>
      <c r="T238" s="763" t="b">
        <v>0</v>
      </c>
      <c r="U238" s="763" t="b">
        <v>0</v>
      </c>
      <c r="V238" s="763" t="b">
        <v>0</v>
      </c>
      <c r="W238" s="763" t="b">
        <v>0</v>
      </c>
      <c r="X238" s="216">
        <v>200.0</v>
      </c>
      <c r="Y238" s="11">
        <f t="shared" si="5"/>
        <v>200</v>
      </c>
      <c r="Z238" s="11" t="s">
        <v>20</v>
      </c>
      <c r="AA238" s="93" t="s">
        <v>77</v>
      </c>
      <c r="AB238" s="93" t="s">
        <v>2008</v>
      </c>
      <c r="AC238" s="93" t="s">
        <v>111</v>
      </c>
      <c r="AD238" s="217" t="s">
        <v>1009</v>
      </c>
      <c r="AE238" s="11" t="str">
        <f>IMAGE("https://5.imimg.com/data5/KE/BV/MY-37063415/elastic-rubber-band-500x500.jpg",1)</f>
        <v/>
      </c>
      <c r="AF238" s="78"/>
      <c r="AG238" s="74"/>
      <c r="AH238" s="75"/>
      <c r="AI238" s="12"/>
      <c r="AJ238" s="11"/>
      <c r="AK238" s="12">
        <v>1.0</v>
      </c>
    </row>
    <row r="239" ht="40.5" customHeight="1">
      <c r="A239" s="11">
        <v>238.0</v>
      </c>
      <c r="B239" s="11" t="s">
        <v>15</v>
      </c>
      <c r="C239" s="11" t="s">
        <v>1011</v>
      </c>
      <c r="D239" s="93" t="s">
        <v>1012</v>
      </c>
      <c r="E239" s="215" t="s">
        <v>981</v>
      </c>
      <c r="F239" s="216">
        <v>1.0</v>
      </c>
      <c r="G239" s="11" t="s">
        <v>2099</v>
      </c>
      <c r="H239" s="216">
        <v>1.0</v>
      </c>
      <c r="I239" s="763" t="b">
        <v>0</v>
      </c>
      <c r="J239" s="763" t="b">
        <v>0</v>
      </c>
      <c r="K239" s="763" t="b">
        <v>0</v>
      </c>
      <c r="L239" s="763" t="b">
        <v>0</v>
      </c>
      <c r="M239" s="763" t="b">
        <v>0</v>
      </c>
      <c r="N239" s="763" t="b">
        <v>0</v>
      </c>
      <c r="O239" s="763" t="b">
        <v>0</v>
      </c>
      <c r="P239" s="763" t="b">
        <v>0</v>
      </c>
      <c r="Q239" s="763" t="b">
        <v>0</v>
      </c>
      <c r="R239" s="763" t="b">
        <v>0</v>
      </c>
      <c r="S239" s="763" t="b">
        <v>0</v>
      </c>
      <c r="T239" s="763" t="b">
        <v>0</v>
      </c>
      <c r="U239" s="763" t="b">
        <v>0</v>
      </c>
      <c r="V239" s="763" t="b">
        <v>0</v>
      </c>
      <c r="W239" s="763" t="b">
        <v>0</v>
      </c>
      <c r="X239" s="216">
        <v>200.0</v>
      </c>
      <c r="Y239" s="11">
        <f t="shared" si="5"/>
        <v>200</v>
      </c>
      <c r="Z239" s="11" t="s">
        <v>20</v>
      </c>
      <c r="AA239" s="93" t="s">
        <v>77</v>
      </c>
      <c r="AB239" s="93" t="s">
        <v>2008</v>
      </c>
      <c r="AC239" s="93" t="s">
        <v>111</v>
      </c>
      <c r="AD239" s="217" t="s">
        <v>1013</v>
      </c>
      <c r="AE239" s="11" t="str">
        <f>IMAGE("https://5.imimg.com/data5/BN/VV/MY-31202642/rubber-band-500x500.jpg",1)</f>
        <v/>
      </c>
      <c r="AF239" s="78"/>
      <c r="AG239" s="74"/>
      <c r="AH239" s="75"/>
      <c r="AI239" s="12"/>
      <c r="AJ239" s="11"/>
      <c r="AK239" s="12">
        <v>1.0</v>
      </c>
    </row>
    <row r="240" ht="40.5" customHeight="1">
      <c r="A240" s="11">
        <v>239.0</v>
      </c>
      <c r="B240" s="11" t="s">
        <v>15</v>
      </c>
      <c r="C240" s="11" t="s">
        <v>1015</v>
      </c>
      <c r="D240" s="93" t="s">
        <v>1016</v>
      </c>
      <c r="E240" s="215" t="s">
        <v>981</v>
      </c>
      <c r="F240" s="216">
        <v>1.0</v>
      </c>
      <c r="G240" s="11" t="s">
        <v>2099</v>
      </c>
      <c r="H240" s="216">
        <v>1.0</v>
      </c>
      <c r="I240" s="763" t="b">
        <v>0</v>
      </c>
      <c r="J240" s="763" t="b">
        <v>0</v>
      </c>
      <c r="K240" s="763" t="b">
        <v>0</v>
      </c>
      <c r="L240" s="763" t="b">
        <v>0</v>
      </c>
      <c r="M240" s="763" t="b">
        <v>0</v>
      </c>
      <c r="N240" s="763" t="b">
        <v>0</v>
      </c>
      <c r="O240" s="763" t="b">
        <v>0</v>
      </c>
      <c r="P240" s="763" t="b">
        <v>0</v>
      </c>
      <c r="Q240" s="763" t="b">
        <v>0</v>
      </c>
      <c r="R240" s="763" t="b">
        <v>0</v>
      </c>
      <c r="S240" s="763" t="b">
        <v>0</v>
      </c>
      <c r="T240" s="763" t="b">
        <v>0</v>
      </c>
      <c r="U240" s="763" t="b">
        <v>0</v>
      </c>
      <c r="V240" s="763" t="b">
        <v>0</v>
      </c>
      <c r="W240" s="763" t="b">
        <v>0</v>
      </c>
      <c r="X240" s="216">
        <v>200.0</v>
      </c>
      <c r="Y240" s="11">
        <f t="shared" si="5"/>
        <v>200</v>
      </c>
      <c r="Z240" s="11" t="s">
        <v>20</v>
      </c>
      <c r="AA240" s="93" t="s">
        <v>77</v>
      </c>
      <c r="AB240" s="93" t="s">
        <v>2008</v>
      </c>
      <c r="AC240" s="93" t="s">
        <v>111</v>
      </c>
      <c r="AD240" s="217"/>
      <c r="AE240" s="11" t="str">
        <f>IMAGE("https://5.imimg.com/data5/YV/DJ/MY-7514996/rubber-band-500x500.jpg",1)</f>
        <v/>
      </c>
      <c r="AF240" s="78"/>
      <c r="AG240" s="74"/>
      <c r="AH240" s="75"/>
      <c r="AI240" s="12"/>
      <c r="AJ240" s="11"/>
      <c r="AK240" s="12">
        <v>1.0</v>
      </c>
    </row>
    <row r="241" ht="40.5" customHeight="1">
      <c r="A241" s="11">
        <v>240.0</v>
      </c>
      <c r="B241" s="222" t="s">
        <v>15</v>
      </c>
      <c r="C241" s="222" t="s">
        <v>1018</v>
      </c>
      <c r="D241" s="232" t="s">
        <v>1019</v>
      </c>
      <c r="E241" s="233" t="s">
        <v>981</v>
      </c>
      <c r="F241" s="234">
        <v>1.0</v>
      </c>
      <c r="G241" s="11" t="s">
        <v>2099</v>
      </c>
      <c r="H241" s="234">
        <v>1.0</v>
      </c>
      <c r="I241" s="763" t="b">
        <v>0</v>
      </c>
      <c r="J241" s="763" t="b">
        <v>0</v>
      </c>
      <c r="K241" s="763" t="b">
        <v>0</v>
      </c>
      <c r="L241" s="763" t="b">
        <v>0</v>
      </c>
      <c r="M241" s="763" t="b">
        <v>0</v>
      </c>
      <c r="N241" s="763" t="b">
        <v>0</v>
      </c>
      <c r="O241" s="763" t="b">
        <v>0</v>
      </c>
      <c r="P241" s="763" t="b">
        <v>0</v>
      </c>
      <c r="Q241" s="763" t="b">
        <v>0</v>
      </c>
      <c r="R241" s="763" t="b">
        <v>0</v>
      </c>
      <c r="S241" s="763" t="b">
        <v>0</v>
      </c>
      <c r="T241" s="763" t="b">
        <v>0</v>
      </c>
      <c r="U241" s="763" t="b">
        <v>0</v>
      </c>
      <c r="V241" s="763" t="b">
        <v>0</v>
      </c>
      <c r="W241" s="763" t="b">
        <v>0</v>
      </c>
      <c r="X241" s="234">
        <v>200.0</v>
      </c>
      <c r="Y241" s="222">
        <f t="shared" si="5"/>
        <v>200</v>
      </c>
      <c r="Z241" s="222" t="s">
        <v>20</v>
      </c>
      <c r="AA241" s="232" t="s">
        <v>77</v>
      </c>
      <c r="AB241" s="232" t="s">
        <v>2008</v>
      </c>
      <c r="AC241" s="233" t="s">
        <v>981</v>
      </c>
      <c r="AD241" s="235" t="s">
        <v>1020</v>
      </c>
      <c r="AE241" s="222" t="str">
        <f>IMAGE("https://m.media-amazon.com/images/I/51XnX9DfiFL._SL1166_.jpg",1)</f>
        <v/>
      </c>
      <c r="AF241" s="358"/>
      <c r="AG241" s="359"/>
      <c r="AH241" s="336"/>
      <c r="AI241" s="360"/>
      <c r="AJ241" s="222"/>
      <c r="AK241" s="299">
        <v>1.0</v>
      </c>
    </row>
    <row r="242" ht="40.5" customHeight="1">
      <c r="A242" s="11">
        <v>241.0</v>
      </c>
      <c r="B242" s="11" t="s">
        <v>342</v>
      </c>
      <c r="C242" s="11" t="s">
        <v>1022</v>
      </c>
      <c r="D242" s="93" t="s">
        <v>1023</v>
      </c>
      <c r="E242" s="215" t="s">
        <v>981</v>
      </c>
      <c r="F242" s="216">
        <v>10.0</v>
      </c>
      <c r="G242" s="11" t="s">
        <v>2100</v>
      </c>
      <c r="H242" s="216">
        <v>10.0</v>
      </c>
      <c r="I242" s="763" t="b">
        <v>0</v>
      </c>
      <c r="J242" s="763" t="b">
        <v>0</v>
      </c>
      <c r="K242" s="763" t="b">
        <v>0</v>
      </c>
      <c r="L242" s="763" t="b">
        <v>0</v>
      </c>
      <c r="M242" s="763" t="b">
        <v>0</v>
      </c>
      <c r="N242" s="763" t="b">
        <v>0</v>
      </c>
      <c r="O242" s="763" t="b">
        <v>0</v>
      </c>
      <c r="P242" s="763" t="b">
        <v>0</v>
      </c>
      <c r="Q242" s="763" t="b">
        <v>0</v>
      </c>
      <c r="R242" s="763" t="b">
        <v>0</v>
      </c>
      <c r="S242" s="763" t="b">
        <v>0</v>
      </c>
      <c r="T242" s="763" t="b">
        <v>0</v>
      </c>
      <c r="U242" s="763" t="b">
        <v>0</v>
      </c>
      <c r="V242" s="763" t="b">
        <v>0</v>
      </c>
      <c r="W242" s="763" t="b">
        <v>0</v>
      </c>
      <c r="X242" s="216">
        <v>100.0</v>
      </c>
      <c r="Y242" s="11">
        <f t="shared" si="5"/>
        <v>1000</v>
      </c>
      <c r="Z242" s="11" t="s">
        <v>347</v>
      </c>
      <c r="AA242" s="93" t="s">
        <v>77</v>
      </c>
      <c r="AB242" s="93" t="s">
        <v>2012</v>
      </c>
      <c r="AC242" s="215" t="s">
        <v>981</v>
      </c>
      <c r="AD242" s="217" t="s">
        <v>1024</v>
      </c>
      <c r="AE242" s="11" t="str">
        <f>IMAGE("https://www.shaanstationery.com/image/cache/catalog/kangaro/kangaro-stapler-no-10-corner-view-1000x1000.jpg",1)</f>
        <v/>
      </c>
      <c r="AF242" s="78"/>
      <c r="AG242" s="74"/>
      <c r="AH242" s="75"/>
      <c r="AI242" s="12"/>
      <c r="AJ242" s="11"/>
      <c r="AK242" s="12">
        <v>1.0</v>
      </c>
    </row>
    <row r="243" ht="40.5" customHeight="1">
      <c r="A243" s="11">
        <v>242.0</v>
      </c>
      <c r="B243" s="11" t="s">
        <v>342</v>
      </c>
      <c r="C243" s="11" t="s">
        <v>1026</v>
      </c>
      <c r="D243" s="93" t="s">
        <v>1027</v>
      </c>
      <c r="E243" s="215" t="s">
        <v>981</v>
      </c>
      <c r="F243" s="216">
        <v>5.0</v>
      </c>
      <c r="G243" s="11" t="s">
        <v>2100</v>
      </c>
      <c r="H243" s="216">
        <v>10.0</v>
      </c>
      <c r="I243" s="763" t="b">
        <v>0</v>
      </c>
      <c r="J243" s="763" t="b">
        <v>0</v>
      </c>
      <c r="K243" s="763" t="b">
        <v>0</v>
      </c>
      <c r="L243" s="763" t="b">
        <v>0</v>
      </c>
      <c r="M243" s="763" t="b">
        <v>0</v>
      </c>
      <c r="N243" s="763" t="b">
        <v>0</v>
      </c>
      <c r="O243" s="763" t="b">
        <v>0</v>
      </c>
      <c r="P243" s="763" t="b">
        <v>0</v>
      </c>
      <c r="Q243" s="763" t="b">
        <v>0</v>
      </c>
      <c r="R243" s="763" t="b">
        <v>0</v>
      </c>
      <c r="S243" s="763" t="b">
        <v>0</v>
      </c>
      <c r="T243" s="763" t="b">
        <v>0</v>
      </c>
      <c r="U243" s="763" t="b">
        <v>0</v>
      </c>
      <c r="V243" s="763" t="b">
        <v>0</v>
      </c>
      <c r="W243" s="763" t="b">
        <v>0</v>
      </c>
      <c r="X243" s="216">
        <v>50.0</v>
      </c>
      <c r="Y243" s="11">
        <f t="shared" si="5"/>
        <v>500</v>
      </c>
      <c r="Z243" s="11" t="s">
        <v>347</v>
      </c>
      <c r="AA243" s="93" t="s">
        <v>77</v>
      </c>
      <c r="AB243" s="93" t="s">
        <v>2012</v>
      </c>
      <c r="AC243" s="215" t="s">
        <v>981</v>
      </c>
      <c r="AD243" s="217" t="s">
        <v>1028</v>
      </c>
      <c r="AE243" s="11" t="str">
        <f>IMAGE("https://sc04.alicdn.com/kf/HTB1f9mqOZbpK1RjSZFyq6x_qFXaz.jpg",1)</f>
        <v/>
      </c>
      <c r="AF243" s="78"/>
      <c r="AG243" s="74"/>
      <c r="AH243" s="75"/>
      <c r="AI243" s="12"/>
      <c r="AJ243" s="11"/>
      <c r="AK243" s="12">
        <v>1.0</v>
      </c>
    </row>
    <row r="244" ht="40.5" customHeight="1">
      <c r="A244" s="11">
        <v>243.0</v>
      </c>
      <c r="B244" s="11" t="s">
        <v>342</v>
      </c>
      <c r="C244" s="11" t="s">
        <v>1030</v>
      </c>
      <c r="D244" s="93" t="s">
        <v>1031</v>
      </c>
      <c r="E244" s="215" t="s">
        <v>1032</v>
      </c>
      <c r="F244" s="11">
        <v>1.0</v>
      </c>
      <c r="G244" s="11" t="s">
        <v>2050</v>
      </c>
      <c r="H244" s="11">
        <v>1.0</v>
      </c>
      <c r="I244" s="763" t="b">
        <v>0</v>
      </c>
      <c r="J244" s="763" t="b">
        <v>0</v>
      </c>
      <c r="K244" s="763" t="b">
        <v>0</v>
      </c>
      <c r="L244" s="763" t="b">
        <v>0</v>
      </c>
      <c r="M244" s="763" t="b">
        <v>0</v>
      </c>
      <c r="N244" s="763" t="b">
        <v>0</v>
      </c>
      <c r="O244" s="763" t="b">
        <v>0</v>
      </c>
      <c r="P244" s="763" t="b">
        <v>0</v>
      </c>
      <c r="Q244" s="763" t="b">
        <v>0</v>
      </c>
      <c r="R244" s="763" t="b">
        <v>0</v>
      </c>
      <c r="S244" s="763" t="b">
        <v>0</v>
      </c>
      <c r="T244" s="763" t="b">
        <v>0</v>
      </c>
      <c r="U244" s="763" t="b">
        <v>0</v>
      </c>
      <c r="V244" s="763" t="b">
        <v>0</v>
      </c>
      <c r="W244" s="763" t="b">
        <v>0</v>
      </c>
      <c r="X244" s="11">
        <v>350.0</v>
      </c>
      <c r="Y244" s="11">
        <f t="shared" si="5"/>
        <v>350</v>
      </c>
      <c r="Z244" s="11" t="s">
        <v>347</v>
      </c>
      <c r="AA244" s="93"/>
      <c r="AB244" s="93"/>
      <c r="AC244" s="215" t="s">
        <v>1032</v>
      </c>
      <c r="AD244" s="219" t="s">
        <v>1033</v>
      </c>
      <c r="AE244" s="11" t="str">
        <f>IMAGE("https://m.media-amazon.com/images/I/61+L7sYwiBL._SL1500_.jpg",1)</f>
        <v/>
      </c>
      <c r="AF244" s="73" t="s">
        <v>1689</v>
      </c>
      <c r="AG244" s="74"/>
      <c r="AH244" s="75"/>
      <c r="AI244" s="12"/>
      <c r="AJ244" s="11"/>
      <c r="AK244" s="12">
        <v>3.0</v>
      </c>
    </row>
    <row r="245" ht="40.5" customHeight="1">
      <c r="A245" s="11">
        <v>244.0</v>
      </c>
      <c r="B245" s="11" t="s">
        <v>342</v>
      </c>
      <c r="C245" s="11" t="s">
        <v>1035</v>
      </c>
      <c r="D245" s="93" t="s">
        <v>1036</v>
      </c>
      <c r="E245" s="215" t="s">
        <v>1032</v>
      </c>
      <c r="F245" s="216"/>
      <c r="G245" s="11" t="s">
        <v>2050</v>
      </c>
      <c r="H245" s="216">
        <v>2.0</v>
      </c>
      <c r="I245" s="763" t="b">
        <v>0</v>
      </c>
      <c r="J245" s="763" t="b">
        <v>0</v>
      </c>
      <c r="K245" s="763" t="b">
        <v>0</v>
      </c>
      <c r="L245" s="763" t="b">
        <v>0</v>
      </c>
      <c r="M245" s="763" t="b">
        <v>0</v>
      </c>
      <c r="N245" s="763" t="b">
        <v>0</v>
      </c>
      <c r="O245" s="763" t="b">
        <v>0</v>
      </c>
      <c r="P245" s="763" t="b">
        <v>0</v>
      </c>
      <c r="Q245" s="763" t="b">
        <v>0</v>
      </c>
      <c r="R245" s="763" t="b">
        <v>0</v>
      </c>
      <c r="S245" s="763" t="b">
        <v>0</v>
      </c>
      <c r="T245" s="763" t="b">
        <v>0</v>
      </c>
      <c r="U245" s="763" t="b">
        <v>0</v>
      </c>
      <c r="V245" s="763" t="b">
        <v>0</v>
      </c>
      <c r="W245" s="763" t="b">
        <v>0</v>
      </c>
      <c r="X245" s="216">
        <v>250.0</v>
      </c>
      <c r="Y245" s="11">
        <f t="shared" si="5"/>
        <v>500</v>
      </c>
      <c r="Z245" s="11" t="s">
        <v>347</v>
      </c>
      <c r="AA245" s="93"/>
      <c r="AB245" s="93"/>
      <c r="AC245" s="215" t="s">
        <v>1032</v>
      </c>
      <c r="AD245" s="217"/>
      <c r="AE245" s="11" t="e">
        <v>#VALUE!</v>
      </c>
      <c r="AF245" s="78"/>
      <c r="AG245" s="74"/>
      <c r="AH245" s="75"/>
      <c r="AI245" s="12"/>
      <c r="AJ245" s="11"/>
      <c r="AK245" s="12">
        <v>3.0</v>
      </c>
    </row>
    <row r="246" ht="40.5" customHeight="1">
      <c r="A246" s="11">
        <v>245.0</v>
      </c>
      <c r="B246" s="11" t="s">
        <v>342</v>
      </c>
      <c r="C246" s="11" t="s">
        <v>1038</v>
      </c>
      <c r="D246" s="93" t="s">
        <v>1039</v>
      </c>
      <c r="E246" s="215" t="s">
        <v>1032</v>
      </c>
      <c r="F246" s="216">
        <v>1.0</v>
      </c>
      <c r="G246" s="11" t="s">
        <v>2050</v>
      </c>
      <c r="H246" s="216">
        <v>1.0</v>
      </c>
      <c r="I246" s="763" t="b">
        <v>0</v>
      </c>
      <c r="J246" s="763" t="b">
        <v>0</v>
      </c>
      <c r="K246" s="763" t="b">
        <v>0</v>
      </c>
      <c r="L246" s="763" t="b">
        <v>0</v>
      </c>
      <c r="M246" s="763" t="b">
        <v>0</v>
      </c>
      <c r="N246" s="763" t="b">
        <v>0</v>
      </c>
      <c r="O246" s="763" t="b">
        <v>0</v>
      </c>
      <c r="P246" s="763" t="b">
        <v>0</v>
      </c>
      <c r="Q246" s="763" t="b">
        <v>0</v>
      </c>
      <c r="R246" s="763" t="b">
        <v>0</v>
      </c>
      <c r="S246" s="763" t="b">
        <v>0</v>
      </c>
      <c r="T246" s="763" t="b">
        <v>0</v>
      </c>
      <c r="U246" s="763" t="b">
        <v>0</v>
      </c>
      <c r="V246" s="763" t="b">
        <v>0</v>
      </c>
      <c r="W246" s="763" t="b">
        <v>0</v>
      </c>
      <c r="X246" s="216">
        <v>100.0</v>
      </c>
      <c r="Y246" s="11">
        <f t="shared" si="5"/>
        <v>100</v>
      </c>
      <c r="Z246" s="11" t="s">
        <v>347</v>
      </c>
      <c r="AA246" s="93"/>
      <c r="AB246" s="93"/>
      <c r="AC246" s="215" t="s">
        <v>1032</v>
      </c>
      <c r="AD246" s="217" t="s">
        <v>1040</v>
      </c>
      <c r="AE246" s="11" t="str">
        <f>IMAGE("https://m.media-amazon.com/images/I/71qyUXJ5i6L._AC_UF1000,1000_QL80_.jpg",1)</f>
        <v/>
      </c>
      <c r="AF246" s="78" t="s">
        <v>1689</v>
      </c>
      <c r="AG246" s="74" t="s">
        <v>1703</v>
      </c>
      <c r="AH246" s="75"/>
      <c r="AI246" s="12"/>
      <c r="AJ246" s="11"/>
      <c r="AK246" s="12">
        <v>3.0</v>
      </c>
    </row>
    <row r="247" ht="40.5" customHeight="1">
      <c r="A247" s="11">
        <v>246.0</v>
      </c>
      <c r="B247" s="11" t="s">
        <v>342</v>
      </c>
      <c r="C247" s="11" t="s">
        <v>1042</v>
      </c>
      <c r="D247" s="93" t="s">
        <v>1043</v>
      </c>
      <c r="E247" s="215" t="s">
        <v>1032</v>
      </c>
      <c r="F247" s="216">
        <v>1.0</v>
      </c>
      <c r="G247" s="11" t="s">
        <v>2050</v>
      </c>
      <c r="H247" s="216">
        <v>1.0</v>
      </c>
      <c r="I247" s="763" t="b">
        <v>0</v>
      </c>
      <c r="J247" s="763" t="b">
        <v>0</v>
      </c>
      <c r="K247" s="763" t="b">
        <v>0</v>
      </c>
      <c r="L247" s="763" t="b">
        <v>0</v>
      </c>
      <c r="M247" s="763" t="b">
        <v>0</v>
      </c>
      <c r="N247" s="763" t="b">
        <v>0</v>
      </c>
      <c r="O247" s="763" t="b">
        <v>0</v>
      </c>
      <c r="P247" s="763" t="b">
        <v>0</v>
      </c>
      <c r="Q247" s="763" t="b">
        <v>0</v>
      </c>
      <c r="R247" s="763" t="b">
        <v>0</v>
      </c>
      <c r="S247" s="763" t="b">
        <v>0</v>
      </c>
      <c r="T247" s="763" t="b">
        <v>0</v>
      </c>
      <c r="U247" s="763" t="b">
        <v>0</v>
      </c>
      <c r="V247" s="763" t="b">
        <v>0</v>
      </c>
      <c r="W247" s="763" t="b">
        <v>0</v>
      </c>
      <c r="X247" s="216">
        <v>200.0</v>
      </c>
      <c r="Y247" s="11">
        <f t="shared" si="5"/>
        <v>200</v>
      </c>
      <c r="Z247" s="11" t="s">
        <v>347</v>
      </c>
      <c r="AA247" s="93"/>
      <c r="AB247" s="93"/>
      <c r="AC247" s="215" t="s">
        <v>1032</v>
      </c>
      <c r="AD247" s="223" t="s">
        <v>1044</v>
      </c>
      <c r="AE247" s="11" t="str">
        <f>IMAGE("https://5.imimg.com/data5/TS/AU/MY-11200044/steel-shaft-claw-hammer-500x500.jpg",1)</f>
        <v/>
      </c>
      <c r="AF247" s="73" t="s">
        <v>1689</v>
      </c>
      <c r="AG247" s="74" t="s">
        <v>1704</v>
      </c>
      <c r="AH247" s="75"/>
      <c r="AI247" s="12"/>
      <c r="AJ247" s="11"/>
      <c r="AK247" s="12">
        <v>3.0</v>
      </c>
    </row>
    <row r="248" ht="40.5" customHeight="1">
      <c r="A248" s="11">
        <v>247.0</v>
      </c>
      <c r="B248" s="11" t="s">
        <v>342</v>
      </c>
      <c r="C248" s="11" t="s">
        <v>1046</v>
      </c>
      <c r="D248" s="93" t="s">
        <v>1047</v>
      </c>
      <c r="E248" s="215" t="s">
        <v>1032</v>
      </c>
      <c r="F248" s="216">
        <v>1.0</v>
      </c>
      <c r="G248" s="11" t="s">
        <v>2050</v>
      </c>
      <c r="H248" s="216">
        <v>1.0</v>
      </c>
      <c r="I248" s="763" t="b">
        <v>0</v>
      </c>
      <c r="J248" s="763" t="b">
        <v>0</v>
      </c>
      <c r="K248" s="763" t="b">
        <v>0</v>
      </c>
      <c r="L248" s="763" t="b">
        <v>0</v>
      </c>
      <c r="M248" s="763" t="b">
        <v>0</v>
      </c>
      <c r="N248" s="763" t="b">
        <v>0</v>
      </c>
      <c r="O248" s="763" t="b">
        <v>0</v>
      </c>
      <c r="P248" s="763" t="b">
        <v>0</v>
      </c>
      <c r="Q248" s="763" t="b">
        <v>0</v>
      </c>
      <c r="R248" s="763" t="b">
        <v>0</v>
      </c>
      <c r="S248" s="763" t="b">
        <v>0</v>
      </c>
      <c r="T248" s="763" t="b">
        <v>0</v>
      </c>
      <c r="U248" s="763" t="b">
        <v>0</v>
      </c>
      <c r="V248" s="763" t="b">
        <v>0</v>
      </c>
      <c r="W248" s="763" t="b">
        <v>0</v>
      </c>
      <c r="X248" s="216">
        <v>500.0</v>
      </c>
      <c r="Y248" s="11">
        <f t="shared" si="5"/>
        <v>500</v>
      </c>
      <c r="Z248" s="11" t="s">
        <v>347</v>
      </c>
      <c r="AA248" s="93"/>
      <c r="AB248" s="93"/>
      <c r="AC248" s="215" t="s">
        <v>1032</v>
      </c>
      <c r="AD248" s="217" t="s">
        <v>1048</v>
      </c>
      <c r="AE248" s="11" t="str">
        <f>IMAGE("https://5.imimg.com/data5/GU/RT/MY-2970994/bench-clamp.jpg",1)</f>
        <v/>
      </c>
      <c r="AF248" s="73" t="s">
        <v>1689</v>
      </c>
      <c r="AG248" s="74"/>
      <c r="AH248" s="75"/>
      <c r="AI248" s="12"/>
      <c r="AJ248" s="11"/>
      <c r="AK248" s="12">
        <v>3.0</v>
      </c>
    </row>
    <row r="249" ht="40.5" customHeight="1">
      <c r="A249" s="11">
        <v>248.0</v>
      </c>
      <c r="B249" s="11" t="s">
        <v>342</v>
      </c>
      <c r="C249" s="11" t="s">
        <v>1050</v>
      </c>
      <c r="D249" s="93" t="s">
        <v>1051</v>
      </c>
      <c r="E249" s="215" t="s">
        <v>1032</v>
      </c>
      <c r="F249" s="216">
        <v>1.0</v>
      </c>
      <c r="G249" s="11" t="s">
        <v>2050</v>
      </c>
      <c r="H249" s="216">
        <v>1.0</v>
      </c>
      <c r="I249" s="763" t="b">
        <v>0</v>
      </c>
      <c r="J249" s="763" t="b">
        <v>0</v>
      </c>
      <c r="K249" s="763" t="b">
        <v>0</v>
      </c>
      <c r="L249" s="763" t="b">
        <v>0</v>
      </c>
      <c r="M249" s="763" t="b">
        <v>0</v>
      </c>
      <c r="N249" s="763" t="b">
        <v>0</v>
      </c>
      <c r="O249" s="763" t="b">
        <v>0</v>
      </c>
      <c r="P249" s="763" t="b">
        <v>0</v>
      </c>
      <c r="Q249" s="763" t="b">
        <v>0</v>
      </c>
      <c r="R249" s="763" t="b">
        <v>0</v>
      </c>
      <c r="S249" s="763" t="b">
        <v>0</v>
      </c>
      <c r="T249" s="763" t="b">
        <v>0</v>
      </c>
      <c r="U249" s="763" t="b">
        <v>0</v>
      </c>
      <c r="V249" s="763" t="b">
        <v>0</v>
      </c>
      <c r="W249" s="763" t="b">
        <v>0</v>
      </c>
      <c r="X249" s="216">
        <v>100.0</v>
      </c>
      <c r="Y249" s="11">
        <f t="shared" si="5"/>
        <v>100</v>
      </c>
      <c r="Z249" s="11" t="s">
        <v>347</v>
      </c>
      <c r="AA249" s="93"/>
      <c r="AB249" s="93"/>
      <c r="AC249" s="215" t="s">
        <v>1032</v>
      </c>
      <c r="AD249" s="217" t="s">
        <v>1052</v>
      </c>
      <c r="AE249" s="11" t="str">
        <f>IMAGE("https://images.jdmagicbox.com/quickquotes/images_main/plier-381885296-5n4zf.jpg",1)</f>
        <v/>
      </c>
      <c r="AF249" s="73" t="s">
        <v>1689</v>
      </c>
      <c r="AG249" s="74" t="s">
        <v>1705</v>
      </c>
      <c r="AH249" s="75"/>
      <c r="AI249" s="12"/>
      <c r="AJ249" s="11"/>
      <c r="AK249" s="12">
        <v>3.0</v>
      </c>
    </row>
    <row r="250" ht="40.5" customHeight="1">
      <c r="A250" s="11">
        <v>249.0</v>
      </c>
      <c r="B250" s="11" t="s">
        <v>342</v>
      </c>
      <c r="C250" s="11" t="s">
        <v>1054</v>
      </c>
      <c r="D250" s="93" t="s">
        <v>1055</v>
      </c>
      <c r="E250" s="215" t="s">
        <v>1032</v>
      </c>
      <c r="F250" s="216">
        <v>1.0</v>
      </c>
      <c r="G250" s="11" t="s">
        <v>2050</v>
      </c>
      <c r="H250" s="216">
        <v>1.0</v>
      </c>
      <c r="I250" s="763" t="b">
        <v>0</v>
      </c>
      <c r="J250" s="763" t="b">
        <v>0</v>
      </c>
      <c r="K250" s="763" t="b">
        <v>0</v>
      </c>
      <c r="L250" s="763" t="b">
        <v>0</v>
      </c>
      <c r="M250" s="763" t="b">
        <v>0</v>
      </c>
      <c r="N250" s="763" t="b">
        <v>0</v>
      </c>
      <c r="O250" s="763" t="b">
        <v>0</v>
      </c>
      <c r="P250" s="763" t="b">
        <v>0</v>
      </c>
      <c r="Q250" s="763" t="b">
        <v>0</v>
      </c>
      <c r="R250" s="763" t="b">
        <v>0</v>
      </c>
      <c r="S250" s="763" t="b">
        <v>0</v>
      </c>
      <c r="T250" s="763" t="b">
        <v>0</v>
      </c>
      <c r="U250" s="763" t="b">
        <v>0</v>
      </c>
      <c r="V250" s="763" t="b">
        <v>0</v>
      </c>
      <c r="W250" s="763" t="b">
        <v>0</v>
      </c>
      <c r="X250" s="216">
        <v>150.0</v>
      </c>
      <c r="Y250" s="11">
        <f t="shared" si="5"/>
        <v>150</v>
      </c>
      <c r="Z250" s="11" t="s">
        <v>347</v>
      </c>
      <c r="AA250" s="93"/>
      <c r="AB250" s="93"/>
      <c r="AC250" s="215" t="s">
        <v>1032</v>
      </c>
      <c r="AD250" s="217" t="s">
        <v>1056</v>
      </c>
      <c r="AE250" s="11" t="str">
        <f>IMAGE("https://m.media-amazon.com/images/I/613WSFIoSjL._SL1500_.jpg",1)</f>
        <v/>
      </c>
      <c r="AF250" s="73" t="s">
        <v>1689</v>
      </c>
      <c r="AG250" s="74" t="s">
        <v>1706</v>
      </c>
      <c r="AH250" s="75"/>
      <c r="AI250" s="12"/>
      <c r="AJ250" s="11"/>
      <c r="AK250" s="12">
        <v>3.0</v>
      </c>
    </row>
    <row r="251" ht="40.5" customHeight="1">
      <c r="A251" s="11">
        <v>250.0</v>
      </c>
      <c r="B251" s="11" t="s">
        <v>342</v>
      </c>
      <c r="C251" s="11" t="s">
        <v>1058</v>
      </c>
      <c r="D251" s="93" t="s">
        <v>1059</v>
      </c>
      <c r="E251" s="215" t="s">
        <v>1032</v>
      </c>
      <c r="F251" s="216">
        <v>1.0</v>
      </c>
      <c r="G251" s="11" t="s">
        <v>2050</v>
      </c>
      <c r="H251" s="216">
        <v>1.0</v>
      </c>
      <c r="I251" s="763" t="b">
        <v>0</v>
      </c>
      <c r="J251" s="763" t="b">
        <v>0</v>
      </c>
      <c r="K251" s="763" t="b">
        <v>0</v>
      </c>
      <c r="L251" s="763" t="b">
        <v>0</v>
      </c>
      <c r="M251" s="763" t="b">
        <v>0</v>
      </c>
      <c r="N251" s="763" t="b">
        <v>0</v>
      </c>
      <c r="O251" s="763" t="b">
        <v>0</v>
      </c>
      <c r="P251" s="763" t="b">
        <v>0</v>
      </c>
      <c r="Q251" s="763" t="b">
        <v>0</v>
      </c>
      <c r="R251" s="763" t="b">
        <v>0</v>
      </c>
      <c r="S251" s="763" t="b">
        <v>0</v>
      </c>
      <c r="T251" s="763" t="b">
        <v>0</v>
      </c>
      <c r="U251" s="763" t="b">
        <v>0</v>
      </c>
      <c r="V251" s="763" t="b">
        <v>0</v>
      </c>
      <c r="W251" s="763" t="b">
        <v>0</v>
      </c>
      <c r="X251" s="216">
        <v>100.0</v>
      </c>
      <c r="Y251" s="11">
        <f t="shared" si="5"/>
        <v>100</v>
      </c>
      <c r="Z251" s="11" t="s">
        <v>347</v>
      </c>
      <c r="AA251" s="93"/>
      <c r="AB251" s="93"/>
      <c r="AC251" s="215" t="s">
        <v>1032</v>
      </c>
      <c r="AD251" s="217" t="s">
        <v>1060</v>
      </c>
      <c r="AE251" s="11" t="str">
        <f>IMAGE("https://in.misumi-ec.com/linked/material/fs/FUJ1/PHOTO/223000817171_001.jpg?$product_main$",1)</f>
        <v/>
      </c>
      <c r="AF251" s="73" t="s">
        <v>1689</v>
      </c>
      <c r="AG251" s="74" t="s">
        <v>1707</v>
      </c>
      <c r="AH251" s="75"/>
      <c r="AI251" s="5"/>
      <c r="AJ251" s="14"/>
      <c r="AK251" s="12">
        <v>3.0</v>
      </c>
    </row>
    <row r="252" ht="40.5" customHeight="1">
      <c r="A252" s="11">
        <v>251.0</v>
      </c>
      <c r="B252" s="222" t="s">
        <v>342</v>
      </c>
      <c r="C252" s="222" t="s">
        <v>1062</v>
      </c>
      <c r="D252" s="232" t="s">
        <v>1063</v>
      </c>
      <c r="E252" s="233" t="s">
        <v>1032</v>
      </c>
      <c r="F252" s="234">
        <v>2.0</v>
      </c>
      <c r="G252" s="11" t="s">
        <v>2195</v>
      </c>
      <c r="H252" s="234">
        <v>2.0</v>
      </c>
      <c r="I252" s="763" t="b">
        <v>0</v>
      </c>
      <c r="J252" s="763" t="b">
        <v>0</v>
      </c>
      <c r="K252" s="763" t="b">
        <v>0</v>
      </c>
      <c r="L252" s="763" t="b">
        <v>0</v>
      </c>
      <c r="M252" s="763" t="b">
        <v>0</v>
      </c>
      <c r="N252" s="763" t="b">
        <v>0</v>
      </c>
      <c r="O252" s="763" t="b">
        <v>0</v>
      </c>
      <c r="P252" s="763" t="b">
        <v>0</v>
      </c>
      <c r="Q252" s="763" t="b">
        <v>0</v>
      </c>
      <c r="R252" s="763" t="b">
        <v>0</v>
      </c>
      <c r="S252" s="763" t="b">
        <v>0</v>
      </c>
      <c r="T252" s="763" t="b">
        <v>0</v>
      </c>
      <c r="U252" s="763" t="b">
        <v>0</v>
      </c>
      <c r="V252" s="763" t="b">
        <v>0</v>
      </c>
      <c r="W252" s="763" t="b">
        <v>0</v>
      </c>
      <c r="X252" s="234">
        <v>500.0</v>
      </c>
      <c r="Y252" s="222">
        <f t="shared" si="5"/>
        <v>1000</v>
      </c>
      <c r="Z252" s="222" t="s">
        <v>347</v>
      </c>
      <c r="AA252" s="232"/>
      <c r="AB252" s="232"/>
      <c r="AC252" s="233" t="s">
        <v>1032</v>
      </c>
      <c r="AD252" s="235" t="s">
        <v>1064</v>
      </c>
      <c r="AE252" s="222" t="str">
        <f>IMAGE("https://i.ebayimg.com/images/g/QLMAAOSwETxj4~0j/s-l1600.jpg",1)</f>
        <v/>
      </c>
      <c r="AF252" s="358"/>
      <c r="AG252" s="359"/>
      <c r="AH252" s="336"/>
      <c r="AI252" s="360"/>
      <c r="AJ252" s="222"/>
      <c r="AK252" s="299">
        <v>3.0</v>
      </c>
    </row>
    <row r="253" ht="40.5" customHeight="1">
      <c r="A253" s="11">
        <v>252.0</v>
      </c>
      <c r="B253" s="11" t="s">
        <v>342</v>
      </c>
      <c r="C253" s="11" t="s">
        <v>1066</v>
      </c>
      <c r="D253" s="93" t="s">
        <v>1067</v>
      </c>
      <c r="E253" s="215" t="s">
        <v>1032</v>
      </c>
      <c r="F253" s="216">
        <v>1.0</v>
      </c>
      <c r="G253" s="11" t="s">
        <v>2050</v>
      </c>
      <c r="H253" s="216">
        <v>1.0</v>
      </c>
      <c r="I253" s="763" t="b">
        <v>0</v>
      </c>
      <c r="J253" s="763" t="b">
        <v>0</v>
      </c>
      <c r="K253" s="763" t="b">
        <v>0</v>
      </c>
      <c r="L253" s="763" t="b">
        <v>0</v>
      </c>
      <c r="M253" s="763" t="b">
        <v>0</v>
      </c>
      <c r="N253" s="763" t="b">
        <v>0</v>
      </c>
      <c r="O253" s="763" t="b">
        <v>0</v>
      </c>
      <c r="P253" s="763" t="b">
        <v>0</v>
      </c>
      <c r="Q253" s="763" t="b">
        <v>0</v>
      </c>
      <c r="R253" s="763" t="b">
        <v>0</v>
      </c>
      <c r="S253" s="763" t="b">
        <v>0</v>
      </c>
      <c r="T253" s="763" t="b">
        <v>0</v>
      </c>
      <c r="U253" s="763" t="b">
        <v>0</v>
      </c>
      <c r="V253" s="763" t="b">
        <v>0</v>
      </c>
      <c r="W253" s="763" t="b">
        <v>0</v>
      </c>
      <c r="X253" s="216">
        <v>200.0</v>
      </c>
      <c r="Y253" s="11">
        <f t="shared" si="5"/>
        <v>200</v>
      </c>
      <c r="Z253" s="11" t="s">
        <v>347</v>
      </c>
      <c r="AA253" s="93"/>
      <c r="AB253" s="93"/>
      <c r="AC253" s="215" t="s">
        <v>1032</v>
      </c>
      <c r="AD253" s="217" t="s">
        <v>1068</v>
      </c>
      <c r="AE253" s="11" t="str">
        <f>IMAGE("https://res.cloudinary.com/rsc/image/upload/b_rgb:FFFFFF,c_pad,dpr_1.0,f_auto,q_auto,w_700/c_pad,w_700/C1985249-01",1)</f>
        <v/>
      </c>
      <c r="AF253" s="73" t="s">
        <v>1689</v>
      </c>
      <c r="AG253" s="74" t="s">
        <v>1708</v>
      </c>
      <c r="AH253" s="75"/>
      <c r="AI253" s="12"/>
      <c r="AJ253" s="11"/>
      <c r="AK253" s="12">
        <v>3.0</v>
      </c>
    </row>
    <row r="254" ht="40.5" customHeight="1">
      <c r="A254" s="11">
        <v>253.0</v>
      </c>
      <c r="B254" s="222" t="s">
        <v>342</v>
      </c>
      <c r="C254" s="222" t="s">
        <v>1070</v>
      </c>
      <c r="D254" s="232" t="s">
        <v>1071</v>
      </c>
      <c r="E254" s="233" t="s">
        <v>1032</v>
      </c>
      <c r="F254" s="234">
        <v>10.0</v>
      </c>
      <c r="G254" s="11" t="s">
        <v>2209</v>
      </c>
      <c r="H254" s="234">
        <v>10.0</v>
      </c>
      <c r="I254" s="763" t="b">
        <v>0</v>
      </c>
      <c r="J254" s="763" t="b">
        <v>0</v>
      </c>
      <c r="K254" s="763" t="b">
        <v>0</v>
      </c>
      <c r="L254" s="763" t="b">
        <v>0</v>
      </c>
      <c r="M254" s="763" t="b">
        <v>0</v>
      </c>
      <c r="N254" s="763" t="b">
        <v>0</v>
      </c>
      <c r="O254" s="763" t="b">
        <v>0</v>
      </c>
      <c r="P254" s="763" t="b">
        <v>0</v>
      </c>
      <c r="Q254" s="763" t="b">
        <v>0</v>
      </c>
      <c r="R254" s="763" t="b">
        <v>0</v>
      </c>
      <c r="S254" s="763" t="b">
        <v>0</v>
      </c>
      <c r="T254" s="763" t="b">
        <v>0</v>
      </c>
      <c r="U254" s="763" t="b">
        <v>0</v>
      </c>
      <c r="V254" s="763" t="b">
        <v>0</v>
      </c>
      <c r="W254" s="763" t="b">
        <v>0</v>
      </c>
      <c r="X254" s="234">
        <v>200.0</v>
      </c>
      <c r="Y254" s="222">
        <f t="shared" si="5"/>
        <v>2000</v>
      </c>
      <c r="Z254" s="222" t="s">
        <v>347</v>
      </c>
      <c r="AA254" s="232" t="s">
        <v>47</v>
      </c>
      <c r="AB254" s="341" t="s">
        <v>65</v>
      </c>
      <c r="AC254" s="233" t="s">
        <v>1032</v>
      </c>
      <c r="AD254" s="235" t="s">
        <v>1072</v>
      </c>
      <c r="AE254" s="222" t="str">
        <f>IMAGE("https://cdn.shopify.com/s/files/1/0064/3412/7939/products/71vpWrfPgFL._SL1000_9c7ae600-0e17-44f0-97b0-7a8fa32a55cc_2048x.jpg?v=1540199513",1)</f>
        <v/>
      </c>
      <c r="AF254" s="644"/>
      <c r="AG254" s="359"/>
      <c r="AH254" s="336"/>
      <c r="AI254" s="360"/>
      <c r="AJ254" s="222"/>
      <c r="AK254" s="299">
        <v>3.0</v>
      </c>
    </row>
    <row r="255" ht="40.5" customHeight="1">
      <c r="A255" s="11">
        <v>254.0</v>
      </c>
      <c r="B255" s="11" t="s">
        <v>342</v>
      </c>
      <c r="C255" s="11" t="s">
        <v>1074</v>
      </c>
      <c r="D255" s="93" t="s">
        <v>1075</v>
      </c>
      <c r="E255" s="215" t="s">
        <v>1032</v>
      </c>
      <c r="F255" s="216">
        <v>4.0</v>
      </c>
      <c r="G255" s="11" t="s">
        <v>2102</v>
      </c>
      <c r="H255" s="216">
        <v>4.0</v>
      </c>
      <c r="I255" s="763" t="b">
        <v>0</v>
      </c>
      <c r="J255" s="763" t="b">
        <v>0</v>
      </c>
      <c r="K255" s="763" t="b">
        <v>0</v>
      </c>
      <c r="L255" s="763" t="b">
        <v>0</v>
      </c>
      <c r="M255" s="763" t="b">
        <v>0</v>
      </c>
      <c r="N255" s="763" t="b">
        <v>0</v>
      </c>
      <c r="O255" s="763" t="b">
        <v>0</v>
      </c>
      <c r="P255" s="763" t="b">
        <v>0</v>
      </c>
      <c r="Q255" s="763" t="b">
        <v>0</v>
      </c>
      <c r="R255" s="763" t="b">
        <v>0</v>
      </c>
      <c r="S255" s="763" t="b">
        <v>0</v>
      </c>
      <c r="T255" s="763" t="b">
        <v>0</v>
      </c>
      <c r="U255" s="763" t="b">
        <v>0</v>
      </c>
      <c r="V255" s="763" t="b">
        <v>0</v>
      </c>
      <c r="W255" s="763" t="b">
        <v>0</v>
      </c>
      <c r="X255" s="216">
        <v>500.0</v>
      </c>
      <c r="Y255" s="11">
        <f t="shared" si="5"/>
        <v>2000</v>
      </c>
      <c r="Z255" s="11" t="s">
        <v>347</v>
      </c>
      <c r="AA255" s="93"/>
      <c r="AB255" s="93"/>
      <c r="AC255" s="215" t="s">
        <v>1032</v>
      </c>
      <c r="AD255" s="217" t="s">
        <v>284</v>
      </c>
      <c r="AE255" s="11" t="str">
        <f>IMAGE("https://cdn.shopify.com/s/files/1/0088/0056/7392/products/71GahpQFYhL._SL1500_1024x.jpg?v=1634034762",1)</f>
        <v/>
      </c>
      <c r="AF255" s="73" t="s">
        <v>1689</v>
      </c>
      <c r="AG255" s="74" t="s">
        <v>1709</v>
      </c>
      <c r="AH255" s="75"/>
      <c r="AI255" s="12"/>
      <c r="AJ255" s="11"/>
      <c r="AK255" s="12">
        <v>3.0</v>
      </c>
    </row>
    <row r="256" ht="40.5" customHeight="1">
      <c r="A256" s="11">
        <v>255.0</v>
      </c>
      <c r="B256" s="11" t="s">
        <v>342</v>
      </c>
      <c r="C256" s="11" t="s">
        <v>1077</v>
      </c>
      <c r="D256" s="93" t="s">
        <v>1078</v>
      </c>
      <c r="E256" s="215" t="s">
        <v>1032</v>
      </c>
      <c r="F256" s="216">
        <v>50.0</v>
      </c>
      <c r="G256" s="11" t="s">
        <v>2103</v>
      </c>
      <c r="H256" s="216">
        <v>50.0</v>
      </c>
      <c r="I256" s="763" t="b">
        <v>0</v>
      </c>
      <c r="J256" s="763" t="b">
        <v>0</v>
      </c>
      <c r="K256" s="763" t="b">
        <v>0</v>
      </c>
      <c r="L256" s="763" t="b">
        <v>0</v>
      </c>
      <c r="M256" s="763" t="b">
        <v>0</v>
      </c>
      <c r="N256" s="763" t="b">
        <v>0</v>
      </c>
      <c r="O256" s="763" t="b">
        <v>0</v>
      </c>
      <c r="P256" s="763" t="b">
        <v>0</v>
      </c>
      <c r="Q256" s="763" t="b">
        <v>0</v>
      </c>
      <c r="R256" s="763" t="b">
        <v>0</v>
      </c>
      <c r="S256" s="763" t="b">
        <v>0</v>
      </c>
      <c r="T256" s="763" t="b">
        <v>0</v>
      </c>
      <c r="U256" s="763" t="b">
        <v>0</v>
      </c>
      <c r="V256" s="763" t="b">
        <v>0</v>
      </c>
      <c r="W256" s="763" t="b">
        <v>0</v>
      </c>
      <c r="X256" s="216">
        <v>8.0</v>
      </c>
      <c r="Y256" s="11">
        <f t="shared" si="5"/>
        <v>400</v>
      </c>
      <c r="Z256" s="11" t="s">
        <v>347</v>
      </c>
      <c r="AA256" s="93" t="s">
        <v>47</v>
      </c>
      <c r="AB256" s="93" t="s">
        <v>1594</v>
      </c>
      <c r="AC256" s="93" t="s">
        <v>23</v>
      </c>
      <c r="AD256" s="217" t="s">
        <v>1079</v>
      </c>
      <c r="AE256" s="11" t="str">
        <f>IMAGE("https://m.media-amazon.com/images/I/51OTKanSUXL._SL1024_.jpg",1)</f>
        <v/>
      </c>
      <c r="AF256" s="78"/>
      <c r="AG256" s="74"/>
      <c r="AH256" s="75"/>
      <c r="AI256" s="12"/>
      <c r="AJ256" s="11"/>
      <c r="AK256" s="12">
        <v>1.0</v>
      </c>
    </row>
    <row r="257" ht="40.5" customHeight="1">
      <c r="A257" s="11">
        <v>256.0</v>
      </c>
      <c r="B257" s="11" t="s">
        <v>342</v>
      </c>
      <c r="C257" s="11" t="s">
        <v>1081</v>
      </c>
      <c r="D257" s="93" t="s">
        <v>1082</v>
      </c>
      <c r="E257" s="215" t="s">
        <v>1032</v>
      </c>
      <c r="F257" s="216">
        <v>1.0</v>
      </c>
      <c r="G257" s="11" t="s">
        <v>2104</v>
      </c>
      <c r="H257" s="216">
        <v>1.0</v>
      </c>
      <c r="I257" s="763" t="b">
        <v>0</v>
      </c>
      <c r="J257" s="763" t="b">
        <v>0</v>
      </c>
      <c r="K257" s="763" t="b">
        <v>0</v>
      </c>
      <c r="L257" s="763" t="b">
        <v>0</v>
      </c>
      <c r="M257" s="763" t="b">
        <v>0</v>
      </c>
      <c r="N257" s="763" t="b">
        <v>0</v>
      </c>
      <c r="O257" s="763" t="b">
        <v>0</v>
      </c>
      <c r="P257" s="763" t="b">
        <v>0</v>
      </c>
      <c r="Q257" s="763" t="b">
        <v>0</v>
      </c>
      <c r="R257" s="763" t="b">
        <v>0</v>
      </c>
      <c r="S257" s="763" t="b">
        <v>0</v>
      </c>
      <c r="T257" s="763" t="b">
        <v>0</v>
      </c>
      <c r="U257" s="763" t="b">
        <v>0</v>
      </c>
      <c r="V257" s="763" t="b">
        <v>0</v>
      </c>
      <c r="W257" s="763" t="b">
        <v>0</v>
      </c>
      <c r="X257" s="216">
        <v>200.0</v>
      </c>
      <c r="Y257" s="11">
        <f t="shared" si="5"/>
        <v>200</v>
      </c>
      <c r="Z257" s="11" t="s">
        <v>347</v>
      </c>
      <c r="AA257" s="93"/>
      <c r="AB257" s="93" t="s">
        <v>2002</v>
      </c>
      <c r="AC257" s="215" t="s">
        <v>1032</v>
      </c>
      <c r="AD257" s="217" t="s">
        <v>1083</v>
      </c>
      <c r="AE257" s="11" t="str">
        <f>IMAGE("https://m.media-amazon.com/images/I/41XSpNsGoiL._SL1024_.jpg",1)</f>
        <v/>
      </c>
      <c r="AF257" s="73" t="s">
        <v>1689</v>
      </c>
      <c r="AG257" s="74" t="s">
        <v>1710</v>
      </c>
      <c r="AH257" s="75"/>
      <c r="AI257" s="12"/>
      <c r="AJ257" s="11"/>
      <c r="AK257" s="12">
        <v>3.0</v>
      </c>
    </row>
    <row r="258" ht="40.5" customHeight="1">
      <c r="A258" s="11">
        <v>257.0</v>
      </c>
      <c r="B258" s="11" t="s">
        <v>342</v>
      </c>
      <c r="C258" s="11" t="s">
        <v>1085</v>
      </c>
      <c r="D258" s="93" t="s">
        <v>1086</v>
      </c>
      <c r="E258" s="215" t="s">
        <v>1032</v>
      </c>
      <c r="F258" s="216">
        <v>2.0</v>
      </c>
      <c r="G258" s="11" t="s">
        <v>2050</v>
      </c>
      <c r="H258" s="216">
        <v>2.0</v>
      </c>
      <c r="I258" s="763" t="b">
        <v>0</v>
      </c>
      <c r="J258" s="763" t="b">
        <v>0</v>
      </c>
      <c r="K258" s="763" t="b">
        <v>0</v>
      </c>
      <c r="L258" s="763" t="b">
        <v>0</v>
      </c>
      <c r="M258" s="763" t="b">
        <v>0</v>
      </c>
      <c r="N258" s="763" t="b">
        <v>0</v>
      </c>
      <c r="O258" s="763" t="b">
        <v>0</v>
      </c>
      <c r="P258" s="763" t="b">
        <v>0</v>
      </c>
      <c r="Q258" s="763" t="b">
        <v>0</v>
      </c>
      <c r="R258" s="763" t="b">
        <v>0</v>
      </c>
      <c r="S258" s="763" t="b">
        <v>0</v>
      </c>
      <c r="T258" s="763" t="b">
        <v>0</v>
      </c>
      <c r="U258" s="763" t="b">
        <v>0</v>
      </c>
      <c r="V258" s="763" t="b">
        <v>0</v>
      </c>
      <c r="W258" s="763" t="b">
        <v>0</v>
      </c>
      <c r="X258" s="216">
        <v>100.0</v>
      </c>
      <c r="Y258" s="11">
        <f t="shared" si="5"/>
        <v>200</v>
      </c>
      <c r="Z258" s="11" t="s">
        <v>347</v>
      </c>
      <c r="AA258" s="93"/>
      <c r="AB258" s="93"/>
      <c r="AC258" s="93" t="s">
        <v>1964</v>
      </c>
      <c r="AD258" s="217" t="s">
        <v>1087</v>
      </c>
      <c r="AE258" s="11" t="str">
        <f>IMAGE("https://m.media-amazon.com/images/I/513ZkVzGbdL._AC_.jpg", 1)</f>
        <v/>
      </c>
      <c r="AF258" s="78"/>
      <c r="AG258" s="74"/>
      <c r="AH258" s="75"/>
      <c r="AI258" s="12"/>
      <c r="AJ258" s="11"/>
      <c r="AK258" s="12">
        <v>3.0</v>
      </c>
    </row>
    <row r="259" ht="40.5" customHeight="1">
      <c r="A259" s="11">
        <v>258.0</v>
      </c>
      <c r="B259" s="11" t="s">
        <v>342</v>
      </c>
      <c r="C259" s="11" t="s">
        <v>1089</v>
      </c>
      <c r="D259" s="93" t="s">
        <v>1090</v>
      </c>
      <c r="E259" s="215" t="s">
        <v>1032</v>
      </c>
      <c r="F259" s="216">
        <v>1.0</v>
      </c>
      <c r="G259" s="11" t="s">
        <v>2050</v>
      </c>
      <c r="H259" s="216">
        <v>2.0</v>
      </c>
      <c r="I259" s="763" t="b">
        <v>0</v>
      </c>
      <c r="J259" s="763" t="b">
        <v>0</v>
      </c>
      <c r="K259" s="763" t="b">
        <v>0</v>
      </c>
      <c r="L259" s="763" t="b">
        <v>0</v>
      </c>
      <c r="M259" s="763" t="b">
        <v>0</v>
      </c>
      <c r="N259" s="763" t="b">
        <v>0</v>
      </c>
      <c r="O259" s="763" t="b">
        <v>0</v>
      </c>
      <c r="P259" s="763" t="b">
        <v>0</v>
      </c>
      <c r="Q259" s="763" t="b">
        <v>0</v>
      </c>
      <c r="R259" s="763" t="b">
        <v>0</v>
      </c>
      <c r="S259" s="763" t="b">
        <v>0</v>
      </c>
      <c r="T259" s="763" t="b">
        <v>0</v>
      </c>
      <c r="U259" s="763" t="b">
        <v>0</v>
      </c>
      <c r="V259" s="763" t="b">
        <v>0</v>
      </c>
      <c r="W259" s="763" t="b">
        <v>0</v>
      </c>
      <c r="X259" s="216">
        <v>200.0</v>
      </c>
      <c r="Y259" s="11">
        <f t="shared" si="5"/>
        <v>400</v>
      </c>
      <c r="Z259" s="11" t="s">
        <v>347</v>
      </c>
      <c r="AA259" s="93"/>
      <c r="AB259" s="93"/>
      <c r="AC259" s="93" t="s">
        <v>1964</v>
      </c>
      <c r="AD259" s="217" t="s">
        <v>1091</v>
      </c>
      <c r="AE259" s="11" t="str">
        <f>IMAGE("https://m.media-amazon.com/images/I/41V47za3aNL.jpg",1)</f>
        <v/>
      </c>
      <c r="AF259" s="73" t="s">
        <v>1689</v>
      </c>
      <c r="AG259" s="74" t="s">
        <v>1711</v>
      </c>
      <c r="AH259" s="75"/>
      <c r="AI259" s="12"/>
      <c r="AJ259" s="11"/>
      <c r="AK259" s="12">
        <v>3.0</v>
      </c>
    </row>
    <row r="260" ht="40.5" customHeight="1">
      <c r="A260" s="11">
        <v>259.0</v>
      </c>
      <c r="B260" s="11" t="s">
        <v>342</v>
      </c>
      <c r="C260" s="11" t="s">
        <v>1093</v>
      </c>
      <c r="D260" s="93" t="s">
        <v>1094</v>
      </c>
      <c r="E260" s="215" t="s">
        <v>1032</v>
      </c>
      <c r="F260" s="216" t="s">
        <v>56</v>
      </c>
      <c r="G260" s="11" t="s">
        <v>2050</v>
      </c>
      <c r="H260" s="216">
        <v>2.0</v>
      </c>
      <c r="I260" s="763" t="b">
        <v>0</v>
      </c>
      <c r="J260" s="763" t="b">
        <v>0</v>
      </c>
      <c r="K260" s="763" t="b">
        <v>0</v>
      </c>
      <c r="L260" s="763" t="b">
        <v>0</v>
      </c>
      <c r="M260" s="763" t="b">
        <v>0</v>
      </c>
      <c r="N260" s="763" t="b">
        <v>0</v>
      </c>
      <c r="O260" s="763" t="b">
        <v>0</v>
      </c>
      <c r="P260" s="763" t="b">
        <v>0</v>
      </c>
      <c r="Q260" s="763" t="b">
        <v>0</v>
      </c>
      <c r="R260" s="763" t="b">
        <v>0</v>
      </c>
      <c r="S260" s="763" t="b">
        <v>0</v>
      </c>
      <c r="T260" s="763" t="b">
        <v>0</v>
      </c>
      <c r="U260" s="763" t="b">
        <v>0</v>
      </c>
      <c r="V260" s="763" t="b">
        <v>0</v>
      </c>
      <c r="W260" s="763" t="b">
        <v>0</v>
      </c>
      <c r="X260" s="216">
        <v>350.0</v>
      </c>
      <c r="Y260" s="11">
        <f t="shared" si="5"/>
        <v>700</v>
      </c>
      <c r="Z260" s="11" t="s">
        <v>347</v>
      </c>
      <c r="AA260" s="93"/>
      <c r="AB260" s="93"/>
      <c r="AC260" s="215" t="s">
        <v>1032</v>
      </c>
      <c r="AD260" s="217" t="s">
        <v>1095</v>
      </c>
      <c r="AE260" s="11" t="str">
        <f>IMAGE("https://m.media-amazon.com/images/I/41pgJCdOd0L._AC_SX522_.jpg", 1)</f>
        <v/>
      </c>
      <c r="AF260" s="73" t="s">
        <v>1689</v>
      </c>
      <c r="AG260" s="74" t="s">
        <v>1712</v>
      </c>
      <c r="AH260" s="75"/>
      <c r="AI260" s="12"/>
      <c r="AJ260" s="11"/>
      <c r="AK260" s="12">
        <v>3.0</v>
      </c>
    </row>
    <row r="261" ht="40.5" customHeight="1">
      <c r="A261" s="11">
        <v>260.0</v>
      </c>
      <c r="B261" s="11" t="s">
        <v>342</v>
      </c>
      <c r="C261" s="11" t="s">
        <v>1097</v>
      </c>
      <c r="D261" s="93" t="s">
        <v>1098</v>
      </c>
      <c r="E261" s="215" t="s">
        <v>1032</v>
      </c>
      <c r="F261" s="216">
        <v>25.0</v>
      </c>
      <c r="G261" s="11" t="s">
        <v>2051</v>
      </c>
      <c r="H261" s="216">
        <v>25.0</v>
      </c>
      <c r="I261" s="763" t="b">
        <v>0</v>
      </c>
      <c r="J261" s="763" t="b">
        <v>0</v>
      </c>
      <c r="K261" s="763" t="b">
        <v>0</v>
      </c>
      <c r="L261" s="763" t="b">
        <v>0</v>
      </c>
      <c r="M261" s="763" t="b">
        <v>0</v>
      </c>
      <c r="N261" s="763" t="b">
        <v>0</v>
      </c>
      <c r="O261" s="763" t="b">
        <v>0</v>
      </c>
      <c r="P261" s="763" t="b">
        <v>0</v>
      </c>
      <c r="Q261" s="763" t="b">
        <v>0</v>
      </c>
      <c r="R261" s="763" t="b">
        <v>0</v>
      </c>
      <c r="S261" s="763" t="b">
        <v>0</v>
      </c>
      <c r="T261" s="763" t="b">
        <v>0</v>
      </c>
      <c r="U261" s="763" t="b">
        <v>0</v>
      </c>
      <c r="V261" s="763" t="b">
        <v>0</v>
      </c>
      <c r="W261" s="763" t="b">
        <v>0</v>
      </c>
      <c r="X261" s="216">
        <v>20.0</v>
      </c>
      <c r="Y261" s="11">
        <f t="shared" si="5"/>
        <v>500</v>
      </c>
      <c r="Z261" s="11" t="s">
        <v>347</v>
      </c>
      <c r="AA261" s="93"/>
      <c r="AB261" s="93" t="s">
        <v>2105</v>
      </c>
      <c r="AC261" s="215" t="s">
        <v>1032</v>
      </c>
      <c r="AD261" s="217" t="s">
        <v>481</v>
      </c>
      <c r="AE261" s="11" t="str">
        <f>IMAGE("https://5.imimg.com/data5/UF/DF/MY-45635244/sand-paper-500x500.jpg",1)</f>
        <v/>
      </c>
      <c r="AF261" s="78"/>
      <c r="AG261" s="74"/>
      <c r="AH261" s="75"/>
      <c r="AI261" s="12"/>
      <c r="AJ261" s="11"/>
      <c r="AK261" s="12">
        <v>3.0</v>
      </c>
    </row>
    <row r="262" ht="40.5" customHeight="1">
      <c r="A262" s="11">
        <v>261.0</v>
      </c>
      <c r="B262" s="11" t="s">
        <v>342</v>
      </c>
      <c r="C262" s="11" t="s">
        <v>1100</v>
      </c>
      <c r="D262" s="93" t="s">
        <v>1101</v>
      </c>
      <c r="E262" s="215" t="s">
        <v>1032</v>
      </c>
      <c r="F262" s="216" t="s">
        <v>56</v>
      </c>
      <c r="G262" s="11" t="s">
        <v>2050</v>
      </c>
      <c r="H262" s="216" t="s">
        <v>56</v>
      </c>
      <c r="I262" s="763" t="b">
        <v>0</v>
      </c>
      <c r="J262" s="763" t="b">
        <v>0</v>
      </c>
      <c r="K262" s="763" t="b">
        <v>0</v>
      </c>
      <c r="L262" s="763" t="b">
        <v>0</v>
      </c>
      <c r="M262" s="763" t="b">
        <v>0</v>
      </c>
      <c r="N262" s="763" t="b">
        <v>0</v>
      </c>
      <c r="O262" s="763" t="b">
        <v>0</v>
      </c>
      <c r="P262" s="763" t="b">
        <v>0</v>
      </c>
      <c r="Q262" s="763" t="b">
        <v>0</v>
      </c>
      <c r="R262" s="763" t="b">
        <v>0</v>
      </c>
      <c r="S262" s="763" t="b">
        <v>0</v>
      </c>
      <c r="T262" s="763" t="b">
        <v>0</v>
      </c>
      <c r="U262" s="763" t="b">
        <v>0</v>
      </c>
      <c r="V262" s="763" t="b">
        <v>0</v>
      </c>
      <c r="W262" s="763" t="b">
        <v>0</v>
      </c>
      <c r="X262" s="216" t="s">
        <v>56</v>
      </c>
      <c r="Y262" s="216" t="s">
        <v>56</v>
      </c>
      <c r="Z262" s="11" t="s">
        <v>347</v>
      </c>
      <c r="AA262" s="93"/>
      <c r="AB262" s="93"/>
      <c r="AC262" s="215" t="s">
        <v>1032</v>
      </c>
      <c r="AD262" s="216" t="s">
        <v>56</v>
      </c>
      <c r="AE262" s="218" t="e">
        <v>#VALUE!</v>
      </c>
      <c r="AF262" s="73" t="s">
        <v>1689</v>
      </c>
      <c r="AG262" s="74" t="s">
        <v>1713</v>
      </c>
      <c r="AH262" s="75"/>
      <c r="AI262" s="12"/>
      <c r="AJ262" s="11"/>
      <c r="AK262" s="12">
        <v>3.0</v>
      </c>
    </row>
    <row r="263" ht="40.5" customHeight="1">
      <c r="A263" s="11">
        <v>262.0</v>
      </c>
      <c r="B263" s="11" t="s">
        <v>342</v>
      </c>
      <c r="C263" s="11" t="s">
        <v>1103</v>
      </c>
      <c r="D263" s="93" t="s">
        <v>1104</v>
      </c>
      <c r="E263" s="215" t="s">
        <v>1032</v>
      </c>
      <c r="F263" s="216" t="s">
        <v>56</v>
      </c>
      <c r="G263" s="11" t="s">
        <v>2050</v>
      </c>
      <c r="H263" s="216" t="s">
        <v>56</v>
      </c>
      <c r="I263" s="763" t="b">
        <v>0</v>
      </c>
      <c r="J263" s="763" t="b">
        <v>0</v>
      </c>
      <c r="K263" s="763" t="b">
        <v>0</v>
      </c>
      <c r="L263" s="763" t="b">
        <v>0</v>
      </c>
      <c r="M263" s="763" t="b">
        <v>0</v>
      </c>
      <c r="N263" s="763" t="b">
        <v>0</v>
      </c>
      <c r="O263" s="763" t="b">
        <v>0</v>
      </c>
      <c r="P263" s="763" t="b">
        <v>0</v>
      </c>
      <c r="Q263" s="763" t="b">
        <v>0</v>
      </c>
      <c r="R263" s="763" t="b">
        <v>0</v>
      </c>
      <c r="S263" s="763" t="b">
        <v>0</v>
      </c>
      <c r="T263" s="763" t="b">
        <v>0</v>
      </c>
      <c r="U263" s="763" t="b">
        <v>0</v>
      </c>
      <c r="V263" s="763" t="b">
        <v>0</v>
      </c>
      <c r="W263" s="763" t="b">
        <v>0</v>
      </c>
      <c r="X263" s="216" t="s">
        <v>56</v>
      </c>
      <c r="Y263" s="216" t="s">
        <v>56</v>
      </c>
      <c r="Z263" s="11" t="s">
        <v>347</v>
      </c>
      <c r="AA263" s="93"/>
      <c r="AB263" s="93"/>
      <c r="AC263" s="215" t="s">
        <v>1032</v>
      </c>
      <c r="AD263" s="216" t="s">
        <v>56</v>
      </c>
      <c r="AE263" s="218" t="e">
        <v>#VALUE!</v>
      </c>
      <c r="AF263" s="73" t="s">
        <v>1689</v>
      </c>
      <c r="AG263" s="74" t="s">
        <v>1714</v>
      </c>
      <c r="AH263" s="75"/>
      <c r="AI263" s="12"/>
      <c r="AJ263" s="11"/>
      <c r="AK263" s="12">
        <v>3.0</v>
      </c>
    </row>
    <row r="264" ht="40.5" customHeight="1">
      <c r="A264" s="11">
        <v>263.0</v>
      </c>
      <c r="B264" s="11" t="s">
        <v>342</v>
      </c>
      <c r="C264" s="11" t="s">
        <v>1106</v>
      </c>
      <c r="D264" s="107" t="s">
        <v>1107</v>
      </c>
      <c r="E264" s="215" t="s">
        <v>1032</v>
      </c>
      <c r="F264" s="216" t="s">
        <v>56</v>
      </c>
      <c r="G264" s="11" t="s">
        <v>2050</v>
      </c>
      <c r="H264" s="216" t="s">
        <v>56</v>
      </c>
      <c r="I264" s="763" t="b">
        <v>0</v>
      </c>
      <c r="J264" s="763" t="b">
        <v>0</v>
      </c>
      <c r="K264" s="763" t="b">
        <v>0</v>
      </c>
      <c r="L264" s="763" t="b">
        <v>0</v>
      </c>
      <c r="M264" s="763" t="b">
        <v>0</v>
      </c>
      <c r="N264" s="763" t="b">
        <v>0</v>
      </c>
      <c r="O264" s="763" t="b">
        <v>0</v>
      </c>
      <c r="P264" s="763" t="b">
        <v>0</v>
      </c>
      <c r="Q264" s="763" t="b">
        <v>0</v>
      </c>
      <c r="R264" s="763" t="b">
        <v>0</v>
      </c>
      <c r="S264" s="763" t="b">
        <v>0</v>
      </c>
      <c r="T264" s="763" t="b">
        <v>0</v>
      </c>
      <c r="U264" s="763" t="b">
        <v>0</v>
      </c>
      <c r="V264" s="763" t="b">
        <v>0</v>
      </c>
      <c r="W264" s="763" t="b">
        <v>0</v>
      </c>
      <c r="X264" s="216" t="s">
        <v>56</v>
      </c>
      <c r="Y264" s="216" t="s">
        <v>56</v>
      </c>
      <c r="Z264" s="11" t="s">
        <v>347</v>
      </c>
      <c r="AA264" s="93"/>
      <c r="AB264" s="93"/>
      <c r="AC264" s="215" t="s">
        <v>1032</v>
      </c>
      <c r="AD264" s="216" t="s">
        <v>56</v>
      </c>
      <c r="AE264" s="218" t="e">
        <v>#VALUE!</v>
      </c>
      <c r="AF264" s="73" t="s">
        <v>1689</v>
      </c>
      <c r="AG264" s="74" t="s">
        <v>1715</v>
      </c>
      <c r="AH264" s="75"/>
      <c r="AI264" s="12"/>
      <c r="AJ264" s="11"/>
      <c r="AK264" s="12">
        <v>3.0</v>
      </c>
    </row>
    <row r="265" ht="40.5" customHeight="1">
      <c r="A265" s="11">
        <v>264.0</v>
      </c>
      <c r="B265" s="11" t="s">
        <v>342</v>
      </c>
      <c r="C265" s="11" t="s">
        <v>1109</v>
      </c>
      <c r="D265" s="107" t="s">
        <v>1110</v>
      </c>
      <c r="E265" s="215" t="s">
        <v>1032</v>
      </c>
      <c r="F265" s="216" t="s">
        <v>56</v>
      </c>
      <c r="G265" s="11" t="s">
        <v>2050</v>
      </c>
      <c r="H265" s="216" t="s">
        <v>56</v>
      </c>
      <c r="I265" s="763" t="b">
        <v>0</v>
      </c>
      <c r="J265" s="763" t="b">
        <v>0</v>
      </c>
      <c r="K265" s="763" t="b">
        <v>0</v>
      </c>
      <c r="L265" s="763" t="b">
        <v>0</v>
      </c>
      <c r="M265" s="763" t="b">
        <v>0</v>
      </c>
      <c r="N265" s="763" t="b">
        <v>0</v>
      </c>
      <c r="O265" s="763" t="b">
        <v>0</v>
      </c>
      <c r="P265" s="763" t="b">
        <v>0</v>
      </c>
      <c r="Q265" s="763" t="b">
        <v>0</v>
      </c>
      <c r="R265" s="763" t="b">
        <v>0</v>
      </c>
      <c r="S265" s="763" t="b">
        <v>0</v>
      </c>
      <c r="T265" s="763" t="b">
        <v>0</v>
      </c>
      <c r="U265" s="763" t="b">
        <v>0</v>
      </c>
      <c r="V265" s="763" t="b">
        <v>0</v>
      </c>
      <c r="W265" s="763" t="b">
        <v>0</v>
      </c>
      <c r="X265" s="216" t="s">
        <v>56</v>
      </c>
      <c r="Y265" s="216" t="s">
        <v>56</v>
      </c>
      <c r="Z265" s="11" t="s">
        <v>347</v>
      </c>
      <c r="AA265" s="93"/>
      <c r="AB265" s="93"/>
      <c r="AC265" s="215" t="s">
        <v>1032</v>
      </c>
      <c r="AD265" s="217" t="s">
        <v>1111</v>
      </c>
      <c r="AE265" s="216" t="e">
        <v>#VALUE!</v>
      </c>
      <c r="AF265" s="73" t="s">
        <v>1689</v>
      </c>
      <c r="AG265" s="74" t="s">
        <v>1716</v>
      </c>
      <c r="AH265" s="75"/>
      <c r="AI265" s="12"/>
      <c r="AJ265" s="11"/>
      <c r="AK265" s="12">
        <v>3.0</v>
      </c>
    </row>
    <row r="266" ht="40.5" customHeight="1">
      <c r="A266" s="11">
        <v>265.0</v>
      </c>
      <c r="B266" s="11" t="s">
        <v>342</v>
      </c>
      <c r="C266" s="11" t="s">
        <v>1113</v>
      </c>
      <c r="D266" s="93" t="s">
        <v>1114</v>
      </c>
      <c r="E266" s="215" t="s">
        <v>1032</v>
      </c>
      <c r="F266" s="216" t="s">
        <v>56</v>
      </c>
      <c r="G266" s="11" t="s">
        <v>2050</v>
      </c>
      <c r="H266" s="216" t="s">
        <v>56</v>
      </c>
      <c r="I266" s="763" t="b">
        <v>0</v>
      </c>
      <c r="J266" s="763" t="b">
        <v>0</v>
      </c>
      <c r="K266" s="763" t="b">
        <v>0</v>
      </c>
      <c r="L266" s="763" t="b">
        <v>0</v>
      </c>
      <c r="M266" s="763" t="b">
        <v>0</v>
      </c>
      <c r="N266" s="763" t="b">
        <v>0</v>
      </c>
      <c r="O266" s="763" t="b">
        <v>0</v>
      </c>
      <c r="P266" s="763" t="b">
        <v>0</v>
      </c>
      <c r="Q266" s="763" t="b">
        <v>0</v>
      </c>
      <c r="R266" s="763" t="b">
        <v>0</v>
      </c>
      <c r="S266" s="763" t="b">
        <v>0</v>
      </c>
      <c r="T266" s="763" t="b">
        <v>0</v>
      </c>
      <c r="U266" s="763" t="b">
        <v>0</v>
      </c>
      <c r="V266" s="763" t="b">
        <v>0</v>
      </c>
      <c r="W266" s="763" t="b">
        <v>0</v>
      </c>
      <c r="X266" s="216" t="s">
        <v>56</v>
      </c>
      <c r="Y266" s="216" t="s">
        <v>56</v>
      </c>
      <c r="Z266" s="11" t="s">
        <v>347</v>
      </c>
      <c r="AA266" s="93"/>
      <c r="AB266" s="93"/>
      <c r="AC266" s="215" t="s">
        <v>1032</v>
      </c>
      <c r="AD266" s="216" t="s">
        <v>56</v>
      </c>
      <c r="AE266" s="216" t="e">
        <v>#VALUE!</v>
      </c>
      <c r="AF266" s="73" t="s">
        <v>1689</v>
      </c>
      <c r="AG266" s="74">
        <v>60449.0</v>
      </c>
      <c r="AH266" s="75"/>
      <c r="AI266" s="12"/>
      <c r="AJ266" s="11"/>
      <c r="AK266" s="12">
        <v>3.0</v>
      </c>
    </row>
    <row r="267" ht="40.5" customHeight="1">
      <c r="A267" s="11">
        <v>266.0</v>
      </c>
      <c r="B267" s="11" t="s">
        <v>342</v>
      </c>
      <c r="C267" s="11" t="s">
        <v>1116</v>
      </c>
      <c r="D267" s="93" t="s">
        <v>1117</v>
      </c>
      <c r="E267" s="215" t="s">
        <v>1032</v>
      </c>
      <c r="F267" s="216" t="s">
        <v>56</v>
      </c>
      <c r="G267" s="11" t="s">
        <v>2050</v>
      </c>
      <c r="H267" s="216" t="s">
        <v>56</v>
      </c>
      <c r="I267" s="763" t="b">
        <v>0</v>
      </c>
      <c r="J267" s="763" t="b">
        <v>0</v>
      </c>
      <c r="K267" s="763" t="b">
        <v>0</v>
      </c>
      <c r="L267" s="763" t="b">
        <v>0</v>
      </c>
      <c r="M267" s="763" t="b">
        <v>0</v>
      </c>
      <c r="N267" s="763" t="b">
        <v>0</v>
      </c>
      <c r="O267" s="763" t="b">
        <v>0</v>
      </c>
      <c r="P267" s="763" t="b">
        <v>0</v>
      </c>
      <c r="Q267" s="763" t="b">
        <v>0</v>
      </c>
      <c r="R267" s="763" t="b">
        <v>0</v>
      </c>
      <c r="S267" s="763" t="b">
        <v>0</v>
      </c>
      <c r="T267" s="763" t="b">
        <v>0</v>
      </c>
      <c r="U267" s="763" t="b">
        <v>0</v>
      </c>
      <c r="V267" s="763" t="b">
        <v>0</v>
      </c>
      <c r="W267" s="763" t="b">
        <v>0</v>
      </c>
      <c r="X267" s="216" t="s">
        <v>56</v>
      </c>
      <c r="Y267" s="216" t="s">
        <v>56</v>
      </c>
      <c r="Z267" s="11" t="s">
        <v>347</v>
      </c>
      <c r="AA267" s="93"/>
      <c r="AB267" s="93"/>
      <c r="AC267" s="215" t="s">
        <v>1032</v>
      </c>
      <c r="AD267" s="217" t="s">
        <v>1118</v>
      </c>
      <c r="AE267" s="262" t="e">
        <v>#VALUE!</v>
      </c>
      <c r="AF267" s="73" t="s">
        <v>1689</v>
      </c>
      <c r="AG267" s="74" t="s">
        <v>1717</v>
      </c>
      <c r="AH267" s="75"/>
      <c r="AI267" s="12"/>
      <c r="AJ267" s="11"/>
      <c r="AK267" s="12">
        <v>3.0</v>
      </c>
    </row>
    <row r="268" ht="40.5" customHeight="1">
      <c r="A268" s="11">
        <v>267.0</v>
      </c>
      <c r="B268" s="11" t="s">
        <v>342</v>
      </c>
      <c r="C268" s="11" t="s">
        <v>1120</v>
      </c>
      <c r="D268" s="93" t="s">
        <v>1121</v>
      </c>
      <c r="E268" s="215" t="s">
        <v>1032</v>
      </c>
      <c r="F268" s="216">
        <v>1.0</v>
      </c>
      <c r="G268" s="11" t="s">
        <v>2050</v>
      </c>
      <c r="H268" s="216">
        <v>1.0</v>
      </c>
      <c r="I268" s="763" t="b">
        <v>0</v>
      </c>
      <c r="J268" s="763" t="b">
        <v>0</v>
      </c>
      <c r="K268" s="763" t="b">
        <v>0</v>
      </c>
      <c r="L268" s="763" t="b">
        <v>0</v>
      </c>
      <c r="M268" s="763" t="b">
        <v>0</v>
      </c>
      <c r="N268" s="763" t="b">
        <v>0</v>
      </c>
      <c r="O268" s="763" t="b">
        <v>0</v>
      </c>
      <c r="P268" s="763" t="b">
        <v>0</v>
      </c>
      <c r="Q268" s="763" t="b">
        <v>0</v>
      </c>
      <c r="R268" s="763" t="b">
        <v>0</v>
      </c>
      <c r="S268" s="763" t="b">
        <v>0</v>
      </c>
      <c r="T268" s="763" t="b">
        <v>0</v>
      </c>
      <c r="U268" s="763" t="b">
        <v>0</v>
      </c>
      <c r="V268" s="763" t="b">
        <v>0</v>
      </c>
      <c r="W268" s="763" t="b">
        <v>0</v>
      </c>
      <c r="X268" s="216">
        <v>300.0</v>
      </c>
      <c r="Y268" s="11">
        <f t="shared" ref="Y268:Y359" si="15">X268*H268</f>
        <v>300</v>
      </c>
      <c r="Z268" s="11" t="s">
        <v>347</v>
      </c>
      <c r="AA268" s="93"/>
      <c r="AB268" s="93"/>
      <c r="AC268" s="215" t="s">
        <v>1032</v>
      </c>
      <c r="AD268" s="217" t="s">
        <v>1122</v>
      </c>
      <c r="AE268" s="12" t="str">
        <f>IMAGE("https://5.imimg.com/data5/DH/NE/PV/SELLER-4135781/6-pc-precision-screwdriver-set-500x500.jpg",1)</f>
        <v/>
      </c>
      <c r="AF268" s="73" t="s">
        <v>1689</v>
      </c>
      <c r="AG268" s="74" t="s">
        <v>1718</v>
      </c>
      <c r="AH268" s="75"/>
      <c r="AI268" s="12"/>
      <c r="AJ268" s="11"/>
      <c r="AK268" s="12">
        <v>3.0</v>
      </c>
    </row>
    <row r="269" ht="40.5" customHeight="1">
      <c r="A269" s="11">
        <v>268.0</v>
      </c>
      <c r="B269" s="222" t="s">
        <v>342</v>
      </c>
      <c r="C269" s="222" t="s">
        <v>1124</v>
      </c>
      <c r="D269" s="232" t="s">
        <v>1125</v>
      </c>
      <c r="E269" s="233" t="s">
        <v>1032</v>
      </c>
      <c r="F269" s="234">
        <v>1.0</v>
      </c>
      <c r="G269" s="11" t="s">
        <v>2106</v>
      </c>
      <c r="H269" s="234">
        <v>1.0</v>
      </c>
      <c r="I269" s="763" t="b">
        <v>0</v>
      </c>
      <c r="J269" s="763" t="b">
        <v>0</v>
      </c>
      <c r="K269" s="763" t="b">
        <v>0</v>
      </c>
      <c r="L269" s="763" t="b">
        <v>0</v>
      </c>
      <c r="M269" s="763" t="b">
        <v>0</v>
      </c>
      <c r="N269" s="763" t="b">
        <v>0</v>
      </c>
      <c r="O269" s="763" t="b">
        <v>0</v>
      </c>
      <c r="P269" s="763" t="b">
        <v>0</v>
      </c>
      <c r="Q269" s="763" t="b">
        <v>0</v>
      </c>
      <c r="R269" s="763" t="b">
        <v>0</v>
      </c>
      <c r="S269" s="763" t="b">
        <v>0</v>
      </c>
      <c r="T269" s="763" t="b">
        <v>0</v>
      </c>
      <c r="U269" s="763" t="b">
        <v>0</v>
      </c>
      <c r="V269" s="763" t="b">
        <v>0</v>
      </c>
      <c r="W269" s="763" t="b">
        <v>0</v>
      </c>
      <c r="X269" s="234">
        <v>100.0</v>
      </c>
      <c r="Y269" s="222">
        <f t="shared" si="15"/>
        <v>100</v>
      </c>
      <c r="Z269" s="222" t="s">
        <v>466</v>
      </c>
      <c r="AA269" s="232"/>
      <c r="AB269" s="232"/>
      <c r="AC269" s="233" t="s">
        <v>1032</v>
      </c>
      <c r="AD269" s="235"/>
      <c r="AE269" s="222" t="str">
        <f>IMAGE("https://cdn.shopify.com/s/files/1/0276/7382/1286/products/57_1a2e82a1-0306-49dc-8a29-0c0b2110ddb8_600x.jpg?v=1632245164",1)</f>
        <v/>
      </c>
      <c r="AF269" s="358"/>
      <c r="AG269" s="621"/>
      <c r="AH269" s="339"/>
      <c r="AI269" s="360"/>
      <c r="AJ269" s="222"/>
      <c r="AK269" s="299">
        <v>3.0</v>
      </c>
    </row>
    <row r="270" ht="40.5" customHeight="1">
      <c r="A270" s="11">
        <v>269.0</v>
      </c>
      <c r="B270" s="11" t="s">
        <v>342</v>
      </c>
      <c r="C270" s="11" t="s">
        <v>1127</v>
      </c>
      <c r="D270" s="93" t="s">
        <v>1128</v>
      </c>
      <c r="E270" s="215" t="s">
        <v>1032</v>
      </c>
      <c r="F270" s="216">
        <v>1.0</v>
      </c>
      <c r="G270" s="11" t="s">
        <v>2050</v>
      </c>
      <c r="H270" s="216">
        <v>1.0</v>
      </c>
      <c r="I270" s="763" t="b">
        <v>0</v>
      </c>
      <c r="J270" s="763" t="b">
        <v>0</v>
      </c>
      <c r="K270" s="763" t="b">
        <v>0</v>
      </c>
      <c r="L270" s="763" t="b">
        <v>0</v>
      </c>
      <c r="M270" s="763" t="b">
        <v>0</v>
      </c>
      <c r="N270" s="763" t="b">
        <v>0</v>
      </c>
      <c r="O270" s="763" t="b">
        <v>0</v>
      </c>
      <c r="P270" s="763" t="b">
        <v>0</v>
      </c>
      <c r="Q270" s="763" t="b">
        <v>0</v>
      </c>
      <c r="R270" s="763" t="b">
        <v>0</v>
      </c>
      <c r="S270" s="763" t="b">
        <v>0</v>
      </c>
      <c r="T270" s="763" t="b">
        <v>0</v>
      </c>
      <c r="U270" s="763" t="b">
        <v>0</v>
      </c>
      <c r="V270" s="763" t="b">
        <v>0</v>
      </c>
      <c r="W270" s="763" t="b">
        <v>0</v>
      </c>
      <c r="X270" s="216">
        <v>200.0</v>
      </c>
      <c r="Y270" s="11">
        <f t="shared" si="15"/>
        <v>200</v>
      </c>
      <c r="Z270" s="11" t="s">
        <v>347</v>
      </c>
      <c r="AA270" s="93"/>
      <c r="AB270" s="93"/>
      <c r="AC270" s="93" t="s">
        <v>23</v>
      </c>
      <c r="AD270" s="217" t="s">
        <v>1129</v>
      </c>
      <c r="AE270" s="11" t="str">
        <f>IMAGE("https://cdn.bmstores.co.uk/images/hpcProductImage/imgFull/369783-stanley-sealant-gun-diy.jpg",1)</f>
        <v/>
      </c>
      <c r="AF270" s="73" t="s">
        <v>1689</v>
      </c>
      <c r="AG270" s="74" t="s">
        <v>1719</v>
      </c>
      <c r="AH270" s="75"/>
      <c r="AI270" s="12"/>
      <c r="AJ270" s="11"/>
      <c r="AK270" s="12">
        <v>3.0</v>
      </c>
    </row>
    <row r="271" ht="40.5" customHeight="1">
      <c r="A271" s="11">
        <v>270.0</v>
      </c>
      <c r="B271" s="222" t="s">
        <v>342</v>
      </c>
      <c r="C271" s="222" t="s">
        <v>1131</v>
      </c>
      <c r="D271" s="232" t="s">
        <v>1132</v>
      </c>
      <c r="E271" s="233" t="s">
        <v>1032</v>
      </c>
      <c r="F271" s="234">
        <v>1.0</v>
      </c>
      <c r="G271" s="11" t="s">
        <v>2201</v>
      </c>
      <c r="H271" s="234">
        <v>1.0</v>
      </c>
      <c r="I271" s="763" t="b">
        <v>0</v>
      </c>
      <c r="J271" s="763" t="b">
        <v>0</v>
      </c>
      <c r="K271" s="763" t="b">
        <v>0</v>
      </c>
      <c r="L271" s="763" t="b">
        <v>0</v>
      </c>
      <c r="M271" s="763" t="b">
        <v>0</v>
      </c>
      <c r="N271" s="763" t="b">
        <v>0</v>
      </c>
      <c r="O271" s="763" t="b">
        <v>0</v>
      </c>
      <c r="P271" s="763" t="b">
        <v>0</v>
      </c>
      <c r="Q271" s="763" t="b">
        <v>0</v>
      </c>
      <c r="R271" s="763" t="b">
        <v>0</v>
      </c>
      <c r="S271" s="763" t="b">
        <v>0</v>
      </c>
      <c r="T271" s="763" t="b">
        <v>0</v>
      </c>
      <c r="U271" s="763" t="b">
        <v>0</v>
      </c>
      <c r="V271" s="763" t="b">
        <v>0</v>
      </c>
      <c r="W271" s="763" t="b">
        <v>0</v>
      </c>
      <c r="X271" s="234">
        <v>300.0</v>
      </c>
      <c r="Y271" s="222">
        <f t="shared" si="15"/>
        <v>300</v>
      </c>
      <c r="Z271" s="222" t="s">
        <v>347</v>
      </c>
      <c r="AA271" s="232"/>
      <c r="AB271" s="232"/>
      <c r="AC271" s="232" t="s">
        <v>23</v>
      </c>
      <c r="AD271" s="235" t="s">
        <v>1133</v>
      </c>
      <c r="AE271" s="222" t="str">
        <f>IMAGE("https://5.imimg.com/data5/SELLER/Default/2020/12/RU/ZP/SZ/45671901/alstone-silicone-sealant-500x500.jpeg",1)</f>
        <v/>
      </c>
      <c r="AF271" s="619" t="s">
        <v>1689</v>
      </c>
      <c r="AG271" s="359"/>
      <c r="AH271" s="336"/>
      <c r="AI271" s="360"/>
      <c r="AJ271" s="222"/>
      <c r="AK271" s="299">
        <v>3.0</v>
      </c>
    </row>
    <row r="272" ht="40.5" customHeight="1">
      <c r="A272" s="11">
        <v>271.0</v>
      </c>
      <c r="B272" s="11" t="s">
        <v>342</v>
      </c>
      <c r="C272" s="11" t="s">
        <v>1135</v>
      </c>
      <c r="D272" s="93" t="s">
        <v>1136</v>
      </c>
      <c r="E272" s="215" t="s">
        <v>1032</v>
      </c>
      <c r="F272" s="216">
        <v>1.0</v>
      </c>
      <c r="G272" s="11" t="s">
        <v>2050</v>
      </c>
      <c r="H272" s="216">
        <v>1.0</v>
      </c>
      <c r="I272" s="763" t="b">
        <v>0</v>
      </c>
      <c r="J272" s="763" t="b">
        <v>0</v>
      </c>
      <c r="K272" s="763" t="b">
        <v>0</v>
      </c>
      <c r="L272" s="763" t="b">
        <v>0</v>
      </c>
      <c r="M272" s="763" t="b">
        <v>0</v>
      </c>
      <c r="N272" s="763" t="b">
        <v>0</v>
      </c>
      <c r="O272" s="763" t="b">
        <v>0</v>
      </c>
      <c r="P272" s="763" t="b">
        <v>0</v>
      </c>
      <c r="Q272" s="763" t="b">
        <v>0</v>
      </c>
      <c r="R272" s="763" t="b">
        <v>0</v>
      </c>
      <c r="S272" s="763" t="b">
        <v>0</v>
      </c>
      <c r="T272" s="763" t="b">
        <v>0</v>
      </c>
      <c r="U272" s="763" t="b">
        <v>0</v>
      </c>
      <c r="V272" s="763" t="b">
        <v>0</v>
      </c>
      <c r="W272" s="763" t="b">
        <v>0</v>
      </c>
      <c r="X272" s="216">
        <v>180.0</v>
      </c>
      <c r="Y272" s="11">
        <f t="shared" si="15"/>
        <v>180</v>
      </c>
      <c r="Z272" s="11" t="s">
        <v>347</v>
      </c>
      <c r="AA272" s="93"/>
      <c r="AB272" s="93"/>
      <c r="AC272" s="215" t="s">
        <v>1032</v>
      </c>
      <c r="AD272" s="238" t="s">
        <v>1137</v>
      </c>
      <c r="AE272" s="11" t="str">
        <f>IMAGE("https://ravimachines.com/wp-content/uploads/2016/07/full_13.jpg",1)</f>
        <v/>
      </c>
      <c r="AF272" s="73" t="s">
        <v>1689</v>
      </c>
      <c r="AG272" s="74" t="s">
        <v>1720</v>
      </c>
      <c r="AH272" s="75"/>
      <c r="AI272" s="12"/>
      <c r="AJ272" s="11"/>
      <c r="AK272" s="12">
        <v>3.0</v>
      </c>
    </row>
    <row r="273" ht="40.5" customHeight="1">
      <c r="A273" s="11">
        <v>272.0</v>
      </c>
      <c r="B273" s="11" t="s">
        <v>342</v>
      </c>
      <c r="C273" s="11" t="s">
        <v>1139</v>
      </c>
      <c r="D273" s="217" t="s">
        <v>1140</v>
      </c>
      <c r="E273" s="215" t="s">
        <v>1032</v>
      </c>
      <c r="F273" s="11">
        <v>10.0</v>
      </c>
      <c r="G273" s="11" t="s">
        <v>2058</v>
      </c>
      <c r="H273" s="11">
        <v>10.0</v>
      </c>
      <c r="I273" s="763" t="b">
        <v>0</v>
      </c>
      <c r="J273" s="763" t="b">
        <v>0</v>
      </c>
      <c r="K273" s="763" t="b">
        <v>0</v>
      </c>
      <c r="L273" s="763" t="b">
        <v>0</v>
      </c>
      <c r="M273" s="763" t="b">
        <v>0</v>
      </c>
      <c r="N273" s="763" t="b">
        <v>0</v>
      </c>
      <c r="O273" s="763" t="b">
        <v>0</v>
      </c>
      <c r="P273" s="763" t="b">
        <v>0</v>
      </c>
      <c r="Q273" s="763" t="b">
        <v>0</v>
      </c>
      <c r="R273" s="763" t="b">
        <v>0</v>
      </c>
      <c r="S273" s="763" t="b">
        <v>0</v>
      </c>
      <c r="T273" s="763" t="b">
        <v>0</v>
      </c>
      <c r="U273" s="763" t="b">
        <v>0</v>
      </c>
      <c r="V273" s="763" t="b">
        <v>0</v>
      </c>
      <c r="W273" s="763" t="b">
        <v>0</v>
      </c>
      <c r="X273" s="11">
        <v>100.0</v>
      </c>
      <c r="Y273" s="11">
        <f t="shared" si="15"/>
        <v>1000</v>
      </c>
      <c r="Z273" s="11" t="s">
        <v>347</v>
      </c>
      <c r="AA273" s="93"/>
      <c r="AB273" s="93" t="s">
        <v>1594</v>
      </c>
      <c r="AC273" s="215" t="s">
        <v>1032</v>
      </c>
      <c r="AD273" s="217" t="s">
        <v>1141</v>
      </c>
      <c r="AE273" s="11" t="str">
        <f>IMAGE("https://m.media-amazon.com/images/I/61O+7azby+L.jpg",1)</f>
        <v/>
      </c>
      <c r="AF273" s="78"/>
      <c r="AG273" s="74"/>
      <c r="AH273" s="75"/>
      <c r="AI273" s="12"/>
      <c r="AJ273" s="11"/>
      <c r="AK273" s="12">
        <v>1.0</v>
      </c>
    </row>
    <row r="274" ht="40.5" customHeight="1">
      <c r="A274" s="11">
        <v>273.0</v>
      </c>
      <c r="B274" s="254" t="s">
        <v>342</v>
      </c>
      <c r="C274" s="11" t="s">
        <v>1143</v>
      </c>
      <c r="D274" s="93" t="s">
        <v>1144</v>
      </c>
      <c r="E274" s="215" t="s">
        <v>1032</v>
      </c>
      <c r="F274" s="216">
        <v>1.0</v>
      </c>
      <c r="G274" s="11" t="s">
        <v>2050</v>
      </c>
      <c r="H274" s="216">
        <v>1.0</v>
      </c>
      <c r="I274" s="763" t="b">
        <v>0</v>
      </c>
      <c r="J274" s="763" t="b">
        <v>0</v>
      </c>
      <c r="K274" s="763" t="b">
        <v>0</v>
      </c>
      <c r="L274" s="763" t="b">
        <v>0</v>
      </c>
      <c r="M274" s="763" t="b">
        <v>0</v>
      </c>
      <c r="N274" s="763" t="b">
        <v>0</v>
      </c>
      <c r="O274" s="763" t="b">
        <v>0</v>
      </c>
      <c r="P274" s="763" t="b">
        <v>0</v>
      </c>
      <c r="Q274" s="763" t="b">
        <v>0</v>
      </c>
      <c r="R274" s="763" t="b">
        <v>0</v>
      </c>
      <c r="S274" s="763" t="b">
        <v>0</v>
      </c>
      <c r="T274" s="763" t="b">
        <v>0</v>
      </c>
      <c r="U274" s="763" t="b">
        <v>0</v>
      </c>
      <c r="V274" s="763" t="b">
        <v>0</v>
      </c>
      <c r="W274" s="763" t="b">
        <v>0</v>
      </c>
      <c r="X274" s="364">
        <v>1500.0</v>
      </c>
      <c r="Y274" s="254">
        <f t="shared" si="15"/>
        <v>1500</v>
      </c>
      <c r="Z274" s="254" t="s">
        <v>347</v>
      </c>
      <c r="AA274" s="362"/>
      <c r="AB274" s="362"/>
      <c r="AC274" s="363" t="s">
        <v>1032</v>
      </c>
      <c r="AD274" s="365" t="s">
        <v>1145</v>
      </c>
      <c r="AE274" s="254" t="str">
        <f>IMAGE("https://5.imimg.com/data5/SELLER/Default/2021/4/UH/ZY/EE/41301440/machine.jpeg",1)</f>
        <v/>
      </c>
      <c r="AF274" s="764" t="s">
        <v>1689</v>
      </c>
      <c r="AG274" s="642" t="s">
        <v>1721</v>
      </c>
      <c r="AH274" s="368"/>
      <c r="AI274" s="765"/>
      <c r="AJ274" s="254"/>
      <c r="AK274" s="373">
        <v>3.0</v>
      </c>
    </row>
    <row r="275" ht="40.5" customHeight="1">
      <c r="A275" s="11">
        <v>274.0</v>
      </c>
      <c r="B275" s="11" t="s">
        <v>342</v>
      </c>
      <c r="C275" s="11" t="s">
        <v>1147</v>
      </c>
      <c r="D275" s="93" t="s">
        <v>1148</v>
      </c>
      <c r="E275" s="215" t="s">
        <v>1032</v>
      </c>
      <c r="F275" s="216">
        <v>2.0</v>
      </c>
      <c r="G275" s="11" t="s">
        <v>2108</v>
      </c>
      <c r="H275" s="216">
        <v>2.0</v>
      </c>
      <c r="I275" s="763" t="b">
        <v>0</v>
      </c>
      <c r="J275" s="763" t="b">
        <v>0</v>
      </c>
      <c r="K275" s="763" t="b">
        <v>0</v>
      </c>
      <c r="L275" s="763" t="b">
        <v>0</v>
      </c>
      <c r="M275" s="763" t="b">
        <v>0</v>
      </c>
      <c r="N275" s="763" t="b">
        <v>0</v>
      </c>
      <c r="O275" s="763" t="b">
        <v>0</v>
      </c>
      <c r="P275" s="763" t="b">
        <v>0</v>
      </c>
      <c r="Q275" s="763" t="b">
        <v>0</v>
      </c>
      <c r="R275" s="763" t="b">
        <v>0</v>
      </c>
      <c r="S275" s="763" t="b">
        <v>0</v>
      </c>
      <c r="T275" s="763" t="b">
        <v>0</v>
      </c>
      <c r="U275" s="763" t="b">
        <v>0</v>
      </c>
      <c r="V275" s="763" t="b">
        <v>0</v>
      </c>
      <c r="W275" s="763" t="b">
        <v>0</v>
      </c>
      <c r="X275" s="216">
        <v>250.0</v>
      </c>
      <c r="Y275" s="11">
        <f t="shared" si="15"/>
        <v>500</v>
      </c>
      <c r="Z275" s="11" t="s">
        <v>347</v>
      </c>
      <c r="AA275" s="93"/>
      <c r="AB275" s="93"/>
      <c r="AC275" s="215" t="s">
        <v>1032</v>
      </c>
      <c r="AD275" s="217"/>
      <c r="AE275" s="11"/>
      <c r="AF275" s="73"/>
      <c r="AG275" s="74"/>
      <c r="AH275" s="75"/>
      <c r="AI275" s="12"/>
      <c r="AJ275" s="11"/>
      <c r="AK275" s="12">
        <v>3.0</v>
      </c>
    </row>
    <row r="276" ht="40.5" customHeight="1">
      <c r="A276" s="11">
        <v>275.0</v>
      </c>
      <c r="B276" s="11" t="s">
        <v>342</v>
      </c>
      <c r="C276" s="11" t="s">
        <v>1150</v>
      </c>
      <c r="D276" s="93" t="s">
        <v>1151</v>
      </c>
      <c r="E276" s="215" t="s">
        <v>1032</v>
      </c>
      <c r="F276" s="216">
        <v>10.0</v>
      </c>
      <c r="G276" s="11" t="s">
        <v>2109</v>
      </c>
      <c r="H276" s="216">
        <v>10.0</v>
      </c>
      <c r="I276" s="763" t="b">
        <v>0</v>
      </c>
      <c r="J276" s="763" t="b">
        <v>0</v>
      </c>
      <c r="K276" s="763" t="b">
        <v>0</v>
      </c>
      <c r="L276" s="763" t="b">
        <v>0</v>
      </c>
      <c r="M276" s="763" t="b">
        <v>0</v>
      </c>
      <c r="N276" s="763" t="b">
        <v>0</v>
      </c>
      <c r="O276" s="763" t="b">
        <v>0</v>
      </c>
      <c r="P276" s="763" t="b">
        <v>0</v>
      </c>
      <c r="Q276" s="763" t="b">
        <v>0</v>
      </c>
      <c r="R276" s="763" t="b">
        <v>0</v>
      </c>
      <c r="S276" s="763" t="b">
        <v>0</v>
      </c>
      <c r="T276" s="763" t="b">
        <v>0</v>
      </c>
      <c r="U276" s="763" t="b">
        <v>0</v>
      </c>
      <c r="V276" s="763" t="b">
        <v>0</v>
      </c>
      <c r="W276" s="763" t="b">
        <v>0</v>
      </c>
      <c r="X276" s="216">
        <v>100.0</v>
      </c>
      <c r="Y276" s="11">
        <f t="shared" si="15"/>
        <v>1000</v>
      </c>
      <c r="Z276" s="11" t="s">
        <v>347</v>
      </c>
      <c r="AA276" s="93" t="s">
        <v>21</v>
      </c>
      <c r="AB276" s="93" t="s">
        <v>2002</v>
      </c>
      <c r="AC276" s="215" t="s">
        <v>1032</v>
      </c>
      <c r="AD276" s="217"/>
      <c r="AE276" s="11" t="str">
        <f>IMAGE("https://5.imimg.com/data5/SELLER/Default/2020/10/KC/AV/BY/25174136/150b-cutter-stripper-250x250.jpg",1)</f>
        <v/>
      </c>
      <c r="AF276" s="73" t="s">
        <v>1689</v>
      </c>
      <c r="AG276" s="74"/>
      <c r="AH276" s="75"/>
      <c r="AI276" s="12"/>
      <c r="AJ276" s="11"/>
      <c r="AK276" s="12">
        <v>3.0</v>
      </c>
    </row>
    <row r="277" ht="40.5" customHeight="1">
      <c r="A277" s="11">
        <v>276.0</v>
      </c>
      <c r="B277" s="11" t="s">
        <v>1152</v>
      </c>
      <c r="C277" s="11" t="s">
        <v>1154</v>
      </c>
      <c r="D277" s="93" t="s">
        <v>2766</v>
      </c>
      <c r="E277" s="215" t="s">
        <v>1156</v>
      </c>
      <c r="F277" s="216">
        <v>10.0</v>
      </c>
      <c r="G277" s="11" t="s">
        <v>2204</v>
      </c>
      <c r="H277" s="216">
        <v>10.0</v>
      </c>
      <c r="I277" s="763" t="b">
        <v>0</v>
      </c>
      <c r="J277" s="763" t="b">
        <v>0</v>
      </c>
      <c r="K277" s="763" t="b">
        <v>0</v>
      </c>
      <c r="L277" s="763" t="b">
        <v>0</v>
      </c>
      <c r="M277" s="763" t="b">
        <v>0</v>
      </c>
      <c r="N277" s="763" t="b">
        <v>0</v>
      </c>
      <c r="O277" s="763" t="b">
        <v>0</v>
      </c>
      <c r="P277" s="763" t="b">
        <v>0</v>
      </c>
      <c r="Q277" s="763" t="b">
        <v>0</v>
      </c>
      <c r="R277" s="763" t="b">
        <v>0</v>
      </c>
      <c r="S277" s="763" t="b">
        <v>0</v>
      </c>
      <c r="T277" s="763" t="b">
        <v>0</v>
      </c>
      <c r="U277" s="763" t="b">
        <v>0</v>
      </c>
      <c r="V277" s="763" t="b">
        <v>0</v>
      </c>
      <c r="W277" s="763" t="b">
        <v>0</v>
      </c>
      <c r="X277" s="216">
        <v>100.0</v>
      </c>
      <c r="Y277" s="11">
        <f t="shared" si="15"/>
        <v>1000</v>
      </c>
      <c r="Z277" s="11" t="s">
        <v>1157</v>
      </c>
      <c r="AA277" s="93"/>
      <c r="AB277" s="93"/>
      <c r="AC277" s="93" t="s">
        <v>1968</v>
      </c>
      <c r="AD277" s="217"/>
      <c r="AE277" s="11" t="str">
        <f>IMAGE("https://5.imimg.com/data5/SB/TW/SA/SELLER-91497159/glass-beaker-500x500.jpg",1)</f>
        <v/>
      </c>
      <c r="AF277" s="78"/>
      <c r="AG277" s="74"/>
      <c r="AH277" s="75"/>
      <c r="AI277" s="12"/>
      <c r="AJ277" s="11"/>
      <c r="AK277" s="12">
        <v>3.0</v>
      </c>
    </row>
    <row r="278" ht="40.5" customHeight="1">
      <c r="A278" s="11">
        <v>277.0</v>
      </c>
      <c r="B278" s="11" t="s">
        <v>1152</v>
      </c>
      <c r="C278" s="11" t="s">
        <v>1159</v>
      </c>
      <c r="D278" s="93" t="s">
        <v>1160</v>
      </c>
      <c r="E278" s="215" t="s">
        <v>1156</v>
      </c>
      <c r="F278" s="11">
        <v>5.0</v>
      </c>
      <c r="G278" s="11" t="s">
        <v>2204</v>
      </c>
      <c r="H278" s="11">
        <v>5.0</v>
      </c>
      <c r="I278" s="763" t="b">
        <v>0</v>
      </c>
      <c r="J278" s="763" t="b">
        <v>0</v>
      </c>
      <c r="K278" s="763" t="b">
        <v>0</v>
      </c>
      <c r="L278" s="763" t="b">
        <v>0</v>
      </c>
      <c r="M278" s="763" t="b">
        <v>0</v>
      </c>
      <c r="N278" s="763" t="b">
        <v>0</v>
      </c>
      <c r="O278" s="763" t="b">
        <v>0</v>
      </c>
      <c r="P278" s="763" t="b">
        <v>0</v>
      </c>
      <c r="Q278" s="763" t="b">
        <v>0</v>
      </c>
      <c r="R278" s="763" t="b">
        <v>0</v>
      </c>
      <c r="S278" s="763" t="b">
        <v>0</v>
      </c>
      <c r="T278" s="763" t="b">
        <v>0</v>
      </c>
      <c r="U278" s="763" t="b">
        <v>0</v>
      </c>
      <c r="V278" s="763" t="b">
        <v>0</v>
      </c>
      <c r="W278" s="763" t="b">
        <v>0</v>
      </c>
      <c r="X278" s="11">
        <v>300.0</v>
      </c>
      <c r="Y278" s="11">
        <f t="shared" si="15"/>
        <v>1500</v>
      </c>
      <c r="Z278" s="11" t="s">
        <v>1157</v>
      </c>
      <c r="AA278" s="93"/>
      <c r="AB278" s="93"/>
      <c r="AC278" s="93" t="s">
        <v>1968</v>
      </c>
      <c r="AD278" s="223" t="s">
        <v>1161</v>
      </c>
      <c r="AE278" s="11" t="str">
        <f>IMAGE("https://m.media-amazon.com/images/I/41vGxqzVasL.jpg",1)</f>
        <v/>
      </c>
      <c r="AF278" s="78"/>
      <c r="AG278" s="74"/>
      <c r="AH278" s="75"/>
      <c r="AI278" s="12"/>
      <c r="AJ278" s="11"/>
      <c r="AK278" s="12">
        <v>3.0</v>
      </c>
    </row>
    <row r="279" ht="40.5" customHeight="1">
      <c r="A279" s="11">
        <v>278.0</v>
      </c>
      <c r="B279" s="11" t="s">
        <v>1152</v>
      </c>
      <c r="C279" s="11" t="s">
        <v>1163</v>
      </c>
      <c r="D279" s="93" t="s">
        <v>1164</v>
      </c>
      <c r="E279" s="215" t="s">
        <v>1156</v>
      </c>
      <c r="F279" s="216">
        <v>10.0</v>
      </c>
      <c r="G279" s="11" t="s">
        <v>2204</v>
      </c>
      <c r="H279" s="216">
        <v>8.0</v>
      </c>
      <c r="I279" s="763" t="b">
        <v>0</v>
      </c>
      <c r="J279" s="763" t="b">
        <v>0</v>
      </c>
      <c r="K279" s="763" t="b">
        <v>0</v>
      </c>
      <c r="L279" s="763" t="b">
        <v>0</v>
      </c>
      <c r="M279" s="763" t="b">
        <v>0</v>
      </c>
      <c r="N279" s="763" t="b">
        <v>0</v>
      </c>
      <c r="O279" s="763" t="b">
        <v>0</v>
      </c>
      <c r="P279" s="763" t="b">
        <v>0</v>
      </c>
      <c r="Q279" s="763" t="b">
        <v>0</v>
      </c>
      <c r="R279" s="763" t="b">
        <v>0</v>
      </c>
      <c r="S279" s="763" t="b">
        <v>0</v>
      </c>
      <c r="T279" s="763" t="b">
        <v>0</v>
      </c>
      <c r="U279" s="763" t="b">
        <v>0</v>
      </c>
      <c r="V279" s="763" t="b">
        <v>0</v>
      </c>
      <c r="W279" s="763" t="b">
        <v>0</v>
      </c>
      <c r="X279" s="216">
        <v>100.0</v>
      </c>
      <c r="Y279" s="11">
        <f t="shared" si="15"/>
        <v>800</v>
      </c>
      <c r="Z279" s="11" t="s">
        <v>1157</v>
      </c>
      <c r="AA279" s="93"/>
      <c r="AB279" s="93"/>
      <c r="AC279" s="93" t="s">
        <v>1968</v>
      </c>
      <c r="AD279" s="217" t="s">
        <v>1165</v>
      </c>
      <c r="AE279" s="11" t="str">
        <f>IMAGE("https://m.media-amazon.com/images/I/31b1KCUwqyL.jpg", 1)</f>
        <v/>
      </c>
      <c r="AF279" s="78" t="s">
        <v>56</v>
      </c>
      <c r="AG279" s="74"/>
      <c r="AH279" s="75"/>
      <c r="AI279" s="12"/>
      <c r="AJ279" s="11"/>
      <c r="AK279" s="12">
        <v>3.0</v>
      </c>
    </row>
    <row r="280" ht="40.5" customHeight="1">
      <c r="A280" s="11">
        <v>279.0</v>
      </c>
      <c r="B280" s="11" t="s">
        <v>1152</v>
      </c>
      <c r="C280" s="11" t="s">
        <v>1167</v>
      </c>
      <c r="D280" s="93" t="s">
        <v>1168</v>
      </c>
      <c r="E280" s="215" t="s">
        <v>1156</v>
      </c>
      <c r="F280" s="11">
        <v>2.0</v>
      </c>
      <c r="G280" s="11" t="s">
        <v>2112</v>
      </c>
      <c r="H280" s="11">
        <v>2.0</v>
      </c>
      <c r="I280" s="763" t="b">
        <v>0</v>
      </c>
      <c r="J280" s="763" t="b">
        <v>0</v>
      </c>
      <c r="K280" s="763" t="b">
        <v>0</v>
      </c>
      <c r="L280" s="763" t="b">
        <v>0</v>
      </c>
      <c r="M280" s="763" t="b">
        <v>0</v>
      </c>
      <c r="N280" s="763" t="b">
        <v>0</v>
      </c>
      <c r="O280" s="763" t="b">
        <v>0</v>
      </c>
      <c r="P280" s="763" t="b">
        <v>0</v>
      </c>
      <c r="Q280" s="763" t="b">
        <v>0</v>
      </c>
      <c r="R280" s="763" t="b">
        <v>0</v>
      </c>
      <c r="S280" s="763" t="b">
        <v>0</v>
      </c>
      <c r="T280" s="763" t="b">
        <v>0</v>
      </c>
      <c r="U280" s="763" t="b">
        <v>0</v>
      </c>
      <c r="V280" s="763" t="b">
        <v>0</v>
      </c>
      <c r="W280" s="763" t="b">
        <v>0</v>
      </c>
      <c r="X280" s="11">
        <v>200.0</v>
      </c>
      <c r="Y280" s="11">
        <f t="shared" si="15"/>
        <v>400</v>
      </c>
      <c r="Z280" s="11" t="s">
        <v>1157</v>
      </c>
      <c r="AA280" s="93" t="s">
        <v>77</v>
      </c>
      <c r="AB280" s="93"/>
      <c r="AC280" s="93" t="s">
        <v>1969</v>
      </c>
      <c r="AD280" s="217" t="s">
        <v>1169</v>
      </c>
      <c r="AE280" s="11" t="str">
        <f>IMAGE("https://m.media-amazon.com/images/W/MEDIAX_792452-T2/images/I/71veIL4opPL.jpg",1)</f>
        <v/>
      </c>
      <c r="AF280" s="78"/>
      <c r="AG280" s="74"/>
      <c r="AH280" s="75"/>
      <c r="AI280" s="12"/>
      <c r="AJ280" s="11"/>
      <c r="AK280" s="12">
        <v>3.0</v>
      </c>
    </row>
    <row r="281" ht="40.5" customHeight="1">
      <c r="A281" s="11">
        <v>280.0</v>
      </c>
      <c r="B281" s="11" t="s">
        <v>1152</v>
      </c>
      <c r="C281" s="11" t="s">
        <v>1171</v>
      </c>
      <c r="D281" s="93" t="s">
        <v>1172</v>
      </c>
      <c r="E281" s="215" t="s">
        <v>1156</v>
      </c>
      <c r="F281" s="255">
        <v>1.0</v>
      </c>
      <c r="G281" s="11" t="s">
        <v>2113</v>
      </c>
      <c r="H281" s="255">
        <v>1.0</v>
      </c>
      <c r="I281" s="763" t="b">
        <v>0</v>
      </c>
      <c r="J281" s="763" t="b">
        <v>0</v>
      </c>
      <c r="K281" s="763" t="b">
        <v>0</v>
      </c>
      <c r="L281" s="763" t="b">
        <v>0</v>
      </c>
      <c r="M281" s="763" t="b">
        <v>0</v>
      </c>
      <c r="N281" s="763" t="b">
        <v>0</v>
      </c>
      <c r="O281" s="763" t="b">
        <v>0</v>
      </c>
      <c r="P281" s="763" t="b">
        <v>0</v>
      </c>
      <c r="Q281" s="763" t="b">
        <v>0</v>
      </c>
      <c r="R281" s="763" t="b">
        <v>0</v>
      </c>
      <c r="S281" s="763" t="b">
        <v>0</v>
      </c>
      <c r="T281" s="763" t="b">
        <v>0</v>
      </c>
      <c r="U281" s="763" t="b">
        <v>0</v>
      </c>
      <c r="V281" s="763" t="b">
        <v>0</v>
      </c>
      <c r="W281" s="763" t="b">
        <v>0</v>
      </c>
      <c r="X281" s="255">
        <v>200.0</v>
      </c>
      <c r="Y281" s="11">
        <f t="shared" si="15"/>
        <v>200</v>
      </c>
      <c r="Z281" s="11" t="s">
        <v>1157</v>
      </c>
      <c r="AA281" s="93" t="s">
        <v>77</v>
      </c>
      <c r="AB281" s="93" t="s">
        <v>2022</v>
      </c>
      <c r="AC281" s="215" t="s">
        <v>111</v>
      </c>
      <c r="AD281" s="217" t="s">
        <v>1173</v>
      </c>
      <c r="AE281" s="11" t="str">
        <f>IMAGE("https://www.sigmaaldrich.com/deepweb/content/dam/sigma-aldrich/product2/017/wha2200110.tif/_jcr_content/renditions/wha2200110-large.jpg", 1)</f>
        <v/>
      </c>
      <c r="AF281" s="78"/>
      <c r="AG281" s="74"/>
      <c r="AH281" s="75"/>
      <c r="AI281" s="12"/>
      <c r="AJ281" s="11"/>
      <c r="AK281" s="12">
        <v>1.0</v>
      </c>
    </row>
    <row r="282" ht="40.5" customHeight="1">
      <c r="A282" s="11">
        <v>281.0</v>
      </c>
      <c r="B282" s="11" t="s">
        <v>1152</v>
      </c>
      <c r="C282" s="11" t="s">
        <v>1175</v>
      </c>
      <c r="D282" s="93" t="s">
        <v>1176</v>
      </c>
      <c r="E282" s="215" t="s">
        <v>1156</v>
      </c>
      <c r="F282" s="216">
        <v>1.0</v>
      </c>
      <c r="G282" s="11" t="s">
        <v>2112</v>
      </c>
      <c r="H282" s="216">
        <v>1.0</v>
      </c>
      <c r="I282" s="763" t="b">
        <v>0</v>
      </c>
      <c r="J282" s="763" t="b">
        <v>0</v>
      </c>
      <c r="K282" s="763" t="b">
        <v>0</v>
      </c>
      <c r="L282" s="763" t="b">
        <v>0</v>
      </c>
      <c r="M282" s="763" t="b">
        <v>0</v>
      </c>
      <c r="N282" s="763" t="b">
        <v>0</v>
      </c>
      <c r="O282" s="763" t="b">
        <v>0</v>
      </c>
      <c r="P282" s="763" t="b">
        <v>0</v>
      </c>
      <c r="Q282" s="763" t="b">
        <v>0</v>
      </c>
      <c r="R282" s="763" t="b">
        <v>0</v>
      </c>
      <c r="S282" s="763" t="b">
        <v>0</v>
      </c>
      <c r="T282" s="763" t="b">
        <v>0</v>
      </c>
      <c r="U282" s="763" t="b">
        <v>0</v>
      </c>
      <c r="V282" s="763" t="b">
        <v>0</v>
      </c>
      <c r="W282" s="763" t="b">
        <v>0</v>
      </c>
      <c r="X282" s="216">
        <v>150.0</v>
      </c>
      <c r="Y282" s="11">
        <f t="shared" si="15"/>
        <v>150</v>
      </c>
      <c r="Z282" s="11" t="s">
        <v>1157</v>
      </c>
      <c r="AA282" s="93"/>
      <c r="AB282" s="93" t="s">
        <v>2002</v>
      </c>
      <c r="AC282" s="93" t="s">
        <v>1968</v>
      </c>
      <c r="AD282" s="217" t="s">
        <v>1177</v>
      </c>
      <c r="AE282" s="11" t="str">
        <f>IMAGE("https://m.media-amazon.com/images/I/A1PFWcAysAL.jpg", 1)</f>
        <v/>
      </c>
      <c r="AF282" s="78"/>
      <c r="AG282" s="74"/>
      <c r="AH282" s="75"/>
      <c r="AI282" s="12"/>
      <c r="AJ282" s="11"/>
      <c r="AK282" s="12">
        <v>3.0</v>
      </c>
    </row>
    <row r="283" ht="40.5" customHeight="1">
      <c r="A283" s="11">
        <v>282.0</v>
      </c>
      <c r="B283" s="222" t="s">
        <v>1152</v>
      </c>
      <c r="C283" s="222" t="s">
        <v>1179</v>
      </c>
      <c r="D283" s="232" t="s">
        <v>1180</v>
      </c>
      <c r="E283" s="233" t="s">
        <v>1156</v>
      </c>
      <c r="F283" s="234">
        <v>20.0</v>
      </c>
      <c r="G283" s="11" t="s">
        <v>2114</v>
      </c>
      <c r="H283" s="234">
        <v>20.0</v>
      </c>
      <c r="I283" s="763" t="b">
        <v>0</v>
      </c>
      <c r="J283" s="763" t="b">
        <v>0</v>
      </c>
      <c r="K283" s="763" t="b">
        <v>0</v>
      </c>
      <c r="L283" s="763" t="b">
        <v>0</v>
      </c>
      <c r="M283" s="763" t="b">
        <v>0</v>
      </c>
      <c r="N283" s="763" t="b">
        <v>0</v>
      </c>
      <c r="O283" s="763" t="b">
        <v>0</v>
      </c>
      <c r="P283" s="763" t="b">
        <v>0</v>
      </c>
      <c r="Q283" s="763" t="b">
        <v>0</v>
      </c>
      <c r="R283" s="763" t="b">
        <v>0</v>
      </c>
      <c r="S283" s="763" t="b">
        <v>0</v>
      </c>
      <c r="T283" s="763" t="b">
        <v>0</v>
      </c>
      <c r="U283" s="763" t="b">
        <v>0</v>
      </c>
      <c r="V283" s="763" t="b">
        <v>0</v>
      </c>
      <c r="W283" s="763" t="b">
        <v>0</v>
      </c>
      <c r="X283" s="234">
        <v>100.0</v>
      </c>
      <c r="Y283" s="222">
        <f t="shared" si="15"/>
        <v>2000</v>
      </c>
      <c r="Z283" s="222" t="s">
        <v>1157</v>
      </c>
      <c r="AA283" s="232"/>
      <c r="AB283" s="232" t="s">
        <v>2012</v>
      </c>
      <c r="AC283" s="232" t="s">
        <v>1970</v>
      </c>
      <c r="AD283" s="235" t="s">
        <v>1181</v>
      </c>
      <c r="AE283" s="222" t="str">
        <f>IMAGE("https://www.domo.in/image/cache/catalog/nHance/LNSS4201/Display-228x228.jpg")</f>
        <v/>
      </c>
      <c r="AF283" s="358" t="s">
        <v>56</v>
      </c>
      <c r="AG283" s="359"/>
      <c r="AH283" s="336"/>
      <c r="AI283" s="360"/>
      <c r="AJ283" s="222"/>
      <c r="AK283" s="299">
        <v>3.0</v>
      </c>
    </row>
    <row r="284" ht="40.5" customHeight="1">
      <c r="A284" s="11">
        <v>283.0</v>
      </c>
      <c r="B284" s="11" t="s">
        <v>1152</v>
      </c>
      <c r="C284" s="11" t="s">
        <v>1183</v>
      </c>
      <c r="D284" s="93" t="s">
        <v>1184</v>
      </c>
      <c r="E284" s="215" t="s">
        <v>1156</v>
      </c>
      <c r="F284" s="11">
        <v>1.0</v>
      </c>
      <c r="G284" s="11" t="s">
        <v>2115</v>
      </c>
      <c r="H284" s="11">
        <v>1.0</v>
      </c>
      <c r="I284" s="763" t="b">
        <v>0</v>
      </c>
      <c r="J284" s="763" t="b">
        <v>0</v>
      </c>
      <c r="K284" s="763" t="b">
        <v>0</v>
      </c>
      <c r="L284" s="763" t="b">
        <v>0</v>
      </c>
      <c r="M284" s="763" t="b">
        <v>0</v>
      </c>
      <c r="N284" s="763" t="b">
        <v>0</v>
      </c>
      <c r="O284" s="763" t="b">
        <v>0</v>
      </c>
      <c r="P284" s="763" t="b">
        <v>0</v>
      </c>
      <c r="Q284" s="763" t="b">
        <v>0</v>
      </c>
      <c r="R284" s="763" t="b">
        <v>0</v>
      </c>
      <c r="S284" s="763" t="b">
        <v>0</v>
      </c>
      <c r="T284" s="763" t="b">
        <v>0</v>
      </c>
      <c r="U284" s="763" t="b">
        <v>0</v>
      </c>
      <c r="V284" s="763" t="b">
        <v>0</v>
      </c>
      <c r="W284" s="763" t="b">
        <v>0</v>
      </c>
      <c r="X284" s="11">
        <v>100.0</v>
      </c>
      <c r="Y284" s="11">
        <f t="shared" si="15"/>
        <v>100</v>
      </c>
      <c r="Z284" s="11" t="s">
        <v>1157</v>
      </c>
      <c r="AA284" s="93"/>
      <c r="AB284" s="93"/>
      <c r="AC284" s="93" t="s">
        <v>1975</v>
      </c>
      <c r="AD284" s="217" t="s">
        <v>1185</v>
      </c>
      <c r="AE284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AF284" s="78" t="s">
        <v>56</v>
      </c>
      <c r="AG284" s="74"/>
      <c r="AH284" s="75"/>
      <c r="AI284" s="12"/>
      <c r="AJ284" s="11"/>
      <c r="AK284" s="12">
        <v>3.0</v>
      </c>
    </row>
    <row r="285" ht="40.5" customHeight="1">
      <c r="A285" s="11">
        <v>284.0</v>
      </c>
      <c r="B285" s="11" t="s">
        <v>1152</v>
      </c>
      <c r="C285" s="11" t="s">
        <v>1187</v>
      </c>
      <c r="D285" s="93" t="s">
        <v>1188</v>
      </c>
      <c r="E285" s="215" t="s">
        <v>1156</v>
      </c>
      <c r="F285" s="216">
        <v>1.0</v>
      </c>
      <c r="G285" s="11" t="s">
        <v>2116</v>
      </c>
      <c r="H285" s="216">
        <v>1.0</v>
      </c>
      <c r="I285" s="763" t="b">
        <v>0</v>
      </c>
      <c r="J285" s="763" t="b">
        <v>0</v>
      </c>
      <c r="K285" s="763" t="b">
        <v>0</v>
      </c>
      <c r="L285" s="763" t="b">
        <v>0</v>
      </c>
      <c r="M285" s="763" t="b">
        <v>0</v>
      </c>
      <c r="N285" s="763" t="b">
        <v>0</v>
      </c>
      <c r="O285" s="763" t="b">
        <v>0</v>
      </c>
      <c r="P285" s="763" t="b">
        <v>0</v>
      </c>
      <c r="Q285" s="763" t="b">
        <v>0</v>
      </c>
      <c r="R285" s="763" t="b">
        <v>0</v>
      </c>
      <c r="S285" s="763" t="b">
        <v>0</v>
      </c>
      <c r="T285" s="763" t="b">
        <v>0</v>
      </c>
      <c r="U285" s="763" t="b">
        <v>0</v>
      </c>
      <c r="V285" s="763" t="b">
        <v>0</v>
      </c>
      <c r="W285" s="763" t="b">
        <v>0</v>
      </c>
      <c r="X285" s="216">
        <v>350.0</v>
      </c>
      <c r="Y285" s="11">
        <f t="shared" si="15"/>
        <v>350</v>
      </c>
      <c r="Z285" s="11" t="s">
        <v>1157</v>
      </c>
      <c r="AA285" s="93"/>
      <c r="AB285" s="93"/>
      <c r="AC285" s="93" t="s">
        <v>1975</v>
      </c>
      <c r="AD285" s="217" t="s">
        <v>1189</v>
      </c>
      <c r="AE285" s="11" t="str">
        <f>IMAGE("https://m.media-amazon.com/images/I/61ra1C535pL._SL1500_.jpg", 1)</f>
        <v/>
      </c>
      <c r="AF285" s="78"/>
      <c r="AG285" s="74"/>
      <c r="AH285" s="75"/>
      <c r="AI285" s="12"/>
      <c r="AJ285" s="11"/>
      <c r="AK285" s="12">
        <v>3.0</v>
      </c>
    </row>
    <row r="286" ht="40.5" customHeight="1">
      <c r="A286" s="11">
        <v>285.0</v>
      </c>
      <c r="B286" s="222" t="s">
        <v>1152</v>
      </c>
      <c r="C286" s="222" t="s">
        <v>1191</v>
      </c>
      <c r="D286" s="232" t="s">
        <v>1192</v>
      </c>
      <c r="E286" s="233" t="s">
        <v>1156</v>
      </c>
      <c r="F286" s="222">
        <v>1.0</v>
      </c>
      <c r="G286" s="11" t="s">
        <v>2117</v>
      </c>
      <c r="H286" s="222">
        <v>1.0</v>
      </c>
      <c r="I286" s="763" t="b">
        <v>0</v>
      </c>
      <c r="J286" s="763" t="b">
        <v>0</v>
      </c>
      <c r="K286" s="763" t="b">
        <v>0</v>
      </c>
      <c r="L286" s="763" t="b">
        <v>0</v>
      </c>
      <c r="M286" s="763" t="b">
        <v>0</v>
      </c>
      <c r="N286" s="763" t="b">
        <v>0</v>
      </c>
      <c r="O286" s="763" t="b">
        <v>0</v>
      </c>
      <c r="P286" s="763" t="b">
        <v>0</v>
      </c>
      <c r="Q286" s="763" t="b">
        <v>0</v>
      </c>
      <c r="R286" s="763" t="b">
        <v>0</v>
      </c>
      <c r="S286" s="763" t="b">
        <v>0</v>
      </c>
      <c r="T286" s="763" t="b">
        <v>0</v>
      </c>
      <c r="U286" s="763" t="b">
        <v>0</v>
      </c>
      <c r="V286" s="763" t="b">
        <v>0</v>
      </c>
      <c r="W286" s="763" t="b">
        <v>0</v>
      </c>
      <c r="X286" s="222">
        <v>1000.0</v>
      </c>
      <c r="Y286" s="222">
        <f t="shared" si="15"/>
        <v>1000</v>
      </c>
      <c r="Z286" s="222" t="s">
        <v>1157</v>
      </c>
      <c r="AA286" s="232"/>
      <c r="AB286" s="232"/>
      <c r="AC286" s="232" t="s">
        <v>1971</v>
      </c>
      <c r="AD286" s="235" t="s">
        <v>1193</v>
      </c>
      <c r="AE286" s="222" t="str">
        <f>IMAGE("https://5.imimg.com/data5/SI/VL/MY-6819814/multi-volume-adjustable-micropipette.jpg",1)</f>
        <v/>
      </c>
      <c r="AF286" s="619"/>
      <c r="AG286" s="359"/>
      <c r="AH286" s="336"/>
      <c r="AI286" s="360"/>
      <c r="AJ286" s="222"/>
      <c r="AK286" s="299">
        <v>3.0</v>
      </c>
    </row>
    <row r="287" ht="40.5" customHeight="1">
      <c r="A287" s="11">
        <v>286.0</v>
      </c>
      <c r="B287" s="11" t="s">
        <v>1152</v>
      </c>
      <c r="C287" s="11" t="s">
        <v>1195</v>
      </c>
      <c r="D287" s="93" t="s">
        <v>1196</v>
      </c>
      <c r="E287" s="215" t="s">
        <v>1156</v>
      </c>
      <c r="F287" s="216">
        <v>2.0</v>
      </c>
      <c r="G287" s="11" t="s">
        <v>2118</v>
      </c>
      <c r="H287" s="216">
        <v>1.0</v>
      </c>
      <c r="I287" s="763" t="b">
        <v>0</v>
      </c>
      <c r="J287" s="763" t="b">
        <v>0</v>
      </c>
      <c r="K287" s="763" t="b">
        <v>0</v>
      </c>
      <c r="L287" s="763" t="b">
        <v>0</v>
      </c>
      <c r="M287" s="763" t="b">
        <v>0</v>
      </c>
      <c r="N287" s="763" t="b">
        <v>0</v>
      </c>
      <c r="O287" s="763" t="b">
        <v>0</v>
      </c>
      <c r="P287" s="763" t="b">
        <v>0</v>
      </c>
      <c r="Q287" s="763" t="b">
        <v>0</v>
      </c>
      <c r="R287" s="763" t="b">
        <v>0</v>
      </c>
      <c r="S287" s="763" t="b">
        <v>0</v>
      </c>
      <c r="T287" s="763" t="b">
        <v>0</v>
      </c>
      <c r="U287" s="763" t="b">
        <v>0</v>
      </c>
      <c r="V287" s="763" t="b">
        <v>0</v>
      </c>
      <c r="W287" s="763" t="b">
        <v>0</v>
      </c>
      <c r="X287" s="216">
        <v>200.0</v>
      </c>
      <c r="Y287" s="11">
        <f t="shared" si="15"/>
        <v>200</v>
      </c>
      <c r="Z287" s="11" t="s">
        <v>1157</v>
      </c>
      <c r="AA287" s="93"/>
      <c r="AB287" s="93" t="s">
        <v>1895</v>
      </c>
      <c r="AC287" s="93" t="s">
        <v>1971</v>
      </c>
      <c r="AD287" s="217" t="s">
        <v>1198</v>
      </c>
      <c r="AE287" s="11" t="str">
        <f>IMAGE("https://5.imimg.com/data5/SELLER/Default/2021/7/IF/DT/PV/116258883/microscope-cover-glass-250x250.JPG",1)</f>
        <v/>
      </c>
      <c r="AF287" s="78"/>
      <c r="AG287" s="74"/>
      <c r="AH287" s="75"/>
      <c r="AI287" s="12"/>
      <c r="AJ287" s="11"/>
      <c r="AK287" s="12">
        <v>1.0</v>
      </c>
    </row>
    <row r="288" ht="40.5" customHeight="1">
      <c r="A288" s="11">
        <v>287.0</v>
      </c>
      <c r="B288" s="11" t="s">
        <v>1152</v>
      </c>
      <c r="C288" s="11" t="s">
        <v>1200</v>
      </c>
      <c r="D288" s="93" t="s">
        <v>1201</v>
      </c>
      <c r="E288" s="215" t="s">
        <v>1156</v>
      </c>
      <c r="F288" s="216">
        <v>2.0</v>
      </c>
      <c r="G288" s="11" t="s">
        <v>2118</v>
      </c>
      <c r="H288" s="216">
        <v>1.0</v>
      </c>
      <c r="I288" s="763" t="b">
        <v>0</v>
      </c>
      <c r="J288" s="763" t="b">
        <v>0</v>
      </c>
      <c r="K288" s="763" t="b">
        <v>0</v>
      </c>
      <c r="L288" s="763" t="b">
        <v>0</v>
      </c>
      <c r="M288" s="763" t="b">
        <v>0</v>
      </c>
      <c r="N288" s="763" t="b">
        <v>0</v>
      </c>
      <c r="O288" s="763" t="b">
        <v>0</v>
      </c>
      <c r="P288" s="763" t="b">
        <v>0</v>
      </c>
      <c r="Q288" s="763" t="b">
        <v>0</v>
      </c>
      <c r="R288" s="763" t="b">
        <v>0</v>
      </c>
      <c r="S288" s="763" t="b">
        <v>0</v>
      </c>
      <c r="T288" s="763" t="b">
        <v>0</v>
      </c>
      <c r="U288" s="763" t="b">
        <v>0</v>
      </c>
      <c r="V288" s="763" t="b">
        <v>0</v>
      </c>
      <c r="W288" s="763" t="b">
        <v>0</v>
      </c>
      <c r="X288" s="218">
        <v>100.0</v>
      </c>
      <c r="Y288" s="11">
        <f t="shared" si="15"/>
        <v>100</v>
      </c>
      <c r="Z288" s="11" t="s">
        <v>1157</v>
      </c>
      <c r="AA288" s="93"/>
      <c r="AB288" s="93" t="s">
        <v>1895</v>
      </c>
      <c r="AC288" s="93" t="s">
        <v>1971</v>
      </c>
      <c r="AD288" s="217" t="s">
        <v>1202</v>
      </c>
      <c r="AE288" s="11" t="str">
        <f>IMAGE("https://5.imimg.com/data5/AZ/OD/EC/SELLER-20177713/laboratory-slides-500x500.jpg",1)</f>
        <v/>
      </c>
      <c r="AF288" s="78"/>
      <c r="AG288" s="74"/>
      <c r="AH288" s="75"/>
      <c r="AI288" s="12"/>
      <c r="AJ288" s="11"/>
      <c r="AK288" s="12">
        <v>1.0</v>
      </c>
    </row>
    <row r="289" ht="40.5" customHeight="1">
      <c r="A289" s="11">
        <v>288.0</v>
      </c>
      <c r="B289" s="222" t="s">
        <v>1152</v>
      </c>
      <c r="C289" s="222" t="s">
        <v>1204</v>
      </c>
      <c r="D289" s="232" t="s">
        <v>1205</v>
      </c>
      <c r="E289" s="233" t="s">
        <v>1156</v>
      </c>
      <c r="F289" s="234">
        <v>30.0</v>
      </c>
      <c r="G289" s="11" t="s">
        <v>2119</v>
      </c>
      <c r="H289" s="234">
        <v>30.0</v>
      </c>
      <c r="I289" s="763" t="b">
        <v>0</v>
      </c>
      <c r="J289" s="763" t="b">
        <v>0</v>
      </c>
      <c r="K289" s="763" t="b">
        <v>0</v>
      </c>
      <c r="L289" s="763" t="b">
        <v>0</v>
      </c>
      <c r="M289" s="763" t="b">
        <v>0</v>
      </c>
      <c r="N289" s="763" t="b">
        <v>0</v>
      </c>
      <c r="O289" s="763" t="b">
        <v>0</v>
      </c>
      <c r="P289" s="763" t="b">
        <v>0</v>
      </c>
      <c r="Q289" s="763" t="b">
        <v>0</v>
      </c>
      <c r="R289" s="763" t="b">
        <v>0</v>
      </c>
      <c r="S289" s="763" t="b">
        <v>0</v>
      </c>
      <c r="T289" s="763" t="b">
        <v>0</v>
      </c>
      <c r="U289" s="763" t="b">
        <v>0</v>
      </c>
      <c r="V289" s="763" t="b">
        <v>0</v>
      </c>
      <c r="W289" s="763" t="b">
        <v>0</v>
      </c>
      <c r="X289" s="234">
        <v>15.0</v>
      </c>
      <c r="Y289" s="222">
        <f t="shared" si="15"/>
        <v>450</v>
      </c>
      <c r="Z289" s="222" t="s">
        <v>1157</v>
      </c>
      <c r="AA289" s="232"/>
      <c r="AB289" s="232" t="s">
        <v>2008</v>
      </c>
      <c r="AC289" s="232" t="s">
        <v>1968</v>
      </c>
      <c r="AD289" s="235" t="s">
        <v>1206</v>
      </c>
      <c r="AE289" s="222" t="str">
        <f>IMAGE("https://www.abdoslifesciences.com/wp-content/uploads/Abdos_Delhi2-107_P10911-to-P10918-2.png",1)</f>
        <v/>
      </c>
      <c r="AF289" s="358" t="s">
        <v>56</v>
      </c>
      <c r="AG289" s="359"/>
      <c r="AH289" s="336"/>
      <c r="AI289" s="360"/>
      <c r="AJ289" s="222"/>
      <c r="AK289" s="299">
        <v>1.0</v>
      </c>
    </row>
    <row r="290" ht="40.5" customHeight="1">
      <c r="A290" s="11">
        <v>289.0</v>
      </c>
      <c r="B290" s="11" t="s">
        <v>1152</v>
      </c>
      <c r="C290" s="11" t="s">
        <v>1208</v>
      </c>
      <c r="D290" s="93" t="s">
        <v>1209</v>
      </c>
      <c r="E290" s="215" t="s">
        <v>1156</v>
      </c>
      <c r="F290" s="11">
        <v>2.0</v>
      </c>
      <c r="G290" s="11" t="s">
        <v>2117</v>
      </c>
      <c r="H290" s="11">
        <v>2.0</v>
      </c>
      <c r="I290" s="763" t="b">
        <v>0</v>
      </c>
      <c r="J290" s="763" t="b">
        <v>0</v>
      </c>
      <c r="K290" s="763" t="b">
        <v>0</v>
      </c>
      <c r="L290" s="763" t="b">
        <v>0</v>
      </c>
      <c r="M290" s="763" t="b">
        <v>0</v>
      </c>
      <c r="N290" s="763" t="b">
        <v>0</v>
      </c>
      <c r="O290" s="763" t="b">
        <v>0</v>
      </c>
      <c r="P290" s="763" t="b">
        <v>0</v>
      </c>
      <c r="Q290" s="763" t="b">
        <v>0</v>
      </c>
      <c r="R290" s="763" t="b">
        <v>0</v>
      </c>
      <c r="S290" s="763" t="b">
        <v>0</v>
      </c>
      <c r="T290" s="763" t="b">
        <v>0</v>
      </c>
      <c r="U290" s="763" t="b">
        <v>0</v>
      </c>
      <c r="V290" s="763" t="b">
        <v>0</v>
      </c>
      <c r="W290" s="763" t="b">
        <v>0</v>
      </c>
      <c r="X290" s="11">
        <v>500.0</v>
      </c>
      <c r="Y290" s="11">
        <f t="shared" si="15"/>
        <v>1000</v>
      </c>
      <c r="Z290" s="11" t="s">
        <v>1157</v>
      </c>
      <c r="AA290" s="93"/>
      <c r="AB290" s="93"/>
      <c r="AC290" s="93" t="s">
        <v>1968</v>
      </c>
      <c r="AD290" s="217" t="s">
        <v>1210</v>
      </c>
      <c r="AE290" s="11" t="str">
        <f>IMAGE("https://pim-resources.coleparmer.com/product/l/dwk-life-sciences-kimble-dwk-kimble-babcock-pipettes-14663.jpg",1)</f>
        <v/>
      </c>
      <c r="AF290" s="78"/>
      <c r="AG290" s="74"/>
      <c r="AH290" s="75"/>
      <c r="AI290" s="12"/>
      <c r="AJ290" s="11"/>
      <c r="AK290" s="12">
        <v>3.0</v>
      </c>
    </row>
    <row r="291" ht="40.5" customHeight="1">
      <c r="A291" s="11">
        <v>290.0</v>
      </c>
      <c r="B291" s="11" t="s">
        <v>1152</v>
      </c>
      <c r="C291" s="11" t="s">
        <v>1212</v>
      </c>
      <c r="D291" s="93" t="s">
        <v>1213</v>
      </c>
      <c r="E291" s="215" t="s">
        <v>1156</v>
      </c>
      <c r="F291" s="216">
        <v>10.0</v>
      </c>
      <c r="G291" s="11" t="s">
        <v>2113</v>
      </c>
      <c r="H291" s="216">
        <v>10.0</v>
      </c>
      <c r="I291" s="763" t="b">
        <v>0</v>
      </c>
      <c r="J291" s="763" t="b">
        <v>0</v>
      </c>
      <c r="K291" s="763" t="b">
        <v>0</v>
      </c>
      <c r="L291" s="763" t="b">
        <v>0</v>
      </c>
      <c r="M291" s="763" t="b">
        <v>0</v>
      </c>
      <c r="N291" s="763" t="b">
        <v>0</v>
      </c>
      <c r="O291" s="763" t="b">
        <v>0</v>
      </c>
      <c r="P291" s="763" t="b">
        <v>0</v>
      </c>
      <c r="Q291" s="763" t="b">
        <v>0</v>
      </c>
      <c r="R291" s="763" t="b">
        <v>0</v>
      </c>
      <c r="S291" s="763" t="b">
        <v>0</v>
      </c>
      <c r="T291" s="763" t="b">
        <v>0</v>
      </c>
      <c r="U291" s="763" t="b">
        <v>0</v>
      </c>
      <c r="V291" s="763" t="b">
        <v>0</v>
      </c>
      <c r="W291" s="763" t="b">
        <v>0</v>
      </c>
      <c r="X291" s="216">
        <v>20.0</v>
      </c>
      <c r="Y291" s="11">
        <f t="shared" si="15"/>
        <v>200</v>
      </c>
      <c r="Z291" s="11" t="s">
        <v>1157</v>
      </c>
      <c r="AA291" s="93"/>
      <c r="AB291" s="93" t="s">
        <v>2022</v>
      </c>
      <c r="AC291" s="93" t="s">
        <v>1969</v>
      </c>
      <c r="AD291" s="217" t="s">
        <v>1214</v>
      </c>
      <c r="AE291" s="11" t="str">
        <f>IMAGE("https://5.imimg.com/data5/QC/NX/MY-932240/clear-plastic-funnel-250x250.jpg", 1)</f>
        <v/>
      </c>
      <c r="AF291" s="78"/>
      <c r="AG291" s="74"/>
      <c r="AH291" s="75"/>
      <c r="AI291" s="12"/>
      <c r="AJ291" s="11"/>
      <c r="AK291" s="12">
        <v>1.0</v>
      </c>
    </row>
    <row r="292" ht="40.5" customHeight="1">
      <c r="A292" s="11">
        <v>291.0</v>
      </c>
      <c r="B292" s="11" t="s">
        <v>1152</v>
      </c>
      <c r="C292" s="11" t="s">
        <v>1216</v>
      </c>
      <c r="D292" s="93" t="s">
        <v>1217</v>
      </c>
      <c r="E292" s="215" t="s">
        <v>1156</v>
      </c>
      <c r="F292" s="216">
        <v>10.0</v>
      </c>
      <c r="G292" s="11" t="s">
        <v>2113</v>
      </c>
      <c r="H292" s="216">
        <v>10.0</v>
      </c>
      <c r="I292" s="763" t="b">
        <v>0</v>
      </c>
      <c r="J292" s="763" t="b">
        <v>0</v>
      </c>
      <c r="K292" s="763" t="b">
        <v>0</v>
      </c>
      <c r="L292" s="763" t="b">
        <v>0</v>
      </c>
      <c r="M292" s="763" t="b">
        <v>0</v>
      </c>
      <c r="N292" s="763" t="b">
        <v>0</v>
      </c>
      <c r="O292" s="763" t="b">
        <v>0</v>
      </c>
      <c r="P292" s="763" t="b">
        <v>0</v>
      </c>
      <c r="Q292" s="763" t="b">
        <v>0</v>
      </c>
      <c r="R292" s="763" t="b">
        <v>0</v>
      </c>
      <c r="S292" s="763" t="b">
        <v>0</v>
      </c>
      <c r="T292" s="763" t="b">
        <v>0</v>
      </c>
      <c r="U292" s="763" t="b">
        <v>0</v>
      </c>
      <c r="V292" s="763" t="b">
        <v>0</v>
      </c>
      <c r="W292" s="763" t="b">
        <v>0</v>
      </c>
      <c r="X292" s="216">
        <v>20.0</v>
      </c>
      <c r="Y292" s="11">
        <f t="shared" si="15"/>
        <v>200</v>
      </c>
      <c r="Z292" s="11" t="s">
        <v>1157</v>
      </c>
      <c r="AA292" s="93"/>
      <c r="AB292" s="93" t="s">
        <v>2022</v>
      </c>
      <c r="AC292" s="93" t="s">
        <v>1969</v>
      </c>
      <c r="AD292" s="217" t="s">
        <v>1218</v>
      </c>
      <c r="AE292" s="11" t="str">
        <f>IMAGE("https://www.reagecon.com/product/image/medium/6267270_1.jpg",1)</f>
        <v/>
      </c>
      <c r="AF292" s="78"/>
      <c r="AG292" s="74"/>
      <c r="AH292" s="75"/>
      <c r="AI292" s="12"/>
      <c r="AJ292" s="11"/>
      <c r="AK292" s="12">
        <v>1.0</v>
      </c>
    </row>
    <row r="293" ht="40.5" customHeight="1">
      <c r="A293" s="11">
        <v>292.0</v>
      </c>
      <c r="B293" s="222" t="s">
        <v>1152</v>
      </c>
      <c r="C293" s="222" t="s">
        <v>1220</v>
      </c>
      <c r="D293" s="232" t="s">
        <v>1221</v>
      </c>
      <c r="E293" s="233" t="s">
        <v>1156</v>
      </c>
      <c r="F293" s="222">
        <v>1.0</v>
      </c>
      <c r="G293" s="11" t="s">
        <v>2203</v>
      </c>
      <c r="H293" s="222">
        <v>1.0</v>
      </c>
      <c r="I293" s="763" t="b">
        <v>0</v>
      </c>
      <c r="J293" s="763" t="b">
        <v>0</v>
      </c>
      <c r="K293" s="763" t="b">
        <v>0</v>
      </c>
      <c r="L293" s="763" t="b">
        <v>0</v>
      </c>
      <c r="M293" s="763" t="b">
        <v>0</v>
      </c>
      <c r="N293" s="763" t="b">
        <v>0</v>
      </c>
      <c r="O293" s="763" t="b">
        <v>0</v>
      </c>
      <c r="P293" s="763" t="b">
        <v>0</v>
      </c>
      <c r="Q293" s="763" t="b">
        <v>0</v>
      </c>
      <c r="R293" s="763" t="b">
        <v>0</v>
      </c>
      <c r="S293" s="763" t="b">
        <v>0</v>
      </c>
      <c r="T293" s="763" t="b">
        <v>0</v>
      </c>
      <c r="U293" s="763" t="b">
        <v>0</v>
      </c>
      <c r="V293" s="763" t="b">
        <v>0</v>
      </c>
      <c r="W293" s="763" t="b">
        <v>0</v>
      </c>
      <c r="X293" s="222">
        <v>4000.0</v>
      </c>
      <c r="Y293" s="222">
        <f t="shared" si="15"/>
        <v>4000</v>
      </c>
      <c r="Z293" s="222" t="s">
        <v>1157</v>
      </c>
      <c r="AA293" s="232"/>
      <c r="AB293" s="232"/>
      <c r="AC293" s="232" t="s">
        <v>1969</v>
      </c>
      <c r="AD293" s="235" t="s">
        <v>1222</v>
      </c>
      <c r="AE293" s="222" t="str">
        <f>IMAGE("https://5.imimg.com/data5/SELLER/Default/2021/3/XX/WV/MR/4080247/lab-sinks-500x500.jpeg",1)</f>
        <v/>
      </c>
      <c r="AF293" s="358"/>
      <c r="AG293" s="359"/>
      <c r="AH293" s="336"/>
      <c r="AI293" s="360"/>
      <c r="AJ293" s="222"/>
      <c r="AK293" s="299">
        <v>3.0</v>
      </c>
    </row>
    <row r="294" ht="40.5" customHeight="1">
      <c r="A294" s="11">
        <v>293.0</v>
      </c>
      <c r="B294" s="222" t="s">
        <v>1152</v>
      </c>
      <c r="C294" s="222" t="s">
        <v>1224</v>
      </c>
      <c r="D294" s="232" t="s">
        <v>1225</v>
      </c>
      <c r="E294" s="233" t="s">
        <v>1156</v>
      </c>
      <c r="F294" s="234">
        <v>100.0</v>
      </c>
      <c r="G294" s="11" t="s">
        <v>2120</v>
      </c>
      <c r="H294" s="234">
        <v>100.0</v>
      </c>
      <c r="I294" s="763" t="b">
        <v>0</v>
      </c>
      <c r="J294" s="763" t="b">
        <v>0</v>
      </c>
      <c r="K294" s="763" t="b">
        <v>0</v>
      </c>
      <c r="L294" s="763" t="b">
        <v>0</v>
      </c>
      <c r="M294" s="763" t="b">
        <v>0</v>
      </c>
      <c r="N294" s="763" t="b">
        <v>0</v>
      </c>
      <c r="O294" s="763" t="b">
        <v>0</v>
      </c>
      <c r="P294" s="763" t="b">
        <v>0</v>
      </c>
      <c r="Q294" s="763" t="b">
        <v>0</v>
      </c>
      <c r="R294" s="763" t="b">
        <v>0</v>
      </c>
      <c r="S294" s="763" t="b">
        <v>0</v>
      </c>
      <c r="T294" s="763" t="b">
        <v>0</v>
      </c>
      <c r="U294" s="763" t="b">
        <v>0</v>
      </c>
      <c r="V294" s="763" t="b">
        <v>0</v>
      </c>
      <c r="W294" s="763" t="b">
        <v>0</v>
      </c>
      <c r="X294" s="234">
        <v>20.0</v>
      </c>
      <c r="Y294" s="222">
        <f t="shared" si="15"/>
        <v>2000</v>
      </c>
      <c r="Z294" s="222" t="s">
        <v>1157</v>
      </c>
      <c r="AA294" s="232"/>
      <c r="AB294" s="232" t="s">
        <v>2008</v>
      </c>
      <c r="AC294" s="232" t="s">
        <v>1969</v>
      </c>
      <c r="AD294" s="235" t="s">
        <v>1226</v>
      </c>
      <c r="AE294" s="222" t="str">
        <f>IMAGE("https://5.imimg.com/data5/GX/OE/MY-972879/30ml-specimen-container-500x500.jpg", 1)</f>
        <v/>
      </c>
      <c r="AF294" s="358"/>
      <c r="AG294" s="359"/>
      <c r="AH294" s="336"/>
      <c r="AI294" s="360"/>
      <c r="AJ294" s="222"/>
      <c r="AK294" s="299">
        <v>1.0</v>
      </c>
    </row>
    <row r="295" ht="40.5" customHeight="1">
      <c r="A295" s="11">
        <v>294.0</v>
      </c>
      <c r="B295" s="11" t="s">
        <v>1152</v>
      </c>
      <c r="C295" s="11" t="s">
        <v>1228</v>
      </c>
      <c r="D295" s="93" t="s">
        <v>1229</v>
      </c>
      <c r="E295" s="215" t="s">
        <v>1156</v>
      </c>
      <c r="F295" s="11">
        <v>1.0</v>
      </c>
      <c r="G295" s="11" t="s">
        <v>2027</v>
      </c>
      <c r="H295" s="11">
        <v>1.0</v>
      </c>
      <c r="I295" s="763" t="b">
        <v>0</v>
      </c>
      <c r="J295" s="763" t="b">
        <v>0</v>
      </c>
      <c r="K295" s="763" t="b">
        <v>0</v>
      </c>
      <c r="L295" s="763" t="b">
        <v>0</v>
      </c>
      <c r="M295" s="763" t="b">
        <v>0</v>
      </c>
      <c r="N295" s="763" t="b">
        <v>0</v>
      </c>
      <c r="O295" s="763" t="b">
        <v>0</v>
      </c>
      <c r="P295" s="763" t="b">
        <v>0</v>
      </c>
      <c r="Q295" s="763" t="b">
        <v>0</v>
      </c>
      <c r="R295" s="763" t="b">
        <v>0</v>
      </c>
      <c r="S295" s="763" t="b">
        <v>0</v>
      </c>
      <c r="T295" s="763" t="b">
        <v>0</v>
      </c>
      <c r="U295" s="763" t="b">
        <v>0</v>
      </c>
      <c r="V295" s="763" t="b">
        <v>0</v>
      </c>
      <c r="W295" s="763" t="b">
        <v>0</v>
      </c>
      <c r="X295" s="11">
        <v>150.0</v>
      </c>
      <c r="Y295" s="11">
        <f t="shared" si="15"/>
        <v>150</v>
      </c>
      <c r="Z295" s="11" t="s">
        <v>1157</v>
      </c>
      <c r="AA295" s="93"/>
      <c r="AB295" s="93"/>
      <c r="AC295" s="93" t="s">
        <v>1968</v>
      </c>
      <c r="AD295" s="217" t="s">
        <v>1230</v>
      </c>
      <c r="AE295" s="11" t="str">
        <f>IMAGE("https://m.media-amazon.com/images/I/51+vdFGMMML._SL1001_.jpg",1)</f>
        <v/>
      </c>
      <c r="AF295" s="78"/>
      <c r="AG295" s="74"/>
      <c r="AH295" s="75"/>
      <c r="AI295" s="12"/>
      <c r="AJ295" s="11"/>
      <c r="AK295" s="12">
        <v>3.0</v>
      </c>
    </row>
    <row r="296" ht="40.5" customHeight="1">
      <c r="A296" s="11">
        <v>295.0</v>
      </c>
      <c r="B296" s="11" t="s">
        <v>1152</v>
      </c>
      <c r="C296" s="11" t="s">
        <v>1232</v>
      </c>
      <c r="D296" s="93" t="s">
        <v>1233</v>
      </c>
      <c r="E296" s="215" t="s">
        <v>1156</v>
      </c>
      <c r="F296" s="216">
        <v>10.0</v>
      </c>
      <c r="G296" s="11" t="s">
        <v>2121</v>
      </c>
      <c r="H296" s="216">
        <v>10.0</v>
      </c>
      <c r="I296" s="763" t="b">
        <v>0</v>
      </c>
      <c r="J296" s="763" t="b">
        <v>0</v>
      </c>
      <c r="K296" s="763" t="b">
        <v>0</v>
      </c>
      <c r="L296" s="763" t="b">
        <v>0</v>
      </c>
      <c r="M296" s="763" t="b">
        <v>0</v>
      </c>
      <c r="N296" s="763" t="b">
        <v>0</v>
      </c>
      <c r="O296" s="763" t="b">
        <v>0</v>
      </c>
      <c r="P296" s="763" t="b">
        <v>0</v>
      </c>
      <c r="Q296" s="763" t="b">
        <v>0</v>
      </c>
      <c r="R296" s="763" t="b">
        <v>0</v>
      </c>
      <c r="S296" s="763" t="b">
        <v>0</v>
      </c>
      <c r="T296" s="763" t="b">
        <v>0</v>
      </c>
      <c r="U296" s="763" t="b">
        <v>0</v>
      </c>
      <c r="V296" s="763" t="b">
        <v>0</v>
      </c>
      <c r="W296" s="763" t="b">
        <v>0</v>
      </c>
      <c r="X296" s="216">
        <v>15.0</v>
      </c>
      <c r="Y296" s="11">
        <f t="shared" si="15"/>
        <v>150</v>
      </c>
      <c r="Z296" s="11" t="s">
        <v>1157</v>
      </c>
      <c r="AA296" s="93"/>
      <c r="AB296" s="93" t="s">
        <v>1895</v>
      </c>
      <c r="AC296" s="93" t="s">
        <v>1968</v>
      </c>
      <c r="AD296" s="217" t="s">
        <v>1234</v>
      </c>
      <c r="AE296" s="11" t="str">
        <f>IMAGE("https://5.imimg.com/data5/SELLER/Default/2022/10/RF/ME/PW/7444604/12x100mm-glass-test-tube-500x500.jpg", 1)</f>
        <v/>
      </c>
      <c r="AF296" s="78"/>
      <c r="AG296" s="74"/>
      <c r="AH296" s="75"/>
      <c r="AI296" s="12"/>
      <c r="AJ296" s="11"/>
      <c r="AK296" s="12">
        <v>1.0</v>
      </c>
    </row>
    <row r="297" ht="40.5" customHeight="1">
      <c r="A297" s="11">
        <v>296.0</v>
      </c>
      <c r="B297" s="11" t="s">
        <v>1152</v>
      </c>
      <c r="C297" s="11" t="s">
        <v>1236</v>
      </c>
      <c r="D297" s="93" t="s">
        <v>1237</v>
      </c>
      <c r="E297" s="215" t="s">
        <v>1156</v>
      </c>
      <c r="F297" s="216">
        <v>1.0</v>
      </c>
      <c r="G297" s="11" t="s">
        <v>2027</v>
      </c>
      <c r="H297" s="216">
        <v>2.0</v>
      </c>
      <c r="I297" s="763" t="b">
        <v>0</v>
      </c>
      <c r="J297" s="763" t="b">
        <v>0</v>
      </c>
      <c r="K297" s="763" t="b">
        <v>0</v>
      </c>
      <c r="L297" s="763" t="b">
        <v>0</v>
      </c>
      <c r="M297" s="763" t="b">
        <v>0</v>
      </c>
      <c r="N297" s="763" t="b">
        <v>0</v>
      </c>
      <c r="O297" s="763" t="b">
        <v>0</v>
      </c>
      <c r="P297" s="763" t="b">
        <v>0</v>
      </c>
      <c r="Q297" s="763" t="b">
        <v>0</v>
      </c>
      <c r="R297" s="763" t="b">
        <v>0</v>
      </c>
      <c r="S297" s="763" t="b">
        <v>0</v>
      </c>
      <c r="T297" s="763" t="b">
        <v>0</v>
      </c>
      <c r="U297" s="763" t="b">
        <v>0</v>
      </c>
      <c r="V297" s="763" t="b">
        <v>0</v>
      </c>
      <c r="W297" s="763" t="b">
        <v>0</v>
      </c>
      <c r="X297" s="216">
        <v>150.0</v>
      </c>
      <c r="Y297" s="11">
        <f t="shared" si="15"/>
        <v>300</v>
      </c>
      <c r="Z297" s="11" t="s">
        <v>1157</v>
      </c>
      <c r="AA297" s="93"/>
      <c r="AB297" s="93"/>
      <c r="AC297" s="93" t="s">
        <v>1968</v>
      </c>
      <c r="AD297" s="217" t="s">
        <v>1238</v>
      </c>
      <c r="AE297" s="11" t="str">
        <f>IMAGE("https://www.abdoslifesciences.com/wp-content/uploads/p10.jpg", 1)</f>
        <v/>
      </c>
      <c r="AF297" s="78"/>
      <c r="AG297" s="74"/>
      <c r="AH297" s="75"/>
      <c r="AI297" s="12"/>
      <c r="AJ297" s="11"/>
      <c r="AK297" s="12">
        <v>3.0</v>
      </c>
    </row>
    <row r="298" ht="40.5" customHeight="1">
      <c r="A298" s="11">
        <v>297.0</v>
      </c>
      <c r="B298" s="11" t="s">
        <v>1152</v>
      </c>
      <c r="C298" s="11" t="s">
        <v>1240</v>
      </c>
      <c r="D298" s="93" t="s">
        <v>1241</v>
      </c>
      <c r="E298" s="215" t="s">
        <v>1156</v>
      </c>
      <c r="F298" s="216">
        <v>2.0</v>
      </c>
      <c r="G298" s="11" t="s">
        <v>2205</v>
      </c>
      <c r="H298" s="216">
        <v>2.0</v>
      </c>
      <c r="I298" s="763" t="b">
        <v>0</v>
      </c>
      <c r="J298" s="763" t="b">
        <v>0</v>
      </c>
      <c r="K298" s="763" t="b">
        <v>0</v>
      </c>
      <c r="L298" s="763" t="b">
        <v>0</v>
      </c>
      <c r="M298" s="763" t="b">
        <v>0</v>
      </c>
      <c r="N298" s="763" t="b">
        <v>0</v>
      </c>
      <c r="O298" s="763" t="b">
        <v>0</v>
      </c>
      <c r="P298" s="763" t="b">
        <v>0</v>
      </c>
      <c r="Q298" s="763" t="b">
        <v>0</v>
      </c>
      <c r="R298" s="763" t="b">
        <v>0</v>
      </c>
      <c r="S298" s="763" t="b">
        <v>0</v>
      </c>
      <c r="T298" s="763" t="b">
        <v>0</v>
      </c>
      <c r="U298" s="763" t="b">
        <v>0</v>
      </c>
      <c r="V298" s="763" t="b">
        <v>0</v>
      </c>
      <c r="W298" s="763" t="b">
        <v>0</v>
      </c>
      <c r="X298" s="216">
        <v>100.0</v>
      </c>
      <c r="Y298" s="11">
        <f t="shared" si="15"/>
        <v>200</v>
      </c>
      <c r="Z298" s="11" t="s">
        <v>1157</v>
      </c>
      <c r="AA298" s="93"/>
      <c r="AB298" s="93"/>
      <c r="AC298" s="93" t="s">
        <v>1969</v>
      </c>
      <c r="AD298" s="238" t="s">
        <v>1242</v>
      </c>
      <c r="AE298" s="11" t="str">
        <f>IMAGE("https://www.abdoslifesciences.com/wp-content/uploads/Wash-Bottle-LDPE-day-20376.jpg", 1)</f>
        <v/>
      </c>
      <c r="AF298" s="78"/>
      <c r="AG298" s="74"/>
      <c r="AH298" s="75"/>
      <c r="AI298" s="12"/>
      <c r="AJ298" s="11"/>
      <c r="AK298" s="12">
        <v>3.0</v>
      </c>
    </row>
    <row r="299" ht="40.5" customHeight="1">
      <c r="A299" s="11">
        <v>298.0</v>
      </c>
      <c r="B299" s="11" t="s">
        <v>1152</v>
      </c>
      <c r="C299" s="11" t="s">
        <v>1244</v>
      </c>
      <c r="D299" s="93" t="s">
        <v>1245</v>
      </c>
      <c r="E299" s="215" t="s">
        <v>1156</v>
      </c>
      <c r="F299" s="11">
        <v>10.0</v>
      </c>
      <c r="G299" s="11" t="s">
        <v>2122</v>
      </c>
      <c r="H299" s="11">
        <v>10.0</v>
      </c>
      <c r="I299" s="763" t="b">
        <v>0</v>
      </c>
      <c r="J299" s="763" t="b">
        <v>0</v>
      </c>
      <c r="K299" s="763" t="b">
        <v>0</v>
      </c>
      <c r="L299" s="763" t="b">
        <v>0</v>
      </c>
      <c r="M299" s="763" t="b">
        <v>0</v>
      </c>
      <c r="N299" s="763" t="b">
        <v>0</v>
      </c>
      <c r="O299" s="763" t="b">
        <v>0</v>
      </c>
      <c r="P299" s="763" t="b">
        <v>0</v>
      </c>
      <c r="Q299" s="763" t="b">
        <v>0</v>
      </c>
      <c r="R299" s="763" t="b">
        <v>0</v>
      </c>
      <c r="S299" s="763" t="b">
        <v>0</v>
      </c>
      <c r="T299" s="763" t="b">
        <v>0</v>
      </c>
      <c r="U299" s="763" t="b">
        <v>0</v>
      </c>
      <c r="V299" s="763" t="b">
        <v>0</v>
      </c>
      <c r="W299" s="763" t="b">
        <v>0</v>
      </c>
      <c r="X299" s="11">
        <v>10.0</v>
      </c>
      <c r="Y299" s="11">
        <f t="shared" si="15"/>
        <v>100</v>
      </c>
      <c r="Z299" s="11" t="s">
        <v>1157</v>
      </c>
      <c r="AA299" s="93"/>
      <c r="AB299" s="93" t="s">
        <v>1895</v>
      </c>
      <c r="AC299" s="93" t="s">
        <v>1968</v>
      </c>
      <c r="AD299" s="217" t="s">
        <v>1246</v>
      </c>
      <c r="AE299" s="11" t="str">
        <f>IMAGE("https://m.media-amazon.com/images/I/31U00ndDv2L._SX679_.jpg",1)</f>
        <v/>
      </c>
      <c r="AF299" s="78"/>
      <c r="AG299" s="74"/>
      <c r="AH299" s="75"/>
      <c r="AI299" s="12"/>
      <c r="AJ299" s="11"/>
      <c r="AK299" s="12">
        <v>1.0</v>
      </c>
    </row>
    <row r="300" ht="40.5" customHeight="1">
      <c r="A300" s="11">
        <v>299.0</v>
      </c>
      <c r="B300" s="11" t="s">
        <v>173</v>
      </c>
      <c r="C300" s="11" t="s">
        <v>1248</v>
      </c>
      <c r="D300" s="93" t="s">
        <v>1249</v>
      </c>
      <c r="E300" s="215" t="s">
        <v>1250</v>
      </c>
      <c r="F300" s="216">
        <v>7.0</v>
      </c>
      <c r="G300" s="11" t="s">
        <v>2123</v>
      </c>
      <c r="H300" s="216">
        <v>7.0</v>
      </c>
      <c r="I300" s="763" t="b">
        <v>0</v>
      </c>
      <c r="J300" s="763" t="b">
        <v>0</v>
      </c>
      <c r="K300" s="763" t="b">
        <v>0</v>
      </c>
      <c r="L300" s="763" t="b">
        <v>0</v>
      </c>
      <c r="M300" s="763" t="b">
        <v>0</v>
      </c>
      <c r="N300" s="763" t="b">
        <v>0</v>
      </c>
      <c r="O300" s="763" t="b">
        <v>0</v>
      </c>
      <c r="P300" s="763" t="b">
        <v>0</v>
      </c>
      <c r="Q300" s="763" t="b">
        <v>0</v>
      </c>
      <c r="R300" s="763" t="b">
        <v>0</v>
      </c>
      <c r="S300" s="763" t="b">
        <v>0</v>
      </c>
      <c r="T300" s="763" t="b">
        <v>0</v>
      </c>
      <c r="U300" s="763" t="b">
        <v>0</v>
      </c>
      <c r="V300" s="763" t="b">
        <v>0</v>
      </c>
      <c r="W300" s="763" t="b">
        <v>0</v>
      </c>
      <c r="X300" s="216">
        <v>500.0</v>
      </c>
      <c r="Y300" s="11">
        <f t="shared" si="15"/>
        <v>3500</v>
      </c>
      <c r="Z300" s="11" t="s">
        <v>178</v>
      </c>
      <c r="AA300" s="93" t="s">
        <v>47</v>
      </c>
      <c r="AB300" s="93" t="s">
        <v>2008</v>
      </c>
      <c r="AC300" s="93" t="s">
        <v>1964</v>
      </c>
      <c r="AD300" s="217" t="s">
        <v>1251</v>
      </c>
      <c r="AE300" s="11" t="str">
        <f>IMAGE("https://www.atel-electronics.eu/pic_cache/10/06158.jpg",1)</f>
        <v/>
      </c>
      <c r="AF300" s="73" t="s">
        <v>1724</v>
      </c>
      <c r="AG300" s="74"/>
      <c r="AH300" s="75"/>
      <c r="AI300" s="12"/>
      <c r="AJ300" s="11"/>
      <c r="AK300" s="12">
        <v>1.0</v>
      </c>
    </row>
    <row r="301" ht="40.5" customHeight="1">
      <c r="A301" s="11">
        <v>300.0</v>
      </c>
      <c r="B301" s="11" t="s">
        <v>173</v>
      </c>
      <c r="C301" s="11" t="s">
        <v>1253</v>
      </c>
      <c r="D301" s="93" t="s">
        <v>1254</v>
      </c>
      <c r="E301" s="215" t="s">
        <v>1250</v>
      </c>
      <c r="F301" s="216">
        <v>1.0</v>
      </c>
      <c r="G301" s="11" t="s">
        <v>2123</v>
      </c>
      <c r="H301" s="216">
        <v>1.0</v>
      </c>
      <c r="I301" s="763" t="b">
        <v>0</v>
      </c>
      <c r="J301" s="763" t="b">
        <v>0</v>
      </c>
      <c r="K301" s="763" t="b">
        <v>0</v>
      </c>
      <c r="L301" s="763" t="b">
        <v>0</v>
      </c>
      <c r="M301" s="763" t="b">
        <v>0</v>
      </c>
      <c r="N301" s="763" t="b">
        <v>0</v>
      </c>
      <c r="O301" s="763" t="b">
        <v>0</v>
      </c>
      <c r="P301" s="763" t="b">
        <v>0</v>
      </c>
      <c r="Q301" s="763" t="b">
        <v>0</v>
      </c>
      <c r="R301" s="763" t="b">
        <v>0</v>
      </c>
      <c r="S301" s="763" t="b">
        <v>0</v>
      </c>
      <c r="T301" s="763" t="b">
        <v>0</v>
      </c>
      <c r="U301" s="763" t="b">
        <v>0</v>
      </c>
      <c r="V301" s="763" t="b">
        <v>0</v>
      </c>
      <c r="W301" s="763" t="b">
        <v>0</v>
      </c>
      <c r="X301" s="216">
        <v>1000.0</v>
      </c>
      <c r="Y301" s="11">
        <f t="shared" si="15"/>
        <v>1000</v>
      </c>
      <c r="Z301" s="11" t="s">
        <v>178</v>
      </c>
      <c r="AA301" s="93" t="s">
        <v>47</v>
      </c>
      <c r="AB301" s="93" t="s">
        <v>2008</v>
      </c>
      <c r="AC301" s="93" t="s">
        <v>1964</v>
      </c>
      <c r="AD301" s="217" t="s">
        <v>1255</v>
      </c>
      <c r="AE301" s="11" t="str">
        <f>IMAGE("https://in.element14.com/productimages/large/en_GB/IN07444-40.jpg",1)</f>
        <v/>
      </c>
      <c r="AF301" s="73" t="s">
        <v>1724</v>
      </c>
      <c r="AG301" s="74"/>
      <c r="AH301" s="75"/>
      <c r="AI301" s="12"/>
      <c r="AJ301" s="11"/>
      <c r="AK301" s="12">
        <v>1.0</v>
      </c>
    </row>
    <row r="302" ht="40.5" customHeight="1">
      <c r="A302" s="11">
        <v>301.0</v>
      </c>
      <c r="B302" s="11" t="s">
        <v>173</v>
      </c>
      <c r="C302" s="11" t="s">
        <v>1257</v>
      </c>
      <c r="D302" s="93" t="s">
        <v>1258</v>
      </c>
      <c r="E302" s="215" t="s">
        <v>1250</v>
      </c>
      <c r="F302" s="216">
        <v>1.0</v>
      </c>
      <c r="G302" s="11" t="s">
        <v>2104</v>
      </c>
      <c r="H302" s="216">
        <v>1.0</v>
      </c>
      <c r="I302" s="763" t="b">
        <v>0</v>
      </c>
      <c r="J302" s="763" t="b">
        <v>0</v>
      </c>
      <c r="K302" s="763" t="b">
        <v>0</v>
      </c>
      <c r="L302" s="763" t="b">
        <v>0</v>
      </c>
      <c r="M302" s="763" t="b">
        <v>0</v>
      </c>
      <c r="N302" s="763" t="b">
        <v>0</v>
      </c>
      <c r="O302" s="763" t="b">
        <v>0</v>
      </c>
      <c r="P302" s="763" t="b">
        <v>0</v>
      </c>
      <c r="Q302" s="763" t="b">
        <v>0</v>
      </c>
      <c r="R302" s="763" t="b">
        <v>0</v>
      </c>
      <c r="S302" s="763" t="b">
        <v>0</v>
      </c>
      <c r="T302" s="763" t="b">
        <v>0</v>
      </c>
      <c r="U302" s="763" t="b">
        <v>0</v>
      </c>
      <c r="V302" s="763" t="b">
        <v>0</v>
      </c>
      <c r="W302" s="763" t="b">
        <v>0</v>
      </c>
      <c r="X302" s="216">
        <v>25000.0</v>
      </c>
      <c r="Y302" s="11">
        <f t="shared" si="15"/>
        <v>25000</v>
      </c>
      <c r="Z302" s="11" t="s">
        <v>178</v>
      </c>
      <c r="AA302" s="93" t="s">
        <v>47</v>
      </c>
      <c r="AB302" s="93"/>
      <c r="AC302" s="93" t="s">
        <v>1964</v>
      </c>
      <c r="AD302" s="217" t="s">
        <v>1259</v>
      </c>
      <c r="AE302" s="11" t="str">
        <f>IMAGE("https://m.media-amazon.com/images/I/51LxodXCiyS._SL1000_.jpg",1)</f>
        <v/>
      </c>
      <c r="AF302" s="73" t="s">
        <v>1724</v>
      </c>
      <c r="AG302" s="74"/>
      <c r="AH302" s="75"/>
      <c r="AI302" s="12"/>
      <c r="AJ302" s="11"/>
      <c r="AK302" s="12">
        <v>3.0</v>
      </c>
    </row>
    <row r="303" ht="40.5" customHeight="1">
      <c r="A303" s="11">
        <v>302.0</v>
      </c>
      <c r="B303" s="222" t="s">
        <v>173</v>
      </c>
      <c r="C303" s="222" t="s">
        <v>1261</v>
      </c>
      <c r="D303" s="232" t="s">
        <v>1262</v>
      </c>
      <c r="E303" s="233" t="s">
        <v>1250</v>
      </c>
      <c r="F303" s="234">
        <v>1.0</v>
      </c>
      <c r="G303" s="11" t="s">
        <v>2104</v>
      </c>
      <c r="H303" s="234">
        <v>1.0</v>
      </c>
      <c r="I303" s="763" t="b">
        <v>0</v>
      </c>
      <c r="J303" s="763" t="b">
        <v>0</v>
      </c>
      <c r="K303" s="763" t="b">
        <v>0</v>
      </c>
      <c r="L303" s="763" t="b">
        <v>0</v>
      </c>
      <c r="M303" s="763" t="b">
        <v>0</v>
      </c>
      <c r="N303" s="763" t="b">
        <v>0</v>
      </c>
      <c r="O303" s="763" t="b">
        <v>0</v>
      </c>
      <c r="P303" s="763" t="b">
        <v>0</v>
      </c>
      <c r="Q303" s="763" t="b">
        <v>0</v>
      </c>
      <c r="R303" s="763" t="b">
        <v>0</v>
      </c>
      <c r="S303" s="763" t="b">
        <v>0</v>
      </c>
      <c r="T303" s="763" t="b">
        <v>0</v>
      </c>
      <c r="U303" s="763" t="b">
        <v>0</v>
      </c>
      <c r="V303" s="763" t="b">
        <v>0</v>
      </c>
      <c r="W303" s="763" t="b">
        <v>0</v>
      </c>
      <c r="X303" s="234">
        <v>2500.0</v>
      </c>
      <c r="Y303" s="222">
        <f t="shared" si="15"/>
        <v>2500</v>
      </c>
      <c r="Z303" s="222" t="s">
        <v>178</v>
      </c>
      <c r="AA303" s="232" t="s">
        <v>47</v>
      </c>
      <c r="AB303" s="232"/>
      <c r="AC303" s="232" t="s">
        <v>1907</v>
      </c>
      <c r="AD303" s="235" t="s">
        <v>1263</v>
      </c>
      <c r="AE303" s="222" t="str">
        <f>IMAGE("https://m.media-amazon.com/images/I/61WLNOGJ4JS.jpg")</f>
        <v/>
      </c>
      <c r="AF303" s="619" t="s">
        <v>1724</v>
      </c>
      <c r="AG303" s="359"/>
      <c r="AH303" s="336"/>
      <c r="AI303" s="360"/>
      <c r="AJ303" s="222"/>
      <c r="AK303" s="299">
        <v>3.0</v>
      </c>
    </row>
    <row r="304" ht="40.5" customHeight="1">
      <c r="A304" s="11">
        <v>303.0</v>
      </c>
      <c r="B304" s="11" t="s">
        <v>173</v>
      </c>
      <c r="C304" s="11" t="s">
        <v>1265</v>
      </c>
      <c r="D304" s="93" t="s">
        <v>1266</v>
      </c>
      <c r="E304" s="215" t="s">
        <v>1250</v>
      </c>
      <c r="F304" s="216">
        <v>1.0</v>
      </c>
      <c r="G304" s="11" t="s">
        <v>2104</v>
      </c>
      <c r="H304" s="216">
        <v>1.0</v>
      </c>
      <c r="I304" s="763" t="b">
        <v>0</v>
      </c>
      <c r="J304" s="763" t="b">
        <v>0</v>
      </c>
      <c r="K304" s="763" t="b">
        <v>0</v>
      </c>
      <c r="L304" s="763" t="b">
        <v>0</v>
      </c>
      <c r="M304" s="763" t="b">
        <v>0</v>
      </c>
      <c r="N304" s="763" t="b">
        <v>0</v>
      </c>
      <c r="O304" s="763" t="b">
        <v>0</v>
      </c>
      <c r="P304" s="763" t="b">
        <v>0</v>
      </c>
      <c r="Q304" s="763" t="b">
        <v>0</v>
      </c>
      <c r="R304" s="763" t="b">
        <v>0</v>
      </c>
      <c r="S304" s="763" t="b">
        <v>0</v>
      </c>
      <c r="T304" s="763" t="b">
        <v>0</v>
      </c>
      <c r="U304" s="763" t="b">
        <v>0</v>
      </c>
      <c r="V304" s="763" t="b">
        <v>0</v>
      </c>
      <c r="W304" s="763" t="b">
        <v>0</v>
      </c>
      <c r="X304" s="216">
        <v>2500.0</v>
      </c>
      <c r="Y304" s="11">
        <f t="shared" si="15"/>
        <v>2500</v>
      </c>
      <c r="Z304" s="11" t="s">
        <v>178</v>
      </c>
      <c r="AA304" s="93"/>
      <c r="AB304" s="93"/>
      <c r="AC304" s="93" t="s">
        <v>1628</v>
      </c>
      <c r="AD304" s="217" t="s">
        <v>1267</v>
      </c>
      <c r="AE304" s="11" t="str">
        <f>IMAGE("https://cdn.shopify.com/s/files/1/0559/1970/6265/products/4_61325b1b-840f-41dd-a6d9-0ddb00c5c7bc_1024x1024@2x.png?v=1670588177",1)</f>
        <v/>
      </c>
      <c r="AF304" s="78" t="s">
        <v>1725</v>
      </c>
      <c r="AG304" s="74"/>
      <c r="AH304" s="75"/>
      <c r="AI304" s="12"/>
      <c r="AJ304" s="11"/>
      <c r="AK304" s="12">
        <v>3.0</v>
      </c>
    </row>
    <row r="305" ht="40.5" customHeight="1">
      <c r="A305" s="11">
        <v>304.0</v>
      </c>
      <c r="B305" s="11" t="s">
        <v>1152</v>
      </c>
      <c r="C305" s="11" t="s">
        <v>1269</v>
      </c>
      <c r="D305" s="93" t="s">
        <v>1270</v>
      </c>
      <c r="E305" s="215" t="s">
        <v>1250</v>
      </c>
      <c r="F305" s="11">
        <v>1.0</v>
      </c>
      <c r="G305" s="11" t="s">
        <v>2027</v>
      </c>
      <c r="H305" s="11">
        <v>1.0</v>
      </c>
      <c r="I305" s="763" t="b">
        <v>0</v>
      </c>
      <c r="J305" s="763" t="b">
        <v>0</v>
      </c>
      <c r="K305" s="763" t="b">
        <v>0</v>
      </c>
      <c r="L305" s="763" t="b">
        <v>0</v>
      </c>
      <c r="M305" s="763" t="b">
        <v>0</v>
      </c>
      <c r="N305" s="763" t="b">
        <v>0</v>
      </c>
      <c r="O305" s="763" t="b">
        <v>0</v>
      </c>
      <c r="P305" s="763" t="b">
        <v>0</v>
      </c>
      <c r="Q305" s="763" t="b">
        <v>0</v>
      </c>
      <c r="R305" s="763" t="b">
        <v>0</v>
      </c>
      <c r="S305" s="763" t="b">
        <v>0</v>
      </c>
      <c r="T305" s="763" t="b">
        <v>0</v>
      </c>
      <c r="U305" s="763" t="b">
        <v>0</v>
      </c>
      <c r="V305" s="763" t="b">
        <v>0</v>
      </c>
      <c r="W305" s="763" t="b">
        <v>0</v>
      </c>
      <c r="X305" s="11">
        <v>2000.0</v>
      </c>
      <c r="Y305" s="11">
        <f t="shared" si="15"/>
        <v>2000</v>
      </c>
      <c r="Z305" s="11" t="s">
        <v>1157</v>
      </c>
      <c r="AA305" s="93"/>
      <c r="AB305" s="93"/>
      <c r="AC305" s="93" t="s">
        <v>1975</v>
      </c>
      <c r="AD305" s="217" t="s">
        <v>1271</v>
      </c>
      <c r="AE305" s="11" t="str">
        <f>IMAGE("https://m.media-amazon.com/images/I/61USTYJ+OPL._SL1500_.jpg",1)</f>
        <v/>
      </c>
      <c r="AF305" s="78"/>
      <c r="AG305" s="74"/>
      <c r="AH305" s="75"/>
      <c r="AI305" s="12"/>
      <c r="AJ305" s="11"/>
      <c r="AK305" s="11">
        <v>3.0</v>
      </c>
    </row>
    <row r="306" ht="40.5" customHeight="1">
      <c r="A306" s="11">
        <v>305.0</v>
      </c>
      <c r="B306" s="222" t="s">
        <v>1152</v>
      </c>
      <c r="C306" s="222" t="s">
        <v>1273</v>
      </c>
      <c r="D306" s="232" t="s">
        <v>1274</v>
      </c>
      <c r="E306" s="233" t="s">
        <v>1250</v>
      </c>
      <c r="F306" s="222">
        <v>1.0</v>
      </c>
      <c r="G306" s="11" t="s">
        <v>2124</v>
      </c>
      <c r="H306" s="222">
        <v>1.0</v>
      </c>
      <c r="I306" s="763" t="b">
        <v>0</v>
      </c>
      <c r="J306" s="763" t="b">
        <v>0</v>
      </c>
      <c r="K306" s="763" t="b">
        <v>0</v>
      </c>
      <c r="L306" s="763" t="b">
        <v>0</v>
      </c>
      <c r="M306" s="763" t="b">
        <v>0</v>
      </c>
      <c r="N306" s="763" t="b">
        <v>0</v>
      </c>
      <c r="O306" s="763" t="b">
        <v>0</v>
      </c>
      <c r="P306" s="763" t="b">
        <v>0</v>
      </c>
      <c r="Q306" s="763" t="b">
        <v>0</v>
      </c>
      <c r="R306" s="763" t="b">
        <v>0</v>
      </c>
      <c r="S306" s="763" t="b">
        <v>0</v>
      </c>
      <c r="T306" s="763" t="b">
        <v>0</v>
      </c>
      <c r="U306" s="763" t="b">
        <v>0</v>
      </c>
      <c r="V306" s="763" t="b">
        <v>0</v>
      </c>
      <c r="W306" s="763" t="b">
        <v>0</v>
      </c>
      <c r="X306" s="222">
        <v>1700.0</v>
      </c>
      <c r="Y306" s="222">
        <f t="shared" si="15"/>
        <v>1700</v>
      </c>
      <c r="Z306" s="222" t="s">
        <v>1157</v>
      </c>
      <c r="AA306" s="232" t="s">
        <v>47</v>
      </c>
      <c r="AB306" s="232"/>
      <c r="AC306" s="232" t="s">
        <v>1964</v>
      </c>
      <c r="AD306" s="235" t="s">
        <v>1275</v>
      </c>
      <c r="AE306" s="222" t="str">
        <f>IMAGE("https://htcinstrument.com/wp-content/uploads/2021/05/AVM-06L.jpg",1)</f>
        <v/>
      </c>
      <c r="AF306" s="358" t="s">
        <v>1724</v>
      </c>
      <c r="AG306" s="359"/>
      <c r="AH306" s="336"/>
      <c r="AI306" s="360"/>
      <c r="AJ306" s="222"/>
      <c r="AK306" s="222">
        <v>3.0</v>
      </c>
    </row>
    <row r="307" ht="40.5" customHeight="1">
      <c r="A307" s="11">
        <v>306.0</v>
      </c>
      <c r="B307" s="222" t="s">
        <v>1152</v>
      </c>
      <c r="C307" s="222" t="s">
        <v>1277</v>
      </c>
      <c r="D307" s="232" t="s">
        <v>1278</v>
      </c>
      <c r="E307" s="233" t="s">
        <v>1032</v>
      </c>
      <c r="F307" s="222">
        <v>1.0</v>
      </c>
      <c r="G307" s="11" t="s">
        <v>2050</v>
      </c>
      <c r="H307" s="222">
        <v>1.0</v>
      </c>
      <c r="I307" s="763" t="b">
        <v>0</v>
      </c>
      <c r="J307" s="763" t="b">
        <v>0</v>
      </c>
      <c r="K307" s="763" t="b">
        <v>0</v>
      </c>
      <c r="L307" s="763" t="b">
        <v>0</v>
      </c>
      <c r="M307" s="763" t="b">
        <v>0</v>
      </c>
      <c r="N307" s="763" t="b">
        <v>0</v>
      </c>
      <c r="O307" s="763" t="b">
        <v>0</v>
      </c>
      <c r="P307" s="763" t="b">
        <v>0</v>
      </c>
      <c r="Q307" s="763" t="b">
        <v>0</v>
      </c>
      <c r="R307" s="763" t="b">
        <v>0</v>
      </c>
      <c r="S307" s="763" t="b">
        <v>0</v>
      </c>
      <c r="T307" s="763" t="b">
        <v>0</v>
      </c>
      <c r="U307" s="763" t="b">
        <v>0</v>
      </c>
      <c r="V307" s="763" t="b">
        <v>0</v>
      </c>
      <c r="W307" s="763" t="b">
        <v>0</v>
      </c>
      <c r="X307" s="222">
        <v>3000.0</v>
      </c>
      <c r="Y307" s="222">
        <f t="shared" si="15"/>
        <v>3000</v>
      </c>
      <c r="Z307" s="222" t="s">
        <v>347</v>
      </c>
      <c r="AA307" s="232"/>
      <c r="AB307" s="232"/>
      <c r="AC307" s="232" t="s">
        <v>1964</v>
      </c>
      <c r="AD307" s="235"/>
      <c r="AE307" s="222" t="str">
        <f>IMAGE("https://www.toolworld.in/storage/media/product/1696831532.jpg",1)</f>
        <v/>
      </c>
      <c r="AF307" s="358" t="s">
        <v>1724</v>
      </c>
      <c r="AG307" s="359"/>
      <c r="AH307" s="336"/>
      <c r="AI307" s="360"/>
      <c r="AJ307" s="222"/>
      <c r="AK307" s="222">
        <v>3.0</v>
      </c>
    </row>
    <row r="308" ht="40.5" customHeight="1">
      <c r="A308" s="11">
        <v>307.0</v>
      </c>
      <c r="B308" s="222" t="s">
        <v>1152</v>
      </c>
      <c r="C308" s="222" t="s">
        <v>1280</v>
      </c>
      <c r="D308" s="232" t="s">
        <v>1281</v>
      </c>
      <c r="E308" s="233" t="s">
        <v>1250</v>
      </c>
      <c r="F308" s="222">
        <v>1.0</v>
      </c>
      <c r="G308" s="11" t="s">
        <v>2124</v>
      </c>
      <c r="H308" s="222">
        <v>1.0</v>
      </c>
      <c r="I308" s="763" t="b">
        <v>0</v>
      </c>
      <c r="J308" s="763" t="b">
        <v>0</v>
      </c>
      <c r="K308" s="763" t="b">
        <v>0</v>
      </c>
      <c r="L308" s="763" t="b">
        <v>0</v>
      </c>
      <c r="M308" s="763" t="b">
        <v>0</v>
      </c>
      <c r="N308" s="763" t="b">
        <v>0</v>
      </c>
      <c r="O308" s="763" t="b">
        <v>0</v>
      </c>
      <c r="P308" s="763" t="b">
        <v>0</v>
      </c>
      <c r="Q308" s="763" t="b">
        <v>0</v>
      </c>
      <c r="R308" s="763" t="b">
        <v>0</v>
      </c>
      <c r="S308" s="763" t="b">
        <v>0</v>
      </c>
      <c r="T308" s="763" t="b">
        <v>0</v>
      </c>
      <c r="U308" s="763" t="b">
        <v>0</v>
      </c>
      <c r="V308" s="763" t="b">
        <v>0</v>
      </c>
      <c r="W308" s="763" t="b">
        <v>0</v>
      </c>
      <c r="X308" s="222">
        <v>1700.0</v>
      </c>
      <c r="Y308" s="222">
        <f t="shared" si="15"/>
        <v>1700</v>
      </c>
      <c r="Z308" s="222" t="s">
        <v>1157</v>
      </c>
      <c r="AA308" s="232" t="s">
        <v>47</v>
      </c>
      <c r="AB308" s="232"/>
      <c r="AC308" s="232" t="s">
        <v>1964</v>
      </c>
      <c r="AD308" s="235" t="s">
        <v>1282</v>
      </c>
      <c r="AE308" s="222" t="str">
        <f>IMAGE("https://www.toolworld.in/storage/media/product/UT382-1.jpg",1)</f>
        <v/>
      </c>
      <c r="AF308" s="358" t="s">
        <v>1724</v>
      </c>
      <c r="AG308" s="359"/>
      <c r="AH308" s="336"/>
      <c r="AI308" s="360"/>
      <c r="AJ308" s="222"/>
      <c r="AK308" s="222">
        <v>3.0</v>
      </c>
    </row>
    <row r="309" ht="40.5" customHeight="1">
      <c r="A309" s="11">
        <v>308.0</v>
      </c>
      <c r="B309" s="11" t="s">
        <v>1152</v>
      </c>
      <c r="C309" s="11" t="s">
        <v>1284</v>
      </c>
      <c r="D309" s="93" t="s">
        <v>1285</v>
      </c>
      <c r="E309" s="215" t="s">
        <v>1250</v>
      </c>
      <c r="F309" s="11">
        <v>1.0</v>
      </c>
      <c r="G309" s="11" t="s">
        <v>2124</v>
      </c>
      <c r="H309" s="11">
        <v>1.0</v>
      </c>
      <c r="I309" s="763" t="b">
        <v>0</v>
      </c>
      <c r="J309" s="763" t="b">
        <v>0</v>
      </c>
      <c r="K309" s="763" t="b">
        <v>0</v>
      </c>
      <c r="L309" s="763" t="b">
        <v>0</v>
      </c>
      <c r="M309" s="763" t="b">
        <v>0</v>
      </c>
      <c r="N309" s="763" t="b">
        <v>0</v>
      </c>
      <c r="O309" s="763" t="b">
        <v>0</v>
      </c>
      <c r="P309" s="763" t="b">
        <v>0</v>
      </c>
      <c r="Q309" s="763" t="b">
        <v>0</v>
      </c>
      <c r="R309" s="763" t="b">
        <v>0</v>
      </c>
      <c r="S309" s="763" t="b">
        <v>0</v>
      </c>
      <c r="T309" s="763" t="b">
        <v>0</v>
      </c>
      <c r="U309" s="763" t="b">
        <v>0</v>
      </c>
      <c r="V309" s="763" t="b">
        <v>0</v>
      </c>
      <c r="W309" s="763" t="b">
        <v>0</v>
      </c>
      <c r="X309" s="11">
        <v>3000.0</v>
      </c>
      <c r="Y309" s="11">
        <f t="shared" si="15"/>
        <v>3000</v>
      </c>
      <c r="Z309" s="11" t="s">
        <v>1157</v>
      </c>
      <c r="AA309" s="93"/>
      <c r="AB309" s="93"/>
      <c r="AC309" s="93" t="s">
        <v>1964</v>
      </c>
      <c r="AD309" s="217"/>
      <c r="AE309" s="11"/>
      <c r="AF309" s="78" t="s">
        <v>1726</v>
      </c>
      <c r="AG309" s="74"/>
      <c r="AH309" s="75"/>
      <c r="AI309" s="12"/>
      <c r="AJ309" s="11"/>
      <c r="AK309" s="11">
        <v>3.0</v>
      </c>
    </row>
    <row r="310" ht="40.5" customHeight="1">
      <c r="A310" s="11">
        <v>309.0</v>
      </c>
      <c r="B310" s="222" t="s">
        <v>1152</v>
      </c>
      <c r="C310" s="222" t="s">
        <v>1287</v>
      </c>
      <c r="D310" s="232" t="s">
        <v>1288</v>
      </c>
      <c r="E310" s="233" t="s">
        <v>1250</v>
      </c>
      <c r="F310" s="222">
        <v>1.0</v>
      </c>
      <c r="G310" s="11" t="s">
        <v>2124</v>
      </c>
      <c r="H310" s="222">
        <v>1.0</v>
      </c>
      <c r="I310" s="763" t="b">
        <v>0</v>
      </c>
      <c r="J310" s="763" t="b">
        <v>0</v>
      </c>
      <c r="K310" s="763" t="b">
        <v>0</v>
      </c>
      <c r="L310" s="763" t="b">
        <v>0</v>
      </c>
      <c r="M310" s="763" t="b">
        <v>0</v>
      </c>
      <c r="N310" s="763" t="b">
        <v>0</v>
      </c>
      <c r="O310" s="763" t="b">
        <v>0</v>
      </c>
      <c r="P310" s="763" t="b">
        <v>0</v>
      </c>
      <c r="Q310" s="763" t="b">
        <v>0</v>
      </c>
      <c r="R310" s="763" t="b">
        <v>0</v>
      </c>
      <c r="S310" s="763" t="b">
        <v>0</v>
      </c>
      <c r="T310" s="763" t="b">
        <v>0</v>
      </c>
      <c r="U310" s="763" t="b">
        <v>0</v>
      </c>
      <c r="V310" s="763" t="b">
        <v>0</v>
      </c>
      <c r="W310" s="763" t="b">
        <v>0</v>
      </c>
      <c r="X310" s="222">
        <v>1000.0</v>
      </c>
      <c r="Y310" s="222">
        <f t="shared" si="15"/>
        <v>1000</v>
      </c>
      <c r="Z310" s="222" t="s">
        <v>1157</v>
      </c>
      <c r="AA310" s="232"/>
      <c r="AB310" s="232"/>
      <c r="AC310" s="232" t="s">
        <v>1964</v>
      </c>
      <c r="AD310" s="235"/>
      <c r="AE310" s="222" t="str">
        <f>IMAGE("https://m.media-amazon.com/images/I/41d6N8TdSTL._SL1001_.jpg",1)</f>
        <v/>
      </c>
      <c r="AF310" s="358"/>
      <c r="AG310" s="359"/>
      <c r="AH310" s="336"/>
      <c r="AI310" s="360"/>
      <c r="AJ310" s="222"/>
      <c r="AK310" s="222">
        <v>3.0</v>
      </c>
    </row>
    <row r="311" ht="40.5" customHeight="1">
      <c r="A311" s="11">
        <v>310.0</v>
      </c>
      <c r="B311" s="222" t="s">
        <v>1152</v>
      </c>
      <c r="C311" s="222" t="s">
        <v>1290</v>
      </c>
      <c r="D311" s="232" t="s">
        <v>1291</v>
      </c>
      <c r="E311" s="233" t="s">
        <v>1250</v>
      </c>
      <c r="F311" s="222">
        <v>1.0</v>
      </c>
      <c r="G311" s="11" t="s">
        <v>2124</v>
      </c>
      <c r="H311" s="222">
        <v>1.0</v>
      </c>
      <c r="I311" s="763" t="b">
        <v>0</v>
      </c>
      <c r="J311" s="763" t="b">
        <v>0</v>
      </c>
      <c r="K311" s="763" t="b">
        <v>0</v>
      </c>
      <c r="L311" s="763" t="b">
        <v>0</v>
      </c>
      <c r="M311" s="763" t="b">
        <v>0</v>
      </c>
      <c r="N311" s="763" t="b">
        <v>0</v>
      </c>
      <c r="O311" s="763" t="b">
        <v>0</v>
      </c>
      <c r="P311" s="763" t="b">
        <v>0</v>
      </c>
      <c r="Q311" s="763" t="b">
        <v>0</v>
      </c>
      <c r="R311" s="763" t="b">
        <v>0</v>
      </c>
      <c r="S311" s="763" t="b">
        <v>0</v>
      </c>
      <c r="T311" s="763" t="b">
        <v>0</v>
      </c>
      <c r="U311" s="763" t="b">
        <v>0</v>
      </c>
      <c r="V311" s="763" t="b">
        <v>0</v>
      </c>
      <c r="W311" s="763" t="b">
        <v>0</v>
      </c>
      <c r="X311" s="222">
        <v>1500.0</v>
      </c>
      <c r="Y311" s="222">
        <f t="shared" si="15"/>
        <v>1500</v>
      </c>
      <c r="Z311" s="222" t="s">
        <v>1157</v>
      </c>
      <c r="AA311" s="232" t="s">
        <v>47</v>
      </c>
      <c r="AB311" s="232"/>
      <c r="AC311" s="232" t="s">
        <v>1964</v>
      </c>
      <c r="AD311" s="235"/>
      <c r="AE311" s="222" t="str">
        <f>IMAGE("https://htcinstrument.com/wp-content/uploads/2021/06/SL-1350L.jpg",1)</f>
        <v/>
      </c>
      <c r="AF311" s="358" t="s">
        <v>1724</v>
      </c>
      <c r="AG311" s="359"/>
      <c r="AH311" s="336"/>
      <c r="AI311" s="360"/>
      <c r="AJ311" s="222"/>
      <c r="AK311" s="222">
        <v>3.0</v>
      </c>
    </row>
    <row r="312" ht="40.5" customHeight="1">
      <c r="A312" s="11">
        <v>311.0</v>
      </c>
      <c r="B312" s="222" t="s">
        <v>1152</v>
      </c>
      <c r="C312" s="222" t="s">
        <v>1293</v>
      </c>
      <c r="D312" s="232" t="s">
        <v>1294</v>
      </c>
      <c r="E312" s="233" t="s">
        <v>1250</v>
      </c>
      <c r="F312" s="222">
        <v>1.0</v>
      </c>
      <c r="G312" s="11" t="s">
        <v>2124</v>
      </c>
      <c r="H312" s="222">
        <v>1.0</v>
      </c>
      <c r="I312" s="763" t="b">
        <v>0</v>
      </c>
      <c r="J312" s="763" t="b">
        <v>0</v>
      </c>
      <c r="K312" s="763" t="b">
        <v>0</v>
      </c>
      <c r="L312" s="763" t="b">
        <v>0</v>
      </c>
      <c r="M312" s="763" t="b">
        <v>0</v>
      </c>
      <c r="N312" s="763" t="b">
        <v>0</v>
      </c>
      <c r="O312" s="763" t="b">
        <v>0</v>
      </c>
      <c r="P312" s="763" t="b">
        <v>0</v>
      </c>
      <c r="Q312" s="763" t="b">
        <v>0</v>
      </c>
      <c r="R312" s="763" t="b">
        <v>0</v>
      </c>
      <c r="S312" s="763" t="b">
        <v>0</v>
      </c>
      <c r="T312" s="763" t="b">
        <v>0</v>
      </c>
      <c r="U312" s="763" t="b">
        <v>0</v>
      </c>
      <c r="V312" s="763" t="b">
        <v>0</v>
      </c>
      <c r="W312" s="763" t="b">
        <v>0</v>
      </c>
      <c r="X312" s="222">
        <v>2000.0</v>
      </c>
      <c r="Y312" s="222">
        <f t="shared" si="15"/>
        <v>2000</v>
      </c>
      <c r="Z312" s="222" t="s">
        <v>1157</v>
      </c>
      <c r="AA312" s="232" t="s">
        <v>47</v>
      </c>
      <c r="AB312" s="232"/>
      <c r="AC312" s="232" t="s">
        <v>1964</v>
      </c>
      <c r="AD312" s="235" t="s">
        <v>1295</v>
      </c>
      <c r="AE312" s="222" t="str">
        <f>IMAGE("https://htcinstrument.com/wp-content/uploads/2021/04/HT-306L.jpg",1)</f>
        <v/>
      </c>
      <c r="AF312" s="358" t="s">
        <v>1724</v>
      </c>
      <c r="AG312" s="359"/>
      <c r="AH312" s="336"/>
      <c r="AI312" s="360"/>
      <c r="AJ312" s="222"/>
      <c r="AK312" s="222">
        <v>3.0</v>
      </c>
    </row>
    <row r="313" ht="40.5" customHeight="1">
      <c r="A313" s="11">
        <v>312.0</v>
      </c>
      <c r="B313" s="11" t="s">
        <v>1152</v>
      </c>
      <c r="C313" s="11" t="s">
        <v>1297</v>
      </c>
      <c r="D313" s="93" t="s">
        <v>1976</v>
      </c>
      <c r="E313" s="215" t="s">
        <v>1250</v>
      </c>
      <c r="F313" s="216">
        <v>20.0</v>
      </c>
      <c r="G313" s="11" t="s">
        <v>2125</v>
      </c>
      <c r="H313" s="216">
        <v>20.0</v>
      </c>
      <c r="I313" s="763" t="b">
        <v>0</v>
      </c>
      <c r="J313" s="763" t="b">
        <v>0</v>
      </c>
      <c r="K313" s="763" t="b">
        <v>0</v>
      </c>
      <c r="L313" s="763" t="b">
        <v>0</v>
      </c>
      <c r="M313" s="763" t="b">
        <v>0</v>
      </c>
      <c r="N313" s="763" t="b">
        <v>0</v>
      </c>
      <c r="O313" s="763" t="b">
        <v>0</v>
      </c>
      <c r="P313" s="763" t="b">
        <v>0</v>
      </c>
      <c r="Q313" s="763" t="b">
        <v>0</v>
      </c>
      <c r="R313" s="763" t="b">
        <v>0</v>
      </c>
      <c r="S313" s="763" t="b">
        <v>0</v>
      </c>
      <c r="T313" s="763" t="b">
        <v>0</v>
      </c>
      <c r="U313" s="763" t="b">
        <v>0</v>
      </c>
      <c r="V313" s="763" t="b">
        <v>0</v>
      </c>
      <c r="W313" s="763" t="b">
        <v>0</v>
      </c>
      <c r="X313" s="216">
        <v>2500.0</v>
      </c>
      <c r="Y313" s="11">
        <f t="shared" si="15"/>
        <v>50000</v>
      </c>
      <c r="Z313" s="11" t="s">
        <v>1157</v>
      </c>
      <c r="AA313" s="93"/>
      <c r="AB313" s="93" t="s">
        <v>2008</v>
      </c>
      <c r="AC313" s="93" t="s">
        <v>1971</v>
      </c>
      <c r="AD313" s="217" t="s">
        <v>1299</v>
      </c>
      <c r="AE313" s="11" t="str">
        <f>IMAGE("https://m.media-amazon.com/images/I/71O3EMayekL.jpg",1)</f>
        <v/>
      </c>
      <c r="AF313" s="73" t="s">
        <v>1684</v>
      </c>
      <c r="AG313" s="74">
        <v>1200.0</v>
      </c>
      <c r="AH313" s="75"/>
      <c r="AI313" s="12"/>
      <c r="AJ313" s="11"/>
      <c r="AK313" s="11">
        <v>1.0</v>
      </c>
    </row>
    <row r="314" ht="40.5" customHeight="1">
      <c r="A314" s="11">
        <v>313.0</v>
      </c>
      <c r="B314" s="11" t="s">
        <v>1152</v>
      </c>
      <c r="C314" s="11" t="s">
        <v>1301</v>
      </c>
      <c r="D314" s="93" t="s">
        <v>1302</v>
      </c>
      <c r="E314" s="215" t="s">
        <v>1250</v>
      </c>
      <c r="F314" s="216">
        <v>1.0</v>
      </c>
      <c r="G314" s="11" t="s">
        <v>2027</v>
      </c>
      <c r="H314" s="216">
        <v>1.0</v>
      </c>
      <c r="I314" s="763" t="b">
        <v>0</v>
      </c>
      <c r="J314" s="763" t="b">
        <v>0</v>
      </c>
      <c r="K314" s="763" t="b">
        <v>0</v>
      </c>
      <c r="L314" s="763" t="b">
        <v>0</v>
      </c>
      <c r="M314" s="763" t="b">
        <v>0</v>
      </c>
      <c r="N314" s="763" t="b">
        <v>0</v>
      </c>
      <c r="O314" s="763" t="b">
        <v>0</v>
      </c>
      <c r="P314" s="763" t="b">
        <v>0</v>
      </c>
      <c r="Q314" s="763" t="b">
        <v>0</v>
      </c>
      <c r="R314" s="763" t="b">
        <v>0</v>
      </c>
      <c r="S314" s="763" t="b">
        <v>0</v>
      </c>
      <c r="T314" s="763" t="b">
        <v>0</v>
      </c>
      <c r="U314" s="763" t="b">
        <v>0</v>
      </c>
      <c r="V314" s="763" t="b">
        <v>0</v>
      </c>
      <c r="W314" s="763" t="b">
        <v>0</v>
      </c>
      <c r="X314" s="216">
        <v>1500.0</v>
      </c>
      <c r="Y314" s="11">
        <f t="shared" si="15"/>
        <v>1500</v>
      </c>
      <c r="Z314" s="11" t="s">
        <v>1157</v>
      </c>
      <c r="AA314" s="93" t="s">
        <v>47</v>
      </c>
      <c r="AB314" s="93"/>
      <c r="AC314" s="93" t="s">
        <v>1975</v>
      </c>
      <c r="AD314" s="217" t="s">
        <v>1303</v>
      </c>
      <c r="AE314" s="11" t="str">
        <f>IMAGE("https://5.imimg.com/data5/XG/YW/VV/SELLER-219478/hot-plate-round-250x250.jpg",1)</f>
        <v/>
      </c>
      <c r="AF314" s="73" t="s">
        <v>1684</v>
      </c>
      <c r="AG314" s="74">
        <v>60.0</v>
      </c>
      <c r="AH314" s="75"/>
      <c r="AI314" s="12"/>
      <c r="AJ314" s="11"/>
      <c r="AK314" s="11">
        <v>3.0</v>
      </c>
    </row>
    <row r="315" ht="40.5" customHeight="1">
      <c r="A315" s="11">
        <v>314.0</v>
      </c>
      <c r="B315" s="11" t="s">
        <v>1152</v>
      </c>
      <c r="C315" s="11" t="s">
        <v>1305</v>
      </c>
      <c r="D315" s="93" t="s">
        <v>1306</v>
      </c>
      <c r="E315" s="215" t="s">
        <v>1250</v>
      </c>
      <c r="F315" s="216">
        <v>1.0</v>
      </c>
      <c r="G315" s="11" t="s">
        <v>2027</v>
      </c>
      <c r="H315" s="216">
        <v>1.0</v>
      </c>
      <c r="I315" s="763" t="b">
        <v>0</v>
      </c>
      <c r="J315" s="763" t="b">
        <v>0</v>
      </c>
      <c r="K315" s="763" t="b">
        <v>0</v>
      </c>
      <c r="L315" s="763" t="b">
        <v>0</v>
      </c>
      <c r="M315" s="763" t="b">
        <v>0</v>
      </c>
      <c r="N315" s="763" t="b">
        <v>0</v>
      </c>
      <c r="O315" s="763" t="b">
        <v>0</v>
      </c>
      <c r="P315" s="763" t="b">
        <v>0</v>
      </c>
      <c r="Q315" s="763" t="b">
        <v>0</v>
      </c>
      <c r="R315" s="763" t="b">
        <v>0</v>
      </c>
      <c r="S315" s="763" t="b">
        <v>0</v>
      </c>
      <c r="T315" s="763" t="b">
        <v>0</v>
      </c>
      <c r="U315" s="763" t="b">
        <v>0</v>
      </c>
      <c r="V315" s="763" t="b">
        <v>0</v>
      </c>
      <c r="W315" s="763" t="b">
        <v>0</v>
      </c>
      <c r="X315" s="216">
        <v>500.0</v>
      </c>
      <c r="Y315" s="11">
        <f t="shared" si="15"/>
        <v>500</v>
      </c>
      <c r="Z315" s="11" t="s">
        <v>1157</v>
      </c>
      <c r="AA315" s="93"/>
      <c r="AB315" s="93"/>
      <c r="AC315" s="93" t="s">
        <v>1964</v>
      </c>
      <c r="AD315" s="217" t="s">
        <v>1307</v>
      </c>
      <c r="AE315" s="11" t="str">
        <f>IMAGE("https://image.made-in-china.com/202f0j00DeSTmvGBnZpR/Electronic-Weighing-Scale-Digital-Scale-of-High-Precision-HWA-.jpg",1)</f>
        <v/>
      </c>
      <c r="AF315" s="73" t="s">
        <v>1684</v>
      </c>
      <c r="AG315" s="74"/>
      <c r="AH315" s="75"/>
      <c r="AI315" s="12"/>
      <c r="AJ315" s="11"/>
      <c r="AK315" s="11">
        <v>3.0</v>
      </c>
    </row>
    <row r="316" ht="40.5" customHeight="1">
      <c r="A316" s="11">
        <v>315.0</v>
      </c>
      <c r="B316" s="222" t="s">
        <v>1152</v>
      </c>
      <c r="C316" s="222" t="s">
        <v>1309</v>
      </c>
      <c r="D316" s="232" t="s">
        <v>1310</v>
      </c>
      <c r="E316" s="233" t="s">
        <v>1250</v>
      </c>
      <c r="F316" s="234">
        <v>1.0</v>
      </c>
      <c r="G316" s="11" t="s">
        <v>2027</v>
      </c>
      <c r="H316" s="234">
        <v>1.0</v>
      </c>
      <c r="I316" s="763" t="b">
        <v>0</v>
      </c>
      <c r="J316" s="763" t="b">
        <v>0</v>
      </c>
      <c r="K316" s="763" t="b">
        <v>0</v>
      </c>
      <c r="L316" s="763" t="b">
        <v>0</v>
      </c>
      <c r="M316" s="763" t="b">
        <v>0</v>
      </c>
      <c r="N316" s="763" t="b">
        <v>0</v>
      </c>
      <c r="O316" s="763" t="b">
        <v>0</v>
      </c>
      <c r="P316" s="763" t="b">
        <v>0</v>
      </c>
      <c r="Q316" s="763" t="b">
        <v>0</v>
      </c>
      <c r="R316" s="763" t="b">
        <v>0</v>
      </c>
      <c r="S316" s="763" t="b">
        <v>0</v>
      </c>
      <c r="T316" s="763" t="b">
        <v>0</v>
      </c>
      <c r="U316" s="763" t="b">
        <v>0</v>
      </c>
      <c r="V316" s="763" t="b">
        <v>0</v>
      </c>
      <c r="W316" s="763" t="b">
        <v>0</v>
      </c>
      <c r="X316" s="234">
        <v>500.0</v>
      </c>
      <c r="Y316" s="222">
        <f t="shared" si="15"/>
        <v>500</v>
      </c>
      <c r="Z316" s="222" t="s">
        <v>1157</v>
      </c>
      <c r="AA316" s="232" t="s">
        <v>47</v>
      </c>
      <c r="AB316" s="232" t="s">
        <v>2052</v>
      </c>
      <c r="AC316" s="232" t="s">
        <v>1964</v>
      </c>
      <c r="AD316" s="235" t="s">
        <v>1311</v>
      </c>
      <c r="AE316" s="222" t="str">
        <f>IMAGE("https://m.media-amazon.com/images/I/71-uBViGV+L._SX522_.jpg",1)</f>
        <v/>
      </c>
      <c r="AF316" s="619" t="s">
        <v>1724</v>
      </c>
      <c r="AG316" s="359"/>
      <c r="AH316" s="336"/>
      <c r="AI316" s="360"/>
      <c r="AJ316" s="222"/>
      <c r="AK316" s="222">
        <v>3.0</v>
      </c>
    </row>
    <row r="317" ht="40.5" customHeight="1">
      <c r="A317" s="11">
        <v>316.0</v>
      </c>
      <c r="B317" s="11" t="s">
        <v>1152</v>
      </c>
      <c r="C317" s="11" t="s">
        <v>1313</v>
      </c>
      <c r="D317" s="93" t="s">
        <v>1314</v>
      </c>
      <c r="E317" s="215" t="s">
        <v>1250</v>
      </c>
      <c r="F317" s="11">
        <v>1.0</v>
      </c>
      <c r="G317" s="11" t="s">
        <v>2027</v>
      </c>
      <c r="H317" s="11">
        <v>1.0</v>
      </c>
      <c r="I317" s="763" t="b">
        <v>0</v>
      </c>
      <c r="J317" s="763" t="b">
        <v>0</v>
      </c>
      <c r="K317" s="763" t="b">
        <v>0</v>
      </c>
      <c r="L317" s="763" t="b">
        <v>0</v>
      </c>
      <c r="M317" s="763" t="b">
        <v>0</v>
      </c>
      <c r="N317" s="763" t="b">
        <v>0</v>
      </c>
      <c r="O317" s="763" t="b">
        <v>0</v>
      </c>
      <c r="P317" s="763" t="b">
        <v>0</v>
      </c>
      <c r="Q317" s="763" t="b">
        <v>0</v>
      </c>
      <c r="R317" s="763" t="b">
        <v>0</v>
      </c>
      <c r="S317" s="763" t="b">
        <v>0</v>
      </c>
      <c r="T317" s="763" t="b">
        <v>0</v>
      </c>
      <c r="U317" s="763" t="b">
        <v>0</v>
      </c>
      <c r="V317" s="763" t="b">
        <v>0</v>
      </c>
      <c r="W317" s="763" t="b">
        <v>0</v>
      </c>
      <c r="X317" s="11">
        <v>12500.0</v>
      </c>
      <c r="Y317" s="11">
        <f t="shared" si="15"/>
        <v>12500</v>
      </c>
      <c r="Z317" s="11" t="s">
        <v>1157</v>
      </c>
      <c r="AA317" s="93"/>
      <c r="AB317" s="93"/>
      <c r="AC317" s="93" t="s">
        <v>1971</v>
      </c>
      <c r="AD317" s="217" t="s">
        <v>1315</v>
      </c>
      <c r="AE317" s="11" t="str">
        <f>IMAGE("https://m.media-amazon.com/images/I/61MstERkLZL._SL1500_.jpg",1)</f>
        <v/>
      </c>
      <c r="AF317" s="78"/>
      <c r="AG317" s="74"/>
      <c r="AH317" s="75"/>
      <c r="AI317" s="12"/>
      <c r="AJ317" s="11"/>
      <c r="AK317" s="11">
        <v>3.0</v>
      </c>
    </row>
    <row r="318" ht="40.5" customHeight="1">
      <c r="A318" s="11">
        <v>317.0</v>
      </c>
      <c r="B318" s="222" t="s">
        <v>1152</v>
      </c>
      <c r="C318" s="222" t="s">
        <v>1317</v>
      </c>
      <c r="D318" s="232" t="s">
        <v>1318</v>
      </c>
      <c r="E318" s="233" t="s">
        <v>1250</v>
      </c>
      <c r="F318" s="234">
        <v>2.0</v>
      </c>
      <c r="G318" s="11" t="s">
        <v>2050</v>
      </c>
      <c r="H318" s="234">
        <v>2.0</v>
      </c>
      <c r="I318" s="763" t="b">
        <v>0</v>
      </c>
      <c r="J318" s="763" t="b">
        <v>0</v>
      </c>
      <c r="K318" s="763" t="b">
        <v>0</v>
      </c>
      <c r="L318" s="763" t="b">
        <v>0</v>
      </c>
      <c r="M318" s="763" t="b">
        <v>0</v>
      </c>
      <c r="N318" s="763" t="b">
        <v>0</v>
      </c>
      <c r="O318" s="763" t="b">
        <v>0</v>
      </c>
      <c r="P318" s="763" t="b">
        <v>0</v>
      </c>
      <c r="Q318" s="763" t="b">
        <v>0</v>
      </c>
      <c r="R318" s="763" t="b">
        <v>0</v>
      </c>
      <c r="S318" s="763" t="b">
        <v>0</v>
      </c>
      <c r="T318" s="763" t="b">
        <v>0</v>
      </c>
      <c r="U318" s="763" t="b">
        <v>0</v>
      </c>
      <c r="V318" s="763" t="b">
        <v>0</v>
      </c>
      <c r="W318" s="763" t="b">
        <v>0</v>
      </c>
      <c r="X318" s="234">
        <v>160.0</v>
      </c>
      <c r="Y318" s="222">
        <f t="shared" si="15"/>
        <v>320</v>
      </c>
      <c r="Z318" s="222" t="s">
        <v>347</v>
      </c>
      <c r="AA318" s="232"/>
      <c r="AB318" s="232" t="s">
        <v>2052</v>
      </c>
      <c r="AC318" s="232" t="s">
        <v>1964</v>
      </c>
      <c r="AD318" s="235" t="s">
        <v>1319</v>
      </c>
      <c r="AE318" s="222" t="str">
        <f>IMAGE("https://5.imimg.com/data5/UM/JA/MY-39609002/screw-gauge-500x500.jpg",1)</f>
        <v/>
      </c>
      <c r="AF318" s="358"/>
      <c r="AG318" s="359"/>
      <c r="AH318" s="336"/>
      <c r="AI318" s="360"/>
      <c r="AJ318" s="222"/>
      <c r="AK318" s="222">
        <v>3.0</v>
      </c>
    </row>
    <row r="319" ht="40.5" customHeight="1">
      <c r="A319" s="11">
        <v>318.0</v>
      </c>
      <c r="B319" s="222" t="s">
        <v>1152</v>
      </c>
      <c r="C319" s="222" t="s">
        <v>1321</v>
      </c>
      <c r="D319" s="232" t="s">
        <v>1322</v>
      </c>
      <c r="E319" s="233" t="s">
        <v>1250</v>
      </c>
      <c r="F319" s="234">
        <v>1.0</v>
      </c>
      <c r="G319" s="11" t="s">
        <v>2027</v>
      </c>
      <c r="H319" s="234">
        <v>1.0</v>
      </c>
      <c r="I319" s="763" t="b">
        <v>0</v>
      </c>
      <c r="J319" s="763" t="b">
        <v>0</v>
      </c>
      <c r="K319" s="763" t="b">
        <v>0</v>
      </c>
      <c r="L319" s="763" t="b">
        <v>0</v>
      </c>
      <c r="M319" s="763" t="b">
        <v>0</v>
      </c>
      <c r="N319" s="763" t="b">
        <v>0</v>
      </c>
      <c r="O319" s="763" t="b">
        <v>0</v>
      </c>
      <c r="P319" s="763" t="b">
        <v>0</v>
      </c>
      <c r="Q319" s="763" t="b">
        <v>0</v>
      </c>
      <c r="R319" s="763" t="b">
        <v>0</v>
      </c>
      <c r="S319" s="763" t="b">
        <v>0</v>
      </c>
      <c r="T319" s="763" t="b">
        <v>0</v>
      </c>
      <c r="U319" s="763" t="b">
        <v>0</v>
      </c>
      <c r="V319" s="763" t="b">
        <v>0</v>
      </c>
      <c r="W319" s="763" t="b">
        <v>0</v>
      </c>
      <c r="X319" s="234">
        <v>1000.0</v>
      </c>
      <c r="Y319" s="222">
        <f t="shared" si="15"/>
        <v>1000</v>
      </c>
      <c r="Z319" s="222" t="s">
        <v>1157</v>
      </c>
      <c r="AA319" s="232"/>
      <c r="AB319" s="232" t="s">
        <v>2052</v>
      </c>
      <c r="AC319" s="232" t="s">
        <v>1971</v>
      </c>
      <c r="AD319" s="235"/>
      <c r="AE319" s="222" t="str">
        <f>IMAGE("https://m.media-amazon.com/images/I/61yYBr4qxBL._SL1276_.jpg",1)</f>
        <v/>
      </c>
      <c r="AF319" s="619" t="s">
        <v>1684</v>
      </c>
      <c r="AG319" s="359">
        <v>120.0</v>
      </c>
      <c r="AH319" s="336"/>
      <c r="AI319" s="360"/>
      <c r="AJ319" s="222"/>
      <c r="AK319" s="222">
        <v>3.0</v>
      </c>
    </row>
    <row r="320" ht="40.5" customHeight="1">
      <c r="A320" s="11">
        <v>319.0</v>
      </c>
      <c r="B320" s="11" t="s">
        <v>342</v>
      </c>
      <c r="C320" s="11" t="s">
        <v>1324</v>
      </c>
      <c r="D320" s="93" t="s">
        <v>1325</v>
      </c>
      <c r="E320" s="215" t="s">
        <v>1250</v>
      </c>
      <c r="F320" s="216">
        <v>1.0</v>
      </c>
      <c r="G320" s="11" t="s">
        <v>2050</v>
      </c>
      <c r="H320" s="216">
        <v>1.0</v>
      </c>
      <c r="I320" s="763" t="b">
        <v>0</v>
      </c>
      <c r="J320" s="763" t="b">
        <v>0</v>
      </c>
      <c r="K320" s="763" t="b">
        <v>0</v>
      </c>
      <c r="L320" s="763" t="b">
        <v>0</v>
      </c>
      <c r="M320" s="763" t="b">
        <v>0</v>
      </c>
      <c r="N320" s="763" t="b">
        <v>0</v>
      </c>
      <c r="O320" s="763" t="b">
        <v>0</v>
      </c>
      <c r="P320" s="763" t="b">
        <v>0</v>
      </c>
      <c r="Q320" s="763" t="b">
        <v>0</v>
      </c>
      <c r="R320" s="763" t="b">
        <v>0</v>
      </c>
      <c r="S320" s="763" t="b">
        <v>0</v>
      </c>
      <c r="T320" s="763" t="b">
        <v>0</v>
      </c>
      <c r="U320" s="763" t="b">
        <v>0</v>
      </c>
      <c r="V320" s="763" t="b">
        <v>0</v>
      </c>
      <c r="W320" s="763" t="b">
        <v>0</v>
      </c>
      <c r="X320" s="216">
        <v>2000.0</v>
      </c>
      <c r="Y320" s="11">
        <f t="shared" si="15"/>
        <v>2000</v>
      </c>
      <c r="Z320" s="11" t="s">
        <v>347</v>
      </c>
      <c r="AA320" s="93"/>
      <c r="AB320" s="93"/>
      <c r="AC320" s="93" t="s">
        <v>1964</v>
      </c>
      <c r="AD320" s="217" t="s">
        <v>1326</v>
      </c>
      <c r="AE320" s="11" t="e">
        <v>#VALUE!</v>
      </c>
      <c r="AF320" s="73" t="s">
        <v>1684</v>
      </c>
      <c r="AG320" s="74">
        <v>60.0</v>
      </c>
      <c r="AH320" s="75"/>
      <c r="AI320" s="12"/>
      <c r="AJ320" s="11"/>
      <c r="AK320" s="11">
        <v>3.0</v>
      </c>
    </row>
    <row r="321" ht="40.5" customHeight="1">
      <c r="A321" s="11">
        <v>320.0</v>
      </c>
      <c r="B321" s="11" t="s">
        <v>173</v>
      </c>
      <c r="C321" s="11" t="s">
        <v>1328</v>
      </c>
      <c r="D321" s="93" t="s">
        <v>1329</v>
      </c>
      <c r="E321" s="215" t="s">
        <v>1330</v>
      </c>
      <c r="F321" s="11">
        <v>100.0</v>
      </c>
      <c r="G321" s="221" t="s">
        <v>2126</v>
      </c>
      <c r="H321" s="11">
        <v>100.0</v>
      </c>
      <c r="I321" s="763" t="b">
        <v>0</v>
      </c>
      <c r="J321" s="763" t="b">
        <v>0</v>
      </c>
      <c r="K321" s="763" t="b">
        <v>0</v>
      </c>
      <c r="L321" s="763" t="b">
        <v>0</v>
      </c>
      <c r="M321" s="763" t="b">
        <v>0</v>
      </c>
      <c r="N321" s="763" t="b">
        <v>0</v>
      </c>
      <c r="O321" s="763" t="b">
        <v>0</v>
      </c>
      <c r="P321" s="763" t="b">
        <v>0</v>
      </c>
      <c r="Q321" s="763" t="b">
        <v>0</v>
      </c>
      <c r="R321" s="763" t="b">
        <v>0</v>
      </c>
      <c r="S321" s="763" t="b">
        <v>0</v>
      </c>
      <c r="T321" s="763" t="b">
        <v>0</v>
      </c>
      <c r="U321" s="763" t="b">
        <v>0</v>
      </c>
      <c r="V321" s="763" t="b">
        <v>0</v>
      </c>
      <c r="W321" s="763" t="b">
        <v>0</v>
      </c>
      <c r="X321" s="11">
        <v>10.0</v>
      </c>
      <c r="Y321" s="11">
        <f t="shared" si="15"/>
        <v>1000</v>
      </c>
      <c r="Z321" s="11" t="s">
        <v>178</v>
      </c>
      <c r="AA321" s="93" t="s">
        <v>65</v>
      </c>
      <c r="AB321" s="93" t="s">
        <v>2105</v>
      </c>
      <c r="AC321" s="93" t="s">
        <v>1331</v>
      </c>
      <c r="AD321" s="217" t="s">
        <v>1332</v>
      </c>
      <c r="AE321" s="11" t="str">
        <f>IMAGE("https://m.media-amazon.com/images/I/61vUDUTouNL._SL1500_.jpg",1)</f>
        <v/>
      </c>
      <c r="AF321" s="78" t="s">
        <v>56</v>
      </c>
      <c r="AG321" s="74"/>
      <c r="AH321" s="75"/>
      <c r="AI321" s="12"/>
      <c r="AJ321" s="11"/>
      <c r="AK321" s="11">
        <v>4.0</v>
      </c>
    </row>
    <row r="322" ht="40.5" customHeight="1">
      <c r="A322" s="11">
        <v>321.0</v>
      </c>
      <c r="B322" s="11" t="s">
        <v>173</v>
      </c>
      <c r="C322" s="11" t="s">
        <v>1334</v>
      </c>
      <c r="D322" s="93" t="s">
        <v>1335</v>
      </c>
      <c r="E322" s="215" t="s">
        <v>1330</v>
      </c>
      <c r="F322" s="11">
        <v>100.0</v>
      </c>
      <c r="G322" s="221" t="s">
        <v>2126</v>
      </c>
      <c r="H322" s="11">
        <v>100.0</v>
      </c>
      <c r="I322" s="763" t="b">
        <v>0</v>
      </c>
      <c r="J322" s="763" t="b">
        <v>0</v>
      </c>
      <c r="K322" s="763" t="b">
        <v>0</v>
      </c>
      <c r="L322" s="763" t="b">
        <v>0</v>
      </c>
      <c r="M322" s="763" t="b">
        <v>0</v>
      </c>
      <c r="N322" s="763" t="b">
        <v>0</v>
      </c>
      <c r="O322" s="763" t="b">
        <v>0</v>
      </c>
      <c r="P322" s="763" t="b">
        <v>0</v>
      </c>
      <c r="Q322" s="763" t="b">
        <v>0</v>
      </c>
      <c r="R322" s="763" t="b">
        <v>0</v>
      </c>
      <c r="S322" s="763" t="b">
        <v>0</v>
      </c>
      <c r="T322" s="763" t="b">
        <v>0</v>
      </c>
      <c r="U322" s="763" t="b">
        <v>0</v>
      </c>
      <c r="V322" s="763" t="b">
        <v>0</v>
      </c>
      <c r="W322" s="763" t="b">
        <v>0</v>
      </c>
      <c r="X322" s="11">
        <v>35.0</v>
      </c>
      <c r="Y322" s="11">
        <f t="shared" si="15"/>
        <v>3500</v>
      </c>
      <c r="Z322" s="11" t="s">
        <v>178</v>
      </c>
      <c r="AA322" s="93"/>
      <c r="AB322" s="93" t="s">
        <v>2105</v>
      </c>
      <c r="AC322" s="93" t="s">
        <v>1331</v>
      </c>
      <c r="AD322" s="217" t="s">
        <v>1336</v>
      </c>
      <c r="AE322" s="11" t="str">
        <f>IMAGE("https://m.media-amazon.com/images/I/31ye7Xw2PpL.jpg",1)</f>
        <v/>
      </c>
      <c r="AF322" s="78"/>
      <c r="AG322" s="74"/>
      <c r="AH322" s="75"/>
      <c r="AI322" s="12"/>
      <c r="AJ322" s="11"/>
      <c r="AK322" s="11">
        <v>4.0</v>
      </c>
    </row>
    <row r="323" ht="40.5" customHeight="1">
      <c r="A323" s="11">
        <v>322.0</v>
      </c>
      <c r="B323" s="11" t="s">
        <v>173</v>
      </c>
      <c r="C323" s="11" t="s">
        <v>1338</v>
      </c>
      <c r="D323" s="93" t="s">
        <v>1339</v>
      </c>
      <c r="E323" s="215" t="s">
        <v>1330</v>
      </c>
      <c r="F323" s="11">
        <v>10.0</v>
      </c>
      <c r="G323" s="11" t="s">
        <v>2127</v>
      </c>
      <c r="H323" s="11">
        <v>10.0</v>
      </c>
      <c r="I323" s="763" t="b">
        <v>0</v>
      </c>
      <c r="J323" s="763" t="b">
        <v>0</v>
      </c>
      <c r="K323" s="763" t="b">
        <v>0</v>
      </c>
      <c r="L323" s="763" t="b">
        <v>0</v>
      </c>
      <c r="M323" s="763" t="b">
        <v>0</v>
      </c>
      <c r="N323" s="763" t="b">
        <v>0</v>
      </c>
      <c r="O323" s="763" t="b">
        <v>0</v>
      </c>
      <c r="P323" s="763" t="b">
        <v>0</v>
      </c>
      <c r="Q323" s="763" t="b">
        <v>0</v>
      </c>
      <c r="R323" s="763" t="b">
        <v>0</v>
      </c>
      <c r="S323" s="763" t="b">
        <v>0</v>
      </c>
      <c r="T323" s="763" t="b">
        <v>0</v>
      </c>
      <c r="U323" s="763" t="b">
        <v>0</v>
      </c>
      <c r="V323" s="763" t="b">
        <v>0</v>
      </c>
      <c r="W323" s="763" t="b">
        <v>0</v>
      </c>
      <c r="X323" s="11">
        <v>100.0</v>
      </c>
      <c r="Y323" s="11">
        <f t="shared" si="15"/>
        <v>1000</v>
      </c>
      <c r="Z323" s="11" t="s">
        <v>178</v>
      </c>
      <c r="AA323" s="93" t="s">
        <v>65</v>
      </c>
      <c r="AB323" s="93" t="s">
        <v>1978</v>
      </c>
      <c r="AC323" s="93" t="s">
        <v>1331</v>
      </c>
      <c r="AD323" s="217" t="s">
        <v>1341</v>
      </c>
      <c r="AE323" s="11" t="str">
        <f>IMAGE("https://m.media-amazon.com/images/I/414cC-M+nlL._SL1000_.jpg",1)</f>
        <v/>
      </c>
      <c r="AF323" s="78"/>
      <c r="AG323" s="74"/>
      <c r="AH323" s="75"/>
      <c r="AI323" s="12"/>
      <c r="AJ323" s="11"/>
      <c r="AK323" s="11">
        <v>1.0</v>
      </c>
    </row>
    <row r="324" ht="40.5" customHeight="1">
      <c r="A324" s="11">
        <v>323.0</v>
      </c>
      <c r="B324" s="11" t="s">
        <v>173</v>
      </c>
      <c r="C324" s="11" t="s">
        <v>1343</v>
      </c>
      <c r="D324" s="93" t="s">
        <v>1344</v>
      </c>
      <c r="E324" s="215" t="s">
        <v>1330</v>
      </c>
      <c r="F324" s="11">
        <v>100.0</v>
      </c>
      <c r="G324" s="221" t="s">
        <v>2126</v>
      </c>
      <c r="H324" s="11">
        <v>100.0</v>
      </c>
      <c r="I324" s="763" t="b">
        <v>0</v>
      </c>
      <c r="J324" s="763" t="b">
        <v>0</v>
      </c>
      <c r="K324" s="763" t="b">
        <v>0</v>
      </c>
      <c r="L324" s="763" t="b">
        <v>0</v>
      </c>
      <c r="M324" s="763" t="b">
        <v>0</v>
      </c>
      <c r="N324" s="763" t="b">
        <v>0</v>
      </c>
      <c r="O324" s="763" t="b">
        <v>0</v>
      </c>
      <c r="P324" s="763" t="b">
        <v>0</v>
      </c>
      <c r="Q324" s="763" t="b">
        <v>0</v>
      </c>
      <c r="R324" s="763" t="b">
        <v>0</v>
      </c>
      <c r="S324" s="763" t="b">
        <v>0</v>
      </c>
      <c r="T324" s="763" t="b">
        <v>0</v>
      </c>
      <c r="U324" s="763" t="b">
        <v>0</v>
      </c>
      <c r="V324" s="763" t="b">
        <v>0</v>
      </c>
      <c r="W324" s="763" t="b">
        <v>0</v>
      </c>
      <c r="X324" s="11">
        <v>20.0</v>
      </c>
      <c r="Y324" s="11">
        <f t="shared" si="15"/>
        <v>2000</v>
      </c>
      <c r="Z324" s="11" t="s">
        <v>178</v>
      </c>
      <c r="AA324" s="93" t="s">
        <v>65</v>
      </c>
      <c r="AB324" s="93" t="s">
        <v>2105</v>
      </c>
      <c r="AC324" s="93" t="s">
        <v>1331</v>
      </c>
      <c r="AD324" s="217" t="s">
        <v>1347</v>
      </c>
      <c r="AE324" s="11" t="str">
        <f>IMAGE("https://m.media-amazon.com/images/I/31nb9BadkoL.jpg",1)</f>
        <v/>
      </c>
      <c r="AF324" s="78"/>
      <c r="AG324" s="74"/>
      <c r="AH324" s="75"/>
      <c r="AI324" s="12"/>
      <c r="AJ324" s="11"/>
      <c r="AK324" s="11">
        <v>4.0</v>
      </c>
    </row>
    <row r="325" ht="40.5" customHeight="1">
      <c r="A325" s="11">
        <v>324.0</v>
      </c>
      <c r="B325" s="11" t="s">
        <v>342</v>
      </c>
      <c r="C325" s="11" t="s">
        <v>1349</v>
      </c>
      <c r="D325" s="93" t="s">
        <v>1350</v>
      </c>
      <c r="E325" s="215" t="s">
        <v>1330</v>
      </c>
      <c r="F325" s="11">
        <v>1.0</v>
      </c>
      <c r="G325" s="11" t="s">
        <v>2128</v>
      </c>
      <c r="H325" s="11">
        <v>1.0</v>
      </c>
      <c r="I325" s="763" t="b">
        <v>0</v>
      </c>
      <c r="J325" s="763" t="b">
        <v>0</v>
      </c>
      <c r="K325" s="763" t="b">
        <v>0</v>
      </c>
      <c r="L325" s="763" t="b">
        <v>0</v>
      </c>
      <c r="M325" s="763" t="b">
        <v>0</v>
      </c>
      <c r="N325" s="763" t="b">
        <v>0</v>
      </c>
      <c r="O325" s="763" t="b">
        <v>0</v>
      </c>
      <c r="P325" s="763" t="b">
        <v>0</v>
      </c>
      <c r="Q325" s="763" t="b">
        <v>0</v>
      </c>
      <c r="R325" s="763" t="b">
        <v>0</v>
      </c>
      <c r="S325" s="763" t="b">
        <v>0</v>
      </c>
      <c r="T325" s="763" t="b">
        <v>0</v>
      </c>
      <c r="U325" s="763" t="b">
        <v>0</v>
      </c>
      <c r="V325" s="763" t="b">
        <v>0</v>
      </c>
      <c r="W325" s="763" t="b">
        <v>0</v>
      </c>
      <c r="X325" s="11">
        <v>1000.0</v>
      </c>
      <c r="Y325" s="11">
        <f t="shared" si="15"/>
        <v>1000</v>
      </c>
      <c r="Z325" s="11" t="s">
        <v>347</v>
      </c>
      <c r="AA325" s="93" t="s">
        <v>47</v>
      </c>
      <c r="AB325" s="123"/>
      <c r="AC325" s="93" t="s">
        <v>1331</v>
      </c>
      <c r="AD325" s="217" t="s">
        <v>1351</v>
      </c>
      <c r="AE325" s="11" t="str">
        <f>IMAGE("https://5.imimg.com/data5/SELLER/Default/2023/1/CR/QN/CU/119456209/b22-cap-punching-tool-1000x1000.jpg",1)</f>
        <v/>
      </c>
      <c r="AF325" s="78"/>
      <c r="AG325" s="74"/>
      <c r="AH325" s="75"/>
      <c r="AI325" s="12"/>
      <c r="AJ325" s="11"/>
      <c r="AK325" s="11">
        <v>3.0</v>
      </c>
    </row>
    <row r="326" ht="40.5" customHeight="1">
      <c r="A326" s="11">
        <v>325.0</v>
      </c>
      <c r="B326" s="11" t="s">
        <v>342</v>
      </c>
      <c r="C326" s="11" t="s">
        <v>1353</v>
      </c>
      <c r="D326" s="93" t="s">
        <v>1354</v>
      </c>
      <c r="E326" s="215" t="s">
        <v>1330</v>
      </c>
      <c r="F326" s="11">
        <v>1.0</v>
      </c>
      <c r="G326" s="11" t="s">
        <v>2128</v>
      </c>
      <c r="H326" s="11">
        <v>1.0</v>
      </c>
      <c r="I326" s="763" t="b">
        <v>0</v>
      </c>
      <c r="J326" s="763" t="b">
        <v>0</v>
      </c>
      <c r="K326" s="763" t="b">
        <v>0</v>
      </c>
      <c r="L326" s="763" t="b">
        <v>0</v>
      </c>
      <c r="M326" s="763" t="b">
        <v>0</v>
      </c>
      <c r="N326" s="763" t="b">
        <v>0</v>
      </c>
      <c r="O326" s="763" t="b">
        <v>0</v>
      </c>
      <c r="P326" s="763" t="b">
        <v>0</v>
      </c>
      <c r="Q326" s="763" t="b">
        <v>0</v>
      </c>
      <c r="R326" s="763" t="b">
        <v>0</v>
      </c>
      <c r="S326" s="763" t="b">
        <v>0</v>
      </c>
      <c r="T326" s="763" t="b">
        <v>0</v>
      </c>
      <c r="U326" s="763" t="b">
        <v>0</v>
      </c>
      <c r="V326" s="763" t="b">
        <v>0</v>
      </c>
      <c r="W326" s="763" t="b">
        <v>0</v>
      </c>
      <c r="X326" s="11">
        <v>1800.0</v>
      </c>
      <c r="Y326" s="11">
        <f t="shared" si="15"/>
        <v>1800</v>
      </c>
      <c r="Z326" s="11" t="s">
        <v>347</v>
      </c>
      <c r="AA326" s="93" t="s">
        <v>47</v>
      </c>
      <c r="AB326" s="93"/>
      <c r="AC326" s="93" t="s">
        <v>1331</v>
      </c>
      <c r="AD326" s="217" t="s">
        <v>1355</v>
      </c>
      <c r="AE326" s="11" t="str">
        <f>IMAGE("https://m.media-amazon.com/images/I/31xTdt3sfiL.jpg",1)</f>
        <v/>
      </c>
      <c r="AF326" s="78"/>
      <c r="AG326" s="74"/>
      <c r="AH326" s="75"/>
      <c r="AI326" s="12"/>
      <c r="AJ326" s="11"/>
      <c r="AK326" s="11">
        <v>3.0</v>
      </c>
    </row>
    <row r="327" ht="40.5" customHeight="1">
      <c r="A327" s="11">
        <v>326.0</v>
      </c>
      <c r="B327" s="11" t="s">
        <v>173</v>
      </c>
      <c r="C327" s="11" t="s">
        <v>1357</v>
      </c>
      <c r="D327" s="93" t="s">
        <v>1358</v>
      </c>
      <c r="E327" s="215" t="s">
        <v>1359</v>
      </c>
      <c r="F327" s="216">
        <v>15.0</v>
      </c>
      <c r="G327" s="11" t="s">
        <v>2129</v>
      </c>
      <c r="H327" s="216">
        <v>15.0</v>
      </c>
      <c r="I327" s="763" t="b">
        <v>0</v>
      </c>
      <c r="J327" s="763" t="b">
        <v>0</v>
      </c>
      <c r="K327" s="763" t="b">
        <v>0</v>
      </c>
      <c r="L327" s="763" t="b">
        <v>0</v>
      </c>
      <c r="M327" s="763" t="b">
        <v>0</v>
      </c>
      <c r="N327" s="763" t="b">
        <v>0</v>
      </c>
      <c r="O327" s="763" t="b">
        <v>0</v>
      </c>
      <c r="P327" s="763" t="b">
        <v>0</v>
      </c>
      <c r="Q327" s="763" t="b">
        <v>0</v>
      </c>
      <c r="R327" s="763" t="b">
        <v>0</v>
      </c>
      <c r="S327" s="763" t="b">
        <v>0</v>
      </c>
      <c r="T327" s="763" t="b">
        <v>0</v>
      </c>
      <c r="U327" s="763" t="b">
        <v>0</v>
      </c>
      <c r="V327" s="763" t="b">
        <v>0</v>
      </c>
      <c r="W327" s="763" t="b">
        <v>0</v>
      </c>
      <c r="X327" s="216">
        <v>250.0</v>
      </c>
      <c r="Y327" s="11">
        <f t="shared" si="15"/>
        <v>3750</v>
      </c>
      <c r="Z327" s="11" t="s">
        <v>178</v>
      </c>
      <c r="AA327" s="93"/>
      <c r="AB327" s="93" t="s">
        <v>1594</v>
      </c>
      <c r="AC327" s="93" t="s">
        <v>1954</v>
      </c>
      <c r="AD327" s="217" t="s">
        <v>1360</v>
      </c>
      <c r="AE327" s="11" t="str">
        <f>IMAGE("https://robu.in/wp-content/uploads/2017/11/mg995-high-speed-digital-metal-gear-2bb-torque-rc-for-servo-hpi-savage-xl-2.jpg",1)</f>
        <v/>
      </c>
      <c r="AF327" s="78" t="s">
        <v>1688</v>
      </c>
      <c r="AG327" s="74"/>
      <c r="AH327" s="75"/>
      <c r="AI327" s="12"/>
      <c r="AJ327" s="11"/>
      <c r="AK327" s="12">
        <v>1.0</v>
      </c>
    </row>
    <row r="328" ht="40.5" customHeight="1">
      <c r="A328" s="11">
        <v>327.0</v>
      </c>
      <c r="B328" s="11" t="s">
        <v>173</v>
      </c>
      <c r="C328" s="11" t="s">
        <v>1362</v>
      </c>
      <c r="D328" s="93" t="s">
        <v>1363</v>
      </c>
      <c r="E328" s="215" t="s">
        <v>1359</v>
      </c>
      <c r="F328" s="216">
        <v>30.0</v>
      </c>
      <c r="G328" s="11" t="s">
        <v>2130</v>
      </c>
      <c r="H328" s="216">
        <v>30.0</v>
      </c>
      <c r="I328" s="763" t="b">
        <v>0</v>
      </c>
      <c r="J328" s="763" t="b">
        <v>0</v>
      </c>
      <c r="K328" s="763" t="b">
        <v>0</v>
      </c>
      <c r="L328" s="763" t="b">
        <v>0</v>
      </c>
      <c r="M328" s="763" t="b">
        <v>0</v>
      </c>
      <c r="N328" s="763" t="b">
        <v>0</v>
      </c>
      <c r="O328" s="763" t="b">
        <v>0</v>
      </c>
      <c r="P328" s="763" t="b">
        <v>0</v>
      </c>
      <c r="Q328" s="763" t="b">
        <v>0</v>
      </c>
      <c r="R328" s="763" t="b">
        <v>0</v>
      </c>
      <c r="S328" s="763" t="b">
        <v>0</v>
      </c>
      <c r="T328" s="763" t="b">
        <v>0</v>
      </c>
      <c r="U328" s="763" t="b">
        <v>0</v>
      </c>
      <c r="V328" s="763" t="b">
        <v>0</v>
      </c>
      <c r="W328" s="763" t="b">
        <v>0</v>
      </c>
      <c r="X328" s="216">
        <v>55.0</v>
      </c>
      <c r="Y328" s="11">
        <f t="shared" si="15"/>
        <v>1650</v>
      </c>
      <c r="Z328" s="11" t="s">
        <v>178</v>
      </c>
      <c r="AA328" s="93"/>
      <c r="AB328" s="93" t="s">
        <v>2012</v>
      </c>
      <c r="AC328" s="93" t="s">
        <v>1954</v>
      </c>
      <c r="AD328" s="217" t="s">
        <v>1364</v>
      </c>
      <c r="AE328" s="11" t="str">
        <f t="shared" ref="AE328:AE329" si="16">IMAGE("https://m.media-amazon.com/images/W/MEDIAX_792452-T2/images/I/21bgQSzvxLL.jpg",1)</f>
        <v/>
      </c>
      <c r="AF328" s="78" t="s">
        <v>1688</v>
      </c>
      <c r="AG328" s="74"/>
      <c r="AH328" s="75"/>
      <c r="AI328" s="12"/>
      <c r="AJ328" s="11"/>
      <c r="AK328" s="12">
        <v>1.0</v>
      </c>
    </row>
    <row r="329" ht="40.5" customHeight="1">
      <c r="A329" s="11">
        <v>328.0</v>
      </c>
      <c r="B329" s="11" t="s">
        <v>173</v>
      </c>
      <c r="C329" s="11" t="s">
        <v>1366</v>
      </c>
      <c r="D329" s="93" t="s">
        <v>1367</v>
      </c>
      <c r="E329" s="215" t="s">
        <v>1359</v>
      </c>
      <c r="F329" s="216">
        <v>30.0</v>
      </c>
      <c r="G329" s="11" t="s">
        <v>2131</v>
      </c>
      <c r="H329" s="216">
        <v>30.0</v>
      </c>
      <c r="I329" s="763" t="b">
        <v>0</v>
      </c>
      <c r="J329" s="763" t="b">
        <v>0</v>
      </c>
      <c r="K329" s="763" t="b">
        <v>0</v>
      </c>
      <c r="L329" s="763" t="b">
        <v>0</v>
      </c>
      <c r="M329" s="763" t="b">
        <v>0</v>
      </c>
      <c r="N329" s="763" t="b">
        <v>0</v>
      </c>
      <c r="O329" s="763" t="b">
        <v>0</v>
      </c>
      <c r="P329" s="763" t="b">
        <v>0</v>
      </c>
      <c r="Q329" s="763" t="b">
        <v>0</v>
      </c>
      <c r="R329" s="763" t="b">
        <v>0</v>
      </c>
      <c r="S329" s="763" t="b">
        <v>0</v>
      </c>
      <c r="T329" s="763" t="b">
        <v>0</v>
      </c>
      <c r="U329" s="763" t="b">
        <v>0</v>
      </c>
      <c r="V329" s="763" t="b">
        <v>0</v>
      </c>
      <c r="W329" s="763" t="b">
        <v>0</v>
      </c>
      <c r="X329" s="216">
        <v>55.0</v>
      </c>
      <c r="Y329" s="11">
        <f t="shared" si="15"/>
        <v>1650</v>
      </c>
      <c r="Z329" s="11" t="s">
        <v>178</v>
      </c>
      <c r="AA329" s="93"/>
      <c r="AB329" s="93" t="s">
        <v>2012</v>
      </c>
      <c r="AC329" s="93" t="s">
        <v>1954</v>
      </c>
      <c r="AD329" s="217" t="s">
        <v>1369</v>
      </c>
      <c r="AE329" s="11" t="str">
        <f t="shared" si="16"/>
        <v/>
      </c>
      <c r="AF329" s="78" t="s">
        <v>1688</v>
      </c>
      <c r="AG329" s="74"/>
      <c r="AH329" s="75"/>
      <c r="AI329" s="12"/>
      <c r="AJ329" s="11"/>
      <c r="AK329" s="12">
        <v>1.0</v>
      </c>
    </row>
    <row r="330" ht="40.5" customHeight="1">
      <c r="A330" s="11">
        <v>329.0</v>
      </c>
      <c r="B330" s="11" t="s">
        <v>173</v>
      </c>
      <c r="C330" s="11" t="s">
        <v>1371</v>
      </c>
      <c r="D330" s="93" t="s">
        <v>1372</v>
      </c>
      <c r="E330" s="215" t="s">
        <v>1359</v>
      </c>
      <c r="F330" s="216">
        <v>30.0</v>
      </c>
      <c r="G330" s="11" t="s">
        <v>2132</v>
      </c>
      <c r="H330" s="216">
        <v>30.0</v>
      </c>
      <c r="I330" s="763" t="b">
        <v>0</v>
      </c>
      <c r="J330" s="763" t="b">
        <v>0</v>
      </c>
      <c r="K330" s="763" t="b">
        <v>0</v>
      </c>
      <c r="L330" s="763" t="b">
        <v>0</v>
      </c>
      <c r="M330" s="763" t="b">
        <v>0</v>
      </c>
      <c r="N330" s="763" t="b">
        <v>0</v>
      </c>
      <c r="O330" s="763" t="b">
        <v>0</v>
      </c>
      <c r="P330" s="763" t="b">
        <v>0</v>
      </c>
      <c r="Q330" s="763" t="b">
        <v>0</v>
      </c>
      <c r="R330" s="763" t="b">
        <v>0</v>
      </c>
      <c r="S330" s="763" t="b">
        <v>0</v>
      </c>
      <c r="T330" s="763" t="b">
        <v>0</v>
      </c>
      <c r="U330" s="763" t="b">
        <v>0</v>
      </c>
      <c r="V330" s="763" t="b">
        <v>0</v>
      </c>
      <c r="W330" s="763" t="b">
        <v>0</v>
      </c>
      <c r="X330" s="216">
        <v>30.0</v>
      </c>
      <c r="Y330" s="11">
        <f t="shared" si="15"/>
        <v>900</v>
      </c>
      <c r="Z330" s="11" t="s">
        <v>178</v>
      </c>
      <c r="AA330" s="93"/>
      <c r="AB330" s="93" t="s">
        <v>1594</v>
      </c>
      <c r="AC330" s="93" t="s">
        <v>1954</v>
      </c>
      <c r="AD330" s="217" t="s">
        <v>1373</v>
      </c>
      <c r="AE330" s="11" t="str">
        <f>IMAGE("https://5.imimg.com/data5/DJ/PF/TV/SELLER-95692783/bo-wheel-500x500.jpg",1)</f>
        <v/>
      </c>
      <c r="AF330" s="78" t="s">
        <v>1688</v>
      </c>
      <c r="AG330" s="74"/>
      <c r="AH330" s="75"/>
      <c r="AI330" s="12"/>
      <c r="AJ330" s="11"/>
      <c r="AK330" s="12">
        <v>1.0</v>
      </c>
    </row>
    <row r="331" ht="40.5" customHeight="1">
      <c r="A331" s="11">
        <v>330.0</v>
      </c>
      <c r="B331" s="11" t="s">
        <v>173</v>
      </c>
      <c r="C331" s="11" t="s">
        <v>1375</v>
      </c>
      <c r="D331" s="93" t="s">
        <v>1376</v>
      </c>
      <c r="E331" s="215" t="s">
        <v>1359</v>
      </c>
      <c r="F331" s="216">
        <v>20.0</v>
      </c>
      <c r="G331" s="11" t="s">
        <v>2133</v>
      </c>
      <c r="H331" s="216">
        <v>20.0</v>
      </c>
      <c r="I331" s="763" t="b">
        <v>0</v>
      </c>
      <c r="J331" s="763" t="b">
        <v>0</v>
      </c>
      <c r="K331" s="763" t="b">
        <v>0</v>
      </c>
      <c r="L331" s="763" t="b">
        <v>0</v>
      </c>
      <c r="M331" s="763" t="b">
        <v>0</v>
      </c>
      <c r="N331" s="763" t="b">
        <v>0</v>
      </c>
      <c r="O331" s="763" t="b">
        <v>0</v>
      </c>
      <c r="P331" s="763" t="b">
        <v>0</v>
      </c>
      <c r="Q331" s="763" t="b">
        <v>0</v>
      </c>
      <c r="R331" s="763" t="b">
        <v>0</v>
      </c>
      <c r="S331" s="763" t="b">
        <v>0</v>
      </c>
      <c r="T331" s="763" t="b">
        <v>0</v>
      </c>
      <c r="U331" s="763" t="b">
        <v>0</v>
      </c>
      <c r="V331" s="763" t="b">
        <v>0</v>
      </c>
      <c r="W331" s="763" t="b">
        <v>0</v>
      </c>
      <c r="X331" s="216">
        <v>50.0</v>
      </c>
      <c r="Y331" s="11">
        <f t="shared" si="15"/>
        <v>1000</v>
      </c>
      <c r="Z331" s="11" t="s">
        <v>178</v>
      </c>
      <c r="AA331" s="93"/>
      <c r="AB331" s="93" t="s">
        <v>1895</v>
      </c>
      <c r="AC331" s="93" t="s">
        <v>1954</v>
      </c>
      <c r="AD331" s="217" t="s">
        <v>1377</v>
      </c>
      <c r="AE331" s="11" t="str">
        <f>IMAGE("https://aryabot.in/wp-content/uploads/2023/10/castor-wheel-big-550x550w.webp",1)</f>
        <v/>
      </c>
      <c r="AF331" s="78" t="s">
        <v>1688</v>
      </c>
      <c r="AG331" s="74"/>
      <c r="AH331" s="75"/>
      <c r="AI331" s="12"/>
      <c r="AJ331" s="11"/>
      <c r="AK331" s="12">
        <v>1.0</v>
      </c>
    </row>
    <row r="332" ht="40.5" customHeight="1">
      <c r="A332" s="11">
        <v>331.0</v>
      </c>
      <c r="B332" s="11" t="s">
        <v>173</v>
      </c>
      <c r="C332" s="11" t="s">
        <v>1379</v>
      </c>
      <c r="D332" s="93" t="s">
        <v>1380</v>
      </c>
      <c r="E332" s="215" t="s">
        <v>1359</v>
      </c>
      <c r="F332" s="216">
        <v>10.0</v>
      </c>
      <c r="G332" s="11" t="s">
        <v>1834</v>
      </c>
      <c r="H332" s="216">
        <v>10.0</v>
      </c>
      <c r="I332" s="763" t="b">
        <v>0</v>
      </c>
      <c r="J332" s="763" t="b">
        <v>0</v>
      </c>
      <c r="K332" s="763" t="b">
        <v>0</v>
      </c>
      <c r="L332" s="763" t="b">
        <v>0</v>
      </c>
      <c r="M332" s="763" t="b">
        <v>0</v>
      </c>
      <c r="N332" s="763" t="b">
        <v>0</v>
      </c>
      <c r="O332" s="763" t="b">
        <v>0</v>
      </c>
      <c r="P332" s="763" t="b">
        <v>0</v>
      </c>
      <c r="Q332" s="763" t="b">
        <v>0</v>
      </c>
      <c r="R332" s="763" t="b">
        <v>0</v>
      </c>
      <c r="S332" s="763" t="b">
        <v>0</v>
      </c>
      <c r="T332" s="763" t="b">
        <v>0</v>
      </c>
      <c r="U332" s="763" t="b">
        <v>0</v>
      </c>
      <c r="V332" s="763" t="b">
        <v>0</v>
      </c>
      <c r="W332" s="763" t="b">
        <v>0</v>
      </c>
      <c r="X332" s="216">
        <v>20.0</v>
      </c>
      <c r="Y332" s="11">
        <f t="shared" si="15"/>
        <v>200</v>
      </c>
      <c r="Z332" s="11" t="s">
        <v>178</v>
      </c>
      <c r="AA332" s="93"/>
      <c r="AB332" s="93" t="s">
        <v>2070</v>
      </c>
      <c r="AC332" s="93" t="s">
        <v>1954</v>
      </c>
      <c r="AD332" s="217" t="s">
        <v>1381</v>
      </c>
      <c r="AE332" s="11" t="str">
        <f>IMAGE("https://robu.in/wp-content/uploads/2020/09/DC3-6V-130-DIY-Toy-Motor-2-Pcs.-1.png",1)</f>
        <v/>
      </c>
      <c r="AF332" s="78" t="s">
        <v>1688</v>
      </c>
      <c r="AG332" s="79"/>
      <c r="AH332" s="80"/>
      <c r="AI332" s="12"/>
      <c r="AJ332" s="11"/>
      <c r="AK332" s="12">
        <v>1.0</v>
      </c>
    </row>
    <row r="333" ht="40.5" customHeight="1">
      <c r="A333" s="11">
        <v>332.0</v>
      </c>
      <c r="B333" s="11" t="s">
        <v>173</v>
      </c>
      <c r="C333" s="11" t="s">
        <v>1383</v>
      </c>
      <c r="D333" s="93" t="s">
        <v>1384</v>
      </c>
      <c r="E333" s="215" t="s">
        <v>1359</v>
      </c>
      <c r="F333" s="216">
        <v>30.0</v>
      </c>
      <c r="G333" s="11" t="s">
        <v>2129</v>
      </c>
      <c r="H333" s="216">
        <v>30.0</v>
      </c>
      <c r="I333" s="763" t="b">
        <v>0</v>
      </c>
      <c r="J333" s="763" t="b">
        <v>0</v>
      </c>
      <c r="K333" s="763" t="b">
        <v>0</v>
      </c>
      <c r="L333" s="763" t="b">
        <v>0</v>
      </c>
      <c r="M333" s="763" t="b">
        <v>0</v>
      </c>
      <c r="N333" s="763" t="b">
        <v>0</v>
      </c>
      <c r="O333" s="763" t="b">
        <v>0</v>
      </c>
      <c r="P333" s="763" t="b">
        <v>0</v>
      </c>
      <c r="Q333" s="763" t="b">
        <v>0</v>
      </c>
      <c r="R333" s="763" t="b">
        <v>0</v>
      </c>
      <c r="S333" s="763" t="b">
        <v>0</v>
      </c>
      <c r="T333" s="763" t="b">
        <v>0</v>
      </c>
      <c r="U333" s="763" t="b">
        <v>0</v>
      </c>
      <c r="V333" s="763" t="b">
        <v>0</v>
      </c>
      <c r="W333" s="763" t="b">
        <v>0</v>
      </c>
      <c r="X333" s="216">
        <v>250.0</v>
      </c>
      <c r="Y333" s="11">
        <f t="shared" si="15"/>
        <v>7500</v>
      </c>
      <c r="Z333" s="11" t="s">
        <v>178</v>
      </c>
      <c r="AA333" s="93"/>
      <c r="AB333" s="93" t="s">
        <v>1594</v>
      </c>
      <c r="AC333" s="93" t="s">
        <v>1954</v>
      </c>
      <c r="AD333" s="217" t="s">
        <v>1385</v>
      </c>
      <c r="AE333" s="11" t="str">
        <f>IMAGE("https://i0.wp.com/www.circuituncle.com/wp-content/uploads/2019/10/mg90s.png?fit=1001%2C1001&amp;ssl=1",1)</f>
        <v/>
      </c>
      <c r="AF333" s="78" t="s">
        <v>1688</v>
      </c>
      <c r="AG333" s="74"/>
      <c r="AH333" s="75"/>
      <c r="AI333" s="12"/>
      <c r="AJ333" s="11"/>
      <c r="AK333" s="12">
        <v>1.0</v>
      </c>
    </row>
    <row r="334" ht="40.5" customHeight="1">
      <c r="A334" s="11">
        <v>333.0</v>
      </c>
      <c r="B334" s="11" t="s">
        <v>173</v>
      </c>
      <c r="C334" s="11" t="s">
        <v>1387</v>
      </c>
      <c r="D334" s="93" t="s">
        <v>1388</v>
      </c>
      <c r="E334" s="215" t="s">
        <v>1359</v>
      </c>
      <c r="F334" s="216">
        <v>5.0</v>
      </c>
      <c r="G334" s="11" t="s">
        <v>1830</v>
      </c>
      <c r="H334" s="216">
        <v>5.0</v>
      </c>
      <c r="I334" s="763" t="b">
        <v>0</v>
      </c>
      <c r="J334" s="763" t="b">
        <v>0</v>
      </c>
      <c r="K334" s="763" t="b">
        <v>0</v>
      </c>
      <c r="L334" s="763" t="b">
        <v>0</v>
      </c>
      <c r="M334" s="763" t="b">
        <v>0</v>
      </c>
      <c r="N334" s="763" t="b">
        <v>0</v>
      </c>
      <c r="O334" s="763" t="b">
        <v>0</v>
      </c>
      <c r="P334" s="763" t="b">
        <v>0</v>
      </c>
      <c r="Q334" s="763" t="b">
        <v>0</v>
      </c>
      <c r="R334" s="763" t="b">
        <v>0</v>
      </c>
      <c r="S334" s="763" t="b">
        <v>0</v>
      </c>
      <c r="T334" s="763" t="b">
        <v>0</v>
      </c>
      <c r="U334" s="763" t="b">
        <v>0</v>
      </c>
      <c r="V334" s="763" t="b">
        <v>0</v>
      </c>
      <c r="W334" s="763" t="b">
        <v>0</v>
      </c>
      <c r="X334" s="216">
        <v>90.0</v>
      </c>
      <c r="Y334" s="11">
        <f t="shared" si="15"/>
        <v>450</v>
      </c>
      <c r="Z334" s="11" t="s">
        <v>178</v>
      </c>
      <c r="AA334" s="93"/>
      <c r="AB334" s="93" t="s">
        <v>2070</v>
      </c>
      <c r="AC334" s="93" t="s">
        <v>1954</v>
      </c>
      <c r="AD334" s="217"/>
      <c r="AE334" s="11" t="str">
        <f>IMAGE("https://robu.in/wp-content/uploads/2016/04/61nEdk-NxSL._SY355_.jpg",1)</f>
        <v/>
      </c>
      <c r="AF334" s="78" t="s">
        <v>1688</v>
      </c>
      <c r="AG334" s="74"/>
      <c r="AH334" s="75"/>
      <c r="AI334" s="12"/>
      <c r="AJ334" s="11"/>
      <c r="AK334" s="12">
        <v>1.0</v>
      </c>
    </row>
    <row r="335" ht="40.5" customHeight="1">
      <c r="A335" s="11">
        <v>334.0</v>
      </c>
      <c r="B335" s="222" t="s">
        <v>173</v>
      </c>
      <c r="C335" s="222" t="s">
        <v>1390</v>
      </c>
      <c r="D335" s="232" t="s">
        <v>1391</v>
      </c>
      <c r="E335" s="233" t="s">
        <v>1359</v>
      </c>
      <c r="F335" s="349">
        <v>26.0</v>
      </c>
      <c r="G335" s="11"/>
      <c r="H335" s="349">
        <v>26.0</v>
      </c>
      <c r="I335" s="763" t="b">
        <v>0</v>
      </c>
      <c r="J335" s="763" t="b">
        <v>0</v>
      </c>
      <c r="K335" s="763" t="b">
        <v>0</v>
      </c>
      <c r="L335" s="763" t="b">
        <v>0</v>
      </c>
      <c r="M335" s="763" t="b">
        <v>0</v>
      </c>
      <c r="N335" s="763" t="b">
        <v>0</v>
      </c>
      <c r="O335" s="763" t="b">
        <v>0</v>
      </c>
      <c r="P335" s="763" t="b">
        <v>0</v>
      </c>
      <c r="Q335" s="763" t="b">
        <v>0</v>
      </c>
      <c r="R335" s="763" t="b">
        <v>0</v>
      </c>
      <c r="S335" s="763" t="b">
        <v>0</v>
      </c>
      <c r="T335" s="763" t="b">
        <v>0</v>
      </c>
      <c r="U335" s="763" t="b">
        <v>0</v>
      </c>
      <c r="V335" s="763" t="b">
        <v>0</v>
      </c>
      <c r="W335" s="763" t="b">
        <v>0</v>
      </c>
      <c r="X335" s="222">
        <v>750.0</v>
      </c>
      <c r="Y335" s="222">
        <f t="shared" si="15"/>
        <v>19500</v>
      </c>
      <c r="Z335" s="222" t="s">
        <v>178</v>
      </c>
      <c r="AA335" s="232"/>
      <c r="AB335" s="232" t="s">
        <v>249</v>
      </c>
      <c r="AC335" s="232" t="s">
        <v>1954</v>
      </c>
      <c r="AD335" s="235" t="s">
        <v>1392</v>
      </c>
      <c r="AE335" s="222" t="str">
        <f>IMAGE("https://robu.in/wp-content/uploads/2023/09/34.jpg",1)</f>
        <v/>
      </c>
      <c r="AF335" s="358"/>
      <c r="AG335" s="359"/>
      <c r="AH335" s="336"/>
      <c r="AI335" s="360"/>
      <c r="AJ335" s="222"/>
      <c r="AK335" s="222">
        <v>2.0</v>
      </c>
    </row>
    <row r="336" ht="40.5" customHeight="1">
      <c r="A336" s="11">
        <v>335.0</v>
      </c>
      <c r="B336" s="11" t="s">
        <v>173</v>
      </c>
      <c r="C336" s="11" t="s">
        <v>1394</v>
      </c>
      <c r="D336" s="93" t="s">
        <v>1395</v>
      </c>
      <c r="E336" s="215" t="s">
        <v>1359</v>
      </c>
      <c r="F336" s="216">
        <v>15.0</v>
      </c>
      <c r="G336" s="11" t="s">
        <v>2135</v>
      </c>
      <c r="H336" s="216">
        <v>15.0</v>
      </c>
      <c r="I336" s="763" t="b">
        <v>0</v>
      </c>
      <c r="J336" s="763" t="b">
        <v>0</v>
      </c>
      <c r="K336" s="763" t="b">
        <v>0</v>
      </c>
      <c r="L336" s="763" t="b">
        <v>0</v>
      </c>
      <c r="M336" s="763" t="b">
        <v>0</v>
      </c>
      <c r="N336" s="763" t="b">
        <v>0</v>
      </c>
      <c r="O336" s="763" t="b">
        <v>0</v>
      </c>
      <c r="P336" s="763" t="b">
        <v>0</v>
      </c>
      <c r="Q336" s="763" t="b">
        <v>0</v>
      </c>
      <c r="R336" s="763" t="b">
        <v>0</v>
      </c>
      <c r="S336" s="763" t="b">
        <v>0</v>
      </c>
      <c r="T336" s="763" t="b">
        <v>0</v>
      </c>
      <c r="U336" s="763" t="b">
        <v>0</v>
      </c>
      <c r="V336" s="763" t="b">
        <v>0</v>
      </c>
      <c r="W336" s="763" t="b">
        <v>0</v>
      </c>
      <c r="X336" s="216">
        <v>400.0</v>
      </c>
      <c r="Y336" s="11">
        <f t="shared" si="15"/>
        <v>6000</v>
      </c>
      <c r="Z336" s="11" t="s">
        <v>178</v>
      </c>
      <c r="AA336" s="93"/>
      <c r="AB336" s="93" t="s">
        <v>2012</v>
      </c>
      <c r="AC336" s="93" t="s">
        <v>1954</v>
      </c>
      <c r="AD336" s="217" t="s">
        <v>1396</v>
      </c>
      <c r="AE336" s="11" t="str">
        <f>IMAGE("https://cdn.shopify.com/s/files/1/0088/0056/7392/products/Stepper_motor_with_Driver_board.jpg?v=1552579276",1)</f>
        <v/>
      </c>
      <c r="AF336" s="78" t="s">
        <v>1688</v>
      </c>
      <c r="AG336" s="74"/>
      <c r="AH336" s="75"/>
      <c r="AI336" s="12"/>
      <c r="AJ336" s="11"/>
      <c r="AK336" s="11">
        <v>1.0</v>
      </c>
    </row>
    <row r="337" ht="40.5" customHeight="1">
      <c r="A337" s="11">
        <v>336.0</v>
      </c>
      <c r="B337" s="222" t="s">
        <v>342</v>
      </c>
      <c r="C337" s="222" t="s">
        <v>1398</v>
      </c>
      <c r="D337" s="232" t="s">
        <v>1399</v>
      </c>
      <c r="E337" s="233" t="s">
        <v>1400</v>
      </c>
      <c r="F337" s="222">
        <v>1.0</v>
      </c>
      <c r="G337" s="11" t="s">
        <v>2136</v>
      </c>
      <c r="H337" s="222">
        <v>1.0</v>
      </c>
      <c r="I337" s="763" t="b">
        <v>0</v>
      </c>
      <c r="J337" s="763" t="b">
        <v>0</v>
      </c>
      <c r="K337" s="763" t="b">
        <v>0</v>
      </c>
      <c r="L337" s="763" t="b">
        <v>0</v>
      </c>
      <c r="M337" s="763" t="b">
        <v>0</v>
      </c>
      <c r="N337" s="763" t="b">
        <v>0</v>
      </c>
      <c r="O337" s="763" t="b">
        <v>0</v>
      </c>
      <c r="P337" s="763" t="b">
        <v>0</v>
      </c>
      <c r="Q337" s="763" t="b">
        <v>0</v>
      </c>
      <c r="R337" s="763" t="b">
        <v>0</v>
      </c>
      <c r="S337" s="763" t="b">
        <v>0</v>
      </c>
      <c r="T337" s="763" t="b">
        <v>0</v>
      </c>
      <c r="U337" s="763" t="b">
        <v>0</v>
      </c>
      <c r="V337" s="763" t="b">
        <v>0</v>
      </c>
      <c r="W337" s="763" t="b">
        <v>0</v>
      </c>
      <c r="X337" s="222"/>
      <c r="Y337" s="222">
        <f t="shared" si="15"/>
        <v>0</v>
      </c>
      <c r="Z337" s="222" t="s">
        <v>347</v>
      </c>
      <c r="AA337" s="232"/>
      <c r="AB337" s="232" t="s">
        <v>2105</v>
      </c>
      <c r="AC337" s="232" t="s">
        <v>1980</v>
      </c>
      <c r="AD337" s="235" t="s">
        <v>1401</v>
      </c>
      <c r="AE337" s="222" t="str">
        <f>IMAGE("https://m.media-amazon.com/images/I/41giw5t2ycL.jpg",1)</f>
        <v/>
      </c>
      <c r="AF337" s="619" t="s">
        <v>1689</v>
      </c>
      <c r="AG337" s="359"/>
      <c r="AH337" s="336"/>
      <c r="AI337" s="360"/>
      <c r="AJ337" s="222"/>
      <c r="AK337" s="222">
        <v>4.0</v>
      </c>
    </row>
    <row r="338" ht="40.5" customHeight="1">
      <c r="A338" s="11">
        <v>337.0</v>
      </c>
      <c r="B338" s="11" t="s">
        <v>342</v>
      </c>
      <c r="C338" s="11" t="s">
        <v>1403</v>
      </c>
      <c r="D338" s="93" t="s">
        <v>1404</v>
      </c>
      <c r="E338" s="215" t="s">
        <v>1400</v>
      </c>
      <c r="F338" s="11">
        <v>1.0</v>
      </c>
      <c r="G338" s="11" t="s">
        <v>2136</v>
      </c>
      <c r="H338" s="11">
        <v>1.0</v>
      </c>
      <c r="I338" s="763" t="b">
        <v>0</v>
      </c>
      <c r="J338" s="763" t="b">
        <v>0</v>
      </c>
      <c r="K338" s="763" t="b">
        <v>0</v>
      </c>
      <c r="L338" s="763" t="b">
        <v>0</v>
      </c>
      <c r="M338" s="763" t="b">
        <v>0</v>
      </c>
      <c r="N338" s="763" t="b">
        <v>0</v>
      </c>
      <c r="O338" s="763" t="b">
        <v>0</v>
      </c>
      <c r="P338" s="763" t="b">
        <v>0</v>
      </c>
      <c r="Q338" s="763" t="b">
        <v>0</v>
      </c>
      <c r="R338" s="763" t="b">
        <v>0</v>
      </c>
      <c r="S338" s="763" t="b">
        <v>0</v>
      </c>
      <c r="T338" s="763" t="b">
        <v>0</v>
      </c>
      <c r="U338" s="763" t="b">
        <v>0</v>
      </c>
      <c r="V338" s="763" t="b">
        <v>0</v>
      </c>
      <c r="W338" s="763" t="b">
        <v>0</v>
      </c>
      <c r="X338" s="11">
        <v>700.0</v>
      </c>
      <c r="Y338" s="11">
        <f t="shared" si="15"/>
        <v>700</v>
      </c>
      <c r="Z338" s="11" t="s">
        <v>347</v>
      </c>
      <c r="AA338" s="93"/>
      <c r="AB338" s="93"/>
      <c r="AC338" s="93" t="s">
        <v>1980</v>
      </c>
      <c r="AD338" s="217"/>
      <c r="AE338" s="11" t="str">
        <f>IMAGE("https://m.media-amazon.com/images/I/71vAZkeQh9L._SL1500_.jpg",1)</f>
        <v/>
      </c>
      <c r="AF338" s="73" t="s">
        <v>1689</v>
      </c>
      <c r="AG338" s="74"/>
      <c r="AH338" s="75"/>
      <c r="AI338" s="12"/>
      <c r="AJ338" s="11"/>
      <c r="AK338" s="11">
        <v>3.0</v>
      </c>
    </row>
    <row r="339" ht="40.5" customHeight="1">
      <c r="A339" s="11">
        <v>338.0</v>
      </c>
      <c r="B339" s="222" t="s">
        <v>342</v>
      </c>
      <c r="C339" s="222" t="s">
        <v>1406</v>
      </c>
      <c r="D339" s="232" t="s">
        <v>1407</v>
      </c>
      <c r="E339" s="233" t="s">
        <v>1400</v>
      </c>
      <c r="F339" s="222"/>
      <c r="G339" s="11" t="s">
        <v>2136</v>
      </c>
      <c r="H339" s="222">
        <v>2.0</v>
      </c>
      <c r="I339" s="763" t="b">
        <v>0</v>
      </c>
      <c r="J339" s="763" t="b">
        <v>0</v>
      </c>
      <c r="K339" s="763" t="b">
        <v>0</v>
      </c>
      <c r="L339" s="763" t="b">
        <v>0</v>
      </c>
      <c r="M339" s="763" t="b">
        <v>0</v>
      </c>
      <c r="N339" s="763" t="b">
        <v>0</v>
      </c>
      <c r="O339" s="763" t="b">
        <v>0</v>
      </c>
      <c r="P339" s="763" t="b">
        <v>0</v>
      </c>
      <c r="Q339" s="763" t="b">
        <v>0</v>
      </c>
      <c r="R339" s="763" t="b">
        <v>0</v>
      </c>
      <c r="S339" s="763" t="b">
        <v>0</v>
      </c>
      <c r="T339" s="763" t="b">
        <v>0</v>
      </c>
      <c r="U339" s="763" t="b">
        <v>0</v>
      </c>
      <c r="V339" s="763" t="b">
        <v>0</v>
      </c>
      <c r="W339" s="763" t="b">
        <v>0</v>
      </c>
      <c r="X339" s="222"/>
      <c r="Y339" s="222">
        <f t="shared" si="15"/>
        <v>0</v>
      </c>
      <c r="Z339" s="222" t="s">
        <v>347</v>
      </c>
      <c r="AA339" s="232" t="s">
        <v>65</v>
      </c>
      <c r="AB339" s="232" t="s">
        <v>2105</v>
      </c>
      <c r="AC339" s="232" t="s">
        <v>1980</v>
      </c>
      <c r="AD339" s="235" t="s">
        <v>1409</v>
      </c>
      <c r="AE339" s="222" t="str">
        <f>IMAGE("https://www.racknsell.com/public/thumbs/products/1138/pvc-solvent7_500_500.jpg",1)</f>
        <v/>
      </c>
      <c r="AF339" s="358"/>
      <c r="AG339" s="359"/>
      <c r="AH339" s="336"/>
      <c r="AI339" s="360"/>
      <c r="AJ339" s="222"/>
      <c r="AK339" s="222">
        <v>4.0</v>
      </c>
    </row>
    <row r="340" ht="40.5" customHeight="1">
      <c r="A340" s="11">
        <v>339.0</v>
      </c>
      <c r="B340" s="222" t="s">
        <v>342</v>
      </c>
      <c r="C340" s="222" t="s">
        <v>1411</v>
      </c>
      <c r="D340" s="232" t="s">
        <v>1412</v>
      </c>
      <c r="E340" s="233" t="s">
        <v>1400</v>
      </c>
      <c r="F340" s="222">
        <v>5.0</v>
      </c>
      <c r="G340" s="11" t="s">
        <v>2138</v>
      </c>
      <c r="H340" s="222">
        <v>5.0</v>
      </c>
      <c r="I340" s="763" t="b">
        <v>0</v>
      </c>
      <c r="J340" s="763" t="b">
        <v>0</v>
      </c>
      <c r="K340" s="763" t="b">
        <v>0</v>
      </c>
      <c r="L340" s="763" t="b">
        <v>0</v>
      </c>
      <c r="M340" s="763" t="b">
        <v>0</v>
      </c>
      <c r="N340" s="763" t="b">
        <v>0</v>
      </c>
      <c r="O340" s="763" t="b">
        <v>0</v>
      </c>
      <c r="P340" s="763" t="b">
        <v>0</v>
      </c>
      <c r="Q340" s="763" t="b">
        <v>0</v>
      </c>
      <c r="R340" s="763" t="b">
        <v>0</v>
      </c>
      <c r="S340" s="763" t="b">
        <v>0</v>
      </c>
      <c r="T340" s="763" t="b">
        <v>0</v>
      </c>
      <c r="U340" s="763" t="b">
        <v>0</v>
      </c>
      <c r="V340" s="763" t="b">
        <v>0</v>
      </c>
      <c r="W340" s="763" t="b">
        <v>0</v>
      </c>
      <c r="X340" s="222">
        <v>20.0</v>
      </c>
      <c r="Y340" s="222">
        <f t="shared" si="15"/>
        <v>100</v>
      </c>
      <c r="Z340" s="222" t="s">
        <v>347</v>
      </c>
      <c r="AA340" s="232"/>
      <c r="AB340" s="232" t="s">
        <v>2137</v>
      </c>
      <c r="AC340" s="232" t="s">
        <v>1980</v>
      </c>
      <c r="AD340" s="374" t="s">
        <v>1413</v>
      </c>
      <c r="AE340" s="222" t="str">
        <f>IMAGE("https://m.media-amazon.com/images/I/61saUYFEn9L._SL1500_.jpg",1)</f>
        <v/>
      </c>
      <c r="AF340" s="358"/>
      <c r="AG340" s="359"/>
      <c r="AH340" s="336"/>
      <c r="AI340" s="360"/>
      <c r="AJ340" s="222"/>
      <c r="AK340" s="222">
        <v>1.0</v>
      </c>
    </row>
    <row r="341" ht="40.5" customHeight="1">
      <c r="A341" s="11">
        <v>340.0</v>
      </c>
      <c r="B341" s="11" t="s">
        <v>342</v>
      </c>
      <c r="C341" s="11" t="s">
        <v>1415</v>
      </c>
      <c r="D341" s="93" t="s">
        <v>1416</v>
      </c>
      <c r="E341" s="215" t="s">
        <v>1400</v>
      </c>
      <c r="F341" s="11">
        <v>1.0</v>
      </c>
      <c r="G341" s="11" t="s">
        <v>2136</v>
      </c>
      <c r="H341" s="11">
        <v>1.0</v>
      </c>
      <c r="I341" s="763" t="b">
        <v>0</v>
      </c>
      <c r="J341" s="763" t="b">
        <v>0</v>
      </c>
      <c r="K341" s="763" t="b">
        <v>0</v>
      </c>
      <c r="L341" s="763" t="b">
        <v>0</v>
      </c>
      <c r="M341" s="763" t="b">
        <v>0</v>
      </c>
      <c r="N341" s="763" t="b">
        <v>0</v>
      </c>
      <c r="O341" s="763" t="b">
        <v>0</v>
      </c>
      <c r="P341" s="763" t="b">
        <v>0</v>
      </c>
      <c r="Q341" s="763" t="b">
        <v>0</v>
      </c>
      <c r="R341" s="763" t="b">
        <v>0</v>
      </c>
      <c r="S341" s="763" t="b">
        <v>0</v>
      </c>
      <c r="T341" s="763" t="b">
        <v>0</v>
      </c>
      <c r="U341" s="763" t="b">
        <v>0</v>
      </c>
      <c r="V341" s="763" t="b">
        <v>0</v>
      </c>
      <c r="W341" s="763" t="b">
        <v>0</v>
      </c>
      <c r="X341" s="11"/>
      <c r="Y341" s="11">
        <f t="shared" si="15"/>
        <v>0</v>
      </c>
      <c r="Z341" s="11" t="s">
        <v>347</v>
      </c>
      <c r="AA341" s="93"/>
      <c r="AB341" s="93"/>
      <c r="AC341" s="93" t="s">
        <v>1980</v>
      </c>
      <c r="AD341" s="217" t="s">
        <v>1417</v>
      </c>
      <c r="AE341" s="11" t="str">
        <f>IMAGE("https://m.media-amazon.com/images/I/61zRix8Lt0L._SL1500_.jpg",1)</f>
        <v/>
      </c>
      <c r="AF341" s="73" t="s">
        <v>1689</v>
      </c>
      <c r="AG341" s="74"/>
      <c r="AH341" s="75" t="s">
        <v>1729</v>
      </c>
      <c r="AI341" s="12"/>
      <c r="AJ341" s="11"/>
      <c r="AK341" s="11">
        <v>3.0</v>
      </c>
    </row>
    <row r="342" ht="40.5" customHeight="1">
      <c r="A342" s="11">
        <v>341.0</v>
      </c>
      <c r="B342" s="222" t="s">
        <v>15</v>
      </c>
      <c r="C342" s="222" t="s">
        <v>1419</v>
      </c>
      <c r="D342" s="232" t="s">
        <v>1420</v>
      </c>
      <c r="E342" s="233" t="s">
        <v>1421</v>
      </c>
      <c r="F342" s="222">
        <v>10.0</v>
      </c>
      <c r="G342" s="11" t="s">
        <v>2202</v>
      </c>
      <c r="H342" s="222">
        <v>10.0</v>
      </c>
      <c r="I342" s="763" t="b">
        <v>0</v>
      </c>
      <c r="J342" s="763" t="b">
        <v>0</v>
      </c>
      <c r="K342" s="763" t="b">
        <v>0</v>
      </c>
      <c r="L342" s="763" t="b">
        <v>0</v>
      </c>
      <c r="M342" s="763" t="b">
        <v>0</v>
      </c>
      <c r="N342" s="763" t="b">
        <v>0</v>
      </c>
      <c r="O342" s="763" t="b">
        <v>0</v>
      </c>
      <c r="P342" s="763" t="b">
        <v>0</v>
      </c>
      <c r="Q342" s="763" t="b">
        <v>0</v>
      </c>
      <c r="R342" s="763" t="b">
        <v>0</v>
      </c>
      <c r="S342" s="763" t="b">
        <v>0</v>
      </c>
      <c r="T342" s="763" t="b">
        <v>0</v>
      </c>
      <c r="U342" s="763" t="b">
        <v>0</v>
      </c>
      <c r="V342" s="763" t="b">
        <v>0</v>
      </c>
      <c r="W342" s="763" t="b">
        <v>0</v>
      </c>
      <c r="X342" s="222">
        <v>150.0</v>
      </c>
      <c r="Y342" s="222">
        <f t="shared" si="15"/>
        <v>1500</v>
      </c>
      <c r="Z342" s="222" t="s">
        <v>20</v>
      </c>
      <c r="AA342" s="232" t="s">
        <v>65</v>
      </c>
      <c r="AB342" s="232"/>
      <c r="AC342" s="232" t="s">
        <v>1899</v>
      </c>
      <c r="AD342" s="235" t="s">
        <v>1422</v>
      </c>
      <c r="AE342" s="222" t="str">
        <f>IMAGE("https://5.imimg.com/data5/AC/TD/VT/SELLER-14930302/milky-white-acrylic-sheet.jpg",1)</f>
        <v/>
      </c>
      <c r="AF342" s="644"/>
      <c r="AG342" s="359"/>
      <c r="AH342" s="336"/>
      <c r="AI342" s="360"/>
      <c r="AJ342" s="222"/>
      <c r="AK342" s="222">
        <v>3.0</v>
      </c>
    </row>
    <row r="343" ht="40.5" customHeight="1">
      <c r="A343" s="11">
        <v>342.0</v>
      </c>
      <c r="B343" s="11" t="s">
        <v>15</v>
      </c>
      <c r="C343" s="11" t="s">
        <v>1424</v>
      </c>
      <c r="D343" s="93" t="s">
        <v>1425</v>
      </c>
      <c r="E343" s="215" t="s">
        <v>1421</v>
      </c>
      <c r="F343" s="11">
        <v>5.0</v>
      </c>
      <c r="G343" s="11" t="s">
        <v>2011</v>
      </c>
      <c r="H343" s="11">
        <v>5.0</v>
      </c>
      <c r="I343" s="763" t="b">
        <v>0</v>
      </c>
      <c r="J343" s="763" t="b">
        <v>0</v>
      </c>
      <c r="K343" s="763" t="b">
        <v>0</v>
      </c>
      <c r="L343" s="763" t="b">
        <v>0</v>
      </c>
      <c r="M343" s="763" t="b">
        <v>0</v>
      </c>
      <c r="N343" s="763" t="b">
        <v>0</v>
      </c>
      <c r="O343" s="763" t="b">
        <v>0</v>
      </c>
      <c r="P343" s="763" t="b">
        <v>0</v>
      </c>
      <c r="Q343" s="763" t="b">
        <v>0</v>
      </c>
      <c r="R343" s="763" t="b">
        <v>0</v>
      </c>
      <c r="S343" s="763" t="b">
        <v>0</v>
      </c>
      <c r="T343" s="763" t="b">
        <v>0</v>
      </c>
      <c r="U343" s="763" t="b">
        <v>0</v>
      </c>
      <c r="V343" s="763" t="b">
        <v>0</v>
      </c>
      <c r="W343" s="763" t="b">
        <v>0</v>
      </c>
      <c r="X343" s="11">
        <v>300.0</v>
      </c>
      <c r="Y343" s="11">
        <f t="shared" si="15"/>
        <v>1500</v>
      </c>
      <c r="Z343" s="11" t="s">
        <v>20</v>
      </c>
      <c r="AA343" s="93" t="s">
        <v>65</v>
      </c>
      <c r="AB343" s="93" t="s">
        <v>2008</v>
      </c>
      <c r="AC343" s="93" t="s">
        <v>1892</v>
      </c>
      <c r="AD343" s="217" t="s">
        <v>1427</v>
      </c>
      <c r="AE343" s="11" t="str">
        <f>IMAGE("https://imgs.michaels.com/MAM/assets/1/5E3C12034D34434F8A9BAAFDDF0F8E1B/img/5CDBB82051B44720A8F8901B4AABD77C/10446567_2.jpg",1)</f>
        <v/>
      </c>
      <c r="AF343" s="333"/>
      <c r="AG343" s="74"/>
      <c r="AH343" s="75"/>
      <c r="AI343" s="12"/>
      <c r="AJ343" s="11"/>
      <c r="AK343" s="11">
        <v>1.0</v>
      </c>
    </row>
    <row r="344" ht="40.5" customHeight="1">
      <c r="A344" s="11">
        <v>343.0</v>
      </c>
      <c r="B344" s="11" t="s">
        <v>15</v>
      </c>
      <c r="C344" s="11" t="s">
        <v>1429</v>
      </c>
      <c r="D344" s="93" t="s">
        <v>1981</v>
      </c>
      <c r="E344" s="215" t="s">
        <v>1421</v>
      </c>
      <c r="F344" s="11">
        <v>5.0</v>
      </c>
      <c r="G344" s="11" t="s">
        <v>2139</v>
      </c>
      <c r="H344" s="11">
        <v>5.0</v>
      </c>
      <c r="I344" s="763" t="b">
        <v>0</v>
      </c>
      <c r="J344" s="763" t="b">
        <v>0</v>
      </c>
      <c r="K344" s="763" t="b">
        <v>0</v>
      </c>
      <c r="L344" s="763" t="b">
        <v>0</v>
      </c>
      <c r="M344" s="763" t="b">
        <v>0</v>
      </c>
      <c r="N344" s="763" t="b">
        <v>0</v>
      </c>
      <c r="O344" s="763" t="b">
        <v>0</v>
      </c>
      <c r="P344" s="763" t="b">
        <v>0</v>
      </c>
      <c r="Q344" s="763" t="b">
        <v>0</v>
      </c>
      <c r="R344" s="763" t="b">
        <v>0</v>
      </c>
      <c r="S344" s="763" t="b">
        <v>0</v>
      </c>
      <c r="T344" s="763" t="b">
        <v>0</v>
      </c>
      <c r="U344" s="763" t="b">
        <v>0</v>
      </c>
      <c r="V344" s="763" t="b">
        <v>0</v>
      </c>
      <c r="W344" s="763" t="b">
        <v>0</v>
      </c>
      <c r="X344" s="11">
        <v>200.0</v>
      </c>
      <c r="Y344" s="11">
        <f t="shared" si="15"/>
        <v>1000</v>
      </c>
      <c r="Z344" s="11" t="s">
        <v>20</v>
      </c>
      <c r="AA344" s="93" t="s">
        <v>65</v>
      </c>
      <c r="AB344" s="93" t="s">
        <v>1594</v>
      </c>
      <c r="AC344" s="93" t="s">
        <v>1892</v>
      </c>
      <c r="AD344" s="217"/>
      <c r="AE344" s="11" t="str">
        <f>IMAGE("https://upload.wikimedia.org/wikipedia/commons/7/79/Polymer_clay_examples.jpg",1)</f>
        <v/>
      </c>
      <c r="AF344" s="78"/>
      <c r="AG344" s="74"/>
      <c r="AH344" s="75"/>
      <c r="AI344" s="12"/>
      <c r="AJ344" s="11"/>
      <c r="AK344" s="11">
        <v>1.0</v>
      </c>
    </row>
    <row r="345" ht="40.5" customHeight="1">
      <c r="A345" s="11">
        <v>344.0</v>
      </c>
      <c r="B345" s="222" t="s">
        <v>15</v>
      </c>
      <c r="C345" s="222" t="s">
        <v>1433</v>
      </c>
      <c r="D345" s="232" t="s">
        <v>1982</v>
      </c>
      <c r="E345" s="233" t="s">
        <v>1421</v>
      </c>
      <c r="F345" s="234">
        <v>1.0</v>
      </c>
      <c r="G345" s="11" t="s">
        <v>2007</v>
      </c>
      <c r="H345" s="234">
        <v>1.0</v>
      </c>
      <c r="I345" s="763" t="b">
        <v>0</v>
      </c>
      <c r="J345" s="763" t="b">
        <v>0</v>
      </c>
      <c r="K345" s="763" t="b">
        <v>0</v>
      </c>
      <c r="L345" s="763" t="b">
        <v>0</v>
      </c>
      <c r="M345" s="763" t="b">
        <v>0</v>
      </c>
      <c r="N345" s="763" t="b">
        <v>0</v>
      </c>
      <c r="O345" s="763" t="b">
        <v>0</v>
      </c>
      <c r="P345" s="763" t="b">
        <v>0</v>
      </c>
      <c r="Q345" s="763" t="b">
        <v>0</v>
      </c>
      <c r="R345" s="763" t="b">
        <v>0</v>
      </c>
      <c r="S345" s="763" t="b">
        <v>0</v>
      </c>
      <c r="T345" s="763" t="b">
        <v>0</v>
      </c>
      <c r="U345" s="763" t="b">
        <v>0</v>
      </c>
      <c r="V345" s="763" t="b">
        <v>0</v>
      </c>
      <c r="W345" s="763" t="b">
        <v>0</v>
      </c>
      <c r="X345" s="234">
        <v>200.0</v>
      </c>
      <c r="Y345" s="222">
        <f t="shared" si="15"/>
        <v>200</v>
      </c>
      <c r="Z345" s="222" t="s">
        <v>20</v>
      </c>
      <c r="AA345" s="232" t="s">
        <v>21</v>
      </c>
      <c r="AB345" s="232"/>
      <c r="AC345" s="232" t="s">
        <v>1983</v>
      </c>
      <c r="AD345" s="235" t="s">
        <v>1436</v>
      </c>
      <c r="AE345" s="222" t="str">
        <f>IMAGE("https://m.media-amazon.com/images/I/81PowerIGsL._SL1500_.jpg")</f>
        <v/>
      </c>
      <c r="AF345" s="358"/>
      <c r="AG345" s="359"/>
      <c r="AH345" s="336"/>
      <c r="AI345" s="360"/>
      <c r="AJ345" s="222"/>
      <c r="AK345" s="222">
        <v>3.0</v>
      </c>
    </row>
    <row r="346" ht="40.5" customHeight="1">
      <c r="A346" s="11">
        <v>345.0</v>
      </c>
      <c r="B346" s="11" t="s">
        <v>15</v>
      </c>
      <c r="C346" s="11" t="s">
        <v>1438</v>
      </c>
      <c r="D346" s="93" t="s">
        <v>1439</v>
      </c>
      <c r="E346" s="215" t="s">
        <v>1421</v>
      </c>
      <c r="F346" s="216">
        <v>5.0</v>
      </c>
      <c r="G346" s="11" t="s">
        <v>2140</v>
      </c>
      <c r="H346" s="216">
        <v>5.0</v>
      </c>
      <c r="I346" s="763" t="b">
        <v>0</v>
      </c>
      <c r="J346" s="763" t="b">
        <v>0</v>
      </c>
      <c r="K346" s="763" t="b">
        <v>0</v>
      </c>
      <c r="L346" s="763" t="b">
        <v>0</v>
      </c>
      <c r="M346" s="763" t="b">
        <v>0</v>
      </c>
      <c r="N346" s="763" t="b">
        <v>0</v>
      </c>
      <c r="O346" s="763" t="b">
        <v>0</v>
      </c>
      <c r="P346" s="763" t="b">
        <v>0</v>
      </c>
      <c r="Q346" s="763" t="b">
        <v>0</v>
      </c>
      <c r="R346" s="763" t="b">
        <v>0</v>
      </c>
      <c r="S346" s="763" t="b">
        <v>0</v>
      </c>
      <c r="T346" s="763" t="b">
        <v>0</v>
      </c>
      <c r="U346" s="763" t="b">
        <v>0</v>
      </c>
      <c r="V346" s="763" t="b">
        <v>0</v>
      </c>
      <c r="W346" s="763" t="b">
        <v>0</v>
      </c>
      <c r="X346" s="216">
        <v>50.0</v>
      </c>
      <c r="Y346" s="11">
        <f t="shared" si="15"/>
        <v>250</v>
      </c>
      <c r="Z346" s="11" t="s">
        <v>20</v>
      </c>
      <c r="AA346" s="93" t="s">
        <v>21</v>
      </c>
      <c r="AB346" s="93"/>
      <c r="AC346" s="93" t="s">
        <v>1983</v>
      </c>
      <c r="AD346" s="217" t="s">
        <v>1440</v>
      </c>
      <c r="AE346" s="11" t="str">
        <f>IMAGE("https://cdn.shopify.com/s/files/1/0032/5448/5037/products/suvidha-aluminium-foil-72-meters-pack-of-12_800x.jpg?v=1562920856",1)</f>
        <v/>
      </c>
      <c r="AF346" s="78"/>
      <c r="AG346" s="74"/>
      <c r="AH346" s="75"/>
      <c r="AI346" s="12"/>
      <c r="AJ346" s="11"/>
      <c r="AK346" s="11">
        <v>3.0</v>
      </c>
    </row>
    <row r="347" ht="40.5" customHeight="1">
      <c r="A347" s="11">
        <v>346.0</v>
      </c>
      <c r="B347" s="222" t="s">
        <v>15</v>
      </c>
      <c r="C347" s="222" t="s">
        <v>1442</v>
      </c>
      <c r="D347" s="232" t="s">
        <v>936</v>
      </c>
      <c r="E347" s="233" t="s">
        <v>1421</v>
      </c>
      <c r="F347" s="234">
        <v>4.0</v>
      </c>
      <c r="G347" s="11" t="s">
        <v>2019</v>
      </c>
      <c r="H347" s="234">
        <v>4.0</v>
      </c>
      <c r="I347" s="763" t="b">
        <v>0</v>
      </c>
      <c r="J347" s="763" t="b">
        <v>0</v>
      </c>
      <c r="K347" s="763" t="b">
        <v>0</v>
      </c>
      <c r="L347" s="763" t="b">
        <v>0</v>
      </c>
      <c r="M347" s="763" t="b">
        <v>0</v>
      </c>
      <c r="N347" s="763" t="b">
        <v>0</v>
      </c>
      <c r="O347" s="763" t="b">
        <v>0</v>
      </c>
      <c r="P347" s="763" t="b">
        <v>0</v>
      </c>
      <c r="Q347" s="763" t="b">
        <v>0</v>
      </c>
      <c r="R347" s="763" t="b">
        <v>0</v>
      </c>
      <c r="S347" s="763" t="b">
        <v>0</v>
      </c>
      <c r="T347" s="763" t="b">
        <v>0</v>
      </c>
      <c r="U347" s="763" t="b">
        <v>0</v>
      </c>
      <c r="V347" s="763" t="b">
        <v>0</v>
      </c>
      <c r="W347" s="763" t="b">
        <v>0</v>
      </c>
      <c r="X347" s="234">
        <v>20.0</v>
      </c>
      <c r="Y347" s="222">
        <f t="shared" si="15"/>
        <v>80</v>
      </c>
      <c r="Z347" s="222" t="s">
        <v>20</v>
      </c>
      <c r="AA347" s="222"/>
      <c r="AB347" s="232" t="s">
        <v>1902</v>
      </c>
      <c r="AC347" s="232" t="s">
        <v>111</v>
      </c>
      <c r="AD347" s="235" t="s">
        <v>1443</v>
      </c>
      <c r="AE347" s="222" t="str">
        <f>IMAGE("https://m.media-amazon.com/images/I/61ywjiydpbS._SL1500_.jpg",1)</f>
        <v/>
      </c>
      <c r="AF347" s="358"/>
      <c r="AG347" s="359"/>
      <c r="AH347" s="336"/>
      <c r="AI347" s="360"/>
      <c r="AJ347" s="222"/>
      <c r="AK347" s="222">
        <v>1.0</v>
      </c>
    </row>
    <row r="348" ht="40.5" customHeight="1">
      <c r="A348" s="11">
        <v>347.0</v>
      </c>
      <c r="B348" s="11" t="s">
        <v>15</v>
      </c>
      <c r="C348" s="11" t="s">
        <v>1453</v>
      </c>
      <c r="D348" s="93" t="s">
        <v>1454</v>
      </c>
      <c r="E348" s="215" t="s">
        <v>1421</v>
      </c>
      <c r="F348" s="216">
        <v>50.0</v>
      </c>
      <c r="G348" s="11" t="s">
        <v>2141</v>
      </c>
      <c r="H348" s="216">
        <v>50.0</v>
      </c>
      <c r="I348" s="763" t="b">
        <v>0</v>
      </c>
      <c r="J348" s="763" t="b">
        <v>0</v>
      </c>
      <c r="K348" s="763" t="b">
        <v>0</v>
      </c>
      <c r="L348" s="763" t="b">
        <v>0</v>
      </c>
      <c r="M348" s="763" t="b">
        <v>0</v>
      </c>
      <c r="N348" s="763" t="b">
        <v>0</v>
      </c>
      <c r="O348" s="763" t="b">
        <v>0</v>
      </c>
      <c r="P348" s="763" t="b">
        <v>0</v>
      </c>
      <c r="Q348" s="763" t="b">
        <v>0</v>
      </c>
      <c r="R348" s="763" t="b">
        <v>0</v>
      </c>
      <c r="S348" s="763" t="b">
        <v>0</v>
      </c>
      <c r="T348" s="763" t="b">
        <v>0</v>
      </c>
      <c r="U348" s="763" t="b">
        <v>0</v>
      </c>
      <c r="V348" s="763" t="b">
        <v>0</v>
      </c>
      <c r="W348" s="763" t="b">
        <v>0</v>
      </c>
      <c r="X348" s="216">
        <v>50.0</v>
      </c>
      <c r="Y348" s="11">
        <f t="shared" si="15"/>
        <v>2500</v>
      </c>
      <c r="Z348" s="11" t="s">
        <v>20</v>
      </c>
      <c r="AA348" s="93" t="s">
        <v>65</v>
      </c>
      <c r="AB348" s="93"/>
      <c r="AC348" s="93" t="s">
        <v>111</v>
      </c>
      <c r="AD348" s="217" t="s">
        <v>1455</v>
      </c>
      <c r="AE348" s="11" t="str">
        <f>IMAGE("https://cdn11.bigcommerce.com/s-33iv1gdknl/images/stencil/1280x1280/products/115465/70691/prd_32014_5797121027228__12010.1559545680.jpg?c=2",1)</f>
        <v/>
      </c>
      <c r="AF348" s="78"/>
      <c r="AG348" s="74"/>
      <c r="AH348" s="75"/>
      <c r="AI348" s="5"/>
      <c r="AJ348" s="14"/>
      <c r="AK348" s="11">
        <v>3.0</v>
      </c>
    </row>
    <row r="349" ht="40.5" customHeight="1">
      <c r="A349" s="11">
        <v>348.0</v>
      </c>
      <c r="B349" s="11" t="s">
        <v>15</v>
      </c>
      <c r="C349" s="11" t="s">
        <v>1457</v>
      </c>
      <c r="D349" s="93" t="s">
        <v>1458</v>
      </c>
      <c r="E349" s="215" t="s">
        <v>1421</v>
      </c>
      <c r="F349" s="216">
        <v>10.0</v>
      </c>
      <c r="G349" s="11" t="s">
        <v>2142</v>
      </c>
      <c r="H349" s="216">
        <v>10.0</v>
      </c>
      <c r="I349" s="763" t="b">
        <v>0</v>
      </c>
      <c r="J349" s="763" t="b">
        <v>0</v>
      </c>
      <c r="K349" s="763" t="b">
        <v>0</v>
      </c>
      <c r="L349" s="763" t="b">
        <v>0</v>
      </c>
      <c r="M349" s="763" t="b">
        <v>0</v>
      </c>
      <c r="N349" s="763" t="b">
        <v>0</v>
      </c>
      <c r="O349" s="763" t="b">
        <v>0</v>
      </c>
      <c r="P349" s="763" t="b">
        <v>0</v>
      </c>
      <c r="Q349" s="763" t="b">
        <v>0</v>
      </c>
      <c r="R349" s="763" t="b">
        <v>0</v>
      </c>
      <c r="S349" s="763" t="b">
        <v>0</v>
      </c>
      <c r="T349" s="763" t="b">
        <v>0</v>
      </c>
      <c r="U349" s="763" t="b">
        <v>0</v>
      </c>
      <c r="V349" s="763" t="b">
        <v>0</v>
      </c>
      <c r="W349" s="763" t="b">
        <v>0</v>
      </c>
      <c r="X349" s="216">
        <v>280.0</v>
      </c>
      <c r="Y349" s="11">
        <f t="shared" si="15"/>
        <v>2800</v>
      </c>
      <c r="Z349" s="11" t="s">
        <v>20</v>
      </c>
      <c r="AA349" s="93" t="s">
        <v>65</v>
      </c>
      <c r="AB349" s="93"/>
      <c r="AC349" s="93" t="s">
        <v>1985</v>
      </c>
      <c r="AD349" s="217"/>
      <c r="AE349" s="11" t="str">
        <f>IMAGE("https://assetscdn1.paytm.com/images/catalog/product/S/ST/STAEVA-FOAM-SHEKAPI63599336D8CB51/1563562065545_0..jpg?imwidth=320&amp;impolicy=hq",1)</f>
        <v/>
      </c>
      <c r="AF349" s="78"/>
      <c r="AG349" s="74"/>
      <c r="AH349" s="75"/>
      <c r="AI349" s="12"/>
      <c r="AJ349" s="11"/>
      <c r="AK349" s="11">
        <v>3.0</v>
      </c>
    </row>
    <row r="350" ht="40.5" customHeight="1">
      <c r="A350" s="11">
        <v>349.0</v>
      </c>
      <c r="B350" s="11" t="s">
        <v>15</v>
      </c>
      <c r="C350" s="11" t="s">
        <v>1445</v>
      </c>
      <c r="D350" s="93" t="s">
        <v>1446</v>
      </c>
      <c r="E350" s="215" t="s">
        <v>1421</v>
      </c>
      <c r="F350" s="216">
        <v>5.0</v>
      </c>
      <c r="G350" s="11" t="s">
        <v>2143</v>
      </c>
      <c r="H350" s="216">
        <v>5.0</v>
      </c>
      <c r="I350" s="763" t="b">
        <v>0</v>
      </c>
      <c r="J350" s="763" t="b">
        <v>0</v>
      </c>
      <c r="K350" s="763" t="b">
        <v>0</v>
      </c>
      <c r="L350" s="763" t="b">
        <v>0</v>
      </c>
      <c r="M350" s="763" t="b">
        <v>0</v>
      </c>
      <c r="N350" s="763" t="b">
        <v>0</v>
      </c>
      <c r="O350" s="763" t="b">
        <v>0</v>
      </c>
      <c r="P350" s="763" t="b">
        <v>0</v>
      </c>
      <c r="Q350" s="763" t="b">
        <v>0</v>
      </c>
      <c r="R350" s="763" t="b">
        <v>0</v>
      </c>
      <c r="S350" s="763" t="b">
        <v>0</v>
      </c>
      <c r="T350" s="763" t="b">
        <v>0</v>
      </c>
      <c r="U350" s="763" t="b">
        <v>0</v>
      </c>
      <c r="V350" s="763" t="b">
        <v>0</v>
      </c>
      <c r="W350" s="763" t="b">
        <v>0</v>
      </c>
      <c r="X350" s="216">
        <v>100.0</v>
      </c>
      <c r="Y350" s="11">
        <f t="shared" si="15"/>
        <v>500</v>
      </c>
      <c r="Z350" s="11" t="s">
        <v>20</v>
      </c>
      <c r="AA350" s="93" t="s">
        <v>65</v>
      </c>
      <c r="AB350" s="123"/>
      <c r="AC350" s="93" t="s">
        <v>1985</v>
      </c>
      <c r="AD350" s="217" t="s">
        <v>1447</v>
      </c>
      <c r="AE350" s="11" t="str">
        <f t="shared" ref="AE350:AE351" si="17">IMAGE("https://m.media-amazon.com/images/I/51FB8cHTJyL._SL1500_.jpg",1)</f>
        <v/>
      </c>
      <c r="AF350" s="78"/>
      <c r="AG350" s="74"/>
      <c r="AH350" s="75"/>
      <c r="AI350" s="12"/>
      <c r="AJ350" s="11"/>
      <c r="AK350" s="11">
        <v>3.0</v>
      </c>
    </row>
    <row r="351" ht="40.5" customHeight="1">
      <c r="A351" s="11">
        <v>350.0</v>
      </c>
      <c r="B351" s="11" t="s">
        <v>15</v>
      </c>
      <c r="C351" s="11" t="s">
        <v>1449</v>
      </c>
      <c r="D351" s="93" t="s">
        <v>1450</v>
      </c>
      <c r="E351" s="215" t="s">
        <v>1421</v>
      </c>
      <c r="F351" s="216">
        <v>5.0</v>
      </c>
      <c r="G351" s="11" t="s">
        <v>2143</v>
      </c>
      <c r="H351" s="216">
        <v>5.0</v>
      </c>
      <c r="I351" s="763" t="b">
        <v>0</v>
      </c>
      <c r="J351" s="763" t="b">
        <v>0</v>
      </c>
      <c r="K351" s="763" t="b">
        <v>0</v>
      </c>
      <c r="L351" s="763" t="b">
        <v>0</v>
      </c>
      <c r="M351" s="763" t="b">
        <v>0</v>
      </c>
      <c r="N351" s="763" t="b">
        <v>0</v>
      </c>
      <c r="O351" s="763" t="b">
        <v>0</v>
      </c>
      <c r="P351" s="763" t="b">
        <v>0</v>
      </c>
      <c r="Q351" s="763" t="b">
        <v>0</v>
      </c>
      <c r="R351" s="763" t="b">
        <v>0</v>
      </c>
      <c r="S351" s="763" t="b">
        <v>0</v>
      </c>
      <c r="T351" s="763" t="b">
        <v>0</v>
      </c>
      <c r="U351" s="763" t="b">
        <v>0</v>
      </c>
      <c r="V351" s="763" t="b">
        <v>0</v>
      </c>
      <c r="W351" s="763" t="b">
        <v>0</v>
      </c>
      <c r="X351" s="216">
        <v>200.0</v>
      </c>
      <c r="Y351" s="11">
        <f t="shared" si="15"/>
        <v>1000</v>
      </c>
      <c r="Z351" s="11" t="s">
        <v>20</v>
      </c>
      <c r="AA351" s="93" t="s">
        <v>65</v>
      </c>
      <c r="AB351" s="123"/>
      <c r="AC351" s="93" t="s">
        <v>1985</v>
      </c>
      <c r="AD351" s="217" t="s">
        <v>1451</v>
      </c>
      <c r="AE351" s="11" t="str">
        <f t="shared" si="17"/>
        <v/>
      </c>
      <c r="AF351" s="78"/>
      <c r="AG351" s="74"/>
      <c r="AH351" s="75"/>
      <c r="AI351" s="12"/>
      <c r="AJ351" s="11"/>
      <c r="AK351" s="11">
        <v>3.0</v>
      </c>
    </row>
    <row r="352" ht="40.5" customHeight="1">
      <c r="A352" s="11">
        <v>351.0</v>
      </c>
      <c r="B352" s="11" t="s">
        <v>15</v>
      </c>
      <c r="C352" s="11" t="s">
        <v>1460</v>
      </c>
      <c r="D352" s="93" t="s">
        <v>1461</v>
      </c>
      <c r="E352" s="215" t="s">
        <v>1421</v>
      </c>
      <c r="F352" s="216">
        <v>1.0</v>
      </c>
      <c r="G352" s="11" t="s">
        <v>1984</v>
      </c>
      <c r="H352" s="216">
        <v>1.0</v>
      </c>
      <c r="I352" s="763" t="b">
        <v>0</v>
      </c>
      <c r="J352" s="763" t="b">
        <v>0</v>
      </c>
      <c r="K352" s="763" t="b">
        <v>0</v>
      </c>
      <c r="L352" s="763" t="b">
        <v>0</v>
      </c>
      <c r="M352" s="763" t="b">
        <v>0</v>
      </c>
      <c r="N352" s="763" t="b">
        <v>0</v>
      </c>
      <c r="O352" s="763" t="b">
        <v>0</v>
      </c>
      <c r="P352" s="763" t="b">
        <v>0</v>
      </c>
      <c r="Q352" s="763" t="b">
        <v>0</v>
      </c>
      <c r="R352" s="763" t="b">
        <v>0</v>
      </c>
      <c r="S352" s="763" t="b">
        <v>0</v>
      </c>
      <c r="T352" s="763" t="b">
        <v>0</v>
      </c>
      <c r="U352" s="763" t="b">
        <v>0</v>
      </c>
      <c r="V352" s="763" t="b">
        <v>0</v>
      </c>
      <c r="W352" s="763" t="b">
        <v>0</v>
      </c>
      <c r="X352" s="216">
        <v>400.0</v>
      </c>
      <c r="Y352" s="11">
        <f t="shared" si="15"/>
        <v>400</v>
      </c>
      <c r="Z352" s="11" t="s">
        <v>20</v>
      </c>
      <c r="AA352" s="93" t="s">
        <v>65</v>
      </c>
      <c r="AB352" s="93"/>
      <c r="AC352" s="93" t="s">
        <v>1899</v>
      </c>
      <c r="AD352" s="217" t="s">
        <v>1463</v>
      </c>
      <c r="AE352" s="11" t="str">
        <f>IMAGE("https://5.imimg.com/data5/NA/SV/MA/SELLER-5806248/transparent-ohp-sheet-1000x1000.jpg",1)</f>
        <v/>
      </c>
      <c r="AF352" s="78"/>
      <c r="AG352" s="74"/>
      <c r="AH352" s="75"/>
      <c r="AI352" s="12"/>
      <c r="AJ352" s="11"/>
      <c r="AK352" s="11">
        <v>3.0</v>
      </c>
    </row>
    <row r="353" ht="40.5" customHeight="1">
      <c r="A353" s="11">
        <v>352.0</v>
      </c>
      <c r="B353" s="11" t="s">
        <v>15</v>
      </c>
      <c r="C353" s="11" t="s">
        <v>1465</v>
      </c>
      <c r="D353" s="93" t="s">
        <v>1466</v>
      </c>
      <c r="E353" s="215" t="s">
        <v>1421</v>
      </c>
      <c r="F353" s="216">
        <v>10.0</v>
      </c>
      <c r="G353" s="11" t="s">
        <v>2142</v>
      </c>
      <c r="H353" s="216">
        <v>10.0</v>
      </c>
      <c r="I353" s="763" t="b">
        <v>0</v>
      </c>
      <c r="J353" s="763" t="b">
        <v>0</v>
      </c>
      <c r="K353" s="763" t="b">
        <v>0</v>
      </c>
      <c r="L353" s="763" t="b">
        <v>0</v>
      </c>
      <c r="M353" s="763" t="b">
        <v>0</v>
      </c>
      <c r="N353" s="763" t="b">
        <v>0</v>
      </c>
      <c r="O353" s="763" t="b">
        <v>0</v>
      </c>
      <c r="P353" s="763" t="b">
        <v>0</v>
      </c>
      <c r="Q353" s="763" t="b">
        <v>0</v>
      </c>
      <c r="R353" s="763" t="b">
        <v>0</v>
      </c>
      <c r="S353" s="763" t="b">
        <v>0</v>
      </c>
      <c r="T353" s="763" t="b">
        <v>0</v>
      </c>
      <c r="U353" s="763" t="b">
        <v>0</v>
      </c>
      <c r="V353" s="763" t="b">
        <v>0</v>
      </c>
      <c r="W353" s="763" t="b">
        <v>0</v>
      </c>
      <c r="X353" s="216">
        <v>72.0</v>
      </c>
      <c r="Y353" s="11">
        <f t="shared" si="15"/>
        <v>720</v>
      </c>
      <c r="Z353" s="11" t="s">
        <v>20</v>
      </c>
      <c r="AA353" s="93" t="s">
        <v>65</v>
      </c>
      <c r="AB353" s="93"/>
      <c r="AC353" s="93" t="s">
        <v>1985</v>
      </c>
      <c r="AD353" s="223" t="s">
        <v>1467</v>
      </c>
      <c r="AE353" s="11" t="str">
        <f>IMAGE("https://www.ramsayrubber.com/wp-content/uploads/2020/01/Rolls-Sheeting-Polyurethane-Foam-Rolls2-1.jpg",1)</f>
        <v/>
      </c>
      <c r="AF353" s="78"/>
      <c r="AG353" s="74"/>
      <c r="AH353" s="75"/>
      <c r="AI353" s="12"/>
      <c r="AJ353" s="11"/>
      <c r="AK353" s="11">
        <v>3.0</v>
      </c>
    </row>
    <row r="354" ht="40.5" customHeight="1">
      <c r="A354" s="11">
        <v>353.0</v>
      </c>
      <c r="B354" s="11" t="s">
        <v>15</v>
      </c>
      <c r="C354" s="11" t="s">
        <v>1469</v>
      </c>
      <c r="D354" s="93" t="s">
        <v>1470</v>
      </c>
      <c r="E354" s="215" t="s">
        <v>1421</v>
      </c>
      <c r="F354" s="216">
        <v>1.0</v>
      </c>
      <c r="G354" s="11" t="s">
        <v>2007</v>
      </c>
      <c r="H354" s="216">
        <v>1.0</v>
      </c>
      <c r="I354" s="763" t="b">
        <v>0</v>
      </c>
      <c r="J354" s="763" t="b">
        <v>0</v>
      </c>
      <c r="K354" s="763" t="b">
        <v>0</v>
      </c>
      <c r="L354" s="763" t="b">
        <v>0</v>
      </c>
      <c r="M354" s="763" t="b">
        <v>0</v>
      </c>
      <c r="N354" s="763" t="b">
        <v>0</v>
      </c>
      <c r="O354" s="763" t="b">
        <v>0</v>
      </c>
      <c r="P354" s="763" t="b">
        <v>0</v>
      </c>
      <c r="Q354" s="763" t="b">
        <v>0</v>
      </c>
      <c r="R354" s="763" t="b">
        <v>0</v>
      </c>
      <c r="S354" s="763" t="b">
        <v>0</v>
      </c>
      <c r="T354" s="763" t="b">
        <v>0</v>
      </c>
      <c r="U354" s="763" t="b">
        <v>0</v>
      </c>
      <c r="V354" s="763" t="b">
        <v>0</v>
      </c>
      <c r="W354" s="763" t="b">
        <v>0</v>
      </c>
      <c r="X354" s="216">
        <v>400.0</v>
      </c>
      <c r="Y354" s="11">
        <f t="shared" si="15"/>
        <v>400</v>
      </c>
      <c r="Z354" s="11" t="s">
        <v>20</v>
      </c>
      <c r="AA354" s="93" t="s">
        <v>21</v>
      </c>
      <c r="AB354" s="93"/>
      <c r="AC354" s="93" t="s">
        <v>111</v>
      </c>
      <c r="AD354" s="217" t="s">
        <v>1471</v>
      </c>
      <c r="AE354" s="11" t="str">
        <f>IMAGE("https://www.wpiinc.com/media/catalog/product/cache/57a65487c9a4c9d3ba2482ad45cfc757/5/0/503023.jpg",1)</f>
        <v/>
      </c>
      <c r="AF354" s="78"/>
      <c r="AG354" s="74"/>
      <c r="AH354" s="75"/>
      <c r="AI354" s="12"/>
      <c r="AJ354" s="11"/>
      <c r="AK354" s="11">
        <v>3.0</v>
      </c>
    </row>
    <row r="355" ht="40.5" customHeight="1">
      <c r="A355" s="11">
        <v>354.0</v>
      </c>
      <c r="B355" s="222" t="s">
        <v>1472</v>
      </c>
      <c r="C355" s="222" t="s">
        <v>1474</v>
      </c>
      <c r="D355" s="232" t="s">
        <v>1475</v>
      </c>
      <c r="E355" s="233" t="s">
        <v>1476</v>
      </c>
      <c r="F355" s="234">
        <v>1.0</v>
      </c>
      <c r="G355" s="11" t="s">
        <v>2144</v>
      </c>
      <c r="H355" s="234">
        <v>1.0</v>
      </c>
      <c r="I355" s="763" t="b">
        <v>0</v>
      </c>
      <c r="J355" s="763" t="b">
        <v>0</v>
      </c>
      <c r="K355" s="763" t="b">
        <v>0</v>
      </c>
      <c r="L355" s="763" t="b">
        <v>0</v>
      </c>
      <c r="M355" s="763" t="b">
        <v>0</v>
      </c>
      <c r="N355" s="763" t="b">
        <v>0</v>
      </c>
      <c r="O355" s="763" t="b">
        <v>0</v>
      </c>
      <c r="P355" s="763" t="b">
        <v>0</v>
      </c>
      <c r="Q355" s="763" t="b">
        <v>0</v>
      </c>
      <c r="R355" s="763" t="b">
        <v>0</v>
      </c>
      <c r="S355" s="763" t="b">
        <v>0</v>
      </c>
      <c r="T355" s="763" t="b">
        <v>0</v>
      </c>
      <c r="U355" s="763" t="b">
        <v>0</v>
      </c>
      <c r="V355" s="763" t="b">
        <v>0</v>
      </c>
      <c r="W355" s="763" t="b">
        <v>0</v>
      </c>
      <c r="X355" s="234">
        <v>500.0</v>
      </c>
      <c r="Y355" s="222">
        <f t="shared" si="15"/>
        <v>500</v>
      </c>
      <c r="Z355" s="222" t="s">
        <v>1477</v>
      </c>
      <c r="AA355" s="232"/>
      <c r="AB355" s="232"/>
      <c r="AC355" s="232" t="s">
        <v>1986</v>
      </c>
      <c r="AD355" s="235" t="s">
        <v>1478</v>
      </c>
      <c r="AE355" s="222" t="str">
        <f>IMAGE("https://rukminim1.flixcart.com/image/416/416/jj367bk0/fire-extinguisher-mount/w/s/y/2-kg-abc-type-fire-extinguisher-safepro-original-imaf6h7fkdngmbqd.jpeg?q=70",1)</f>
        <v/>
      </c>
      <c r="AF355" s="358"/>
      <c r="AG355" s="359"/>
      <c r="AH355" s="336"/>
      <c r="AI355" s="360"/>
      <c r="AJ355" s="222"/>
      <c r="AK355" s="222">
        <v>3.0</v>
      </c>
    </row>
    <row r="356" ht="40.5" customHeight="1">
      <c r="A356" s="11">
        <v>355.0</v>
      </c>
      <c r="B356" s="222" t="s">
        <v>1472</v>
      </c>
      <c r="C356" s="222" t="s">
        <v>1480</v>
      </c>
      <c r="D356" s="232" t="s">
        <v>1481</v>
      </c>
      <c r="E356" s="233" t="s">
        <v>1476</v>
      </c>
      <c r="F356" s="234">
        <v>1.0</v>
      </c>
      <c r="G356" s="11" t="s">
        <v>2144</v>
      </c>
      <c r="H356" s="234">
        <v>1.0</v>
      </c>
      <c r="I356" s="763" t="b">
        <v>0</v>
      </c>
      <c r="J356" s="763" t="b">
        <v>0</v>
      </c>
      <c r="K356" s="763" t="b">
        <v>0</v>
      </c>
      <c r="L356" s="763" t="b">
        <v>0</v>
      </c>
      <c r="M356" s="763" t="b">
        <v>0</v>
      </c>
      <c r="N356" s="763" t="b">
        <v>0</v>
      </c>
      <c r="O356" s="763" t="b">
        <v>0</v>
      </c>
      <c r="P356" s="763" t="b">
        <v>0</v>
      </c>
      <c r="Q356" s="763" t="b">
        <v>0</v>
      </c>
      <c r="R356" s="763" t="b">
        <v>0</v>
      </c>
      <c r="S356" s="763" t="b">
        <v>0</v>
      </c>
      <c r="T356" s="763" t="b">
        <v>0</v>
      </c>
      <c r="U356" s="763" t="b">
        <v>0</v>
      </c>
      <c r="V356" s="763" t="b">
        <v>0</v>
      </c>
      <c r="W356" s="763" t="b">
        <v>0</v>
      </c>
      <c r="X356" s="234">
        <v>850.0</v>
      </c>
      <c r="Y356" s="222">
        <f t="shared" si="15"/>
        <v>850</v>
      </c>
      <c r="Z356" s="222" t="s">
        <v>1477</v>
      </c>
      <c r="AA356" s="232"/>
      <c r="AB356" s="232"/>
      <c r="AC356" s="232" t="s">
        <v>1986</v>
      </c>
      <c r="AD356" s="235" t="s">
        <v>1482</v>
      </c>
      <c r="AE356" s="222" t="str">
        <f>IMAGE("https://m.media-amazon.com/images/I/61UHX6mp+wL._AC_UF894,1000_QL80_.jpg",1)</f>
        <v/>
      </c>
      <c r="AF356" s="358" t="s">
        <v>56</v>
      </c>
      <c r="AG356" s="359"/>
      <c r="AH356" s="336"/>
      <c r="AI356" s="639"/>
      <c r="AJ356" s="222"/>
      <c r="AK356" s="222">
        <v>3.0</v>
      </c>
    </row>
    <row r="357" ht="40.5" customHeight="1">
      <c r="A357" s="11">
        <v>356.0</v>
      </c>
      <c r="B357" s="222" t="s">
        <v>1472</v>
      </c>
      <c r="C357" s="222" t="s">
        <v>1484</v>
      </c>
      <c r="D357" s="232" t="s">
        <v>1485</v>
      </c>
      <c r="E357" s="233" t="s">
        <v>1476</v>
      </c>
      <c r="F357" s="234">
        <v>1.0</v>
      </c>
      <c r="G357" s="11" t="s">
        <v>2144</v>
      </c>
      <c r="H357" s="234">
        <v>1.0</v>
      </c>
      <c r="I357" s="763" t="b">
        <v>0</v>
      </c>
      <c r="J357" s="763" t="b">
        <v>0</v>
      </c>
      <c r="K357" s="763" t="b">
        <v>0</v>
      </c>
      <c r="L357" s="763" t="b">
        <v>0</v>
      </c>
      <c r="M357" s="763" t="b">
        <v>0</v>
      </c>
      <c r="N357" s="763" t="b">
        <v>0</v>
      </c>
      <c r="O357" s="763" t="b">
        <v>0</v>
      </c>
      <c r="P357" s="763" t="b">
        <v>0</v>
      </c>
      <c r="Q357" s="763" t="b">
        <v>0</v>
      </c>
      <c r="R357" s="763" t="b">
        <v>0</v>
      </c>
      <c r="S357" s="763" t="b">
        <v>0</v>
      </c>
      <c r="T357" s="763" t="b">
        <v>0</v>
      </c>
      <c r="U357" s="763" t="b">
        <v>0</v>
      </c>
      <c r="V357" s="763" t="b">
        <v>0</v>
      </c>
      <c r="W357" s="763" t="b">
        <v>0</v>
      </c>
      <c r="X357" s="234">
        <v>500.0</v>
      </c>
      <c r="Y357" s="222">
        <f t="shared" si="15"/>
        <v>500</v>
      </c>
      <c r="Z357" s="222" t="s">
        <v>1477</v>
      </c>
      <c r="AA357" s="232"/>
      <c r="AB357" s="232"/>
      <c r="AC357" s="232" t="s">
        <v>1986</v>
      </c>
      <c r="AD357" s="235" t="s">
        <v>1486</v>
      </c>
      <c r="AE357" s="222" t="str">
        <f>IMAGE("https://m.media-amazon.com/images/I/41yRsXk89rS._SX355_.jpg",1)</f>
        <v/>
      </c>
      <c r="AF357" s="358"/>
      <c r="AG357" s="359"/>
      <c r="AH357" s="336"/>
      <c r="AI357" s="639"/>
      <c r="AJ357" s="222"/>
      <c r="AK357" s="222">
        <v>3.0</v>
      </c>
    </row>
    <row r="358" ht="40.5" customHeight="1">
      <c r="A358" s="11">
        <v>357.0</v>
      </c>
      <c r="B358" s="11" t="s">
        <v>1472</v>
      </c>
      <c r="C358" s="11" t="s">
        <v>1488</v>
      </c>
      <c r="D358" s="93" t="s">
        <v>1489</v>
      </c>
      <c r="E358" s="215" t="s">
        <v>1476</v>
      </c>
      <c r="F358" s="11">
        <v>5.0</v>
      </c>
      <c r="G358" s="221" t="s">
        <v>2145</v>
      </c>
      <c r="H358" s="11">
        <v>5.0</v>
      </c>
      <c r="I358" s="763" t="b">
        <v>0</v>
      </c>
      <c r="J358" s="763" t="b">
        <v>0</v>
      </c>
      <c r="K358" s="763" t="b">
        <v>0</v>
      </c>
      <c r="L358" s="763" t="b">
        <v>0</v>
      </c>
      <c r="M358" s="763" t="b">
        <v>0</v>
      </c>
      <c r="N358" s="763" t="b">
        <v>0</v>
      </c>
      <c r="O358" s="763" t="b">
        <v>0</v>
      </c>
      <c r="P358" s="763" t="b">
        <v>0</v>
      </c>
      <c r="Q358" s="763" t="b">
        <v>0</v>
      </c>
      <c r="R358" s="763" t="b">
        <v>0</v>
      </c>
      <c r="S358" s="763" t="b">
        <v>0</v>
      </c>
      <c r="T358" s="763" t="b">
        <v>0</v>
      </c>
      <c r="U358" s="763" t="b">
        <v>0</v>
      </c>
      <c r="V358" s="763" t="b">
        <v>0</v>
      </c>
      <c r="W358" s="763" t="b">
        <v>0</v>
      </c>
      <c r="X358" s="11">
        <v>500.0</v>
      </c>
      <c r="Y358" s="11">
        <f t="shared" si="15"/>
        <v>2500</v>
      </c>
      <c r="Z358" s="11" t="s">
        <v>1477</v>
      </c>
      <c r="AA358" s="93"/>
      <c r="AB358" s="93"/>
      <c r="AC358" s="93" t="s">
        <v>1986</v>
      </c>
      <c r="AD358" s="217" t="s">
        <v>1490</v>
      </c>
      <c r="AE358" s="11" t="str">
        <f>IMAGE("https://5.imimg.com/data5/AR/LM/NG/SELLER-21409398/lab-uniform-500x500.jpg",1)</f>
        <v/>
      </c>
      <c r="AF358" s="78"/>
      <c r="AG358" s="74"/>
      <c r="AH358" s="75"/>
      <c r="AI358" s="33"/>
      <c r="AJ358" s="11"/>
      <c r="AK358" s="11">
        <v>3.0</v>
      </c>
    </row>
    <row r="359" ht="40.5" customHeight="1">
      <c r="A359" s="11">
        <v>358.0</v>
      </c>
      <c r="B359" s="11" t="s">
        <v>1472</v>
      </c>
      <c r="C359" s="11" t="s">
        <v>1492</v>
      </c>
      <c r="D359" s="93" t="s">
        <v>1493</v>
      </c>
      <c r="E359" s="215" t="s">
        <v>1476</v>
      </c>
      <c r="F359" s="216">
        <v>2.0</v>
      </c>
      <c r="G359" s="221" t="s">
        <v>2145</v>
      </c>
      <c r="H359" s="216">
        <v>2.0</v>
      </c>
      <c r="I359" s="763" t="b">
        <v>0</v>
      </c>
      <c r="J359" s="763" t="b">
        <v>0</v>
      </c>
      <c r="K359" s="763" t="b">
        <v>0</v>
      </c>
      <c r="L359" s="763" t="b">
        <v>0</v>
      </c>
      <c r="M359" s="763" t="b">
        <v>0</v>
      </c>
      <c r="N359" s="763" t="b">
        <v>0</v>
      </c>
      <c r="O359" s="763" t="b">
        <v>0</v>
      </c>
      <c r="P359" s="763" t="b">
        <v>0</v>
      </c>
      <c r="Q359" s="763" t="b">
        <v>0</v>
      </c>
      <c r="R359" s="763" t="b">
        <v>0</v>
      </c>
      <c r="S359" s="763" t="b">
        <v>0</v>
      </c>
      <c r="T359" s="763" t="b">
        <v>0</v>
      </c>
      <c r="U359" s="763" t="b">
        <v>0</v>
      </c>
      <c r="V359" s="763" t="b">
        <v>0</v>
      </c>
      <c r="W359" s="763" t="b">
        <v>0</v>
      </c>
      <c r="X359" s="216">
        <v>100.0</v>
      </c>
      <c r="Y359" s="11">
        <f t="shared" si="15"/>
        <v>200</v>
      </c>
      <c r="Z359" s="11" t="s">
        <v>1477</v>
      </c>
      <c r="AA359" s="93"/>
      <c r="AB359" s="93" t="s">
        <v>2052</v>
      </c>
      <c r="AC359" s="93" t="s">
        <v>1986</v>
      </c>
      <c r="AD359" s="217" t="s">
        <v>1494</v>
      </c>
      <c r="AE359" s="11" t="str">
        <f>IMAGE("https://cdn.moglix.com/p/oBWcDtePyNEFP.jpg",1)</f>
        <v/>
      </c>
      <c r="AF359" s="78"/>
      <c r="AG359" s="74"/>
      <c r="AH359" s="75"/>
      <c r="AI359" s="33"/>
      <c r="AJ359" s="11"/>
      <c r="AK359" s="11">
        <v>3.0</v>
      </c>
    </row>
    <row r="360" ht="40.5" customHeight="1">
      <c r="A360" s="11">
        <v>359.0</v>
      </c>
      <c r="B360" s="222" t="s">
        <v>1472</v>
      </c>
      <c r="C360" s="222" t="s">
        <v>1496</v>
      </c>
      <c r="D360" s="232" t="s">
        <v>1497</v>
      </c>
      <c r="E360" s="233" t="s">
        <v>1476</v>
      </c>
      <c r="F360" s="222">
        <v>5.0</v>
      </c>
      <c r="G360" s="221" t="s">
        <v>2145</v>
      </c>
      <c r="H360" s="222">
        <v>5.0</v>
      </c>
      <c r="I360" s="763" t="b">
        <v>0</v>
      </c>
      <c r="J360" s="763" t="b">
        <v>0</v>
      </c>
      <c r="K360" s="763" t="b">
        <v>0</v>
      </c>
      <c r="L360" s="763" t="b">
        <v>0</v>
      </c>
      <c r="M360" s="763" t="b">
        <v>0</v>
      </c>
      <c r="N360" s="763" t="b">
        <v>0</v>
      </c>
      <c r="O360" s="763" t="b">
        <v>0</v>
      </c>
      <c r="P360" s="763" t="b">
        <v>0</v>
      </c>
      <c r="Q360" s="763" t="b">
        <v>0</v>
      </c>
      <c r="R360" s="763" t="b">
        <v>0</v>
      </c>
      <c r="S360" s="763" t="b">
        <v>0</v>
      </c>
      <c r="T360" s="763" t="b">
        <v>0</v>
      </c>
      <c r="U360" s="763" t="b">
        <v>0</v>
      </c>
      <c r="V360" s="763" t="b">
        <v>0</v>
      </c>
      <c r="W360" s="763" t="b">
        <v>0</v>
      </c>
      <c r="X360" s="222"/>
      <c r="Y360" s="222">
        <v>100.0</v>
      </c>
      <c r="Z360" s="222" t="s">
        <v>1477</v>
      </c>
      <c r="AA360" s="232"/>
      <c r="AB360" s="232"/>
      <c r="AC360" s="232" t="s">
        <v>1986</v>
      </c>
      <c r="AD360" s="235" t="s">
        <v>1498</v>
      </c>
      <c r="AE360" s="222" t="str">
        <f>IMAGE("https://5.imimg.com/data5/SELLER/Default/2023/5/311302937/IM/IY/MO/34533827/safety-rubber-apron-1000x1000.jpg", 1)</f>
        <v/>
      </c>
      <c r="AF360" s="358"/>
      <c r="AG360" s="359"/>
      <c r="AH360" s="336"/>
      <c r="AI360" s="639"/>
      <c r="AJ360" s="222"/>
      <c r="AK360" s="222">
        <v>3.0</v>
      </c>
    </row>
    <row r="361" ht="40.5" customHeight="1">
      <c r="A361" s="11">
        <v>360.0</v>
      </c>
      <c r="B361" s="254" t="s">
        <v>1472</v>
      </c>
      <c r="C361" s="254" t="s">
        <v>1500</v>
      </c>
      <c r="D361" s="362" t="s">
        <v>1501</v>
      </c>
      <c r="E361" s="363" t="s">
        <v>1476</v>
      </c>
      <c r="F361" s="364">
        <v>15.0</v>
      </c>
      <c r="G361" s="370" t="s">
        <v>2206</v>
      </c>
      <c r="H361" s="364">
        <v>15.0</v>
      </c>
      <c r="I361" s="763" t="b">
        <v>0</v>
      </c>
      <c r="J361" s="763" t="b">
        <v>0</v>
      </c>
      <c r="K361" s="763" t="b">
        <v>0</v>
      </c>
      <c r="L361" s="763" t="b">
        <v>0</v>
      </c>
      <c r="M361" s="763" t="b">
        <v>0</v>
      </c>
      <c r="N361" s="763" t="b">
        <v>0</v>
      </c>
      <c r="O361" s="763" t="b">
        <v>0</v>
      </c>
      <c r="P361" s="763" t="b">
        <v>0</v>
      </c>
      <c r="Q361" s="763" t="b">
        <v>0</v>
      </c>
      <c r="R361" s="763" t="b">
        <v>0</v>
      </c>
      <c r="S361" s="763" t="b">
        <v>0</v>
      </c>
      <c r="T361" s="763" t="b">
        <v>0</v>
      </c>
      <c r="U361" s="763" t="b">
        <v>0</v>
      </c>
      <c r="V361" s="763" t="b">
        <v>0</v>
      </c>
      <c r="W361" s="763" t="b">
        <v>0</v>
      </c>
      <c r="X361" s="364">
        <v>70.0</v>
      </c>
      <c r="Y361" s="254">
        <f t="shared" ref="Y361:Y406" si="18">X361*H361</f>
        <v>1050</v>
      </c>
      <c r="Z361" s="254" t="s">
        <v>1477</v>
      </c>
      <c r="AA361" s="362"/>
      <c r="AB361" s="362" t="s">
        <v>1594</v>
      </c>
      <c r="AC361" s="362" t="s">
        <v>1986</v>
      </c>
      <c r="AD361" s="365" t="s">
        <v>1502</v>
      </c>
      <c r="AE361" s="254" t="str">
        <f>IMAGE("https://5.imimg.com/data5/DM/UP/MY-3422722/latex-coated-gloves-500x500.jpg",1)</f>
        <v/>
      </c>
      <c r="AF361" s="641"/>
      <c r="AG361" s="642"/>
      <c r="AH361" s="368"/>
      <c r="AI361" s="643"/>
      <c r="AJ361" s="254"/>
      <c r="AK361" s="254">
        <v>1.0</v>
      </c>
    </row>
    <row r="362" ht="40.5" customHeight="1">
      <c r="A362" s="11">
        <v>361.0</v>
      </c>
      <c r="B362" s="222" t="s">
        <v>1472</v>
      </c>
      <c r="C362" s="222" t="s">
        <v>1504</v>
      </c>
      <c r="D362" s="232" t="s">
        <v>1505</v>
      </c>
      <c r="E362" s="233" t="s">
        <v>1476</v>
      </c>
      <c r="F362" s="234">
        <v>30.0</v>
      </c>
      <c r="G362" s="370" t="s">
        <v>2207</v>
      </c>
      <c r="H362" s="234">
        <v>30.0</v>
      </c>
      <c r="I362" s="763" t="b">
        <v>0</v>
      </c>
      <c r="J362" s="763" t="b">
        <v>0</v>
      </c>
      <c r="K362" s="763" t="b">
        <v>0</v>
      </c>
      <c r="L362" s="763" t="b">
        <v>0</v>
      </c>
      <c r="M362" s="763" t="b">
        <v>0</v>
      </c>
      <c r="N362" s="763" t="b">
        <v>0</v>
      </c>
      <c r="O362" s="763" t="b">
        <v>0</v>
      </c>
      <c r="P362" s="763" t="b">
        <v>0</v>
      </c>
      <c r="Q362" s="763" t="b">
        <v>0</v>
      </c>
      <c r="R362" s="763" t="b">
        <v>0</v>
      </c>
      <c r="S362" s="763" t="b">
        <v>0</v>
      </c>
      <c r="T362" s="763" t="b">
        <v>0</v>
      </c>
      <c r="U362" s="763" t="b">
        <v>0</v>
      </c>
      <c r="V362" s="763" t="b">
        <v>0</v>
      </c>
      <c r="W362" s="763" t="b">
        <v>0</v>
      </c>
      <c r="X362" s="234">
        <v>20.0</v>
      </c>
      <c r="Y362" s="222">
        <f t="shared" si="18"/>
        <v>600</v>
      </c>
      <c r="Z362" s="222" t="s">
        <v>1477</v>
      </c>
      <c r="AA362" s="232"/>
      <c r="AB362" s="232" t="s">
        <v>2008</v>
      </c>
      <c r="AC362" s="232" t="s">
        <v>1986</v>
      </c>
      <c r="AD362" s="235" t="s">
        <v>1506</v>
      </c>
      <c r="AE362" s="222" t="str">
        <f>IMAGE("https://5.imimg.com/data5/RD/NQ/ZF/SELLER-67911650/safety-goggles.jpg")</f>
        <v/>
      </c>
      <c r="AF362" s="644"/>
      <c r="AG362" s="359"/>
      <c r="AH362" s="336"/>
      <c r="AI362" s="639"/>
      <c r="AJ362" s="222"/>
      <c r="AK362" s="222">
        <v>1.0</v>
      </c>
    </row>
    <row r="363" ht="40.5" customHeight="1">
      <c r="A363" s="11">
        <v>362.0</v>
      </c>
      <c r="B363" s="222" t="s">
        <v>1472</v>
      </c>
      <c r="C363" s="222" t="s">
        <v>1508</v>
      </c>
      <c r="D363" s="232" t="s">
        <v>1509</v>
      </c>
      <c r="E363" s="233" t="s">
        <v>1476</v>
      </c>
      <c r="F363" s="234">
        <v>60.0</v>
      </c>
      <c r="G363" s="11" t="s">
        <v>2208</v>
      </c>
      <c r="H363" s="234">
        <v>60.0</v>
      </c>
      <c r="I363" s="763" t="b">
        <v>0</v>
      </c>
      <c r="J363" s="763" t="b">
        <v>0</v>
      </c>
      <c r="K363" s="763" t="b">
        <v>0</v>
      </c>
      <c r="L363" s="763" t="b">
        <v>0</v>
      </c>
      <c r="M363" s="763" t="b">
        <v>0</v>
      </c>
      <c r="N363" s="763" t="b">
        <v>0</v>
      </c>
      <c r="O363" s="763" t="b">
        <v>0</v>
      </c>
      <c r="P363" s="763" t="b">
        <v>0</v>
      </c>
      <c r="Q363" s="763" t="b">
        <v>0</v>
      </c>
      <c r="R363" s="763" t="b">
        <v>0</v>
      </c>
      <c r="S363" s="763" t="b">
        <v>0</v>
      </c>
      <c r="T363" s="763" t="b">
        <v>0</v>
      </c>
      <c r="U363" s="763" t="b">
        <v>0</v>
      </c>
      <c r="V363" s="763" t="b">
        <v>0</v>
      </c>
      <c r="W363" s="763" t="b">
        <v>0</v>
      </c>
      <c r="X363" s="234">
        <v>150.0</v>
      </c>
      <c r="Y363" s="222">
        <f t="shared" si="18"/>
        <v>9000</v>
      </c>
      <c r="Z363" s="222" t="s">
        <v>1477</v>
      </c>
      <c r="AA363" s="232"/>
      <c r="AB363" s="232" t="s">
        <v>1594</v>
      </c>
      <c r="AC363" s="232" t="s">
        <v>1986</v>
      </c>
      <c r="AD363" s="235" t="s">
        <v>1510</v>
      </c>
      <c r="AE363" s="222" t="str">
        <f>IMAGE("https://img2.exportersindia.com/product_images/bc-full/dir_151/4514764/dust-masks-1499837104-3125900.jpg",1)</f>
        <v/>
      </c>
      <c r="AF363" s="358"/>
      <c r="AG363" s="359"/>
      <c r="AH363" s="336"/>
      <c r="AI363" s="639"/>
      <c r="AJ363" s="222"/>
      <c r="AK363" s="222">
        <v>1.0</v>
      </c>
    </row>
    <row r="364" ht="40.5" customHeight="1">
      <c r="A364" s="11">
        <v>363.0</v>
      </c>
      <c r="B364" s="11" t="s">
        <v>173</v>
      </c>
      <c r="C364" s="11" t="s">
        <v>1512</v>
      </c>
      <c r="D364" s="37" t="s">
        <v>1767</v>
      </c>
      <c r="E364" s="215" t="s">
        <v>1514</v>
      </c>
      <c r="F364" s="216">
        <v>10.0</v>
      </c>
      <c r="G364" s="11" t="s">
        <v>1768</v>
      </c>
      <c r="H364" s="216">
        <v>10.0</v>
      </c>
      <c r="I364" s="763" t="b">
        <v>0</v>
      </c>
      <c r="J364" s="763" t="b">
        <v>0</v>
      </c>
      <c r="K364" s="763" t="b">
        <v>0</v>
      </c>
      <c r="L364" s="763" t="b">
        <v>0</v>
      </c>
      <c r="M364" s="763" t="b">
        <v>0</v>
      </c>
      <c r="N364" s="763" t="b">
        <v>0</v>
      </c>
      <c r="O364" s="763" t="b">
        <v>0</v>
      </c>
      <c r="P364" s="763" t="b">
        <v>0</v>
      </c>
      <c r="Q364" s="763" t="b">
        <v>0</v>
      </c>
      <c r="R364" s="763" t="b">
        <v>0</v>
      </c>
      <c r="S364" s="763" t="b">
        <v>0</v>
      </c>
      <c r="T364" s="763" t="b">
        <v>0</v>
      </c>
      <c r="U364" s="763" t="b">
        <v>0</v>
      </c>
      <c r="V364" s="763" t="b">
        <v>0</v>
      </c>
      <c r="W364" s="763" t="b">
        <v>0</v>
      </c>
      <c r="X364" s="216">
        <v>300.0</v>
      </c>
      <c r="Y364" s="11">
        <f t="shared" si="18"/>
        <v>3000</v>
      </c>
      <c r="Z364" s="11" t="s">
        <v>178</v>
      </c>
      <c r="AA364" s="93"/>
      <c r="AB364" s="93" t="s">
        <v>2062</v>
      </c>
      <c r="AC364" s="215" t="s">
        <v>1514</v>
      </c>
      <c r="AD364" s="217" t="s">
        <v>1515</v>
      </c>
      <c r="AE364" s="11" t="str">
        <f>IMAGE("https://m.media-amazon.com/images/I/61PFvg8BbeL._SL1500_.jpg",1)</f>
        <v/>
      </c>
      <c r="AF364" s="78" t="s">
        <v>1688</v>
      </c>
      <c r="AG364" s="74"/>
      <c r="AH364" s="75"/>
      <c r="AI364" s="12"/>
      <c r="AJ364" s="11"/>
      <c r="AK364" s="12">
        <v>1.0</v>
      </c>
    </row>
    <row r="365" ht="40.5" customHeight="1">
      <c r="A365" s="11">
        <v>364.0</v>
      </c>
      <c r="B365" s="11" t="s">
        <v>173</v>
      </c>
      <c r="C365" s="11" t="s">
        <v>1517</v>
      </c>
      <c r="D365" s="93" t="s">
        <v>1824</v>
      </c>
      <c r="E365" s="215" t="s">
        <v>1514</v>
      </c>
      <c r="F365" s="216">
        <v>5.0</v>
      </c>
      <c r="G365" s="11" t="s">
        <v>1823</v>
      </c>
      <c r="H365" s="216">
        <v>5.0</v>
      </c>
      <c r="I365" s="763" t="b">
        <v>0</v>
      </c>
      <c r="J365" s="763" t="b">
        <v>0</v>
      </c>
      <c r="K365" s="763" t="b">
        <v>0</v>
      </c>
      <c r="L365" s="763" t="b">
        <v>0</v>
      </c>
      <c r="M365" s="763" t="b">
        <v>0</v>
      </c>
      <c r="N365" s="763" t="b">
        <v>0</v>
      </c>
      <c r="O365" s="763" t="b">
        <v>0</v>
      </c>
      <c r="P365" s="763" t="b">
        <v>0</v>
      </c>
      <c r="Q365" s="763" t="b">
        <v>0</v>
      </c>
      <c r="R365" s="763" t="b">
        <v>0</v>
      </c>
      <c r="S365" s="763" t="b">
        <v>0</v>
      </c>
      <c r="T365" s="763" t="b">
        <v>0</v>
      </c>
      <c r="U365" s="763" t="b">
        <v>0</v>
      </c>
      <c r="V365" s="763" t="b">
        <v>0</v>
      </c>
      <c r="W365" s="763" t="b">
        <v>0</v>
      </c>
      <c r="X365" s="216">
        <v>30.0</v>
      </c>
      <c r="Y365" s="11">
        <f t="shared" si="18"/>
        <v>150</v>
      </c>
      <c r="Z365" s="11" t="s">
        <v>178</v>
      </c>
      <c r="AA365" s="93"/>
      <c r="AB365" s="93" t="s">
        <v>2070</v>
      </c>
      <c r="AC365" s="215" t="s">
        <v>1514</v>
      </c>
      <c r="AD365" s="217" t="s">
        <v>1519</v>
      </c>
      <c r="AE365" s="11" t="str">
        <f>IMAGE("https://robu.in/wp-content/uploads/2017/06/31100-2.jpg",1)</f>
        <v/>
      </c>
      <c r="AF365" s="78" t="s">
        <v>1688</v>
      </c>
      <c r="AG365" s="74"/>
      <c r="AH365" s="75"/>
      <c r="AI365" s="12"/>
      <c r="AJ365" s="11"/>
      <c r="AK365" s="12">
        <v>1.0</v>
      </c>
    </row>
    <row r="366" ht="40.5" customHeight="1">
      <c r="A366" s="11">
        <v>365.0</v>
      </c>
      <c r="B366" s="11" t="s">
        <v>173</v>
      </c>
      <c r="C366" s="11" t="s">
        <v>1521</v>
      </c>
      <c r="D366" s="93" t="s">
        <v>1744</v>
      </c>
      <c r="E366" s="215" t="s">
        <v>1514</v>
      </c>
      <c r="F366" s="216">
        <v>5.0</v>
      </c>
      <c r="G366" s="11" t="s">
        <v>1774</v>
      </c>
      <c r="H366" s="216">
        <v>5.0</v>
      </c>
      <c r="I366" s="763" t="b">
        <v>0</v>
      </c>
      <c r="J366" s="763" t="b">
        <v>0</v>
      </c>
      <c r="K366" s="763" t="b">
        <v>0</v>
      </c>
      <c r="L366" s="763" t="b">
        <v>0</v>
      </c>
      <c r="M366" s="763" t="b">
        <v>0</v>
      </c>
      <c r="N366" s="763" t="b">
        <v>0</v>
      </c>
      <c r="O366" s="763" t="b">
        <v>0</v>
      </c>
      <c r="P366" s="763" t="b">
        <v>0</v>
      </c>
      <c r="Q366" s="763" t="b">
        <v>0</v>
      </c>
      <c r="R366" s="763" t="b">
        <v>0</v>
      </c>
      <c r="S366" s="763" t="b">
        <v>0</v>
      </c>
      <c r="T366" s="763" t="b">
        <v>0</v>
      </c>
      <c r="U366" s="763" t="b">
        <v>0</v>
      </c>
      <c r="V366" s="763" t="b">
        <v>0</v>
      </c>
      <c r="W366" s="763" t="b">
        <v>0</v>
      </c>
      <c r="X366" s="216">
        <v>200.0</v>
      </c>
      <c r="Y366" s="11">
        <f t="shared" si="18"/>
        <v>1000</v>
      </c>
      <c r="Z366" s="11" t="s">
        <v>178</v>
      </c>
      <c r="AA366" s="93"/>
      <c r="AB366" s="93" t="s">
        <v>2070</v>
      </c>
      <c r="AC366" s="215" t="s">
        <v>1514</v>
      </c>
      <c r="AD366" s="217" t="s">
        <v>1523</v>
      </c>
      <c r="AE366" s="11" t="str">
        <f>IMAGE("https://m.media-amazon.com/images/W/MEDIAX_792452-T2/images/I/71PSVpNRPuL._SL1500_.jpg",1)</f>
        <v/>
      </c>
      <c r="AF366" s="78" t="s">
        <v>1688</v>
      </c>
      <c r="AG366" s="74"/>
      <c r="AH366" s="75"/>
      <c r="AI366" s="12"/>
      <c r="AJ366" s="11"/>
      <c r="AK366" s="12">
        <v>1.0</v>
      </c>
    </row>
    <row r="367" ht="40.5" customHeight="1">
      <c r="A367" s="11">
        <v>366.0</v>
      </c>
      <c r="B367" s="11" t="s">
        <v>173</v>
      </c>
      <c r="C367" s="11" t="s">
        <v>1525</v>
      </c>
      <c r="D367" s="93" t="s">
        <v>1526</v>
      </c>
      <c r="E367" s="215" t="s">
        <v>1514</v>
      </c>
      <c r="F367" s="216">
        <v>5.0</v>
      </c>
      <c r="G367" s="11" t="s">
        <v>1784</v>
      </c>
      <c r="H367" s="216">
        <v>5.0</v>
      </c>
      <c r="I367" s="763" t="b">
        <v>0</v>
      </c>
      <c r="J367" s="763" t="b">
        <v>0</v>
      </c>
      <c r="K367" s="763" t="b">
        <v>0</v>
      </c>
      <c r="L367" s="763" t="b">
        <v>0</v>
      </c>
      <c r="M367" s="763" t="b">
        <v>0</v>
      </c>
      <c r="N367" s="763" t="b">
        <v>0</v>
      </c>
      <c r="O367" s="763" t="b">
        <v>0</v>
      </c>
      <c r="P367" s="763" t="b">
        <v>0</v>
      </c>
      <c r="Q367" s="763" t="b">
        <v>0</v>
      </c>
      <c r="R367" s="763" t="b">
        <v>0</v>
      </c>
      <c r="S367" s="763" t="b">
        <v>0</v>
      </c>
      <c r="T367" s="763" t="b">
        <v>0</v>
      </c>
      <c r="U367" s="763" t="b">
        <v>0</v>
      </c>
      <c r="V367" s="763" t="b">
        <v>0</v>
      </c>
      <c r="W367" s="763" t="b">
        <v>0</v>
      </c>
      <c r="X367" s="216">
        <v>250.0</v>
      </c>
      <c r="Y367" s="11">
        <f t="shared" si="18"/>
        <v>1250</v>
      </c>
      <c r="Z367" s="11" t="s">
        <v>178</v>
      </c>
      <c r="AA367" s="93"/>
      <c r="AB367" s="93" t="s">
        <v>2070</v>
      </c>
      <c r="AC367" s="215" t="s">
        <v>1514</v>
      </c>
      <c r="AD367" s="217" t="s">
        <v>1527</v>
      </c>
      <c r="AE367" s="11" t="str">
        <f>IMAGE("https://robu.in/wp-content/uploads/2016/08/2-1.jpg",1)</f>
        <v/>
      </c>
      <c r="AF367" s="78" t="s">
        <v>1688</v>
      </c>
      <c r="AG367" s="74"/>
      <c r="AH367" s="75"/>
      <c r="AI367" s="12"/>
      <c r="AJ367" s="11"/>
      <c r="AK367" s="12">
        <v>1.0</v>
      </c>
    </row>
    <row r="368" ht="40.5" customHeight="1">
      <c r="A368" s="11">
        <v>367.0</v>
      </c>
      <c r="B368" s="11" t="s">
        <v>173</v>
      </c>
      <c r="C368" s="11" t="s">
        <v>1529</v>
      </c>
      <c r="D368" s="93" t="s">
        <v>1530</v>
      </c>
      <c r="E368" s="215" t="s">
        <v>1514</v>
      </c>
      <c r="F368" s="216">
        <v>5.0</v>
      </c>
      <c r="G368" s="11" t="s">
        <v>1783</v>
      </c>
      <c r="H368" s="216">
        <v>5.0</v>
      </c>
      <c r="I368" s="763" t="b">
        <v>0</v>
      </c>
      <c r="J368" s="763" t="b">
        <v>0</v>
      </c>
      <c r="K368" s="763" t="b">
        <v>0</v>
      </c>
      <c r="L368" s="763" t="b">
        <v>0</v>
      </c>
      <c r="M368" s="763" t="b">
        <v>0</v>
      </c>
      <c r="N368" s="763" t="b">
        <v>0</v>
      </c>
      <c r="O368" s="763" t="b">
        <v>0</v>
      </c>
      <c r="P368" s="763" t="b">
        <v>0</v>
      </c>
      <c r="Q368" s="763" t="b">
        <v>0</v>
      </c>
      <c r="R368" s="763" t="b">
        <v>0</v>
      </c>
      <c r="S368" s="763" t="b">
        <v>0</v>
      </c>
      <c r="T368" s="763" t="b">
        <v>0</v>
      </c>
      <c r="U368" s="763" t="b">
        <v>0</v>
      </c>
      <c r="V368" s="763" t="b">
        <v>0</v>
      </c>
      <c r="W368" s="763" t="b">
        <v>0</v>
      </c>
      <c r="X368" s="216">
        <v>250.0</v>
      </c>
      <c r="Y368" s="11">
        <f t="shared" si="18"/>
        <v>1250</v>
      </c>
      <c r="Z368" s="11" t="s">
        <v>178</v>
      </c>
      <c r="AA368" s="93"/>
      <c r="AB368" s="93" t="s">
        <v>2070</v>
      </c>
      <c r="AC368" s="215" t="s">
        <v>1514</v>
      </c>
      <c r="AD368" s="217" t="s">
        <v>1531</v>
      </c>
      <c r="AE368" s="11" t="str">
        <f>IMAGE("https://5.imimg.com/data5/SELLER/Default/2023/1/KQ/RE/WN/37611021/unique-india-force-pressure-sensor-square-500x500.jpg",1)</f>
        <v/>
      </c>
      <c r="AF368" s="78" t="s">
        <v>1688</v>
      </c>
      <c r="AG368" s="74"/>
      <c r="AH368" s="75"/>
      <c r="AI368" s="12"/>
      <c r="AJ368" s="11"/>
      <c r="AK368" s="12">
        <v>1.0</v>
      </c>
    </row>
    <row r="369" ht="40.5" customHeight="1">
      <c r="A369" s="11">
        <v>368.0</v>
      </c>
      <c r="B369" s="11" t="s">
        <v>173</v>
      </c>
      <c r="C369" s="11" t="s">
        <v>1533</v>
      </c>
      <c r="D369" s="93" t="s">
        <v>1781</v>
      </c>
      <c r="E369" s="215" t="s">
        <v>1514</v>
      </c>
      <c r="F369" s="216">
        <v>10.0</v>
      </c>
      <c r="G369" s="11" t="s">
        <v>1782</v>
      </c>
      <c r="H369" s="216">
        <v>10.0</v>
      </c>
      <c r="I369" s="763" t="b">
        <v>0</v>
      </c>
      <c r="J369" s="763" t="b">
        <v>0</v>
      </c>
      <c r="K369" s="763" t="b">
        <v>0</v>
      </c>
      <c r="L369" s="763" t="b">
        <v>0</v>
      </c>
      <c r="M369" s="763" t="b">
        <v>0</v>
      </c>
      <c r="N369" s="763" t="b">
        <v>0</v>
      </c>
      <c r="O369" s="763" t="b">
        <v>0</v>
      </c>
      <c r="P369" s="763" t="b">
        <v>0</v>
      </c>
      <c r="Q369" s="763" t="b">
        <v>0</v>
      </c>
      <c r="R369" s="763" t="b">
        <v>0</v>
      </c>
      <c r="S369" s="763" t="b">
        <v>0</v>
      </c>
      <c r="T369" s="763" t="b">
        <v>0</v>
      </c>
      <c r="U369" s="763" t="b">
        <v>0</v>
      </c>
      <c r="V369" s="763" t="b">
        <v>0</v>
      </c>
      <c r="W369" s="763" t="b">
        <v>0</v>
      </c>
      <c r="X369" s="216">
        <v>300.0</v>
      </c>
      <c r="Y369" s="11">
        <f t="shared" si="18"/>
        <v>3000</v>
      </c>
      <c r="Z369" s="11" t="s">
        <v>178</v>
      </c>
      <c r="AA369" s="93"/>
      <c r="AB369" s="93" t="s">
        <v>2062</v>
      </c>
      <c r="AC369" s="215" t="s">
        <v>1514</v>
      </c>
      <c r="AD369" s="217" t="s">
        <v>1535</v>
      </c>
      <c r="AE369" s="11" t="str">
        <f>IMAGE("https://m.media-amazon.com/images/W/MEDIAX_792452-T2/images/I/61e+2rew8OL._SL1011_.jpg",1)</f>
        <v/>
      </c>
      <c r="AF369" s="78" t="s">
        <v>1688</v>
      </c>
      <c r="AG369" s="74"/>
      <c r="AH369" s="75"/>
      <c r="AI369" s="12"/>
      <c r="AJ369" s="11"/>
      <c r="AK369" s="12">
        <v>1.0</v>
      </c>
    </row>
    <row r="370" ht="40.5" customHeight="1">
      <c r="A370" s="11">
        <v>369.0</v>
      </c>
      <c r="B370" s="11" t="s">
        <v>173</v>
      </c>
      <c r="C370" s="11" t="s">
        <v>1537</v>
      </c>
      <c r="D370" s="93" t="s">
        <v>1791</v>
      </c>
      <c r="E370" s="215" t="s">
        <v>1514</v>
      </c>
      <c r="F370" s="216">
        <v>5.0</v>
      </c>
      <c r="G370" s="11" t="s">
        <v>1788</v>
      </c>
      <c r="H370" s="216">
        <v>5.0</v>
      </c>
      <c r="I370" s="763" t="b">
        <v>0</v>
      </c>
      <c r="J370" s="763" t="b">
        <v>0</v>
      </c>
      <c r="K370" s="763" t="b">
        <v>0</v>
      </c>
      <c r="L370" s="763" t="b">
        <v>0</v>
      </c>
      <c r="M370" s="763" t="b">
        <v>0</v>
      </c>
      <c r="N370" s="763" t="b">
        <v>0</v>
      </c>
      <c r="O370" s="763" t="b">
        <v>0</v>
      </c>
      <c r="P370" s="763" t="b">
        <v>0</v>
      </c>
      <c r="Q370" s="763" t="b">
        <v>0</v>
      </c>
      <c r="R370" s="763" t="b">
        <v>0</v>
      </c>
      <c r="S370" s="763" t="b">
        <v>0</v>
      </c>
      <c r="T370" s="763" t="b">
        <v>0</v>
      </c>
      <c r="U370" s="763" t="b">
        <v>0</v>
      </c>
      <c r="V370" s="763" t="b">
        <v>0</v>
      </c>
      <c r="W370" s="763" t="b">
        <v>0</v>
      </c>
      <c r="X370" s="216">
        <v>30.0</v>
      </c>
      <c r="Y370" s="11">
        <f t="shared" si="18"/>
        <v>150</v>
      </c>
      <c r="Z370" s="11" t="s">
        <v>178</v>
      </c>
      <c r="AA370" s="93"/>
      <c r="AB370" s="93" t="s">
        <v>2070</v>
      </c>
      <c r="AC370" s="215" t="s">
        <v>1514</v>
      </c>
      <c r="AD370" s="217" t="s">
        <v>1539</v>
      </c>
      <c r="AE370" s="11" t="str">
        <f>IMAGE("https://makerbazar.in/cdn/shop/products/IR_transmitter-receiver_-_TSOP_1738_600x.jpg?v=1582114496",1)</f>
        <v/>
      </c>
      <c r="AF370" s="78" t="s">
        <v>1688</v>
      </c>
      <c r="AG370" s="74"/>
      <c r="AH370" s="75"/>
      <c r="AI370" s="12"/>
      <c r="AJ370" s="11"/>
      <c r="AK370" s="12">
        <v>1.0</v>
      </c>
    </row>
    <row r="371" ht="40.5" customHeight="1">
      <c r="A371" s="11">
        <v>370.0</v>
      </c>
      <c r="B371" s="11" t="s">
        <v>173</v>
      </c>
      <c r="C371" s="11" t="s">
        <v>1541</v>
      </c>
      <c r="D371" s="93" t="s">
        <v>1786</v>
      </c>
      <c r="E371" s="215" t="s">
        <v>1514</v>
      </c>
      <c r="F371" s="216">
        <v>5.0</v>
      </c>
      <c r="G371" s="11" t="s">
        <v>1787</v>
      </c>
      <c r="H371" s="216">
        <v>5.0</v>
      </c>
      <c r="I371" s="763" t="b">
        <v>0</v>
      </c>
      <c r="J371" s="763" t="b">
        <v>0</v>
      </c>
      <c r="K371" s="763" t="b">
        <v>0</v>
      </c>
      <c r="L371" s="763" t="b">
        <v>0</v>
      </c>
      <c r="M371" s="763" t="b">
        <v>0</v>
      </c>
      <c r="N371" s="763" t="b">
        <v>0</v>
      </c>
      <c r="O371" s="763" t="b">
        <v>0</v>
      </c>
      <c r="P371" s="763" t="b">
        <v>0</v>
      </c>
      <c r="Q371" s="763" t="b">
        <v>0</v>
      </c>
      <c r="R371" s="763" t="b">
        <v>0</v>
      </c>
      <c r="S371" s="763" t="b">
        <v>0</v>
      </c>
      <c r="T371" s="763" t="b">
        <v>0</v>
      </c>
      <c r="U371" s="763" t="b">
        <v>0</v>
      </c>
      <c r="V371" s="763" t="b">
        <v>0</v>
      </c>
      <c r="W371" s="763" t="b">
        <v>0</v>
      </c>
      <c r="X371" s="216">
        <v>250.0</v>
      </c>
      <c r="Y371" s="11">
        <f t="shared" si="18"/>
        <v>1250</v>
      </c>
      <c r="Z371" s="11" t="s">
        <v>178</v>
      </c>
      <c r="AA371" s="93"/>
      <c r="AB371" s="93" t="s">
        <v>2062</v>
      </c>
      <c r="AC371" s="215" t="s">
        <v>1514</v>
      </c>
      <c r="AD371" s="217" t="s">
        <v>1543</v>
      </c>
      <c r="AE371" s="11" t="str">
        <f>IMAGE("https://makerbazar.in/cdn/shop/products/IR-Array_2048x2048_29f53719-c65f-4f67-a7f9-06b99966bf49_400x.jpg?v=1628014848",1)</f>
        <v/>
      </c>
      <c r="AF371" s="78" t="s">
        <v>1688</v>
      </c>
      <c r="AG371" s="74"/>
      <c r="AH371" s="75"/>
      <c r="AI371" s="12"/>
      <c r="AJ371" s="11"/>
      <c r="AK371" s="12">
        <v>1.0</v>
      </c>
    </row>
    <row r="372" ht="40.5" customHeight="1">
      <c r="A372" s="11">
        <v>371.0</v>
      </c>
      <c r="B372" s="11" t="s">
        <v>173</v>
      </c>
      <c r="C372" s="11" t="s">
        <v>1545</v>
      </c>
      <c r="D372" s="93" t="s">
        <v>1546</v>
      </c>
      <c r="E372" s="215" t="s">
        <v>1514</v>
      </c>
      <c r="F372" s="216">
        <v>10.0</v>
      </c>
      <c r="G372" s="11" t="s">
        <v>1782</v>
      </c>
      <c r="H372" s="216">
        <v>10.0</v>
      </c>
      <c r="I372" s="763" t="b">
        <v>0</v>
      </c>
      <c r="J372" s="763" t="b">
        <v>0</v>
      </c>
      <c r="K372" s="763" t="b">
        <v>0</v>
      </c>
      <c r="L372" s="763" t="b">
        <v>0</v>
      </c>
      <c r="M372" s="763" t="b">
        <v>0</v>
      </c>
      <c r="N372" s="763" t="b">
        <v>0</v>
      </c>
      <c r="O372" s="763" t="b">
        <v>0</v>
      </c>
      <c r="P372" s="763" t="b">
        <v>0</v>
      </c>
      <c r="Q372" s="763" t="b">
        <v>0</v>
      </c>
      <c r="R372" s="763" t="b">
        <v>0</v>
      </c>
      <c r="S372" s="763" t="b">
        <v>0</v>
      </c>
      <c r="T372" s="763" t="b">
        <v>0</v>
      </c>
      <c r="U372" s="763" t="b">
        <v>0</v>
      </c>
      <c r="V372" s="763" t="b">
        <v>0</v>
      </c>
      <c r="W372" s="763" t="b">
        <v>0</v>
      </c>
      <c r="X372" s="216">
        <v>30.0</v>
      </c>
      <c r="Y372" s="11">
        <f t="shared" si="18"/>
        <v>300</v>
      </c>
      <c r="Z372" s="11" t="s">
        <v>178</v>
      </c>
      <c r="AA372" s="93"/>
      <c r="AB372" s="93" t="s">
        <v>2062</v>
      </c>
      <c r="AC372" s="215" t="s">
        <v>1514</v>
      </c>
      <c r="AD372" s="217" t="s">
        <v>1547</v>
      </c>
      <c r="AE372" s="11" t="str">
        <f>IMAGE("https://robu.in/wp-content/uploads/2017/05/LDR-module-1.png",1)</f>
        <v/>
      </c>
      <c r="AF372" s="78" t="s">
        <v>1688</v>
      </c>
      <c r="AG372" s="74"/>
      <c r="AH372" s="75"/>
      <c r="AI372" s="12"/>
      <c r="AJ372" s="11"/>
      <c r="AK372" s="12">
        <v>1.0</v>
      </c>
    </row>
    <row r="373" ht="40.5" customHeight="1">
      <c r="A373" s="11">
        <v>372.0</v>
      </c>
      <c r="B373" s="11" t="s">
        <v>173</v>
      </c>
      <c r="C373" s="11" t="s">
        <v>1549</v>
      </c>
      <c r="D373" s="93" t="s">
        <v>1775</v>
      </c>
      <c r="E373" s="215" t="s">
        <v>1514</v>
      </c>
      <c r="F373" s="216">
        <v>5.0</v>
      </c>
      <c r="G373" s="11" t="s">
        <v>1776</v>
      </c>
      <c r="H373" s="216">
        <v>5.0</v>
      </c>
      <c r="I373" s="763" t="b">
        <v>0</v>
      </c>
      <c r="J373" s="763" t="b">
        <v>0</v>
      </c>
      <c r="K373" s="763" t="b">
        <v>0</v>
      </c>
      <c r="L373" s="763" t="b">
        <v>0</v>
      </c>
      <c r="M373" s="763" t="b">
        <v>0</v>
      </c>
      <c r="N373" s="763" t="b">
        <v>0</v>
      </c>
      <c r="O373" s="763" t="b">
        <v>0</v>
      </c>
      <c r="P373" s="763" t="b">
        <v>0</v>
      </c>
      <c r="Q373" s="763" t="b">
        <v>0</v>
      </c>
      <c r="R373" s="763" t="b">
        <v>0</v>
      </c>
      <c r="S373" s="763" t="b">
        <v>0</v>
      </c>
      <c r="T373" s="763" t="b">
        <v>0</v>
      </c>
      <c r="U373" s="763" t="b">
        <v>0</v>
      </c>
      <c r="V373" s="763" t="b">
        <v>0</v>
      </c>
      <c r="W373" s="763" t="b">
        <v>0</v>
      </c>
      <c r="X373" s="216">
        <v>90.0</v>
      </c>
      <c r="Y373" s="11">
        <f t="shared" si="18"/>
        <v>450</v>
      </c>
      <c r="Z373" s="11" t="s">
        <v>178</v>
      </c>
      <c r="AA373" s="93"/>
      <c r="AB373" s="93" t="s">
        <v>2062</v>
      </c>
      <c r="AC373" s="215" t="s">
        <v>1514</v>
      </c>
      <c r="AD373" s="217" t="s">
        <v>1551</v>
      </c>
      <c r="AE373" s="11" t="str">
        <f>IMAGE("https://m.media-amazon.com/images/W/MEDIAX_792452-T2/images/I/7158I82c4bL._SL1500_.jpg",1)</f>
        <v/>
      </c>
      <c r="AF373" s="78" t="s">
        <v>1688</v>
      </c>
      <c r="AG373" s="74"/>
      <c r="AH373" s="75"/>
      <c r="AI373" s="12"/>
      <c r="AJ373" s="11"/>
      <c r="AK373" s="12">
        <v>1.0</v>
      </c>
    </row>
    <row r="374" ht="40.5" customHeight="1">
      <c r="A374" s="11">
        <v>373.0</v>
      </c>
      <c r="B374" s="11" t="s">
        <v>173</v>
      </c>
      <c r="C374" s="11" t="s">
        <v>1553</v>
      </c>
      <c r="D374" s="93" t="s">
        <v>1822</v>
      </c>
      <c r="E374" s="215" t="s">
        <v>1514</v>
      </c>
      <c r="F374" s="216">
        <v>5.0</v>
      </c>
      <c r="G374" s="11" t="s">
        <v>1823</v>
      </c>
      <c r="H374" s="216">
        <v>5.0</v>
      </c>
      <c r="I374" s="763" t="b">
        <v>0</v>
      </c>
      <c r="J374" s="763" t="b">
        <v>0</v>
      </c>
      <c r="K374" s="763" t="b">
        <v>0</v>
      </c>
      <c r="L374" s="763" t="b">
        <v>0</v>
      </c>
      <c r="M374" s="763" t="b">
        <v>0</v>
      </c>
      <c r="N374" s="763" t="b">
        <v>0</v>
      </c>
      <c r="O374" s="763" t="b">
        <v>0</v>
      </c>
      <c r="P374" s="763" t="b">
        <v>0</v>
      </c>
      <c r="Q374" s="763" t="b">
        <v>0</v>
      </c>
      <c r="R374" s="763" t="b">
        <v>0</v>
      </c>
      <c r="S374" s="763" t="b">
        <v>0</v>
      </c>
      <c r="T374" s="763" t="b">
        <v>0</v>
      </c>
      <c r="U374" s="763" t="b">
        <v>0</v>
      </c>
      <c r="V374" s="763" t="b">
        <v>0</v>
      </c>
      <c r="W374" s="763" t="b">
        <v>0</v>
      </c>
      <c r="X374" s="216">
        <v>150.0</v>
      </c>
      <c r="Y374" s="11">
        <f t="shared" si="18"/>
        <v>750</v>
      </c>
      <c r="Z374" s="11" t="s">
        <v>178</v>
      </c>
      <c r="AA374" s="93"/>
      <c r="AB374" s="93" t="s">
        <v>2070</v>
      </c>
      <c r="AC374" s="215" t="s">
        <v>1514</v>
      </c>
      <c r="AD374" s="217" t="s">
        <v>1555</v>
      </c>
      <c r="AE374" s="11" t="str">
        <f>IMAGE("https://robu.in/wp-content/uploads/2017/09/download-1-2.jpg",1)</f>
        <v/>
      </c>
      <c r="AF374" s="78" t="s">
        <v>1688</v>
      </c>
      <c r="AG374" s="74"/>
      <c r="AH374" s="75"/>
      <c r="AI374" s="12"/>
      <c r="AJ374" s="11"/>
      <c r="AK374" s="12">
        <v>1.0</v>
      </c>
    </row>
    <row r="375" ht="40.5" customHeight="1">
      <c r="A375" s="11">
        <v>374.0</v>
      </c>
      <c r="B375" s="11" t="s">
        <v>173</v>
      </c>
      <c r="C375" s="11" t="s">
        <v>1557</v>
      </c>
      <c r="D375" s="93" t="s">
        <v>1758</v>
      </c>
      <c r="E375" s="215" t="s">
        <v>1514</v>
      </c>
      <c r="F375" s="216">
        <v>10.0</v>
      </c>
      <c r="G375" s="11" t="s">
        <v>1759</v>
      </c>
      <c r="H375" s="216">
        <v>10.0</v>
      </c>
      <c r="I375" s="763" t="b">
        <v>0</v>
      </c>
      <c r="J375" s="763" t="b">
        <v>0</v>
      </c>
      <c r="K375" s="763" t="b">
        <v>0</v>
      </c>
      <c r="L375" s="763" t="b">
        <v>0</v>
      </c>
      <c r="M375" s="763" t="b">
        <v>0</v>
      </c>
      <c r="N375" s="763" t="b">
        <v>0</v>
      </c>
      <c r="O375" s="763" t="b">
        <v>0</v>
      </c>
      <c r="P375" s="763" t="b">
        <v>0</v>
      </c>
      <c r="Q375" s="763" t="b">
        <v>0</v>
      </c>
      <c r="R375" s="763" t="b">
        <v>0</v>
      </c>
      <c r="S375" s="763" t="b">
        <v>0</v>
      </c>
      <c r="T375" s="763" t="b">
        <v>0</v>
      </c>
      <c r="U375" s="763" t="b">
        <v>0</v>
      </c>
      <c r="V375" s="763" t="b">
        <v>0</v>
      </c>
      <c r="W375" s="763" t="b">
        <v>0</v>
      </c>
      <c r="X375" s="216">
        <v>40.0</v>
      </c>
      <c r="Y375" s="11">
        <f t="shared" si="18"/>
        <v>400</v>
      </c>
      <c r="Z375" s="11" t="s">
        <v>178</v>
      </c>
      <c r="AA375" s="93"/>
      <c r="AB375" s="93" t="s">
        <v>2062</v>
      </c>
      <c r="AC375" s="215" t="s">
        <v>1514</v>
      </c>
      <c r="AD375" s="217"/>
      <c r="AE375" s="11" t="str">
        <f>IMAGE("https://cdn.shopify.com/s/files/1/0088/0056/7392/products/Sound_Detector_Module.jpg?v=1566646449",1)</f>
        <v/>
      </c>
      <c r="AF375" s="78" t="s">
        <v>1688</v>
      </c>
      <c r="AG375" s="74"/>
      <c r="AH375" s="75"/>
      <c r="AI375" s="12"/>
      <c r="AJ375" s="11"/>
      <c r="AK375" s="12">
        <v>1.0</v>
      </c>
    </row>
    <row r="376" ht="40.5" customHeight="1">
      <c r="A376" s="11">
        <v>375.0</v>
      </c>
      <c r="B376" s="11" t="s">
        <v>173</v>
      </c>
      <c r="C376" s="11" t="s">
        <v>1560</v>
      </c>
      <c r="D376" s="93" t="s">
        <v>1789</v>
      </c>
      <c r="E376" s="215" t="s">
        <v>1514</v>
      </c>
      <c r="F376" s="216">
        <v>10.0</v>
      </c>
      <c r="G376" s="11" t="s">
        <v>1790</v>
      </c>
      <c r="H376" s="216">
        <v>10.0</v>
      </c>
      <c r="I376" s="763" t="b">
        <v>0</v>
      </c>
      <c r="J376" s="763" t="b">
        <v>0</v>
      </c>
      <c r="K376" s="763" t="b">
        <v>0</v>
      </c>
      <c r="L376" s="763" t="b">
        <v>0</v>
      </c>
      <c r="M376" s="763" t="b">
        <v>0</v>
      </c>
      <c r="N376" s="763" t="b">
        <v>0</v>
      </c>
      <c r="O376" s="763" t="b">
        <v>0</v>
      </c>
      <c r="P376" s="763" t="b">
        <v>0</v>
      </c>
      <c r="Q376" s="763" t="b">
        <v>0</v>
      </c>
      <c r="R376" s="763" t="b">
        <v>0</v>
      </c>
      <c r="S376" s="763" t="b">
        <v>0</v>
      </c>
      <c r="T376" s="763" t="b">
        <v>0</v>
      </c>
      <c r="U376" s="763" t="b">
        <v>0</v>
      </c>
      <c r="V376" s="763" t="b">
        <v>0</v>
      </c>
      <c r="W376" s="763" t="b">
        <v>0</v>
      </c>
      <c r="X376" s="216">
        <v>200.0</v>
      </c>
      <c r="Y376" s="11">
        <f t="shared" si="18"/>
        <v>2000</v>
      </c>
      <c r="Z376" s="11" t="s">
        <v>178</v>
      </c>
      <c r="AA376" s="93"/>
      <c r="AB376" s="93" t="s">
        <v>2062</v>
      </c>
      <c r="AC376" s="215" t="s">
        <v>1514</v>
      </c>
      <c r="AD376" s="217" t="s">
        <v>1562</v>
      </c>
      <c r="AE376" s="11" t="str">
        <f>IMAGE("https://encrypted-tbn0.gstatic.com/images?q=tbn:ANd9GcRrIyUWjQ1rnIJDwYms78skSv9zbdkdml4sTR1WfoKl6GFD5OWnZULG8H98AB-i394c3VQ&amp;usqp=CAU",1)</f>
        <v/>
      </c>
      <c r="AF376" s="78" t="s">
        <v>1688</v>
      </c>
      <c r="AG376" s="74"/>
      <c r="AH376" s="75"/>
      <c r="AI376" s="12"/>
      <c r="AJ376" s="11"/>
      <c r="AK376" s="12">
        <v>1.0</v>
      </c>
    </row>
    <row r="377" ht="40.5" customHeight="1">
      <c r="A377" s="11">
        <v>376.0</v>
      </c>
      <c r="B377" s="11" t="s">
        <v>173</v>
      </c>
      <c r="C377" s="11" t="s">
        <v>1564</v>
      </c>
      <c r="D377" s="93" t="s">
        <v>2149</v>
      </c>
      <c r="E377" s="215" t="s">
        <v>1514</v>
      </c>
      <c r="F377" s="216">
        <v>5.0</v>
      </c>
      <c r="G377" s="11" t="s">
        <v>1766</v>
      </c>
      <c r="H377" s="216">
        <v>5.0</v>
      </c>
      <c r="I377" s="763" t="b">
        <v>0</v>
      </c>
      <c r="J377" s="763" t="b">
        <v>0</v>
      </c>
      <c r="K377" s="763" t="b">
        <v>0</v>
      </c>
      <c r="L377" s="763" t="b">
        <v>0</v>
      </c>
      <c r="M377" s="763" t="b">
        <v>0</v>
      </c>
      <c r="N377" s="763" t="b">
        <v>0</v>
      </c>
      <c r="O377" s="763" t="b">
        <v>0</v>
      </c>
      <c r="P377" s="763" t="b">
        <v>0</v>
      </c>
      <c r="Q377" s="763" t="b">
        <v>0</v>
      </c>
      <c r="R377" s="763" t="b">
        <v>0</v>
      </c>
      <c r="S377" s="763" t="b">
        <v>0</v>
      </c>
      <c r="T377" s="763" t="b">
        <v>0</v>
      </c>
      <c r="U377" s="763" t="b">
        <v>0</v>
      </c>
      <c r="V377" s="763" t="b">
        <v>0</v>
      </c>
      <c r="W377" s="763" t="b">
        <v>0</v>
      </c>
      <c r="X377" s="216">
        <v>95.0</v>
      </c>
      <c r="Y377" s="11">
        <f t="shared" si="18"/>
        <v>475</v>
      </c>
      <c r="Z377" s="11" t="s">
        <v>178</v>
      </c>
      <c r="AA377" s="93"/>
      <c r="AB377" s="93" t="s">
        <v>2070</v>
      </c>
      <c r="AC377" s="215" t="s">
        <v>1514</v>
      </c>
      <c r="AD377" s="217" t="s">
        <v>1566</v>
      </c>
      <c r="AE377" s="11" t="str">
        <f>IMAGE("https://robu.in/wp-content/uploads/2019/05/MAX30100-Pulse-Oximeter-Heart-Rate-Sensor-Module-2.jpg",1)</f>
        <v/>
      </c>
      <c r="AF377" s="78" t="s">
        <v>1688</v>
      </c>
      <c r="AG377" s="74"/>
      <c r="AH377" s="75"/>
      <c r="AI377" s="12"/>
      <c r="AJ377" s="11"/>
      <c r="AK377" s="12">
        <v>1.0</v>
      </c>
    </row>
    <row r="378" ht="40.5" customHeight="1">
      <c r="A378" s="11">
        <v>377.0</v>
      </c>
      <c r="B378" s="11" t="s">
        <v>173</v>
      </c>
      <c r="C378" s="11" t="s">
        <v>1568</v>
      </c>
      <c r="D378" s="93" t="s">
        <v>1769</v>
      </c>
      <c r="E378" s="215" t="s">
        <v>1514</v>
      </c>
      <c r="F378" s="216">
        <v>5.0</v>
      </c>
      <c r="G378" s="11" t="s">
        <v>1770</v>
      </c>
      <c r="H378" s="216">
        <v>5.0</v>
      </c>
      <c r="I378" s="763" t="b">
        <v>0</v>
      </c>
      <c r="J378" s="763" t="b">
        <v>0</v>
      </c>
      <c r="K378" s="763" t="b">
        <v>0</v>
      </c>
      <c r="L378" s="763" t="b">
        <v>0</v>
      </c>
      <c r="M378" s="763" t="b">
        <v>0</v>
      </c>
      <c r="N378" s="763" t="b">
        <v>0</v>
      </c>
      <c r="O378" s="763" t="b">
        <v>0</v>
      </c>
      <c r="P378" s="763" t="b">
        <v>0</v>
      </c>
      <c r="Q378" s="763" t="b">
        <v>0</v>
      </c>
      <c r="R378" s="763" t="b">
        <v>0</v>
      </c>
      <c r="S378" s="763" t="b">
        <v>0</v>
      </c>
      <c r="T378" s="763" t="b">
        <v>0</v>
      </c>
      <c r="U378" s="763" t="b">
        <v>0</v>
      </c>
      <c r="V378" s="763" t="b">
        <v>0</v>
      </c>
      <c r="W378" s="763" t="b">
        <v>0</v>
      </c>
      <c r="X378" s="216">
        <v>125.0</v>
      </c>
      <c r="Y378" s="11">
        <f t="shared" si="18"/>
        <v>625</v>
      </c>
      <c r="Z378" s="11" t="s">
        <v>178</v>
      </c>
      <c r="AA378" s="93"/>
      <c r="AB378" s="93" t="s">
        <v>2070</v>
      </c>
      <c r="AC378" s="215" t="s">
        <v>1514</v>
      </c>
      <c r="AD378" s="217"/>
      <c r="AE378" s="11" t="str">
        <f>IMAGE("https://makerbazar.in/cdn/shop/products/Untitled-1_39_1_60x.jpg?v=1637233670",1)</f>
        <v/>
      </c>
      <c r="AF378" s="78" t="s">
        <v>1688</v>
      </c>
      <c r="AG378" s="74"/>
      <c r="AH378" s="75"/>
      <c r="AI378" s="12"/>
      <c r="AJ378" s="11"/>
      <c r="AK378" s="12">
        <v>1.0</v>
      </c>
    </row>
    <row r="379" ht="40.5" customHeight="1">
      <c r="A379" s="11">
        <v>378.0</v>
      </c>
      <c r="B379" s="11" t="s">
        <v>173</v>
      </c>
      <c r="C379" s="11" t="s">
        <v>1571</v>
      </c>
      <c r="D379" s="93" t="s">
        <v>1772</v>
      </c>
      <c r="E379" s="215" t="s">
        <v>1514</v>
      </c>
      <c r="F379" s="216">
        <v>5.0</v>
      </c>
      <c r="G379" s="11" t="s">
        <v>1773</v>
      </c>
      <c r="H379" s="216">
        <v>5.0</v>
      </c>
      <c r="I379" s="763" t="b">
        <v>0</v>
      </c>
      <c r="J379" s="763" t="b">
        <v>0</v>
      </c>
      <c r="K379" s="763" t="b">
        <v>0</v>
      </c>
      <c r="L379" s="763" t="b">
        <v>0</v>
      </c>
      <c r="M379" s="763" t="b">
        <v>0</v>
      </c>
      <c r="N379" s="763" t="b">
        <v>0</v>
      </c>
      <c r="O379" s="763" t="b">
        <v>0</v>
      </c>
      <c r="P379" s="763" t="b">
        <v>0</v>
      </c>
      <c r="Q379" s="763" t="b">
        <v>0</v>
      </c>
      <c r="R379" s="763" t="b">
        <v>0</v>
      </c>
      <c r="S379" s="763" t="b">
        <v>0</v>
      </c>
      <c r="T379" s="763" t="b">
        <v>0</v>
      </c>
      <c r="U379" s="763" t="b">
        <v>0</v>
      </c>
      <c r="V379" s="763" t="b">
        <v>0</v>
      </c>
      <c r="W379" s="763" t="b">
        <v>0</v>
      </c>
      <c r="X379" s="216">
        <v>75.0</v>
      </c>
      <c r="Y379" s="11">
        <f t="shared" si="18"/>
        <v>375</v>
      </c>
      <c r="Z379" s="11" t="s">
        <v>178</v>
      </c>
      <c r="AA379" s="93"/>
      <c r="AB379" s="93" t="s">
        <v>2062</v>
      </c>
      <c r="AC379" s="215" t="s">
        <v>1514</v>
      </c>
      <c r="AD379" s="217" t="s">
        <v>1573</v>
      </c>
      <c r="AE379" s="11" t="str">
        <f>IMAGE("https://5.imimg.com/data5/SELLER/Default/2021/6/XN/UI/NS/84973740/mq2-flammable-gas-and-smoke-sensor-module-500x500.jpg",1)</f>
        <v/>
      </c>
      <c r="AF379" s="78" t="s">
        <v>1688</v>
      </c>
      <c r="AG379" s="74"/>
      <c r="AH379" s="75"/>
      <c r="AI379" s="12"/>
      <c r="AJ379" s="11"/>
      <c r="AK379" s="12">
        <v>1.0</v>
      </c>
    </row>
    <row r="380" ht="40.5" customHeight="1">
      <c r="A380" s="11">
        <v>379.0</v>
      </c>
      <c r="B380" s="11" t="s">
        <v>173</v>
      </c>
      <c r="C380" s="11" t="s">
        <v>1575</v>
      </c>
      <c r="D380" s="93" t="s">
        <v>1576</v>
      </c>
      <c r="E380" s="215" t="s">
        <v>1514</v>
      </c>
      <c r="F380" s="216">
        <v>10.0</v>
      </c>
      <c r="G380" s="11" t="s">
        <v>1794</v>
      </c>
      <c r="H380" s="216">
        <v>10.0</v>
      </c>
      <c r="I380" s="763" t="b">
        <v>0</v>
      </c>
      <c r="J380" s="763" t="b">
        <v>0</v>
      </c>
      <c r="K380" s="763" t="b">
        <v>0</v>
      </c>
      <c r="L380" s="763" t="b">
        <v>0</v>
      </c>
      <c r="M380" s="763" t="b">
        <v>0</v>
      </c>
      <c r="N380" s="763" t="b">
        <v>0</v>
      </c>
      <c r="O380" s="763" t="b">
        <v>0</v>
      </c>
      <c r="P380" s="763" t="b">
        <v>0</v>
      </c>
      <c r="Q380" s="763" t="b">
        <v>0</v>
      </c>
      <c r="R380" s="763" t="b">
        <v>0</v>
      </c>
      <c r="S380" s="763" t="b">
        <v>0</v>
      </c>
      <c r="T380" s="763" t="b">
        <v>0</v>
      </c>
      <c r="U380" s="763" t="b">
        <v>0</v>
      </c>
      <c r="V380" s="763" t="b">
        <v>0</v>
      </c>
      <c r="W380" s="763" t="b">
        <v>0</v>
      </c>
      <c r="X380" s="216">
        <v>40.0</v>
      </c>
      <c r="Y380" s="11">
        <f t="shared" si="18"/>
        <v>400</v>
      </c>
      <c r="Z380" s="11" t="s">
        <v>178</v>
      </c>
      <c r="AA380" s="93"/>
      <c r="AB380" s="93" t="s">
        <v>2062</v>
      </c>
      <c r="AC380" s="215" t="s">
        <v>1514</v>
      </c>
      <c r="AD380" s="217" t="s">
        <v>1577</v>
      </c>
      <c r="AE380" s="11" t="str">
        <f>IMAGE("https://robu.in/wp-content/uploads/2016/03/12251.jpg",1)</f>
        <v/>
      </c>
      <c r="AF380" s="78" t="s">
        <v>1688</v>
      </c>
      <c r="AG380" s="74"/>
      <c r="AH380" s="75"/>
      <c r="AI380" s="12"/>
      <c r="AJ380" s="11"/>
      <c r="AK380" s="12">
        <v>1.0</v>
      </c>
    </row>
    <row r="381" ht="40.5" customHeight="1">
      <c r="A381" s="11">
        <v>380.0</v>
      </c>
      <c r="B381" s="11" t="s">
        <v>173</v>
      </c>
      <c r="C381" s="11" t="s">
        <v>1579</v>
      </c>
      <c r="D381" s="258" t="s">
        <v>1763</v>
      </c>
      <c r="E381" s="215" t="s">
        <v>1514</v>
      </c>
      <c r="F381" s="216">
        <v>5.0</v>
      </c>
      <c r="G381" s="11" t="s">
        <v>1764</v>
      </c>
      <c r="H381" s="216">
        <v>5.0</v>
      </c>
      <c r="I381" s="763" t="b">
        <v>0</v>
      </c>
      <c r="J381" s="763" t="b">
        <v>0</v>
      </c>
      <c r="K381" s="763" t="b">
        <v>0</v>
      </c>
      <c r="L381" s="763" t="b">
        <v>0</v>
      </c>
      <c r="M381" s="763" t="b">
        <v>0</v>
      </c>
      <c r="N381" s="763" t="b">
        <v>0</v>
      </c>
      <c r="O381" s="763" t="b">
        <v>0</v>
      </c>
      <c r="P381" s="763" t="b">
        <v>0</v>
      </c>
      <c r="Q381" s="763" t="b">
        <v>0</v>
      </c>
      <c r="R381" s="763" t="b">
        <v>0</v>
      </c>
      <c r="S381" s="763" t="b">
        <v>0</v>
      </c>
      <c r="T381" s="763" t="b">
        <v>0</v>
      </c>
      <c r="U381" s="763" t="b">
        <v>0</v>
      </c>
      <c r="V381" s="763" t="b">
        <v>0</v>
      </c>
      <c r="W381" s="763" t="b">
        <v>0</v>
      </c>
      <c r="X381" s="216">
        <v>130.0</v>
      </c>
      <c r="Y381" s="11">
        <f t="shared" si="18"/>
        <v>650</v>
      </c>
      <c r="Z381" s="11" t="s">
        <v>178</v>
      </c>
      <c r="AA381" s="93"/>
      <c r="AB381" s="93" t="s">
        <v>2062</v>
      </c>
      <c r="AC381" s="215" t="s">
        <v>1514</v>
      </c>
      <c r="AD381" s="217" t="s">
        <v>1581</v>
      </c>
      <c r="AE381" s="11" t="str">
        <f>IMAGE("https://m.media-amazon.com/images/W/MEDIAX_792452-T2/images/I/61QNSpIV-GL._SL1000_.jpg",1)</f>
        <v/>
      </c>
      <c r="AF381" s="78" t="s">
        <v>1688</v>
      </c>
      <c r="AG381" s="74"/>
      <c r="AH381" s="75"/>
      <c r="AI381" s="12"/>
      <c r="AJ381" s="11"/>
      <c r="AK381" s="12">
        <v>1.0</v>
      </c>
    </row>
    <row r="382" ht="40.5" customHeight="1">
      <c r="A382" s="11">
        <v>381.0</v>
      </c>
      <c r="B382" s="11" t="s">
        <v>173</v>
      </c>
      <c r="C382" s="11" t="s">
        <v>1583</v>
      </c>
      <c r="D382" s="93" t="s">
        <v>1584</v>
      </c>
      <c r="E382" s="215" t="s">
        <v>1514</v>
      </c>
      <c r="F382" s="216">
        <v>10.0</v>
      </c>
      <c r="G382" s="11" t="s">
        <v>1797</v>
      </c>
      <c r="H382" s="216">
        <v>10.0</v>
      </c>
      <c r="I382" s="763" t="b">
        <v>0</v>
      </c>
      <c r="J382" s="763" t="b">
        <v>0</v>
      </c>
      <c r="K382" s="763" t="b">
        <v>0</v>
      </c>
      <c r="L382" s="763" t="b">
        <v>0</v>
      </c>
      <c r="M382" s="763" t="b">
        <v>0</v>
      </c>
      <c r="N382" s="763" t="b">
        <v>0</v>
      </c>
      <c r="O382" s="763" t="b">
        <v>0</v>
      </c>
      <c r="P382" s="763" t="b">
        <v>0</v>
      </c>
      <c r="Q382" s="763" t="b">
        <v>0</v>
      </c>
      <c r="R382" s="763" t="b">
        <v>0</v>
      </c>
      <c r="S382" s="763" t="b">
        <v>0</v>
      </c>
      <c r="T382" s="763" t="b">
        <v>0</v>
      </c>
      <c r="U382" s="763" t="b">
        <v>0</v>
      </c>
      <c r="V382" s="763" t="b">
        <v>0</v>
      </c>
      <c r="W382" s="763" t="b">
        <v>0</v>
      </c>
      <c r="X382" s="216">
        <v>60.0</v>
      </c>
      <c r="Y382" s="11">
        <f t="shared" si="18"/>
        <v>600</v>
      </c>
      <c r="Z382" s="11" t="s">
        <v>178</v>
      </c>
      <c r="AA382" s="93"/>
      <c r="AB382" s="93" t="s">
        <v>2062</v>
      </c>
      <c r="AC382" s="215" t="s">
        <v>1514</v>
      </c>
      <c r="AD382" s="217" t="s">
        <v>1585</v>
      </c>
      <c r="AE382" s="11" t="str">
        <f>IMAGE("https://projecthubbharat.com/wp-content/uploads/2022/02/dht-11-sensor-module-india-800x800-1.jpg",1)</f>
        <v/>
      </c>
      <c r="AF382" s="78" t="s">
        <v>1688</v>
      </c>
      <c r="AG382" s="74"/>
      <c r="AH382" s="75"/>
      <c r="AI382" s="12"/>
      <c r="AJ382" s="11"/>
      <c r="AK382" s="12">
        <v>1.0</v>
      </c>
    </row>
    <row r="383" ht="40.5" customHeight="1">
      <c r="A383" s="11">
        <v>382.0</v>
      </c>
      <c r="B383" s="11" t="s">
        <v>173</v>
      </c>
      <c r="C383" s="11" t="s">
        <v>1587</v>
      </c>
      <c r="D383" s="93" t="s">
        <v>1795</v>
      </c>
      <c r="E383" s="215" t="s">
        <v>1514</v>
      </c>
      <c r="F383" s="216">
        <v>10.0</v>
      </c>
      <c r="G383" s="11" t="s">
        <v>1796</v>
      </c>
      <c r="H383" s="216">
        <v>10.0</v>
      </c>
      <c r="I383" s="763" t="b">
        <v>0</v>
      </c>
      <c r="J383" s="763" t="b">
        <v>0</v>
      </c>
      <c r="K383" s="763" t="b">
        <v>0</v>
      </c>
      <c r="L383" s="763" t="b">
        <v>0</v>
      </c>
      <c r="M383" s="763" t="b">
        <v>0</v>
      </c>
      <c r="N383" s="763" t="b">
        <v>0</v>
      </c>
      <c r="O383" s="763" t="b">
        <v>0</v>
      </c>
      <c r="P383" s="763" t="b">
        <v>0</v>
      </c>
      <c r="Q383" s="763" t="b">
        <v>0</v>
      </c>
      <c r="R383" s="763" t="b">
        <v>0</v>
      </c>
      <c r="S383" s="763" t="b">
        <v>0</v>
      </c>
      <c r="T383" s="763" t="b">
        <v>0</v>
      </c>
      <c r="U383" s="763" t="b">
        <v>0</v>
      </c>
      <c r="V383" s="763" t="b">
        <v>0</v>
      </c>
      <c r="W383" s="763" t="b">
        <v>0</v>
      </c>
      <c r="X383" s="216">
        <v>50.0</v>
      </c>
      <c r="Y383" s="11">
        <f t="shared" si="18"/>
        <v>500</v>
      </c>
      <c r="Z383" s="11" t="s">
        <v>178</v>
      </c>
      <c r="AA383" s="93"/>
      <c r="AB383" s="93" t="s">
        <v>2070</v>
      </c>
      <c r="AC383" s="215" t="s">
        <v>1514</v>
      </c>
      <c r="AD383" s="217" t="s">
        <v>1589</v>
      </c>
      <c r="AE383" s="11" t="str">
        <f>IMAGE("https://potentiallabs.com/cart/image/cache/catalog/nov-dec/DS18B20-500x500-500x500.jpg",1)</f>
        <v/>
      </c>
      <c r="AF383" s="78" t="s">
        <v>1688</v>
      </c>
      <c r="AG383" s="74"/>
      <c r="AH383" s="75"/>
      <c r="AI383" s="12"/>
      <c r="AJ383" s="11"/>
      <c r="AK383" s="12">
        <v>1.0</v>
      </c>
    </row>
    <row r="384" ht="40.5" customHeight="1">
      <c r="A384" s="11">
        <v>383.0</v>
      </c>
      <c r="B384" s="11" t="s">
        <v>173</v>
      </c>
      <c r="C384" s="11" t="s">
        <v>1591</v>
      </c>
      <c r="D384" s="93" t="s">
        <v>1798</v>
      </c>
      <c r="E384" s="215" t="s">
        <v>1514</v>
      </c>
      <c r="F384" s="216">
        <v>20.0</v>
      </c>
      <c r="G384" s="11" t="s">
        <v>1796</v>
      </c>
      <c r="H384" s="216">
        <v>20.0</v>
      </c>
      <c r="I384" s="763" t="b">
        <v>0</v>
      </c>
      <c r="J384" s="763" t="b">
        <v>0</v>
      </c>
      <c r="K384" s="763" t="b">
        <v>0</v>
      </c>
      <c r="L384" s="763" t="b">
        <v>0</v>
      </c>
      <c r="M384" s="763" t="b">
        <v>0</v>
      </c>
      <c r="N384" s="763" t="b">
        <v>0</v>
      </c>
      <c r="O384" s="763" t="b">
        <v>0</v>
      </c>
      <c r="P384" s="763" t="b">
        <v>0</v>
      </c>
      <c r="Q384" s="763" t="b">
        <v>0</v>
      </c>
      <c r="R384" s="763" t="b">
        <v>0</v>
      </c>
      <c r="S384" s="763" t="b">
        <v>0</v>
      </c>
      <c r="T384" s="763" t="b">
        <v>0</v>
      </c>
      <c r="U384" s="763" t="b">
        <v>0</v>
      </c>
      <c r="V384" s="763" t="b">
        <v>0</v>
      </c>
      <c r="W384" s="763" t="b">
        <v>0</v>
      </c>
      <c r="X384" s="216">
        <v>5.0</v>
      </c>
      <c r="Y384" s="11">
        <f t="shared" si="18"/>
        <v>100</v>
      </c>
      <c r="Z384" s="11" t="s">
        <v>178</v>
      </c>
      <c r="AA384" s="93"/>
      <c r="AB384" s="93" t="s">
        <v>2070</v>
      </c>
      <c r="AC384" s="215" t="s">
        <v>1514</v>
      </c>
      <c r="AD384" s="217" t="s">
        <v>1593</v>
      </c>
      <c r="AE384" s="216" t="str">
        <f>IMAGE("https://5.imimg.com/data5/SELLER/Default/2021/9/HF/RK/UF/37611021/10k-ohm-ntc-thermistor-500x500.jpg",1)</f>
        <v/>
      </c>
      <c r="AF384" s="78" t="s">
        <v>1688</v>
      </c>
      <c r="AG384" s="74"/>
      <c r="AH384" s="75"/>
      <c r="AI384" s="12"/>
      <c r="AJ384" s="11"/>
      <c r="AK384" s="12">
        <v>1.0</v>
      </c>
    </row>
    <row r="385" ht="40.5" customHeight="1">
      <c r="A385" s="11">
        <v>384.0</v>
      </c>
      <c r="B385" s="11" t="s">
        <v>173</v>
      </c>
      <c r="C385" s="11" t="s">
        <v>1595</v>
      </c>
      <c r="D385" s="93" t="s">
        <v>1777</v>
      </c>
      <c r="E385" s="215" t="s">
        <v>1514</v>
      </c>
      <c r="F385" s="216">
        <v>5.0</v>
      </c>
      <c r="G385" s="11" t="s">
        <v>1778</v>
      </c>
      <c r="H385" s="216">
        <v>5.0</v>
      </c>
      <c r="I385" s="763" t="b">
        <v>0</v>
      </c>
      <c r="J385" s="763" t="b">
        <v>0</v>
      </c>
      <c r="K385" s="763" t="b">
        <v>0</v>
      </c>
      <c r="L385" s="763" t="b">
        <v>0</v>
      </c>
      <c r="M385" s="763" t="b">
        <v>0</v>
      </c>
      <c r="N385" s="763" t="b">
        <v>0</v>
      </c>
      <c r="O385" s="763" t="b">
        <v>0</v>
      </c>
      <c r="P385" s="763" t="b">
        <v>0</v>
      </c>
      <c r="Q385" s="763" t="b">
        <v>0</v>
      </c>
      <c r="R385" s="763" t="b">
        <v>0</v>
      </c>
      <c r="S385" s="763" t="b">
        <v>0</v>
      </c>
      <c r="T385" s="763" t="b">
        <v>0</v>
      </c>
      <c r="U385" s="763" t="b">
        <v>0</v>
      </c>
      <c r="V385" s="763" t="b">
        <v>0</v>
      </c>
      <c r="W385" s="763" t="b">
        <v>0</v>
      </c>
      <c r="X385" s="216">
        <v>150.0</v>
      </c>
      <c r="Y385" s="11">
        <f t="shared" si="18"/>
        <v>750</v>
      </c>
      <c r="Z385" s="11" t="s">
        <v>178</v>
      </c>
      <c r="AA385" s="93"/>
      <c r="AB385" s="93" t="s">
        <v>2070</v>
      </c>
      <c r="AC385" s="215" t="s">
        <v>1514</v>
      </c>
      <c r="AD385" s="217" t="s">
        <v>1597</v>
      </c>
      <c r="AE385" s="11" t="str">
        <f>IMAGE("https://media.distrelec.com/Web/WebShopImages/landscape_large/7-/01/Adafruit_163_30129187-01.jpg",1)</f>
        <v/>
      </c>
      <c r="AF385" s="78" t="s">
        <v>1688</v>
      </c>
      <c r="AG385" s="74"/>
      <c r="AH385" s="75"/>
      <c r="AI385" s="12"/>
      <c r="AJ385" s="11"/>
      <c r="AK385" s="12">
        <v>1.0</v>
      </c>
    </row>
    <row r="386" ht="40.5" customHeight="1">
      <c r="A386" s="11">
        <v>385.0</v>
      </c>
      <c r="B386" s="11" t="s">
        <v>173</v>
      </c>
      <c r="C386" s="11" t="s">
        <v>1618</v>
      </c>
      <c r="D386" s="93" t="s">
        <v>1619</v>
      </c>
      <c r="E386" s="215" t="s">
        <v>1514</v>
      </c>
      <c r="F386" s="216">
        <v>10.0</v>
      </c>
      <c r="G386" s="11" t="s">
        <v>1801</v>
      </c>
      <c r="H386" s="216">
        <v>10.0</v>
      </c>
      <c r="I386" s="763" t="b">
        <v>0</v>
      </c>
      <c r="J386" s="763" t="b">
        <v>0</v>
      </c>
      <c r="K386" s="763" t="b">
        <v>0</v>
      </c>
      <c r="L386" s="763" t="b">
        <v>0</v>
      </c>
      <c r="M386" s="763" t="b">
        <v>0</v>
      </c>
      <c r="N386" s="763" t="b">
        <v>0</v>
      </c>
      <c r="O386" s="763" t="b">
        <v>0</v>
      </c>
      <c r="P386" s="763" t="b">
        <v>0</v>
      </c>
      <c r="Q386" s="763" t="b">
        <v>0</v>
      </c>
      <c r="R386" s="763" t="b">
        <v>0</v>
      </c>
      <c r="S386" s="763" t="b">
        <v>0</v>
      </c>
      <c r="T386" s="763" t="b">
        <v>0</v>
      </c>
      <c r="U386" s="763" t="b">
        <v>0</v>
      </c>
      <c r="V386" s="763" t="b">
        <v>0</v>
      </c>
      <c r="W386" s="763" t="b">
        <v>0</v>
      </c>
      <c r="X386" s="216">
        <v>50.0</v>
      </c>
      <c r="Y386" s="11">
        <f t="shared" si="18"/>
        <v>500</v>
      </c>
      <c r="Z386" s="11" t="s">
        <v>178</v>
      </c>
      <c r="AA386" s="93"/>
      <c r="AB386" s="93" t="s">
        <v>2062</v>
      </c>
      <c r="AC386" s="215" t="s">
        <v>1514</v>
      </c>
      <c r="AD386" s="217" t="s">
        <v>1620</v>
      </c>
      <c r="AE386" s="11" t="str">
        <f>IMAGE("https://i0.wp.com/superbtech.in/wp-content/uploads/2020/07/2-60.jpg?fit=500%2C500&amp;ssl=1",1)</f>
        <v/>
      </c>
      <c r="AF386" s="78" t="s">
        <v>1688</v>
      </c>
      <c r="AG386" s="74"/>
      <c r="AH386" s="75"/>
      <c r="AI386" s="12"/>
      <c r="AJ386" s="11"/>
      <c r="AK386" s="12">
        <v>1.0</v>
      </c>
    </row>
    <row r="387" ht="40.5" customHeight="1">
      <c r="A387" s="11">
        <v>386.0</v>
      </c>
      <c r="B387" s="11" t="s">
        <v>173</v>
      </c>
      <c r="C387" s="11" t="s">
        <v>1622</v>
      </c>
      <c r="D387" s="93" t="s">
        <v>1623</v>
      </c>
      <c r="E387" s="215" t="s">
        <v>1514</v>
      </c>
      <c r="F387" s="216">
        <v>5.0</v>
      </c>
      <c r="G387" s="11" t="s">
        <v>2150</v>
      </c>
      <c r="H387" s="216">
        <v>5.0</v>
      </c>
      <c r="I387" s="763" t="b">
        <v>0</v>
      </c>
      <c r="J387" s="763" t="b">
        <v>0</v>
      </c>
      <c r="K387" s="763" t="b">
        <v>0</v>
      </c>
      <c r="L387" s="763" t="b">
        <v>0</v>
      </c>
      <c r="M387" s="763" t="b">
        <v>0</v>
      </c>
      <c r="N387" s="763" t="b">
        <v>0</v>
      </c>
      <c r="O387" s="763" t="b">
        <v>0</v>
      </c>
      <c r="P387" s="763" t="b">
        <v>0</v>
      </c>
      <c r="Q387" s="763" t="b">
        <v>0</v>
      </c>
      <c r="R387" s="763" t="b">
        <v>0</v>
      </c>
      <c r="S387" s="763" t="b">
        <v>0</v>
      </c>
      <c r="T387" s="763" t="b">
        <v>0</v>
      </c>
      <c r="U387" s="763" t="b">
        <v>0</v>
      </c>
      <c r="V387" s="763" t="b">
        <v>0</v>
      </c>
      <c r="W387" s="763" t="b">
        <v>0</v>
      </c>
      <c r="X387" s="216">
        <v>150.0</v>
      </c>
      <c r="Y387" s="11">
        <f t="shared" si="18"/>
        <v>750</v>
      </c>
      <c r="Z387" s="11" t="s">
        <v>178</v>
      </c>
      <c r="AA387" s="93"/>
      <c r="AB387" s="93" t="s">
        <v>1895</v>
      </c>
      <c r="AC387" s="215" t="s">
        <v>1514</v>
      </c>
      <c r="AD387" s="217" t="s">
        <v>1624</v>
      </c>
      <c r="AE387" s="11" t="str">
        <f>IMAGE("https://cdn.shopify.com/s/files/1/0559/1970/6265/products/1_9713a8db-db1e-42d0-a3e7-eebb7f66c4e9.jpg?v=1670581925",1)</f>
        <v/>
      </c>
      <c r="AF387" s="78" t="s">
        <v>1688</v>
      </c>
      <c r="AG387" s="74"/>
      <c r="AH387" s="75"/>
      <c r="AI387" s="12"/>
      <c r="AJ387" s="11"/>
      <c r="AK387" s="12">
        <v>1.0</v>
      </c>
    </row>
    <row r="388" ht="40.5" customHeight="1">
      <c r="A388" s="11">
        <v>387.0</v>
      </c>
      <c r="B388" s="224" t="s">
        <v>15</v>
      </c>
      <c r="C388" s="224" t="s">
        <v>1599</v>
      </c>
      <c r="D388" s="225" t="s">
        <v>1600</v>
      </c>
      <c r="E388" s="226" t="s">
        <v>1601</v>
      </c>
      <c r="F388" s="224">
        <v>1.0</v>
      </c>
      <c r="G388" s="14"/>
      <c r="H388" s="224">
        <v>1.0</v>
      </c>
      <c r="I388" s="763" t="b">
        <v>0</v>
      </c>
      <c r="J388" s="763" t="b">
        <v>0</v>
      </c>
      <c r="K388" s="763" t="b">
        <v>0</v>
      </c>
      <c r="L388" s="763" t="b">
        <v>0</v>
      </c>
      <c r="M388" s="763" t="b">
        <v>0</v>
      </c>
      <c r="N388" s="763" t="b">
        <v>0</v>
      </c>
      <c r="O388" s="763" t="b">
        <v>0</v>
      </c>
      <c r="P388" s="763" t="b">
        <v>0</v>
      </c>
      <c r="Q388" s="763" t="b">
        <v>0</v>
      </c>
      <c r="R388" s="763" t="b">
        <v>0</v>
      </c>
      <c r="S388" s="763" t="b">
        <v>0</v>
      </c>
      <c r="T388" s="763" t="b">
        <v>0</v>
      </c>
      <c r="U388" s="763" t="b">
        <v>0</v>
      </c>
      <c r="V388" s="763" t="b">
        <v>0</v>
      </c>
      <c r="W388" s="763" t="b">
        <v>0</v>
      </c>
      <c r="X388" s="224">
        <v>10000.0</v>
      </c>
      <c r="Y388" s="224">
        <f t="shared" si="18"/>
        <v>10000</v>
      </c>
      <c r="Z388" s="224" t="s">
        <v>20</v>
      </c>
      <c r="AA388" s="225" t="s">
        <v>65</v>
      </c>
      <c r="AB388" s="229" t="s">
        <v>65</v>
      </c>
      <c r="AC388" s="225" t="s">
        <v>1987</v>
      </c>
      <c r="AD388" s="230"/>
      <c r="AE388" s="224" t="str">
        <f>IMAGE("https://5.imimg.com/data5/SELLER/Default/2022/10/QQ/KR/IQ/23162102/singer-s0303-sewing-machine.png",1)</f>
        <v/>
      </c>
      <c r="AF388" s="644"/>
      <c r="AG388" s="621"/>
      <c r="AH388" s="339"/>
      <c r="AI388" s="623"/>
      <c r="AJ388" s="224"/>
      <c r="AK388" s="351">
        <v>2.0</v>
      </c>
    </row>
    <row r="389" ht="40.5" customHeight="1">
      <c r="A389" s="11">
        <v>388.0</v>
      </c>
      <c r="B389" s="11" t="s">
        <v>15</v>
      </c>
      <c r="C389" s="11" t="s">
        <v>1603</v>
      </c>
      <c r="D389" s="93" t="s">
        <v>1604</v>
      </c>
      <c r="E389" s="215" t="s">
        <v>1601</v>
      </c>
      <c r="F389" s="11">
        <v>1.0</v>
      </c>
      <c r="G389" s="11" t="s">
        <v>2151</v>
      </c>
      <c r="H389" s="11">
        <v>1.0</v>
      </c>
      <c r="I389" s="763" t="b">
        <v>0</v>
      </c>
      <c r="J389" s="763" t="b">
        <v>0</v>
      </c>
      <c r="K389" s="763" t="b">
        <v>0</v>
      </c>
      <c r="L389" s="763" t="b">
        <v>0</v>
      </c>
      <c r="M389" s="763" t="b">
        <v>0</v>
      </c>
      <c r="N389" s="763" t="b">
        <v>0</v>
      </c>
      <c r="O389" s="763" t="b">
        <v>0</v>
      </c>
      <c r="P389" s="763" t="b">
        <v>0</v>
      </c>
      <c r="Q389" s="763" t="b">
        <v>0</v>
      </c>
      <c r="R389" s="763" t="b">
        <v>0</v>
      </c>
      <c r="S389" s="763" t="b">
        <v>0</v>
      </c>
      <c r="T389" s="763" t="b">
        <v>0</v>
      </c>
      <c r="U389" s="763" t="b">
        <v>0</v>
      </c>
      <c r="V389" s="763" t="b">
        <v>0</v>
      </c>
      <c r="W389" s="763" t="b">
        <v>0</v>
      </c>
      <c r="X389" s="11">
        <v>90.0</v>
      </c>
      <c r="Y389" s="11">
        <f t="shared" si="18"/>
        <v>90</v>
      </c>
      <c r="Z389" s="11" t="s">
        <v>20</v>
      </c>
      <c r="AA389" s="93" t="s">
        <v>65</v>
      </c>
      <c r="AB389" s="93" t="s">
        <v>2052</v>
      </c>
      <c r="AC389" s="93" t="s">
        <v>1987</v>
      </c>
      <c r="AD389" s="217"/>
      <c r="AE389" s="11" t="str">
        <f>IMAGE("https://3.imimg.com/data3/HA/PB/MY-3231014/sewing-needle.jpg",1)</f>
        <v/>
      </c>
      <c r="AF389" s="78"/>
      <c r="AG389" s="79"/>
      <c r="AH389" s="80"/>
      <c r="AI389" s="12"/>
      <c r="AJ389" s="11"/>
      <c r="AK389" s="12">
        <v>3.0</v>
      </c>
    </row>
    <row r="390" ht="40.5" customHeight="1">
      <c r="A390" s="11">
        <v>389.0</v>
      </c>
      <c r="B390" s="11" t="s">
        <v>15</v>
      </c>
      <c r="C390" s="11" t="s">
        <v>1607</v>
      </c>
      <c r="D390" s="93" t="s">
        <v>1608</v>
      </c>
      <c r="E390" s="215" t="s">
        <v>1601</v>
      </c>
      <c r="F390" s="11">
        <v>2.0</v>
      </c>
      <c r="G390" s="11" t="s">
        <v>2151</v>
      </c>
      <c r="H390" s="11">
        <v>2.0</v>
      </c>
      <c r="I390" s="763" t="b">
        <v>0</v>
      </c>
      <c r="J390" s="763" t="b">
        <v>0</v>
      </c>
      <c r="K390" s="763" t="b">
        <v>0</v>
      </c>
      <c r="L390" s="763" t="b">
        <v>0</v>
      </c>
      <c r="M390" s="763" t="b">
        <v>0</v>
      </c>
      <c r="N390" s="763" t="b">
        <v>0</v>
      </c>
      <c r="O390" s="763" t="b">
        <v>0</v>
      </c>
      <c r="P390" s="763" t="b">
        <v>0</v>
      </c>
      <c r="Q390" s="763" t="b">
        <v>0</v>
      </c>
      <c r="R390" s="763" t="b">
        <v>0</v>
      </c>
      <c r="S390" s="763" t="b">
        <v>0</v>
      </c>
      <c r="T390" s="763" t="b">
        <v>0</v>
      </c>
      <c r="U390" s="763" t="b">
        <v>0</v>
      </c>
      <c r="V390" s="763" t="b">
        <v>0</v>
      </c>
      <c r="W390" s="763" t="b">
        <v>0</v>
      </c>
      <c r="X390" s="11">
        <v>300.0</v>
      </c>
      <c r="Y390" s="11">
        <f t="shared" si="18"/>
        <v>600</v>
      </c>
      <c r="Z390" s="11" t="s">
        <v>20</v>
      </c>
      <c r="AA390" s="93" t="s">
        <v>65</v>
      </c>
      <c r="AB390" s="93" t="s">
        <v>2052</v>
      </c>
      <c r="AC390" s="93" t="s">
        <v>1987</v>
      </c>
      <c r="AD390" s="217"/>
      <c r="AE390" s="11" t="str">
        <f>IMAGE("https://m.media-amazon.com/images/W/MEDIAX_792452-T2/images/I/71vxqqo9r7L.jpg",1)</f>
        <v/>
      </c>
      <c r="AF390" s="78"/>
      <c r="AG390" s="74"/>
      <c r="AH390" s="75"/>
      <c r="AI390" s="12"/>
      <c r="AJ390" s="11"/>
      <c r="AK390" s="12">
        <v>3.0</v>
      </c>
    </row>
    <row r="391" ht="40.5" customHeight="1">
      <c r="A391" s="11">
        <v>390.0</v>
      </c>
      <c r="B391" s="11" t="s">
        <v>342</v>
      </c>
      <c r="C391" s="11" t="s">
        <v>1610</v>
      </c>
      <c r="D391" s="93" t="s">
        <v>1611</v>
      </c>
      <c r="E391" s="215" t="s">
        <v>1601</v>
      </c>
      <c r="F391" s="11">
        <v>5.0</v>
      </c>
      <c r="G391" s="11" t="s">
        <v>2151</v>
      </c>
      <c r="H391" s="11">
        <v>5.0</v>
      </c>
      <c r="I391" s="763" t="b">
        <v>0</v>
      </c>
      <c r="J391" s="763" t="b">
        <v>0</v>
      </c>
      <c r="K391" s="763" t="b">
        <v>0</v>
      </c>
      <c r="L391" s="763" t="b">
        <v>0</v>
      </c>
      <c r="M391" s="763" t="b">
        <v>0</v>
      </c>
      <c r="N391" s="763" t="b">
        <v>0</v>
      </c>
      <c r="O391" s="763" t="b">
        <v>0</v>
      </c>
      <c r="P391" s="763" t="b">
        <v>0</v>
      </c>
      <c r="Q391" s="763" t="b">
        <v>0</v>
      </c>
      <c r="R391" s="763" t="b">
        <v>0</v>
      </c>
      <c r="S391" s="763" t="b">
        <v>0</v>
      </c>
      <c r="T391" s="763" t="b">
        <v>0</v>
      </c>
      <c r="U391" s="763" t="b">
        <v>0</v>
      </c>
      <c r="V391" s="763" t="b">
        <v>0</v>
      </c>
      <c r="W391" s="763" t="b">
        <v>0</v>
      </c>
      <c r="X391" s="11">
        <v>10.0</v>
      </c>
      <c r="Y391" s="11">
        <f t="shared" si="18"/>
        <v>50</v>
      </c>
      <c r="Z391" s="11" t="s">
        <v>347</v>
      </c>
      <c r="AA391" s="93" t="s">
        <v>65</v>
      </c>
      <c r="AB391" s="93" t="s">
        <v>2052</v>
      </c>
      <c r="AC391" s="93" t="s">
        <v>1987</v>
      </c>
      <c r="AD391" s="217" t="s">
        <v>1612</v>
      </c>
      <c r="AE391" s="11" t="str">
        <f>IMAGE("https://delhi6online.in/cdn/shop/products/S1_800x.jpg?v=1545883083.jpg",1)</f>
        <v/>
      </c>
      <c r="AF391" s="78"/>
      <c r="AG391" s="74" t="s">
        <v>1719</v>
      </c>
      <c r="AH391" s="75"/>
      <c r="AI391" s="12"/>
      <c r="AJ391" s="11"/>
      <c r="AK391" s="12">
        <v>3.0</v>
      </c>
    </row>
    <row r="392" ht="40.5" customHeight="1">
      <c r="A392" s="11">
        <v>391.0</v>
      </c>
      <c r="B392" s="11" t="s">
        <v>342</v>
      </c>
      <c r="C392" s="11" t="s">
        <v>1614</v>
      </c>
      <c r="D392" s="93" t="s">
        <v>1615</v>
      </c>
      <c r="E392" s="215" t="s">
        <v>1601</v>
      </c>
      <c r="F392" s="11">
        <v>5.0</v>
      </c>
      <c r="G392" s="11" t="s">
        <v>2152</v>
      </c>
      <c r="H392" s="11">
        <v>5.0</v>
      </c>
      <c r="I392" s="763" t="b">
        <v>0</v>
      </c>
      <c r="J392" s="763" t="b">
        <v>0</v>
      </c>
      <c r="K392" s="763" t="b">
        <v>0</v>
      </c>
      <c r="L392" s="763" t="b">
        <v>0</v>
      </c>
      <c r="M392" s="763" t="b">
        <v>0</v>
      </c>
      <c r="N392" s="763" t="b">
        <v>0</v>
      </c>
      <c r="O392" s="763" t="b">
        <v>0</v>
      </c>
      <c r="P392" s="763" t="b">
        <v>0</v>
      </c>
      <c r="Q392" s="763" t="b">
        <v>0</v>
      </c>
      <c r="R392" s="763" t="b">
        <v>0</v>
      </c>
      <c r="S392" s="763" t="b">
        <v>0</v>
      </c>
      <c r="T392" s="763" t="b">
        <v>0</v>
      </c>
      <c r="U392" s="763" t="b">
        <v>0</v>
      </c>
      <c r="V392" s="763" t="b">
        <v>0</v>
      </c>
      <c r="W392" s="763" t="b">
        <v>0</v>
      </c>
      <c r="X392" s="11">
        <v>30.0</v>
      </c>
      <c r="Y392" s="11">
        <f t="shared" si="18"/>
        <v>150</v>
      </c>
      <c r="Z392" s="11" t="s">
        <v>347</v>
      </c>
      <c r="AA392" s="93" t="s">
        <v>65</v>
      </c>
      <c r="AB392" s="93" t="s">
        <v>2052</v>
      </c>
      <c r="AC392" s="93" t="s">
        <v>1987</v>
      </c>
      <c r="AD392" s="217" t="s">
        <v>1616</v>
      </c>
      <c r="AE392" s="11" t="str">
        <f>IMAGE("https://4.imimg.com/data4/JF/WX/MY-2704359/thread-cutter-1000x1000.jpg",1)</f>
        <v/>
      </c>
      <c r="AF392" s="78"/>
      <c r="AG392" s="74"/>
      <c r="AH392" s="75"/>
      <c r="AI392" s="12"/>
      <c r="AJ392" s="11"/>
      <c r="AK392" s="12">
        <v>3.0</v>
      </c>
    </row>
    <row r="393" ht="40.5" customHeight="1">
      <c r="A393" s="11">
        <v>392.0</v>
      </c>
      <c r="B393" s="11" t="s">
        <v>173</v>
      </c>
      <c r="C393" s="11" t="s">
        <v>1626</v>
      </c>
      <c r="D393" s="93" t="s">
        <v>1627</v>
      </c>
      <c r="E393" s="215" t="s">
        <v>1628</v>
      </c>
      <c r="F393" s="216">
        <v>10.0</v>
      </c>
      <c r="G393" s="11" t="s">
        <v>2127</v>
      </c>
      <c r="H393" s="216">
        <v>10.0</v>
      </c>
      <c r="I393" s="763" t="b">
        <v>0</v>
      </c>
      <c r="J393" s="763" t="b">
        <v>0</v>
      </c>
      <c r="K393" s="763" t="b">
        <v>0</v>
      </c>
      <c r="L393" s="763" t="b">
        <v>0</v>
      </c>
      <c r="M393" s="763" t="b">
        <v>0</v>
      </c>
      <c r="N393" s="763" t="b">
        <v>0</v>
      </c>
      <c r="O393" s="763" t="b">
        <v>0</v>
      </c>
      <c r="P393" s="763" t="b">
        <v>0</v>
      </c>
      <c r="Q393" s="763" t="b">
        <v>0</v>
      </c>
      <c r="R393" s="763" t="b">
        <v>0</v>
      </c>
      <c r="S393" s="763" t="b">
        <v>0</v>
      </c>
      <c r="T393" s="763" t="b">
        <v>0</v>
      </c>
      <c r="U393" s="763" t="b">
        <v>0</v>
      </c>
      <c r="V393" s="763" t="b">
        <v>0</v>
      </c>
      <c r="W393" s="763" t="b">
        <v>0</v>
      </c>
      <c r="X393" s="216">
        <v>20.0</v>
      </c>
      <c r="Y393" s="11">
        <f t="shared" si="18"/>
        <v>200</v>
      </c>
      <c r="Z393" s="11" t="s">
        <v>178</v>
      </c>
      <c r="AA393" s="93"/>
      <c r="AB393" s="93" t="s">
        <v>1960</v>
      </c>
      <c r="AC393" s="93" t="s">
        <v>1628</v>
      </c>
      <c r="AD393" s="217" t="s">
        <v>1630</v>
      </c>
      <c r="AE393" s="11" t="str">
        <f>IMAGE("https://m.media-amazon.com/images/W/MEDIAX_792452-T2/images/I/419leG1YjXL.jpg",1)</f>
        <v/>
      </c>
      <c r="AF393" s="78" t="s">
        <v>1688</v>
      </c>
      <c r="AG393" s="74"/>
      <c r="AH393" s="75"/>
      <c r="AI393" s="12"/>
      <c r="AJ393" s="11"/>
      <c r="AK393" s="12">
        <v>1.0</v>
      </c>
    </row>
    <row r="394" ht="40.5" customHeight="1">
      <c r="A394" s="11">
        <v>393.0</v>
      </c>
      <c r="B394" s="11" t="s">
        <v>173</v>
      </c>
      <c r="C394" s="11" t="s">
        <v>1632</v>
      </c>
      <c r="D394" s="93" t="s">
        <v>1633</v>
      </c>
      <c r="E394" s="215" t="s">
        <v>1628</v>
      </c>
      <c r="F394" s="216">
        <v>10.0</v>
      </c>
      <c r="G394" s="11" t="s">
        <v>2127</v>
      </c>
      <c r="H394" s="216">
        <v>10.0</v>
      </c>
      <c r="I394" s="763" t="b">
        <v>0</v>
      </c>
      <c r="J394" s="763" t="b">
        <v>0</v>
      </c>
      <c r="K394" s="763" t="b">
        <v>0</v>
      </c>
      <c r="L394" s="763" t="b">
        <v>0</v>
      </c>
      <c r="M394" s="763" t="b">
        <v>0</v>
      </c>
      <c r="N394" s="763" t="b">
        <v>0</v>
      </c>
      <c r="O394" s="763" t="b">
        <v>0</v>
      </c>
      <c r="P394" s="763" t="b">
        <v>0</v>
      </c>
      <c r="Q394" s="763" t="b">
        <v>0</v>
      </c>
      <c r="R394" s="763" t="b">
        <v>0</v>
      </c>
      <c r="S394" s="763" t="b">
        <v>0</v>
      </c>
      <c r="T394" s="763" t="b">
        <v>0</v>
      </c>
      <c r="U394" s="763" t="b">
        <v>0</v>
      </c>
      <c r="V394" s="763" t="b">
        <v>0</v>
      </c>
      <c r="W394" s="763" t="b">
        <v>0</v>
      </c>
      <c r="X394" s="216">
        <v>100.0</v>
      </c>
      <c r="Y394" s="11">
        <f t="shared" si="18"/>
        <v>1000</v>
      </c>
      <c r="Z394" s="11" t="s">
        <v>178</v>
      </c>
      <c r="AA394" s="93"/>
      <c r="AB394" s="93" t="s">
        <v>1960</v>
      </c>
      <c r="AC394" s="93" t="s">
        <v>1628</v>
      </c>
      <c r="AD394" s="217" t="s">
        <v>1634</v>
      </c>
      <c r="AE394" s="11" t="str">
        <f>IMAGE("https://i0.wp.com/armsol.in/wp-content/uploads/2021/08/1-5-rotated.jpg?fit=600%2C600&amp;ssl=1",1)</f>
        <v/>
      </c>
      <c r="AF394" s="78" t="s">
        <v>1688</v>
      </c>
      <c r="AG394" s="74"/>
      <c r="AH394" s="75"/>
      <c r="AI394" s="12"/>
      <c r="AJ394" s="11"/>
      <c r="AK394" s="12">
        <v>1.0</v>
      </c>
    </row>
    <row r="395" ht="40.5" customHeight="1">
      <c r="A395" s="11">
        <v>394.0</v>
      </c>
      <c r="B395" s="11" t="s">
        <v>173</v>
      </c>
      <c r="C395" s="11" t="s">
        <v>1636</v>
      </c>
      <c r="D395" s="93" t="s">
        <v>1988</v>
      </c>
      <c r="E395" s="215" t="s">
        <v>1628</v>
      </c>
      <c r="F395" s="216">
        <v>30.0</v>
      </c>
      <c r="G395" s="11" t="s">
        <v>2153</v>
      </c>
      <c r="H395" s="216">
        <v>30.0</v>
      </c>
      <c r="I395" s="763" t="b">
        <v>0</v>
      </c>
      <c r="J395" s="763" t="b">
        <v>0</v>
      </c>
      <c r="K395" s="763" t="b">
        <v>0</v>
      </c>
      <c r="L395" s="763" t="b">
        <v>0</v>
      </c>
      <c r="M395" s="763" t="b">
        <v>0</v>
      </c>
      <c r="N395" s="763" t="b">
        <v>0</v>
      </c>
      <c r="O395" s="763" t="b">
        <v>0</v>
      </c>
      <c r="P395" s="763" t="b">
        <v>0</v>
      </c>
      <c r="Q395" s="763" t="b">
        <v>0</v>
      </c>
      <c r="R395" s="763" t="b">
        <v>0</v>
      </c>
      <c r="S395" s="763" t="b">
        <v>0</v>
      </c>
      <c r="T395" s="763" t="b">
        <v>0</v>
      </c>
      <c r="U395" s="763" t="b">
        <v>0</v>
      </c>
      <c r="V395" s="763" t="b">
        <v>0</v>
      </c>
      <c r="W395" s="763" t="b">
        <v>0</v>
      </c>
      <c r="X395" s="216">
        <v>20.0</v>
      </c>
      <c r="Y395" s="11">
        <f t="shared" si="18"/>
        <v>600</v>
      </c>
      <c r="Z395" s="11" t="s">
        <v>178</v>
      </c>
      <c r="AA395" s="93"/>
      <c r="AB395" s="93" t="s">
        <v>1895</v>
      </c>
      <c r="AC395" s="93" t="s">
        <v>1628</v>
      </c>
      <c r="AD395" s="217" t="s">
        <v>1639</v>
      </c>
      <c r="AE395" s="11" t="str">
        <f>IMAGE("https://www.voltaat.com/cdn/shop/products/voltaat-soldering-board-5cm-x-7cm-10728457568358_1024x1024.jpg?v=1628445244")</f>
        <v/>
      </c>
      <c r="AF395" s="78" t="s">
        <v>1688</v>
      </c>
      <c r="AG395" s="74"/>
      <c r="AH395" s="75"/>
      <c r="AI395" s="12"/>
      <c r="AJ395" s="11"/>
      <c r="AK395" s="12">
        <v>1.0</v>
      </c>
    </row>
    <row r="396" ht="40.5" customHeight="1">
      <c r="A396" s="11">
        <v>395.0</v>
      </c>
      <c r="B396" s="11" t="s">
        <v>173</v>
      </c>
      <c r="C396" s="11" t="s">
        <v>1641</v>
      </c>
      <c r="D396" s="93" t="s">
        <v>1989</v>
      </c>
      <c r="E396" s="215" t="s">
        <v>1628</v>
      </c>
      <c r="F396" s="216">
        <v>10.0</v>
      </c>
      <c r="G396" s="11" t="s">
        <v>2153</v>
      </c>
      <c r="H396" s="216">
        <v>10.0</v>
      </c>
      <c r="I396" s="763" t="b">
        <v>0</v>
      </c>
      <c r="J396" s="763" t="b">
        <v>0</v>
      </c>
      <c r="K396" s="763" t="b">
        <v>0</v>
      </c>
      <c r="L396" s="763" t="b">
        <v>0</v>
      </c>
      <c r="M396" s="763" t="b">
        <v>0</v>
      </c>
      <c r="N396" s="763" t="b">
        <v>0</v>
      </c>
      <c r="O396" s="763" t="b">
        <v>0</v>
      </c>
      <c r="P396" s="763" t="b">
        <v>0</v>
      </c>
      <c r="Q396" s="763" t="b">
        <v>0</v>
      </c>
      <c r="R396" s="763" t="b">
        <v>0</v>
      </c>
      <c r="S396" s="763" t="b">
        <v>0</v>
      </c>
      <c r="T396" s="763" t="b">
        <v>0</v>
      </c>
      <c r="U396" s="763" t="b">
        <v>0</v>
      </c>
      <c r="V396" s="763" t="b">
        <v>0</v>
      </c>
      <c r="W396" s="763" t="b">
        <v>0</v>
      </c>
      <c r="X396" s="216">
        <v>30.0</v>
      </c>
      <c r="Y396" s="11">
        <f t="shared" si="18"/>
        <v>300</v>
      </c>
      <c r="Z396" s="11" t="s">
        <v>178</v>
      </c>
      <c r="AA396" s="93"/>
      <c r="AB396" s="93" t="s">
        <v>1895</v>
      </c>
      <c r="AC396" s="93" t="s">
        <v>1628</v>
      </c>
      <c r="AD396" s="217" t="s">
        <v>1643</v>
      </c>
      <c r="AE396" s="11" t="str">
        <f>IMAGE("https://m.media-amazon.com/images/W/MEDIAX_792452-T2/images/I/91hMIBtDtPS._SL1500_.jpg")</f>
        <v/>
      </c>
      <c r="AF396" s="78" t="s">
        <v>1688</v>
      </c>
      <c r="AG396" s="74"/>
      <c r="AH396" s="75"/>
      <c r="AI396" s="12"/>
      <c r="AJ396" s="11"/>
      <c r="AK396" s="12">
        <v>1.0</v>
      </c>
    </row>
    <row r="397" ht="40.5" customHeight="1">
      <c r="A397" s="11">
        <v>396.0</v>
      </c>
      <c r="B397" s="624" t="s">
        <v>173</v>
      </c>
      <c r="C397" s="624" t="s">
        <v>1645</v>
      </c>
      <c r="D397" s="625" t="s">
        <v>1646</v>
      </c>
      <c r="E397" s="628" t="s">
        <v>1628</v>
      </c>
      <c r="F397" s="627">
        <v>5.0</v>
      </c>
      <c r="G397" s="11" t="s">
        <v>2127</v>
      </c>
      <c r="H397" s="627">
        <v>5.0</v>
      </c>
      <c r="I397" s="763" t="b">
        <v>0</v>
      </c>
      <c r="J397" s="763" t="b">
        <v>0</v>
      </c>
      <c r="K397" s="763" t="b">
        <v>0</v>
      </c>
      <c r="L397" s="763" t="b">
        <v>0</v>
      </c>
      <c r="M397" s="763" t="b">
        <v>0</v>
      </c>
      <c r="N397" s="763" t="b">
        <v>0</v>
      </c>
      <c r="O397" s="763" t="b">
        <v>0</v>
      </c>
      <c r="P397" s="763" t="b">
        <v>0</v>
      </c>
      <c r="Q397" s="763" t="b">
        <v>0</v>
      </c>
      <c r="R397" s="763" t="b">
        <v>0</v>
      </c>
      <c r="S397" s="763" t="b">
        <v>0</v>
      </c>
      <c r="T397" s="763" t="b">
        <v>0</v>
      </c>
      <c r="U397" s="763" t="b">
        <v>0</v>
      </c>
      <c r="V397" s="763" t="b">
        <v>0</v>
      </c>
      <c r="W397" s="763" t="b">
        <v>0</v>
      </c>
      <c r="X397" s="627">
        <v>20.0</v>
      </c>
      <c r="Y397" s="624">
        <f t="shared" si="18"/>
        <v>100</v>
      </c>
      <c r="Z397" s="624" t="s">
        <v>178</v>
      </c>
      <c r="AA397" s="625"/>
      <c r="AB397" s="625" t="s">
        <v>1960</v>
      </c>
      <c r="AC397" s="625" t="s">
        <v>1628</v>
      </c>
      <c r="AD397" s="629" t="s">
        <v>1647</v>
      </c>
      <c r="AE397" s="624" t="str">
        <f>IMAGE("https://5.imimg.com/data5/SELLER/Default/2022/1/IK/KY/AC/131638211/31tvrpe7ijl-500x500.jpg")</f>
        <v/>
      </c>
      <c r="AF397" s="630" t="s">
        <v>1725</v>
      </c>
      <c r="AG397" s="631"/>
      <c r="AH397" s="632"/>
      <c r="AI397" s="633"/>
      <c r="AJ397" s="624"/>
      <c r="AK397" s="12">
        <v>2.0</v>
      </c>
    </row>
    <row r="398" ht="40.5" customHeight="1">
      <c r="A398" s="11">
        <v>397.0</v>
      </c>
      <c r="B398" s="624" t="s">
        <v>173</v>
      </c>
      <c r="C398" s="624" t="s">
        <v>1649</v>
      </c>
      <c r="D398" s="625" t="s">
        <v>1650</v>
      </c>
      <c r="E398" s="628" t="s">
        <v>1628</v>
      </c>
      <c r="F398" s="627">
        <v>10.0</v>
      </c>
      <c r="G398" s="11" t="s">
        <v>2127</v>
      </c>
      <c r="H398" s="627">
        <v>10.0</v>
      </c>
      <c r="I398" s="763" t="b">
        <v>0</v>
      </c>
      <c r="J398" s="763" t="b">
        <v>0</v>
      </c>
      <c r="K398" s="763" t="b">
        <v>0</v>
      </c>
      <c r="L398" s="763" t="b">
        <v>0</v>
      </c>
      <c r="M398" s="763" t="b">
        <v>0</v>
      </c>
      <c r="N398" s="763" t="b">
        <v>0</v>
      </c>
      <c r="O398" s="763" t="b">
        <v>0</v>
      </c>
      <c r="P398" s="763" t="b">
        <v>0</v>
      </c>
      <c r="Q398" s="763" t="b">
        <v>0</v>
      </c>
      <c r="R398" s="763" t="b">
        <v>0</v>
      </c>
      <c r="S398" s="763" t="b">
        <v>0</v>
      </c>
      <c r="T398" s="763" t="b">
        <v>0</v>
      </c>
      <c r="U398" s="763" t="b">
        <v>0</v>
      </c>
      <c r="V398" s="763" t="b">
        <v>0</v>
      </c>
      <c r="W398" s="763" t="b">
        <v>0</v>
      </c>
      <c r="X398" s="627">
        <v>20.0</v>
      </c>
      <c r="Y398" s="624">
        <f t="shared" si="18"/>
        <v>200</v>
      </c>
      <c r="Z398" s="624" t="s">
        <v>178</v>
      </c>
      <c r="AA398" s="625"/>
      <c r="AB398" s="625" t="s">
        <v>1960</v>
      </c>
      <c r="AC398" s="625" t="s">
        <v>1628</v>
      </c>
      <c r="AD398" s="629" t="s">
        <v>1651</v>
      </c>
      <c r="AE398" s="624" t="str">
        <f>IMAGE("https://i0.wp.com/roboticsdna.in/wp-content/uploads/2020/11/IRON-TIP-1.png?fit=1000%2C1000&amp;ssl=1",1)</f>
        <v/>
      </c>
      <c r="AF398" s="630" t="s">
        <v>1725</v>
      </c>
      <c r="AG398" s="631"/>
      <c r="AH398" s="632"/>
      <c r="AI398" s="633"/>
      <c r="AJ398" s="624"/>
      <c r="AK398" s="12">
        <v>2.0</v>
      </c>
    </row>
    <row r="399" ht="40.5" customHeight="1">
      <c r="A399" s="11">
        <v>398.0</v>
      </c>
      <c r="B399" s="624" t="s">
        <v>173</v>
      </c>
      <c r="C399" s="624" t="s">
        <v>1653</v>
      </c>
      <c r="D399" s="625" t="s">
        <v>1654</v>
      </c>
      <c r="E399" s="628" t="s">
        <v>1628</v>
      </c>
      <c r="F399" s="627">
        <v>10.0</v>
      </c>
      <c r="G399" s="11" t="s">
        <v>2127</v>
      </c>
      <c r="H399" s="627">
        <v>10.0</v>
      </c>
      <c r="I399" s="763" t="b">
        <v>0</v>
      </c>
      <c r="J399" s="763" t="b">
        <v>0</v>
      </c>
      <c r="K399" s="763" t="b">
        <v>0</v>
      </c>
      <c r="L399" s="763" t="b">
        <v>0</v>
      </c>
      <c r="M399" s="763" t="b">
        <v>0</v>
      </c>
      <c r="N399" s="763" t="b">
        <v>0</v>
      </c>
      <c r="O399" s="763" t="b">
        <v>0</v>
      </c>
      <c r="P399" s="763" t="b">
        <v>0</v>
      </c>
      <c r="Q399" s="763" t="b">
        <v>0</v>
      </c>
      <c r="R399" s="763" t="b">
        <v>0</v>
      </c>
      <c r="S399" s="763" t="b">
        <v>0</v>
      </c>
      <c r="T399" s="763" t="b">
        <v>0</v>
      </c>
      <c r="U399" s="763" t="b">
        <v>0</v>
      </c>
      <c r="V399" s="763" t="b">
        <v>0</v>
      </c>
      <c r="W399" s="763" t="b">
        <v>0</v>
      </c>
      <c r="X399" s="627">
        <v>20.0</v>
      </c>
      <c r="Y399" s="624">
        <f t="shared" si="18"/>
        <v>200</v>
      </c>
      <c r="Z399" s="624" t="s">
        <v>178</v>
      </c>
      <c r="AA399" s="625"/>
      <c r="AB399" s="625" t="s">
        <v>1960</v>
      </c>
      <c r="AC399" s="625" t="s">
        <v>1628</v>
      </c>
      <c r="AD399" s="629" t="s">
        <v>1655</v>
      </c>
      <c r="AE399" s="624" t="str">
        <f>IMAGE("https://www.toolworld.in/storage/media/product/1656317774.jpg",1)</f>
        <v/>
      </c>
      <c r="AF399" s="630" t="s">
        <v>1725</v>
      </c>
      <c r="AG399" s="631"/>
      <c r="AH399" s="632"/>
      <c r="AI399" s="633"/>
      <c r="AJ399" s="624"/>
      <c r="AK399" s="12">
        <v>2.0</v>
      </c>
    </row>
    <row r="400" ht="40.5" customHeight="1">
      <c r="A400" s="11">
        <v>399.0</v>
      </c>
      <c r="B400" s="11" t="s">
        <v>173</v>
      </c>
      <c r="C400" s="11" t="s">
        <v>1657</v>
      </c>
      <c r="D400" s="93" t="s">
        <v>1658</v>
      </c>
      <c r="E400" s="215" t="s">
        <v>1628</v>
      </c>
      <c r="F400" s="216">
        <v>10.0</v>
      </c>
      <c r="G400" s="11" t="s">
        <v>2127</v>
      </c>
      <c r="H400" s="216">
        <v>10.0</v>
      </c>
      <c r="I400" s="763" t="b">
        <v>0</v>
      </c>
      <c r="J400" s="763" t="b">
        <v>0</v>
      </c>
      <c r="K400" s="763" t="b">
        <v>0</v>
      </c>
      <c r="L400" s="763" t="b">
        <v>0</v>
      </c>
      <c r="M400" s="763" t="b">
        <v>0</v>
      </c>
      <c r="N400" s="763" t="b">
        <v>0</v>
      </c>
      <c r="O400" s="763" t="b">
        <v>0</v>
      </c>
      <c r="P400" s="763" t="b">
        <v>0</v>
      </c>
      <c r="Q400" s="763" t="b">
        <v>0</v>
      </c>
      <c r="R400" s="763" t="b">
        <v>0</v>
      </c>
      <c r="S400" s="763" t="b">
        <v>0</v>
      </c>
      <c r="T400" s="763" t="b">
        <v>0</v>
      </c>
      <c r="U400" s="763" t="b">
        <v>0</v>
      </c>
      <c r="V400" s="763" t="b">
        <v>0</v>
      </c>
      <c r="W400" s="763" t="b">
        <v>0</v>
      </c>
      <c r="X400" s="216">
        <v>50.0</v>
      </c>
      <c r="Y400" s="11">
        <f t="shared" si="18"/>
        <v>500</v>
      </c>
      <c r="Z400" s="11" t="s">
        <v>178</v>
      </c>
      <c r="AA400" s="93"/>
      <c r="AB400" s="93" t="s">
        <v>1960</v>
      </c>
      <c r="AC400" s="93" t="s">
        <v>1628</v>
      </c>
      <c r="AD400" s="217" t="s">
        <v>1659</v>
      </c>
      <c r="AE400" s="11" t="str">
        <f>IMAGE("https://m.media-amazon.com/images/W/MEDIAX_792452-T2/images/I/41OjS3jnL4L.jpg",1)</f>
        <v/>
      </c>
      <c r="AF400" s="78" t="s">
        <v>1688</v>
      </c>
      <c r="AG400" s="74"/>
      <c r="AH400" s="75"/>
      <c r="AI400" s="12"/>
      <c r="AJ400" s="11"/>
      <c r="AK400" s="12">
        <v>1.0</v>
      </c>
    </row>
    <row r="401" ht="40.5" customHeight="1">
      <c r="A401" s="11">
        <v>400.0</v>
      </c>
      <c r="B401" s="624" t="s">
        <v>173</v>
      </c>
      <c r="C401" s="624" t="s">
        <v>1661</v>
      </c>
      <c r="D401" s="625" t="s">
        <v>1662</v>
      </c>
      <c r="E401" s="628" t="s">
        <v>1628</v>
      </c>
      <c r="F401" s="627">
        <v>2.0</v>
      </c>
      <c r="G401" s="11" t="s">
        <v>2104</v>
      </c>
      <c r="H401" s="627">
        <v>2.0</v>
      </c>
      <c r="I401" s="763" t="b">
        <v>0</v>
      </c>
      <c r="J401" s="763" t="b">
        <v>0</v>
      </c>
      <c r="K401" s="763" t="b">
        <v>0</v>
      </c>
      <c r="L401" s="763" t="b">
        <v>0</v>
      </c>
      <c r="M401" s="763" t="b">
        <v>0</v>
      </c>
      <c r="N401" s="763" t="b">
        <v>0</v>
      </c>
      <c r="O401" s="763" t="b">
        <v>0</v>
      </c>
      <c r="P401" s="763" t="b">
        <v>0</v>
      </c>
      <c r="Q401" s="763" t="b">
        <v>0</v>
      </c>
      <c r="R401" s="763" t="b">
        <v>0</v>
      </c>
      <c r="S401" s="763" t="b">
        <v>0</v>
      </c>
      <c r="T401" s="763" t="b">
        <v>0</v>
      </c>
      <c r="U401" s="763" t="b">
        <v>0</v>
      </c>
      <c r="V401" s="763" t="b">
        <v>0</v>
      </c>
      <c r="W401" s="763" t="b">
        <v>0</v>
      </c>
      <c r="X401" s="627">
        <v>500.0</v>
      </c>
      <c r="Y401" s="624">
        <f t="shared" si="18"/>
        <v>1000</v>
      </c>
      <c r="Z401" s="624" t="s">
        <v>178</v>
      </c>
      <c r="AA401" s="625" t="s">
        <v>47</v>
      </c>
      <c r="AB401" s="625"/>
      <c r="AC401" s="625" t="s">
        <v>1628</v>
      </c>
      <c r="AD401" s="629" t="s">
        <v>1663</v>
      </c>
      <c r="AE401" s="624" t="str">
        <f>IMAGE("https://m.media-amazon.com/images/W/MEDIAX_792452-T2/images/I/61gvV3Wc-NL._SL1024_.jpg")</f>
        <v/>
      </c>
      <c r="AF401" s="636" t="s">
        <v>1684</v>
      </c>
      <c r="AG401" s="631">
        <v>120.0</v>
      </c>
      <c r="AH401" s="632"/>
      <c r="AI401" s="633"/>
      <c r="AJ401" s="624"/>
      <c r="AK401" s="12">
        <v>3.0</v>
      </c>
    </row>
    <row r="402" ht="40.5" customHeight="1">
      <c r="A402" s="11">
        <v>401.0</v>
      </c>
      <c r="B402" s="11" t="s">
        <v>173</v>
      </c>
      <c r="C402" s="11" t="s">
        <v>1665</v>
      </c>
      <c r="D402" s="93" t="s">
        <v>1666</v>
      </c>
      <c r="E402" s="215" t="s">
        <v>1628</v>
      </c>
      <c r="F402" s="216">
        <v>10.0</v>
      </c>
      <c r="G402" s="11" t="s">
        <v>2127</v>
      </c>
      <c r="H402" s="216">
        <v>10.0</v>
      </c>
      <c r="I402" s="763" t="b">
        <v>0</v>
      </c>
      <c r="J402" s="763" t="b">
        <v>0</v>
      </c>
      <c r="K402" s="763" t="b">
        <v>0</v>
      </c>
      <c r="L402" s="763" t="b">
        <v>0</v>
      </c>
      <c r="M402" s="763" t="b">
        <v>0</v>
      </c>
      <c r="N402" s="763" t="b">
        <v>0</v>
      </c>
      <c r="O402" s="763" t="b">
        <v>0</v>
      </c>
      <c r="P402" s="763" t="b">
        <v>0</v>
      </c>
      <c r="Q402" s="763" t="b">
        <v>0</v>
      </c>
      <c r="R402" s="763" t="b">
        <v>0</v>
      </c>
      <c r="S402" s="763" t="b">
        <v>0</v>
      </c>
      <c r="T402" s="763" t="b">
        <v>0</v>
      </c>
      <c r="U402" s="763" t="b">
        <v>0</v>
      </c>
      <c r="V402" s="763" t="b">
        <v>0</v>
      </c>
      <c r="W402" s="763" t="b">
        <v>0</v>
      </c>
      <c r="X402" s="216">
        <v>300.0</v>
      </c>
      <c r="Y402" s="11">
        <f t="shared" si="18"/>
        <v>3000</v>
      </c>
      <c r="Z402" s="11" t="s">
        <v>178</v>
      </c>
      <c r="AA402" s="93"/>
      <c r="AB402" s="93" t="s">
        <v>1960</v>
      </c>
      <c r="AC402" s="93" t="s">
        <v>1628</v>
      </c>
      <c r="AD402" s="217" t="s">
        <v>1667</v>
      </c>
      <c r="AE402" s="11" t="str">
        <f>IMAGE("https://robu.in/wp-content/uploads/2015/10/Soldron-25-Watt-Iron-Soldering-Gun-5.jpg")</f>
        <v/>
      </c>
      <c r="AF402" s="78" t="s">
        <v>1725</v>
      </c>
      <c r="AG402" s="74"/>
      <c r="AH402" s="75"/>
      <c r="AI402" s="12"/>
      <c r="AJ402" s="11"/>
      <c r="AK402" s="12">
        <v>1.0</v>
      </c>
    </row>
    <row r="403" ht="40.5" customHeight="1">
      <c r="A403" s="11">
        <v>402.0</v>
      </c>
      <c r="B403" s="222" t="s">
        <v>173</v>
      </c>
      <c r="C403" s="222" t="s">
        <v>1669</v>
      </c>
      <c r="D403" s="232" t="s">
        <v>1670</v>
      </c>
      <c r="E403" s="233" t="s">
        <v>1628</v>
      </c>
      <c r="F403" s="234">
        <v>1.0</v>
      </c>
      <c r="G403" s="11" t="s">
        <v>2127</v>
      </c>
      <c r="H403" s="234">
        <v>1.0</v>
      </c>
      <c r="I403" s="763" t="b">
        <v>0</v>
      </c>
      <c r="J403" s="763" t="b">
        <v>0</v>
      </c>
      <c r="K403" s="763" t="b">
        <v>0</v>
      </c>
      <c r="L403" s="763" t="b">
        <v>0</v>
      </c>
      <c r="M403" s="763" t="b">
        <v>0</v>
      </c>
      <c r="N403" s="763" t="b">
        <v>0</v>
      </c>
      <c r="O403" s="763" t="b">
        <v>0</v>
      </c>
      <c r="P403" s="763" t="b">
        <v>0</v>
      </c>
      <c r="Q403" s="763" t="b">
        <v>0</v>
      </c>
      <c r="R403" s="763" t="b">
        <v>0</v>
      </c>
      <c r="S403" s="763" t="b">
        <v>0</v>
      </c>
      <c r="T403" s="763" t="b">
        <v>0</v>
      </c>
      <c r="U403" s="763" t="b">
        <v>0</v>
      </c>
      <c r="V403" s="763" t="b">
        <v>0</v>
      </c>
      <c r="W403" s="763" t="b">
        <v>0</v>
      </c>
      <c r="X403" s="234">
        <v>200.0</v>
      </c>
      <c r="Y403" s="222">
        <f t="shared" si="18"/>
        <v>200</v>
      </c>
      <c r="Z403" s="222" t="s">
        <v>178</v>
      </c>
      <c r="AA403" s="232"/>
      <c r="AB403" s="232" t="s">
        <v>1960</v>
      </c>
      <c r="AC403" s="232" t="s">
        <v>1628</v>
      </c>
      <c r="AD403" s="235" t="s">
        <v>1671</v>
      </c>
      <c r="AE403" s="222" t="str">
        <f>IMAGE("https://m.media-amazon.com/images/I/71Nb2wKaZgS._SL1500_.jpg", 1)</f>
        <v/>
      </c>
      <c r="AF403" s="619" t="s">
        <v>1684</v>
      </c>
      <c r="AG403" s="359">
        <v>60.0</v>
      </c>
      <c r="AH403" s="336"/>
      <c r="AI403" s="360"/>
      <c r="AJ403" s="222"/>
      <c r="AK403" s="299">
        <v>1.0</v>
      </c>
    </row>
    <row r="404" ht="40.5" customHeight="1">
      <c r="A404" s="11">
        <v>403.0</v>
      </c>
      <c r="B404" s="11" t="s">
        <v>173</v>
      </c>
      <c r="C404" s="11" t="s">
        <v>1673</v>
      </c>
      <c r="D404" s="93" t="s">
        <v>1674</v>
      </c>
      <c r="E404" s="215" t="s">
        <v>1628</v>
      </c>
      <c r="F404" s="216">
        <v>10.0</v>
      </c>
      <c r="G404" s="11" t="s">
        <v>2127</v>
      </c>
      <c r="H404" s="216">
        <v>10.0</v>
      </c>
      <c r="I404" s="763" t="b">
        <v>0</v>
      </c>
      <c r="J404" s="763" t="b">
        <v>0</v>
      </c>
      <c r="K404" s="763" t="b">
        <v>0</v>
      </c>
      <c r="L404" s="763" t="b">
        <v>0</v>
      </c>
      <c r="M404" s="763" t="b">
        <v>0</v>
      </c>
      <c r="N404" s="763" t="b">
        <v>0</v>
      </c>
      <c r="O404" s="763" t="b">
        <v>0</v>
      </c>
      <c r="P404" s="763" t="b">
        <v>0</v>
      </c>
      <c r="Q404" s="763" t="b">
        <v>0</v>
      </c>
      <c r="R404" s="763" t="b">
        <v>0</v>
      </c>
      <c r="S404" s="763" t="b">
        <v>0</v>
      </c>
      <c r="T404" s="763" t="b">
        <v>0</v>
      </c>
      <c r="U404" s="763" t="b">
        <v>0</v>
      </c>
      <c r="V404" s="763" t="b">
        <v>0</v>
      </c>
      <c r="W404" s="763" t="b">
        <v>0</v>
      </c>
      <c r="X404" s="216">
        <v>65.0</v>
      </c>
      <c r="Y404" s="11">
        <f t="shared" si="18"/>
        <v>650</v>
      </c>
      <c r="Z404" s="11" t="s">
        <v>178</v>
      </c>
      <c r="AA404" s="93"/>
      <c r="AB404" s="93" t="s">
        <v>1960</v>
      </c>
      <c r="AC404" s="93" t="s">
        <v>1628</v>
      </c>
      <c r="AD404" s="217" t="s">
        <v>1675</v>
      </c>
      <c r="AE404" s="11" t="str">
        <f>IMAGE("https://m.media-amazon.com/images/W/MEDIAX_792452-T2/images/I/511g3IePVzL.jpg",1)</f>
        <v/>
      </c>
      <c r="AF404" s="78" t="s">
        <v>1725</v>
      </c>
      <c r="AG404" s="74"/>
      <c r="AH404" s="75"/>
      <c r="AI404" s="12"/>
      <c r="AJ404" s="11"/>
      <c r="AK404" s="12">
        <v>1.0</v>
      </c>
    </row>
    <row r="405" ht="40.5" customHeight="1">
      <c r="A405" s="11">
        <v>404.0</v>
      </c>
      <c r="B405" s="11" t="s">
        <v>173</v>
      </c>
      <c r="C405" s="11" t="s">
        <v>1677</v>
      </c>
      <c r="D405" s="93" t="s">
        <v>1678</v>
      </c>
      <c r="E405" s="215" t="s">
        <v>1628</v>
      </c>
      <c r="F405" s="216">
        <v>10.0</v>
      </c>
      <c r="G405" s="11" t="s">
        <v>2127</v>
      </c>
      <c r="H405" s="216">
        <v>10.0</v>
      </c>
      <c r="I405" s="763" t="b">
        <v>0</v>
      </c>
      <c r="J405" s="763" t="b">
        <v>0</v>
      </c>
      <c r="K405" s="763" t="b">
        <v>0</v>
      </c>
      <c r="L405" s="763" t="b">
        <v>0</v>
      </c>
      <c r="M405" s="763" t="b">
        <v>0</v>
      </c>
      <c r="N405" s="763" t="b">
        <v>0</v>
      </c>
      <c r="O405" s="763" t="b">
        <v>0</v>
      </c>
      <c r="P405" s="763" t="b">
        <v>0</v>
      </c>
      <c r="Q405" s="763" t="b">
        <v>0</v>
      </c>
      <c r="R405" s="763" t="b">
        <v>0</v>
      </c>
      <c r="S405" s="763" t="b">
        <v>0</v>
      </c>
      <c r="T405" s="763" t="b">
        <v>0</v>
      </c>
      <c r="U405" s="763" t="b">
        <v>0</v>
      </c>
      <c r="V405" s="763" t="b">
        <v>0</v>
      </c>
      <c r="W405" s="763" t="b">
        <v>0</v>
      </c>
      <c r="X405" s="216">
        <v>100.0</v>
      </c>
      <c r="Y405" s="11">
        <f t="shared" si="18"/>
        <v>1000</v>
      </c>
      <c r="Z405" s="11" t="s">
        <v>178</v>
      </c>
      <c r="AA405" s="93"/>
      <c r="AB405" s="93" t="s">
        <v>1960</v>
      </c>
      <c r="AC405" s="93" t="s">
        <v>1628</v>
      </c>
      <c r="AD405" s="217" t="s">
        <v>1679</v>
      </c>
      <c r="AE405" s="11" t="str">
        <f>IMAGE("https://5.imimg.com/data5/FT/MG/MY-9316309/soldering-wire-500x500.jpg",1)</f>
        <v/>
      </c>
      <c r="AF405" s="78" t="s">
        <v>1688</v>
      </c>
      <c r="AG405" s="79"/>
      <c r="AH405" s="80"/>
      <c r="AI405" s="12"/>
      <c r="AJ405" s="11"/>
      <c r="AK405" s="12">
        <v>1.0</v>
      </c>
    </row>
    <row r="406" ht="40.5" customHeight="1">
      <c r="A406" s="11">
        <v>405.0</v>
      </c>
      <c r="B406" s="11" t="s">
        <v>461</v>
      </c>
      <c r="C406" s="11" t="s">
        <v>482</v>
      </c>
      <c r="D406" s="93" t="s">
        <v>483</v>
      </c>
      <c r="E406" s="215" t="s">
        <v>465</v>
      </c>
      <c r="F406" s="216">
        <v>1.0</v>
      </c>
      <c r="G406" s="11" t="s">
        <v>2066</v>
      </c>
      <c r="H406" s="216">
        <v>1.0</v>
      </c>
      <c r="I406" s="763" t="b">
        <v>0</v>
      </c>
      <c r="J406" s="763" t="b">
        <v>0</v>
      </c>
      <c r="K406" s="763" t="b">
        <v>0</v>
      </c>
      <c r="L406" s="763" t="b">
        <v>0</v>
      </c>
      <c r="M406" s="763" t="b">
        <v>0</v>
      </c>
      <c r="N406" s="763" t="b">
        <v>0</v>
      </c>
      <c r="O406" s="763" t="b">
        <v>0</v>
      </c>
      <c r="P406" s="763" t="b">
        <v>0</v>
      </c>
      <c r="Q406" s="763" t="b">
        <v>0</v>
      </c>
      <c r="R406" s="763" t="b">
        <v>0</v>
      </c>
      <c r="S406" s="763" t="b">
        <v>0</v>
      </c>
      <c r="T406" s="763" t="b">
        <v>0</v>
      </c>
      <c r="U406" s="763" t="b">
        <v>0</v>
      </c>
      <c r="V406" s="763" t="b">
        <v>0</v>
      </c>
      <c r="W406" s="763" t="b">
        <v>0</v>
      </c>
      <c r="X406" s="216">
        <v>28000.0</v>
      </c>
      <c r="Y406" s="11">
        <f t="shared" si="18"/>
        <v>28000</v>
      </c>
      <c r="Z406" s="11" t="s">
        <v>466</v>
      </c>
      <c r="AA406" s="93" t="s">
        <v>47</v>
      </c>
      <c r="AB406" s="123" t="s">
        <v>65</v>
      </c>
      <c r="AC406" s="93" t="s">
        <v>1991</v>
      </c>
      <c r="AD406" s="217" t="s">
        <v>484</v>
      </c>
      <c r="AE406" s="11" t="str">
        <f>IMAGE("https://robu.in/wp-content/uploads/2022/12/Creality-X-Ender-CR-Laser-Falcon-Laser-Engraver-10W-1.jpg",1)</f>
        <v/>
      </c>
      <c r="AF406" s="73" t="s">
        <v>1684</v>
      </c>
      <c r="AG406" s="74">
        <v>55.0</v>
      </c>
      <c r="AH406" s="75"/>
      <c r="AI406" s="12"/>
      <c r="AJ406" s="11"/>
      <c r="AK406" s="12">
        <v>3.0</v>
      </c>
    </row>
    <row r="407" ht="40.5" customHeight="1">
      <c r="A407" s="11">
        <v>406.0</v>
      </c>
      <c r="B407" s="11"/>
      <c r="C407" s="259" t="s">
        <v>1992</v>
      </c>
      <c r="D407" s="93" t="s">
        <v>1993</v>
      </c>
      <c r="E407" s="215" t="s">
        <v>465</v>
      </c>
      <c r="F407" s="216"/>
      <c r="G407" s="11" t="s">
        <v>2067</v>
      </c>
      <c r="H407" s="216">
        <v>1.0</v>
      </c>
      <c r="I407" s="763" t="b">
        <v>0</v>
      </c>
      <c r="J407" s="763" t="b">
        <v>0</v>
      </c>
      <c r="K407" s="763" t="b">
        <v>0</v>
      </c>
      <c r="L407" s="763" t="b">
        <v>0</v>
      </c>
      <c r="M407" s="763" t="b">
        <v>0</v>
      </c>
      <c r="N407" s="763" t="b">
        <v>0</v>
      </c>
      <c r="O407" s="763" t="b">
        <v>0</v>
      </c>
      <c r="P407" s="763" t="b">
        <v>0</v>
      </c>
      <c r="Q407" s="763" t="b">
        <v>0</v>
      </c>
      <c r="R407" s="763" t="b">
        <v>0</v>
      </c>
      <c r="S407" s="763" t="b">
        <v>0</v>
      </c>
      <c r="T407" s="763" t="b">
        <v>0</v>
      </c>
      <c r="U407" s="763" t="b">
        <v>0</v>
      </c>
      <c r="V407" s="763" t="b">
        <v>0</v>
      </c>
      <c r="W407" s="763" t="b">
        <v>0</v>
      </c>
      <c r="X407" s="216"/>
      <c r="Y407" s="11"/>
      <c r="Z407" s="11" t="s">
        <v>466</v>
      </c>
      <c r="AA407" s="93"/>
      <c r="AB407" s="123" t="s">
        <v>1594</v>
      </c>
      <c r="AC407" s="93" t="s">
        <v>1991</v>
      </c>
      <c r="AD407" s="217"/>
      <c r="AE407" s="11"/>
      <c r="AF407" s="73"/>
      <c r="AG407" s="74"/>
      <c r="AH407" s="75"/>
      <c r="AI407" s="12"/>
      <c r="AJ407" s="11"/>
      <c r="AK407" s="12">
        <v>1.0</v>
      </c>
    </row>
    <row r="408" ht="40.5" customHeight="1">
      <c r="A408" s="11">
        <v>407.0</v>
      </c>
      <c r="B408" s="11"/>
      <c r="C408" s="259" t="s">
        <v>1994</v>
      </c>
      <c r="D408" s="260" t="s">
        <v>1995</v>
      </c>
      <c r="E408" s="215" t="s">
        <v>465</v>
      </c>
      <c r="F408" s="216"/>
      <c r="G408" s="11" t="s">
        <v>2066</v>
      </c>
      <c r="H408" s="216">
        <v>1.0</v>
      </c>
      <c r="I408" s="763" t="b">
        <v>0</v>
      </c>
      <c r="J408" s="763" t="b">
        <v>0</v>
      </c>
      <c r="K408" s="763" t="b">
        <v>0</v>
      </c>
      <c r="L408" s="763" t="b">
        <v>0</v>
      </c>
      <c r="M408" s="763" t="b">
        <v>0</v>
      </c>
      <c r="N408" s="763" t="b">
        <v>0</v>
      </c>
      <c r="O408" s="763" t="b">
        <v>0</v>
      </c>
      <c r="P408" s="763" t="b">
        <v>0</v>
      </c>
      <c r="Q408" s="763" t="b">
        <v>0</v>
      </c>
      <c r="R408" s="763" t="b">
        <v>0</v>
      </c>
      <c r="S408" s="763" t="b">
        <v>0</v>
      </c>
      <c r="T408" s="763" t="b">
        <v>0</v>
      </c>
      <c r="U408" s="763" t="b">
        <v>0</v>
      </c>
      <c r="V408" s="763" t="b">
        <v>0</v>
      </c>
      <c r="W408" s="763" t="b">
        <v>0</v>
      </c>
      <c r="X408" s="216"/>
      <c r="Y408" s="11"/>
      <c r="Z408" s="11" t="s">
        <v>466</v>
      </c>
      <c r="AA408" s="93" t="s">
        <v>47</v>
      </c>
      <c r="AB408" s="123"/>
      <c r="AC408" s="93" t="s">
        <v>1991</v>
      </c>
      <c r="AD408" s="217"/>
      <c r="AE408" s="11"/>
      <c r="AF408" s="73"/>
      <c r="AG408" s="74"/>
      <c r="AH408" s="75"/>
      <c r="AI408" s="12"/>
      <c r="AJ408" s="11"/>
      <c r="AK408" s="12">
        <v>3.0</v>
      </c>
    </row>
    <row r="409" ht="40.5" customHeight="1">
      <c r="A409" s="11">
        <v>408.0</v>
      </c>
      <c r="B409" s="222"/>
      <c r="C409" s="346" t="s">
        <v>1996</v>
      </c>
      <c r="D409" s="347" t="s">
        <v>1997</v>
      </c>
      <c r="E409" s="233" t="s">
        <v>465</v>
      </c>
      <c r="F409" s="234"/>
      <c r="G409" s="11" t="s">
        <v>2154</v>
      </c>
      <c r="H409" s="234">
        <v>1.0</v>
      </c>
      <c r="I409" s="763" t="b">
        <v>0</v>
      </c>
      <c r="J409" s="763" t="b">
        <v>0</v>
      </c>
      <c r="K409" s="763" t="b">
        <v>0</v>
      </c>
      <c r="L409" s="763" t="b">
        <v>0</v>
      </c>
      <c r="M409" s="763" t="b">
        <v>0</v>
      </c>
      <c r="N409" s="763" t="b">
        <v>0</v>
      </c>
      <c r="O409" s="763" t="b">
        <v>0</v>
      </c>
      <c r="P409" s="763" t="b">
        <v>0</v>
      </c>
      <c r="Q409" s="763" t="b">
        <v>0</v>
      </c>
      <c r="R409" s="763" t="b">
        <v>0</v>
      </c>
      <c r="S409" s="763" t="b">
        <v>0</v>
      </c>
      <c r="T409" s="763" t="b">
        <v>0</v>
      </c>
      <c r="U409" s="763" t="b">
        <v>0</v>
      </c>
      <c r="V409" s="763" t="b">
        <v>0</v>
      </c>
      <c r="W409" s="763" t="b">
        <v>0</v>
      </c>
      <c r="X409" s="234"/>
      <c r="Y409" s="222"/>
      <c r="Z409" s="222" t="s">
        <v>466</v>
      </c>
      <c r="AA409" s="232"/>
      <c r="AB409" s="341"/>
      <c r="AC409" s="232" t="s">
        <v>1991</v>
      </c>
      <c r="AD409" s="235"/>
      <c r="AE409" s="222"/>
      <c r="AF409" s="619"/>
      <c r="AG409" s="359"/>
      <c r="AH409" s="336"/>
      <c r="AI409" s="360"/>
      <c r="AJ409" s="222"/>
      <c r="AK409" s="299">
        <v>2.0</v>
      </c>
    </row>
    <row r="410" ht="40.5" customHeight="1">
      <c r="A410" s="11">
        <v>409.0</v>
      </c>
      <c r="B410" s="11"/>
      <c r="C410" s="259" t="s">
        <v>1998</v>
      </c>
      <c r="D410" s="260" t="s">
        <v>1999</v>
      </c>
      <c r="E410" s="215" t="s">
        <v>1156</v>
      </c>
      <c r="F410" s="216"/>
      <c r="G410" s="11" t="s">
        <v>2155</v>
      </c>
      <c r="H410" s="216">
        <v>4.0</v>
      </c>
      <c r="I410" s="763" t="b">
        <v>0</v>
      </c>
      <c r="J410" s="763" t="b">
        <v>0</v>
      </c>
      <c r="K410" s="763" t="b">
        <v>0</v>
      </c>
      <c r="L410" s="763" t="b">
        <v>0</v>
      </c>
      <c r="M410" s="763" t="b">
        <v>0</v>
      </c>
      <c r="N410" s="763" t="b">
        <v>0</v>
      </c>
      <c r="O410" s="763" t="b">
        <v>0</v>
      </c>
      <c r="P410" s="763" t="b">
        <v>0</v>
      </c>
      <c r="Q410" s="763" t="b">
        <v>0</v>
      </c>
      <c r="R410" s="763" t="b">
        <v>0</v>
      </c>
      <c r="S410" s="763" t="b">
        <v>0</v>
      </c>
      <c r="T410" s="763" t="b">
        <v>0</v>
      </c>
      <c r="U410" s="763" t="b">
        <v>0</v>
      </c>
      <c r="V410" s="763" t="b">
        <v>0</v>
      </c>
      <c r="W410" s="763" t="b">
        <v>0</v>
      </c>
      <c r="X410" s="262"/>
      <c r="Y410" s="12"/>
      <c r="Z410" s="12" t="s">
        <v>1157</v>
      </c>
      <c r="AA410" s="37"/>
      <c r="AB410" s="766" t="s">
        <v>2002</v>
      </c>
      <c r="AC410" s="37"/>
      <c r="AD410" s="264"/>
      <c r="AE410" s="12"/>
      <c r="AF410" s="767"/>
      <c r="AG410" s="12"/>
      <c r="AH410" s="12"/>
      <c r="AI410" s="12"/>
      <c r="AJ410" s="12"/>
      <c r="AK410" s="12">
        <v>3.0</v>
      </c>
    </row>
    <row r="411" ht="40.5" customHeight="1">
      <c r="A411" s="412">
        <v>410.0</v>
      </c>
      <c r="B411" s="768" t="s">
        <v>2000</v>
      </c>
      <c r="C411" s="259" t="s">
        <v>2000</v>
      </c>
      <c r="D411" s="769" t="s">
        <v>2001</v>
      </c>
      <c r="E411" s="215"/>
      <c r="F411" s="216"/>
      <c r="G411" s="216" t="s">
        <v>2156</v>
      </c>
      <c r="H411" s="216">
        <v>5.0</v>
      </c>
      <c r="I411" s="763" t="b">
        <v>0</v>
      </c>
      <c r="J411" s="763" t="b">
        <v>0</v>
      </c>
      <c r="K411" s="763" t="b">
        <v>0</v>
      </c>
      <c r="L411" s="763" t="b">
        <v>0</v>
      </c>
      <c r="M411" s="763" t="b">
        <v>0</v>
      </c>
      <c r="N411" s="763" t="b">
        <v>0</v>
      </c>
      <c r="O411" s="763" t="b">
        <v>0</v>
      </c>
      <c r="P411" s="763" t="b">
        <v>0</v>
      </c>
      <c r="Q411" s="763" t="b">
        <v>0</v>
      </c>
      <c r="R411" s="763" t="b">
        <v>0</v>
      </c>
      <c r="S411" s="763" t="b">
        <v>0</v>
      </c>
      <c r="T411" s="763" t="b">
        <v>0</v>
      </c>
      <c r="U411" s="763" t="b">
        <v>0</v>
      </c>
      <c r="V411" s="763" t="b">
        <v>0</v>
      </c>
      <c r="W411" s="763" t="b">
        <v>1</v>
      </c>
      <c r="X411" s="262"/>
      <c r="Y411" s="12"/>
      <c r="Z411" s="12"/>
      <c r="AA411" s="37"/>
      <c r="AB411" s="766"/>
      <c r="AC411" s="37"/>
      <c r="AD411" s="264"/>
      <c r="AE411" s="12"/>
      <c r="AF411" s="767"/>
      <c r="AG411" s="12"/>
      <c r="AH411" s="12"/>
      <c r="AI411" s="12"/>
      <c r="AJ411" s="12"/>
      <c r="AK411" s="12"/>
    </row>
  </sheetData>
  <autoFilter ref="$A$1:$AK$410"/>
  <conditionalFormatting sqref="A2:E2 A5 A8 A11 A14 A17 A20 A23 A26 A29 A32 A35 A38 A41 A44 A47 A50 A53 A56 A59 A62 A65 B94">
    <cfRule type="containsBlanks" dxfId="0" priority="1">
      <formula>LEN(TRIM(A2))=0</formula>
    </cfRule>
  </conditionalFormatting>
  <conditionalFormatting sqref="G1:G411 AK1:AK411">
    <cfRule type="cellIs" dxfId="3" priority="2" operator="equal">
      <formula>1</formula>
    </cfRule>
  </conditionalFormatting>
  <conditionalFormatting sqref="G1:G411 AK1:AK411">
    <cfRule type="cellIs" dxfId="8" priority="3" operator="equal">
      <formula>2</formula>
    </cfRule>
  </conditionalFormatting>
  <conditionalFormatting sqref="G1:G411 AK1:AK411">
    <cfRule type="cellIs" dxfId="9" priority="4" operator="equal">
      <formula>3</formula>
    </cfRule>
  </conditionalFormatting>
  <conditionalFormatting sqref="G1:G411 AK1:AK411">
    <cfRule type="cellIs" dxfId="5" priority="5" operator="equal">
      <formula>4</formula>
    </cfRule>
  </conditionalFormatting>
  <conditionalFormatting sqref="AJ1:AJ411">
    <cfRule type="cellIs" dxfId="3" priority="6" operator="equal">
      <formula>1</formula>
    </cfRule>
  </conditionalFormatting>
  <dataValidations>
    <dataValidation type="list" allowBlank="1" showErrorMessage="1" sqref="Z1:Z103 Z105:Z411">
      <formula1>Sheet1!$C$1:$C$8</formula1>
    </dataValidation>
    <dataValidation type="list" allowBlank="1" showErrorMessage="1" sqref="AC13 AC15:AC17 AC20:AC21 AC25 AC28 AC33:AC36 AC70:AC74 AC126:AC131 AC143 AC147 AC207 AC227:AC230 AC286:AC288 AC304 AC310:AC311 AC313 AC317:AC320 AC327:AC338 AC342 AC344 AC352 AC389:AC405 E1:E411">
      <formula1>Sheet1!$A$1:$A$24</formula1>
    </dataValidation>
  </dataValidations>
  <printOptions gridLines="1" horizontalCentered="1"/>
  <pageMargins bottom="0.75" footer="0.0" header="0.0" left="0.25" right="0.25" top="0.75"/>
  <pageSetup fitToHeight="0"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E3FC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hidden="1" min="2" max="2" width="6.57"/>
    <col customWidth="1" min="3" max="3" width="11.86"/>
    <col customWidth="1" min="4" max="4" width="23.0"/>
    <col customWidth="1" hidden="1" min="5" max="5" width="22.29"/>
    <col customWidth="1" hidden="1" min="6" max="6" width="5.86"/>
    <col customWidth="1" min="7" max="7" width="19.43"/>
    <col customWidth="1" min="8" max="8" width="8.14"/>
    <col customWidth="1" hidden="1" min="9" max="9" width="10.71"/>
    <col customWidth="1" hidden="1" min="10" max="10" width="11.29"/>
    <col hidden="1" min="11" max="11" width="14.43"/>
    <col customWidth="1" hidden="1" min="12" max="12" width="7.86"/>
    <col customWidth="1" hidden="1" min="13" max="13" width="8.57"/>
    <col customWidth="1" hidden="1" min="14" max="14" width="23.57"/>
    <col customWidth="1" hidden="1" min="15" max="15" width="128.43"/>
    <col customWidth="1" hidden="1" min="16" max="16" width="11.14"/>
    <col customWidth="1" hidden="1" min="17" max="17" width="14.0"/>
    <col customWidth="1" hidden="1" min="18" max="18" width="15.29"/>
    <col customWidth="1" hidden="1" min="19" max="19" width="4.71"/>
    <col customWidth="1" hidden="1" min="20" max="20" width="9.29"/>
    <col customWidth="1" hidden="1" min="21" max="21" width="16.0"/>
    <col customWidth="1" hidden="1" min="22" max="22" width="9.29"/>
  </cols>
  <sheetData>
    <row r="1" ht="40.5" customHeight="1">
      <c r="A1" s="757" t="s">
        <v>0</v>
      </c>
      <c r="B1" s="757"/>
      <c r="C1" s="757" t="s">
        <v>1</v>
      </c>
      <c r="D1" s="758" t="s">
        <v>2</v>
      </c>
      <c r="E1" s="757" t="s">
        <v>3</v>
      </c>
      <c r="F1" s="757" t="s">
        <v>4</v>
      </c>
      <c r="G1" s="759" t="s">
        <v>1751</v>
      </c>
      <c r="H1" s="757" t="s">
        <v>2004</v>
      </c>
      <c r="I1" s="757" t="s">
        <v>6</v>
      </c>
      <c r="J1" s="757" t="s">
        <v>7</v>
      </c>
      <c r="K1" s="757" t="s">
        <v>8</v>
      </c>
      <c r="L1" s="758" t="s">
        <v>9</v>
      </c>
      <c r="M1" s="758" t="s">
        <v>10</v>
      </c>
      <c r="N1" s="761" t="s">
        <v>11</v>
      </c>
      <c r="O1" s="757" t="s">
        <v>12</v>
      </c>
      <c r="P1" s="759" t="s">
        <v>13</v>
      </c>
      <c r="Q1" s="759" t="s">
        <v>13</v>
      </c>
      <c r="R1" s="759" t="s">
        <v>13</v>
      </c>
      <c r="S1" s="759" t="s">
        <v>13</v>
      </c>
      <c r="T1" s="759" t="s">
        <v>13</v>
      </c>
      <c r="U1" s="759" t="s">
        <v>1882</v>
      </c>
      <c r="V1" s="762" t="s">
        <v>2197</v>
      </c>
      <c r="W1" s="770" t="s">
        <v>2767</v>
      </c>
    </row>
    <row r="2" ht="40.5" customHeight="1">
      <c r="A2" s="11">
        <v>1.0</v>
      </c>
      <c r="B2" s="11" t="s">
        <v>15</v>
      </c>
      <c r="C2" s="11" t="s">
        <v>17</v>
      </c>
      <c r="D2" s="93" t="s">
        <v>18</v>
      </c>
      <c r="E2" s="215" t="s">
        <v>19</v>
      </c>
      <c r="F2" s="216">
        <v>5.0</v>
      </c>
      <c r="G2" s="11" t="s">
        <v>2006</v>
      </c>
      <c r="H2" s="216">
        <v>6.0</v>
      </c>
      <c r="I2" s="216">
        <v>75.0</v>
      </c>
      <c r="J2" s="11">
        <f t="shared" ref="J2:J66" si="1">I2*H2</f>
        <v>450</v>
      </c>
      <c r="K2" s="11" t="s">
        <v>20</v>
      </c>
      <c r="L2" s="93" t="s">
        <v>21</v>
      </c>
      <c r="M2" s="93" t="s">
        <v>1902</v>
      </c>
      <c r="N2" s="93" t="s">
        <v>23</v>
      </c>
      <c r="O2" s="217" t="s">
        <v>24</v>
      </c>
      <c r="P2" s="11" t="str">
        <f>IMAGE("https://m.media-amazon.com/images/I/61ZBVWoGgCL._SL1500_.jpg",1)</f>
        <v/>
      </c>
      <c r="Q2" s="78"/>
      <c r="R2" s="74"/>
      <c r="S2" s="75"/>
      <c r="T2" s="12"/>
      <c r="U2" s="11"/>
      <c r="V2" s="11">
        <v>1.0</v>
      </c>
      <c r="W2" s="576"/>
    </row>
    <row r="3" ht="40.5" customHeight="1">
      <c r="A3" s="11">
        <v>2.0</v>
      </c>
      <c r="B3" s="11" t="s">
        <v>15</v>
      </c>
      <c r="C3" s="11" t="s">
        <v>26</v>
      </c>
      <c r="D3" s="93" t="s">
        <v>27</v>
      </c>
      <c r="E3" s="215" t="s">
        <v>19</v>
      </c>
      <c r="F3" s="216">
        <v>1.0</v>
      </c>
      <c r="G3" s="11" t="s">
        <v>2007</v>
      </c>
      <c r="H3" s="216">
        <v>2.0</v>
      </c>
      <c r="I3" s="216">
        <v>150.0</v>
      </c>
      <c r="J3" s="11">
        <f t="shared" si="1"/>
        <v>300</v>
      </c>
      <c r="K3" s="11" t="s">
        <v>20</v>
      </c>
      <c r="L3" s="93" t="s">
        <v>21</v>
      </c>
      <c r="M3" s="93"/>
      <c r="N3" s="93" t="s">
        <v>23</v>
      </c>
      <c r="O3" s="217" t="s">
        <v>28</v>
      </c>
      <c r="P3" s="11" t="str">
        <f>IMAGE("https://5.imimg.com/data5/BN/FC/MY-25588345/omega-cell-tape-dispenser-500x500.jpg",1)</f>
        <v/>
      </c>
      <c r="Q3" s="78"/>
      <c r="R3" s="74"/>
      <c r="S3" s="75"/>
      <c r="T3" s="12"/>
      <c r="U3" s="11"/>
      <c r="V3" s="11">
        <v>3.0</v>
      </c>
      <c r="W3" s="576"/>
    </row>
    <row r="4" ht="40.5" customHeight="1">
      <c r="A4" s="11">
        <v>3.0</v>
      </c>
      <c r="B4" s="11" t="s">
        <v>15</v>
      </c>
      <c r="C4" s="11" t="s">
        <v>30</v>
      </c>
      <c r="D4" s="93" t="s">
        <v>31</v>
      </c>
      <c r="E4" s="215" t="s">
        <v>19</v>
      </c>
      <c r="F4" s="216">
        <v>5.0</v>
      </c>
      <c r="G4" s="11" t="s">
        <v>2009</v>
      </c>
      <c r="H4" s="216">
        <v>6.0</v>
      </c>
      <c r="I4" s="218">
        <v>25.0</v>
      </c>
      <c r="J4" s="11">
        <f t="shared" si="1"/>
        <v>150</v>
      </c>
      <c r="K4" s="11" t="s">
        <v>20</v>
      </c>
      <c r="L4" s="93" t="s">
        <v>21</v>
      </c>
      <c r="M4" s="93" t="s">
        <v>2008</v>
      </c>
      <c r="N4" s="93" t="s">
        <v>23</v>
      </c>
      <c r="O4" s="217" t="s">
        <v>32</v>
      </c>
      <c r="P4" s="11" t="str">
        <f>IMAGE("https://m.media-amazon.com/images/I/21wXjA1iP5L.jpg",1)</f>
        <v/>
      </c>
      <c r="Q4" s="78"/>
      <c r="R4" s="74"/>
      <c r="S4" s="75"/>
      <c r="T4" s="5"/>
      <c r="U4" s="14"/>
      <c r="V4" s="11">
        <v>1.0</v>
      </c>
      <c r="W4" s="576"/>
    </row>
    <row r="5" ht="40.5" customHeight="1">
      <c r="A5" s="11">
        <v>4.0</v>
      </c>
      <c r="B5" s="11" t="s">
        <v>15</v>
      </c>
      <c r="C5" s="11" t="s">
        <v>34</v>
      </c>
      <c r="D5" s="93" t="s">
        <v>35</v>
      </c>
      <c r="E5" s="215" t="s">
        <v>19</v>
      </c>
      <c r="F5" s="216">
        <v>5.0</v>
      </c>
      <c r="G5" s="11" t="s">
        <v>2006</v>
      </c>
      <c r="H5" s="216">
        <v>6.0</v>
      </c>
      <c r="I5" s="216">
        <v>80.0</v>
      </c>
      <c r="J5" s="11">
        <f t="shared" si="1"/>
        <v>480</v>
      </c>
      <c r="K5" s="11" t="s">
        <v>20</v>
      </c>
      <c r="L5" s="93" t="s">
        <v>21</v>
      </c>
      <c r="M5" s="93" t="s">
        <v>1902</v>
      </c>
      <c r="N5" s="93" t="s">
        <v>23</v>
      </c>
      <c r="O5" s="217"/>
      <c r="P5" s="11" t="str">
        <f>IMAGE("https://5.imimg.com/data5/YG/CD/MY-4112616/transparent-tape-500x500.jpg",1)</f>
        <v/>
      </c>
      <c r="Q5" s="78"/>
      <c r="R5" s="74"/>
      <c r="S5" s="75"/>
      <c r="T5" s="12"/>
      <c r="U5" s="11"/>
      <c r="V5" s="11">
        <v>1.0</v>
      </c>
      <c r="W5" s="576"/>
    </row>
    <row r="6" ht="40.5" customHeight="1">
      <c r="A6" s="11">
        <v>5.0</v>
      </c>
      <c r="B6" s="11" t="s">
        <v>15</v>
      </c>
      <c r="C6" s="11" t="s">
        <v>37</v>
      </c>
      <c r="D6" s="93" t="s">
        <v>1886</v>
      </c>
      <c r="E6" s="215" t="s">
        <v>19</v>
      </c>
      <c r="F6" s="216">
        <v>5.0</v>
      </c>
      <c r="G6" s="11" t="s">
        <v>2009</v>
      </c>
      <c r="H6" s="216">
        <v>6.0</v>
      </c>
      <c r="I6" s="216">
        <v>80.0</v>
      </c>
      <c r="J6" s="11">
        <f t="shared" si="1"/>
        <v>480</v>
      </c>
      <c r="K6" s="11" t="s">
        <v>20</v>
      </c>
      <c r="L6" s="93" t="s">
        <v>21</v>
      </c>
      <c r="M6" s="93" t="s">
        <v>2008</v>
      </c>
      <c r="N6" s="93" t="s">
        <v>23</v>
      </c>
      <c r="O6" s="217" t="s">
        <v>39</v>
      </c>
      <c r="P6" s="11" t="str">
        <f>IMAGE("https://m.media-amazon.com/images/I/61JiUrBk2-L._SL1082_.jpg",1)</f>
        <v/>
      </c>
      <c r="Q6" s="78"/>
      <c r="R6" s="74"/>
      <c r="S6" s="75"/>
      <c r="T6" s="12"/>
      <c r="U6" s="11"/>
      <c r="V6" s="11">
        <v>1.0</v>
      </c>
      <c r="W6" s="576"/>
    </row>
    <row r="7" ht="40.5" customHeight="1">
      <c r="A7" s="11">
        <v>6.0</v>
      </c>
      <c r="B7" s="11" t="s">
        <v>15</v>
      </c>
      <c r="C7" s="11" t="s">
        <v>41</v>
      </c>
      <c r="D7" s="93" t="s">
        <v>42</v>
      </c>
      <c r="E7" s="215" t="s">
        <v>19</v>
      </c>
      <c r="F7" s="216">
        <v>5.0</v>
      </c>
      <c r="G7" s="11" t="s">
        <v>2010</v>
      </c>
      <c r="H7" s="216">
        <v>6.0</v>
      </c>
      <c r="I7" s="216">
        <v>80.0</v>
      </c>
      <c r="J7" s="11">
        <f t="shared" si="1"/>
        <v>480</v>
      </c>
      <c r="K7" s="11" t="s">
        <v>20</v>
      </c>
      <c r="L7" s="93" t="s">
        <v>21</v>
      </c>
      <c r="M7" s="93" t="s">
        <v>2002</v>
      </c>
      <c r="N7" s="93" t="s">
        <v>23</v>
      </c>
      <c r="O7" s="217" t="s">
        <v>43</v>
      </c>
      <c r="P7" s="11" t="str">
        <f>IMAGE("https://m.media-amazon.com/images/I/51JAsOuirxL._SL1000_.jpg",1)</f>
        <v/>
      </c>
      <c r="Q7" s="78" t="s">
        <v>56</v>
      </c>
      <c r="R7" s="79"/>
      <c r="S7" s="80"/>
      <c r="T7" s="12"/>
      <c r="U7" s="11"/>
      <c r="V7" s="11">
        <v>1.0</v>
      </c>
      <c r="W7" s="576"/>
    </row>
    <row r="8" ht="40.5" customHeight="1">
      <c r="A8" s="11">
        <v>7.0</v>
      </c>
      <c r="B8" s="11" t="s">
        <v>15</v>
      </c>
      <c r="C8" s="11" t="s">
        <v>45</v>
      </c>
      <c r="D8" s="93" t="s">
        <v>46</v>
      </c>
      <c r="E8" s="215" t="s">
        <v>19</v>
      </c>
      <c r="F8" s="11">
        <v>10.0</v>
      </c>
      <c r="G8" s="11" t="s">
        <v>2011</v>
      </c>
      <c r="H8" s="11">
        <v>10.0</v>
      </c>
      <c r="I8" s="11">
        <v>35.0</v>
      </c>
      <c r="J8" s="11">
        <f t="shared" si="1"/>
        <v>350</v>
      </c>
      <c r="K8" s="11" t="s">
        <v>20</v>
      </c>
      <c r="L8" s="93" t="s">
        <v>47</v>
      </c>
      <c r="M8" s="93" t="s">
        <v>2008</v>
      </c>
      <c r="N8" s="93" t="s">
        <v>23</v>
      </c>
      <c r="O8" s="217" t="s">
        <v>48</v>
      </c>
      <c r="P8" s="11" t="str">
        <f>IMAGE("https://m.media-amazon.com/images/I/81zdeTxqkLL._SL1500_.jpg",1)</f>
        <v/>
      </c>
      <c r="Q8" s="78"/>
      <c r="R8" s="74"/>
      <c r="S8" s="75"/>
      <c r="T8" s="12"/>
      <c r="U8" s="11"/>
      <c r="V8" s="11">
        <v>1.0</v>
      </c>
      <c r="W8" s="576"/>
    </row>
    <row r="9" ht="40.5" customHeight="1">
      <c r="A9" s="11">
        <v>8.0</v>
      </c>
      <c r="B9" s="11" t="s">
        <v>15</v>
      </c>
      <c r="C9" s="11" t="s">
        <v>50</v>
      </c>
      <c r="D9" s="93" t="s">
        <v>51</v>
      </c>
      <c r="E9" s="215" t="s">
        <v>19</v>
      </c>
      <c r="F9" s="216">
        <v>5.0</v>
      </c>
      <c r="G9" s="11" t="s">
        <v>2013</v>
      </c>
      <c r="H9" s="216">
        <v>5.0</v>
      </c>
      <c r="I9" s="216">
        <v>80.0</v>
      </c>
      <c r="J9" s="11">
        <f t="shared" si="1"/>
        <v>400</v>
      </c>
      <c r="K9" s="11" t="s">
        <v>20</v>
      </c>
      <c r="L9" s="93" t="s">
        <v>21</v>
      </c>
      <c r="M9" s="93" t="s">
        <v>2012</v>
      </c>
      <c r="N9" s="93" t="s">
        <v>23</v>
      </c>
      <c r="O9" s="217" t="s">
        <v>52</v>
      </c>
      <c r="P9" s="11" t="str">
        <f>IMAGE("https://megahardwarett.com/wp-content/uploads/2022/03/71TQZaRi6yL._AC_SX425_.jpg",1)</f>
        <v/>
      </c>
      <c r="Q9" s="78"/>
      <c r="R9" s="74"/>
      <c r="S9" s="75"/>
      <c r="T9" s="5"/>
      <c r="U9" s="14"/>
      <c r="V9" s="11">
        <v>1.0</v>
      </c>
      <c r="W9" s="576"/>
    </row>
    <row r="10" ht="40.5" customHeight="1">
      <c r="A10" s="11">
        <v>9.0</v>
      </c>
      <c r="B10" s="11" t="s">
        <v>15</v>
      </c>
      <c r="C10" s="11" t="s">
        <v>54</v>
      </c>
      <c r="D10" s="93" t="s">
        <v>1887</v>
      </c>
      <c r="E10" s="215" t="s">
        <v>19</v>
      </c>
      <c r="F10" s="216">
        <v>5.0</v>
      </c>
      <c r="G10" s="11" t="s">
        <v>2011</v>
      </c>
      <c r="H10" s="216">
        <v>10.0</v>
      </c>
      <c r="I10" s="216">
        <v>60.0</v>
      </c>
      <c r="J10" s="11">
        <f t="shared" si="1"/>
        <v>600</v>
      </c>
      <c r="K10" s="11" t="s">
        <v>20</v>
      </c>
      <c r="L10" s="93" t="s">
        <v>47</v>
      </c>
      <c r="M10" s="93" t="s">
        <v>2008</v>
      </c>
      <c r="N10" s="93" t="s">
        <v>23</v>
      </c>
      <c r="O10" s="216" t="s">
        <v>56</v>
      </c>
      <c r="P10" s="11" t="str">
        <f>IMAGE("https://m.media-amazon.com/images/I/51xkFZnkVFL._SX466_.jpg",1)</f>
        <v/>
      </c>
      <c r="Q10" s="78"/>
      <c r="R10" s="74"/>
      <c r="S10" s="75"/>
      <c r="T10" s="12"/>
      <c r="U10" s="11"/>
      <c r="V10" s="11">
        <v>1.0</v>
      </c>
      <c r="W10" s="576"/>
    </row>
    <row r="11" ht="40.5" customHeight="1">
      <c r="A11" s="11">
        <v>10.0</v>
      </c>
      <c r="B11" s="11" t="s">
        <v>15</v>
      </c>
      <c r="C11" s="11" t="s">
        <v>58</v>
      </c>
      <c r="D11" s="93" t="s">
        <v>1888</v>
      </c>
      <c r="E11" s="215" t="s">
        <v>19</v>
      </c>
      <c r="F11" s="216">
        <v>5.0</v>
      </c>
      <c r="G11" s="11" t="s">
        <v>2011</v>
      </c>
      <c r="H11" s="216">
        <v>10.0</v>
      </c>
      <c r="I11" s="216">
        <v>70.0</v>
      </c>
      <c r="J11" s="11">
        <f t="shared" si="1"/>
        <v>700</v>
      </c>
      <c r="K11" s="11" t="s">
        <v>20</v>
      </c>
      <c r="L11" s="93" t="s">
        <v>47</v>
      </c>
      <c r="M11" s="93" t="s">
        <v>2008</v>
      </c>
      <c r="N11" s="93" t="s">
        <v>23</v>
      </c>
      <c r="O11" s="217" t="s">
        <v>60</v>
      </c>
      <c r="P11" s="11" t="str">
        <f>IMAGE("https://5.imimg.com/data5/LJ/PW/MY-3849711/loctite-401-super-glue-500x500.jpg",1)</f>
        <v/>
      </c>
      <c r="Q11" s="78"/>
      <c r="R11" s="74"/>
      <c r="S11" s="75"/>
      <c r="T11" s="12"/>
      <c r="U11" s="11"/>
      <c r="V11" s="11">
        <v>1.0</v>
      </c>
      <c r="W11" s="576"/>
    </row>
    <row r="12" ht="40.5" customHeight="1">
      <c r="A12" s="11">
        <v>11.0</v>
      </c>
      <c r="B12" s="11" t="s">
        <v>15</v>
      </c>
      <c r="C12" s="11" t="s">
        <v>62</v>
      </c>
      <c r="D12" s="93" t="s">
        <v>1889</v>
      </c>
      <c r="E12" s="215" t="s">
        <v>64</v>
      </c>
      <c r="F12" s="216">
        <v>20.0</v>
      </c>
      <c r="G12" s="11" t="s">
        <v>2014</v>
      </c>
      <c r="H12" s="216">
        <v>60.0</v>
      </c>
      <c r="I12" s="216">
        <v>300.0</v>
      </c>
      <c r="J12" s="11">
        <f t="shared" si="1"/>
        <v>18000</v>
      </c>
      <c r="K12" s="11" t="s">
        <v>20</v>
      </c>
      <c r="L12" s="93" t="s">
        <v>65</v>
      </c>
      <c r="M12" s="93" t="s">
        <v>2012</v>
      </c>
      <c r="N12" s="93" t="s">
        <v>1890</v>
      </c>
      <c r="O12" s="217" t="s">
        <v>68</v>
      </c>
      <c r="P12" s="11" t="str">
        <f>IMAGE("https://5.imimg.com/data5/SELLER/Default/2020/9/EF/FR/SW/13763930/fevicryte-acrylic-colors-500x500.jpg",1)</f>
        <v/>
      </c>
      <c r="Q12" s="78" t="s">
        <v>56</v>
      </c>
      <c r="R12" s="74"/>
      <c r="S12" s="75"/>
      <c r="T12" s="12"/>
      <c r="U12" s="11"/>
      <c r="V12" s="11">
        <v>1.0</v>
      </c>
      <c r="W12" s="576"/>
    </row>
    <row r="13" ht="40.5" customHeight="1">
      <c r="A13" s="11">
        <v>12.0</v>
      </c>
      <c r="B13" s="11" t="s">
        <v>15</v>
      </c>
      <c r="C13" s="11" t="s">
        <v>70</v>
      </c>
      <c r="D13" s="93" t="s">
        <v>71</v>
      </c>
      <c r="E13" s="215" t="s">
        <v>64</v>
      </c>
      <c r="F13" s="216">
        <v>1.0</v>
      </c>
      <c r="G13" s="11" t="s">
        <v>1984</v>
      </c>
      <c r="H13" s="216">
        <v>25.0</v>
      </c>
      <c r="I13" s="218">
        <v>1000.0</v>
      </c>
      <c r="J13" s="11">
        <f t="shared" si="1"/>
        <v>25000</v>
      </c>
      <c r="K13" s="11" t="s">
        <v>20</v>
      </c>
      <c r="L13" s="93" t="s">
        <v>72</v>
      </c>
      <c r="M13" s="93" t="s">
        <v>65</v>
      </c>
      <c r="N13" s="93" t="s">
        <v>111</v>
      </c>
      <c r="O13" s="219" t="s">
        <v>73</v>
      </c>
      <c r="P13" s="11" t="str">
        <f>IMAGE("https://helloaugust.in/wp-content/uploads/2020/04/dark-colour-chart-paper-full-size-300x300.jpg",1)</f>
        <v/>
      </c>
      <c r="Q13" s="78"/>
      <c r="R13" s="74"/>
      <c r="S13" s="75"/>
      <c r="T13" s="12"/>
      <c r="U13" s="11"/>
      <c r="V13" s="11">
        <v>3.0</v>
      </c>
      <c r="W13" s="576"/>
    </row>
    <row r="14" ht="40.5" customHeight="1">
      <c r="A14" s="11">
        <v>13.0</v>
      </c>
      <c r="B14" s="11" t="s">
        <v>15</v>
      </c>
      <c r="C14" s="11" t="s">
        <v>75</v>
      </c>
      <c r="D14" s="93" t="s">
        <v>1891</v>
      </c>
      <c r="E14" s="215" t="s">
        <v>64</v>
      </c>
      <c r="F14" s="11">
        <v>10.0</v>
      </c>
      <c r="G14" s="11" t="s">
        <v>2015</v>
      </c>
      <c r="H14" s="11">
        <v>10.0</v>
      </c>
      <c r="I14" s="11">
        <v>50.0</v>
      </c>
      <c r="J14" s="11">
        <f t="shared" si="1"/>
        <v>500</v>
      </c>
      <c r="K14" s="11" t="s">
        <v>20</v>
      </c>
      <c r="L14" s="93" t="s">
        <v>77</v>
      </c>
      <c r="M14" s="123" t="s">
        <v>1594</v>
      </c>
      <c r="N14" s="93" t="s">
        <v>1892</v>
      </c>
      <c r="O14" s="217" t="s">
        <v>78</v>
      </c>
      <c r="P14" s="11" t="str">
        <f>IMAGE("https://m.media-amazon.com/images/W/MEDIAX_792452-T2/images/I/611Q9E31rML._SL1500_.jpg",1)</f>
        <v/>
      </c>
      <c r="Q14" s="78"/>
      <c r="R14" s="74"/>
      <c r="S14" s="75"/>
      <c r="T14" s="12"/>
      <c r="U14" s="11"/>
      <c r="V14" s="11">
        <v>1.0</v>
      </c>
      <c r="W14" s="576"/>
    </row>
    <row r="15" ht="40.5" customHeight="1">
      <c r="A15" s="11">
        <v>14.0</v>
      </c>
      <c r="B15" s="11" t="s">
        <v>15</v>
      </c>
      <c r="C15" s="11" t="s">
        <v>80</v>
      </c>
      <c r="D15" s="93" t="s">
        <v>352</v>
      </c>
      <c r="E15" s="215" t="s">
        <v>64</v>
      </c>
      <c r="F15" s="216">
        <v>5.0</v>
      </c>
      <c r="G15" s="11" t="s">
        <v>1984</v>
      </c>
      <c r="H15" s="216">
        <v>5.0</v>
      </c>
      <c r="I15" s="218">
        <v>100.0</v>
      </c>
      <c r="J15" s="11">
        <f t="shared" si="1"/>
        <v>500</v>
      </c>
      <c r="K15" s="11" t="s">
        <v>20</v>
      </c>
      <c r="L15" s="93" t="s">
        <v>65</v>
      </c>
      <c r="M15" s="93"/>
      <c r="N15" s="93" t="s">
        <v>111</v>
      </c>
      <c r="O15" s="217" t="s">
        <v>84</v>
      </c>
      <c r="P15" s="11" t="str">
        <f>IMAGE("https://4.imimg.com/data4/TN/NP/MY-32886991/a4-colour-paper-500x500.jpg",1)</f>
        <v/>
      </c>
      <c r="Q15" s="78"/>
      <c r="R15" s="74"/>
      <c r="S15" s="75"/>
      <c r="T15" s="12"/>
      <c r="U15" s="11"/>
      <c r="V15" s="11">
        <v>3.0</v>
      </c>
      <c r="W15" s="576"/>
    </row>
    <row r="16" ht="40.5" customHeight="1">
      <c r="A16" s="11">
        <v>15.0</v>
      </c>
      <c r="B16" s="11" t="s">
        <v>15</v>
      </c>
      <c r="C16" s="11" t="s">
        <v>86</v>
      </c>
      <c r="D16" s="93" t="s">
        <v>1893</v>
      </c>
      <c r="E16" s="215" t="s">
        <v>64</v>
      </c>
      <c r="F16" s="216">
        <v>5.0</v>
      </c>
      <c r="G16" s="11" t="s">
        <v>2016</v>
      </c>
      <c r="H16" s="216">
        <v>5.0</v>
      </c>
      <c r="I16" s="216">
        <v>70.0</v>
      </c>
      <c r="J16" s="11">
        <f t="shared" si="1"/>
        <v>350</v>
      </c>
      <c r="K16" s="11" t="s">
        <v>20</v>
      </c>
      <c r="L16" s="93" t="s">
        <v>77</v>
      </c>
      <c r="M16" s="123" t="s">
        <v>1594</v>
      </c>
      <c r="N16" s="93" t="s">
        <v>111</v>
      </c>
      <c r="O16" s="217" t="s">
        <v>88</v>
      </c>
      <c r="P16" s="11" t="str">
        <f>IMAGE("https://www.htconline.in/images/thumbs/0019821_camlin-drawing-pencils-set-of-6.jpeg",1)</f>
        <v/>
      </c>
      <c r="Q16" s="78"/>
      <c r="R16" s="74"/>
      <c r="S16" s="75"/>
      <c r="T16" s="12"/>
      <c r="U16" s="11"/>
      <c r="V16" s="11">
        <v>1.0</v>
      </c>
      <c r="W16" s="576"/>
    </row>
    <row r="17" ht="40.5" customHeight="1">
      <c r="A17" s="11">
        <v>16.0</v>
      </c>
      <c r="B17" s="11" t="s">
        <v>15</v>
      </c>
      <c r="C17" s="11" t="s">
        <v>90</v>
      </c>
      <c r="D17" s="93" t="s">
        <v>91</v>
      </c>
      <c r="E17" s="215" t="s">
        <v>64</v>
      </c>
      <c r="F17" s="216">
        <v>10.0</v>
      </c>
      <c r="G17" s="11" t="s">
        <v>2016</v>
      </c>
      <c r="H17" s="216">
        <v>20.0</v>
      </c>
      <c r="I17" s="216">
        <v>10.0</v>
      </c>
      <c r="J17" s="11">
        <f t="shared" si="1"/>
        <v>200</v>
      </c>
      <c r="K17" s="11" t="s">
        <v>20</v>
      </c>
      <c r="L17" s="93" t="s">
        <v>77</v>
      </c>
      <c r="M17" s="123" t="s">
        <v>1594</v>
      </c>
      <c r="N17" s="93" t="s">
        <v>111</v>
      </c>
      <c r="O17" s="217" t="s">
        <v>92</v>
      </c>
      <c r="P17" s="11" t="str">
        <f>IMAGE("https://upload.wikimedia.org/wikipedia/commons/e/e8/Office-pink-erasers.jpg",1)</f>
        <v/>
      </c>
      <c r="Q17" s="78" t="s">
        <v>56</v>
      </c>
      <c r="R17" s="74"/>
      <c r="S17" s="75"/>
      <c r="T17" s="12"/>
      <c r="U17" s="11"/>
      <c r="V17" s="11">
        <v>1.0</v>
      </c>
      <c r="W17" s="576"/>
    </row>
    <row r="18" ht="40.5" customHeight="1">
      <c r="A18" s="11">
        <v>17.0</v>
      </c>
      <c r="B18" s="11" t="s">
        <v>15</v>
      </c>
      <c r="C18" s="11" t="s">
        <v>94</v>
      </c>
      <c r="D18" s="93" t="s">
        <v>95</v>
      </c>
      <c r="E18" s="215" t="s">
        <v>64</v>
      </c>
      <c r="F18" s="216">
        <v>10.0</v>
      </c>
      <c r="G18" s="11" t="s">
        <v>2016</v>
      </c>
      <c r="H18" s="216">
        <v>10.0</v>
      </c>
      <c r="I18" s="216">
        <v>35.0</v>
      </c>
      <c r="J18" s="11">
        <f t="shared" si="1"/>
        <v>350</v>
      </c>
      <c r="K18" s="11" t="s">
        <v>20</v>
      </c>
      <c r="L18" s="93" t="s">
        <v>77</v>
      </c>
      <c r="M18" s="123" t="s">
        <v>1594</v>
      </c>
      <c r="N18" s="93" t="s">
        <v>111</v>
      </c>
      <c r="O18" s="220" t="s">
        <v>96</v>
      </c>
      <c r="P18" s="11" t="str">
        <f>IMAGE("https://cdn.shopify.com/s/files/1/0064/3412/7939/products/Main-2_2baab3ae-c700-4dd7-acd2-e9442aee0358_2048x.jpg?v=1669799264",1)</f>
        <v/>
      </c>
      <c r="Q18" s="78"/>
      <c r="R18" s="74"/>
      <c r="S18" s="75"/>
      <c r="T18" s="12"/>
      <c r="U18" s="11"/>
      <c r="V18" s="11">
        <v>1.0</v>
      </c>
      <c r="W18" s="576"/>
    </row>
    <row r="19" ht="40.5" customHeight="1">
      <c r="A19" s="11">
        <v>18.0</v>
      </c>
      <c r="B19" s="11"/>
      <c r="C19" s="11" t="s">
        <v>97</v>
      </c>
      <c r="D19" s="93" t="s">
        <v>1894</v>
      </c>
      <c r="E19" s="215" t="s">
        <v>64</v>
      </c>
      <c r="F19" s="216" t="s">
        <v>56</v>
      </c>
      <c r="G19" s="11" t="s">
        <v>2016</v>
      </c>
      <c r="H19" s="216">
        <v>10.0</v>
      </c>
      <c r="I19" s="216">
        <v>10.0</v>
      </c>
      <c r="J19" s="11">
        <f t="shared" si="1"/>
        <v>100</v>
      </c>
      <c r="K19" s="11" t="s">
        <v>20</v>
      </c>
      <c r="L19" s="93" t="s">
        <v>77</v>
      </c>
      <c r="M19" s="123" t="s">
        <v>1594</v>
      </c>
      <c r="N19" s="93" t="s">
        <v>111</v>
      </c>
      <c r="O19" s="220"/>
      <c r="P19" s="11" t="e">
        <v>#VALUE!</v>
      </c>
      <c r="Q19" s="78"/>
      <c r="R19" s="74"/>
      <c r="S19" s="75"/>
      <c r="T19" s="12"/>
      <c r="U19" s="11"/>
      <c r="V19" s="11">
        <v>1.0</v>
      </c>
      <c r="W19" s="576"/>
    </row>
    <row r="20" ht="40.5" customHeight="1">
      <c r="A20" s="11">
        <v>19.0</v>
      </c>
      <c r="B20" s="11" t="s">
        <v>15</v>
      </c>
      <c r="C20" s="11" t="s">
        <v>100</v>
      </c>
      <c r="D20" s="93" t="s">
        <v>101</v>
      </c>
      <c r="E20" s="215" t="s">
        <v>64</v>
      </c>
      <c r="F20" s="216">
        <v>5.0</v>
      </c>
      <c r="G20" s="11" t="s">
        <v>2017</v>
      </c>
      <c r="H20" s="216">
        <v>10.0</v>
      </c>
      <c r="I20" s="216">
        <v>200.0</v>
      </c>
      <c r="J20" s="11">
        <f t="shared" si="1"/>
        <v>2000</v>
      </c>
      <c r="K20" s="11" t="s">
        <v>20</v>
      </c>
      <c r="L20" s="93" t="s">
        <v>77</v>
      </c>
      <c r="M20" s="123" t="s">
        <v>2012</v>
      </c>
      <c r="N20" s="93" t="s">
        <v>1890</v>
      </c>
      <c r="O20" s="217" t="s">
        <v>102</v>
      </c>
      <c r="P20" s="11" t="str">
        <f>IMAGE("https://i5.walmartimages.com/asr/2f51619b-ee1e-4e7f-9717-927459ae38b6.1308a61cc28d473c3122e46595affb79.jpeg",1)</f>
        <v/>
      </c>
      <c r="Q20" s="78"/>
      <c r="R20" s="74"/>
      <c r="S20" s="75"/>
      <c r="T20" s="12"/>
      <c r="U20" s="11"/>
      <c r="V20" s="11">
        <v>1.0</v>
      </c>
      <c r="W20" s="576"/>
    </row>
    <row r="21" ht="40.5" customHeight="1">
      <c r="A21" s="11">
        <v>20.0</v>
      </c>
      <c r="B21" s="11" t="s">
        <v>15</v>
      </c>
      <c r="C21" s="11" t="s">
        <v>104</v>
      </c>
      <c r="D21" s="93" t="s">
        <v>105</v>
      </c>
      <c r="E21" s="215" t="s">
        <v>64</v>
      </c>
      <c r="F21" s="216">
        <v>5.0</v>
      </c>
      <c r="G21" s="11" t="s">
        <v>2018</v>
      </c>
      <c r="H21" s="216">
        <v>5.0</v>
      </c>
      <c r="I21" s="216">
        <v>50.0</v>
      </c>
      <c r="J21" s="11">
        <f t="shared" si="1"/>
        <v>250</v>
      </c>
      <c r="K21" s="11" t="s">
        <v>20</v>
      </c>
      <c r="L21" s="93" t="s">
        <v>21</v>
      </c>
      <c r="M21" s="123" t="s">
        <v>1895</v>
      </c>
      <c r="N21" s="93" t="s">
        <v>1890</v>
      </c>
      <c r="O21" s="217" t="s">
        <v>106</v>
      </c>
      <c r="P21" s="11" t="str">
        <f>IMAGE("https://c8.alamy.com/comp/R7TP32/paint-palette-with-various-acrylic-paints-and-a-brush-R7TP32.jpg",1)</f>
        <v/>
      </c>
      <c r="Q21" s="333"/>
      <c r="R21" s="74"/>
      <c r="S21" s="75"/>
      <c r="T21" s="12"/>
      <c r="U21" s="11"/>
      <c r="V21" s="11">
        <v>1.0</v>
      </c>
      <c r="W21" s="576"/>
    </row>
    <row r="22" ht="40.5" customHeight="1">
      <c r="A22" s="11">
        <v>21.0</v>
      </c>
      <c r="B22" s="11" t="s">
        <v>15</v>
      </c>
      <c r="C22" s="11" t="s">
        <v>108</v>
      </c>
      <c r="D22" s="93" t="s">
        <v>1896</v>
      </c>
      <c r="E22" s="215" t="s">
        <v>64</v>
      </c>
      <c r="F22" s="216">
        <v>10.0</v>
      </c>
      <c r="G22" s="11" t="s">
        <v>2019</v>
      </c>
      <c r="H22" s="216">
        <v>1.0</v>
      </c>
      <c r="I22" s="218">
        <v>20.0</v>
      </c>
      <c r="J22" s="11">
        <f t="shared" si="1"/>
        <v>20</v>
      </c>
      <c r="K22" s="11" t="s">
        <v>20</v>
      </c>
      <c r="L22" s="93" t="s">
        <v>77</v>
      </c>
      <c r="M22" s="93" t="s">
        <v>1902</v>
      </c>
      <c r="N22" s="93" t="s">
        <v>111</v>
      </c>
      <c r="O22" s="217" t="s">
        <v>112</v>
      </c>
      <c r="P22" s="11" t="str">
        <f>IMAGE("https://i5.walmartimages.com/asr/093150f9-deec-44c1-a07d-a6985f3f45c7.dad44d94862d81eed55b6d8aef2937c1.jpeg?odnHeight=612&amp;odnWidth=612&amp;odnBg=FFFFFF",1)</f>
        <v/>
      </c>
      <c r="Q22" s="78"/>
      <c r="R22" s="74"/>
      <c r="S22" s="75"/>
      <c r="T22" s="5"/>
      <c r="U22" s="11"/>
      <c r="V22" s="11">
        <v>1.0</v>
      </c>
      <c r="W22" s="576"/>
    </row>
    <row r="23" ht="40.5" customHeight="1">
      <c r="A23" s="11">
        <v>22.0</v>
      </c>
      <c r="B23" s="11" t="s">
        <v>15</v>
      </c>
      <c r="C23" s="11" t="s">
        <v>114</v>
      </c>
      <c r="D23" s="93" t="s">
        <v>115</v>
      </c>
      <c r="E23" s="215" t="s">
        <v>64</v>
      </c>
      <c r="F23" s="216">
        <v>5.0</v>
      </c>
      <c r="G23" s="11" t="s">
        <v>2020</v>
      </c>
      <c r="H23" s="216">
        <v>10.0</v>
      </c>
      <c r="I23" s="216">
        <v>40.0</v>
      </c>
      <c r="J23" s="11">
        <f t="shared" si="1"/>
        <v>400</v>
      </c>
      <c r="K23" s="11" t="s">
        <v>20</v>
      </c>
      <c r="L23" s="93" t="s">
        <v>77</v>
      </c>
      <c r="M23" s="93" t="s">
        <v>1895</v>
      </c>
      <c r="N23" s="93" t="s">
        <v>111</v>
      </c>
      <c r="O23" s="11" t="s">
        <v>56</v>
      </c>
      <c r="P23" s="11" t="str">
        <f>IMAGE("https://m.media-amazon.com/images/I/81XeaSXczEL._SL1500_.jpg",1)</f>
        <v/>
      </c>
      <c r="Q23" s="78"/>
      <c r="R23" s="74"/>
      <c r="S23" s="75"/>
      <c r="T23" s="12"/>
      <c r="U23" s="11"/>
      <c r="V23" s="11">
        <v>1.0</v>
      </c>
      <c r="W23" s="576"/>
    </row>
    <row r="24" ht="40.5" customHeight="1">
      <c r="A24" s="11">
        <v>23.0</v>
      </c>
      <c r="B24" s="11" t="s">
        <v>15</v>
      </c>
      <c r="C24" s="11" t="s">
        <v>118</v>
      </c>
      <c r="D24" s="93" t="s">
        <v>1897</v>
      </c>
      <c r="E24" s="215" t="s">
        <v>64</v>
      </c>
      <c r="F24" s="216">
        <v>10.0</v>
      </c>
      <c r="G24" s="11" t="s">
        <v>2021</v>
      </c>
      <c r="H24" s="216">
        <v>10.0</v>
      </c>
      <c r="I24" s="216">
        <v>100.0</v>
      </c>
      <c r="J24" s="11">
        <f t="shared" si="1"/>
        <v>1000</v>
      </c>
      <c r="K24" s="11" t="s">
        <v>20</v>
      </c>
      <c r="L24" s="93" t="s">
        <v>21</v>
      </c>
      <c r="M24" s="123" t="s">
        <v>1594</v>
      </c>
      <c r="N24" s="93" t="s">
        <v>1898</v>
      </c>
      <c r="O24" s="217" t="s">
        <v>120</v>
      </c>
      <c r="P24" s="11" t="str">
        <f>IMAGE("https://www.faithfulltools.com/images/xxlarge/FAIRULE150SS.jpg",1)</f>
        <v/>
      </c>
      <c r="Q24" s="333"/>
      <c r="R24" s="74"/>
      <c r="S24" s="75"/>
      <c r="T24" s="12"/>
      <c r="U24" s="11"/>
      <c r="V24" s="11">
        <v>1.0</v>
      </c>
      <c r="W24" s="576"/>
    </row>
    <row r="25" ht="40.5" customHeight="1">
      <c r="A25" s="11">
        <v>24.0</v>
      </c>
      <c r="B25" s="11" t="s">
        <v>15</v>
      </c>
      <c r="C25" s="11" t="s">
        <v>122</v>
      </c>
      <c r="D25" s="93" t="s">
        <v>123</v>
      </c>
      <c r="E25" s="215" t="s">
        <v>64</v>
      </c>
      <c r="F25" s="216">
        <v>10.0</v>
      </c>
      <c r="G25" s="11" t="s">
        <v>2023</v>
      </c>
      <c r="H25" s="216">
        <v>10.0</v>
      </c>
      <c r="I25" s="216">
        <v>25.0</v>
      </c>
      <c r="J25" s="11">
        <f t="shared" si="1"/>
        <v>250</v>
      </c>
      <c r="K25" s="11" t="s">
        <v>20</v>
      </c>
      <c r="L25" s="93" t="s">
        <v>77</v>
      </c>
      <c r="M25" s="123" t="s">
        <v>2022</v>
      </c>
      <c r="N25" s="93" t="s">
        <v>1899</v>
      </c>
      <c r="O25" s="217" t="s">
        <v>124</v>
      </c>
      <c r="P25" s="11" t="str">
        <f>IMAGE("https://images.meesho.com/images/products/60299132/dranx_512.jpg",1)</f>
        <v/>
      </c>
      <c r="Q25" s="78"/>
      <c r="R25" s="79"/>
      <c r="S25" s="80"/>
      <c r="T25" s="12"/>
      <c r="U25" s="11"/>
      <c r="V25" s="11">
        <v>1.0</v>
      </c>
      <c r="W25" s="576"/>
    </row>
    <row r="26" ht="40.5" customHeight="1">
      <c r="A26" s="11">
        <v>25.0</v>
      </c>
      <c r="B26" s="11" t="s">
        <v>15</v>
      </c>
      <c r="C26" s="11" t="s">
        <v>126</v>
      </c>
      <c r="D26" s="93" t="s">
        <v>127</v>
      </c>
      <c r="E26" s="215" t="s">
        <v>64</v>
      </c>
      <c r="F26" s="216">
        <v>5.0</v>
      </c>
      <c r="G26" s="11" t="s">
        <v>1900</v>
      </c>
      <c r="H26" s="216">
        <v>5.0</v>
      </c>
      <c r="I26" s="216">
        <v>25.0</v>
      </c>
      <c r="J26" s="11">
        <f t="shared" si="1"/>
        <v>125</v>
      </c>
      <c r="K26" s="11" t="s">
        <v>20</v>
      </c>
      <c r="L26" s="93" t="s">
        <v>65</v>
      </c>
      <c r="M26" s="123"/>
      <c r="N26" s="93" t="s">
        <v>111</v>
      </c>
      <c r="O26" s="217" t="s">
        <v>128</v>
      </c>
      <c r="P26" s="11" t="e">
        <v>#VALUE!</v>
      </c>
      <c r="Q26" s="78"/>
      <c r="R26" s="74"/>
      <c r="S26" s="75"/>
      <c r="T26" s="12"/>
      <c r="U26" s="11"/>
      <c r="V26" s="11">
        <v>3.0</v>
      </c>
      <c r="W26" s="576"/>
    </row>
    <row r="27" ht="40.5" customHeight="1">
      <c r="A27" s="11">
        <v>26.0</v>
      </c>
      <c r="B27" s="11" t="s">
        <v>15</v>
      </c>
      <c r="C27" s="11" t="s">
        <v>130</v>
      </c>
      <c r="D27" s="93" t="s">
        <v>131</v>
      </c>
      <c r="E27" s="215" t="s">
        <v>64</v>
      </c>
      <c r="F27" s="216">
        <v>10.0</v>
      </c>
      <c r="G27" s="11" t="s">
        <v>2016</v>
      </c>
      <c r="H27" s="216">
        <v>10.0</v>
      </c>
      <c r="I27" s="216">
        <v>50.0</v>
      </c>
      <c r="J27" s="11">
        <f t="shared" si="1"/>
        <v>500</v>
      </c>
      <c r="K27" s="11" t="s">
        <v>20</v>
      </c>
      <c r="L27" s="93"/>
      <c r="M27" s="93" t="s">
        <v>1594</v>
      </c>
      <c r="N27" s="93" t="s">
        <v>1898</v>
      </c>
      <c r="O27" s="217" t="s">
        <v>132</v>
      </c>
      <c r="P27" s="11" t="str">
        <f>IMAGE("https://5.imimg.com/data5/AO/GN/AU/SELLER-10873750/floppy-disk-1000x1000.jpg",1)</f>
        <v/>
      </c>
      <c r="Q27" s="78"/>
      <c r="R27" s="74"/>
      <c r="S27" s="75"/>
      <c r="T27" s="12"/>
      <c r="U27" s="11"/>
      <c r="V27" s="11">
        <v>1.0</v>
      </c>
      <c r="W27" s="576"/>
    </row>
    <row r="28" ht="40.5" customHeight="1">
      <c r="A28" s="11">
        <v>27.0</v>
      </c>
      <c r="B28" s="11" t="s">
        <v>15</v>
      </c>
      <c r="C28" s="11" t="s">
        <v>134</v>
      </c>
      <c r="D28" s="93" t="s">
        <v>135</v>
      </c>
      <c r="E28" s="215" t="s">
        <v>64</v>
      </c>
      <c r="F28" s="216">
        <v>10.0</v>
      </c>
      <c r="G28" s="11" t="s">
        <v>2024</v>
      </c>
      <c r="H28" s="216">
        <v>10.0</v>
      </c>
      <c r="I28" s="216">
        <v>20.0</v>
      </c>
      <c r="J28" s="11">
        <f t="shared" si="1"/>
        <v>200</v>
      </c>
      <c r="K28" s="11" t="s">
        <v>20</v>
      </c>
      <c r="L28" s="93" t="s">
        <v>77</v>
      </c>
      <c r="M28" s="123" t="s">
        <v>1594</v>
      </c>
      <c r="N28" s="93" t="s">
        <v>1890</v>
      </c>
      <c r="O28" s="217" t="s">
        <v>136</v>
      </c>
      <c r="P28" s="11" t="str">
        <f>IMAGE("https://m.media-amazon.com/images/I/717edTeWYZL._SL1500_.jpg",1)</f>
        <v/>
      </c>
      <c r="Q28" s="78"/>
      <c r="R28" s="74"/>
      <c r="S28" s="75"/>
      <c r="T28" s="5"/>
      <c r="U28" s="11"/>
      <c r="V28" s="11">
        <v>1.0</v>
      </c>
      <c r="W28" s="576"/>
    </row>
    <row r="29" ht="40.5" customHeight="1">
      <c r="A29" s="11">
        <v>28.0</v>
      </c>
      <c r="B29" s="11" t="s">
        <v>137</v>
      </c>
      <c r="C29" s="11" t="s">
        <v>139</v>
      </c>
      <c r="D29" s="93" t="s">
        <v>140</v>
      </c>
      <c r="E29" s="215" t="s">
        <v>141</v>
      </c>
      <c r="F29" s="11">
        <v>1.0</v>
      </c>
      <c r="G29" s="11" t="s">
        <v>2025</v>
      </c>
      <c r="H29" s="11">
        <v>1.0</v>
      </c>
      <c r="I29" s="11">
        <v>2500.0</v>
      </c>
      <c r="J29" s="11">
        <f t="shared" si="1"/>
        <v>2500</v>
      </c>
      <c r="K29" s="11" t="s">
        <v>142</v>
      </c>
      <c r="L29" s="93"/>
      <c r="M29" s="93"/>
      <c r="N29" s="93" t="s">
        <v>1901</v>
      </c>
      <c r="O29" s="217" t="s">
        <v>143</v>
      </c>
      <c r="P29" s="11" t="e">
        <v>#VALUE!</v>
      </c>
      <c r="Q29" s="73" t="s">
        <v>1684</v>
      </c>
      <c r="R29" s="74">
        <v>60.0</v>
      </c>
      <c r="S29" s="75"/>
      <c r="T29" s="12"/>
      <c r="U29" s="11"/>
      <c r="V29" s="11">
        <v>3.0</v>
      </c>
      <c r="W29" s="576"/>
    </row>
    <row r="30" ht="40.5" customHeight="1">
      <c r="A30" s="11">
        <v>29.0</v>
      </c>
      <c r="B30" s="11" t="s">
        <v>137</v>
      </c>
      <c r="C30" s="11" t="s">
        <v>146</v>
      </c>
      <c r="D30" s="93" t="s">
        <v>147</v>
      </c>
      <c r="E30" s="215" t="s">
        <v>141</v>
      </c>
      <c r="F30" s="216">
        <v>1.0</v>
      </c>
      <c r="G30" s="11" t="s">
        <v>2026</v>
      </c>
      <c r="H30" s="216">
        <v>1.0</v>
      </c>
      <c r="I30" s="216">
        <v>1000.0</v>
      </c>
      <c r="J30" s="11">
        <f t="shared" si="1"/>
        <v>1000</v>
      </c>
      <c r="K30" s="11" t="s">
        <v>142</v>
      </c>
      <c r="L30" s="93"/>
      <c r="M30" s="93" t="s">
        <v>1902</v>
      </c>
      <c r="N30" s="93" t="s">
        <v>1901</v>
      </c>
      <c r="O30" s="217" t="s">
        <v>148</v>
      </c>
      <c r="P30" s="11" t="str">
        <f>IMAGE("https://i0.wp.com/www.deltastore.in/wp-content/uploads/2021/05/Untitled-design-95.png?fit=1080%2C1080&amp;ssl=1",1)</f>
        <v/>
      </c>
      <c r="Q30" s="78"/>
      <c r="R30" s="74"/>
      <c r="S30" s="75"/>
      <c r="T30" s="12"/>
      <c r="U30" s="11"/>
      <c r="V30" s="11">
        <v>1.0</v>
      </c>
      <c r="W30" s="576"/>
    </row>
    <row r="31" ht="40.5" customHeight="1">
      <c r="A31" s="11">
        <v>30.0</v>
      </c>
      <c r="B31" s="11" t="s">
        <v>137</v>
      </c>
      <c r="C31" s="11" t="s">
        <v>150</v>
      </c>
      <c r="D31" s="93" t="s">
        <v>151</v>
      </c>
      <c r="E31" s="215" t="s">
        <v>141</v>
      </c>
      <c r="F31" s="216">
        <v>2.0</v>
      </c>
      <c r="G31" s="11" t="s">
        <v>2027</v>
      </c>
      <c r="H31" s="216">
        <v>2.0</v>
      </c>
      <c r="I31" s="216">
        <v>250.0</v>
      </c>
      <c r="J31" s="11">
        <f t="shared" si="1"/>
        <v>500</v>
      </c>
      <c r="K31" s="11" t="s">
        <v>1157</v>
      </c>
      <c r="L31" s="93"/>
      <c r="M31" s="93"/>
      <c r="N31" s="93" t="s">
        <v>1903</v>
      </c>
      <c r="O31" s="217" t="s">
        <v>152</v>
      </c>
      <c r="P31" s="11" t="str">
        <f>IMAGE("https://m.media-amazon.com/images/I/51KO2QtXE8L._SL1000_.jpg", 1)</f>
        <v/>
      </c>
      <c r="Q31" s="73" t="s">
        <v>1684</v>
      </c>
      <c r="R31" s="74">
        <v>120.0</v>
      </c>
      <c r="S31" s="75"/>
      <c r="T31" s="12"/>
      <c r="U31" s="11"/>
      <c r="V31" s="11">
        <v>3.0</v>
      </c>
      <c r="W31" s="576"/>
    </row>
    <row r="32" ht="40.5" customHeight="1">
      <c r="A32" s="11">
        <v>31.0</v>
      </c>
      <c r="B32" s="11" t="s">
        <v>137</v>
      </c>
      <c r="C32" s="11" t="s">
        <v>154</v>
      </c>
      <c r="D32" s="93" t="s">
        <v>155</v>
      </c>
      <c r="E32" s="215" t="s">
        <v>141</v>
      </c>
      <c r="F32" s="216">
        <v>1.0</v>
      </c>
      <c r="G32" s="11" t="s">
        <v>2028</v>
      </c>
      <c r="H32" s="216">
        <v>1.0</v>
      </c>
      <c r="I32" s="216">
        <v>2000.0</v>
      </c>
      <c r="J32" s="11">
        <f t="shared" si="1"/>
        <v>2000</v>
      </c>
      <c r="K32" s="11" t="s">
        <v>142</v>
      </c>
      <c r="L32" s="93"/>
      <c r="M32" s="93"/>
      <c r="N32" s="93" t="s">
        <v>1901</v>
      </c>
      <c r="O32" s="217" t="s">
        <v>156</v>
      </c>
      <c r="P32" s="11" t="str">
        <f>IMAGE("https://m.media-amazon.com/images/I/61Zlcg+2mNL.jpg")</f>
        <v/>
      </c>
      <c r="Q32" s="637" t="s">
        <v>1684</v>
      </c>
      <c r="R32" s="74">
        <v>55.0</v>
      </c>
      <c r="S32" s="75"/>
      <c r="T32" s="12"/>
      <c r="U32" s="11"/>
      <c r="V32" s="11">
        <v>3.0</v>
      </c>
      <c r="W32" s="576"/>
    </row>
    <row r="33" ht="40.5" customHeight="1">
      <c r="A33" s="11">
        <v>32.0</v>
      </c>
      <c r="B33" s="11" t="s">
        <v>137</v>
      </c>
      <c r="C33" s="11" t="s">
        <v>158</v>
      </c>
      <c r="D33" s="93" t="s">
        <v>159</v>
      </c>
      <c r="E33" s="215" t="s">
        <v>141</v>
      </c>
      <c r="F33" s="216">
        <v>1.0</v>
      </c>
      <c r="G33" s="11" t="s">
        <v>2029</v>
      </c>
      <c r="H33" s="216">
        <v>1.0</v>
      </c>
      <c r="I33" s="216">
        <v>35000.0</v>
      </c>
      <c r="J33" s="11">
        <f t="shared" si="1"/>
        <v>35000</v>
      </c>
      <c r="K33" s="11" t="s">
        <v>142</v>
      </c>
      <c r="L33" s="93"/>
      <c r="M33" s="93"/>
      <c r="N33" s="93" t="s">
        <v>1901</v>
      </c>
      <c r="O33" s="217" t="s">
        <v>160</v>
      </c>
      <c r="P33" s="11" t="str">
        <f>IMAGE("https://c1.neweggimages.com/Productimage/24-001-864-04.jpg",1)</f>
        <v/>
      </c>
      <c r="Q33" s="73" t="s">
        <v>1685</v>
      </c>
      <c r="R33" s="74"/>
      <c r="S33" s="75"/>
      <c r="T33" s="12"/>
      <c r="U33" s="11"/>
      <c r="V33" s="11">
        <v>3.0</v>
      </c>
      <c r="W33" s="576"/>
    </row>
    <row r="34" ht="40.5" customHeight="1">
      <c r="A34" s="11">
        <v>33.0</v>
      </c>
      <c r="B34" s="11" t="s">
        <v>137</v>
      </c>
      <c r="C34" s="11" t="s">
        <v>162</v>
      </c>
      <c r="D34" s="93" t="s">
        <v>163</v>
      </c>
      <c r="E34" s="215" t="s">
        <v>141</v>
      </c>
      <c r="F34" s="216">
        <v>1.0</v>
      </c>
      <c r="G34" s="11" t="s">
        <v>2030</v>
      </c>
      <c r="H34" s="216">
        <v>1.0</v>
      </c>
      <c r="I34" s="216">
        <v>1000.0</v>
      </c>
      <c r="J34" s="11">
        <f t="shared" si="1"/>
        <v>1000</v>
      </c>
      <c r="K34" s="11" t="s">
        <v>142</v>
      </c>
      <c r="L34" s="93"/>
      <c r="M34" s="93"/>
      <c r="N34" s="93" t="s">
        <v>1901</v>
      </c>
      <c r="O34" s="217" t="s">
        <v>164</v>
      </c>
      <c r="P34" s="11" t="str">
        <f>IMAGE("https://m.media-amazon.com/images/I/6100FnINmsL._SL1468_.jpg",1)</f>
        <v/>
      </c>
      <c r="Q34" s="78" t="s">
        <v>1686</v>
      </c>
      <c r="R34" s="74">
        <v>55.0</v>
      </c>
      <c r="S34" s="75"/>
      <c r="T34" s="12"/>
      <c r="U34" s="11"/>
      <c r="V34" s="11">
        <v>3.0</v>
      </c>
      <c r="W34" s="576"/>
    </row>
    <row r="35" ht="40.5" customHeight="1">
      <c r="A35" s="11">
        <v>34.0</v>
      </c>
      <c r="B35" s="11" t="s">
        <v>137</v>
      </c>
      <c r="C35" s="11" t="s">
        <v>166</v>
      </c>
      <c r="D35" s="93" t="s">
        <v>167</v>
      </c>
      <c r="E35" s="215" t="s">
        <v>141</v>
      </c>
      <c r="F35" s="216">
        <v>1.0</v>
      </c>
      <c r="G35" s="11" t="s">
        <v>2031</v>
      </c>
      <c r="H35" s="216">
        <v>1.0</v>
      </c>
      <c r="I35" s="216">
        <v>1500.0</v>
      </c>
      <c r="J35" s="11">
        <f t="shared" si="1"/>
        <v>1500</v>
      </c>
      <c r="K35" s="11" t="s">
        <v>142</v>
      </c>
      <c r="L35" s="93"/>
      <c r="M35" s="93"/>
      <c r="N35" s="93" t="s">
        <v>1901</v>
      </c>
      <c r="O35" s="217" t="s">
        <v>168</v>
      </c>
      <c r="P35" s="11" t="str">
        <f>IMAGE("https://encrypted-tbn1.gstatic.com/shopping?q=tbn:ANd9GcSwk1vUmWwFhmXgluT27_kpt_1XbFeMGM9voPktN2V8FycBha0_9qycLyoE5G3LsPm9IAaz9ZK9JsFmIAo5gwJtywrUheHD9Zzv6NIaMNLbw1go2XSC6Z0l&amp;usqp=CAE",1)</f>
        <v/>
      </c>
      <c r="Q35" s="73" t="s">
        <v>1684</v>
      </c>
      <c r="R35" s="74">
        <v>60.0</v>
      </c>
      <c r="S35" s="75"/>
      <c r="T35" s="12"/>
      <c r="U35" s="11"/>
      <c r="V35" s="11">
        <v>3.0</v>
      </c>
      <c r="W35" s="576"/>
    </row>
    <row r="36" ht="40.5" customHeight="1">
      <c r="A36" s="11">
        <v>35.0</v>
      </c>
      <c r="B36" s="11" t="s">
        <v>137</v>
      </c>
      <c r="C36" s="11" t="s">
        <v>170</v>
      </c>
      <c r="D36" s="93" t="s">
        <v>171</v>
      </c>
      <c r="E36" s="215" t="s">
        <v>141</v>
      </c>
      <c r="F36" s="216">
        <v>1.0</v>
      </c>
      <c r="G36" s="11" t="s">
        <v>2032</v>
      </c>
      <c r="H36" s="216">
        <v>1.0</v>
      </c>
      <c r="I36" s="216">
        <v>35000.0</v>
      </c>
      <c r="J36" s="11">
        <f t="shared" si="1"/>
        <v>35000</v>
      </c>
      <c r="K36" s="11" t="s">
        <v>142</v>
      </c>
      <c r="L36" s="93"/>
      <c r="M36" s="123" t="s">
        <v>2008</v>
      </c>
      <c r="N36" s="93" t="s">
        <v>1901</v>
      </c>
      <c r="O36" s="217" t="s">
        <v>172</v>
      </c>
      <c r="P36" s="11" t="str">
        <f>IMAGE("https://www.designinfo.in/wp-content/uploads/nc/p/5/1/4/9/0/51490-485x485.jpg",1)</f>
        <v/>
      </c>
      <c r="Q36" s="73" t="s">
        <v>1684</v>
      </c>
      <c r="R36" s="74">
        <v>55.0</v>
      </c>
      <c r="S36" s="75"/>
      <c r="T36" s="12"/>
      <c r="U36" s="11"/>
      <c r="V36" s="11">
        <v>1.0</v>
      </c>
      <c r="W36" s="576"/>
    </row>
    <row r="37" ht="40.5" customHeight="1">
      <c r="A37" s="11">
        <v>36.0</v>
      </c>
      <c r="B37" s="11" t="s">
        <v>173</v>
      </c>
      <c r="C37" s="11" t="s">
        <v>175</v>
      </c>
      <c r="D37" s="93" t="s">
        <v>176</v>
      </c>
      <c r="E37" s="215" t="s">
        <v>177</v>
      </c>
      <c r="F37" s="216">
        <v>5.0</v>
      </c>
      <c r="G37" s="11" t="s">
        <v>2033</v>
      </c>
      <c r="H37" s="216">
        <v>5.0</v>
      </c>
      <c r="I37" s="216">
        <v>250.0</v>
      </c>
      <c r="J37" s="11">
        <f t="shared" si="1"/>
        <v>1250</v>
      </c>
      <c r="K37" s="11" t="s">
        <v>178</v>
      </c>
      <c r="L37" s="93"/>
      <c r="M37" s="93" t="s">
        <v>1895</v>
      </c>
      <c r="N37" s="93" t="s">
        <v>1905</v>
      </c>
      <c r="O37" s="217" t="s">
        <v>180</v>
      </c>
      <c r="P37" s="11" t="str">
        <f>IMAGE("https://robu.in/wp-content/uploads/2021/05/EU-Plug-Universal-Battery-Charger-For-18650-16340-14500-Li-ion-Rechargeable-Battery-Charger-3.jpg",1)</f>
        <v/>
      </c>
      <c r="Q37" s="78" t="s">
        <v>1688</v>
      </c>
      <c r="R37" s="74"/>
      <c r="S37" s="75"/>
      <c r="T37" s="12"/>
      <c r="U37" s="11"/>
      <c r="V37" s="11">
        <v>1.0</v>
      </c>
      <c r="W37" s="576"/>
    </row>
    <row r="38" ht="40.5" customHeight="1">
      <c r="A38" s="11">
        <v>37.0</v>
      </c>
      <c r="B38" s="11" t="s">
        <v>173</v>
      </c>
      <c r="C38" s="11" t="s">
        <v>182</v>
      </c>
      <c r="D38" s="93" t="s">
        <v>1906</v>
      </c>
      <c r="E38" s="215" t="s">
        <v>177</v>
      </c>
      <c r="F38" s="216">
        <v>5.0</v>
      </c>
      <c r="G38" s="11" t="s">
        <v>2034</v>
      </c>
      <c r="H38" s="216">
        <v>5.0</v>
      </c>
      <c r="I38" s="216">
        <v>100.0</v>
      </c>
      <c r="J38" s="11">
        <f t="shared" si="1"/>
        <v>500</v>
      </c>
      <c r="K38" s="11" t="s">
        <v>178</v>
      </c>
      <c r="L38" s="93"/>
      <c r="M38" s="93" t="s">
        <v>1594</v>
      </c>
      <c r="N38" s="93" t="s">
        <v>1907</v>
      </c>
      <c r="O38" s="223" t="s">
        <v>185</v>
      </c>
      <c r="P38" s="11" t="str">
        <f>IMAGE("https://rukminim2.flixcart.com/image/832/832/krs40i80/worldwide-adaptor/f/7/g/pack-of-1-power-adapter-12v-2-amp-dual-pin-for-charger-with-original-imag5hmbvgzazbzz.jpeg?q=70",1)</f>
        <v/>
      </c>
      <c r="Q38" s="78" t="s">
        <v>1688</v>
      </c>
      <c r="R38" s="74"/>
      <c r="S38" s="75"/>
      <c r="T38" s="12"/>
      <c r="U38" s="11"/>
      <c r="V38" s="11">
        <v>1.0</v>
      </c>
      <c r="W38" s="576"/>
    </row>
    <row r="39" ht="40.5" customHeight="1">
      <c r="A39" s="11">
        <v>38.0</v>
      </c>
      <c r="B39" s="11" t="s">
        <v>173</v>
      </c>
      <c r="C39" s="11" t="s">
        <v>187</v>
      </c>
      <c r="D39" s="93" t="s">
        <v>1908</v>
      </c>
      <c r="E39" s="215" t="s">
        <v>177</v>
      </c>
      <c r="F39" s="216">
        <v>5.0</v>
      </c>
      <c r="G39" s="11" t="s">
        <v>2035</v>
      </c>
      <c r="H39" s="216">
        <v>5.0</v>
      </c>
      <c r="I39" s="216">
        <v>300.0</v>
      </c>
      <c r="J39" s="11">
        <f t="shared" si="1"/>
        <v>1500</v>
      </c>
      <c r="K39" s="11" t="s">
        <v>178</v>
      </c>
      <c r="L39" s="93"/>
      <c r="M39" s="93" t="s">
        <v>1594</v>
      </c>
      <c r="N39" s="93" t="s">
        <v>1909</v>
      </c>
      <c r="O39" s="217" t="s">
        <v>189</v>
      </c>
      <c r="P39" s="11" t="str">
        <f>IMAGE("https://m.media-amazon.com/images/I/6161NXWtz-L._SL1500_.jpg",1)</f>
        <v/>
      </c>
      <c r="Q39" s="78" t="s">
        <v>1688</v>
      </c>
      <c r="R39" s="74"/>
      <c r="S39" s="75"/>
      <c r="T39" s="12"/>
      <c r="U39" s="11"/>
      <c r="V39" s="11">
        <v>1.0</v>
      </c>
      <c r="W39" s="576"/>
    </row>
    <row r="40" ht="40.5" customHeight="1">
      <c r="A40" s="11">
        <v>39.0</v>
      </c>
      <c r="B40" s="11" t="s">
        <v>173</v>
      </c>
      <c r="C40" s="11" t="s">
        <v>191</v>
      </c>
      <c r="D40" s="93" t="s">
        <v>1910</v>
      </c>
      <c r="E40" s="215" t="s">
        <v>177</v>
      </c>
      <c r="F40" s="216">
        <v>20.0</v>
      </c>
      <c r="G40" s="221" t="s">
        <v>2036</v>
      </c>
      <c r="H40" s="216">
        <v>20.0</v>
      </c>
      <c r="I40" s="216">
        <v>6.0</v>
      </c>
      <c r="J40" s="11">
        <f t="shared" si="1"/>
        <v>120</v>
      </c>
      <c r="K40" s="11" t="s">
        <v>178</v>
      </c>
      <c r="L40" s="93"/>
      <c r="M40" s="93" t="s">
        <v>1895</v>
      </c>
      <c r="N40" s="93" t="s">
        <v>1909</v>
      </c>
      <c r="O40" s="217" t="s">
        <v>195</v>
      </c>
      <c r="P40" s="11" t="str">
        <f>IMAGE("https://i0.wp.com/www.rytronics.in/wp-content/uploads/2021/09/9v-batter-connector-snap-connector02.jpg?fit=1000%2C1000&amp;ssl=1",1)</f>
        <v/>
      </c>
      <c r="Q40" s="78" t="s">
        <v>1688</v>
      </c>
      <c r="R40" s="74"/>
      <c r="S40" s="75"/>
      <c r="T40" s="12"/>
      <c r="U40" s="11"/>
      <c r="V40" s="11">
        <v>1.0</v>
      </c>
      <c r="W40" s="576"/>
    </row>
    <row r="41" ht="40.5" customHeight="1">
      <c r="A41" s="11">
        <v>40.0</v>
      </c>
      <c r="B41" s="11" t="s">
        <v>173</v>
      </c>
      <c r="C41" s="11" t="s">
        <v>197</v>
      </c>
      <c r="D41" s="93" t="s">
        <v>1911</v>
      </c>
      <c r="E41" s="215" t="s">
        <v>177</v>
      </c>
      <c r="F41" s="216">
        <v>15.0</v>
      </c>
      <c r="G41" s="221" t="s">
        <v>2036</v>
      </c>
      <c r="H41" s="216">
        <v>15.0</v>
      </c>
      <c r="I41" s="216">
        <v>20.0</v>
      </c>
      <c r="J41" s="11">
        <f t="shared" si="1"/>
        <v>300</v>
      </c>
      <c r="K41" s="11" t="s">
        <v>178</v>
      </c>
      <c r="L41" s="93"/>
      <c r="M41" s="93" t="s">
        <v>1895</v>
      </c>
      <c r="N41" s="93" t="s">
        <v>1909</v>
      </c>
      <c r="O41" s="217" t="s">
        <v>199</v>
      </c>
      <c r="P41" s="11" t="str">
        <f>IMAGE("https://m.media-amazon.com/images/W/MEDIAX_792452-T2/images/I/61UPqH4BXuL.SS700.jpg",1)</f>
        <v/>
      </c>
      <c r="Q41" s="78" t="s">
        <v>1688</v>
      </c>
      <c r="R41" s="74"/>
      <c r="S41" s="75"/>
      <c r="T41" s="12"/>
      <c r="U41" s="11"/>
      <c r="V41" s="11">
        <v>1.0</v>
      </c>
      <c r="W41" s="576"/>
    </row>
    <row r="42" ht="40.5" customHeight="1">
      <c r="A42" s="11">
        <v>41.0</v>
      </c>
      <c r="B42" s="11" t="s">
        <v>173</v>
      </c>
      <c r="C42" s="11" t="s">
        <v>201</v>
      </c>
      <c r="D42" s="93" t="s">
        <v>1912</v>
      </c>
      <c r="E42" s="215" t="s">
        <v>177</v>
      </c>
      <c r="F42" s="216">
        <v>10.0</v>
      </c>
      <c r="G42" s="11" t="s">
        <v>2037</v>
      </c>
      <c r="H42" s="216">
        <v>10.0</v>
      </c>
      <c r="I42" s="216">
        <v>50.0</v>
      </c>
      <c r="J42" s="11">
        <f t="shared" si="1"/>
        <v>500</v>
      </c>
      <c r="K42" s="11" t="s">
        <v>178</v>
      </c>
      <c r="L42" s="93"/>
      <c r="M42" s="93" t="s">
        <v>2008</v>
      </c>
      <c r="N42" s="93" t="s">
        <v>1909</v>
      </c>
      <c r="O42" s="217" t="s">
        <v>204</v>
      </c>
      <c r="P42" s="11" t="str">
        <f>IMAGE("https://robotools.in/wp-content/uploads/2022/09/18650-x-2-battery-holder-with-cover-and-OnOff-Switch-5.jpg",1)</f>
        <v/>
      </c>
      <c r="Q42" s="78" t="s">
        <v>1688</v>
      </c>
      <c r="R42" s="74"/>
      <c r="S42" s="75"/>
      <c r="T42" s="12"/>
      <c r="U42" s="11"/>
      <c r="V42" s="11">
        <v>1.0</v>
      </c>
      <c r="W42" s="576"/>
    </row>
    <row r="43" ht="40.5" customHeight="1">
      <c r="A43" s="11">
        <v>42.0</v>
      </c>
      <c r="B43" s="11" t="s">
        <v>173</v>
      </c>
      <c r="C43" s="11" t="s">
        <v>206</v>
      </c>
      <c r="D43" s="93" t="s">
        <v>1913</v>
      </c>
      <c r="E43" s="215" t="s">
        <v>177</v>
      </c>
      <c r="F43" s="216">
        <v>30.0</v>
      </c>
      <c r="G43" s="11" t="s">
        <v>2037</v>
      </c>
      <c r="H43" s="216">
        <v>30.0</v>
      </c>
      <c r="I43" s="216">
        <v>20.0</v>
      </c>
      <c r="J43" s="11">
        <f t="shared" si="1"/>
        <v>600</v>
      </c>
      <c r="K43" s="11" t="s">
        <v>178</v>
      </c>
      <c r="L43" s="93"/>
      <c r="M43" s="93" t="s">
        <v>2008</v>
      </c>
      <c r="N43" s="93" t="s">
        <v>1909</v>
      </c>
      <c r="O43" s="217" t="s">
        <v>208</v>
      </c>
      <c r="P43" s="11" t="str">
        <f>IMAGE("https://robu.in/wp-content/uploads/2019/03/2-x-1.5V-AA-battery-holder-with-cover-and-OnOff-Switch-6.jpg",1)</f>
        <v/>
      </c>
      <c r="Q43" s="78" t="s">
        <v>1688</v>
      </c>
      <c r="R43" s="74"/>
      <c r="S43" s="75"/>
      <c r="T43" s="12"/>
      <c r="U43" s="11"/>
      <c r="V43" s="11">
        <v>1.0</v>
      </c>
      <c r="W43" s="576"/>
    </row>
    <row r="44" ht="40.5" customHeight="1">
      <c r="A44" s="11">
        <v>43.0</v>
      </c>
      <c r="B44" s="11" t="s">
        <v>173</v>
      </c>
      <c r="C44" s="11" t="s">
        <v>210</v>
      </c>
      <c r="D44" s="93" t="s">
        <v>1914</v>
      </c>
      <c r="E44" s="215" t="s">
        <v>177</v>
      </c>
      <c r="F44" s="216">
        <v>20.0</v>
      </c>
      <c r="G44" s="11" t="s">
        <v>2037</v>
      </c>
      <c r="H44" s="216">
        <v>20.0</v>
      </c>
      <c r="I44" s="216">
        <v>40.0</v>
      </c>
      <c r="J44" s="11">
        <f t="shared" si="1"/>
        <v>800</v>
      </c>
      <c r="K44" s="11" t="s">
        <v>178</v>
      </c>
      <c r="L44" s="93"/>
      <c r="M44" s="93" t="s">
        <v>2008</v>
      </c>
      <c r="N44" s="93" t="s">
        <v>1909</v>
      </c>
      <c r="O44" s="217" t="s">
        <v>212</v>
      </c>
      <c r="P44" s="11" t="str">
        <f>IMAGE("https://probots.co.in/pub/media/catalog/product/cache/d8ddd0f9b0cd008b57085cd218b48832/4/-/4-x-1.5v-aa-battery-holder01.jpg",1)</f>
        <v/>
      </c>
      <c r="Q44" s="78" t="s">
        <v>1688</v>
      </c>
      <c r="R44" s="74"/>
      <c r="S44" s="75"/>
      <c r="T44" s="5"/>
      <c r="U44" s="14"/>
      <c r="V44" s="11">
        <v>1.0</v>
      </c>
      <c r="W44" s="576"/>
    </row>
    <row r="45" ht="40.5" customHeight="1">
      <c r="A45" s="11">
        <v>44.0</v>
      </c>
      <c r="B45" s="11" t="s">
        <v>173</v>
      </c>
      <c r="C45" s="11" t="s">
        <v>214</v>
      </c>
      <c r="D45" s="93" t="s">
        <v>1915</v>
      </c>
      <c r="E45" s="215" t="s">
        <v>177</v>
      </c>
      <c r="F45" s="216">
        <v>20.0</v>
      </c>
      <c r="G45" s="11" t="s">
        <v>2038</v>
      </c>
      <c r="H45" s="216">
        <v>20.0</v>
      </c>
      <c r="I45" s="216">
        <v>30.0</v>
      </c>
      <c r="J45" s="11">
        <f t="shared" si="1"/>
        <v>600</v>
      </c>
      <c r="K45" s="11" t="s">
        <v>178</v>
      </c>
      <c r="L45" s="93"/>
      <c r="M45" s="93" t="s">
        <v>1895</v>
      </c>
      <c r="N45" s="93" t="s">
        <v>1909</v>
      </c>
      <c r="O45" s="217" t="s">
        <v>217</v>
      </c>
      <c r="P45" s="11" t="str">
        <f>IMAGE("https://robu.in/wp-content/uploads/2022/06/510c1Z93PDL._SX679_.jpg",1)</f>
        <v/>
      </c>
      <c r="Q45" s="78" t="s">
        <v>1688</v>
      </c>
      <c r="R45" s="74"/>
      <c r="S45" s="75"/>
      <c r="T45" s="12"/>
      <c r="U45" s="11"/>
      <c r="V45" s="11">
        <v>1.0</v>
      </c>
      <c r="W45" s="576"/>
    </row>
    <row r="46" ht="40.5" customHeight="1">
      <c r="A46" s="11">
        <v>45.0</v>
      </c>
      <c r="B46" s="11" t="s">
        <v>173</v>
      </c>
      <c r="C46" s="11" t="s">
        <v>219</v>
      </c>
      <c r="D46" s="93" t="s">
        <v>220</v>
      </c>
      <c r="E46" s="215" t="s">
        <v>177</v>
      </c>
      <c r="F46" s="216">
        <v>5.0</v>
      </c>
      <c r="G46" s="221" t="s">
        <v>2039</v>
      </c>
      <c r="H46" s="216">
        <v>5.0</v>
      </c>
      <c r="I46" s="216">
        <v>500.0</v>
      </c>
      <c r="J46" s="11">
        <f t="shared" si="1"/>
        <v>2500</v>
      </c>
      <c r="K46" s="11" t="s">
        <v>178</v>
      </c>
      <c r="L46" s="93"/>
      <c r="M46" s="93" t="s">
        <v>1594</v>
      </c>
      <c r="N46" s="93" t="s">
        <v>1905</v>
      </c>
      <c r="O46" s="217" t="s">
        <v>221</v>
      </c>
      <c r="P46" s="11" t="str">
        <f>IMAGE("https://i02.psgsm.net/gsm.com/p/887576/480/power-bank-hoco-j26-10000-mah-micro-usb-type-b-input-5v-2a-2-usb-outputs-5-v-2-1-a-139-70-16-mm-with-micro-usb-cable-type-b-black.jpg",1)</f>
        <v/>
      </c>
      <c r="Q46" s="78" t="s">
        <v>1688</v>
      </c>
      <c r="R46" s="74"/>
      <c r="S46" s="75"/>
      <c r="T46" s="12"/>
      <c r="U46" s="11"/>
      <c r="V46" s="11">
        <v>1.0</v>
      </c>
      <c r="W46" s="576"/>
    </row>
    <row r="47" ht="40.5" customHeight="1">
      <c r="A47" s="11">
        <v>46.0</v>
      </c>
      <c r="B47" s="11" t="s">
        <v>173</v>
      </c>
      <c r="C47" s="11" t="s">
        <v>223</v>
      </c>
      <c r="D47" s="93" t="s">
        <v>1741</v>
      </c>
      <c r="E47" s="215" t="s">
        <v>177</v>
      </c>
      <c r="F47" s="216">
        <v>10.0</v>
      </c>
      <c r="G47" s="11" t="s">
        <v>2040</v>
      </c>
      <c r="H47" s="216">
        <v>10.0</v>
      </c>
      <c r="I47" s="216">
        <v>150.0</v>
      </c>
      <c r="J47" s="11">
        <f t="shared" si="1"/>
        <v>1500</v>
      </c>
      <c r="K47" s="11" t="s">
        <v>178</v>
      </c>
      <c r="L47" s="93"/>
      <c r="M47" s="93" t="s">
        <v>1895</v>
      </c>
      <c r="N47" s="93" t="s">
        <v>1905</v>
      </c>
      <c r="O47" s="217" t="s">
        <v>225</v>
      </c>
      <c r="P47" s="11" t="str">
        <f>IMAGE("https://images-na.ssl-images-amazon.com/images/I/51p4KPR9o1L.SS700.jpg",1)</f>
        <v/>
      </c>
      <c r="Q47" s="78" t="s">
        <v>1688</v>
      </c>
      <c r="R47" s="74"/>
      <c r="S47" s="75"/>
      <c r="T47" s="12"/>
      <c r="U47" s="11"/>
      <c r="V47" s="11">
        <v>1.0</v>
      </c>
      <c r="W47" s="576"/>
    </row>
    <row r="48" ht="40.5" customHeight="1">
      <c r="A48" s="11">
        <v>47.0</v>
      </c>
      <c r="B48" s="11" t="s">
        <v>173</v>
      </c>
      <c r="C48" s="11" t="s">
        <v>227</v>
      </c>
      <c r="D48" s="93" t="s">
        <v>228</v>
      </c>
      <c r="E48" s="215" t="s">
        <v>177</v>
      </c>
      <c r="F48" s="216">
        <v>10.0</v>
      </c>
      <c r="G48" s="11" t="s">
        <v>2038</v>
      </c>
      <c r="H48" s="216">
        <v>10.0</v>
      </c>
      <c r="I48" s="216">
        <v>200.0</v>
      </c>
      <c r="J48" s="11">
        <f t="shared" si="1"/>
        <v>2000</v>
      </c>
      <c r="K48" s="11" t="s">
        <v>178</v>
      </c>
      <c r="L48" s="93"/>
      <c r="M48" s="93" t="s">
        <v>1895</v>
      </c>
      <c r="N48" s="93" t="s">
        <v>1905</v>
      </c>
      <c r="O48" s="217" t="s">
        <v>229</v>
      </c>
      <c r="P48" s="11" t="str">
        <f>IMAGE("https://5.imimg.com/data5/SELLER/Default/2021/7/XA/OZ/BW/6610292/9v-power-plus-nimh-rechargeable-battery-500x500.jpg",1)</f>
        <v/>
      </c>
      <c r="Q48" s="78" t="s">
        <v>1688</v>
      </c>
      <c r="R48" s="74"/>
      <c r="S48" s="75"/>
      <c r="T48" s="12"/>
      <c r="U48" s="11"/>
      <c r="V48" s="11">
        <v>1.0</v>
      </c>
      <c r="W48" s="576"/>
    </row>
    <row r="49" ht="40.5" customHeight="1">
      <c r="A49" s="11">
        <v>48.0</v>
      </c>
      <c r="B49" s="11" t="s">
        <v>173</v>
      </c>
      <c r="C49" s="11" t="s">
        <v>231</v>
      </c>
      <c r="D49" s="93" t="s">
        <v>232</v>
      </c>
      <c r="E49" s="215" t="s">
        <v>177</v>
      </c>
      <c r="F49" s="216">
        <v>20.0</v>
      </c>
      <c r="G49" s="11" t="s">
        <v>2041</v>
      </c>
      <c r="H49" s="216">
        <v>20.0</v>
      </c>
      <c r="I49" s="216">
        <v>100.0</v>
      </c>
      <c r="J49" s="11">
        <f t="shared" si="1"/>
        <v>2000</v>
      </c>
      <c r="K49" s="11" t="s">
        <v>178</v>
      </c>
      <c r="L49" s="93"/>
      <c r="M49" s="93" t="s">
        <v>1895</v>
      </c>
      <c r="N49" s="93" t="s">
        <v>1905</v>
      </c>
      <c r="O49" s="217" t="s">
        <v>233</v>
      </c>
      <c r="P49" s="11" t="str">
        <f>IMAGE("https://images-cdn.ubuy.co.in/6578382306deda07ed788ca4-rechargeable-aa-batteries-aa.jpg",1)</f>
        <v/>
      </c>
      <c r="Q49" s="78" t="s">
        <v>1688</v>
      </c>
      <c r="R49" s="74"/>
      <c r="S49" s="75"/>
      <c r="T49" s="12"/>
      <c r="U49" s="11"/>
      <c r="V49" s="11">
        <v>1.0</v>
      </c>
      <c r="W49" s="576"/>
    </row>
    <row r="50" ht="40.5" customHeight="1">
      <c r="A50" s="11">
        <v>49.0</v>
      </c>
      <c r="B50" s="11" t="s">
        <v>173</v>
      </c>
      <c r="C50" s="11" t="s">
        <v>235</v>
      </c>
      <c r="D50" s="93" t="s">
        <v>1916</v>
      </c>
      <c r="E50" s="215" t="s">
        <v>237</v>
      </c>
      <c r="F50" s="216">
        <v>20.0</v>
      </c>
      <c r="G50" s="11" t="s">
        <v>2042</v>
      </c>
      <c r="H50" s="216">
        <v>20.0</v>
      </c>
      <c r="I50" s="216">
        <v>7.5</v>
      </c>
      <c r="J50" s="11">
        <f t="shared" si="1"/>
        <v>150</v>
      </c>
      <c r="K50" s="11" t="s">
        <v>178</v>
      </c>
      <c r="L50" s="93"/>
      <c r="M50" s="93" t="s">
        <v>1594</v>
      </c>
      <c r="N50" s="93" t="s">
        <v>237</v>
      </c>
      <c r="O50" s="217" t="s">
        <v>238</v>
      </c>
      <c r="P50" s="11" t="str">
        <f>IMAGE("https://robu.in/wp-content/uploads/2017/04/Alligator-Clips-Electrical-DIY-Test-Leads-10pcs-For-Test-Leads-Double-ended-Crocodile-Clips-Roach-Clip-2.jpg",1)</f>
        <v/>
      </c>
      <c r="Q50" s="78" t="s">
        <v>1688</v>
      </c>
      <c r="R50" s="74"/>
      <c r="S50" s="75"/>
      <c r="T50" s="12"/>
      <c r="U50" s="11"/>
      <c r="V50" s="11">
        <v>1.0</v>
      </c>
      <c r="W50" s="576"/>
    </row>
    <row r="51" ht="40.5" customHeight="1">
      <c r="A51" s="11">
        <v>50.0</v>
      </c>
      <c r="B51" s="11" t="s">
        <v>173</v>
      </c>
      <c r="C51" s="11" t="s">
        <v>240</v>
      </c>
      <c r="D51" s="93" t="s">
        <v>241</v>
      </c>
      <c r="E51" s="215" t="s">
        <v>237</v>
      </c>
      <c r="F51" s="216">
        <v>20.0</v>
      </c>
      <c r="G51" s="221" t="s">
        <v>2036</v>
      </c>
      <c r="H51" s="216">
        <v>20.0</v>
      </c>
      <c r="I51" s="216">
        <v>20.0</v>
      </c>
      <c r="J51" s="11">
        <f t="shared" si="1"/>
        <v>400</v>
      </c>
      <c r="K51" s="11" t="s">
        <v>178</v>
      </c>
      <c r="L51" s="93"/>
      <c r="M51" s="93" t="s">
        <v>1895</v>
      </c>
      <c r="N51" s="93" t="s">
        <v>237</v>
      </c>
      <c r="O51" s="217" t="s">
        <v>242</v>
      </c>
      <c r="P51" s="11" t="str">
        <f>IMAGE("https://makerbazar.in/cdn/shop/products/dcmalejackwithwire2_600x.jpg?v=1642675074",1)</f>
        <v/>
      </c>
      <c r="Q51" s="78" t="s">
        <v>1688</v>
      </c>
      <c r="R51" s="74"/>
      <c r="S51" s="75"/>
      <c r="T51" s="12"/>
      <c r="U51" s="11"/>
      <c r="V51" s="11">
        <v>1.0</v>
      </c>
      <c r="W51" s="576"/>
    </row>
    <row r="52" ht="40.5" customHeight="1">
      <c r="A52" s="11">
        <v>51.0</v>
      </c>
      <c r="B52" s="11" t="s">
        <v>173</v>
      </c>
      <c r="C52" s="11" t="s">
        <v>244</v>
      </c>
      <c r="D52" s="93" t="s">
        <v>245</v>
      </c>
      <c r="E52" s="215" t="s">
        <v>237</v>
      </c>
      <c r="F52" s="11">
        <v>1.0</v>
      </c>
      <c r="G52" s="11" t="s">
        <v>2026</v>
      </c>
      <c r="H52" s="11">
        <v>1.0</v>
      </c>
      <c r="I52" s="11">
        <v>200.0</v>
      </c>
      <c r="J52" s="11">
        <f t="shared" si="1"/>
        <v>200</v>
      </c>
      <c r="K52" s="11" t="s">
        <v>142</v>
      </c>
      <c r="L52" s="93"/>
      <c r="M52" s="93" t="s">
        <v>1902</v>
      </c>
      <c r="N52" s="93" t="s">
        <v>237</v>
      </c>
      <c r="O52" s="217"/>
      <c r="P52" s="11" t="str">
        <f>IMAGE("https://m.media-amazon.com/images/I/61YPX7I4aSL._SL1500_.jpg",1)</f>
        <v/>
      </c>
      <c r="Q52" s="78"/>
      <c r="R52" s="74"/>
      <c r="S52" s="75"/>
      <c r="T52" s="12"/>
      <c r="U52" s="11"/>
      <c r="V52" s="12">
        <v>1.0</v>
      </c>
      <c r="W52" s="576"/>
    </row>
    <row r="53" ht="40.5" customHeight="1">
      <c r="A53" s="11">
        <v>52.0</v>
      </c>
      <c r="B53" s="11" t="s">
        <v>173</v>
      </c>
      <c r="C53" s="11" t="s">
        <v>247</v>
      </c>
      <c r="D53" s="93" t="s">
        <v>1918</v>
      </c>
      <c r="E53" s="215" t="s">
        <v>237</v>
      </c>
      <c r="F53" s="216">
        <v>1.0</v>
      </c>
      <c r="G53" s="11" t="s">
        <v>2043</v>
      </c>
      <c r="H53" s="216">
        <v>1.0</v>
      </c>
      <c r="I53" s="216">
        <v>150.0</v>
      </c>
      <c r="J53" s="11">
        <f t="shared" si="1"/>
        <v>150</v>
      </c>
      <c r="K53" s="11" t="s">
        <v>178</v>
      </c>
      <c r="L53" s="93"/>
      <c r="M53" s="93" t="s">
        <v>2012</v>
      </c>
      <c r="N53" s="93" t="s">
        <v>250</v>
      </c>
      <c r="O53" s="217" t="s">
        <v>251</v>
      </c>
      <c r="P53" s="11" t="str">
        <f>IMAGE("https://rukminim2.flixcart.com/image/832/832/k8t3jbk0/cable-sleeve/j/c/q/black-2mm-polyolefin-heat-shrink-tube-sleeve-for-wrap-60-meter-original-imafqq3y2g2v9vzz.jpeg?q=70",1)</f>
        <v/>
      </c>
      <c r="Q53" s="78" t="s">
        <v>1688</v>
      </c>
      <c r="R53" s="74"/>
      <c r="S53" s="75"/>
      <c r="T53" s="12"/>
      <c r="U53" s="11"/>
      <c r="V53" s="12">
        <v>1.0</v>
      </c>
      <c r="W53" s="576"/>
    </row>
    <row r="54" ht="40.5" customHeight="1">
      <c r="A54" s="11">
        <v>53.0</v>
      </c>
      <c r="B54" s="11" t="s">
        <v>173</v>
      </c>
      <c r="C54" s="11" t="s">
        <v>253</v>
      </c>
      <c r="D54" s="93" t="s">
        <v>1919</v>
      </c>
      <c r="E54" s="215" t="s">
        <v>237</v>
      </c>
      <c r="F54" s="216">
        <v>1.0</v>
      </c>
      <c r="G54" s="11" t="s">
        <v>2043</v>
      </c>
      <c r="H54" s="216">
        <v>1.0</v>
      </c>
      <c r="I54" s="216">
        <v>150.0</v>
      </c>
      <c r="J54" s="11">
        <f t="shared" si="1"/>
        <v>150</v>
      </c>
      <c r="K54" s="11" t="s">
        <v>178</v>
      </c>
      <c r="L54" s="93"/>
      <c r="M54" s="93" t="s">
        <v>2012</v>
      </c>
      <c r="N54" s="93" t="s">
        <v>250</v>
      </c>
      <c r="O54" s="217" t="s">
        <v>255</v>
      </c>
      <c r="P54" s="11" t="str">
        <f>IMAGE("https://m.media-amazon.com/images/I/61zJ0n1EqGS._AC_SL1500_.jpg",1)</f>
        <v/>
      </c>
      <c r="Q54" s="78" t="s">
        <v>1688</v>
      </c>
      <c r="R54" s="79"/>
      <c r="S54" s="80"/>
      <c r="T54" s="5"/>
      <c r="U54" s="14"/>
      <c r="V54" s="12">
        <v>1.0</v>
      </c>
      <c r="W54" s="576"/>
    </row>
    <row r="55" ht="40.5" customHeight="1">
      <c r="A55" s="11">
        <v>54.0</v>
      </c>
      <c r="B55" s="11" t="s">
        <v>173</v>
      </c>
      <c r="C55" s="11" t="s">
        <v>257</v>
      </c>
      <c r="D55" s="93" t="s">
        <v>1920</v>
      </c>
      <c r="E55" s="215" t="s">
        <v>237</v>
      </c>
      <c r="F55" s="216">
        <v>1.0</v>
      </c>
      <c r="G55" s="11" t="s">
        <v>2043</v>
      </c>
      <c r="H55" s="216">
        <v>1.0</v>
      </c>
      <c r="I55" s="216">
        <v>150.0</v>
      </c>
      <c r="J55" s="11">
        <f t="shared" si="1"/>
        <v>150</v>
      </c>
      <c r="K55" s="11" t="s">
        <v>178</v>
      </c>
      <c r="L55" s="93"/>
      <c r="M55" s="93" t="s">
        <v>2012</v>
      </c>
      <c r="N55" s="93" t="s">
        <v>250</v>
      </c>
      <c r="O55" s="217" t="s">
        <v>259</v>
      </c>
      <c r="P55" s="11" t="str">
        <f>IMAGE("https://m.media-amazon.com/images/W/MEDIAX_792452-T2/images/I/417I5BCQPSL.jpg",1)</f>
        <v/>
      </c>
      <c r="Q55" s="78" t="s">
        <v>1688</v>
      </c>
      <c r="R55" s="74"/>
      <c r="S55" s="75"/>
      <c r="T55" s="5"/>
      <c r="U55" s="14"/>
      <c r="V55" s="12">
        <v>1.0</v>
      </c>
      <c r="W55" s="576"/>
    </row>
    <row r="56" ht="40.5" customHeight="1">
      <c r="A56" s="11">
        <v>55.0</v>
      </c>
      <c r="B56" s="11" t="s">
        <v>173</v>
      </c>
      <c r="C56" s="11" t="s">
        <v>261</v>
      </c>
      <c r="D56" s="93" t="s">
        <v>1921</v>
      </c>
      <c r="E56" s="215" t="s">
        <v>237</v>
      </c>
      <c r="F56" s="216">
        <v>1.0</v>
      </c>
      <c r="G56" s="11" t="s">
        <v>2043</v>
      </c>
      <c r="H56" s="216">
        <v>1.0</v>
      </c>
      <c r="I56" s="216">
        <v>150.0</v>
      </c>
      <c r="J56" s="11">
        <f t="shared" si="1"/>
        <v>150</v>
      </c>
      <c r="K56" s="11" t="s">
        <v>178</v>
      </c>
      <c r="L56" s="93"/>
      <c r="M56" s="93" t="s">
        <v>2012</v>
      </c>
      <c r="N56" s="93" t="s">
        <v>250</v>
      </c>
      <c r="O56" s="217" t="s">
        <v>263</v>
      </c>
      <c r="P56" s="11" t="str">
        <f>IMAGE("https://m.media-amazon.com/images/I/61zJ0n1EqGS._AC_SL1500_.jpg",1)</f>
        <v/>
      </c>
      <c r="Q56" s="78" t="s">
        <v>1688</v>
      </c>
      <c r="R56" s="74"/>
      <c r="S56" s="75"/>
      <c r="T56" s="12"/>
      <c r="U56" s="11"/>
      <c r="V56" s="12">
        <v>1.0</v>
      </c>
      <c r="W56" s="576"/>
    </row>
    <row r="57" ht="40.5" customHeight="1">
      <c r="A57" s="11">
        <v>56.0</v>
      </c>
      <c r="B57" s="11" t="s">
        <v>173</v>
      </c>
      <c r="C57" s="11" t="s">
        <v>265</v>
      </c>
      <c r="D57" s="93" t="s">
        <v>266</v>
      </c>
      <c r="E57" s="215" t="s">
        <v>237</v>
      </c>
      <c r="F57" s="216">
        <v>20.0</v>
      </c>
      <c r="G57" s="11" t="s">
        <v>2044</v>
      </c>
      <c r="H57" s="216">
        <v>20.0</v>
      </c>
      <c r="I57" s="216">
        <v>20.0</v>
      </c>
      <c r="J57" s="11">
        <f t="shared" si="1"/>
        <v>400</v>
      </c>
      <c r="K57" s="11" t="s">
        <v>178</v>
      </c>
      <c r="L57" s="93"/>
      <c r="M57" s="93" t="s">
        <v>2012</v>
      </c>
      <c r="N57" s="93" t="s">
        <v>267</v>
      </c>
      <c r="O57" s="217" t="s">
        <v>268</v>
      </c>
      <c r="P57" s="11" t="str">
        <f t="shared" ref="P57:P61" si="2">IMAGE("https://i.ebayimg.com/images/g/xCYAAOSwjvJlEQU8/s-l1600.jpg",1)</f>
        <v/>
      </c>
      <c r="Q57" s="78" t="s">
        <v>1688</v>
      </c>
      <c r="R57" s="74"/>
      <c r="S57" s="75"/>
      <c r="T57" s="12"/>
      <c r="U57" s="11"/>
      <c r="V57" s="12">
        <v>1.0</v>
      </c>
      <c r="W57" s="576"/>
    </row>
    <row r="58" ht="40.5" customHeight="1">
      <c r="A58" s="11">
        <v>57.0</v>
      </c>
      <c r="B58" s="11" t="s">
        <v>173</v>
      </c>
      <c r="C58" s="11" t="s">
        <v>270</v>
      </c>
      <c r="D58" s="93" t="s">
        <v>271</v>
      </c>
      <c r="E58" s="215" t="s">
        <v>237</v>
      </c>
      <c r="F58" s="216">
        <v>20.0</v>
      </c>
      <c r="G58" s="11" t="s">
        <v>2044</v>
      </c>
      <c r="H58" s="216">
        <v>20.0</v>
      </c>
      <c r="I58" s="216">
        <v>20.0</v>
      </c>
      <c r="J58" s="11">
        <f t="shared" si="1"/>
        <v>400</v>
      </c>
      <c r="K58" s="11" t="s">
        <v>178</v>
      </c>
      <c r="L58" s="93"/>
      <c r="M58" s="93" t="s">
        <v>2012</v>
      </c>
      <c r="N58" s="93" t="s">
        <v>267</v>
      </c>
      <c r="O58" s="217" t="s">
        <v>272</v>
      </c>
      <c r="P58" s="11" t="str">
        <f t="shared" si="2"/>
        <v/>
      </c>
      <c r="Q58" s="78" t="s">
        <v>1688</v>
      </c>
      <c r="R58" s="74"/>
      <c r="S58" s="75"/>
      <c r="T58" s="12"/>
      <c r="U58" s="11"/>
      <c r="V58" s="12">
        <v>1.0</v>
      </c>
      <c r="W58" s="576"/>
    </row>
    <row r="59" ht="40.5" customHeight="1">
      <c r="A59" s="11">
        <v>58.0</v>
      </c>
      <c r="B59" s="11" t="s">
        <v>173</v>
      </c>
      <c r="C59" s="11" t="s">
        <v>274</v>
      </c>
      <c r="D59" s="93" t="s">
        <v>275</v>
      </c>
      <c r="E59" s="215" t="s">
        <v>237</v>
      </c>
      <c r="F59" s="216">
        <v>20.0</v>
      </c>
      <c r="G59" s="11" t="s">
        <v>2044</v>
      </c>
      <c r="H59" s="216">
        <v>20.0</v>
      </c>
      <c r="I59" s="216">
        <v>20.0</v>
      </c>
      <c r="J59" s="11">
        <f t="shared" si="1"/>
        <v>400</v>
      </c>
      <c r="K59" s="11" t="s">
        <v>178</v>
      </c>
      <c r="L59" s="93"/>
      <c r="M59" s="93" t="s">
        <v>2012</v>
      </c>
      <c r="N59" s="93" t="s">
        <v>267</v>
      </c>
      <c r="O59" s="217" t="s">
        <v>276</v>
      </c>
      <c r="P59" s="11" t="str">
        <f t="shared" si="2"/>
        <v/>
      </c>
      <c r="Q59" s="78" t="s">
        <v>1688</v>
      </c>
      <c r="R59" s="74"/>
      <c r="S59" s="75"/>
      <c r="T59" s="12"/>
      <c r="U59" s="11"/>
      <c r="V59" s="12">
        <v>1.0</v>
      </c>
      <c r="W59" s="576"/>
    </row>
    <row r="60" ht="40.5" customHeight="1">
      <c r="A60" s="11">
        <v>59.0</v>
      </c>
      <c r="B60" s="11" t="s">
        <v>173</v>
      </c>
      <c r="C60" s="11" t="s">
        <v>278</v>
      </c>
      <c r="D60" s="93" t="s">
        <v>279</v>
      </c>
      <c r="E60" s="215" t="s">
        <v>237</v>
      </c>
      <c r="F60" s="216">
        <v>20.0</v>
      </c>
      <c r="G60" s="11" t="s">
        <v>2044</v>
      </c>
      <c r="H60" s="216">
        <v>20.0</v>
      </c>
      <c r="I60" s="216">
        <v>20.0</v>
      </c>
      <c r="J60" s="11">
        <f t="shared" si="1"/>
        <v>400</v>
      </c>
      <c r="K60" s="11" t="s">
        <v>178</v>
      </c>
      <c r="L60" s="93"/>
      <c r="M60" s="93" t="s">
        <v>2012</v>
      </c>
      <c r="N60" s="93" t="s">
        <v>267</v>
      </c>
      <c r="O60" s="217" t="s">
        <v>280</v>
      </c>
      <c r="P60" s="11" t="str">
        <f t="shared" si="2"/>
        <v/>
      </c>
      <c r="Q60" s="78" t="s">
        <v>1688</v>
      </c>
      <c r="R60" s="74"/>
      <c r="S60" s="75"/>
      <c r="T60" s="12"/>
      <c r="U60" s="11"/>
      <c r="V60" s="12">
        <v>1.0</v>
      </c>
      <c r="W60" s="576"/>
    </row>
    <row r="61" ht="40.5" customHeight="1">
      <c r="A61" s="11">
        <v>60.0</v>
      </c>
      <c r="B61" s="11" t="s">
        <v>173</v>
      </c>
      <c r="C61" s="11" t="s">
        <v>282</v>
      </c>
      <c r="D61" s="93" t="s">
        <v>283</v>
      </c>
      <c r="E61" s="215" t="s">
        <v>237</v>
      </c>
      <c r="F61" s="216">
        <v>20.0</v>
      </c>
      <c r="G61" s="11" t="s">
        <v>2044</v>
      </c>
      <c r="H61" s="216">
        <v>20.0</v>
      </c>
      <c r="I61" s="216">
        <v>20.0</v>
      </c>
      <c r="J61" s="11">
        <f t="shared" si="1"/>
        <v>400</v>
      </c>
      <c r="K61" s="11" t="s">
        <v>178</v>
      </c>
      <c r="L61" s="93"/>
      <c r="M61" s="93" t="s">
        <v>2012</v>
      </c>
      <c r="N61" s="93" t="s">
        <v>267</v>
      </c>
      <c r="O61" s="217" t="s">
        <v>284</v>
      </c>
      <c r="P61" s="11" t="str">
        <f t="shared" si="2"/>
        <v/>
      </c>
      <c r="Q61" s="78" t="s">
        <v>1688</v>
      </c>
      <c r="R61" s="74"/>
      <c r="S61" s="75"/>
      <c r="T61" s="12"/>
      <c r="U61" s="11"/>
      <c r="V61" s="12">
        <v>1.0</v>
      </c>
      <c r="W61" s="576"/>
    </row>
    <row r="62" ht="40.5" customHeight="1">
      <c r="A62" s="11">
        <v>61.0</v>
      </c>
      <c r="B62" s="11" t="s">
        <v>173</v>
      </c>
      <c r="C62" s="11" t="s">
        <v>286</v>
      </c>
      <c r="D62" s="93" t="s">
        <v>287</v>
      </c>
      <c r="E62" s="215" t="s">
        <v>237</v>
      </c>
      <c r="F62" s="216">
        <v>20.0</v>
      </c>
      <c r="G62" s="221" t="s">
        <v>2045</v>
      </c>
      <c r="H62" s="216">
        <v>20.0</v>
      </c>
      <c r="I62" s="216">
        <v>40.0</v>
      </c>
      <c r="J62" s="11">
        <f t="shared" si="1"/>
        <v>800</v>
      </c>
      <c r="K62" s="11" t="s">
        <v>178</v>
      </c>
      <c r="L62" s="93"/>
      <c r="M62" s="93" t="s">
        <v>2008</v>
      </c>
      <c r="N62" s="93" t="s">
        <v>1922</v>
      </c>
      <c r="O62" s="217" t="s">
        <v>289</v>
      </c>
      <c r="P62" s="11" t="str">
        <f t="shared" ref="P62:P64" si="3">IMAGE("https://cdn.shopify.com/s/files/1/0527/2692/3444/products/M-M10CM_800x.jpg?v=1620840829",1)</f>
        <v/>
      </c>
      <c r="Q62" s="78" t="s">
        <v>1688</v>
      </c>
      <c r="R62" s="74"/>
      <c r="S62" s="75"/>
      <c r="T62" s="12"/>
      <c r="U62" s="11"/>
      <c r="V62" s="12">
        <v>1.0</v>
      </c>
      <c r="W62" s="576"/>
    </row>
    <row r="63" ht="40.5" customHeight="1">
      <c r="A63" s="11">
        <v>62.0</v>
      </c>
      <c r="B63" s="11" t="s">
        <v>173</v>
      </c>
      <c r="C63" s="11" t="s">
        <v>291</v>
      </c>
      <c r="D63" s="93" t="s">
        <v>292</v>
      </c>
      <c r="E63" s="215" t="s">
        <v>237</v>
      </c>
      <c r="F63" s="216">
        <v>20.0</v>
      </c>
      <c r="G63" s="221" t="s">
        <v>2045</v>
      </c>
      <c r="H63" s="216">
        <v>20.0</v>
      </c>
      <c r="I63" s="216">
        <v>40.0</v>
      </c>
      <c r="J63" s="11">
        <f t="shared" si="1"/>
        <v>800</v>
      </c>
      <c r="K63" s="11" t="s">
        <v>178</v>
      </c>
      <c r="L63" s="93"/>
      <c r="M63" s="93" t="s">
        <v>2008</v>
      </c>
      <c r="N63" s="93" t="s">
        <v>1922</v>
      </c>
      <c r="O63" s="217" t="s">
        <v>293</v>
      </c>
      <c r="P63" s="11" t="str">
        <f t="shared" si="3"/>
        <v/>
      </c>
      <c r="Q63" s="78" t="s">
        <v>1688</v>
      </c>
      <c r="R63" s="74"/>
      <c r="S63" s="75"/>
      <c r="T63" s="12"/>
      <c r="U63" s="11"/>
      <c r="V63" s="12">
        <v>1.0</v>
      </c>
      <c r="W63" s="576"/>
    </row>
    <row r="64" ht="40.5" customHeight="1">
      <c r="A64" s="11">
        <v>63.0</v>
      </c>
      <c r="B64" s="11" t="s">
        <v>173</v>
      </c>
      <c r="C64" s="11" t="s">
        <v>295</v>
      </c>
      <c r="D64" s="93" t="s">
        <v>296</v>
      </c>
      <c r="E64" s="215" t="s">
        <v>237</v>
      </c>
      <c r="F64" s="216">
        <v>20.0</v>
      </c>
      <c r="G64" s="221" t="s">
        <v>2045</v>
      </c>
      <c r="H64" s="216">
        <v>20.0</v>
      </c>
      <c r="I64" s="216">
        <v>40.0</v>
      </c>
      <c r="J64" s="11">
        <f t="shared" si="1"/>
        <v>800</v>
      </c>
      <c r="K64" s="11" t="s">
        <v>178</v>
      </c>
      <c r="L64" s="93"/>
      <c r="M64" s="93" t="s">
        <v>2008</v>
      </c>
      <c r="N64" s="93" t="s">
        <v>1922</v>
      </c>
      <c r="O64" s="217" t="s">
        <v>297</v>
      </c>
      <c r="P64" s="11" t="str">
        <f t="shared" si="3"/>
        <v/>
      </c>
      <c r="Q64" s="78" t="s">
        <v>1688</v>
      </c>
      <c r="R64" s="74"/>
      <c r="S64" s="75"/>
      <c r="T64" s="12"/>
      <c r="U64" s="11"/>
      <c r="V64" s="12">
        <v>1.0</v>
      </c>
      <c r="W64" s="576"/>
    </row>
    <row r="65" ht="40.5" customHeight="1">
      <c r="A65" s="11">
        <v>64.0</v>
      </c>
      <c r="B65" s="11" t="s">
        <v>173</v>
      </c>
      <c r="C65" s="11" t="s">
        <v>299</v>
      </c>
      <c r="D65" s="93" t="s">
        <v>300</v>
      </c>
      <c r="E65" s="215" t="s">
        <v>237</v>
      </c>
      <c r="F65" s="216">
        <v>10.0</v>
      </c>
      <c r="G65" s="11" t="s">
        <v>2046</v>
      </c>
      <c r="H65" s="216">
        <v>10.0</v>
      </c>
      <c r="I65" s="216">
        <v>50.0</v>
      </c>
      <c r="J65" s="11">
        <f t="shared" si="1"/>
        <v>500</v>
      </c>
      <c r="K65" s="11" t="s">
        <v>178</v>
      </c>
      <c r="L65" s="93"/>
      <c r="M65" s="93" t="s">
        <v>1594</v>
      </c>
      <c r="N65" s="93" t="s">
        <v>300</v>
      </c>
      <c r="O65" s="217" t="s">
        <v>301</v>
      </c>
      <c r="P65" s="11" t="str">
        <f>IMAGE("https://encrypted-tbn0.gstatic.com/images?q=tbn:ANd9GcR4A79FMiemvwjtYU3z1SGV0ayCZPtc8oNMobr5AuvlhGOJoeuq78aTh7JjRPQlfFrsXfE&amp;usqp=CAU",1)</f>
        <v/>
      </c>
      <c r="Q65" s="78" t="s">
        <v>1688</v>
      </c>
      <c r="R65" s="74"/>
      <c r="S65" s="75"/>
      <c r="T65" s="12"/>
      <c r="U65" s="11"/>
      <c r="V65" s="12">
        <v>1.0</v>
      </c>
      <c r="W65" s="576"/>
    </row>
    <row r="66" ht="40.5" customHeight="1">
      <c r="A66" s="11">
        <v>65.0</v>
      </c>
      <c r="B66" s="11" t="s">
        <v>173</v>
      </c>
      <c r="C66" s="11" t="s">
        <v>303</v>
      </c>
      <c r="D66" s="93" t="s">
        <v>304</v>
      </c>
      <c r="E66" s="215" t="s">
        <v>237</v>
      </c>
      <c r="F66" s="216">
        <v>10.0</v>
      </c>
      <c r="G66" s="221" t="s">
        <v>2047</v>
      </c>
      <c r="H66" s="216">
        <v>10.0</v>
      </c>
      <c r="I66" s="216">
        <v>50.0</v>
      </c>
      <c r="J66" s="11">
        <f t="shared" si="1"/>
        <v>500</v>
      </c>
      <c r="K66" s="11" t="s">
        <v>178</v>
      </c>
      <c r="L66" s="93"/>
      <c r="M66" s="93" t="s">
        <v>2012</v>
      </c>
      <c r="N66" s="93" t="s">
        <v>304</v>
      </c>
      <c r="O66" s="217" t="s">
        <v>306</v>
      </c>
      <c r="P66" s="11" t="str">
        <f>IMAGE("https://robu.in/wp-content/uploads/2018/07/50-CM-Micro-USB-Cable-1.jpg",1)</f>
        <v/>
      </c>
      <c r="Q66" s="78" t="s">
        <v>1688</v>
      </c>
      <c r="R66" s="74"/>
      <c r="S66" s="75"/>
      <c r="T66" s="5"/>
      <c r="U66" s="14"/>
      <c r="V66" s="12">
        <v>1.0</v>
      </c>
      <c r="W66" s="576"/>
    </row>
    <row r="67" ht="40.5" customHeight="1">
      <c r="A67" s="11">
        <v>66.0</v>
      </c>
      <c r="B67" s="11"/>
      <c r="C67" s="224" t="s">
        <v>308</v>
      </c>
      <c r="D67" s="225" t="s">
        <v>309</v>
      </c>
      <c r="E67" s="215"/>
      <c r="F67" s="216"/>
      <c r="G67" s="11"/>
      <c r="H67" s="216"/>
      <c r="I67" s="216"/>
      <c r="J67" s="11"/>
      <c r="K67" s="11"/>
      <c r="L67" s="93"/>
      <c r="M67" s="93"/>
      <c r="N67" s="93"/>
      <c r="O67" s="217"/>
      <c r="P67" s="11"/>
      <c r="Q67" s="78"/>
      <c r="R67" s="74"/>
      <c r="S67" s="75"/>
      <c r="T67" s="5"/>
      <c r="U67" s="14"/>
      <c r="V67" s="12"/>
      <c r="W67" s="576"/>
    </row>
    <row r="68" ht="40.5" customHeight="1">
      <c r="A68" s="11">
        <v>67.0</v>
      </c>
      <c r="B68" s="11" t="s">
        <v>173</v>
      </c>
      <c r="C68" s="11" t="s">
        <v>313</v>
      </c>
      <c r="D68" s="93" t="s">
        <v>314</v>
      </c>
      <c r="E68" s="215" t="s">
        <v>237</v>
      </c>
      <c r="F68" s="11">
        <v>1.0</v>
      </c>
      <c r="G68" s="11" t="s">
        <v>2026</v>
      </c>
      <c r="H68" s="11">
        <v>1.0</v>
      </c>
      <c r="I68" s="11">
        <v>300.0</v>
      </c>
      <c r="J68" s="11">
        <f t="shared" ref="J68:J84" si="4">I68*H68</f>
        <v>300</v>
      </c>
      <c r="K68" s="11" t="s">
        <v>142</v>
      </c>
      <c r="L68" s="93"/>
      <c r="M68" s="93" t="s">
        <v>1902</v>
      </c>
      <c r="N68" s="93" t="s">
        <v>237</v>
      </c>
      <c r="O68" s="217" t="s">
        <v>315</v>
      </c>
      <c r="P68" s="11" t="str">
        <f>IMAGE("https://m.media-amazon.com/images/I/41ajXEZ8zhL._SL1200_.jpg",1)</f>
        <v/>
      </c>
      <c r="Q68" s="78"/>
      <c r="R68" s="79"/>
      <c r="S68" s="80"/>
      <c r="T68" s="12"/>
      <c r="U68" s="11"/>
      <c r="V68" s="12">
        <v>1.0</v>
      </c>
      <c r="W68" s="576"/>
    </row>
    <row r="69" ht="40.5" customHeight="1">
      <c r="A69" s="11">
        <v>68.0</v>
      </c>
      <c r="B69" s="11" t="s">
        <v>173</v>
      </c>
      <c r="C69" s="11" t="s">
        <v>317</v>
      </c>
      <c r="D69" s="93" t="s">
        <v>1924</v>
      </c>
      <c r="E69" s="215" t="s">
        <v>237</v>
      </c>
      <c r="F69" s="216">
        <v>10.0</v>
      </c>
      <c r="G69" s="221" t="s">
        <v>2036</v>
      </c>
      <c r="H69" s="216">
        <v>10.0</v>
      </c>
      <c r="I69" s="216">
        <v>50.0</v>
      </c>
      <c r="J69" s="11">
        <f t="shared" si="4"/>
        <v>500</v>
      </c>
      <c r="K69" s="11" t="s">
        <v>178</v>
      </c>
      <c r="L69" s="93"/>
      <c r="M69" s="93" t="s">
        <v>1895</v>
      </c>
      <c r="N69" s="93" t="s">
        <v>237</v>
      </c>
      <c r="O69" s="217" t="s">
        <v>320</v>
      </c>
      <c r="P69" s="11" t="str">
        <f>IMAGE("https://robu.in/wp-content/uploads/2019/06/3.5mm-Audio-Plug-3-Pole-Gold-plated-Earphone-Adapter-For-DIY-Stereo-Headset-5.jpg",1)</f>
        <v/>
      </c>
      <c r="Q69" s="78" t="s">
        <v>1688</v>
      </c>
      <c r="R69" s="74"/>
      <c r="S69" s="75"/>
      <c r="T69" s="12"/>
      <c r="U69" s="11"/>
      <c r="V69" s="12">
        <v>1.0</v>
      </c>
      <c r="W69" s="576"/>
    </row>
    <row r="70" ht="40.5" customHeight="1">
      <c r="A70" s="11">
        <v>69.0</v>
      </c>
      <c r="B70" s="11" t="s">
        <v>321</v>
      </c>
      <c r="C70" s="11" t="s">
        <v>323</v>
      </c>
      <c r="D70" s="93" t="s">
        <v>324</v>
      </c>
      <c r="E70" s="215" t="s">
        <v>325</v>
      </c>
      <c r="F70" s="11">
        <v>1.0</v>
      </c>
      <c r="G70" s="11" t="s">
        <v>2049</v>
      </c>
      <c r="H70" s="11">
        <v>1.0</v>
      </c>
      <c r="I70" s="11">
        <v>200.0</v>
      </c>
      <c r="J70" s="11">
        <f t="shared" si="4"/>
        <v>200</v>
      </c>
      <c r="K70" s="11" t="s">
        <v>326</v>
      </c>
      <c r="L70" s="93"/>
      <c r="M70" s="93"/>
      <c r="N70" s="93" t="s">
        <v>1925</v>
      </c>
      <c r="O70" s="217" t="s">
        <v>78</v>
      </c>
      <c r="P70" s="11" t="str">
        <f>IMAGE("https://5.imimg.com/data5/PL/FV/MY-11916319/synthetic-angle-broom-500x500.jpg",1)</f>
        <v/>
      </c>
      <c r="Q70" s="78"/>
      <c r="R70" s="74"/>
      <c r="S70" s="75"/>
      <c r="T70" s="12"/>
      <c r="U70" s="11"/>
      <c r="V70" s="12">
        <v>3.0</v>
      </c>
      <c r="W70" s="576"/>
    </row>
    <row r="71" ht="40.5" customHeight="1">
      <c r="A71" s="11">
        <v>70.0</v>
      </c>
      <c r="B71" s="11" t="s">
        <v>321</v>
      </c>
      <c r="C71" s="11" t="s">
        <v>328</v>
      </c>
      <c r="D71" s="93" t="s">
        <v>329</v>
      </c>
      <c r="E71" s="215" t="s">
        <v>325</v>
      </c>
      <c r="F71" s="11">
        <v>1.0</v>
      </c>
      <c r="G71" s="11" t="s">
        <v>2049</v>
      </c>
      <c r="H71" s="11">
        <v>1.0</v>
      </c>
      <c r="I71" s="11">
        <v>100.0</v>
      </c>
      <c r="J71" s="11">
        <f t="shared" si="4"/>
        <v>100</v>
      </c>
      <c r="K71" s="11" t="s">
        <v>326</v>
      </c>
      <c r="L71" s="93"/>
      <c r="M71" s="93"/>
      <c r="N71" s="93" t="s">
        <v>1925</v>
      </c>
      <c r="O71" s="217" t="s">
        <v>330</v>
      </c>
      <c r="P71" s="11" t="str">
        <f>IMAGE("https://m.media-amazon.com/images/W/MEDIAX_792452-T2/images/I/61z4uqZdmPL._AC_UF1000,1000_QL80_.jpg",1)</f>
        <v/>
      </c>
      <c r="Q71" s="78" t="s">
        <v>56</v>
      </c>
      <c r="R71" s="79"/>
      <c r="S71" s="80"/>
      <c r="T71" s="12"/>
      <c r="U71" s="11"/>
      <c r="V71" s="12">
        <v>3.0</v>
      </c>
      <c r="W71" s="576"/>
    </row>
    <row r="72" ht="40.5" customHeight="1">
      <c r="A72" s="11">
        <v>71.0</v>
      </c>
      <c r="B72" s="11" t="s">
        <v>321</v>
      </c>
      <c r="C72" s="11" t="s">
        <v>332</v>
      </c>
      <c r="D72" s="93" t="s">
        <v>333</v>
      </c>
      <c r="E72" s="215" t="s">
        <v>325</v>
      </c>
      <c r="F72" s="11">
        <v>5.0</v>
      </c>
      <c r="G72" s="11" t="s">
        <v>2049</v>
      </c>
      <c r="H72" s="11">
        <v>5.0</v>
      </c>
      <c r="I72" s="11">
        <v>100.0</v>
      </c>
      <c r="J72" s="11">
        <f t="shared" si="4"/>
        <v>500</v>
      </c>
      <c r="K72" s="11" t="s">
        <v>326</v>
      </c>
      <c r="L72" s="93"/>
      <c r="M72" s="93"/>
      <c r="N72" s="93" t="s">
        <v>1925</v>
      </c>
      <c r="O72" s="217" t="s">
        <v>334</v>
      </c>
      <c r="P72" s="11" t="str">
        <f>IMAGE("https://m.media-amazon.com/images/W/MEDIAX_792452-T2/images/I/61Njm4X2d2L._AC_UF1000,1000_QL80_.jpg",1)</f>
        <v/>
      </c>
      <c r="Q72" s="78"/>
      <c r="R72" s="74"/>
      <c r="S72" s="75"/>
      <c r="T72" s="12"/>
      <c r="U72" s="11"/>
      <c r="V72" s="12">
        <v>3.0</v>
      </c>
      <c r="W72" s="576"/>
    </row>
    <row r="73" ht="40.5" customHeight="1">
      <c r="A73" s="11">
        <v>72.0</v>
      </c>
      <c r="B73" s="11" t="s">
        <v>321</v>
      </c>
      <c r="C73" s="11" t="s">
        <v>336</v>
      </c>
      <c r="D73" s="93" t="s">
        <v>337</v>
      </c>
      <c r="E73" s="215" t="s">
        <v>325</v>
      </c>
      <c r="F73" s="11">
        <v>1.0</v>
      </c>
      <c r="G73" s="11" t="s">
        <v>2049</v>
      </c>
      <c r="H73" s="11">
        <v>1.0</v>
      </c>
      <c r="I73" s="11">
        <v>3600.0</v>
      </c>
      <c r="J73" s="11">
        <f t="shared" si="4"/>
        <v>3600</v>
      </c>
      <c r="K73" s="11" t="s">
        <v>326</v>
      </c>
      <c r="L73" s="93" t="s">
        <v>65</v>
      </c>
      <c r="M73" s="123" t="s">
        <v>65</v>
      </c>
      <c r="N73" s="93" t="s">
        <v>1925</v>
      </c>
      <c r="O73" s="217" t="s">
        <v>338</v>
      </c>
      <c r="P73" s="11" t="str">
        <f>IMAGE("https://m.media-amazon.com/images/I/61HelF+y3YL._SL1500_.jpg",1)</f>
        <v/>
      </c>
      <c r="Q73" s="73" t="s">
        <v>1689</v>
      </c>
      <c r="R73" s="74"/>
      <c r="S73" s="75"/>
      <c r="T73" s="5"/>
      <c r="U73" s="14"/>
      <c r="V73" s="12">
        <v>3.0</v>
      </c>
      <c r="W73" s="576"/>
    </row>
    <row r="74" ht="40.5" customHeight="1">
      <c r="A74" s="11">
        <v>73.0</v>
      </c>
      <c r="B74" s="11" t="s">
        <v>321</v>
      </c>
      <c r="C74" s="11" t="s">
        <v>340</v>
      </c>
      <c r="D74" s="93" t="s">
        <v>341</v>
      </c>
      <c r="E74" s="215" t="s">
        <v>325</v>
      </c>
      <c r="F74" s="11">
        <v>3.0</v>
      </c>
      <c r="G74" s="11" t="s">
        <v>2049</v>
      </c>
      <c r="H74" s="11">
        <v>3.0</v>
      </c>
      <c r="I74" s="11">
        <v>800.0</v>
      </c>
      <c r="J74" s="11">
        <f t="shared" si="4"/>
        <v>2400</v>
      </c>
      <c r="K74" s="11" t="s">
        <v>326</v>
      </c>
      <c r="L74" s="93"/>
      <c r="M74" s="93"/>
      <c r="N74" s="93" t="s">
        <v>1925</v>
      </c>
      <c r="O74" s="217"/>
      <c r="P74" s="11" t="str">
        <f>IMAGE("https://rukminim2.flixcart.com/image/850/1000/kshtxu80/dustbin/p/l/y/swaccha-bharat-champaign-dry-and-wet-waste-bins-small-11ltr-original-imag6fnfj6pqmsba.jpeg?q=20",1)</f>
        <v/>
      </c>
      <c r="Q74" s="78"/>
      <c r="R74" s="79"/>
      <c r="S74" s="80"/>
      <c r="T74" s="12"/>
      <c r="U74" s="11"/>
      <c r="V74" s="12">
        <v>3.0</v>
      </c>
      <c r="W74" s="576"/>
    </row>
    <row r="75" ht="40.5" customHeight="1">
      <c r="A75" s="11">
        <v>74.0</v>
      </c>
      <c r="B75" s="11" t="s">
        <v>342</v>
      </c>
      <c r="C75" s="11" t="s">
        <v>344</v>
      </c>
      <c r="D75" s="93" t="s">
        <v>345</v>
      </c>
      <c r="E75" s="215" t="s">
        <v>346</v>
      </c>
      <c r="F75" s="216">
        <v>1.0</v>
      </c>
      <c r="G75" s="11" t="s">
        <v>2050</v>
      </c>
      <c r="H75" s="216">
        <v>2.0</v>
      </c>
      <c r="I75" s="216">
        <v>200.0</v>
      </c>
      <c r="J75" s="11">
        <f t="shared" si="4"/>
        <v>400</v>
      </c>
      <c r="K75" s="11" t="s">
        <v>347</v>
      </c>
      <c r="L75" s="93" t="s">
        <v>21</v>
      </c>
      <c r="M75" s="11"/>
      <c r="N75" s="215" t="s">
        <v>346</v>
      </c>
      <c r="O75" s="217" t="s">
        <v>348</v>
      </c>
      <c r="P75" s="11" t="str">
        <f>IMAGE("https://m.media-amazon.com/images/I/71NdWJD1LKL._SL1500_.jpg",1)</f>
        <v/>
      </c>
      <c r="Q75" s="78" t="s">
        <v>1689</v>
      </c>
      <c r="R75" s="74" t="s">
        <v>1691</v>
      </c>
      <c r="S75" s="75"/>
      <c r="T75" s="12"/>
      <c r="U75" s="11"/>
      <c r="V75" s="12">
        <v>3.0</v>
      </c>
      <c r="W75" s="576"/>
    </row>
    <row r="76" ht="40.5" customHeight="1">
      <c r="A76" s="11">
        <v>75.0</v>
      </c>
      <c r="B76" s="11" t="s">
        <v>342</v>
      </c>
      <c r="C76" s="11" t="s">
        <v>350</v>
      </c>
      <c r="D76" s="93" t="s">
        <v>351</v>
      </c>
      <c r="E76" s="215" t="s">
        <v>346</v>
      </c>
      <c r="F76" s="216">
        <v>1.0</v>
      </c>
      <c r="G76" s="11" t="s">
        <v>2051</v>
      </c>
      <c r="H76" s="216">
        <v>2.0</v>
      </c>
      <c r="I76" s="216">
        <v>180.0</v>
      </c>
      <c r="J76" s="11">
        <f t="shared" si="4"/>
        <v>360</v>
      </c>
      <c r="K76" s="11" t="s">
        <v>347</v>
      </c>
      <c r="L76" s="93"/>
      <c r="M76" s="93"/>
      <c r="N76" s="215" t="s">
        <v>346</v>
      </c>
      <c r="O76" s="217" t="s">
        <v>353</v>
      </c>
      <c r="P76" s="11" t="str">
        <f>IMAGE("https://m.media-amazon.com/images/I/41GBeFsg3kL.jpg",1)</f>
        <v/>
      </c>
      <c r="Q76" s="78"/>
      <c r="R76" s="74"/>
      <c r="S76" s="75"/>
      <c r="T76" s="12"/>
      <c r="U76" s="11"/>
      <c r="V76" s="12">
        <v>3.0</v>
      </c>
      <c r="W76" s="576"/>
    </row>
    <row r="77" ht="40.5" customHeight="1">
      <c r="A77" s="11">
        <v>76.0</v>
      </c>
      <c r="B77" s="11" t="s">
        <v>342</v>
      </c>
      <c r="C77" s="11" t="s">
        <v>355</v>
      </c>
      <c r="D77" s="93" t="s">
        <v>356</v>
      </c>
      <c r="E77" s="215" t="s">
        <v>346</v>
      </c>
      <c r="F77" s="216">
        <v>1.0</v>
      </c>
      <c r="G77" s="11" t="s">
        <v>2050</v>
      </c>
      <c r="H77" s="216">
        <v>1.0</v>
      </c>
      <c r="I77" s="216">
        <v>300.0</v>
      </c>
      <c r="J77" s="11">
        <f t="shared" si="4"/>
        <v>300</v>
      </c>
      <c r="K77" s="11" t="s">
        <v>347</v>
      </c>
      <c r="L77" s="93" t="s">
        <v>77</v>
      </c>
      <c r="M77" s="93" t="s">
        <v>2052</v>
      </c>
      <c r="N77" s="215" t="s">
        <v>346</v>
      </c>
      <c r="O77" s="217" t="s">
        <v>357</v>
      </c>
      <c r="P77" s="11" t="str">
        <f>IMAGE("https://services.ibo.com/media/v1/products/images/db78032d-e5ba-4c4c-bc8f-110fa0021b77/stanley-sta7221xjin-16-pc-drilling-and-screwdriving-set-1.jpeg",1)</f>
        <v/>
      </c>
      <c r="Q77" s="73" t="s">
        <v>1689</v>
      </c>
      <c r="R77" s="74" t="s">
        <v>1692</v>
      </c>
      <c r="S77" s="75"/>
      <c r="T77" s="12"/>
      <c r="U77" s="11"/>
      <c r="V77" s="12">
        <v>3.0</v>
      </c>
      <c r="W77" s="576"/>
    </row>
    <row r="78" ht="40.5" customHeight="1">
      <c r="A78" s="11">
        <v>77.0</v>
      </c>
      <c r="B78" s="11" t="s">
        <v>342</v>
      </c>
      <c r="C78" s="11" t="s">
        <v>359</v>
      </c>
      <c r="D78" s="93" t="s">
        <v>360</v>
      </c>
      <c r="E78" s="215" t="s">
        <v>346</v>
      </c>
      <c r="F78" s="216">
        <v>1.0</v>
      </c>
      <c r="G78" s="11" t="s">
        <v>2050</v>
      </c>
      <c r="H78" s="216">
        <v>1.0</v>
      </c>
      <c r="I78" s="216">
        <v>2500.0</v>
      </c>
      <c r="J78" s="11">
        <f t="shared" si="4"/>
        <v>2500</v>
      </c>
      <c r="K78" s="11" t="s">
        <v>347</v>
      </c>
      <c r="L78" s="93" t="s">
        <v>21</v>
      </c>
      <c r="M78" s="93"/>
      <c r="N78" s="215" t="s">
        <v>346</v>
      </c>
      <c r="O78" s="217" t="s">
        <v>361</v>
      </c>
      <c r="P78" s="11" t="str">
        <f>IMAGE("https://cdn.moglix.com/p/Rn8lZopeAizs5-xxlarge.jpg",1)</f>
        <v/>
      </c>
      <c r="Q78" s="73" t="s">
        <v>1689</v>
      </c>
      <c r="R78" s="74" t="s">
        <v>1693</v>
      </c>
      <c r="S78" s="75"/>
      <c r="T78" s="12"/>
      <c r="U78" s="11"/>
      <c r="V78" s="12">
        <v>3.0</v>
      </c>
      <c r="W78" s="576"/>
    </row>
    <row r="79" ht="40.5" customHeight="1">
      <c r="A79" s="11">
        <v>78.0</v>
      </c>
      <c r="B79" s="11" t="s">
        <v>342</v>
      </c>
      <c r="C79" s="11" t="s">
        <v>363</v>
      </c>
      <c r="D79" s="93" t="s">
        <v>364</v>
      </c>
      <c r="E79" s="215" t="s">
        <v>346</v>
      </c>
      <c r="F79" s="216">
        <v>1.0</v>
      </c>
      <c r="G79" s="11" t="s">
        <v>2050</v>
      </c>
      <c r="H79" s="216">
        <v>1.0</v>
      </c>
      <c r="I79" s="216">
        <v>500.0</v>
      </c>
      <c r="J79" s="11">
        <f t="shared" si="4"/>
        <v>500</v>
      </c>
      <c r="K79" s="11" t="s">
        <v>347</v>
      </c>
      <c r="L79" s="93"/>
      <c r="M79" s="93"/>
      <c r="N79" s="215" t="s">
        <v>346</v>
      </c>
      <c r="O79" s="217" t="s">
        <v>365</v>
      </c>
      <c r="P79" s="11" t="str">
        <f>IMAGE("https://m.media-amazon.com/images/I/51wli9aWH9S._SL1000_.jpg",1)</f>
        <v/>
      </c>
      <c r="Q79" s="73" t="s">
        <v>1684</v>
      </c>
      <c r="R79" s="74">
        <v>60.0</v>
      </c>
      <c r="S79" s="75"/>
      <c r="T79" s="12"/>
      <c r="U79" s="11"/>
      <c r="V79" s="12">
        <v>3.0</v>
      </c>
      <c r="W79" s="576"/>
    </row>
    <row r="80" ht="40.5" customHeight="1">
      <c r="A80" s="11">
        <v>79.0</v>
      </c>
      <c r="B80" s="11" t="s">
        <v>342</v>
      </c>
      <c r="C80" s="11" t="s">
        <v>367</v>
      </c>
      <c r="D80" s="93" t="s">
        <v>368</v>
      </c>
      <c r="E80" s="215" t="s">
        <v>346</v>
      </c>
      <c r="F80" s="216">
        <v>20.0</v>
      </c>
      <c r="G80" s="11" t="s">
        <v>2051</v>
      </c>
      <c r="H80" s="216">
        <v>20.0</v>
      </c>
      <c r="I80" s="216">
        <v>5.0</v>
      </c>
      <c r="J80" s="11">
        <f t="shared" si="4"/>
        <v>100</v>
      </c>
      <c r="K80" s="11" t="s">
        <v>347</v>
      </c>
      <c r="L80" s="93"/>
      <c r="M80" s="93"/>
      <c r="N80" s="215" t="s">
        <v>346</v>
      </c>
      <c r="O80" s="217" t="s">
        <v>369</v>
      </c>
      <c r="P80" s="11" t="str">
        <f>IMAGE("https://res.cloudinary.com/rsc/image/upload/b_rgb:FFFFFF,c_pad,dpr_1.0,f_auto,q_auto,w_700/c_pad,w_700/C4847566-05",1)</f>
        <v/>
      </c>
      <c r="Q80" s="78"/>
      <c r="R80" s="74"/>
      <c r="S80" s="75"/>
      <c r="T80" s="5"/>
      <c r="U80" s="14"/>
      <c r="V80" s="12">
        <v>3.0</v>
      </c>
      <c r="W80" s="576"/>
    </row>
    <row r="81" ht="40.5" customHeight="1">
      <c r="A81" s="11">
        <v>80.0</v>
      </c>
      <c r="B81" s="11" t="s">
        <v>342</v>
      </c>
      <c r="C81" s="11" t="s">
        <v>371</v>
      </c>
      <c r="D81" s="93" t="s">
        <v>372</v>
      </c>
      <c r="E81" s="215" t="s">
        <v>346</v>
      </c>
      <c r="F81" s="216">
        <v>1.0</v>
      </c>
      <c r="G81" s="11" t="s">
        <v>2053</v>
      </c>
      <c r="H81" s="216">
        <v>2.0</v>
      </c>
      <c r="I81" s="216">
        <v>150.0</v>
      </c>
      <c r="J81" s="11">
        <f t="shared" si="4"/>
        <v>300</v>
      </c>
      <c r="K81" s="11" t="s">
        <v>347</v>
      </c>
      <c r="L81" s="93"/>
      <c r="M81" s="93"/>
      <c r="N81" s="215" t="s">
        <v>346</v>
      </c>
      <c r="O81" s="217"/>
      <c r="P81" s="11" t="str">
        <f>IMAGE("https://5.imimg.com/data5/JR/LF/GK/SELLER-30390418/hacksaw-500x500.png",1)</f>
        <v/>
      </c>
      <c r="Q81" s="73" t="s">
        <v>1689</v>
      </c>
      <c r="R81" s="74"/>
      <c r="S81" s="75"/>
      <c r="T81" s="5"/>
      <c r="U81" s="14"/>
      <c r="V81" s="12">
        <v>3.0</v>
      </c>
      <c r="W81" s="576"/>
    </row>
    <row r="82" ht="40.5" customHeight="1">
      <c r="A82" s="11">
        <v>81.0</v>
      </c>
      <c r="B82" s="11" t="s">
        <v>342</v>
      </c>
      <c r="C82" s="11" t="s">
        <v>374</v>
      </c>
      <c r="D82" s="93" t="s">
        <v>375</v>
      </c>
      <c r="E82" s="215" t="s">
        <v>346</v>
      </c>
      <c r="F82" s="216">
        <v>5.0</v>
      </c>
      <c r="G82" s="11" t="s">
        <v>2053</v>
      </c>
      <c r="H82" s="216">
        <v>5.0</v>
      </c>
      <c r="I82" s="216">
        <v>170.0</v>
      </c>
      <c r="J82" s="11">
        <f t="shared" si="4"/>
        <v>850</v>
      </c>
      <c r="K82" s="11" t="s">
        <v>347</v>
      </c>
      <c r="L82" s="93"/>
      <c r="M82" s="93"/>
      <c r="N82" s="215" t="s">
        <v>346</v>
      </c>
      <c r="O82" s="217" t="s">
        <v>376</v>
      </c>
      <c r="P82" s="11" t="str">
        <f>IMAGE("https://encrypted-tbn0.gstatic.com/images?q=tbn:ANd9GcRnlFGDkPLnXJSjTXFe7fzQ2kj51brspxAcjVtkmgU5NgUWN5-EbmbNTptE-Y3t4g8lr84&amp;usqp=CAU",1)</f>
        <v/>
      </c>
      <c r="Q82" s="73" t="s">
        <v>1689</v>
      </c>
      <c r="R82" s="74" t="s">
        <v>1694</v>
      </c>
      <c r="S82" s="75"/>
      <c r="T82" s="5"/>
      <c r="U82" s="14"/>
      <c r="V82" s="12">
        <v>3.0</v>
      </c>
      <c r="W82" s="576"/>
    </row>
    <row r="83" ht="40.5" customHeight="1">
      <c r="A83" s="11">
        <v>82.0</v>
      </c>
      <c r="B83" s="11" t="s">
        <v>342</v>
      </c>
      <c r="C83" s="11" t="s">
        <v>378</v>
      </c>
      <c r="D83" s="93" t="s">
        <v>379</v>
      </c>
      <c r="E83" s="215" t="s">
        <v>346</v>
      </c>
      <c r="F83" s="216">
        <v>2.0</v>
      </c>
      <c r="G83" s="11" t="s">
        <v>2050</v>
      </c>
      <c r="H83" s="216">
        <v>2.0</v>
      </c>
      <c r="I83" s="216">
        <v>500.0</v>
      </c>
      <c r="J83" s="11">
        <f t="shared" si="4"/>
        <v>1000</v>
      </c>
      <c r="K83" s="11" t="s">
        <v>347</v>
      </c>
      <c r="L83" s="93"/>
      <c r="M83" s="93"/>
      <c r="N83" s="215" t="s">
        <v>346</v>
      </c>
      <c r="O83" s="217" t="s">
        <v>156</v>
      </c>
      <c r="P83" s="11" t="str">
        <f>IMAGE("https://www.stanleytools.me/EMEA/PRODUCT/IMAGES/HIRES/STHT0-10194/STHT0-10194_1.jpg?resize=530x530",1)</f>
        <v/>
      </c>
      <c r="Q83" s="73" t="s">
        <v>1689</v>
      </c>
      <c r="R83" s="74" t="s">
        <v>1695</v>
      </c>
      <c r="S83" s="75"/>
      <c r="T83" s="5"/>
      <c r="U83" s="14"/>
      <c r="V83" s="12">
        <v>3.0</v>
      </c>
      <c r="W83" s="576"/>
    </row>
    <row r="84" ht="40.5" customHeight="1">
      <c r="A84" s="11">
        <v>83.0</v>
      </c>
      <c r="B84" s="11" t="s">
        <v>342</v>
      </c>
      <c r="C84" s="11" t="s">
        <v>381</v>
      </c>
      <c r="D84" s="93" t="s">
        <v>382</v>
      </c>
      <c r="E84" s="215" t="s">
        <v>346</v>
      </c>
      <c r="F84" s="216">
        <v>10.0</v>
      </c>
      <c r="G84" s="11" t="s">
        <v>2054</v>
      </c>
      <c r="H84" s="216">
        <v>10.0</v>
      </c>
      <c r="I84" s="216">
        <v>80.0</v>
      </c>
      <c r="J84" s="11">
        <f t="shared" si="4"/>
        <v>800</v>
      </c>
      <c r="K84" s="11" t="s">
        <v>347</v>
      </c>
      <c r="L84" s="93"/>
      <c r="M84" s="93" t="s">
        <v>2022</v>
      </c>
      <c r="N84" s="215" t="s">
        <v>346</v>
      </c>
      <c r="O84" s="217" t="s">
        <v>383</v>
      </c>
      <c r="P84" s="11" t="str">
        <f>IMAGE("https://sc04.alicdn.com/kf/HTB1fK8lXPvuK1Rjy0Faq6x2aVXa5.jpg",1)</f>
        <v/>
      </c>
      <c r="Q84" s="73" t="s">
        <v>1689</v>
      </c>
      <c r="R84" s="74"/>
      <c r="S84" s="75"/>
      <c r="T84" s="12"/>
      <c r="U84" s="11"/>
      <c r="V84" s="12">
        <v>3.0</v>
      </c>
      <c r="W84" s="576"/>
    </row>
    <row r="85" ht="40.5" customHeight="1">
      <c r="A85" s="11">
        <v>84.0</v>
      </c>
      <c r="B85" s="11" t="s">
        <v>342</v>
      </c>
      <c r="C85" s="11" t="s">
        <v>385</v>
      </c>
      <c r="D85" s="93" t="s">
        <v>1926</v>
      </c>
      <c r="E85" s="215" t="s">
        <v>346</v>
      </c>
      <c r="F85" s="11">
        <v>1.0</v>
      </c>
      <c r="G85" s="11" t="s">
        <v>2050</v>
      </c>
      <c r="H85" s="11">
        <v>1.0</v>
      </c>
      <c r="I85" s="11">
        <v>3500.0</v>
      </c>
      <c r="J85" s="11">
        <v>3500.0</v>
      </c>
      <c r="K85" s="11" t="s">
        <v>347</v>
      </c>
      <c r="L85" s="93"/>
      <c r="M85" s="93"/>
      <c r="N85" s="215" t="s">
        <v>346</v>
      </c>
      <c r="O85" s="217"/>
      <c r="P85" s="11" t="str">
        <f>IMAGE("https://asia.blackanddecker.global/ASIA/PRODUCT/IMAGES/HIRES/RT18KA-B1/RT18KA_1.jpg?resize=530x530", 1)</f>
        <v/>
      </c>
      <c r="Q85" s="73" t="s">
        <v>1689</v>
      </c>
      <c r="R85" s="74"/>
      <c r="S85" s="75"/>
      <c r="T85" s="12"/>
      <c r="U85" s="11"/>
      <c r="V85" s="12">
        <v>3.0</v>
      </c>
      <c r="W85" s="576"/>
    </row>
    <row r="86" ht="40.5" customHeight="1">
      <c r="A86" s="11">
        <v>85.0</v>
      </c>
      <c r="B86" s="11" t="s">
        <v>342</v>
      </c>
      <c r="C86" s="11" t="s">
        <v>388</v>
      </c>
      <c r="D86" s="93" t="s">
        <v>1927</v>
      </c>
      <c r="E86" s="215" t="s">
        <v>346</v>
      </c>
      <c r="F86" s="216">
        <v>5.0</v>
      </c>
      <c r="G86" s="11" t="s">
        <v>2055</v>
      </c>
      <c r="H86" s="216">
        <v>5.0</v>
      </c>
      <c r="I86" s="216">
        <v>50.0</v>
      </c>
      <c r="J86" s="11">
        <f t="shared" ref="J86:J261" si="5">I86*H86</f>
        <v>250</v>
      </c>
      <c r="K86" s="11" t="s">
        <v>347</v>
      </c>
      <c r="L86" s="93" t="s">
        <v>77</v>
      </c>
      <c r="M86" s="123" t="s">
        <v>2012</v>
      </c>
      <c r="N86" s="215" t="s">
        <v>346</v>
      </c>
      <c r="O86" s="217" t="s">
        <v>390</v>
      </c>
      <c r="P86" s="11" t="str">
        <f>IMAGE("https://m.media-amazon.com/images/I/518vUksgebL._SL1100_.jpg",1)</f>
        <v/>
      </c>
      <c r="Q86" s="78"/>
      <c r="R86" s="74"/>
      <c r="S86" s="75"/>
      <c r="T86" s="12"/>
      <c r="U86" s="11"/>
      <c r="V86" s="12">
        <v>1.0</v>
      </c>
      <c r="W86" s="576"/>
    </row>
    <row r="87" ht="40.5" customHeight="1">
      <c r="A87" s="11">
        <v>86.0</v>
      </c>
      <c r="B87" s="11" t="s">
        <v>342</v>
      </c>
      <c r="C87" s="11" t="s">
        <v>392</v>
      </c>
      <c r="D87" s="93" t="s">
        <v>1928</v>
      </c>
      <c r="E87" s="215" t="s">
        <v>346</v>
      </c>
      <c r="F87" s="216">
        <v>5.0</v>
      </c>
      <c r="G87" s="11" t="s">
        <v>2055</v>
      </c>
      <c r="H87" s="216">
        <v>5.0</v>
      </c>
      <c r="I87" s="216">
        <v>50.0</v>
      </c>
      <c r="J87" s="11">
        <f t="shared" si="5"/>
        <v>250</v>
      </c>
      <c r="K87" s="11" t="s">
        <v>347</v>
      </c>
      <c r="L87" s="93" t="s">
        <v>77</v>
      </c>
      <c r="M87" s="123" t="s">
        <v>2012</v>
      </c>
      <c r="N87" s="215" t="s">
        <v>346</v>
      </c>
      <c r="O87" s="217" t="s">
        <v>394</v>
      </c>
      <c r="P87" s="11" t="str">
        <f>IMAGE("https://rukminim1.flixcart.com/image/416/416/jidg9zk0/art-craft-kit/f/g/a/9mm-snap-off-precision-blades-30-degree-blades-100-blade-pack-1-original-imaf66g6ahvgzem3.jpeg?q=70",1)</f>
        <v/>
      </c>
      <c r="Q87" s="78"/>
      <c r="R87" s="74"/>
      <c r="S87" s="75"/>
      <c r="T87" s="12"/>
      <c r="U87" s="11"/>
      <c r="V87" s="12">
        <v>1.0</v>
      </c>
      <c r="W87" s="576"/>
    </row>
    <row r="88" ht="40.5" customHeight="1">
      <c r="A88" s="11">
        <v>87.0</v>
      </c>
      <c r="B88" s="11" t="s">
        <v>342</v>
      </c>
      <c r="C88" s="11" t="s">
        <v>396</v>
      </c>
      <c r="D88" s="93" t="s">
        <v>1929</v>
      </c>
      <c r="E88" s="215" t="s">
        <v>346</v>
      </c>
      <c r="F88" s="216">
        <v>5.0</v>
      </c>
      <c r="G88" s="11" t="s">
        <v>2056</v>
      </c>
      <c r="H88" s="216">
        <v>5.0</v>
      </c>
      <c r="I88" s="216">
        <v>100.0</v>
      </c>
      <c r="J88" s="11">
        <f t="shared" si="5"/>
        <v>500</v>
      </c>
      <c r="K88" s="11" t="s">
        <v>347</v>
      </c>
      <c r="L88" s="93" t="s">
        <v>77</v>
      </c>
      <c r="M88" s="123" t="s">
        <v>2012</v>
      </c>
      <c r="N88" s="215" t="s">
        <v>346</v>
      </c>
      <c r="O88" s="217" t="s">
        <v>398</v>
      </c>
      <c r="P88" s="11" t="str">
        <f>IMAGE("https://m.media-amazon.com/images/I/31u15vg7r0L._SX342_.jpg",1)</f>
        <v/>
      </c>
      <c r="Q88" s="73" t="s">
        <v>1689</v>
      </c>
      <c r="R88" s="74"/>
      <c r="S88" s="75"/>
      <c r="T88" s="12"/>
      <c r="U88" s="11"/>
      <c r="V88" s="12">
        <v>1.0</v>
      </c>
      <c r="W88" s="576"/>
    </row>
    <row r="89" ht="40.5" customHeight="1">
      <c r="A89" s="11">
        <v>88.0</v>
      </c>
      <c r="B89" s="11" t="s">
        <v>342</v>
      </c>
      <c r="C89" s="11" t="s">
        <v>400</v>
      </c>
      <c r="D89" s="93" t="s">
        <v>1930</v>
      </c>
      <c r="E89" s="215" t="s">
        <v>346</v>
      </c>
      <c r="F89" s="216">
        <v>10.0</v>
      </c>
      <c r="G89" s="11" t="s">
        <v>2056</v>
      </c>
      <c r="H89" s="216">
        <v>10.0</v>
      </c>
      <c r="I89" s="216">
        <v>100.0</v>
      </c>
      <c r="J89" s="11">
        <f t="shared" si="5"/>
        <v>1000</v>
      </c>
      <c r="K89" s="11" t="s">
        <v>347</v>
      </c>
      <c r="L89" s="93" t="s">
        <v>77</v>
      </c>
      <c r="M89" s="11" t="s">
        <v>2012</v>
      </c>
      <c r="N89" s="215" t="s">
        <v>346</v>
      </c>
      <c r="O89" s="217" t="s">
        <v>402</v>
      </c>
      <c r="P89" s="11" t="str">
        <f>IMAGE("https://hydetools.com/wp-content/uploads/2019/09/42046b.jpg",1)</f>
        <v/>
      </c>
      <c r="Q89" s="78"/>
      <c r="R89" s="74"/>
      <c r="S89" s="75"/>
      <c r="T89" s="12"/>
      <c r="U89" s="11"/>
      <c r="V89" s="12">
        <v>1.0</v>
      </c>
      <c r="W89" s="576"/>
    </row>
    <row r="90" ht="40.5" customHeight="1">
      <c r="A90" s="11">
        <v>89.0</v>
      </c>
      <c r="B90" s="11" t="s">
        <v>342</v>
      </c>
      <c r="C90" s="11" t="s">
        <v>404</v>
      </c>
      <c r="D90" s="93" t="s">
        <v>405</v>
      </c>
      <c r="E90" s="215" t="s">
        <v>346</v>
      </c>
      <c r="F90" s="216">
        <v>10.0</v>
      </c>
      <c r="G90" s="11" t="s">
        <v>2057</v>
      </c>
      <c r="H90" s="216">
        <v>10.0</v>
      </c>
      <c r="I90" s="216">
        <v>100.0</v>
      </c>
      <c r="J90" s="11">
        <f t="shared" si="5"/>
        <v>1000</v>
      </c>
      <c r="K90" s="11" t="s">
        <v>347</v>
      </c>
      <c r="L90" s="93" t="s">
        <v>21</v>
      </c>
      <c r="M90" s="11" t="s">
        <v>1594</v>
      </c>
      <c r="N90" s="215" t="s">
        <v>346</v>
      </c>
      <c r="O90" s="217" t="s">
        <v>406</v>
      </c>
      <c r="P90" s="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Q90" s="78"/>
      <c r="R90" s="74"/>
      <c r="S90" s="75"/>
      <c r="T90" s="12"/>
      <c r="U90" s="11"/>
      <c r="V90" s="12">
        <v>1.0</v>
      </c>
      <c r="W90" s="576"/>
    </row>
    <row r="91" ht="40.5" customHeight="1">
      <c r="A91" s="11">
        <v>90.0</v>
      </c>
      <c r="B91" s="11" t="s">
        <v>407</v>
      </c>
      <c r="C91" s="11" t="s">
        <v>407</v>
      </c>
      <c r="D91" s="93" t="s">
        <v>408</v>
      </c>
      <c r="E91" s="215" t="s">
        <v>346</v>
      </c>
      <c r="F91" s="216">
        <v>10.0</v>
      </c>
      <c r="G91" s="11" t="s">
        <v>2057</v>
      </c>
      <c r="H91" s="216">
        <v>10.0</v>
      </c>
      <c r="I91" s="216">
        <v>80.0</v>
      </c>
      <c r="J91" s="11">
        <f t="shared" si="5"/>
        <v>800</v>
      </c>
      <c r="K91" s="11" t="s">
        <v>347</v>
      </c>
      <c r="L91" s="93" t="s">
        <v>77</v>
      </c>
      <c r="M91" s="11" t="s">
        <v>1594</v>
      </c>
      <c r="N91" s="215" t="s">
        <v>346</v>
      </c>
      <c r="O91" s="217"/>
      <c r="P91" s="11" t="str">
        <f>IMAGE("https://cdn-reichelt.de/bilder/web/xxl_ws/I210/LEITZ_54166095.png",1)</f>
        <v/>
      </c>
      <c r="Q91" s="78"/>
      <c r="R91" s="74"/>
      <c r="S91" s="75"/>
      <c r="T91" s="12"/>
      <c r="U91" s="11"/>
      <c r="V91" s="12">
        <v>1.0</v>
      </c>
      <c r="W91" s="576"/>
    </row>
    <row r="92" ht="40.5" customHeight="1">
      <c r="A92" s="11">
        <v>91.0</v>
      </c>
      <c r="B92" s="222" t="s">
        <v>342</v>
      </c>
      <c r="C92" s="222" t="s">
        <v>410</v>
      </c>
      <c r="D92" s="232" t="s">
        <v>411</v>
      </c>
      <c r="E92" s="233" t="s">
        <v>346</v>
      </c>
      <c r="F92" s="234">
        <v>10.0</v>
      </c>
      <c r="G92" s="11" t="s">
        <v>2058</v>
      </c>
      <c r="H92" s="234">
        <v>10.0</v>
      </c>
      <c r="I92" s="234">
        <v>150.0</v>
      </c>
      <c r="J92" s="222">
        <f t="shared" si="5"/>
        <v>1500</v>
      </c>
      <c r="K92" s="222" t="s">
        <v>347</v>
      </c>
      <c r="L92" s="232" t="s">
        <v>21</v>
      </c>
      <c r="M92" s="232" t="s">
        <v>1594</v>
      </c>
      <c r="N92" s="233" t="s">
        <v>346</v>
      </c>
      <c r="O92" s="235"/>
      <c r="P92" s="222"/>
      <c r="Q92" s="358"/>
      <c r="R92" s="359"/>
      <c r="S92" s="336"/>
      <c r="T92" s="360"/>
      <c r="U92" s="222"/>
      <c r="V92" s="299">
        <v>1.0</v>
      </c>
      <c r="W92" s="576"/>
    </row>
    <row r="93" ht="40.5" customHeight="1">
      <c r="A93" s="11">
        <v>92.0</v>
      </c>
      <c r="B93" s="222" t="s">
        <v>173</v>
      </c>
      <c r="C93" s="222" t="s">
        <v>413</v>
      </c>
      <c r="D93" s="232" t="s">
        <v>1931</v>
      </c>
      <c r="E93" s="233" t="s">
        <v>415</v>
      </c>
      <c r="F93" s="349">
        <v>12.0</v>
      </c>
      <c r="G93" s="14"/>
      <c r="H93" s="349">
        <v>12.0</v>
      </c>
      <c r="I93" s="222">
        <v>150.0</v>
      </c>
      <c r="J93" s="222">
        <f t="shared" si="5"/>
        <v>1800</v>
      </c>
      <c r="K93" s="222" t="s">
        <v>178</v>
      </c>
      <c r="L93" s="232"/>
      <c r="M93" s="232"/>
      <c r="N93" s="232" t="s">
        <v>1932</v>
      </c>
      <c r="O93" s="235" t="s">
        <v>417</v>
      </c>
      <c r="P93" s="222" t="str">
        <f>IMAGE("https://www.electronicscomp.com/image/cache/catalog/cnc-shield-v3-400x400.jpg",1)</f>
        <v/>
      </c>
      <c r="Q93" s="358"/>
      <c r="R93" s="359"/>
      <c r="S93" s="336"/>
      <c r="T93" s="623"/>
      <c r="U93" s="224"/>
      <c r="V93" s="351">
        <v>2.0</v>
      </c>
      <c r="W93" s="576"/>
    </row>
    <row r="94" ht="40.5" customHeight="1">
      <c r="A94" s="11">
        <v>93.0</v>
      </c>
      <c r="B94" s="11" t="s">
        <v>173</v>
      </c>
      <c r="C94" s="11" t="s">
        <v>419</v>
      </c>
      <c r="D94" s="93" t="s">
        <v>420</v>
      </c>
      <c r="E94" s="215" t="s">
        <v>415</v>
      </c>
      <c r="F94" s="216">
        <v>15.0</v>
      </c>
      <c r="G94" s="11" t="s">
        <v>2060</v>
      </c>
      <c r="H94" s="216">
        <v>15.0</v>
      </c>
      <c r="I94" s="216">
        <v>400.0</v>
      </c>
      <c r="J94" s="11">
        <f t="shared" si="5"/>
        <v>6000</v>
      </c>
      <c r="K94" s="11" t="s">
        <v>178</v>
      </c>
      <c r="L94" s="93"/>
      <c r="M94" s="93" t="s">
        <v>1594</v>
      </c>
      <c r="N94" s="93" t="s">
        <v>1932</v>
      </c>
      <c r="O94" s="217" t="s">
        <v>422</v>
      </c>
      <c r="P94" s="11" t="str">
        <f>IMAGE("https://5.imimg.com/data5/VS/XC/MY-4167793/arduino-nano-500x500.jpg",1)</f>
        <v/>
      </c>
      <c r="Q94" s="78" t="s">
        <v>1688</v>
      </c>
      <c r="R94" s="74"/>
      <c r="S94" s="75"/>
      <c r="T94" s="12"/>
      <c r="U94" s="11"/>
      <c r="V94" s="12">
        <v>1.0</v>
      </c>
      <c r="W94" s="576"/>
    </row>
    <row r="95" ht="40.5" customHeight="1">
      <c r="A95" s="11">
        <v>94.0</v>
      </c>
      <c r="B95" s="11" t="s">
        <v>173</v>
      </c>
      <c r="C95" s="11" t="s">
        <v>424</v>
      </c>
      <c r="D95" s="93" t="s">
        <v>1933</v>
      </c>
      <c r="E95" s="215" t="s">
        <v>415</v>
      </c>
      <c r="F95" s="216">
        <v>10.0</v>
      </c>
      <c r="G95" s="221" t="s">
        <v>2061</v>
      </c>
      <c r="H95" s="216">
        <v>10.0</v>
      </c>
      <c r="I95" s="216">
        <v>500.0</v>
      </c>
      <c r="J95" s="11">
        <f t="shared" si="5"/>
        <v>5000</v>
      </c>
      <c r="K95" s="11" t="s">
        <v>178</v>
      </c>
      <c r="L95" s="93"/>
      <c r="M95" s="93" t="s">
        <v>1594</v>
      </c>
      <c r="N95" s="93" t="s">
        <v>1932</v>
      </c>
      <c r="O95" s="217" t="s">
        <v>426</v>
      </c>
      <c r="P95" s="11" t="str">
        <f>IMAGE("https://robu.in/wp-content/uploads/2017/04/Arduino_NANO_expansion1.jpg",1)</f>
        <v/>
      </c>
      <c r="Q95" s="78" t="s">
        <v>1688</v>
      </c>
      <c r="R95" s="79"/>
      <c r="S95" s="80"/>
      <c r="T95" s="12"/>
      <c r="U95" s="11"/>
      <c r="V95" s="12">
        <v>1.0</v>
      </c>
      <c r="W95" s="576"/>
    </row>
    <row r="96" ht="40.5" customHeight="1">
      <c r="A96" s="11">
        <v>95.0</v>
      </c>
      <c r="B96" s="11" t="s">
        <v>173</v>
      </c>
      <c r="C96" s="11" t="s">
        <v>428</v>
      </c>
      <c r="D96" s="93" t="s">
        <v>1934</v>
      </c>
      <c r="E96" s="215" t="s">
        <v>415</v>
      </c>
      <c r="F96" s="216">
        <v>15.0</v>
      </c>
      <c r="G96" s="11" t="s">
        <v>2060</v>
      </c>
      <c r="H96" s="216">
        <v>15.0</v>
      </c>
      <c r="I96" s="216">
        <v>450.0</v>
      </c>
      <c r="J96" s="11">
        <f t="shared" si="5"/>
        <v>6750</v>
      </c>
      <c r="K96" s="11" t="s">
        <v>178</v>
      </c>
      <c r="L96" s="93"/>
      <c r="M96" s="93" t="s">
        <v>1594</v>
      </c>
      <c r="N96" s="93" t="s">
        <v>1932</v>
      </c>
      <c r="O96" s="217" t="s">
        <v>431</v>
      </c>
      <c r="P96" s="11" t="str">
        <f>IMAGE("https://robu.in/wp-content/uploads/2017/10/Uno-R3-CH340G-ATmega328p-Development-Board-Compatible-with-Arduino2.png",1)</f>
        <v/>
      </c>
      <c r="Q96" s="78" t="s">
        <v>1688</v>
      </c>
      <c r="R96" s="74"/>
      <c r="S96" s="75"/>
      <c r="T96" s="12"/>
      <c r="U96" s="11"/>
      <c r="V96" s="12">
        <v>1.0</v>
      </c>
      <c r="W96" s="576"/>
    </row>
    <row r="97" ht="40.5" customHeight="1">
      <c r="A97" s="11">
        <v>96.0</v>
      </c>
      <c r="B97" s="222" t="s">
        <v>173</v>
      </c>
      <c r="C97" s="222" t="s">
        <v>433</v>
      </c>
      <c r="D97" s="232" t="s">
        <v>1935</v>
      </c>
      <c r="E97" s="233" t="s">
        <v>415</v>
      </c>
      <c r="F97" s="234">
        <v>10.0</v>
      </c>
      <c r="G97" s="11"/>
      <c r="H97" s="234">
        <v>10.0</v>
      </c>
      <c r="I97" s="234">
        <v>700.0</v>
      </c>
      <c r="J97" s="222">
        <f t="shared" si="5"/>
        <v>7000</v>
      </c>
      <c r="K97" s="222" t="s">
        <v>178</v>
      </c>
      <c r="L97" s="232"/>
      <c r="M97" s="232" t="s">
        <v>1594</v>
      </c>
      <c r="N97" s="232" t="s">
        <v>1932</v>
      </c>
      <c r="O97" s="235" t="s">
        <v>435</v>
      </c>
      <c r="P97" s="222" t="str">
        <f>IMAGE("https://robu.in/wp-content/uploads/2015/11/SKU-6337.png",1)</f>
        <v/>
      </c>
      <c r="Q97" s="358" t="s">
        <v>1688</v>
      </c>
      <c r="R97" s="359"/>
      <c r="S97" s="336"/>
      <c r="T97" s="360"/>
      <c r="U97" s="222"/>
      <c r="V97" s="299">
        <v>2.0</v>
      </c>
      <c r="W97" s="576"/>
    </row>
    <row r="98" ht="40.5" customHeight="1">
      <c r="A98" s="11">
        <v>97.0</v>
      </c>
      <c r="B98" s="11" t="s">
        <v>173</v>
      </c>
      <c r="C98" s="11" t="s">
        <v>437</v>
      </c>
      <c r="D98" s="93" t="s">
        <v>438</v>
      </c>
      <c r="E98" s="215" t="s">
        <v>415</v>
      </c>
      <c r="F98" s="216">
        <v>10.0</v>
      </c>
      <c r="G98" s="106" t="s">
        <v>1806</v>
      </c>
      <c r="H98" s="216">
        <v>10.0</v>
      </c>
      <c r="I98" s="216">
        <v>150.0</v>
      </c>
      <c r="J98" s="11">
        <f t="shared" si="5"/>
        <v>1500</v>
      </c>
      <c r="K98" s="11" t="s">
        <v>178</v>
      </c>
      <c r="L98" s="93"/>
      <c r="M98" s="93" t="s">
        <v>2062</v>
      </c>
      <c r="N98" s="93" t="s">
        <v>1937</v>
      </c>
      <c r="O98" s="217" t="s">
        <v>439</v>
      </c>
      <c r="P98" s="11" t="str">
        <f>IMAGE("https://www.electronicscomp.com/image/cache/catalog/esp8266-esp01-wifi-module-india-800x800.jpg",1)</f>
        <v/>
      </c>
      <c r="Q98" s="78" t="s">
        <v>1688</v>
      </c>
      <c r="R98" s="74"/>
      <c r="S98" s="75"/>
      <c r="T98" s="12"/>
      <c r="U98" s="11"/>
      <c r="V98" s="12">
        <v>1.0</v>
      </c>
      <c r="W98" s="576"/>
    </row>
    <row r="99" ht="40.5" customHeight="1">
      <c r="A99" s="11">
        <v>98.0</v>
      </c>
      <c r="B99" s="11" t="s">
        <v>173</v>
      </c>
      <c r="C99" s="11" t="s">
        <v>440</v>
      </c>
      <c r="D99" s="93" t="s">
        <v>441</v>
      </c>
      <c r="E99" s="215" t="s">
        <v>415</v>
      </c>
      <c r="F99" s="216">
        <v>10.0</v>
      </c>
      <c r="G99" s="106" t="s">
        <v>1803</v>
      </c>
      <c r="H99" s="216">
        <v>10.0</v>
      </c>
      <c r="I99" s="216">
        <v>300.0</v>
      </c>
      <c r="J99" s="11">
        <f t="shared" si="5"/>
        <v>3000</v>
      </c>
      <c r="K99" s="11" t="s">
        <v>178</v>
      </c>
      <c r="L99" s="93"/>
      <c r="M99" s="93" t="s">
        <v>2062</v>
      </c>
      <c r="N99" s="93" t="s">
        <v>1937</v>
      </c>
      <c r="O99" s="217" t="s">
        <v>443</v>
      </c>
      <c r="P99" s="11" t="str">
        <f>IMAGE("https://makerselectronics.com/wp-content/uploads/2020/07/ESP32-CAM-2.jpg",1)</f>
        <v/>
      </c>
      <c r="Q99" s="78" t="s">
        <v>1688</v>
      </c>
      <c r="R99" s="74"/>
      <c r="S99" s="75"/>
      <c r="T99" s="12"/>
      <c r="U99" s="11"/>
      <c r="V99" s="12">
        <v>1.0</v>
      </c>
      <c r="W99" s="576"/>
    </row>
    <row r="100" ht="40.5" customHeight="1">
      <c r="A100" s="11">
        <v>99.0</v>
      </c>
      <c r="B100" s="11" t="s">
        <v>173</v>
      </c>
      <c r="C100" s="11" t="s">
        <v>445</v>
      </c>
      <c r="D100" s="93" t="s">
        <v>446</v>
      </c>
      <c r="E100" s="215" t="s">
        <v>415</v>
      </c>
      <c r="F100" s="216">
        <v>10.0</v>
      </c>
      <c r="G100" s="11" t="s">
        <v>2063</v>
      </c>
      <c r="H100" s="216">
        <v>10.0</v>
      </c>
      <c r="I100" s="216">
        <v>200.0</v>
      </c>
      <c r="J100" s="11">
        <f t="shared" si="5"/>
        <v>2000</v>
      </c>
      <c r="K100" s="11" t="s">
        <v>178</v>
      </c>
      <c r="L100" s="93"/>
      <c r="M100" s="93" t="s">
        <v>1594</v>
      </c>
      <c r="N100" s="93" t="s">
        <v>1937</v>
      </c>
      <c r="O100" s="217" t="s">
        <v>447</v>
      </c>
      <c r="P100" s="11" t="str">
        <f>IMAGE("https://www.berrybase.de/media/image/c5/26/b6/ID_186599_orig_600x600.jpg",1)</f>
        <v/>
      </c>
      <c r="Q100" s="78" t="s">
        <v>1688</v>
      </c>
      <c r="R100" s="74"/>
      <c r="S100" s="75"/>
      <c r="T100" s="12"/>
      <c r="U100" s="11"/>
      <c r="V100" s="12">
        <v>1.0</v>
      </c>
      <c r="W100" s="576"/>
    </row>
    <row r="101" ht="40.5" customHeight="1">
      <c r="A101" s="11">
        <v>100.0</v>
      </c>
      <c r="B101" s="11" t="s">
        <v>173</v>
      </c>
      <c r="C101" s="11" t="s">
        <v>449</v>
      </c>
      <c r="D101" s="93" t="s">
        <v>450</v>
      </c>
      <c r="E101" s="215" t="s">
        <v>415</v>
      </c>
      <c r="F101" s="216">
        <v>15.0</v>
      </c>
      <c r="G101" s="11" t="s">
        <v>2063</v>
      </c>
      <c r="H101" s="216">
        <v>15.0</v>
      </c>
      <c r="I101" s="216">
        <v>250.0</v>
      </c>
      <c r="J101" s="11">
        <f t="shared" si="5"/>
        <v>3750</v>
      </c>
      <c r="K101" s="11" t="s">
        <v>178</v>
      </c>
      <c r="L101" s="93"/>
      <c r="M101" s="93" t="s">
        <v>1594</v>
      </c>
      <c r="N101" s="93" t="s">
        <v>1937</v>
      </c>
      <c r="O101" s="217" t="s">
        <v>451</v>
      </c>
      <c r="P101" s="11" t="str">
        <f>IMAGE("https://m.media-amazon.com/images/I/61rcnccrByL._SL1238_.jpg",1)</f>
        <v/>
      </c>
      <c r="Q101" s="78" t="s">
        <v>1688</v>
      </c>
      <c r="R101" s="74"/>
      <c r="S101" s="75"/>
      <c r="T101" s="5"/>
      <c r="U101" s="14"/>
      <c r="V101" s="12">
        <v>1.0</v>
      </c>
      <c r="W101" s="576"/>
    </row>
    <row r="102" ht="40.5" customHeight="1">
      <c r="A102" s="11">
        <v>101.0</v>
      </c>
      <c r="B102" s="11" t="s">
        <v>173</v>
      </c>
      <c r="C102" s="11" t="s">
        <v>453</v>
      </c>
      <c r="D102" s="93" t="s">
        <v>454</v>
      </c>
      <c r="E102" s="215" t="s">
        <v>415</v>
      </c>
      <c r="F102" s="216">
        <v>15.0</v>
      </c>
      <c r="G102" s="11" t="s">
        <v>2064</v>
      </c>
      <c r="H102" s="216">
        <v>15.0</v>
      </c>
      <c r="I102" s="216">
        <v>400.0</v>
      </c>
      <c r="J102" s="11">
        <f t="shared" si="5"/>
        <v>6000</v>
      </c>
      <c r="K102" s="11" t="s">
        <v>178</v>
      </c>
      <c r="L102" s="93"/>
      <c r="M102" s="93" t="s">
        <v>1594</v>
      </c>
      <c r="N102" s="93" t="s">
        <v>455</v>
      </c>
      <c r="O102" s="217" t="s">
        <v>456</v>
      </c>
      <c r="P102" s="11" t="str">
        <f>IMAGE("https://m.media-amazon.com/images/W/MEDIAX_792452-T2/images/I/61t+lNeiChL._SL1443_.jpg",1)</f>
        <v/>
      </c>
      <c r="Q102" s="78" t="s">
        <v>1688</v>
      </c>
      <c r="R102" s="74"/>
      <c r="S102" s="75"/>
      <c r="T102" s="5"/>
      <c r="U102" s="14"/>
      <c r="V102" s="12">
        <v>1.0</v>
      </c>
      <c r="W102" s="576"/>
    </row>
    <row r="103" ht="40.5" customHeight="1">
      <c r="A103" s="11">
        <v>102.0</v>
      </c>
      <c r="B103" s="11" t="s">
        <v>173</v>
      </c>
      <c r="C103" s="11" t="s">
        <v>458</v>
      </c>
      <c r="D103" s="107" t="s">
        <v>459</v>
      </c>
      <c r="E103" s="215" t="s">
        <v>415</v>
      </c>
      <c r="F103" s="216">
        <v>10.0</v>
      </c>
      <c r="G103" s="11" t="s">
        <v>2064</v>
      </c>
      <c r="H103" s="216">
        <v>10.0</v>
      </c>
      <c r="I103" s="216">
        <v>500.0</v>
      </c>
      <c r="J103" s="11">
        <f t="shared" si="5"/>
        <v>5000</v>
      </c>
      <c r="K103" s="11" t="s">
        <v>178</v>
      </c>
      <c r="L103" s="93"/>
      <c r="M103" s="93" t="s">
        <v>1594</v>
      </c>
      <c r="N103" s="93" t="s">
        <v>455</v>
      </c>
      <c r="O103" s="217" t="s">
        <v>460</v>
      </c>
      <c r="P103" s="11" t="str">
        <f>IMAGE("https://m.media-amazon.com/images/W/MEDIAX_792452-T2/images/I/61xb9SMx4AL._SL1440_.jpg",1)</f>
        <v/>
      </c>
      <c r="Q103" s="78" t="s">
        <v>1688</v>
      </c>
      <c r="R103" s="74"/>
      <c r="S103" s="75"/>
      <c r="T103" s="12"/>
      <c r="U103" s="11"/>
      <c r="V103" s="12">
        <v>1.0</v>
      </c>
      <c r="W103" s="576"/>
    </row>
    <row r="104" ht="40.5" customHeight="1">
      <c r="A104" s="11">
        <v>103.0</v>
      </c>
      <c r="B104" s="222" t="s">
        <v>461</v>
      </c>
      <c r="C104" s="222" t="s">
        <v>463</v>
      </c>
      <c r="D104" s="232" t="s">
        <v>464</v>
      </c>
      <c r="E104" s="233" t="s">
        <v>465</v>
      </c>
      <c r="F104" s="234">
        <v>5.0</v>
      </c>
      <c r="G104" s="11" t="s">
        <v>2065</v>
      </c>
      <c r="H104" s="234">
        <v>5.0</v>
      </c>
      <c r="I104" s="234">
        <v>1200.0</v>
      </c>
      <c r="J104" s="222">
        <f t="shared" si="5"/>
        <v>6000</v>
      </c>
      <c r="K104" s="222" t="s">
        <v>466</v>
      </c>
      <c r="L104" s="232" t="s">
        <v>47</v>
      </c>
      <c r="M104" s="232" t="s">
        <v>1895</v>
      </c>
      <c r="N104" s="232" t="s">
        <v>1938</v>
      </c>
      <c r="O104" s="235" t="s">
        <v>468</v>
      </c>
      <c r="P104" s="222" t="str">
        <f>IMAGE("https://5.imimg.com/data5/SELLER/Default/2020/10/MN/BG/IF/24066098/sunlu-sl-300-3d-pen-green-500x500.jpg",1)</f>
        <v/>
      </c>
      <c r="Q104" s="619" t="s">
        <v>1684</v>
      </c>
      <c r="R104" s="359">
        <f>3*60</f>
        <v>180</v>
      </c>
      <c r="S104" s="336"/>
      <c r="T104" s="360"/>
      <c r="U104" s="222"/>
      <c r="V104" s="299">
        <v>1.0</v>
      </c>
      <c r="W104" s="576"/>
    </row>
    <row r="105" ht="40.5" customHeight="1">
      <c r="A105" s="11">
        <v>104.0</v>
      </c>
      <c r="B105" s="11" t="s">
        <v>461</v>
      </c>
      <c r="C105" s="11" t="s">
        <v>470</v>
      </c>
      <c r="D105" s="93" t="s">
        <v>471</v>
      </c>
      <c r="E105" s="215" t="s">
        <v>465</v>
      </c>
      <c r="F105" s="216">
        <v>1.0</v>
      </c>
      <c r="G105" s="11" t="s">
        <v>2066</v>
      </c>
      <c r="H105" s="216">
        <v>1.0</v>
      </c>
      <c r="I105" s="216">
        <v>50000.0</v>
      </c>
      <c r="J105" s="11">
        <f t="shared" si="5"/>
        <v>50000</v>
      </c>
      <c r="K105" s="11" t="s">
        <v>466</v>
      </c>
      <c r="L105" s="37" t="s">
        <v>47</v>
      </c>
      <c r="M105" s="123" t="s">
        <v>65</v>
      </c>
      <c r="N105" s="93" t="s">
        <v>1938</v>
      </c>
      <c r="O105" s="217" t="s">
        <v>472</v>
      </c>
      <c r="P105" s="11" t="str">
        <f>IMAGE("https://m.media-amazon.com/images/I/61UtNlSmPaL._SX342_.jpg",1)</f>
        <v/>
      </c>
      <c r="Q105" s="73" t="s">
        <v>1684</v>
      </c>
      <c r="R105" s="74">
        <f>55</f>
        <v>55</v>
      </c>
      <c r="S105" s="75"/>
      <c r="T105" s="12"/>
      <c r="U105" s="11"/>
      <c r="V105" s="12">
        <v>3.0</v>
      </c>
      <c r="W105" s="576"/>
    </row>
    <row r="106" ht="40.5" customHeight="1">
      <c r="A106" s="11">
        <v>105.0</v>
      </c>
      <c r="B106" s="11" t="s">
        <v>461</v>
      </c>
      <c r="C106" s="11" t="s">
        <v>474</v>
      </c>
      <c r="D106" s="93" t="s">
        <v>475</v>
      </c>
      <c r="E106" s="215" t="s">
        <v>465</v>
      </c>
      <c r="F106" s="216" t="s">
        <v>56</v>
      </c>
      <c r="G106" s="11" t="s">
        <v>2067</v>
      </c>
      <c r="H106" s="216">
        <v>1.0</v>
      </c>
      <c r="I106" s="216">
        <v>500.0</v>
      </c>
      <c r="J106" s="11">
        <f t="shared" si="5"/>
        <v>500</v>
      </c>
      <c r="K106" s="11" t="s">
        <v>466</v>
      </c>
      <c r="L106" s="11"/>
      <c r="M106" s="93" t="s">
        <v>1594</v>
      </c>
      <c r="N106" s="93" t="s">
        <v>1938</v>
      </c>
      <c r="O106" s="217"/>
      <c r="P106" s="11"/>
      <c r="Q106" s="73"/>
      <c r="R106" s="74"/>
      <c r="S106" s="75"/>
      <c r="T106" s="12"/>
      <c r="U106" s="11"/>
      <c r="V106" s="12">
        <v>1.0</v>
      </c>
      <c r="W106" s="576"/>
    </row>
    <row r="107" ht="40.5" customHeight="1">
      <c r="A107" s="11">
        <v>106.0</v>
      </c>
      <c r="B107" s="222" t="s">
        <v>461</v>
      </c>
      <c r="C107" s="222" t="s">
        <v>478</v>
      </c>
      <c r="D107" s="232" t="s">
        <v>479</v>
      </c>
      <c r="E107" s="233" t="s">
        <v>465</v>
      </c>
      <c r="F107" s="234">
        <v>3.0</v>
      </c>
      <c r="G107" s="11" t="s">
        <v>2069</v>
      </c>
      <c r="H107" s="234">
        <v>3.0</v>
      </c>
      <c r="I107" s="234">
        <v>500.0</v>
      </c>
      <c r="J107" s="222">
        <f t="shared" si="5"/>
        <v>1500</v>
      </c>
      <c r="K107" s="222" t="s">
        <v>466</v>
      </c>
      <c r="L107" s="232"/>
      <c r="M107" s="232" t="s">
        <v>2068</v>
      </c>
      <c r="N107" s="232" t="s">
        <v>1938</v>
      </c>
      <c r="O107" s="235" t="s">
        <v>481</v>
      </c>
      <c r="P107" s="222" t="str">
        <f>IMAGE("https://5.imimg.com/data5/LA/TM/JO/SELLER-79394111/3d-printer-nylon-filament-500x500.jpg",1)</f>
        <v/>
      </c>
      <c r="Q107" s="619" t="s">
        <v>1684</v>
      </c>
      <c r="R107" s="359"/>
      <c r="S107" s="336"/>
      <c r="T107" s="360"/>
      <c r="U107" s="222"/>
      <c r="V107" s="299">
        <v>1.0</v>
      </c>
      <c r="W107" s="576"/>
    </row>
    <row r="108" ht="40.5" customHeight="1">
      <c r="A108" s="11">
        <v>107.0</v>
      </c>
      <c r="B108" s="11" t="s">
        <v>173</v>
      </c>
      <c r="C108" s="11" t="s">
        <v>487</v>
      </c>
      <c r="D108" s="93" t="s">
        <v>488</v>
      </c>
      <c r="E108" s="215" t="s">
        <v>489</v>
      </c>
      <c r="F108" s="216">
        <v>20.0</v>
      </c>
      <c r="G108" s="11" t="s">
        <v>1802</v>
      </c>
      <c r="H108" s="216">
        <v>20.0</v>
      </c>
      <c r="I108" s="216">
        <v>40.0</v>
      </c>
      <c r="J108" s="11">
        <f t="shared" si="5"/>
        <v>800</v>
      </c>
      <c r="K108" s="11" t="s">
        <v>178</v>
      </c>
      <c r="L108" s="93"/>
      <c r="M108" s="93" t="s">
        <v>2070</v>
      </c>
      <c r="N108" s="93" t="s">
        <v>1941</v>
      </c>
      <c r="O108" s="217" t="s">
        <v>490</v>
      </c>
      <c r="P108" s="11" t="str">
        <f>IMAGE("https://m.media-amazon.com/images/I/51BByYhTjOL._SX425_.jpg",1)</f>
        <v/>
      </c>
      <c r="Q108" s="78" t="s">
        <v>1688</v>
      </c>
      <c r="R108" s="79"/>
      <c r="S108" s="80"/>
      <c r="T108" s="12"/>
      <c r="U108" s="11"/>
      <c r="V108" s="12">
        <v>1.0</v>
      </c>
      <c r="W108" s="576"/>
    </row>
    <row r="109" ht="40.5" customHeight="1">
      <c r="A109" s="11">
        <v>108.0</v>
      </c>
      <c r="B109" s="11" t="s">
        <v>173</v>
      </c>
      <c r="C109" s="11" t="s">
        <v>492</v>
      </c>
      <c r="D109" s="93" t="s">
        <v>1942</v>
      </c>
      <c r="E109" s="215" t="s">
        <v>489</v>
      </c>
      <c r="F109" s="216">
        <v>10.0</v>
      </c>
      <c r="G109" s="11" t="s">
        <v>2071</v>
      </c>
      <c r="H109" s="216">
        <v>10.0</v>
      </c>
      <c r="I109" s="216">
        <v>60.0</v>
      </c>
      <c r="J109" s="11">
        <f t="shared" si="5"/>
        <v>600</v>
      </c>
      <c r="K109" s="11" t="s">
        <v>178</v>
      </c>
      <c r="L109" s="93"/>
      <c r="M109" s="93" t="s">
        <v>2012</v>
      </c>
      <c r="N109" s="93" t="s">
        <v>493</v>
      </c>
      <c r="O109" s="217" t="s">
        <v>494</v>
      </c>
      <c r="P109" s="11" t="str">
        <f>IMAGE("https://5.imimg.com/data5/SR/JZ/RD/SELLER-80355495/large-breadboard-800-points--500x500.jpg",1)</f>
        <v/>
      </c>
      <c r="Q109" s="78" t="s">
        <v>1688</v>
      </c>
      <c r="R109" s="74"/>
      <c r="S109" s="75"/>
      <c r="T109" s="12"/>
      <c r="U109" s="11"/>
      <c r="V109" s="12">
        <v>1.0</v>
      </c>
      <c r="W109" s="576"/>
    </row>
    <row r="110" ht="40.5" customHeight="1">
      <c r="A110" s="11">
        <v>109.0</v>
      </c>
      <c r="B110" s="11" t="s">
        <v>173</v>
      </c>
      <c r="C110" s="11" t="s">
        <v>496</v>
      </c>
      <c r="D110" s="93" t="s">
        <v>497</v>
      </c>
      <c r="E110" s="215" t="s">
        <v>489</v>
      </c>
      <c r="F110" s="216">
        <v>10.0</v>
      </c>
      <c r="G110" s="11" t="s">
        <v>2072</v>
      </c>
      <c r="H110" s="216">
        <v>10.0</v>
      </c>
      <c r="I110" s="216">
        <v>40.0</v>
      </c>
      <c r="J110" s="11">
        <f t="shared" si="5"/>
        <v>400</v>
      </c>
      <c r="K110" s="11" t="s">
        <v>178</v>
      </c>
      <c r="L110" s="93"/>
      <c r="M110" s="93" t="s">
        <v>2012</v>
      </c>
      <c r="N110" s="93" t="s">
        <v>493</v>
      </c>
      <c r="O110" s="217" t="s">
        <v>498</v>
      </c>
      <c r="P110" s="11" t="str">
        <f>IMAGE("https://5.imimg.com/data5/SELLER/Default/2020/12/GY/DK/LM/59387089/400-point-solderless-breadboard-500x500.jpg",1)</f>
        <v/>
      </c>
      <c r="Q110" s="78" t="s">
        <v>1688</v>
      </c>
      <c r="R110" s="74"/>
      <c r="S110" s="75"/>
      <c r="T110" s="12"/>
      <c r="U110" s="11"/>
      <c r="V110" s="12">
        <v>1.0</v>
      </c>
      <c r="W110" s="576"/>
    </row>
    <row r="111" ht="40.5" customHeight="1">
      <c r="A111" s="11">
        <v>110.0</v>
      </c>
      <c r="B111" s="11" t="s">
        <v>173</v>
      </c>
      <c r="C111" s="11" t="s">
        <v>500</v>
      </c>
      <c r="D111" s="93" t="s">
        <v>501</v>
      </c>
      <c r="E111" s="215" t="s">
        <v>489</v>
      </c>
      <c r="F111" s="216">
        <v>10.0</v>
      </c>
      <c r="G111" s="11" t="s">
        <v>2073</v>
      </c>
      <c r="H111" s="216">
        <v>10.0</v>
      </c>
      <c r="I111" s="216">
        <v>200.0</v>
      </c>
      <c r="J111" s="11">
        <f t="shared" si="5"/>
        <v>2000</v>
      </c>
      <c r="K111" s="11" t="s">
        <v>178</v>
      </c>
      <c r="L111" s="93"/>
      <c r="M111" s="93" t="s">
        <v>1895</v>
      </c>
      <c r="N111" s="93" t="s">
        <v>493</v>
      </c>
      <c r="O111" s="238" t="s">
        <v>502</v>
      </c>
      <c r="P111" s="11" t="str">
        <f>IMAGE("https://1ohm.in/wp-content/uploads/2021/07/MB102-3.3V5V-Breadboard-Power-Supply-Module.png",1)</f>
        <v/>
      </c>
      <c r="Q111" s="78" t="s">
        <v>1688</v>
      </c>
      <c r="R111" s="74"/>
      <c r="S111" s="75"/>
      <c r="T111" s="12"/>
      <c r="U111" s="11"/>
      <c r="V111" s="12">
        <v>1.0</v>
      </c>
      <c r="W111" s="576"/>
    </row>
    <row r="112" ht="40.5" customHeight="1">
      <c r="A112" s="11">
        <v>111.0</v>
      </c>
      <c r="B112" s="11" t="s">
        <v>173</v>
      </c>
      <c r="C112" s="11" t="s">
        <v>504</v>
      </c>
      <c r="D112" s="93" t="s">
        <v>505</v>
      </c>
      <c r="E112" s="215" t="s">
        <v>489</v>
      </c>
      <c r="F112" s="216">
        <v>100.0</v>
      </c>
      <c r="G112" s="221" t="s">
        <v>2075</v>
      </c>
      <c r="H112" s="216">
        <v>100.0</v>
      </c>
      <c r="I112" s="216">
        <v>10.0</v>
      </c>
      <c r="J112" s="11">
        <f t="shared" si="5"/>
        <v>1000</v>
      </c>
      <c r="K112" s="11" t="s">
        <v>178</v>
      </c>
      <c r="L112" s="93"/>
      <c r="M112" s="93" t="s">
        <v>2074</v>
      </c>
      <c r="N112" s="93" t="s">
        <v>23</v>
      </c>
      <c r="O112" s="217" t="s">
        <v>506</v>
      </c>
      <c r="P112" s="11" t="str">
        <f>IMAGE("https://rukminim2.flixcart.com/image/832/832/ks243gw0/electronic-hobby-kit/x/f/2/2mm-pitch-female-burg-strip-40-pin-5-pcs-prime-intact-original-imag5pxpqjxcdsgh.jpeg?q=70",1)</f>
        <v/>
      </c>
      <c r="Q112" s="78" t="s">
        <v>1688</v>
      </c>
      <c r="R112" s="74"/>
      <c r="S112" s="75"/>
      <c r="T112" s="12"/>
      <c r="U112" s="11"/>
      <c r="V112" s="12">
        <v>1.0</v>
      </c>
      <c r="W112" s="576"/>
    </row>
    <row r="113" ht="40.5" customHeight="1">
      <c r="A113" s="11">
        <v>112.0</v>
      </c>
      <c r="B113" s="11" t="s">
        <v>173</v>
      </c>
      <c r="C113" s="11" t="s">
        <v>508</v>
      </c>
      <c r="D113" s="93" t="s">
        <v>509</v>
      </c>
      <c r="E113" s="215" t="s">
        <v>489</v>
      </c>
      <c r="F113" s="216">
        <v>50.0</v>
      </c>
      <c r="G113" s="221" t="s">
        <v>2076</v>
      </c>
      <c r="H113" s="216">
        <v>50.0</v>
      </c>
      <c r="I113" s="216">
        <v>15.0</v>
      </c>
      <c r="J113" s="11">
        <f t="shared" si="5"/>
        <v>750</v>
      </c>
      <c r="K113" s="11" t="s">
        <v>178</v>
      </c>
      <c r="L113" s="93"/>
      <c r="M113" s="93" t="s">
        <v>2074</v>
      </c>
      <c r="N113" s="93" t="s">
        <v>237</v>
      </c>
      <c r="O113" s="217" t="s">
        <v>510</v>
      </c>
      <c r="P113" s="11" t="str">
        <f>IMAGE("https://5.imimg.com/data5/OF/VW/IL/SELLER-9316309/burg-strips-500x500.jpg",1)</f>
        <v/>
      </c>
      <c r="Q113" s="78" t="s">
        <v>1688</v>
      </c>
      <c r="R113" s="74"/>
      <c r="S113" s="75"/>
      <c r="T113" s="12"/>
      <c r="U113" s="11"/>
      <c r="V113" s="12">
        <v>1.0</v>
      </c>
      <c r="W113" s="576"/>
    </row>
    <row r="114" ht="40.5" customHeight="1">
      <c r="A114" s="11">
        <v>113.0</v>
      </c>
      <c r="B114" s="11" t="s">
        <v>173</v>
      </c>
      <c r="C114" s="11" t="s">
        <v>512</v>
      </c>
      <c r="D114" s="93" t="s">
        <v>513</v>
      </c>
      <c r="E114" s="215" t="s">
        <v>489</v>
      </c>
      <c r="F114" s="216">
        <v>50.0</v>
      </c>
      <c r="G114" s="221" t="s">
        <v>2077</v>
      </c>
      <c r="H114" s="216">
        <v>50.0</v>
      </c>
      <c r="I114" s="216">
        <v>20.0</v>
      </c>
      <c r="J114" s="11">
        <f t="shared" si="5"/>
        <v>1000</v>
      </c>
      <c r="K114" s="11" t="s">
        <v>178</v>
      </c>
      <c r="L114" s="93"/>
      <c r="M114" s="93" t="s">
        <v>2074</v>
      </c>
      <c r="N114" s="93" t="s">
        <v>237</v>
      </c>
      <c r="O114" s="217" t="s">
        <v>514</v>
      </c>
      <c r="P114" s="11" t="str">
        <f>IMAGE("https://www.tomsonelectronics.com/cdn/shop/products/40X1MALERAI_2048x2048.jpg?v=1602835171",1)</f>
        <v/>
      </c>
      <c r="Q114" s="78" t="s">
        <v>1688</v>
      </c>
      <c r="R114" s="74"/>
      <c r="S114" s="75"/>
      <c r="T114" s="12"/>
      <c r="U114" s="11"/>
      <c r="V114" s="12">
        <v>1.0</v>
      </c>
      <c r="W114" s="576"/>
    </row>
    <row r="115" ht="40.5" customHeight="1">
      <c r="A115" s="11">
        <v>114.0</v>
      </c>
      <c r="B115" s="11" t="s">
        <v>173</v>
      </c>
      <c r="C115" s="239" t="s">
        <v>521</v>
      </c>
      <c r="D115" s="240" t="s">
        <v>522</v>
      </c>
      <c r="E115" s="215" t="s">
        <v>489</v>
      </c>
      <c r="F115" s="216">
        <v>100.0</v>
      </c>
      <c r="G115" s="11" t="s">
        <v>1844</v>
      </c>
      <c r="H115" s="216">
        <v>100.0</v>
      </c>
      <c r="I115" s="216">
        <v>5.0</v>
      </c>
      <c r="J115" s="11">
        <f t="shared" si="5"/>
        <v>500</v>
      </c>
      <c r="K115" s="11" t="s">
        <v>178</v>
      </c>
      <c r="L115" s="93" t="s">
        <v>65</v>
      </c>
      <c r="M115" s="93" t="s">
        <v>2078</v>
      </c>
      <c r="N115" s="93" t="s">
        <v>1943</v>
      </c>
      <c r="O115" s="217" t="s">
        <v>519</v>
      </c>
      <c r="P115" s="11" t="str">
        <f>IMAGE("https://projectpoint.in/image/cache/catalog/102-672x504.jpg",1)</f>
        <v/>
      </c>
      <c r="Q115" s="78" t="s">
        <v>1688</v>
      </c>
      <c r="R115" s="74"/>
      <c r="S115" s="75"/>
      <c r="T115" s="12"/>
      <c r="U115" s="11"/>
      <c r="V115" s="12">
        <v>1.0</v>
      </c>
      <c r="W115" s="576"/>
    </row>
    <row r="116" ht="40.5" customHeight="1">
      <c r="A116" s="11">
        <v>115.0</v>
      </c>
      <c r="B116" s="11" t="s">
        <v>173</v>
      </c>
      <c r="C116" s="239" t="s">
        <v>516</v>
      </c>
      <c r="D116" s="240" t="s">
        <v>517</v>
      </c>
      <c r="E116" s="215" t="s">
        <v>489</v>
      </c>
      <c r="F116" s="216">
        <v>100.0</v>
      </c>
      <c r="G116" s="11" t="s">
        <v>1844</v>
      </c>
      <c r="H116" s="216">
        <v>100.0</v>
      </c>
      <c r="I116" s="216">
        <v>5.0</v>
      </c>
      <c r="J116" s="11">
        <f t="shared" si="5"/>
        <v>500</v>
      </c>
      <c r="K116" s="11" t="s">
        <v>178</v>
      </c>
      <c r="L116" s="93" t="s">
        <v>65</v>
      </c>
      <c r="M116" s="93" t="s">
        <v>2078</v>
      </c>
      <c r="N116" s="93" t="s">
        <v>1943</v>
      </c>
      <c r="O116" s="217" t="s">
        <v>523</v>
      </c>
      <c r="P116" s="11" t="str">
        <f t="shared" ref="P116:P117" si="6">IMAGE("https://projectpoint.in/image/cache/catalog/103-672x504.jpg",1)</f>
        <v/>
      </c>
      <c r="Q116" s="78" t="s">
        <v>1688</v>
      </c>
      <c r="R116" s="74"/>
      <c r="S116" s="75"/>
      <c r="T116" s="12"/>
      <c r="U116" s="11"/>
      <c r="V116" s="12">
        <v>1.0</v>
      </c>
      <c r="W116" s="576"/>
    </row>
    <row r="117" ht="40.5" customHeight="1">
      <c r="A117" s="11">
        <v>116.0</v>
      </c>
      <c r="B117" s="11" t="s">
        <v>173</v>
      </c>
      <c r="C117" s="239" t="s">
        <v>529</v>
      </c>
      <c r="D117" s="240" t="s">
        <v>530</v>
      </c>
      <c r="E117" s="215" t="s">
        <v>489</v>
      </c>
      <c r="F117" s="216">
        <v>100.0</v>
      </c>
      <c r="G117" s="11" t="s">
        <v>1845</v>
      </c>
      <c r="H117" s="216">
        <v>100.0</v>
      </c>
      <c r="I117" s="216">
        <v>5.0</v>
      </c>
      <c r="J117" s="11">
        <f t="shared" si="5"/>
        <v>500</v>
      </c>
      <c r="K117" s="11" t="s">
        <v>178</v>
      </c>
      <c r="L117" s="93" t="s">
        <v>65</v>
      </c>
      <c r="M117" s="93" t="s">
        <v>2078</v>
      </c>
      <c r="N117" s="93" t="s">
        <v>1943</v>
      </c>
      <c r="O117" s="217" t="s">
        <v>527</v>
      </c>
      <c r="P117" s="11" t="str">
        <f t="shared" si="6"/>
        <v/>
      </c>
      <c r="Q117" s="78" t="s">
        <v>1688</v>
      </c>
      <c r="R117" s="74"/>
      <c r="S117" s="75"/>
      <c r="T117" s="12"/>
      <c r="U117" s="11"/>
      <c r="V117" s="12">
        <v>1.0</v>
      </c>
      <c r="W117" s="576"/>
    </row>
    <row r="118" ht="40.5" customHeight="1">
      <c r="A118" s="11">
        <v>117.0</v>
      </c>
      <c r="B118" s="11" t="s">
        <v>173</v>
      </c>
      <c r="C118" s="239" t="s">
        <v>525</v>
      </c>
      <c r="D118" s="240" t="s">
        <v>526</v>
      </c>
      <c r="E118" s="215" t="s">
        <v>489</v>
      </c>
      <c r="F118" s="216">
        <v>100.0</v>
      </c>
      <c r="G118" s="11" t="s">
        <v>1845</v>
      </c>
      <c r="H118" s="216">
        <v>100.0</v>
      </c>
      <c r="I118" s="216">
        <v>5.0</v>
      </c>
      <c r="J118" s="11">
        <f t="shared" si="5"/>
        <v>500</v>
      </c>
      <c r="K118" s="11" t="s">
        <v>178</v>
      </c>
      <c r="L118" s="93" t="s">
        <v>65</v>
      </c>
      <c r="M118" s="93" t="s">
        <v>2078</v>
      </c>
      <c r="N118" s="93" t="s">
        <v>1943</v>
      </c>
      <c r="O118" s="217" t="s">
        <v>531</v>
      </c>
      <c r="P118" s="11" t="str">
        <f t="shared" ref="P118:P120" si="7">IMAGE("https://www.ato.com/content/images/thumbs/0011952_01f-50v-disc-ceramic-capacitor_550.jpeg",1)</f>
        <v/>
      </c>
      <c r="Q118" s="78" t="s">
        <v>1688</v>
      </c>
      <c r="R118" s="74"/>
      <c r="S118" s="75"/>
      <c r="T118" s="12"/>
      <c r="U118" s="11"/>
      <c r="V118" s="12">
        <v>1.0</v>
      </c>
      <c r="W118" s="576"/>
    </row>
    <row r="119" ht="40.5" customHeight="1">
      <c r="A119" s="11">
        <v>118.0</v>
      </c>
      <c r="B119" s="11" t="s">
        <v>173</v>
      </c>
      <c r="C119" s="239" t="s">
        <v>565</v>
      </c>
      <c r="D119" s="240" t="s">
        <v>566</v>
      </c>
      <c r="E119" s="215" t="s">
        <v>489</v>
      </c>
      <c r="F119" s="216">
        <v>50.0</v>
      </c>
      <c r="G119" s="11" t="s">
        <v>1846</v>
      </c>
      <c r="H119" s="216">
        <v>50.0</v>
      </c>
      <c r="I119" s="216">
        <v>10.0</v>
      </c>
      <c r="J119" s="11">
        <f t="shared" si="5"/>
        <v>500</v>
      </c>
      <c r="K119" s="11" t="s">
        <v>178</v>
      </c>
      <c r="L119" s="93" t="s">
        <v>65</v>
      </c>
      <c r="M119" s="93" t="s">
        <v>2078</v>
      </c>
      <c r="N119" s="93" t="s">
        <v>1943</v>
      </c>
      <c r="O119" s="217" t="s">
        <v>535</v>
      </c>
      <c r="P119" s="11" t="str">
        <f t="shared" si="7"/>
        <v/>
      </c>
      <c r="Q119" s="78" t="s">
        <v>1688</v>
      </c>
      <c r="R119" s="74"/>
      <c r="S119" s="75"/>
      <c r="T119" s="12"/>
      <c r="U119" s="11"/>
      <c r="V119" s="12">
        <v>1.0</v>
      </c>
      <c r="W119" s="576"/>
    </row>
    <row r="120" ht="40.5" customHeight="1">
      <c r="A120" s="11">
        <v>119.0</v>
      </c>
      <c r="B120" s="11" t="s">
        <v>173</v>
      </c>
      <c r="C120" s="239" t="s">
        <v>573</v>
      </c>
      <c r="D120" s="240" t="s">
        <v>574</v>
      </c>
      <c r="E120" s="215" t="s">
        <v>489</v>
      </c>
      <c r="F120" s="216">
        <v>50.0</v>
      </c>
      <c r="G120" s="11" t="s">
        <v>1846</v>
      </c>
      <c r="H120" s="216">
        <v>50.0</v>
      </c>
      <c r="I120" s="216">
        <v>15.0</v>
      </c>
      <c r="J120" s="11">
        <f t="shared" si="5"/>
        <v>750</v>
      </c>
      <c r="K120" s="11" t="s">
        <v>178</v>
      </c>
      <c r="L120" s="93" t="s">
        <v>65</v>
      </c>
      <c r="M120" s="93" t="s">
        <v>2078</v>
      </c>
      <c r="N120" s="93" t="s">
        <v>1943</v>
      </c>
      <c r="O120" s="217" t="s">
        <v>539</v>
      </c>
      <c r="P120" s="11" t="str">
        <f t="shared" si="7"/>
        <v/>
      </c>
      <c r="Q120" s="78" t="s">
        <v>1688</v>
      </c>
      <c r="R120" s="74"/>
      <c r="S120" s="75"/>
      <c r="T120" s="12"/>
      <c r="U120" s="11"/>
      <c r="V120" s="12">
        <v>1.0</v>
      </c>
      <c r="W120" s="576"/>
    </row>
    <row r="121" ht="40.5" customHeight="1">
      <c r="A121" s="11">
        <v>120.0</v>
      </c>
      <c r="B121" s="11" t="s">
        <v>173</v>
      </c>
      <c r="C121" s="239" t="s">
        <v>533</v>
      </c>
      <c r="D121" s="240" t="s">
        <v>534</v>
      </c>
      <c r="E121" s="215" t="s">
        <v>489</v>
      </c>
      <c r="F121" s="216">
        <v>20.0</v>
      </c>
      <c r="G121" s="11" t="s">
        <v>1850</v>
      </c>
      <c r="H121" s="216">
        <v>20.0</v>
      </c>
      <c r="I121" s="216">
        <v>20.0</v>
      </c>
      <c r="J121" s="11">
        <f t="shared" si="5"/>
        <v>400</v>
      </c>
      <c r="K121" s="11" t="s">
        <v>178</v>
      </c>
      <c r="L121" s="93" t="s">
        <v>65</v>
      </c>
      <c r="M121" s="93" t="s">
        <v>2078</v>
      </c>
      <c r="N121" s="93" t="s">
        <v>1943</v>
      </c>
      <c r="O121" s="217" t="s">
        <v>543</v>
      </c>
      <c r="P121" s="11" t="str">
        <f>IMAGE("https://projectpoint.in/image/cache/catalog/22uf-450v-672x504.jpg",1)</f>
        <v/>
      </c>
      <c r="Q121" s="78" t="s">
        <v>1688</v>
      </c>
      <c r="R121" s="74"/>
      <c r="S121" s="75"/>
      <c r="T121" s="12"/>
      <c r="U121" s="11"/>
      <c r="V121" s="12">
        <v>1.0</v>
      </c>
      <c r="W121" s="576"/>
    </row>
    <row r="122" ht="40.5" customHeight="1">
      <c r="A122" s="11">
        <v>121.0</v>
      </c>
      <c r="B122" s="11" t="s">
        <v>173</v>
      </c>
      <c r="C122" s="239" t="s">
        <v>549</v>
      </c>
      <c r="D122" s="240" t="s">
        <v>550</v>
      </c>
      <c r="E122" s="215" t="s">
        <v>489</v>
      </c>
      <c r="F122" s="216">
        <v>20.0</v>
      </c>
      <c r="G122" s="11" t="s">
        <v>1850</v>
      </c>
      <c r="H122" s="216">
        <v>20.0</v>
      </c>
      <c r="I122" s="216">
        <v>30.0</v>
      </c>
      <c r="J122" s="11">
        <f t="shared" si="5"/>
        <v>600</v>
      </c>
      <c r="K122" s="11" t="s">
        <v>178</v>
      </c>
      <c r="L122" s="93" t="s">
        <v>65</v>
      </c>
      <c r="M122" s="93" t="s">
        <v>2078</v>
      </c>
      <c r="N122" s="93" t="s">
        <v>1943</v>
      </c>
      <c r="O122" s="217" t="s">
        <v>547</v>
      </c>
      <c r="P122" s="11" t="str">
        <f>IMAGE("https://res.cloudinary.com/rsc/image/upload/b_rgb:FFFFFF,c_pad,dpr_1.0,f_auto,q_auto,w_700/c_pad,w_700/F5201539-01",1)</f>
        <v/>
      </c>
      <c r="Q122" s="78" t="s">
        <v>1688</v>
      </c>
      <c r="R122" s="74"/>
      <c r="S122" s="75"/>
      <c r="T122" s="12"/>
      <c r="U122" s="11"/>
      <c r="V122" s="12">
        <v>1.0</v>
      </c>
      <c r="W122" s="576"/>
    </row>
    <row r="123" ht="40.5" customHeight="1">
      <c r="A123" s="11">
        <v>122.0</v>
      </c>
      <c r="B123" s="11" t="s">
        <v>173</v>
      </c>
      <c r="C123" s="239" t="s">
        <v>569</v>
      </c>
      <c r="D123" s="240" t="s">
        <v>570</v>
      </c>
      <c r="E123" s="215" t="s">
        <v>489</v>
      </c>
      <c r="F123" s="216">
        <v>50.0</v>
      </c>
      <c r="G123" s="11" t="s">
        <v>1851</v>
      </c>
      <c r="H123" s="216">
        <v>50.0</v>
      </c>
      <c r="I123" s="216">
        <v>10.0</v>
      </c>
      <c r="J123" s="11">
        <f t="shared" si="5"/>
        <v>500</v>
      </c>
      <c r="K123" s="11" t="s">
        <v>178</v>
      </c>
      <c r="L123" s="93" t="s">
        <v>65</v>
      </c>
      <c r="M123" s="93" t="s">
        <v>2078</v>
      </c>
      <c r="N123" s="93" t="s">
        <v>1943</v>
      </c>
      <c r="O123" s="217" t="s">
        <v>551</v>
      </c>
      <c r="P123" s="11" t="str">
        <f>IMAGE("https://sharvielectronics.com/wp-content/uploads/2020/02/2.2uF-50V-Electrolytic-Capacitor.jpg",1)</f>
        <v/>
      </c>
      <c r="Q123" s="78" t="s">
        <v>1688</v>
      </c>
      <c r="R123" s="74"/>
      <c r="S123" s="75"/>
      <c r="T123" s="12"/>
      <c r="U123" s="11"/>
      <c r="V123" s="12">
        <v>1.0</v>
      </c>
      <c r="W123" s="576"/>
    </row>
    <row r="124" ht="40.5" customHeight="1">
      <c r="A124" s="11">
        <v>123.0</v>
      </c>
      <c r="B124" s="11" t="s">
        <v>173</v>
      </c>
      <c r="C124" s="239" t="s">
        <v>537</v>
      </c>
      <c r="D124" s="240" t="s">
        <v>538</v>
      </c>
      <c r="E124" s="215" t="s">
        <v>489</v>
      </c>
      <c r="F124" s="216">
        <v>50.0</v>
      </c>
      <c r="G124" s="11" t="s">
        <v>1851</v>
      </c>
      <c r="H124" s="216">
        <v>50.0</v>
      </c>
      <c r="I124" s="216">
        <v>15.0</v>
      </c>
      <c r="J124" s="11">
        <f t="shared" si="5"/>
        <v>750</v>
      </c>
      <c r="K124" s="11" t="s">
        <v>178</v>
      </c>
      <c r="L124" s="93" t="s">
        <v>65</v>
      </c>
      <c r="M124" s="93" t="s">
        <v>2078</v>
      </c>
      <c r="N124" s="93" t="s">
        <v>1943</v>
      </c>
      <c r="O124" s="217" t="s">
        <v>555</v>
      </c>
      <c r="P124" s="11" t="str">
        <f>IMAGE("https://projectpoint.in/image/cache/catalog/22uf-450v-672x504.jpg",1)</f>
        <v/>
      </c>
      <c r="Q124" s="78" t="s">
        <v>1688</v>
      </c>
      <c r="R124" s="79"/>
      <c r="S124" s="80"/>
      <c r="T124" s="12"/>
      <c r="U124" s="11"/>
      <c r="V124" s="12">
        <v>1.0</v>
      </c>
      <c r="W124" s="576"/>
    </row>
    <row r="125" ht="40.5" customHeight="1">
      <c r="A125" s="11">
        <v>124.0</v>
      </c>
      <c r="B125" s="11" t="s">
        <v>173</v>
      </c>
      <c r="C125" s="239" t="s">
        <v>553</v>
      </c>
      <c r="D125" s="240" t="s">
        <v>554</v>
      </c>
      <c r="E125" s="215" t="s">
        <v>489</v>
      </c>
      <c r="F125" s="216">
        <v>20.0</v>
      </c>
      <c r="G125" s="11" t="s">
        <v>1852</v>
      </c>
      <c r="H125" s="216">
        <v>20.0</v>
      </c>
      <c r="I125" s="216">
        <v>20.0</v>
      </c>
      <c r="J125" s="11">
        <f t="shared" si="5"/>
        <v>400</v>
      </c>
      <c r="K125" s="11" t="s">
        <v>178</v>
      </c>
      <c r="L125" s="93" t="s">
        <v>65</v>
      </c>
      <c r="M125" s="93" t="s">
        <v>2078</v>
      </c>
      <c r="N125" s="93" t="s">
        <v>1943</v>
      </c>
      <c r="O125" s="217" t="s">
        <v>559</v>
      </c>
      <c r="P125" s="11" t="str">
        <f>IMAGE("https://5.imimg.com/data5/SP/GM/AD/SELLER-84581978/keltron-2200uf-35-v-electrolytic-capacitors-500x500.jpg",1)</f>
        <v/>
      </c>
      <c r="Q125" s="78" t="s">
        <v>1688</v>
      </c>
      <c r="R125" s="79"/>
      <c r="S125" s="80"/>
      <c r="T125" s="12"/>
      <c r="U125" s="11"/>
      <c r="V125" s="12">
        <v>1.0</v>
      </c>
      <c r="W125" s="576"/>
    </row>
    <row r="126" ht="40.5" customHeight="1">
      <c r="A126" s="11">
        <v>125.0</v>
      </c>
      <c r="B126" s="11" t="s">
        <v>173</v>
      </c>
      <c r="C126" s="239" t="s">
        <v>577</v>
      </c>
      <c r="D126" s="240" t="s">
        <v>578</v>
      </c>
      <c r="E126" s="215" t="s">
        <v>489</v>
      </c>
      <c r="F126" s="216">
        <v>20.0</v>
      </c>
      <c r="G126" s="11" t="s">
        <v>1852</v>
      </c>
      <c r="H126" s="216">
        <v>20.0</v>
      </c>
      <c r="I126" s="216">
        <v>30.0</v>
      </c>
      <c r="J126" s="11">
        <f t="shared" si="5"/>
        <v>600</v>
      </c>
      <c r="K126" s="11" t="s">
        <v>178</v>
      </c>
      <c r="L126" s="93" t="s">
        <v>65</v>
      </c>
      <c r="M126" s="93" t="s">
        <v>2078</v>
      </c>
      <c r="N126" s="93" t="s">
        <v>1943</v>
      </c>
      <c r="O126" s="217" t="s">
        <v>563</v>
      </c>
      <c r="P126" s="11" t="str">
        <f>IMAGE("https://5.imimg.com/data5/QO/AU/MY-77080729/uge-electrolytic-capacitors-500x375-500x500.jpg",1)</f>
        <v/>
      </c>
      <c r="Q126" s="78" t="s">
        <v>1688</v>
      </c>
      <c r="R126" s="74"/>
      <c r="S126" s="75"/>
      <c r="T126" s="12"/>
      <c r="U126" s="11"/>
      <c r="V126" s="12">
        <v>1.0</v>
      </c>
      <c r="W126" s="576"/>
    </row>
    <row r="127" ht="40.5" customHeight="1">
      <c r="A127" s="11">
        <v>126.0</v>
      </c>
      <c r="B127" s="11" t="s">
        <v>173</v>
      </c>
      <c r="C127" s="239" t="s">
        <v>541</v>
      </c>
      <c r="D127" s="240" t="s">
        <v>542</v>
      </c>
      <c r="E127" s="215" t="s">
        <v>489</v>
      </c>
      <c r="F127" s="216">
        <v>100.0</v>
      </c>
      <c r="G127" s="11" t="s">
        <v>1853</v>
      </c>
      <c r="H127" s="216">
        <v>100.0</v>
      </c>
      <c r="I127" s="216">
        <v>5.0</v>
      </c>
      <c r="J127" s="11">
        <f t="shared" si="5"/>
        <v>500</v>
      </c>
      <c r="K127" s="11" t="s">
        <v>178</v>
      </c>
      <c r="L127" s="93" t="s">
        <v>65</v>
      </c>
      <c r="M127" s="93" t="s">
        <v>2078</v>
      </c>
      <c r="N127" s="93" t="s">
        <v>1943</v>
      </c>
      <c r="O127" s="217" t="s">
        <v>567</v>
      </c>
      <c r="P127" s="11"/>
      <c r="Q127" s="78" t="s">
        <v>1688</v>
      </c>
      <c r="R127" s="79"/>
      <c r="S127" s="80"/>
      <c r="T127" s="12"/>
      <c r="U127" s="11"/>
      <c r="V127" s="12">
        <v>1.0</v>
      </c>
      <c r="W127" s="576"/>
    </row>
    <row r="128" ht="40.5" customHeight="1">
      <c r="A128" s="11">
        <v>127.0</v>
      </c>
      <c r="B128" s="11" t="s">
        <v>173</v>
      </c>
      <c r="C128" s="239" t="s">
        <v>557</v>
      </c>
      <c r="D128" s="240" t="s">
        <v>558</v>
      </c>
      <c r="E128" s="215" t="s">
        <v>489</v>
      </c>
      <c r="F128" s="216">
        <v>100.0</v>
      </c>
      <c r="G128" s="11" t="s">
        <v>1853</v>
      </c>
      <c r="H128" s="216">
        <v>100.0</v>
      </c>
      <c r="I128" s="216">
        <v>5.0</v>
      </c>
      <c r="J128" s="11">
        <f t="shared" si="5"/>
        <v>500</v>
      </c>
      <c r="K128" s="11" t="s">
        <v>178</v>
      </c>
      <c r="L128" s="93" t="s">
        <v>65</v>
      </c>
      <c r="M128" s="93" t="s">
        <v>2078</v>
      </c>
      <c r="N128" s="93" t="s">
        <v>1943</v>
      </c>
      <c r="O128" s="217" t="s">
        <v>571</v>
      </c>
      <c r="P128" s="11" t="str">
        <f>IMAGE("https://5.imimg.com/data5/SP/GM/AD/SELLER-84581978/keltron-2200uf-35-v-electrolytic-capacitors-500x500.jpg",1)</f>
        <v/>
      </c>
      <c r="Q128" s="78" t="s">
        <v>1688</v>
      </c>
      <c r="R128" s="79"/>
      <c r="S128" s="80"/>
      <c r="T128" s="12"/>
      <c r="U128" s="11"/>
      <c r="V128" s="12">
        <v>1.0</v>
      </c>
      <c r="W128" s="576"/>
    </row>
    <row r="129" ht="40.5" customHeight="1">
      <c r="A129" s="11">
        <v>128.0</v>
      </c>
      <c r="B129" s="11" t="s">
        <v>173</v>
      </c>
      <c r="C129" s="239" t="s">
        <v>581</v>
      </c>
      <c r="D129" s="240" t="s">
        <v>582</v>
      </c>
      <c r="E129" s="215" t="s">
        <v>489</v>
      </c>
      <c r="F129" s="216">
        <v>50.0</v>
      </c>
      <c r="G129" s="11" t="s">
        <v>1854</v>
      </c>
      <c r="H129" s="216">
        <v>50.0</v>
      </c>
      <c r="I129" s="216">
        <v>10.0</v>
      </c>
      <c r="J129" s="11">
        <f t="shared" si="5"/>
        <v>500</v>
      </c>
      <c r="K129" s="11" t="s">
        <v>178</v>
      </c>
      <c r="L129" s="93" t="s">
        <v>65</v>
      </c>
      <c r="M129" s="93" t="s">
        <v>2078</v>
      </c>
      <c r="N129" s="93" t="s">
        <v>1943</v>
      </c>
      <c r="O129" s="217" t="s">
        <v>575</v>
      </c>
      <c r="P129" s="11" t="str">
        <f>IMAGE("https://5.imimg.com/data5/JL/JS/ZA/SELLER-21614932/4-7uf-400v-keltron-capacitor-500x500.jpg",1)</f>
        <v/>
      </c>
      <c r="Q129" s="78" t="s">
        <v>1688</v>
      </c>
      <c r="R129" s="79"/>
      <c r="S129" s="80"/>
      <c r="T129" s="12"/>
      <c r="U129" s="11"/>
      <c r="V129" s="12">
        <v>1.0</v>
      </c>
      <c r="W129" s="576"/>
    </row>
    <row r="130" ht="40.5" customHeight="1">
      <c r="A130" s="11">
        <v>129.0</v>
      </c>
      <c r="B130" s="11" t="s">
        <v>173</v>
      </c>
      <c r="C130" s="239" t="s">
        <v>545</v>
      </c>
      <c r="D130" s="240" t="s">
        <v>546</v>
      </c>
      <c r="E130" s="215" t="s">
        <v>489</v>
      </c>
      <c r="F130" s="216">
        <v>50.0</v>
      </c>
      <c r="G130" s="11" t="s">
        <v>1854</v>
      </c>
      <c r="H130" s="216">
        <v>50.0</v>
      </c>
      <c r="I130" s="216">
        <v>15.0</v>
      </c>
      <c r="J130" s="11">
        <f t="shared" si="5"/>
        <v>750</v>
      </c>
      <c r="K130" s="11" t="s">
        <v>178</v>
      </c>
      <c r="L130" s="93" t="s">
        <v>65</v>
      </c>
      <c r="M130" s="93" t="s">
        <v>2078</v>
      </c>
      <c r="N130" s="93" t="s">
        <v>1943</v>
      </c>
      <c r="O130" s="217" t="s">
        <v>579</v>
      </c>
      <c r="P130" s="11" t="str">
        <f>IMAGE("https://projectpoint.in/image/cache/catalog/47uf-250v-672x504.jpg",1)</f>
        <v/>
      </c>
      <c r="Q130" s="78" t="s">
        <v>1688</v>
      </c>
      <c r="R130" s="74"/>
      <c r="S130" s="75"/>
      <c r="T130" s="12"/>
      <c r="U130" s="11"/>
      <c r="V130" s="12">
        <v>1.0</v>
      </c>
      <c r="W130" s="576"/>
    </row>
    <row r="131" ht="40.5" customHeight="1">
      <c r="A131" s="11">
        <v>130.0</v>
      </c>
      <c r="B131" s="11" t="s">
        <v>173</v>
      </c>
      <c r="C131" s="239" t="s">
        <v>561</v>
      </c>
      <c r="D131" s="240" t="s">
        <v>562</v>
      </c>
      <c r="E131" s="215" t="s">
        <v>489</v>
      </c>
      <c r="F131" s="216">
        <v>20.0</v>
      </c>
      <c r="G131" s="11" t="s">
        <v>1855</v>
      </c>
      <c r="H131" s="216">
        <v>20.0</v>
      </c>
      <c r="I131" s="216">
        <v>20.0</v>
      </c>
      <c r="J131" s="11">
        <f t="shared" si="5"/>
        <v>400</v>
      </c>
      <c r="K131" s="11" t="s">
        <v>178</v>
      </c>
      <c r="L131" s="93" t="s">
        <v>65</v>
      </c>
      <c r="M131" s="93" t="s">
        <v>2078</v>
      </c>
      <c r="N131" s="93" t="s">
        <v>1943</v>
      </c>
      <c r="O131" s="217" t="s">
        <v>583</v>
      </c>
      <c r="P131" s="11" t="str">
        <f>IMAGE("https://5.imimg.com/data5/QO/AU/MY-77080729/uge-electrolytic-capacitors-500x375-500x500.jpg",1)</f>
        <v/>
      </c>
      <c r="Q131" s="78" t="s">
        <v>1688</v>
      </c>
      <c r="R131" s="74"/>
      <c r="S131" s="75"/>
      <c r="T131" s="12"/>
      <c r="U131" s="11"/>
      <c r="V131" s="12">
        <v>1.0</v>
      </c>
      <c r="W131" s="576"/>
    </row>
    <row r="132" ht="40.5" customHeight="1">
      <c r="A132" s="11">
        <v>131.0</v>
      </c>
      <c r="B132" s="11" t="s">
        <v>173</v>
      </c>
      <c r="C132" s="11" t="s">
        <v>585</v>
      </c>
      <c r="D132" s="93" t="s">
        <v>1860</v>
      </c>
      <c r="E132" s="215" t="s">
        <v>489</v>
      </c>
      <c r="F132" s="216">
        <v>20.0</v>
      </c>
      <c r="G132" s="11" t="s">
        <v>1861</v>
      </c>
      <c r="H132" s="216">
        <v>20.0</v>
      </c>
      <c r="I132" s="216">
        <v>25.0</v>
      </c>
      <c r="J132" s="11">
        <f t="shared" si="5"/>
        <v>500</v>
      </c>
      <c r="K132" s="11" t="s">
        <v>178</v>
      </c>
      <c r="L132" s="93"/>
      <c r="M132" s="93" t="s">
        <v>2078</v>
      </c>
      <c r="N132" s="93" t="s">
        <v>1944</v>
      </c>
      <c r="O132" s="217" t="s">
        <v>587</v>
      </c>
      <c r="P132" s="11" t="str">
        <f>IMAGE("https://www.electronicscomp.com/image/cache/catalog/cd4033-5-stage-johnson-decade-counter-ic-dip-16-800x800.jpg",1)</f>
        <v/>
      </c>
      <c r="Q132" s="78" t="s">
        <v>1688</v>
      </c>
      <c r="R132" s="74"/>
      <c r="S132" s="75"/>
      <c r="T132" s="12"/>
      <c r="U132" s="11"/>
      <c r="V132" s="12">
        <v>1.0</v>
      </c>
      <c r="W132" s="576"/>
    </row>
    <row r="133" ht="40.5" customHeight="1">
      <c r="A133" s="11">
        <v>132.0</v>
      </c>
      <c r="B133" s="11" t="s">
        <v>173</v>
      </c>
      <c r="C133" s="11" t="s">
        <v>589</v>
      </c>
      <c r="D133" s="93" t="s">
        <v>590</v>
      </c>
      <c r="E133" s="215" t="s">
        <v>489</v>
      </c>
      <c r="F133" s="216">
        <v>20.0</v>
      </c>
      <c r="G133" s="11" t="s">
        <v>1842</v>
      </c>
      <c r="H133" s="216">
        <v>20.0</v>
      </c>
      <c r="I133" s="216">
        <v>5.0</v>
      </c>
      <c r="J133" s="11">
        <f t="shared" si="5"/>
        <v>100</v>
      </c>
      <c r="K133" s="11" t="s">
        <v>178</v>
      </c>
      <c r="L133" s="93"/>
      <c r="M133" s="93" t="s">
        <v>2078</v>
      </c>
      <c r="N133" s="93" t="s">
        <v>1945</v>
      </c>
      <c r="O133" s="243" t="s">
        <v>591</v>
      </c>
      <c r="P133" s="11" t="str">
        <f t="shared" ref="P133:P134" si="8">IMAGE("https://m.media-amazon.com/images/W/MEDIAX_792452-T2/images/I/41A+MQfyyEL.jpg",1)</f>
        <v/>
      </c>
      <c r="Q133" s="78" t="s">
        <v>1688</v>
      </c>
      <c r="R133" s="74"/>
      <c r="S133" s="75"/>
      <c r="T133" s="12"/>
      <c r="U133" s="11"/>
      <c r="V133" s="12">
        <v>1.0</v>
      </c>
      <c r="W133" s="576"/>
    </row>
    <row r="134" ht="40.5" customHeight="1">
      <c r="A134" s="11">
        <v>133.0</v>
      </c>
      <c r="B134" s="11" t="s">
        <v>173</v>
      </c>
      <c r="C134" s="11" t="s">
        <v>593</v>
      </c>
      <c r="D134" s="93" t="s">
        <v>594</v>
      </c>
      <c r="E134" s="215" t="s">
        <v>489</v>
      </c>
      <c r="F134" s="216">
        <v>20.0</v>
      </c>
      <c r="G134" s="11" t="s">
        <v>1842</v>
      </c>
      <c r="H134" s="216">
        <v>20.0</v>
      </c>
      <c r="I134" s="216">
        <v>5.0</v>
      </c>
      <c r="J134" s="11">
        <f t="shared" si="5"/>
        <v>100</v>
      </c>
      <c r="K134" s="11" t="s">
        <v>178</v>
      </c>
      <c r="L134" s="93"/>
      <c r="M134" s="93" t="s">
        <v>2078</v>
      </c>
      <c r="N134" s="93" t="s">
        <v>1945</v>
      </c>
      <c r="O134" s="217" t="s">
        <v>595</v>
      </c>
      <c r="P134" s="11" t="str">
        <f t="shared" si="8"/>
        <v/>
      </c>
      <c r="Q134" s="78" t="s">
        <v>1688</v>
      </c>
      <c r="R134" s="74"/>
      <c r="S134" s="75"/>
      <c r="T134" s="12"/>
      <c r="U134" s="11"/>
      <c r="V134" s="12">
        <v>1.0</v>
      </c>
      <c r="W134" s="576"/>
    </row>
    <row r="135" ht="40.5" customHeight="1">
      <c r="A135" s="11">
        <v>134.0</v>
      </c>
      <c r="B135" s="11" t="s">
        <v>173</v>
      </c>
      <c r="C135" s="11" t="s">
        <v>597</v>
      </c>
      <c r="D135" s="93" t="s">
        <v>1862</v>
      </c>
      <c r="E135" s="215" t="s">
        <v>489</v>
      </c>
      <c r="F135" s="216">
        <v>20.0</v>
      </c>
      <c r="G135" s="11" t="s">
        <v>1863</v>
      </c>
      <c r="H135" s="216">
        <v>20.0</v>
      </c>
      <c r="I135" s="216">
        <v>30.0</v>
      </c>
      <c r="J135" s="11">
        <f t="shared" si="5"/>
        <v>600</v>
      </c>
      <c r="K135" s="11" t="s">
        <v>178</v>
      </c>
      <c r="L135" s="93"/>
      <c r="M135" s="93" t="s">
        <v>2078</v>
      </c>
      <c r="N135" s="93" t="s">
        <v>1944</v>
      </c>
      <c r="O135" s="217" t="s">
        <v>600</v>
      </c>
      <c r="P135" s="11" t="str">
        <f>IMAGE("https://robu.in/wp-content/uploads/2018/11/LM358P-PDIP-8-High-Gain-Operational-Amplifier-Pack-of-5-ICs-9.jpg",1)</f>
        <v/>
      </c>
      <c r="Q135" s="78" t="s">
        <v>1688</v>
      </c>
      <c r="R135" s="74"/>
      <c r="S135" s="75"/>
      <c r="T135" s="12"/>
      <c r="U135" s="11"/>
      <c r="V135" s="12">
        <v>1.0</v>
      </c>
      <c r="W135" s="576"/>
    </row>
    <row r="136" ht="40.5" customHeight="1">
      <c r="A136" s="11">
        <v>135.0</v>
      </c>
      <c r="B136" s="11" t="s">
        <v>173</v>
      </c>
      <c r="C136" s="11" t="s">
        <v>602</v>
      </c>
      <c r="D136" s="93" t="s">
        <v>603</v>
      </c>
      <c r="E136" s="215" t="s">
        <v>489</v>
      </c>
      <c r="F136" s="216">
        <v>500.0</v>
      </c>
      <c r="G136" s="244" t="s">
        <v>2079</v>
      </c>
      <c r="H136" s="216">
        <v>500.0</v>
      </c>
      <c r="I136" s="216">
        <v>1.5</v>
      </c>
      <c r="J136" s="11">
        <f t="shared" si="5"/>
        <v>750</v>
      </c>
      <c r="K136" s="11" t="s">
        <v>178</v>
      </c>
      <c r="L136" s="93"/>
      <c r="M136" s="93" t="s">
        <v>2078</v>
      </c>
      <c r="N136" s="93" t="s">
        <v>1946</v>
      </c>
      <c r="O136" s="217" t="s">
        <v>604</v>
      </c>
      <c r="P136" s="11" t="str">
        <f>IMAGE("https://rukminim2.flixcart.com/image/832/832/xif0q/electronic-hobby-kit/d/o/s/50-pcs-blue-led-5mm-kitsguru-original-imaghfqbjbn4hshz.jpeg?q=70",1)</f>
        <v/>
      </c>
      <c r="Q136" s="78" t="s">
        <v>1688</v>
      </c>
      <c r="R136" s="79"/>
      <c r="S136" s="80"/>
      <c r="T136" s="12"/>
      <c r="U136" s="11"/>
      <c r="V136" s="12">
        <v>1.0</v>
      </c>
      <c r="W136" s="576"/>
    </row>
    <row r="137" ht="40.5" customHeight="1">
      <c r="A137" s="11">
        <v>136.0</v>
      </c>
      <c r="B137" s="11" t="s">
        <v>173</v>
      </c>
      <c r="C137" s="11" t="s">
        <v>606</v>
      </c>
      <c r="D137" s="93" t="s">
        <v>607</v>
      </c>
      <c r="E137" s="215" t="s">
        <v>489</v>
      </c>
      <c r="F137" s="216">
        <v>500.0</v>
      </c>
      <c r="G137" s="244" t="s">
        <v>2080</v>
      </c>
      <c r="H137" s="216">
        <v>500.0</v>
      </c>
      <c r="I137" s="216">
        <v>1.5</v>
      </c>
      <c r="J137" s="11">
        <f t="shared" si="5"/>
        <v>750</v>
      </c>
      <c r="K137" s="11" t="s">
        <v>178</v>
      </c>
      <c r="L137" s="93"/>
      <c r="M137" s="93" t="s">
        <v>2078</v>
      </c>
      <c r="N137" s="93" t="s">
        <v>1946</v>
      </c>
      <c r="O137" s="217"/>
      <c r="P137" s="11" t="str">
        <f>IMAGE("https://rukminim2.flixcart.com/image/832/832/krz97rk0/electronic-hobby-kit/r/p/r/5mm-green-led-light-emitting-diode-highlight-for-arduino-pack-of-original-imag5n63ad6pnxqe.jpeg?q=70", 1)</f>
        <v/>
      </c>
      <c r="Q137" s="78" t="s">
        <v>1688</v>
      </c>
      <c r="R137" s="79"/>
      <c r="S137" s="80"/>
      <c r="T137" s="12"/>
      <c r="U137" s="11"/>
      <c r="V137" s="12">
        <v>1.0</v>
      </c>
      <c r="W137" s="576"/>
    </row>
    <row r="138" ht="40.5" customHeight="1">
      <c r="A138" s="11">
        <v>137.0</v>
      </c>
      <c r="B138" s="11" t="s">
        <v>173</v>
      </c>
      <c r="C138" s="11" t="s">
        <v>609</v>
      </c>
      <c r="D138" s="93" t="s">
        <v>610</v>
      </c>
      <c r="E138" s="215" t="s">
        <v>489</v>
      </c>
      <c r="F138" s="216">
        <v>500.0</v>
      </c>
      <c r="G138" s="244" t="s">
        <v>2081</v>
      </c>
      <c r="H138" s="216">
        <v>500.0</v>
      </c>
      <c r="I138" s="216">
        <v>1.5</v>
      </c>
      <c r="J138" s="11">
        <f t="shared" si="5"/>
        <v>750</v>
      </c>
      <c r="K138" s="11" t="s">
        <v>178</v>
      </c>
      <c r="L138" s="93"/>
      <c r="M138" s="93" t="s">
        <v>2078</v>
      </c>
      <c r="N138" s="93" t="s">
        <v>1946</v>
      </c>
      <c r="O138" s="217" t="s">
        <v>611</v>
      </c>
      <c r="P138" s="11" t="str">
        <f>IMAGE("https://rukminim2.flixcart.com/image/832/832/ktrk13k0/electronic-hobby-kit/u/f/w/10-pcs-5mm-round-diffused-red-color-led-light-bulb-lamp-light-original-imag7ff6rchccrbz.jpeg?q=70", 1)</f>
        <v/>
      </c>
      <c r="Q138" s="78" t="s">
        <v>1688</v>
      </c>
      <c r="R138" s="74"/>
      <c r="S138" s="75"/>
      <c r="T138" s="12"/>
      <c r="U138" s="11"/>
      <c r="V138" s="12">
        <v>1.0</v>
      </c>
      <c r="W138" s="576"/>
    </row>
    <row r="139" ht="40.5" customHeight="1">
      <c r="A139" s="11">
        <v>138.0</v>
      </c>
      <c r="B139" s="11" t="s">
        <v>173</v>
      </c>
      <c r="C139" s="11" t="s">
        <v>613</v>
      </c>
      <c r="D139" s="93" t="s">
        <v>614</v>
      </c>
      <c r="E139" s="215" t="s">
        <v>489</v>
      </c>
      <c r="F139" s="216">
        <v>500.0</v>
      </c>
      <c r="G139" s="244" t="s">
        <v>2082</v>
      </c>
      <c r="H139" s="216">
        <v>500.0</v>
      </c>
      <c r="I139" s="216">
        <v>1.5</v>
      </c>
      <c r="J139" s="11">
        <f t="shared" si="5"/>
        <v>750</v>
      </c>
      <c r="K139" s="11" t="s">
        <v>178</v>
      </c>
      <c r="L139" s="93"/>
      <c r="M139" s="93" t="s">
        <v>2078</v>
      </c>
      <c r="N139" s="93" t="s">
        <v>1946</v>
      </c>
      <c r="O139" s="217" t="s">
        <v>615</v>
      </c>
      <c r="P139" s="11" t="str">
        <f>IMAGE("https://robu.in/wp-content/uploads/2020/10/5mm-DIP-Led-White.png", 1)</f>
        <v/>
      </c>
      <c r="Q139" s="78" t="s">
        <v>1688</v>
      </c>
      <c r="R139" s="74"/>
      <c r="S139" s="75"/>
      <c r="T139" s="12"/>
      <c r="U139" s="11"/>
      <c r="V139" s="12">
        <v>1.0</v>
      </c>
      <c r="W139" s="576"/>
    </row>
    <row r="140" ht="40.5" customHeight="1">
      <c r="A140" s="11">
        <v>139.0</v>
      </c>
      <c r="B140" s="11" t="s">
        <v>173</v>
      </c>
      <c r="C140" s="11" t="s">
        <v>617</v>
      </c>
      <c r="D140" s="93" t="s">
        <v>618</v>
      </c>
      <c r="E140" s="215" t="s">
        <v>489</v>
      </c>
      <c r="F140" s="216">
        <v>500.0</v>
      </c>
      <c r="G140" s="244" t="s">
        <v>2083</v>
      </c>
      <c r="H140" s="216">
        <v>500.0</v>
      </c>
      <c r="I140" s="216">
        <v>1.5</v>
      </c>
      <c r="J140" s="11">
        <f t="shared" si="5"/>
        <v>750</v>
      </c>
      <c r="K140" s="11" t="s">
        <v>178</v>
      </c>
      <c r="L140" s="93"/>
      <c r="M140" s="93" t="s">
        <v>2078</v>
      </c>
      <c r="N140" s="93" t="s">
        <v>1946</v>
      </c>
      <c r="O140" s="223" t="s">
        <v>619</v>
      </c>
      <c r="P140" s="11" t="str">
        <f>IMAGE("https://robu.in/wp-content/uploads/2020/10/5-mm-DIP-Led-Yellow.png", 1)</f>
        <v/>
      </c>
      <c r="Q140" s="78" t="s">
        <v>1688</v>
      </c>
      <c r="R140" s="74"/>
      <c r="S140" s="75"/>
      <c r="T140" s="12"/>
      <c r="U140" s="11"/>
      <c r="V140" s="12">
        <v>1.0</v>
      </c>
      <c r="W140" s="576"/>
    </row>
    <row r="141" ht="40.5" customHeight="1">
      <c r="A141" s="11">
        <v>140.0</v>
      </c>
      <c r="B141" s="11" t="s">
        <v>173</v>
      </c>
      <c r="C141" s="11" t="s">
        <v>621</v>
      </c>
      <c r="D141" s="93" t="s">
        <v>622</v>
      </c>
      <c r="E141" s="215" t="s">
        <v>489</v>
      </c>
      <c r="F141" s="216">
        <v>100.0</v>
      </c>
      <c r="G141" s="244" t="s">
        <v>2084</v>
      </c>
      <c r="H141" s="216">
        <v>100.0</v>
      </c>
      <c r="I141" s="216">
        <v>20.0</v>
      </c>
      <c r="J141" s="11">
        <f t="shared" si="5"/>
        <v>2000</v>
      </c>
      <c r="K141" s="11" t="s">
        <v>178</v>
      </c>
      <c r="L141" s="93"/>
      <c r="M141" s="93" t="s">
        <v>2078</v>
      </c>
      <c r="N141" s="93" t="s">
        <v>1946</v>
      </c>
      <c r="O141" s="217" t="s">
        <v>623</v>
      </c>
      <c r="P141" s="11" t="str">
        <f>IMAGE("https://image.robotistan.com/5mm-transparent-rgb-led-2633-11-O.jpg", 1)</f>
        <v/>
      </c>
      <c r="Q141" s="78" t="s">
        <v>1688</v>
      </c>
      <c r="R141" s="79"/>
      <c r="S141" s="80"/>
      <c r="T141" s="12"/>
      <c r="U141" s="11"/>
      <c r="V141" s="12">
        <v>1.0</v>
      </c>
      <c r="W141" s="576"/>
    </row>
    <row r="142" ht="40.5" customHeight="1">
      <c r="A142" s="11">
        <v>141.0</v>
      </c>
      <c r="B142" s="11" t="s">
        <v>173</v>
      </c>
      <c r="C142" s="11" t="s">
        <v>625</v>
      </c>
      <c r="D142" s="93" t="s">
        <v>626</v>
      </c>
      <c r="E142" s="215" t="s">
        <v>489</v>
      </c>
      <c r="F142" s="216">
        <v>20.0</v>
      </c>
      <c r="G142" s="11" t="s">
        <v>1788</v>
      </c>
      <c r="H142" s="216">
        <v>20.0</v>
      </c>
      <c r="I142" s="216">
        <v>15.0</v>
      </c>
      <c r="J142" s="11">
        <f t="shared" si="5"/>
        <v>300</v>
      </c>
      <c r="K142" s="11" t="s">
        <v>178</v>
      </c>
      <c r="L142" s="93"/>
      <c r="M142" s="93" t="s">
        <v>2070</v>
      </c>
      <c r="N142" s="93" t="s">
        <v>1947</v>
      </c>
      <c r="O142" s="217" t="s">
        <v>627</v>
      </c>
      <c r="P142" s="11" t="str">
        <f>IMAGE("https://5.imimg.com/data5/AH/OG/AM/SELLER-5278310/mkc-27701-changeover-reed-switch-500x500.jpg",1)</f>
        <v/>
      </c>
      <c r="Q142" s="78" t="s">
        <v>1688</v>
      </c>
      <c r="R142" s="74"/>
      <c r="S142" s="75"/>
      <c r="T142" s="12"/>
      <c r="U142" s="11"/>
      <c r="V142" s="12">
        <v>1.0</v>
      </c>
      <c r="W142" s="576"/>
    </row>
    <row r="143" ht="40.5" customHeight="1">
      <c r="A143" s="11">
        <v>142.0</v>
      </c>
      <c r="B143" s="11" t="s">
        <v>173</v>
      </c>
      <c r="C143" s="11" t="s">
        <v>629</v>
      </c>
      <c r="D143" s="93" t="s">
        <v>630</v>
      </c>
      <c r="E143" s="215" t="s">
        <v>489</v>
      </c>
      <c r="F143" s="216">
        <v>20.0</v>
      </c>
      <c r="G143" s="11" t="s">
        <v>1843</v>
      </c>
      <c r="H143" s="216">
        <v>20.0</v>
      </c>
      <c r="I143" s="216">
        <v>20.0</v>
      </c>
      <c r="J143" s="11">
        <f t="shared" si="5"/>
        <v>400</v>
      </c>
      <c r="K143" s="11" t="s">
        <v>178</v>
      </c>
      <c r="L143" s="93"/>
      <c r="M143" s="93" t="s">
        <v>2078</v>
      </c>
      <c r="N143" s="93" t="s">
        <v>1948</v>
      </c>
      <c r="O143" s="217" t="s">
        <v>631</v>
      </c>
      <c r="P143" s="11" t="str">
        <f t="shared" ref="P143:P144" si="9">IMAGE("https://www.electronicscomp.com/image/cache/catalog/irfz44-n-channel-power-mosfet-1-800x800.JPG",1)</f>
        <v/>
      </c>
      <c r="Q143" s="78" t="s">
        <v>1688</v>
      </c>
      <c r="R143" s="74"/>
      <c r="S143" s="75"/>
      <c r="T143" s="12"/>
      <c r="U143" s="11"/>
      <c r="V143" s="12">
        <v>1.0</v>
      </c>
      <c r="W143" s="576"/>
    </row>
    <row r="144" ht="40.5" customHeight="1">
      <c r="A144" s="11">
        <v>143.0</v>
      </c>
      <c r="B144" s="11" t="s">
        <v>173</v>
      </c>
      <c r="C144" s="11" t="s">
        <v>633</v>
      </c>
      <c r="D144" s="93" t="s">
        <v>634</v>
      </c>
      <c r="E144" s="215" t="s">
        <v>489</v>
      </c>
      <c r="F144" s="216">
        <v>20.0</v>
      </c>
      <c r="G144" s="11" t="s">
        <v>1843</v>
      </c>
      <c r="H144" s="216">
        <v>20.0</v>
      </c>
      <c r="I144" s="216">
        <v>30.0</v>
      </c>
      <c r="J144" s="11">
        <f t="shared" si="5"/>
        <v>600</v>
      </c>
      <c r="K144" s="11" t="s">
        <v>178</v>
      </c>
      <c r="L144" s="93"/>
      <c r="M144" s="93" t="s">
        <v>2078</v>
      </c>
      <c r="N144" s="93" t="s">
        <v>1948</v>
      </c>
      <c r="O144" s="217" t="s">
        <v>635</v>
      </c>
      <c r="P144" s="11" t="str">
        <f t="shared" si="9"/>
        <v/>
      </c>
      <c r="Q144" s="78" t="s">
        <v>1688</v>
      </c>
      <c r="R144" s="74"/>
      <c r="S144" s="75"/>
      <c r="T144" s="12"/>
      <c r="U144" s="11"/>
      <c r="V144" s="12">
        <v>1.0</v>
      </c>
      <c r="W144" s="576"/>
    </row>
    <row r="145" ht="40.5" customHeight="1">
      <c r="A145" s="11">
        <v>144.0</v>
      </c>
      <c r="B145" s="11" t="s">
        <v>173</v>
      </c>
      <c r="C145" s="11" t="s">
        <v>637</v>
      </c>
      <c r="D145" s="93" t="s">
        <v>1804</v>
      </c>
      <c r="E145" s="215" t="s">
        <v>489</v>
      </c>
      <c r="F145" s="216">
        <v>20.0</v>
      </c>
      <c r="G145" s="11" t="s">
        <v>1802</v>
      </c>
      <c r="H145" s="216">
        <v>20.0</v>
      </c>
      <c r="I145" s="216">
        <v>50.0</v>
      </c>
      <c r="J145" s="11">
        <f t="shared" si="5"/>
        <v>1000</v>
      </c>
      <c r="K145" s="11" t="s">
        <v>178</v>
      </c>
      <c r="L145" s="93"/>
      <c r="M145" s="93" t="s">
        <v>2070</v>
      </c>
      <c r="N145" s="93" t="s">
        <v>1941</v>
      </c>
      <c r="O145" s="217" t="s">
        <v>639</v>
      </c>
      <c r="P145" s="11" t="str">
        <f>IMAGE("https://5.imimg.com/data5/FI/FV/DZ/SELLER-22718366/27-mm-3p-piezoelectric-buzzer-plate-500x500.jpg",1)</f>
        <v/>
      </c>
      <c r="Q145" s="78" t="s">
        <v>1688</v>
      </c>
      <c r="R145" s="74"/>
      <c r="S145" s="75"/>
      <c r="T145" s="12"/>
      <c r="U145" s="11"/>
      <c r="V145" s="12">
        <v>1.0</v>
      </c>
      <c r="W145" s="576"/>
    </row>
    <row r="146" ht="40.5" customHeight="1">
      <c r="A146" s="11">
        <v>145.0</v>
      </c>
      <c r="B146" s="11" t="s">
        <v>173</v>
      </c>
      <c r="C146" s="11" t="s">
        <v>641</v>
      </c>
      <c r="D146" s="93" t="s">
        <v>642</v>
      </c>
      <c r="E146" s="215" t="s">
        <v>489</v>
      </c>
      <c r="F146" s="216">
        <v>20.0</v>
      </c>
      <c r="G146" s="11" t="s">
        <v>1828</v>
      </c>
      <c r="H146" s="216">
        <v>20.0</v>
      </c>
      <c r="I146" s="216">
        <v>20.0</v>
      </c>
      <c r="J146" s="11">
        <f t="shared" si="5"/>
        <v>400</v>
      </c>
      <c r="K146" s="11" t="s">
        <v>178</v>
      </c>
      <c r="L146" s="93"/>
      <c r="M146" s="93" t="s">
        <v>2070</v>
      </c>
      <c r="N146" s="93" t="s">
        <v>1949</v>
      </c>
      <c r="O146" s="217" t="s">
        <v>643</v>
      </c>
      <c r="P146" s="11" t="str">
        <f t="shared" ref="P146:P149" si="10">IMAGE("https://m.media-amazon.com/images/I/31ALofIyvBL._SX466_.jpg",1)</f>
        <v/>
      </c>
      <c r="Q146" s="78" t="s">
        <v>1688</v>
      </c>
      <c r="R146" s="74"/>
      <c r="S146" s="75"/>
      <c r="T146" s="12"/>
      <c r="U146" s="11"/>
      <c r="V146" s="12">
        <v>1.0</v>
      </c>
      <c r="W146" s="576"/>
    </row>
    <row r="147" ht="40.5" customHeight="1">
      <c r="A147" s="11">
        <v>146.0</v>
      </c>
      <c r="B147" s="11" t="s">
        <v>173</v>
      </c>
      <c r="C147" s="11" t="s">
        <v>645</v>
      </c>
      <c r="D147" s="93" t="s">
        <v>646</v>
      </c>
      <c r="E147" s="215" t="s">
        <v>489</v>
      </c>
      <c r="F147" s="216">
        <v>20.0</v>
      </c>
      <c r="G147" s="245" t="s">
        <v>1826</v>
      </c>
      <c r="H147" s="216">
        <v>20.0</v>
      </c>
      <c r="I147" s="216">
        <v>15.0</v>
      </c>
      <c r="J147" s="11">
        <f t="shared" si="5"/>
        <v>300</v>
      </c>
      <c r="K147" s="11" t="s">
        <v>178</v>
      </c>
      <c r="L147" s="93"/>
      <c r="M147" s="93" t="s">
        <v>2070</v>
      </c>
      <c r="N147" s="93" t="s">
        <v>1949</v>
      </c>
      <c r="O147" s="217" t="s">
        <v>647</v>
      </c>
      <c r="P147" s="11" t="str">
        <f t="shared" si="10"/>
        <v/>
      </c>
      <c r="Q147" s="78" t="s">
        <v>1688</v>
      </c>
      <c r="R147" s="74"/>
      <c r="S147" s="75"/>
      <c r="T147" s="12"/>
      <c r="U147" s="11"/>
      <c r="V147" s="12">
        <v>1.0</v>
      </c>
      <c r="W147" s="576"/>
    </row>
    <row r="148" ht="40.5" customHeight="1">
      <c r="A148" s="11">
        <v>147.0</v>
      </c>
      <c r="B148" s="11" t="s">
        <v>173</v>
      </c>
      <c r="C148" s="11" t="s">
        <v>649</v>
      </c>
      <c r="D148" s="93" t="s">
        <v>650</v>
      </c>
      <c r="E148" s="215" t="s">
        <v>489</v>
      </c>
      <c r="F148" s="216">
        <v>20.0</v>
      </c>
      <c r="G148" s="245" t="s">
        <v>1826</v>
      </c>
      <c r="H148" s="216">
        <v>20.0</v>
      </c>
      <c r="I148" s="216">
        <v>10.0</v>
      </c>
      <c r="J148" s="11">
        <f t="shared" si="5"/>
        <v>200</v>
      </c>
      <c r="K148" s="11" t="s">
        <v>178</v>
      </c>
      <c r="L148" s="93"/>
      <c r="M148" s="93" t="s">
        <v>2070</v>
      </c>
      <c r="N148" s="93" t="s">
        <v>1949</v>
      </c>
      <c r="O148" s="217" t="s">
        <v>651</v>
      </c>
      <c r="P148" s="11" t="str">
        <f t="shared" si="10"/>
        <v/>
      </c>
      <c r="Q148" s="78" t="s">
        <v>1688</v>
      </c>
      <c r="R148" s="74"/>
      <c r="S148" s="75"/>
      <c r="T148" s="12"/>
      <c r="U148" s="11"/>
      <c r="V148" s="12">
        <v>1.0</v>
      </c>
      <c r="W148" s="576"/>
    </row>
    <row r="149" ht="40.5" customHeight="1">
      <c r="A149" s="11">
        <v>148.0</v>
      </c>
      <c r="B149" s="11" t="s">
        <v>173</v>
      </c>
      <c r="C149" s="11" t="s">
        <v>653</v>
      </c>
      <c r="D149" s="93" t="s">
        <v>654</v>
      </c>
      <c r="E149" s="215" t="s">
        <v>489</v>
      </c>
      <c r="F149" s="216">
        <v>20.0</v>
      </c>
      <c r="G149" s="11" t="s">
        <v>1828</v>
      </c>
      <c r="H149" s="216">
        <v>20.0</v>
      </c>
      <c r="I149" s="216">
        <v>25.0</v>
      </c>
      <c r="J149" s="11">
        <f t="shared" si="5"/>
        <v>500</v>
      </c>
      <c r="K149" s="11" t="s">
        <v>178</v>
      </c>
      <c r="L149" s="93"/>
      <c r="M149" s="93" t="s">
        <v>2070</v>
      </c>
      <c r="N149" s="93" t="s">
        <v>1949</v>
      </c>
      <c r="O149" s="217" t="s">
        <v>655</v>
      </c>
      <c r="P149" s="11" t="str">
        <f t="shared" si="10"/>
        <v/>
      </c>
      <c r="Q149" s="78" t="s">
        <v>1688</v>
      </c>
      <c r="R149" s="79"/>
      <c r="S149" s="80"/>
      <c r="T149" s="12"/>
      <c r="U149" s="11"/>
      <c r="V149" s="12">
        <v>1.0</v>
      </c>
      <c r="W149" s="576"/>
    </row>
    <row r="150" ht="40.5" customHeight="1">
      <c r="A150" s="11">
        <v>149.0</v>
      </c>
      <c r="B150" s="11" t="s">
        <v>173</v>
      </c>
      <c r="C150" s="116" t="s">
        <v>661</v>
      </c>
      <c r="D150" s="115" t="s">
        <v>662</v>
      </c>
      <c r="E150" s="215" t="s">
        <v>489</v>
      </c>
      <c r="F150" s="216">
        <v>100.0</v>
      </c>
      <c r="G150" s="11" t="s">
        <v>1753</v>
      </c>
      <c r="H150" s="216">
        <v>100.0</v>
      </c>
      <c r="I150" s="216">
        <v>1.0</v>
      </c>
      <c r="J150" s="11">
        <f t="shared" si="5"/>
        <v>100</v>
      </c>
      <c r="K150" s="11" t="s">
        <v>178</v>
      </c>
      <c r="L150" s="93"/>
      <c r="M150" s="93" t="s">
        <v>2078</v>
      </c>
      <c r="N150" s="93" t="s">
        <v>1950</v>
      </c>
      <c r="O150" s="217" t="s">
        <v>659</v>
      </c>
      <c r="P150" s="11" t="str">
        <f t="shared" ref="P150:P191" si="11">IMAGE("https://projectpoint.in/image/cache/catalog/CFR_Resistor_Kit-672x504.jpg",1)</f>
        <v/>
      </c>
      <c r="Q150" s="78" t="s">
        <v>1688</v>
      </c>
      <c r="R150" s="74"/>
      <c r="S150" s="75"/>
      <c r="T150" s="12"/>
      <c r="U150" s="11"/>
      <c r="V150" s="12">
        <v>1.0</v>
      </c>
      <c r="W150" s="576"/>
    </row>
    <row r="151" ht="40.5" customHeight="1">
      <c r="A151" s="11">
        <v>150.0</v>
      </c>
      <c r="B151" s="11" t="s">
        <v>173</v>
      </c>
      <c r="C151" s="239" t="s">
        <v>789</v>
      </c>
      <c r="D151" s="240" t="s">
        <v>1757</v>
      </c>
      <c r="E151" s="215" t="s">
        <v>489</v>
      </c>
      <c r="F151" s="216">
        <v>100.0</v>
      </c>
      <c r="G151" s="11" t="s">
        <v>1753</v>
      </c>
      <c r="H151" s="216">
        <v>100.0</v>
      </c>
      <c r="I151" s="216">
        <v>1.0</v>
      </c>
      <c r="J151" s="11">
        <f t="shared" si="5"/>
        <v>100</v>
      </c>
      <c r="K151" s="11" t="s">
        <v>178</v>
      </c>
      <c r="L151" s="93"/>
      <c r="M151" s="93" t="s">
        <v>2078</v>
      </c>
      <c r="N151" s="93" t="s">
        <v>1950</v>
      </c>
      <c r="O151" s="217" t="s">
        <v>663</v>
      </c>
      <c r="P151" s="11" t="str">
        <f t="shared" si="11"/>
        <v/>
      </c>
      <c r="Q151" s="78" t="s">
        <v>1688</v>
      </c>
      <c r="R151" s="74"/>
      <c r="S151" s="75"/>
      <c r="T151" s="12"/>
      <c r="U151" s="11"/>
      <c r="V151" s="12">
        <v>1.0</v>
      </c>
      <c r="W151" s="576"/>
    </row>
    <row r="152" ht="40.5" customHeight="1">
      <c r="A152" s="11">
        <v>151.0</v>
      </c>
      <c r="B152" s="11" t="s">
        <v>173</v>
      </c>
      <c r="C152" s="239" t="s">
        <v>697</v>
      </c>
      <c r="D152" s="240" t="s">
        <v>698</v>
      </c>
      <c r="E152" s="215" t="s">
        <v>489</v>
      </c>
      <c r="F152" s="216">
        <v>100.0</v>
      </c>
      <c r="G152" s="11" t="s">
        <v>1762</v>
      </c>
      <c r="H152" s="216">
        <v>100.0</v>
      </c>
      <c r="I152" s="216">
        <v>1.0</v>
      </c>
      <c r="J152" s="11">
        <f t="shared" si="5"/>
        <v>100</v>
      </c>
      <c r="K152" s="11" t="s">
        <v>178</v>
      </c>
      <c r="L152" s="93"/>
      <c r="M152" s="93" t="s">
        <v>2078</v>
      </c>
      <c r="N152" s="93" t="s">
        <v>1950</v>
      </c>
      <c r="O152" s="217" t="s">
        <v>667</v>
      </c>
      <c r="P152" s="11" t="str">
        <f t="shared" si="11"/>
        <v/>
      </c>
      <c r="Q152" s="78" t="s">
        <v>1688</v>
      </c>
      <c r="R152" s="74"/>
      <c r="S152" s="75"/>
      <c r="T152" s="12"/>
      <c r="U152" s="11"/>
      <c r="V152" s="12">
        <v>1.0</v>
      </c>
      <c r="W152" s="576"/>
    </row>
    <row r="153" ht="40.5" customHeight="1">
      <c r="A153" s="11">
        <v>152.0</v>
      </c>
      <c r="B153" s="11" t="s">
        <v>173</v>
      </c>
      <c r="C153" s="239" t="s">
        <v>705</v>
      </c>
      <c r="D153" s="240" t="s">
        <v>706</v>
      </c>
      <c r="E153" s="215" t="s">
        <v>489</v>
      </c>
      <c r="F153" s="216">
        <v>100.0</v>
      </c>
      <c r="G153" s="11" t="s">
        <v>1762</v>
      </c>
      <c r="H153" s="216">
        <v>100.0</v>
      </c>
      <c r="I153" s="216">
        <v>1.0</v>
      </c>
      <c r="J153" s="11">
        <f t="shared" si="5"/>
        <v>100</v>
      </c>
      <c r="K153" s="11" t="s">
        <v>178</v>
      </c>
      <c r="L153" s="93"/>
      <c r="M153" s="93" t="s">
        <v>2078</v>
      </c>
      <c r="N153" s="93" t="s">
        <v>1950</v>
      </c>
      <c r="O153" s="217" t="s">
        <v>671</v>
      </c>
      <c r="P153" s="11" t="str">
        <f t="shared" si="11"/>
        <v/>
      </c>
      <c r="Q153" s="78" t="s">
        <v>1688</v>
      </c>
      <c r="R153" s="74"/>
      <c r="S153" s="75"/>
      <c r="T153" s="12"/>
      <c r="U153" s="11"/>
      <c r="V153" s="12">
        <v>1.0</v>
      </c>
      <c r="W153" s="576"/>
    </row>
    <row r="154" ht="40.5" customHeight="1">
      <c r="A154" s="11">
        <v>153.0</v>
      </c>
      <c r="B154" s="11" t="s">
        <v>173</v>
      </c>
      <c r="C154" s="239" t="s">
        <v>717</v>
      </c>
      <c r="D154" s="240" t="s">
        <v>718</v>
      </c>
      <c r="E154" s="215" t="s">
        <v>489</v>
      </c>
      <c r="F154" s="216">
        <v>100.0</v>
      </c>
      <c r="G154" s="11" t="s">
        <v>1771</v>
      </c>
      <c r="H154" s="216">
        <v>100.0</v>
      </c>
      <c r="I154" s="216">
        <v>1.0</v>
      </c>
      <c r="J154" s="11">
        <f t="shared" si="5"/>
        <v>100</v>
      </c>
      <c r="K154" s="11" t="s">
        <v>178</v>
      </c>
      <c r="L154" s="93"/>
      <c r="M154" s="93" t="s">
        <v>2078</v>
      </c>
      <c r="N154" s="93" t="s">
        <v>1950</v>
      </c>
      <c r="O154" s="217" t="s">
        <v>675</v>
      </c>
      <c r="P154" s="11" t="str">
        <f t="shared" si="11"/>
        <v/>
      </c>
      <c r="Q154" s="78" t="s">
        <v>1688</v>
      </c>
      <c r="R154" s="74"/>
      <c r="S154" s="75"/>
      <c r="T154" s="12"/>
      <c r="U154" s="11"/>
      <c r="V154" s="12">
        <v>1.0</v>
      </c>
      <c r="W154" s="576"/>
    </row>
    <row r="155" ht="40.5" customHeight="1">
      <c r="A155" s="11">
        <v>154.0</v>
      </c>
      <c r="B155" s="11" t="s">
        <v>173</v>
      </c>
      <c r="C155" s="239" t="s">
        <v>733</v>
      </c>
      <c r="D155" s="240" t="s">
        <v>734</v>
      </c>
      <c r="E155" s="215" t="s">
        <v>489</v>
      </c>
      <c r="F155" s="216">
        <v>100.0</v>
      </c>
      <c r="G155" s="11" t="s">
        <v>1771</v>
      </c>
      <c r="H155" s="216">
        <v>100.0</v>
      </c>
      <c r="I155" s="216">
        <v>1.0</v>
      </c>
      <c r="J155" s="11">
        <f t="shared" si="5"/>
        <v>100</v>
      </c>
      <c r="K155" s="11" t="s">
        <v>178</v>
      </c>
      <c r="L155" s="93"/>
      <c r="M155" s="93" t="s">
        <v>2078</v>
      </c>
      <c r="N155" s="93" t="s">
        <v>1950</v>
      </c>
      <c r="O155" s="217" t="s">
        <v>679</v>
      </c>
      <c r="P155" s="11" t="str">
        <f t="shared" si="11"/>
        <v/>
      </c>
      <c r="Q155" s="78" t="s">
        <v>1688</v>
      </c>
      <c r="R155" s="74"/>
      <c r="S155" s="75"/>
      <c r="T155" s="12"/>
      <c r="U155" s="11"/>
      <c r="V155" s="12">
        <v>1.0</v>
      </c>
      <c r="W155" s="576"/>
    </row>
    <row r="156" ht="40.5" customHeight="1">
      <c r="A156" s="11">
        <v>155.0</v>
      </c>
      <c r="B156" s="11" t="s">
        <v>173</v>
      </c>
      <c r="C156" s="239" t="s">
        <v>817</v>
      </c>
      <c r="D156" s="240" t="s">
        <v>1779</v>
      </c>
      <c r="E156" s="215" t="s">
        <v>489</v>
      </c>
      <c r="F156" s="216">
        <v>100.0</v>
      </c>
      <c r="G156" s="246" t="s">
        <v>1780</v>
      </c>
      <c r="H156" s="216">
        <v>100.0</v>
      </c>
      <c r="I156" s="216">
        <v>1.0</v>
      </c>
      <c r="J156" s="11">
        <f t="shared" si="5"/>
        <v>100</v>
      </c>
      <c r="K156" s="11" t="s">
        <v>178</v>
      </c>
      <c r="L156" s="93"/>
      <c r="M156" s="93" t="s">
        <v>2078</v>
      </c>
      <c r="N156" s="93" t="s">
        <v>1950</v>
      </c>
      <c r="O156" s="217" t="s">
        <v>683</v>
      </c>
      <c r="P156" s="11" t="str">
        <f t="shared" si="11"/>
        <v/>
      </c>
      <c r="Q156" s="78" t="s">
        <v>1688</v>
      </c>
      <c r="R156" s="74"/>
      <c r="S156" s="75"/>
      <c r="T156" s="12"/>
      <c r="U156" s="11"/>
      <c r="V156" s="12">
        <v>1.0</v>
      </c>
      <c r="W156" s="576"/>
    </row>
    <row r="157" ht="40.5" customHeight="1">
      <c r="A157" s="11">
        <v>156.0</v>
      </c>
      <c r="B157" s="11" t="s">
        <v>173</v>
      </c>
      <c r="C157" s="239" t="s">
        <v>753</v>
      </c>
      <c r="D157" s="240" t="s">
        <v>754</v>
      </c>
      <c r="E157" s="215" t="s">
        <v>489</v>
      </c>
      <c r="F157" s="216">
        <v>100.0</v>
      </c>
      <c r="G157" s="246" t="s">
        <v>1780</v>
      </c>
      <c r="H157" s="216">
        <v>100.0</v>
      </c>
      <c r="I157" s="216">
        <v>1.0</v>
      </c>
      <c r="J157" s="11">
        <f t="shared" si="5"/>
        <v>100</v>
      </c>
      <c r="K157" s="11" t="s">
        <v>178</v>
      </c>
      <c r="L157" s="93"/>
      <c r="M157" s="93" t="s">
        <v>2078</v>
      </c>
      <c r="N157" s="93" t="s">
        <v>1950</v>
      </c>
      <c r="O157" s="217" t="s">
        <v>687</v>
      </c>
      <c r="P157" s="11" t="str">
        <f t="shared" si="11"/>
        <v/>
      </c>
      <c r="Q157" s="78" t="s">
        <v>1688</v>
      </c>
      <c r="R157" s="74"/>
      <c r="S157" s="75"/>
      <c r="T157" s="12"/>
      <c r="U157" s="11"/>
      <c r="V157" s="12">
        <v>1.0</v>
      </c>
      <c r="W157" s="576"/>
    </row>
    <row r="158" ht="40.5" customHeight="1">
      <c r="A158" s="11">
        <v>157.0</v>
      </c>
      <c r="B158" s="11" t="s">
        <v>173</v>
      </c>
      <c r="C158" s="239" t="s">
        <v>773</v>
      </c>
      <c r="D158" s="240" t="s">
        <v>774</v>
      </c>
      <c r="E158" s="215" t="s">
        <v>489</v>
      </c>
      <c r="F158" s="216">
        <v>100.0</v>
      </c>
      <c r="G158" s="246" t="s">
        <v>1785</v>
      </c>
      <c r="H158" s="216">
        <v>100.0</v>
      </c>
      <c r="I158" s="216">
        <v>1.0</v>
      </c>
      <c r="J158" s="11">
        <f t="shared" si="5"/>
        <v>100</v>
      </c>
      <c r="K158" s="11" t="s">
        <v>178</v>
      </c>
      <c r="L158" s="93"/>
      <c r="M158" s="93" t="s">
        <v>2078</v>
      </c>
      <c r="N158" s="93" t="s">
        <v>1950</v>
      </c>
      <c r="O158" s="217" t="s">
        <v>691</v>
      </c>
      <c r="P158" s="11" t="str">
        <f t="shared" si="11"/>
        <v/>
      </c>
      <c r="Q158" s="78" t="s">
        <v>1688</v>
      </c>
      <c r="R158" s="74"/>
      <c r="S158" s="75"/>
      <c r="T158" s="12"/>
      <c r="U158" s="11"/>
      <c r="V158" s="12">
        <v>1.0</v>
      </c>
      <c r="W158" s="576"/>
    </row>
    <row r="159" ht="40.5" customHeight="1">
      <c r="A159" s="11">
        <v>158.0</v>
      </c>
      <c r="B159" s="11" t="s">
        <v>173</v>
      </c>
      <c r="C159" s="239" t="s">
        <v>657</v>
      </c>
      <c r="D159" s="240" t="s">
        <v>658</v>
      </c>
      <c r="E159" s="215" t="s">
        <v>489</v>
      </c>
      <c r="F159" s="216">
        <v>100.0</v>
      </c>
      <c r="G159" s="246" t="s">
        <v>1785</v>
      </c>
      <c r="H159" s="216">
        <v>100.0</v>
      </c>
      <c r="I159" s="216">
        <v>1.0</v>
      </c>
      <c r="J159" s="11">
        <f t="shared" si="5"/>
        <v>100</v>
      </c>
      <c r="K159" s="11" t="s">
        <v>178</v>
      </c>
      <c r="L159" s="93"/>
      <c r="M159" s="93" t="s">
        <v>2078</v>
      </c>
      <c r="N159" s="93" t="s">
        <v>1950</v>
      </c>
      <c r="O159" s="217" t="s">
        <v>695</v>
      </c>
      <c r="P159" s="11" t="str">
        <f t="shared" si="11"/>
        <v/>
      </c>
      <c r="Q159" s="78" t="s">
        <v>1688</v>
      </c>
      <c r="R159" s="74"/>
      <c r="S159" s="75"/>
      <c r="T159" s="12"/>
      <c r="U159" s="11"/>
      <c r="V159" s="12">
        <v>1.0</v>
      </c>
      <c r="W159" s="576"/>
    </row>
    <row r="160" ht="40.5" customHeight="1">
      <c r="A160" s="11">
        <v>159.0</v>
      </c>
      <c r="B160" s="11" t="s">
        <v>173</v>
      </c>
      <c r="C160" s="239" t="s">
        <v>781</v>
      </c>
      <c r="D160" s="240" t="s">
        <v>1792</v>
      </c>
      <c r="E160" s="215" t="s">
        <v>489</v>
      </c>
      <c r="F160" s="216">
        <v>100.0</v>
      </c>
      <c r="G160" s="246" t="s">
        <v>1793</v>
      </c>
      <c r="H160" s="216">
        <v>100.0</v>
      </c>
      <c r="I160" s="216">
        <v>1.0</v>
      </c>
      <c r="J160" s="11">
        <f t="shared" si="5"/>
        <v>100</v>
      </c>
      <c r="K160" s="11" t="s">
        <v>178</v>
      </c>
      <c r="L160" s="93"/>
      <c r="M160" s="93" t="s">
        <v>2078</v>
      </c>
      <c r="N160" s="93" t="s">
        <v>1950</v>
      </c>
      <c r="O160" s="217" t="s">
        <v>699</v>
      </c>
      <c r="P160" s="11" t="str">
        <f t="shared" si="11"/>
        <v/>
      </c>
      <c r="Q160" s="78" t="s">
        <v>1688</v>
      </c>
      <c r="R160" s="74"/>
      <c r="S160" s="75"/>
      <c r="T160" s="5"/>
      <c r="U160" s="14"/>
      <c r="V160" s="12">
        <v>1.0</v>
      </c>
      <c r="W160" s="576"/>
    </row>
    <row r="161" ht="40.5" customHeight="1">
      <c r="A161" s="11">
        <v>160.0</v>
      </c>
      <c r="B161" s="11" t="s">
        <v>173</v>
      </c>
      <c r="C161" s="239" t="s">
        <v>689</v>
      </c>
      <c r="D161" s="240" t="s">
        <v>690</v>
      </c>
      <c r="E161" s="215" t="s">
        <v>489</v>
      </c>
      <c r="F161" s="216">
        <v>100.0</v>
      </c>
      <c r="G161" s="246" t="s">
        <v>1793</v>
      </c>
      <c r="H161" s="216">
        <v>100.0</v>
      </c>
      <c r="I161" s="216">
        <v>1.0</v>
      </c>
      <c r="J161" s="11">
        <f t="shared" si="5"/>
        <v>100</v>
      </c>
      <c r="K161" s="11" t="s">
        <v>178</v>
      </c>
      <c r="L161" s="93"/>
      <c r="M161" s="93" t="s">
        <v>2078</v>
      </c>
      <c r="N161" s="93" t="s">
        <v>1950</v>
      </c>
      <c r="O161" s="217" t="s">
        <v>703</v>
      </c>
      <c r="P161" s="11" t="str">
        <f t="shared" si="11"/>
        <v/>
      </c>
      <c r="Q161" s="78" t="s">
        <v>1688</v>
      </c>
      <c r="R161" s="74"/>
      <c r="S161" s="75"/>
      <c r="T161" s="12"/>
      <c r="U161" s="11"/>
      <c r="V161" s="12">
        <v>1.0</v>
      </c>
      <c r="W161" s="576"/>
    </row>
    <row r="162" ht="40.5" customHeight="1">
      <c r="A162" s="11">
        <v>161.0</v>
      </c>
      <c r="B162" s="11" t="s">
        <v>173</v>
      </c>
      <c r="C162" s="239" t="s">
        <v>797</v>
      </c>
      <c r="D162" s="240" t="s">
        <v>1799</v>
      </c>
      <c r="E162" s="215" t="s">
        <v>489</v>
      </c>
      <c r="F162" s="216">
        <v>100.0</v>
      </c>
      <c r="G162" s="246" t="s">
        <v>1800</v>
      </c>
      <c r="H162" s="216">
        <v>100.0</v>
      </c>
      <c r="I162" s="216">
        <v>1.0</v>
      </c>
      <c r="J162" s="11">
        <f t="shared" si="5"/>
        <v>100</v>
      </c>
      <c r="K162" s="11" t="s">
        <v>178</v>
      </c>
      <c r="L162" s="93"/>
      <c r="M162" s="93" t="s">
        <v>2078</v>
      </c>
      <c r="N162" s="93" t="s">
        <v>1950</v>
      </c>
      <c r="O162" s="217" t="s">
        <v>707</v>
      </c>
      <c r="P162" s="11" t="str">
        <f t="shared" si="11"/>
        <v/>
      </c>
      <c r="Q162" s="78" t="s">
        <v>1688</v>
      </c>
      <c r="R162" s="74"/>
      <c r="S162" s="75"/>
      <c r="T162" s="12"/>
      <c r="U162" s="11"/>
      <c r="V162" s="12">
        <v>1.0</v>
      </c>
      <c r="W162" s="576"/>
    </row>
    <row r="163" ht="40.5" customHeight="1">
      <c r="A163" s="11">
        <v>162.0</v>
      </c>
      <c r="B163" s="11" t="s">
        <v>173</v>
      </c>
      <c r="C163" s="239" t="s">
        <v>709</v>
      </c>
      <c r="D163" s="240" t="s">
        <v>710</v>
      </c>
      <c r="E163" s="215" t="s">
        <v>489</v>
      </c>
      <c r="F163" s="216">
        <v>100.0</v>
      </c>
      <c r="G163" s="246" t="s">
        <v>1800</v>
      </c>
      <c r="H163" s="216">
        <v>100.0</v>
      </c>
      <c r="I163" s="216">
        <v>1.0</v>
      </c>
      <c r="J163" s="11">
        <f t="shared" si="5"/>
        <v>100</v>
      </c>
      <c r="K163" s="11" t="s">
        <v>178</v>
      </c>
      <c r="L163" s="93"/>
      <c r="M163" s="93" t="s">
        <v>2078</v>
      </c>
      <c r="N163" s="93" t="s">
        <v>1950</v>
      </c>
      <c r="O163" s="217" t="s">
        <v>711</v>
      </c>
      <c r="P163" s="11" t="str">
        <f t="shared" si="11"/>
        <v/>
      </c>
      <c r="Q163" s="78" t="s">
        <v>1688</v>
      </c>
      <c r="R163" s="74"/>
      <c r="S163" s="75"/>
      <c r="T163" s="12"/>
      <c r="U163" s="11"/>
      <c r="V163" s="12">
        <v>1.0</v>
      </c>
      <c r="W163" s="576"/>
    </row>
    <row r="164" ht="40.5" customHeight="1">
      <c r="A164" s="11">
        <v>163.0</v>
      </c>
      <c r="B164" s="11" t="s">
        <v>173</v>
      </c>
      <c r="C164" s="239" t="s">
        <v>725</v>
      </c>
      <c r="D164" s="240" t="s">
        <v>726</v>
      </c>
      <c r="E164" s="215" t="s">
        <v>489</v>
      </c>
      <c r="F164" s="216">
        <v>100.0</v>
      </c>
      <c r="G164" s="246" t="s">
        <v>1805</v>
      </c>
      <c r="H164" s="216">
        <v>100.0</v>
      </c>
      <c r="I164" s="216">
        <v>1.0</v>
      </c>
      <c r="J164" s="11">
        <f t="shared" si="5"/>
        <v>100</v>
      </c>
      <c r="K164" s="11" t="s">
        <v>178</v>
      </c>
      <c r="L164" s="93"/>
      <c r="M164" s="93" t="s">
        <v>2078</v>
      </c>
      <c r="N164" s="93" t="s">
        <v>1950</v>
      </c>
      <c r="O164" s="217" t="s">
        <v>715</v>
      </c>
      <c r="P164" s="11" t="str">
        <f t="shared" si="11"/>
        <v/>
      </c>
      <c r="Q164" s="78" t="s">
        <v>1688</v>
      </c>
      <c r="R164" s="74"/>
      <c r="S164" s="75"/>
      <c r="T164" s="12"/>
      <c r="U164" s="11"/>
      <c r="V164" s="12">
        <v>1.0</v>
      </c>
      <c r="W164" s="576"/>
    </row>
    <row r="165" ht="40.5" customHeight="1">
      <c r="A165" s="11">
        <v>164.0</v>
      </c>
      <c r="B165" s="11" t="s">
        <v>173</v>
      </c>
      <c r="C165" s="239" t="s">
        <v>809</v>
      </c>
      <c r="D165" s="240" t="s">
        <v>1808</v>
      </c>
      <c r="E165" s="215" t="s">
        <v>489</v>
      </c>
      <c r="F165" s="216">
        <v>100.0</v>
      </c>
      <c r="G165" s="246" t="s">
        <v>1805</v>
      </c>
      <c r="H165" s="216">
        <v>100.0</v>
      </c>
      <c r="I165" s="216">
        <v>1.0</v>
      </c>
      <c r="J165" s="11">
        <f t="shared" si="5"/>
        <v>100</v>
      </c>
      <c r="K165" s="11" t="s">
        <v>178</v>
      </c>
      <c r="L165" s="93"/>
      <c r="M165" s="93" t="s">
        <v>2078</v>
      </c>
      <c r="N165" s="93" t="s">
        <v>1950</v>
      </c>
      <c r="O165" s="217" t="s">
        <v>719</v>
      </c>
      <c r="P165" s="11" t="str">
        <f t="shared" si="11"/>
        <v/>
      </c>
      <c r="Q165" s="78" t="s">
        <v>1688</v>
      </c>
      <c r="R165" s="74"/>
      <c r="S165" s="75"/>
      <c r="T165" s="12"/>
      <c r="U165" s="11"/>
      <c r="V165" s="12">
        <v>1.0</v>
      </c>
      <c r="W165" s="576"/>
    </row>
    <row r="166" ht="40.5" customHeight="1">
      <c r="A166" s="11">
        <v>165.0</v>
      </c>
      <c r="B166" s="11" t="s">
        <v>173</v>
      </c>
      <c r="C166" s="239" t="s">
        <v>745</v>
      </c>
      <c r="D166" s="240" t="s">
        <v>746</v>
      </c>
      <c r="E166" s="215" t="s">
        <v>489</v>
      </c>
      <c r="F166" s="216">
        <v>100.0</v>
      </c>
      <c r="G166" s="246" t="s">
        <v>1810</v>
      </c>
      <c r="H166" s="216">
        <v>100.0</v>
      </c>
      <c r="I166" s="216">
        <v>1.0</v>
      </c>
      <c r="J166" s="11">
        <f t="shared" si="5"/>
        <v>100</v>
      </c>
      <c r="K166" s="11" t="s">
        <v>178</v>
      </c>
      <c r="L166" s="93"/>
      <c r="M166" s="93" t="s">
        <v>2078</v>
      </c>
      <c r="N166" s="93" t="s">
        <v>1950</v>
      </c>
      <c r="O166" s="217" t="s">
        <v>723</v>
      </c>
      <c r="P166" s="11" t="str">
        <f t="shared" si="11"/>
        <v/>
      </c>
      <c r="Q166" s="78" t="s">
        <v>1688</v>
      </c>
      <c r="R166" s="74"/>
      <c r="S166" s="75"/>
      <c r="T166" s="12"/>
      <c r="U166" s="11"/>
      <c r="V166" s="12">
        <v>1.0</v>
      </c>
      <c r="W166" s="576"/>
    </row>
    <row r="167" ht="40.5" customHeight="1">
      <c r="A167" s="11">
        <v>166.0</v>
      </c>
      <c r="B167" s="11" t="s">
        <v>173</v>
      </c>
      <c r="C167" s="239" t="s">
        <v>765</v>
      </c>
      <c r="D167" s="240" t="s">
        <v>766</v>
      </c>
      <c r="E167" s="215" t="s">
        <v>489</v>
      </c>
      <c r="F167" s="216">
        <v>100.0</v>
      </c>
      <c r="G167" s="246" t="s">
        <v>1810</v>
      </c>
      <c r="H167" s="216">
        <v>100.0</v>
      </c>
      <c r="I167" s="216">
        <v>1.0</v>
      </c>
      <c r="J167" s="11">
        <f t="shared" si="5"/>
        <v>100</v>
      </c>
      <c r="K167" s="11" t="s">
        <v>178</v>
      </c>
      <c r="L167" s="93"/>
      <c r="M167" s="93" t="s">
        <v>2078</v>
      </c>
      <c r="N167" s="93" t="s">
        <v>1950</v>
      </c>
      <c r="O167" s="217" t="s">
        <v>727</v>
      </c>
      <c r="P167" s="11" t="str">
        <f t="shared" si="11"/>
        <v/>
      </c>
      <c r="Q167" s="78" t="s">
        <v>1688</v>
      </c>
      <c r="R167" s="74"/>
      <c r="S167" s="75"/>
      <c r="T167" s="12"/>
      <c r="U167" s="11"/>
      <c r="V167" s="12">
        <v>1.0</v>
      </c>
      <c r="W167" s="576"/>
    </row>
    <row r="168" ht="40.5" customHeight="1">
      <c r="A168" s="11">
        <v>167.0</v>
      </c>
      <c r="B168" s="11" t="s">
        <v>173</v>
      </c>
      <c r="C168" s="239" t="s">
        <v>677</v>
      </c>
      <c r="D168" s="240" t="s">
        <v>678</v>
      </c>
      <c r="E168" s="215" t="s">
        <v>489</v>
      </c>
      <c r="F168" s="216">
        <v>100.0</v>
      </c>
      <c r="G168" s="246" t="s">
        <v>1816</v>
      </c>
      <c r="H168" s="216">
        <v>100.0</v>
      </c>
      <c r="I168" s="216">
        <v>1.0</v>
      </c>
      <c r="J168" s="11">
        <f t="shared" si="5"/>
        <v>100</v>
      </c>
      <c r="K168" s="11" t="s">
        <v>178</v>
      </c>
      <c r="L168" s="93"/>
      <c r="M168" s="93" t="s">
        <v>2078</v>
      </c>
      <c r="N168" s="93" t="s">
        <v>1950</v>
      </c>
      <c r="O168" s="217" t="s">
        <v>731</v>
      </c>
      <c r="P168" s="11" t="str">
        <f t="shared" si="11"/>
        <v/>
      </c>
      <c r="Q168" s="78" t="s">
        <v>1688</v>
      </c>
      <c r="R168" s="74"/>
      <c r="S168" s="75"/>
      <c r="T168" s="12"/>
      <c r="U168" s="11"/>
      <c r="V168" s="12">
        <v>1.0</v>
      </c>
      <c r="W168" s="576"/>
    </row>
    <row r="169" ht="40.5" customHeight="1">
      <c r="A169" s="11">
        <v>168.0</v>
      </c>
      <c r="B169" s="11" t="s">
        <v>173</v>
      </c>
      <c r="C169" s="239" t="s">
        <v>685</v>
      </c>
      <c r="D169" s="240" t="s">
        <v>686</v>
      </c>
      <c r="E169" s="215" t="s">
        <v>489</v>
      </c>
      <c r="F169" s="216">
        <v>100.0</v>
      </c>
      <c r="G169" s="246" t="s">
        <v>1816</v>
      </c>
      <c r="H169" s="216">
        <v>100.0</v>
      </c>
      <c r="I169" s="216">
        <v>1.0</v>
      </c>
      <c r="J169" s="11">
        <f t="shared" si="5"/>
        <v>100</v>
      </c>
      <c r="K169" s="11" t="s">
        <v>178</v>
      </c>
      <c r="L169" s="93"/>
      <c r="M169" s="93" t="s">
        <v>2078</v>
      </c>
      <c r="N169" s="93" t="s">
        <v>1950</v>
      </c>
      <c r="O169" s="217" t="s">
        <v>735</v>
      </c>
      <c r="P169" s="11" t="str">
        <f t="shared" si="11"/>
        <v/>
      </c>
      <c r="Q169" s="78" t="s">
        <v>1688</v>
      </c>
      <c r="R169" s="74"/>
      <c r="S169" s="75"/>
      <c r="T169" s="5"/>
      <c r="U169" s="14"/>
      <c r="V169" s="12">
        <v>1.0</v>
      </c>
      <c r="W169" s="576"/>
    </row>
    <row r="170" ht="40.5" customHeight="1">
      <c r="A170" s="11">
        <v>169.0</v>
      </c>
      <c r="B170" s="11" t="s">
        <v>173</v>
      </c>
      <c r="C170" s="239" t="s">
        <v>741</v>
      </c>
      <c r="D170" s="240" t="s">
        <v>742</v>
      </c>
      <c r="E170" s="215" t="s">
        <v>489</v>
      </c>
      <c r="F170" s="216">
        <v>100.0</v>
      </c>
      <c r="G170" s="246" t="s">
        <v>1821</v>
      </c>
      <c r="H170" s="216">
        <v>100.0</v>
      </c>
      <c r="I170" s="216">
        <v>1.0</v>
      </c>
      <c r="J170" s="11">
        <f t="shared" si="5"/>
        <v>100</v>
      </c>
      <c r="K170" s="11" t="s">
        <v>178</v>
      </c>
      <c r="L170" s="93"/>
      <c r="M170" s="93" t="s">
        <v>2078</v>
      </c>
      <c r="N170" s="93" t="s">
        <v>1950</v>
      </c>
      <c r="O170" s="217" t="s">
        <v>739</v>
      </c>
      <c r="P170" s="11" t="str">
        <f t="shared" si="11"/>
        <v/>
      </c>
      <c r="Q170" s="78" t="s">
        <v>1688</v>
      </c>
      <c r="R170" s="74"/>
      <c r="S170" s="75"/>
      <c r="T170" s="12"/>
      <c r="U170" s="11"/>
      <c r="V170" s="12">
        <v>1.0</v>
      </c>
      <c r="W170" s="576"/>
    </row>
    <row r="171" ht="40.5" customHeight="1">
      <c r="A171" s="11">
        <v>170.0</v>
      </c>
      <c r="B171" s="11" t="s">
        <v>173</v>
      </c>
      <c r="C171" s="239" t="s">
        <v>665</v>
      </c>
      <c r="D171" s="240" t="s">
        <v>666</v>
      </c>
      <c r="E171" s="215" t="s">
        <v>489</v>
      </c>
      <c r="F171" s="216">
        <v>100.0</v>
      </c>
      <c r="G171" s="246" t="s">
        <v>1821</v>
      </c>
      <c r="H171" s="216">
        <v>100.0</v>
      </c>
      <c r="I171" s="216">
        <v>1.0</v>
      </c>
      <c r="J171" s="11">
        <f t="shared" si="5"/>
        <v>100</v>
      </c>
      <c r="K171" s="11" t="s">
        <v>178</v>
      </c>
      <c r="L171" s="93"/>
      <c r="M171" s="93" t="s">
        <v>2078</v>
      </c>
      <c r="N171" s="93" t="s">
        <v>1950</v>
      </c>
      <c r="O171" s="217" t="s">
        <v>743</v>
      </c>
      <c r="P171" s="11" t="str">
        <f t="shared" si="11"/>
        <v/>
      </c>
      <c r="Q171" s="78" t="s">
        <v>1688</v>
      </c>
      <c r="R171" s="74"/>
      <c r="S171" s="75"/>
      <c r="T171" s="12"/>
      <c r="U171" s="11"/>
      <c r="V171" s="12">
        <v>1.0</v>
      </c>
      <c r="W171" s="576"/>
    </row>
    <row r="172" ht="40.5" customHeight="1">
      <c r="A172" s="11">
        <v>171.0</v>
      </c>
      <c r="B172" s="11" t="s">
        <v>173</v>
      </c>
      <c r="C172" s="239" t="s">
        <v>793</v>
      </c>
      <c r="D172" s="240" t="s">
        <v>794</v>
      </c>
      <c r="E172" s="215" t="s">
        <v>489</v>
      </c>
      <c r="F172" s="216">
        <v>100.0</v>
      </c>
      <c r="G172" s="246" t="s">
        <v>1825</v>
      </c>
      <c r="H172" s="216">
        <v>100.0</v>
      </c>
      <c r="I172" s="216">
        <v>1.0</v>
      </c>
      <c r="J172" s="11">
        <f t="shared" si="5"/>
        <v>100</v>
      </c>
      <c r="K172" s="11" t="s">
        <v>178</v>
      </c>
      <c r="L172" s="93"/>
      <c r="M172" s="93" t="s">
        <v>2078</v>
      </c>
      <c r="N172" s="93" t="s">
        <v>1950</v>
      </c>
      <c r="O172" s="217" t="s">
        <v>747</v>
      </c>
      <c r="P172" s="11" t="str">
        <f t="shared" si="11"/>
        <v/>
      </c>
      <c r="Q172" s="78" t="s">
        <v>1688</v>
      </c>
      <c r="R172" s="74"/>
      <c r="S172" s="75"/>
      <c r="T172" s="12"/>
      <c r="U172" s="11"/>
      <c r="V172" s="12">
        <v>1.0</v>
      </c>
      <c r="W172" s="576"/>
    </row>
    <row r="173" ht="40.5" customHeight="1">
      <c r="A173" s="11">
        <v>172.0</v>
      </c>
      <c r="B173" s="11" t="s">
        <v>173</v>
      </c>
      <c r="C173" s="239" t="s">
        <v>701</v>
      </c>
      <c r="D173" s="240" t="s">
        <v>702</v>
      </c>
      <c r="E173" s="215" t="s">
        <v>489</v>
      </c>
      <c r="F173" s="216">
        <v>100.0</v>
      </c>
      <c r="G173" s="246" t="s">
        <v>1825</v>
      </c>
      <c r="H173" s="216">
        <v>100.0</v>
      </c>
      <c r="I173" s="216">
        <v>1.0</v>
      </c>
      <c r="J173" s="11">
        <f t="shared" si="5"/>
        <v>100</v>
      </c>
      <c r="K173" s="11" t="s">
        <v>178</v>
      </c>
      <c r="L173" s="93"/>
      <c r="M173" s="93" t="s">
        <v>2078</v>
      </c>
      <c r="N173" s="93" t="s">
        <v>1950</v>
      </c>
      <c r="O173" s="217" t="s">
        <v>751</v>
      </c>
      <c r="P173" s="11" t="str">
        <f t="shared" si="11"/>
        <v/>
      </c>
      <c r="Q173" s="78" t="s">
        <v>1688</v>
      </c>
      <c r="R173" s="74"/>
      <c r="S173" s="75"/>
      <c r="T173" s="12"/>
      <c r="U173" s="11"/>
      <c r="V173" s="12">
        <v>1.0</v>
      </c>
      <c r="W173" s="576"/>
    </row>
    <row r="174" ht="40.5" customHeight="1">
      <c r="A174" s="11">
        <v>173.0</v>
      </c>
      <c r="B174" s="11" t="s">
        <v>173</v>
      </c>
      <c r="C174" s="239" t="s">
        <v>805</v>
      </c>
      <c r="D174" s="240" t="s">
        <v>806</v>
      </c>
      <c r="E174" s="215" t="s">
        <v>489</v>
      </c>
      <c r="F174" s="216">
        <v>100.0</v>
      </c>
      <c r="G174" s="246" t="s">
        <v>1827</v>
      </c>
      <c r="H174" s="216">
        <v>100.0</v>
      </c>
      <c r="I174" s="216">
        <v>1.0</v>
      </c>
      <c r="J174" s="11">
        <f t="shared" si="5"/>
        <v>100</v>
      </c>
      <c r="K174" s="11" t="s">
        <v>178</v>
      </c>
      <c r="L174" s="93"/>
      <c r="M174" s="93" t="s">
        <v>2078</v>
      </c>
      <c r="N174" s="93" t="s">
        <v>1950</v>
      </c>
      <c r="O174" s="217" t="s">
        <v>755</v>
      </c>
      <c r="P174" s="11" t="str">
        <f t="shared" si="11"/>
        <v/>
      </c>
      <c r="Q174" s="78" t="s">
        <v>1688</v>
      </c>
      <c r="R174" s="74"/>
      <c r="S174" s="75"/>
      <c r="T174" s="12"/>
      <c r="U174" s="11"/>
      <c r="V174" s="12">
        <v>1.0</v>
      </c>
      <c r="W174" s="576"/>
    </row>
    <row r="175" ht="40.5" customHeight="1">
      <c r="A175" s="11">
        <v>174.0</v>
      </c>
      <c r="B175" s="11" t="s">
        <v>173</v>
      </c>
      <c r="C175" s="239" t="s">
        <v>721</v>
      </c>
      <c r="D175" s="240" t="s">
        <v>722</v>
      </c>
      <c r="E175" s="215" t="s">
        <v>489</v>
      </c>
      <c r="F175" s="216">
        <v>100.0</v>
      </c>
      <c r="G175" s="246" t="s">
        <v>1827</v>
      </c>
      <c r="H175" s="216">
        <v>100.0</v>
      </c>
      <c r="I175" s="216">
        <v>1.0</v>
      </c>
      <c r="J175" s="11">
        <f t="shared" si="5"/>
        <v>100</v>
      </c>
      <c r="K175" s="11" t="s">
        <v>178</v>
      </c>
      <c r="L175" s="93"/>
      <c r="M175" s="93" t="s">
        <v>2078</v>
      </c>
      <c r="N175" s="93" t="s">
        <v>1950</v>
      </c>
      <c r="O175" s="217" t="s">
        <v>759</v>
      </c>
      <c r="P175" s="11" t="str">
        <f t="shared" si="11"/>
        <v/>
      </c>
      <c r="Q175" s="78" t="s">
        <v>1688</v>
      </c>
      <c r="R175" s="74"/>
      <c r="S175" s="75"/>
      <c r="T175" s="12"/>
      <c r="U175" s="11"/>
      <c r="V175" s="12">
        <v>1.0</v>
      </c>
      <c r="W175" s="576"/>
    </row>
    <row r="176" ht="40.5" customHeight="1">
      <c r="A176" s="11">
        <v>175.0</v>
      </c>
      <c r="B176" s="11" t="s">
        <v>173</v>
      </c>
      <c r="C176" s="239" t="s">
        <v>737</v>
      </c>
      <c r="D176" s="240" t="s">
        <v>738</v>
      </c>
      <c r="E176" s="215" t="s">
        <v>489</v>
      </c>
      <c r="F176" s="216">
        <v>100.0</v>
      </c>
      <c r="G176" s="246" t="s">
        <v>1829</v>
      </c>
      <c r="H176" s="216">
        <v>100.0</v>
      </c>
      <c r="I176" s="216">
        <v>1.0</v>
      </c>
      <c r="J176" s="11">
        <f t="shared" si="5"/>
        <v>100</v>
      </c>
      <c r="K176" s="11" t="s">
        <v>178</v>
      </c>
      <c r="L176" s="93"/>
      <c r="M176" s="93" t="s">
        <v>2078</v>
      </c>
      <c r="N176" s="93" t="s">
        <v>1950</v>
      </c>
      <c r="O176" s="217" t="s">
        <v>763</v>
      </c>
      <c r="P176" s="11" t="str">
        <f t="shared" si="11"/>
        <v/>
      </c>
      <c r="Q176" s="78" t="s">
        <v>1688</v>
      </c>
      <c r="R176" s="74"/>
      <c r="S176" s="75"/>
      <c r="T176" s="12"/>
      <c r="U176" s="11"/>
      <c r="V176" s="12">
        <v>1.0</v>
      </c>
      <c r="W176" s="576"/>
    </row>
    <row r="177" ht="40.5" customHeight="1">
      <c r="A177" s="11">
        <v>176.0</v>
      </c>
      <c r="B177" s="11" t="s">
        <v>173</v>
      </c>
      <c r="C177" s="239" t="s">
        <v>821</v>
      </c>
      <c r="D177" s="240" t="s">
        <v>822</v>
      </c>
      <c r="E177" s="215" t="s">
        <v>489</v>
      </c>
      <c r="F177" s="216">
        <v>100.0</v>
      </c>
      <c r="G177" s="246" t="s">
        <v>1829</v>
      </c>
      <c r="H177" s="216">
        <v>100.0</v>
      </c>
      <c r="I177" s="216">
        <v>1.0</v>
      </c>
      <c r="J177" s="11">
        <f t="shared" si="5"/>
        <v>100</v>
      </c>
      <c r="K177" s="11" t="s">
        <v>178</v>
      </c>
      <c r="L177" s="93"/>
      <c r="M177" s="93" t="s">
        <v>2078</v>
      </c>
      <c r="N177" s="93" t="s">
        <v>1950</v>
      </c>
      <c r="O177" s="217" t="s">
        <v>767</v>
      </c>
      <c r="P177" s="11" t="str">
        <f t="shared" si="11"/>
        <v/>
      </c>
      <c r="Q177" s="78" t="s">
        <v>1688</v>
      </c>
      <c r="R177" s="74"/>
      <c r="S177" s="75"/>
      <c r="T177" s="12"/>
      <c r="U177" s="11"/>
      <c r="V177" s="12">
        <v>1.0</v>
      </c>
      <c r="W177" s="576"/>
    </row>
    <row r="178" ht="40.5" customHeight="1">
      <c r="A178" s="11">
        <v>177.0</v>
      </c>
      <c r="B178" s="11" t="s">
        <v>173</v>
      </c>
      <c r="C178" s="239" t="s">
        <v>757</v>
      </c>
      <c r="D178" s="240" t="s">
        <v>758</v>
      </c>
      <c r="E178" s="215" t="s">
        <v>489</v>
      </c>
      <c r="F178" s="216">
        <v>100.0</v>
      </c>
      <c r="G178" s="246" t="s">
        <v>1832</v>
      </c>
      <c r="H178" s="216">
        <v>100.0</v>
      </c>
      <c r="I178" s="216">
        <v>1.0</v>
      </c>
      <c r="J178" s="11">
        <f t="shared" si="5"/>
        <v>100</v>
      </c>
      <c r="K178" s="11" t="s">
        <v>178</v>
      </c>
      <c r="L178" s="93"/>
      <c r="M178" s="93" t="s">
        <v>2078</v>
      </c>
      <c r="N178" s="93" t="s">
        <v>1950</v>
      </c>
      <c r="O178" s="217" t="s">
        <v>771</v>
      </c>
      <c r="P178" s="11" t="str">
        <f t="shared" si="11"/>
        <v/>
      </c>
      <c r="Q178" s="78" t="s">
        <v>1688</v>
      </c>
      <c r="R178" s="74"/>
      <c r="S178" s="75"/>
      <c r="T178" s="12"/>
      <c r="U178" s="11"/>
      <c r="V178" s="12">
        <v>1.0</v>
      </c>
      <c r="W178" s="576"/>
    </row>
    <row r="179" ht="40.5" customHeight="1">
      <c r="A179" s="11">
        <v>178.0</v>
      </c>
      <c r="B179" s="11" t="s">
        <v>173</v>
      </c>
      <c r="C179" s="239" t="s">
        <v>777</v>
      </c>
      <c r="D179" s="240" t="s">
        <v>778</v>
      </c>
      <c r="E179" s="215" t="s">
        <v>489</v>
      </c>
      <c r="F179" s="216">
        <v>100.0</v>
      </c>
      <c r="G179" s="246" t="s">
        <v>1832</v>
      </c>
      <c r="H179" s="216">
        <v>100.0</v>
      </c>
      <c r="I179" s="216">
        <v>1.0</v>
      </c>
      <c r="J179" s="11">
        <f t="shared" si="5"/>
        <v>100</v>
      </c>
      <c r="K179" s="11" t="s">
        <v>178</v>
      </c>
      <c r="L179" s="93"/>
      <c r="M179" s="93" t="s">
        <v>2078</v>
      </c>
      <c r="N179" s="93" t="s">
        <v>1950</v>
      </c>
      <c r="O179" s="217" t="s">
        <v>775</v>
      </c>
      <c r="P179" s="11" t="str">
        <f t="shared" si="11"/>
        <v/>
      </c>
      <c r="Q179" s="78" t="s">
        <v>1688</v>
      </c>
      <c r="R179" s="74"/>
      <c r="S179" s="75"/>
      <c r="T179" s="12"/>
      <c r="U179" s="11"/>
      <c r="V179" s="12">
        <v>1.0</v>
      </c>
      <c r="W179" s="576"/>
    </row>
    <row r="180" ht="40.5" customHeight="1">
      <c r="A180" s="11">
        <v>179.0</v>
      </c>
      <c r="B180" s="11" t="s">
        <v>173</v>
      </c>
      <c r="C180" s="239" t="s">
        <v>669</v>
      </c>
      <c r="D180" s="240" t="s">
        <v>670</v>
      </c>
      <c r="E180" s="215" t="s">
        <v>489</v>
      </c>
      <c r="F180" s="216">
        <v>100.0</v>
      </c>
      <c r="G180" s="246" t="s">
        <v>1835</v>
      </c>
      <c r="H180" s="216">
        <v>100.0</v>
      </c>
      <c r="I180" s="216">
        <v>1.0</v>
      </c>
      <c r="J180" s="11">
        <f t="shared" si="5"/>
        <v>100</v>
      </c>
      <c r="K180" s="11" t="s">
        <v>178</v>
      </c>
      <c r="L180" s="93"/>
      <c r="M180" s="93" t="s">
        <v>2078</v>
      </c>
      <c r="N180" s="93" t="s">
        <v>1950</v>
      </c>
      <c r="O180" s="217" t="s">
        <v>779</v>
      </c>
      <c r="P180" s="11" t="str">
        <f t="shared" si="11"/>
        <v/>
      </c>
      <c r="Q180" s="78" t="s">
        <v>1688</v>
      </c>
      <c r="R180" s="74"/>
      <c r="S180" s="75"/>
      <c r="T180" s="12"/>
      <c r="U180" s="11"/>
      <c r="V180" s="12">
        <v>1.0</v>
      </c>
      <c r="W180" s="576"/>
    </row>
    <row r="181" ht="40.5" customHeight="1">
      <c r="A181" s="11">
        <v>180.0</v>
      </c>
      <c r="B181" s="11" t="s">
        <v>173</v>
      </c>
      <c r="C181" s="239" t="s">
        <v>785</v>
      </c>
      <c r="D181" s="240" t="s">
        <v>786</v>
      </c>
      <c r="E181" s="215" t="s">
        <v>489</v>
      </c>
      <c r="F181" s="216">
        <v>100.0</v>
      </c>
      <c r="G181" s="246" t="s">
        <v>1835</v>
      </c>
      <c r="H181" s="216">
        <v>100.0</v>
      </c>
      <c r="I181" s="216">
        <v>1.0</v>
      </c>
      <c r="J181" s="11">
        <f t="shared" si="5"/>
        <v>100</v>
      </c>
      <c r="K181" s="11" t="s">
        <v>178</v>
      </c>
      <c r="L181" s="93"/>
      <c r="M181" s="93" t="s">
        <v>2078</v>
      </c>
      <c r="N181" s="93" t="s">
        <v>1950</v>
      </c>
      <c r="O181" s="217" t="s">
        <v>783</v>
      </c>
      <c r="P181" s="11" t="str">
        <f t="shared" si="11"/>
        <v/>
      </c>
      <c r="Q181" s="78" t="s">
        <v>1688</v>
      </c>
      <c r="R181" s="74"/>
      <c r="S181" s="75"/>
      <c r="T181" s="12"/>
      <c r="U181" s="11"/>
      <c r="V181" s="12">
        <v>1.0</v>
      </c>
      <c r="W181" s="576"/>
    </row>
    <row r="182" ht="40.5" customHeight="1">
      <c r="A182" s="11">
        <v>181.0</v>
      </c>
      <c r="B182" s="11" t="s">
        <v>173</v>
      </c>
      <c r="C182" s="239" t="s">
        <v>673</v>
      </c>
      <c r="D182" s="240" t="s">
        <v>674</v>
      </c>
      <c r="E182" s="215" t="s">
        <v>489</v>
      </c>
      <c r="F182" s="216">
        <v>100.0</v>
      </c>
      <c r="G182" s="246" t="s">
        <v>1836</v>
      </c>
      <c r="H182" s="216">
        <v>100.0</v>
      </c>
      <c r="I182" s="216">
        <v>1.0</v>
      </c>
      <c r="J182" s="11">
        <f t="shared" si="5"/>
        <v>100</v>
      </c>
      <c r="K182" s="11" t="s">
        <v>178</v>
      </c>
      <c r="L182" s="93"/>
      <c r="M182" s="93" t="s">
        <v>2078</v>
      </c>
      <c r="N182" s="93" t="s">
        <v>1950</v>
      </c>
      <c r="O182" s="217" t="s">
        <v>787</v>
      </c>
      <c r="P182" s="11" t="str">
        <f t="shared" si="11"/>
        <v/>
      </c>
      <c r="Q182" s="78" t="s">
        <v>1688</v>
      </c>
      <c r="R182" s="74"/>
      <c r="S182" s="75"/>
      <c r="T182" s="12"/>
      <c r="U182" s="11"/>
      <c r="V182" s="12">
        <v>1.0</v>
      </c>
      <c r="W182" s="576"/>
    </row>
    <row r="183" ht="40.5" customHeight="1">
      <c r="A183" s="11">
        <v>182.0</v>
      </c>
      <c r="B183" s="11" t="s">
        <v>173</v>
      </c>
      <c r="C183" s="239" t="s">
        <v>693</v>
      </c>
      <c r="D183" s="240" t="s">
        <v>694</v>
      </c>
      <c r="E183" s="215" t="s">
        <v>489</v>
      </c>
      <c r="F183" s="216">
        <v>100.0</v>
      </c>
      <c r="G183" s="246" t="s">
        <v>1836</v>
      </c>
      <c r="H183" s="216">
        <v>100.0</v>
      </c>
      <c r="I183" s="216">
        <v>1.0</v>
      </c>
      <c r="J183" s="11">
        <f t="shared" si="5"/>
        <v>100</v>
      </c>
      <c r="K183" s="11" t="s">
        <v>178</v>
      </c>
      <c r="L183" s="93"/>
      <c r="M183" s="93" t="s">
        <v>2078</v>
      </c>
      <c r="N183" s="93" t="s">
        <v>1950</v>
      </c>
      <c r="O183" s="217" t="s">
        <v>791</v>
      </c>
      <c r="P183" s="11" t="str">
        <f t="shared" si="11"/>
        <v/>
      </c>
      <c r="Q183" s="78" t="s">
        <v>1688</v>
      </c>
      <c r="R183" s="74"/>
      <c r="S183" s="75"/>
      <c r="T183" s="12"/>
      <c r="U183" s="11"/>
      <c r="V183" s="12">
        <v>1.0</v>
      </c>
      <c r="W183" s="576"/>
    </row>
    <row r="184" ht="40.5" customHeight="1">
      <c r="A184" s="11">
        <v>183.0</v>
      </c>
      <c r="B184" s="11" t="s">
        <v>173</v>
      </c>
      <c r="C184" s="239" t="s">
        <v>801</v>
      </c>
      <c r="D184" s="240" t="s">
        <v>802</v>
      </c>
      <c r="E184" s="215" t="s">
        <v>489</v>
      </c>
      <c r="F184" s="216">
        <v>100.0</v>
      </c>
      <c r="G184" s="246" t="s">
        <v>1837</v>
      </c>
      <c r="H184" s="216">
        <v>100.0</v>
      </c>
      <c r="I184" s="216">
        <v>1.0</v>
      </c>
      <c r="J184" s="11">
        <f t="shared" si="5"/>
        <v>100</v>
      </c>
      <c r="K184" s="11" t="s">
        <v>178</v>
      </c>
      <c r="L184" s="93"/>
      <c r="M184" s="93" t="s">
        <v>2078</v>
      </c>
      <c r="N184" s="93" t="s">
        <v>1950</v>
      </c>
      <c r="O184" s="217" t="s">
        <v>795</v>
      </c>
      <c r="P184" s="11" t="str">
        <f t="shared" si="11"/>
        <v/>
      </c>
      <c r="Q184" s="78" t="s">
        <v>1688</v>
      </c>
      <c r="R184" s="74"/>
      <c r="S184" s="75"/>
      <c r="T184" s="12"/>
      <c r="U184" s="11"/>
      <c r="V184" s="12">
        <v>1.0</v>
      </c>
      <c r="W184" s="576"/>
    </row>
    <row r="185" ht="40.5" customHeight="1">
      <c r="A185" s="11">
        <v>184.0</v>
      </c>
      <c r="B185" s="11" t="s">
        <v>173</v>
      </c>
      <c r="C185" s="239" t="s">
        <v>713</v>
      </c>
      <c r="D185" s="240" t="s">
        <v>714</v>
      </c>
      <c r="E185" s="215" t="s">
        <v>489</v>
      </c>
      <c r="F185" s="216">
        <v>100.0</v>
      </c>
      <c r="G185" s="246" t="s">
        <v>1837</v>
      </c>
      <c r="H185" s="216">
        <v>100.0</v>
      </c>
      <c r="I185" s="216">
        <v>1.0</v>
      </c>
      <c r="J185" s="11">
        <f t="shared" si="5"/>
        <v>100</v>
      </c>
      <c r="K185" s="11" t="s">
        <v>178</v>
      </c>
      <c r="L185" s="93"/>
      <c r="M185" s="93" t="s">
        <v>2078</v>
      </c>
      <c r="N185" s="93" t="s">
        <v>1950</v>
      </c>
      <c r="O185" s="217" t="s">
        <v>799</v>
      </c>
      <c r="P185" s="11" t="str">
        <f t="shared" si="11"/>
        <v/>
      </c>
      <c r="Q185" s="78" t="s">
        <v>1688</v>
      </c>
      <c r="R185" s="74"/>
      <c r="S185" s="75"/>
      <c r="T185" s="12"/>
      <c r="U185" s="11"/>
      <c r="V185" s="12">
        <v>1.0</v>
      </c>
      <c r="W185" s="576"/>
    </row>
    <row r="186" ht="40.5" customHeight="1">
      <c r="A186" s="11">
        <v>185.0</v>
      </c>
      <c r="B186" s="11" t="s">
        <v>173</v>
      </c>
      <c r="C186" s="239" t="s">
        <v>729</v>
      </c>
      <c r="D186" s="240" t="s">
        <v>730</v>
      </c>
      <c r="E186" s="215" t="s">
        <v>489</v>
      </c>
      <c r="F186" s="216">
        <v>100.0</v>
      </c>
      <c r="G186" s="246" t="s">
        <v>1838</v>
      </c>
      <c r="H186" s="216">
        <v>100.0</v>
      </c>
      <c r="I186" s="216">
        <v>1.0</v>
      </c>
      <c r="J186" s="11">
        <f t="shared" si="5"/>
        <v>100</v>
      </c>
      <c r="K186" s="11" t="s">
        <v>178</v>
      </c>
      <c r="L186" s="93"/>
      <c r="M186" s="93" t="s">
        <v>2078</v>
      </c>
      <c r="N186" s="93" t="s">
        <v>1950</v>
      </c>
      <c r="O186" s="217" t="s">
        <v>803</v>
      </c>
      <c r="P186" s="11" t="str">
        <f t="shared" si="11"/>
        <v/>
      </c>
      <c r="Q186" s="78" t="s">
        <v>1688</v>
      </c>
      <c r="R186" s="74"/>
      <c r="S186" s="75"/>
      <c r="T186" s="12"/>
      <c r="U186" s="11"/>
      <c r="V186" s="12">
        <v>1.0</v>
      </c>
      <c r="W186" s="576"/>
    </row>
    <row r="187" ht="40.5" customHeight="1">
      <c r="A187" s="11">
        <v>186.0</v>
      </c>
      <c r="B187" s="11" t="s">
        <v>173</v>
      </c>
      <c r="C187" s="239" t="s">
        <v>813</v>
      </c>
      <c r="D187" s="240" t="s">
        <v>814</v>
      </c>
      <c r="E187" s="215" t="s">
        <v>489</v>
      </c>
      <c r="F187" s="216">
        <v>100.0</v>
      </c>
      <c r="G187" s="246" t="s">
        <v>1838</v>
      </c>
      <c r="H187" s="216">
        <v>100.0</v>
      </c>
      <c r="I187" s="216">
        <v>1.0</v>
      </c>
      <c r="J187" s="11">
        <f t="shared" si="5"/>
        <v>100</v>
      </c>
      <c r="K187" s="11" t="s">
        <v>178</v>
      </c>
      <c r="L187" s="93"/>
      <c r="M187" s="93" t="s">
        <v>2078</v>
      </c>
      <c r="N187" s="93" t="s">
        <v>1950</v>
      </c>
      <c r="O187" s="217" t="s">
        <v>807</v>
      </c>
      <c r="P187" s="11" t="str">
        <f t="shared" si="11"/>
        <v/>
      </c>
      <c r="Q187" s="78" t="s">
        <v>1688</v>
      </c>
      <c r="R187" s="74"/>
      <c r="S187" s="75"/>
      <c r="T187" s="12"/>
      <c r="U187" s="11"/>
      <c r="V187" s="12">
        <v>1.0</v>
      </c>
      <c r="W187" s="576"/>
    </row>
    <row r="188" ht="40.5" customHeight="1">
      <c r="A188" s="11">
        <v>187.0</v>
      </c>
      <c r="B188" s="11" t="s">
        <v>173</v>
      </c>
      <c r="C188" s="239" t="s">
        <v>749</v>
      </c>
      <c r="D188" s="240" t="s">
        <v>750</v>
      </c>
      <c r="E188" s="215" t="s">
        <v>489</v>
      </c>
      <c r="F188" s="216">
        <v>100.0</v>
      </c>
      <c r="G188" s="246" t="s">
        <v>1839</v>
      </c>
      <c r="H188" s="216">
        <v>100.0</v>
      </c>
      <c r="I188" s="216">
        <v>1.0</v>
      </c>
      <c r="J188" s="11">
        <f t="shared" si="5"/>
        <v>100</v>
      </c>
      <c r="K188" s="11" t="s">
        <v>178</v>
      </c>
      <c r="L188" s="93"/>
      <c r="M188" s="93" t="s">
        <v>2078</v>
      </c>
      <c r="N188" s="93" t="s">
        <v>1950</v>
      </c>
      <c r="O188" s="217" t="s">
        <v>811</v>
      </c>
      <c r="P188" s="11" t="str">
        <f t="shared" si="11"/>
        <v/>
      </c>
      <c r="Q188" s="78" t="s">
        <v>1688</v>
      </c>
      <c r="R188" s="74"/>
      <c r="S188" s="75"/>
      <c r="T188" s="12"/>
      <c r="U188" s="11"/>
      <c r="V188" s="12">
        <v>1.0</v>
      </c>
      <c r="W188" s="576"/>
    </row>
    <row r="189" ht="40.5" customHeight="1">
      <c r="A189" s="11">
        <v>188.0</v>
      </c>
      <c r="B189" s="11" t="s">
        <v>173</v>
      </c>
      <c r="C189" s="239" t="s">
        <v>761</v>
      </c>
      <c r="D189" s="240" t="s">
        <v>762</v>
      </c>
      <c r="E189" s="215" t="s">
        <v>489</v>
      </c>
      <c r="F189" s="216">
        <v>100.0</v>
      </c>
      <c r="G189" s="246" t="s">
        <v>1839</v>
      </c>
      <c r="H189" s="216">
        <v>100.0</v>
      </c>
      <c r="I189" s="216">
        <v>1.0</v>
      </c>
      <c r="J189" s="11">
        <f t="shared" si="5"/>
        <v>100</v>
      </c>
      <c r="K189" s="11" t="s">
        <v>178</v>
      </c>
      <c r="L189" s="93"/>
      <c r="M189" s="93" t="s">
        <v>2078</v>
      </c>
      <c r="N189" s="93" t="s">
        <v>1950</v>
      </c>
      <c r="O189" s="217" t="s">
        <v>815</v>
      </c>
      <c r="P189" s="11" t="str">
        <f t="shared" si="11"/>
        <v/>
      </c>
      <c r="Q189" s="78" t="s">
        <v>1688</v>
      </c>
      <c r="R189" s="74"/>
      <c r="S189" s="75"/>
      <c r="T189" s="12"/>
      <c r="U189" s="11"/>
      <c r="V189" s="12">
        <v>1.0</v>
      </c>
      <c r="W189" s="576"/>
    </row>
    <row r="190" ht="40.5" customHeight="1">
      <c r="A190" s="11">
        <v>189.0</v>
      </c>
      <c r="B190" s="11" t="s">
        <v>173</v>
      </c>
      <c r="C190" s="239" t="s">
        <v>769</v>
      </c>
      <c r="D190" s="240" t="s">
        <v>770</v>
      </c>
      <c r="E190" s="215" t="s">
        <v>489</v>
      </c>
      <c r="F190" s="216">
        <v>100.0</v>
      </c>
      <c r="G190" s="246" t="s">
        <v>1840</v>
      </c>
      <c r="H190" s="216">
        <v>100.0</v>
      </c>
      <c r="I190" s="216">
        <v>1.0</v>
      </c>
      <c r="J190" s="11">
        <f t="shared" si="5"/>
        <v>100</v>
      </c>
      <c r="K190" s="11" t="s">
        <v>178</v>
      </c>
      <c r="L190" s="93"/>
      <c r="M190" s="93" t="s">
        <v>2078</v>
      </c>
      <c r="N190" s="93" t="s">
        <v>1950</v>
      </c>
      <c r="O190" s="217" t="s">
        <v>819</v>
      </c>
      <c r="P190" s="11" t="str">
        <f t="shared" si="11"/>
        <v/>
      </c>
      <c r="Q190" s="78" t="s">
        <v>1688</v>
      </c>
      <c r="R190" s="74"/>
      <c r="S190" s="75"/>
      <c r="T190" s="12"/>
      <c r="U190" s="11"/>
      <c r="V190" s="12">
        <v>1.0</v>
      </c>
      <c r="W190" s="576"/>
    </row>
    <row r="191" ht="40.5" customHeight="1">
      <c r="A191" s="11">
        <v>190.0</v>
      </c>
      <c r="B191" s="11" t="s">
        <v>173</v>
      </c>
      <c r="C191" s="239" t="s">
        <v>681</v>
      </c>
      <c r="D191" s="240" t="s">
        <v>682</v>
      </c>
      <c r="E191" s="215" t="s">
        <v>489</v>
      </c>
      <c r="F191" s="216">
        <v>100.0</v>
      </c>
      <c r="G191" s="246" t="s">
        <v>1840</v>
      </c>
      <c r="H191" s="216">
        <v>100.0</v>
      </c>
      <c r="I191" s="216">
        <v>1.0</v>
      </c>
      <c r="J191" s="11">
        <f t="shared" si="5"/>
        <v>100</v>
      </c>
      <c r="K191" s="11" t="s">
        <v>178</v>
      </c>
      <c r="L191" s="93"/>
      <c r="M191" s="93" t="s">
        <v>2078</v>
      </c>
      <c r="N191" s="93" t="s">
        <v>1950</v>
      </c>
      <c r="O191" s="217" t="s">
        <v>823</v>
      </c>
      <c r="P191" s="11" t="str">
        <f t="shared" si="11"/>
        <v/>
      </c>
      <c r="Q191" s="78" t="s">
        <v>1688</v>
      </c>
      <c r="R191" s="74"/>
      <c r="S191" s="75"/>
      <c r="T191" s="12"/>
      <c r="U191" s="11"/>
      <c r="V191" s="12">
        <v>1.0</v>
      </c>
      <c r="W191" s="576"/>
    </row>
    <row r="192" ht="40.5" customHeight="1">
      <c r="A192" s="11">
        <v>191.0</v>
      </c>
      <c r="B192" s="11" t="s">
        <v>173</v>
      </c>
      <c r="C192" s="11" t="s">
        <v>825</v>
      </c>
      <c r="D192" s="93" t="s">
        <v>826</v>
      </c>
      <c r="E192" s="215" t="s">
        <v>489</v>
      </c>
      <c r="F192" s="216">
        <v>100.0</v>
      </c>
      <c r="G192" s="11" t="s">
        <v>1857</v>
      </c>
      <c r="H192" s="216">
        <v>100.0</v>
      </c>
      <c r="I192" s="216">
        <v>3.0</v>
      </c>
      <c r="J192" s="11">
        <f t="shared" si="5"/>
        <v>300</v>
      </c>
      <c r="K192" s="11" t="s">
        <v>178</v>
      </c>
      <c r="L192" s="93"/>
      <c r="M192" s="93" t="s">
        <v>2078</v>
      </c>
      <c r="N192" s="93" t="s">
        <v>1951</v>
      </c>
      <c r="O192" s="217" t="s">
        <v>827</v>
      </c>
      <c r="P192" s="11" t="str">
        <f>IMAGE("https://encrypted-tbn0.gstatic.com/images?q=tbn:ANd9GcR-ur1Cl_3Rq82qZ9KbLtZX3U_7cevDQWdUVA&amp;usqp=CAU",1)</f>
        <v/>
      </c>
      <c r="Q192" s="78" t="s">
        <v>1688</v>
      </c>
      <c r="R192" s="74"/>
      <c r="S192" s="75"/>
      <c r="T192" s="12"/>
      <c r="U192" s="11"/>
      <c r="V192" s="12">
        <v>1.0</v>
      </c>
      <c r="W192" s="576"/>
    </row>
    <row r="193" ht="40.5" customHeight="1">
      <c r="A193" s="11">
        <v>192.0</v>
      </c>
      <c r="B193" s="11" t="s">
        <v>173</v>
      </c>
      <c r="C193" s="11" t="s">
        <v>829</v>
      </c>
      <c r="D193" s="93" t="s">
        <v>830</v>
      </c>
      <c r="E193" s="215" t="s">
        <v>489</v>
      </c>
      <c r="F193" s="216">
        <v>50.0</v>
      </c>
      <c r="G193" s="11" t="s">
        <v>1857</v>
      </c>
      <c r="H193" s="216">
        <v>50.0</v>
      </c>
      <c r="I193" s="216">
        <v>10.0</v>
      </c>
      <c r="J193" s="11">
        <f t="shared" si="5"/>
        <v>500</v>
      </c>
      <c r="K193" s="11" t="s">
        <v>178</v>
      </c>
      <c r="L193" s="93"/>
      <c r="M193" s="93" t="s">
        <v>2078</v>
      </c>
      <c r="N193" s="93" t="s">
        <v>1951</v>
      </c>
      <c r="O193" s="217" t="s">
        <v>831</v>
      </c>
      <c r="P193" s="11" t="str">
        <f>IMAGE("https://m.media-amazon.com/images/I/51khY6g46VL._AC_SL1500_.jpg",1)</f>
        <v/>
      </c>
      <c r="Q193" s="78" t="s">
        <v>1688</v>
      </c>
      <c r="R193" s="74"/>
      <c r="S193" s="75"/>
      <c r="T193" s="12"/>
      <c r="U193" s="11"/>
      <c r="V193" s="12">
        <v>1.0</v>
      </c>
      <c r="W193" s="576"/>
    </row>
    <row r="194" ht="40.5" customHeight="1">
      <c r="A194" s="11">
        <v>193.0</v>
      </c>
      <c r="B194" s="11" t="s">
        <v>173</v>
      </c>
      <c r="C194" s="11" t="s">
        <v>833</v>
      </c>
      <c r="D194" s="93" t="s">
        <v>834</v>
      </c>
      <c r="E194" s="215" t="s">
        <v>489</v>
      </c>
      <c r="F194" s="216">
        <v>50.0</v>
      </c>
      <c r="G194" s="249" t="s">
        <v>1859</v>
      </c>
      <c r="H194" s="216">
        <v>50.0</v>
      </c>
      <c r="I194" s="216">
        <v>10.0</v>
      </c>
      <c r="J194" s="11">
        <f t="shared" si="5"/>
        <v>500</v>
      </c>
      <c r="K194" s="11" t="s">
        <v>178</v>
      </c>
      <c r="L194" s="93"/>
      <c r="M194" s="93" t="s">
        <v>2078</v>
      </c>
      <c r="N194" s="93" t="s">
        <v>1951</v>
      </c>
      <c r="O194" s="217" t="s">
        <v>835</v>
      </c>
      <c r="P194" s="11" t="str">
        <f>IMAGE("https://etstore.in/wp-content/uploads/2021/12/IMG_20201130_100203.png",1)</f>
        <v/>
      </c>
      <c r="Q194" s="78" t="s">
        <v>1688</v>
      </c>
      <c r="R194" s="79"/>
      <c r="S194" s="80"/>
      <c r="T194" s="12"/>
      <c r="U194" s="11"/>
      <c r="V194" s="12">
        <v>1.0</v>
      </c>
      <c r="W194" s="576"/>
    </row>
    <row r="195" ht="40.5" customHeight="1">
      <c r="A195" s="11">
        <v>194.0</v>
      </c>
      <c r="B195" s="11" t="s">
        <v>173</v>
      </c>
      <c r="C195" s="11" t="s">
        <v>837</v>
      </c>
      <c r="D195" s="93" t="s">
        <v>838</v>
      </c>
      <c r="E195" s="215" t="s">
        <v>489</v>
      </c>
      <c r="F195" s="216">
        <v>50.0</v>
      </c>
      <c r="G195" s="246" t="s">
        <v>1859</v>
      </c>
      <c r="H195" s="216">
        <v>50.0</v>
      </c>
      <c r="I195" s="216">
        <v>10.0</v>
      </c>
      <c r="J195" s="11">
        <f t="shared" si="5"/>
        <v>500</v>
      </c>
      <c r="K195" s="11" t="s">
        <v>178</v>
      </c>
      <c r="L195" s="93"/>
      <c r="M195" s="93" t="s">
        <v>2078</v>
      </c>
      <c r="N195" s="93" t="s">
        <v>1951</v>
      </c>
      <c r="O195" s="217" t="s">
        <v>839</v>
      </c>
      <c r="P195" s="11" t="str">
        <f>IMAGE("https://m.media-amazon.com/images/I/71UDXftBeaL._SX466_.jpg",1)</f>
        <v/>
      </c>
      <c r="Q195" s="78" t="s">
        <v>1688</v>
      </c>
      <c r="R195" s="74"/>
      <c r="S195" s="75"/>
      <c r="T195" s="12"/>
      <c r="U195" s="11"/>
      <c r="V195" s="12">
        <v>1.0</v>
      </c>
      <c r="W195" s="576"/>
    </row>
    <row r="196" ht="40.5" customHeight="1">
      <c r="A196" s="11">
        <v>195.0</v>
      </c>
      <c r="B196" s="11" t="s">
        <v>173</v>
      </c>
      <c r="C196" s="11" t="s">
        <v>841</v>
      </c>
      <c r="D196" s="93" t="s">
        <v>842</v>
      </c>
      <c r="E196" s="215" t="s">
        <v>489</v>
      </c>
      <c r="F196" s="216">
        <v>50.0</v>
      </c>
      <c r="G196" s="245" t="s">
        <v>1833</v>
      </c>
      <c r="H196" s="216">
        <v>50.0</v>
      </c>
      <c r="I196" s="216">
        <v>10.0</v>
      </c>
      <c r="J196" s="11">
        <f t="shared" si="5"/>
        <v>500</v>
      </c>
      <c r="K196" s="11" t="s">
        <v>178</v>
      </c>
      <c r="L196" s="93"/>
      <c r="M196" s="93" t="s">
        <v>2070</v>
      </c>
      <c r="N196" s="93" t="s">
        <v>1951</v>
      </c>
      <c r="O196" s="217" t="s">
        <v>843</v>
      </c>
      <c r="P196" s="11" t="str">
        <f>IMAGE("https://m.media-amazon.com/images/I/4116hBQx0XL._SX425_.jpg",1)</f>
        <v/>
      </c>
      <c r="Q196" s="78" t="s">
        <v>1688</v>
      </c>
      <c r="R196" s="79"/>
      <c r="S196" s="80"/>
      <c r="T196" s="12"/>
      <c r="U196" s="11"/>
      <c r="V196" s="12">
        <v>1.0</v>
      </c>
      <c r="W196" s="576"/>
    </row>
    <row r="197" ht="40.5" customHeight="1">
      <c r="A197" s="11">
        <v>196.0</v>
      </c>
      <c r="B197" s="11" t="s">
        <v>173</v>
      </c>
      <c r="C197" s="11" t="s">
        <v>845</v>
      </c>
      <c r="D197" s="93" t="s">
        <v>2085</v>
      </c>
      <c r="E197" s="215" t="s">
        <v>489</v>
      </c>
      <c r="F197" s="216">
        <v>20.0</v>
      </c>
      <c r="G197" s="245" t="s">
        <v>1864</v>
      </c>
      <c r="H197" s="216">
        <v>20.0</v>
      </c>
      <c r="I197" s="216">
        <v>5.0</v>
      </c>
      <c r="J197" s="11">
        <f t="shared" si="5"/>
        <v>100</v>
      </c>
      <c r="K197" s="11" t="s">
        <v>178</v>
      </c>
      <c r="L197" s="93"/>
      <c r="M197" s="93" t="s">
        <v>2078</v>
      </c>
      <c r="N197" s="93" t="s">
        <v>1944</v>
      </c>
      <c r="O197" s="217" t="s">
        <v>847</v>
      </c>
      <c r="P197" s="11" t="str">
        <f>IMAGE("https://potentiallabs.com/cart/image/cache/catalog/2021/555-timer-ic-400x400.jpeg",1)</f>
        <v/>
      </c>
      <c r="Q197" s="78" t="s">
        <v>1688</v>
      </c>
      <c r="R197" s="74"/>
      <c r="S197" s="75"/>
      <c r="T197" s="12"/>
      <c r="U197" s="11"/>
      <c r="V197" s="12">
        <v>1.0</v>
      </c>
      <c r="W197" s="576"/>
    </row>
    <row r="198" ht="40.5" customHeight="1">
      <c r="A198" s="11">
        <v>197.0</v>
      </c>
      <c r="B198" s="11" t="s">
        <v>173</v>
      </c>
      <c r="C198" s="11" t="s">
        <v>849</v>
      </c>
      <c r="D198" s="93" t="s">
        <v>850</v>
      </c>
      <c r="E198" s="215" t="s">
        <v>489</v>
      </c>
      <c r="F198" s="216">
        <v>100.0</v>
      </c>
      <c r="G198" s="246" t="s">
        <v>1847</v>
      </c>
      <c r="H198" s="216">
        <v>100.0</v>
      </c>
      <c r="I198" s="216">
        <v>5.0</v>
      </c>
      <c r="J198" s="11">
        <f t="shared" si="5"/>
        <v>500</v>
      </c>
      <c r="K198" s="11" t="s">
        <v>178</v>
      </c>
      <c r="L198" s="93"/>
      <c r="M198" s="93" t="s">
        <v>2078</v>
      </c>
      <c r="N198" s="93" t="s">
        <v>1953</v>
      </c>
      <c r="O198" s="217" t="s">
        <v>851</v>
      </c>
      <c r="P198" s="11" t="str">
        <f>IMAGE("https://5.imimg.com/data5/SELLER/Default/2020/8/IJ/BD/HA/84543611/2n3904-transistor-500x500.jpg",1)</f>
        <v/>
      </c>
      <c r="Q198" s="78" t="s">
        <v>1688</v>
      </c>
      <c r="R198" s="74"/>
      <c r="S198" s="75"/>
      <c r="T198" s="12"/>
      <c r="U198" s="11"/>
      <c r="V198" s="12">
        <v>1.0</v>
      </c>
      <c r="W198" s="576"/>
    </row>
    <row r="199" ht="40.5" customHeight="1">
      <c r="A199" s="11">
        <v>198.0</v>
      </c>
      <c r="B199" s="11" t="s">
        <v>173</v>
      </c>
      <c r="C199" s="11" t="s">
        <v>853</v>
      </c>
      <c r="D199" s="93" t="s">
        <v>854</v>
      </c>
      <c r="E199" s="215" t="s">
        <v>489</v>
      </c>
      <c r="F199" s="216">
        <v>100.0</v>
      </c>
      <c r="G199" s="249" t="s">
        <v>1848</v>
      </c>
      <c r="H199" s="216">
        <v>100.0</v>
      </c>
      <c r="I199" s="216">
        <v>5.0</v>
      </c>
      <c r="J199" s="11">
        <f t="shared" si="5"/>
        <v>500</v>
      </c>
      <c r="K199" s="11" t="s">
        <v>178</v>
      </c>
      <c r="L199" s="93"/>
      <c r="M199" s="93" t="s">
        <v>2078</v>
      </c>
      <c r="N199" s="93" t="s">
        <v>1953</v>
      </c>
      <c r="O199" s="217" t="s">
        <v>855</v>
      </c>
      <c r="P199" s="11" t="str">
        <f>IMAGE("https://rukminim2.flixcart.com/image/832/832/k44hksw0/transistor/d/m/d/100-pics-bc547-npn-transistor-sme-original-imafn3dfw2fqwgxg.jpeg?q=70",1)</f>
        <v/>
      </c>
      <c r="Q199" s="78" t="s">
        <v>1688</v>
      </c>
      <c r="R199" s="74"/>
      <c r="S199" s="75"/>
      <c r="T199" s="12"/>
      <c r="U199" s="11"/>
      <c r="V199" s="12">
        <v>1.0</v>
      </c>
      <c r="W199" s="576"/>
    </row>
    <row r="200" ht="40.5" customHeight="1">
      <c r="A200" s="11">
        <v>199.0</v>
      </c>
      <c r="B200" s="11" t="s">
        <v>173</v>
      </c>
      <c r="C200" s="11" t="s">
        <v>857</v>
      </c>
      <c r="D200" s="93" t="s">
        <v>858</v>
      </c>
      <c r="E200" s="215" t="s">
        <v>489</v>
      </c>
      <c r="F200" s="216">
        <v>100.0</v>
      </c>
      <c r="G200" s="11" t="s">
        <v>1848</v>
      </c>
      <c r="H200" s="216">
        <v>100.0</v>
      </c>
      <c r="I200" s="216">
        <v>5.0</v>
      </c>
      <c r="J200" s="11">
        <f t="shared" si="5"/>
        <v>500</v>
      </c>
      <c r="K200" s="11" t="s">
        <v>178</v>
      </c>
      <c r="L200" s="93"/>
      <c r="M200" s="93" t="s">
        <v>2078</v>
      </c>
      <c r="N200" s="93" t="s">
        <v>1953</v>
      </c>
      <c r="O200" s="217" t="s">
        <v>859</v>
      </c>
      <c r="P200" s="11" t="str">
        <f>IMAGE("https://m.media-amazon.com/images/W/MEDIAX_792452-T2/images/I/31po6g2eu+L.jpg",1)</f>
        <v/>
      </c>
      <c r="Q200" s="78" t="s">
        <v>1688</v>
      </c>
      <c r="R200" s="74"/>
      <c r="S200" s="75"/>
      <c r="T200" s="12"/>
      <c r="U200" s="11"/>
      <c r="V200" s="12">
        <v>1.0</v>
      </c>
      <c r="W200" s="576"/>
    </row>
    <row r="201" ht="40.5" customHeight="1">
      <c r="A201" s="11">
        <v>200.0</v>
      </c>
      <c r="B201" s="11" t="s">
        <v>173</v>
      </c>
      <c r="C201" s="11" t="s">
        <v>861</v>
      </c>
      <c r="D201" s="93" t="s">
        <v>862</v>
      </c>
      <c r="E201" s="215" t="s">
        <v>489</v>
      </c>
      <c r="F201" s="216">
        <v>100.0</v>
      </c>
      <c r="G201" s="11" t="s">
        <v>1848</v>
      </c>
      <c r="H201" s="216">
        <v>100.0</v>
      </c>
      <c r="I201" s="216">
        <v>5.0</v>
      </c>
      <c r="J201" s="11">
        <f t="shared" si="5"/>
        <v>500</v>
      </c>
      <c r="K201" s="11" t="s">
        <v>178</v>
      </c>
      <c r="L201" s="93"/>
      <c r="M201" s="93" t="s">
        <v>2078</v>
      </c>
      <c r="N201" s="93" t="s">
        <v>1953</v>
      </c>
      <c r="O201" s="217" t="s">
        <v>863</v>
      </c>
      <c r="P201" s="11" t="str">
        <f>IMAGE("https://5.imimg.com/data5/MA/XW/GW/SELLER-84581978/cdil-transistor-bc557-500x500.jpg",1)</f>
        <v/>
      </c>
      <c r="Q201" s="78" t="s">
        <v>1688</v>
      </c>
      <c r="R201" s="74"/>
      <c r="S201" s="75"/>
      <c r="T201" s="12"/>
      <c r="U201" s="11"/>
      <c r="V201" s="12">
        <v>1.0</v>
      </c>
      <c r="W201" s="576"/>
    </row>
    <row r="202" ht="40.5" customHeight="1">
      <c r="A202" s="11">
        <v>201.0</v>
      </c>
      <c r="B202" s="11" t="s">
        <v>173</v>
      </c>
      <c r="C202" s="11" t="s">
        <v>865</v>
      </c>
      <c r="D202" s="93" t="s">
        <v>866</v>
      </c>
      <c r="E202" s="215" t="s">
        <v>489</v>
      </c>
      <c r="F202" s="216">
        <v>100.0</v>
      </c>
      <c r="G202" s="245" t="s">
        <v>1849</v>
      </c>
      <c r="H202" s="216">
        <v>100.0</v>
      </c>
      <c r="I202" s="216">
        <v>5.0</v>
      </c>
      <c r="J202" s="11">
        <f t="shared" si="5"/>
        <v>500</v>
      </c>
      <c r="K202" s="11" t="s">
        <v>178</v>
      </c>
      <c r="L202" s="93"/>
      <c r="M202" s="93" t="s">
        <v>2078</v>
      </c>
      <c r="N202" s="93" t="s">
        <v>1953</v>
      </c>
      <c r="O202" s="217" t="s">
        <v>867</v>
      </c>
      <c r="P202" s="11" t="str">
        <f>IMAGE("https://www.chipmart.in/wp-content/uploads/2022/08/SL100-NPN-General-Purpose-Medium-Power-Transistor-50V-500mA.png",1)</f>
        <v/>
      </c>
      <c r="Q202" s="78" t="s">
        <v>1688</v>
      </c>
      <c r="R202" s="74"/>
      <c r="S202" s="75"/>
      <c r="T202" s="12"/>
      <c r="U202" s="11"/>
      <c r="V202" s="12">
        <v>1.0</v>
      </c>
      <c r="W202" s="576"/>
    </row>
    <row r="203" ht="40.5" customHeight="1">
      <c r="A203" s="11">
        <v>202.0</v>
      </c>
      <c r="B203" s="11" t="s">
        <v>173</v>
      </c>
      <c r="C203" s="11" t="s">
        <v>869</v>
      </c>
      <c r="D203" s="93" t="s">
        <v>870</v>
      </c>
      <c r="E203" s="215" t="s">
        <v>489</v>
      </c>
      <c r="F203" s="216">
        <v>100.0</v>
      </c>
      <c r="G203" s="11" t="s">
        <v>1847</v>
      </c>
      <c r="H203" s="216">
        <v>100.0</v>
      </c>
      <c r="I203" s="216">
        <v>5.0</v>
      </c>
      <c r="J203" s="11">
        <f t="shared" si="5"/>
        <v>500</v>
      </c>
      <c r="K203" s="11" t="s">
        <v>178</v>
      </c>
      <c r="L203" s="93"/>
      <c r="M203" s="93" t="s">
        <v>2078</v>
      </c>
      <c r="N203" s="93" t="s">
        <v>1953</v>
      </c>
      <c r="O203" s="217" t="s">
        <v>871</v>
      </c>
      <c r="P203" s="11" t="str">
        <f>IMAGE("https://5.imimg.com/data5/WJ/EW/MY-25117786/2n2222-npn-transistors-500x500.jpg",1)</f>
        <v/>
      </c>
      <c r="Q203" s="78" t="s">
        <v>1688</v>
      </c>
      <c r="R203" s="74"/>
      <c r="S203" s="75"/>
      <c r="T203" s="12"/>
      <c r="U203" s="11"/>
      <c r="V203" s="12">
        <v>1.0</v>
      </c>
      <c r="W203" s="576"/>
    </row>
    <row r="204" ht="40.5" customHeight="1">
      <c r="A204" s="11">
        <v>203.0</v>
      </c>
      <c r="B204" s="11" t="s">
        <v>173</v>
      </c>
      <c r="C204" s="11" t="s">
        <v>873</v>
      </c>
      <c r="D204" s="93" t="s">
        <v>874</v>
      </c>
      <c r="E204" s="215" t="s">
        <v>489</v>
      </c>
      <c r="F204" s="216">
        <v>20.0</v>
      </c>
      <c r="G204" s="11" t="s">
        <v>1841</v>
      </c>
      <c r="H204" s="216">
        <v>20.0</v>
      </c>
      <c r="I204" s="216">
        <v>10.0</v>
      </c>
      <c r="J204" s="11">
        <f t="shared" si="5"/>
        <v>200</v>
      </c>
      <c r="K204" s="11" t="s">
        <v>178</v>
      </c>
      <c r="L204" s="93"/>
      <c r="M204" s="93" t="s">
        <v>2078</v>
      </c>
      <c r="N204" s="93" t="s">
        <v>1949</v>
      </c>
      <c r="O204" s="217" t="s">
        <v>875</v>
      </c>
      <c r="P204" s="11" t="str">
        <f t="shared" ref="P204:P206" si="12">IMAGE("https://probots.co.in/pub/media/catalog/product/cache/d8ddd0f9b0cd008b57085cd218b48832/1/k/1k_ohm_variable_resistor_potentiometer1-1000x1000_12.jpg",1)</f>
        <v/>
      </c>
      <c r="Q204" s="78" t="s">
        <v>1688</v>
      </c>
      <c r="R204" s="74"/>
      <c r="S204" s="75"/>
      <c r="T204" s="12"/>
      <c r="U204" s="11"/>
      <c r="V204" s="12">
        <v>1.0</v>
      </c>
      <c r="W204" s="576"/>
    </row>
    <row r="205" ht="40.5" customHeight="1">
      <c r="A205" s="11">
        <v>204.0</v>
      </c>
      <c r="B205" s="11" t="s">
        <v>173</v>
      </c>
      <c r="C205" s="11" t="s">
        <v>877</v>
      </c>
      <c r="D205" s="93" t="s">
        <v>878</v>
      </c>
      <c r="E205" s="215" t="s">
        <v>489</v>
      </c>
      <c r="F205" s="216">
        <v>20.0</v>
      </c>
      <c r="G205" s="11" t="s">
        <v>1841</v>
      </c>
      <c r="H205" s="216">
        <v>20.0</v>
      </c>
      <c r="I205" s="216">
        <v>10.0</v>
      </c>
      <c r="J205" s="11">
        <f t="shared" si="5"/>
        <v>200</v>
      </c>
      <c r="K205" s="11" t="s">
        <v>178</v>
      </c>
      <c r="L205" s="93"/>
      <c r="M205" s="93" t="s">
        <v>2078</v>
      </c>
      <c r="N205" s="93" t="s">
        <v>1949</v>
      </c>
      <c r="O205" s="217" t="s">
        <v>879</v>
      </c>
      <c r="P205" s="11" t="str">
        <f t="shared" si="12"/>
        <v/>
      </c>
      <c r="Q205" s="78" t="s">
        <v>1688</v>
      </c>
      <c r="R205" s="74"/>
      <c r="S205" s="75"/>
      <c r="T205" s="12"/>
      <c r="U205" s="11"/>
      <c r="V205" s="12">
        <v>1.0</v>
      </c>
      <c r="W205" s="576"/>
    </row>
    <row r="206" ht="40.5" customHeight="1">
      <c r="A206" s="11">
        <v>205.0</v>
      </c>
      <c r="B206" s="11" t="s">
        <v>173</v>
      </c>
      <c r="C206" s="11" t="s">
        <v>881</v>
      </c>
      <c r="D206" s="93" t="s">
        <v>882</v>
      </c>
      <c r="E206" s="215" t="s">
        <v>489</v>
      </c>
      <c r="F206" s="216">
        <v>20.0</v>
      </c>
      <c r="G206" s="11" t="s">
        <v>1841</v>
      </c>
      <c r="H206" s="216">
        <v>20.0</v>
      </c>
      <c r="I206" s="216">
        <v>10.0</v>
      </c>
      <c r="J206" s="11">
        <f t="shared" si="5"/>
        <v>200</v>
      </c>
      <c r="K206" s="11" t="s">
        <v>178</v>
      </c>
      <c r="L206" s="93"/>
      <c r="M206" s="93" t="s">
        <v>2078</v>
      </c>
      <c r="N206" s="93" t="s">
        <v>1949</v>
      </c>
      <c r="O206" s="217" t="s">
        <v>883</v>
      </c>
      <c r="P206" s="11" t="str">
        <f t="shared" si="12"/>
        <v/>
      </c>
      <c r="Q206" s="78" t="s">
        <v>1688</v>
      </c>
      <c r="R206" s="74"/>
      <c r="S206" s="75"/>
      <c r="T206" s="12"/>
      <c r="U206" s="11"/>
      <c r="V206" s="12">
        <v>1.0</v>
      </c>
      <c r="W206" s="576"/>
    </row>
    <row r="207" ht="40.5" customHeight="1">
      <c r="A207" s="11">
        <v>206.0</v>
      </c>
      <c r="B207" s="11" t="s">
        <v>173</v>
      </c>
      <c r="C207" s="11" t="s">
        <v>885</v>
      </c>
      <c r="D207" s="93" t="s">
        <v>886</v>
      </c>
      <c r="E207" s="215" t="s">
        <v>489</v>
      </c>
      <c r="F207" s="216">
        <v>20.0</v>
      </c>
      <c r="G207" s="11" t="s">
        <v>1834</v>
      </c>
      <c r="H207" s="216">
        <v>20.0</v>
      </c>
      <c r="I207" s="216">
        <v>20.0</v>
      </c>
      <c r="J207" s="11">
        <f t="shared" si="5"/>
        <v>400</v>
      </c>
      <c r="K207" s="11" t="s">
        <v>178</v>
      </c>
      <c r="L207" s="93"/>
      <c r="M207" s="93" t="s">
        <v>2070</v>
      </c>
      <c r="N207" s="93" t="s">
        <v>1954</v>
      </c>
      <c r="O207" s="217" t="s">
        <v>887</v>
      </c>
      <c r="P207" s="11" t="str">
        <f>IMAGE("https://www.olelectronics.in/wp-content/uploads/Miniature-Vibration-Motor.png",1)</f>
        <v/>
      </c>
      <c r="Q207" s="78" t="s">
        <v>1688</v>
      </c>
      <c r="R207" s="74"/>
      <c r="S207" s="75"/>
      <c r="T207" s="12"/>
      <c r="U207" s="11"/>
      <c r="V207" s="12">
        <v>1.0</v>
      </c>
      <c r="W207" s="576"/>
    </row>
    <row r="208" ht="40.5" customHeight="1">
      <c r="A208" s="11">
        <v>207.0</v>
      </c>
      <c r="B208" s="11" t="s">
        <v>173</v>
      </c>
      <c r="C208" s="11" t="s">
        <v>889</v>
      </c>
      <c r="D208" s="93" t="s">
        <v>1754</v>
      </c>
      <c r="E208" s="215" t="s">
        <v>891</v>
      </c>
      <c r="F208" s="216">
        <v>10.0</v>
      </c>
      <c r="G208" s="11" t="s">
        <v>1755</v>
      </c>
      <c r="H208" s="216">
        <v>10.0</v>
      </c>
      <c r="I208" s="216">
        <v>300.0</v>
      </c>
      <c r="J208" s="11">
        <f t="shared" si="5"/>
        <v>3000</v>
      </c>
      <c r="K208" s="11" t="s">
        <v>178</v>
      </c>
      <c r="L208" s="93"/>
      <c r="M208" s="93" t="s">
        <v>2062</v>
      </c>
      <c r="N208" s="93" t="s">
        <v>1947</v>
      </c>
      <c r="O208" s="217" t="s">
        <v>892</v>
      </c>
      <c r="P208" s="11" t="str">
        <f>IMAGE("https://encrypted-tbn0.gstatic.com/images?q=tbn:ANd9GcQ9HdcUbkhENGQnNmIni640zFk33IAUdUx_x0uluq_AFf1Hud04FBhhZQFZXM2xrHw_7W4&amp;usqp=CAU",1)</f>
        <v/>
      </c>
      <c r="Q208" s="78" t="s">
        <v>1688</v>
      </c>
      <c r="R208" s="74"/>
      <c r="S208" s="75"/>
      <c r="T208" s="12"/>
      <c r="U208" s="11"/>
      <c r="V208" s="12">
        <v>1.0</v>
      </c>
      <c r="W208" s="576"/>
    </row>
    <row r="209" ht="40.5" customHeight="1">
      <c r="A209" s="11">
        <v>208.0</v>
      </c>
      <c r="B209" s="11" t="s">
        <v>173</v>
      </c>
      <c r="C209" s="11" t="s">
        <v>894</v>
      </c>
      <c r="D209" s="93" t="s">
        <v>895</v>
      </c>
      <c r="E209" s="215" t="s">
        <v>891</v>
      </c>
      <c r="F209" s="216">
        <v>10.0</v>
      </c>
      <c r="G209" s="11" t="s">
        <v>1756</v>
      </c>
      <c r="H209" s="216">
        <v>10.0</v>
      </c>
      <c r="I209" s="216">
        <v>200.0</v>
      </c>
      <c r="J209" s="11">
        <f t="shared" si="5"/>
        <v>2000</v>
      </c>
      <c r="K209" s="11" t="s">
        <v>178</v>
      </c>
      <c r="L209" s="93"/>
      <c r="M209" s="93" t="s">
        <v>2070</v>
      </c>
      <c r="N209" s="93" t="s">
        <v>1947</v>
      </c>
      <c r="O209" s="217" t="s">
        <v>896</v>
      </c>
      <c r="P209" s="11" t="str">
        <f>IMAGE("https://m.media-amazon.com/images/W/MEDIAX_792452-T2/images/I/612Fb4y5P6S._SL1100_.jpg",1)</f>
        <v/>
      </c>
      <c r="Q209" s="78" t="s">
        <v>1688</v>
      </c>
      <c r="R209" s="74"/>
      <c r="S209" s="75"/>
      <c r="T209" s="12"/>
      <c r="U209" s="11"/>
      <c r="V209" s="12">
        <v>1.0</v>
      </c>
      <c r="W209" s="576"/>
    </row>
    <row r="210" ht="40.5" customHeight="1">
      <c r="A210" s="11">
        <v>209.0</v>
      </c>
      <c r="B210" s="222" t="s">
        <v>173</v>
      </c>
      <c r="C210" s="222" t="s">
        <v>898</v>
      </c>
      <c r="D210" s="232" t="s">
        <v>899</v>
      </c>
      <c r="E210" s="233" t="s">
        <v>891</v>
      </c>
      <c r="F210" s="222" t="s">
        <v>56</v>
      </c>
      <c r="G210" s="11"/>
      <c r="H210" s="222">
        <v>1.0</v>
      </c>
      <c r="I210" s="222">
        <v>75.0</v>
      </c>
      <c r="J210" s="222">
        <f t="shared" si="5"/>
        <v>75</v>
      </c>
      <c r="K210" s="222" t="s">
        <v>178</v>
      </c>
      <c r="L210" s="232"/>
      <c r="M210" s="232" t="s">
        <v>599</v>
      </c>
      <c r="N210" s="232" t="s">
        <v>1947</v>
      </c>
      <c r="O210" s="235" t="s">
        <v>900</v>
      </c>
      <c r="P210" s="222" t="str">
        <f>IMAGE("https://robu.in/wp-content/uploads/2021/05/DC-DC-Boost-Module-0.9V5V-to-5V-600MA-USB-Step-up-Board-5V-Output-1.png",1)</f>
        <v/>
      </c>
      <c r="Q210" s="358"/>
      <c r="R210" s="359"/>
      <c r="S210" s="336"/>
      <c r="T210" s="360"/>
      <c r="U210" s="222"/>
      <c r="V210" s="299">
        <v>2.0</v>
      </c>
      <c r="W210" s="576"/>
    </row>
    <row r="211" ht="40.5" customHeight="1">
      <c r="A211" s="11">
        <v>210.0</v>
      </c>
      <c r="B211" s="11" t="s">
        <v>173</v>
      </c>
      <c r="C211" s="11" t="s">
        <v>902</v>
      </c>
      <c r="D211" s="93" t="s">
        <v>903</v>
      </c>
      <c r="E211" s="215" t="s">
        <v>891</v>
      </c>
      <c r="F211" s="216">
        <v>5.0</v>
      </c>
      <c r="G211" s="11" t="s">
        <v>2087</v>
      </c>
      <c r="H211" s="216">
        <v>5.0</v>
      </c>
      <c r="I211" s="216">
        <v>150.0</v>
      </c>
      <c r="J211" s="11">
        <f t="shared" si="5"/>
        <v>750</v>
      </c>
      <c r="K211" s="11" t="s">
        <v>178</v>
      </c>
      <c r="L211" s="93"/>
      <c r="M211" s="93" t="s">
        <v>2012</v>
      </c>
      <c r="N211" s="93" t="s">
        <v>1954</v>
      </c>
      <c r="O211" s="217" t="s">
        <v>904</v>
      </c>
      <c r="P211" s="11" t="str">
        <f>IMAGE("https://makerbazar.in/cdn/shop/files/6015fanwithwire_600x.jpg?v=1695792315",1)</f>
        <v/>
      </c>
      <c r="Q211" s="78" t="s">
        <v>1688</v>
      </c>
      <c r="R211" s="74"/>
      <c r="S211" s="75"/>
      <c r="T211" s="12"/>
      <c r="U211" s="11"/>
      <c r="V211" s="12">
        <v>1.0</v>
      </c>
      <c r="W211" s="576"/>
    </row>
    <row r="212" ht="40.5" customHeight="1">
      <c r="A212" s="11">
        <v>211.0</v>
      </c>
      <c r="B212" s="11" t="s">
        <v>173</v>
      </c>
      <c r="C212" s="11" t="s">
        <v>906</v>
      </c>
      <c r="D212" s="93" t="s">
        <v>1955</v>
      </c>
      <c r="E212" s="215" t="s">
        <v>891</v>
      </c>
      <c r="F212" s="216">
        <v>10.0</v>
      </c>
      <c r="G212" s="221" t="s">
        <v>2088</v>
      </c>
      <c r="H212" s="216">
        <v>10.0</v>
      </c>
      <c r="I212" s="216">
        <v>200.0</v>
      </c>
      <c r="J212" s="11">
        <f t="shared" si="5"/>
        <v>2000</v>
      </c>
      <c r="K212" s="11" t="s">
        <v>178</v>
      </c>
      <c r="L212" s="93"/>
      <c r="M212" s="93" t="s">
        <v>1895</v>
      </c>
      <c r="N212" s="93" t="s">
        <v>1956</v>
      </c>
      <c r="O212" s="217" t="s">
        <v>908</v>
      </c>
      <c r="P212" s="11" t="str">
        <f>IMAGE("https://5.imimg.com/data5/II/UT/SO/SELLER-1968074/16x2-lcd-display-500x500.jpg",1)</f>
        <v/>
      </c>
      <c r="Q212" s="78" t="s">
        <v>1688</v>
      </c>
      <c r="R212" s="74"/>
      <c r="S212" s="75"/>
      <c r="T212" s="12"/>
      <c r="U212" s="11"/>
      <c r="V212" s="12">
        <v>1.0</v>
      </c>
      <c r="W212" s="576"/>
    </row>
    <row r="213" ht="40.5" customHeight="1">
      <c r="A213" s="11">
        <v>212.0</v>
      </c>
      <c r="B213" s="11" t="s">
        <v>173</v>
      </c>
      <c r="C213" s="11" t="s">
        <v>910</v>
      </c>
      <c r="D213" s="93" t="s">
        <v>911</v>
      </c>
      <c r="E213" s="215" t="s">
        <v>891</v>
      </c>
      <c r="F213" s="216">
        <v>20.0</v>
      </c>
      <c r="G213" s="11" t="s">
        <v>1752</v>
      </c>
      <c r="H213" s="216">
        <v>20.0</v>
      </c>
      <c r="I213" s="216">
        <v>15.0</v>
      </c>
      <c r="J213" s="11">
        <f t="shared" si="5"/>
        <v>300</v>
      </c>
      <c r="K213" s="11" t="s">
        <v>178</v>
      </c>
      <c r="L213" s="93"/>
      <c r="M213" s="93" t="s">
        <v>2070</v>
      </c>
      <c r="N213" s="93" t="s">
        <v>1903</v>
      </c>
      <c r="O213" s="217" t="s">
        <v>912</v>
      </c>
      <c r="P213" s="11" t="str">
        <f>IMAGE("https://ashokaonlineshop.in/wp-content/uploads/2022/11/650nm-Mini-Laser-Dot-Diode-Module1.jpeg",1)</f>
        <v/>
      </c>
      <c r="Q213" s="78" t="s">
        <v>1688</v>
      </c>
      <c r="R213" s="79"/>
      <c r="S213" s="80"/>
      <c r="T213" s="12"/>
      <c r="U213" s="11"/>
      <c r="V213" s="12">
        <v>1.0</v>
      </c>
      <c r="W213" s="576"/>
    </row>
    <row r="214" ht="40.5" customHeight="1">
      <c r="A214" s="11">
        <v>213.0</v>
      </c>
      <c r="B214" s="11" t="s">
        <v>173</v>
      </c>
      <c r="C214" s="11" t="s">
        <v>914</v>
      </c>
      <c r="D214" s="93" t="s">
        <v>1811</v>
      </c>
      <c r="E214" s="215" t="s">
        <v>891</v>
      </c>
      <c r="F214" s="216">
        <v>10.0</v>
      </c>
      <c r="G214" s="11" t="s">
        <v>1812</v>
      </c>
      <c r="H214" s="216">
        <v>10.0</v>
      </c>
      <c r="I214" s="216">
        <v>300.0</v>
      </c>
      <c r="J214" s="11">
        <f t="shared" si="5"/>
        <v>3000</v>
      </c>
      <c r="K214" s="11" t="s">
        <v>178</v>
      </c>
      <c r="L214" s="93"/>
      <c r="M214" s="93" t="s">
        <v>2062</v>
      </c>
      <c r="N214" s="93" t="s">
        <v>1956</v>
      </c>
      <c r="O214" s="217" t="s">
        <v>916</v>
      </c>
      <c r="P214" s="11" t="str">
        <f>IMAGE("https://m.media-amazon.com/images/I/51l+Qhaiu3L._SL1000_.jpg",1)</f>
        <v/>
      </c>
      <c r="Q214" s="78" t="s">
        <v>1688</v>
      </c>
      <c r="R214" s="74"/>
      <c r="S214" s="75"/>
      <c r="T214" s="12"/>
      <c r="U214" s="11"/>
      <c r="V214" s="12">
        <v>1.0</v>
      </c>
      <c r="W214" s="576"/>
    </row>
    <row r="215" ht="40.5" customHeight="1">
      <c r="A215" s="11">
        <v>214.0</v>
      </c>
      <c r="B215" s="11" t="s">
        <v>173</v>
      </c>
      <c r="C215" s="11" t="s">
        <v>918</v>
      </c>
      <c r="D215" s="93" t="s">
        <v>1820</v>
      </c>
      <c r="E215" s="215" t="s">
        <v>891</v>
      </c>
      <c r="F215" s="216">
        <v>10.0</v>
      </c>
      <c r="G215" s="11" t="s">
        <v>1819</v>
      </c>
      <c r="H215" s="216">
        <v>10.0</v>
      </c>
      <c r="I215" s="216">
        <v>100.0</v>
      </c>
      <c r="J215" s="11">
        <f t="shared" si="5"/>
        <v>1000</v>
      </c>
      <c r="K215" s="11" t="s">
        <v>178</v>
      </c>
      <c r="L215" s="93"/>
      <c r="M215" s="93" t="s">
        <v>2089</v>
      </c>
      <c r="N215" s="93" t="s">
        <v>1905</v>
      </c>
      <c r="O215" s="217" t="s">
        <v>920</v>
      </c>
      <c r="P215" s="11" t="str">
        <f>IMAGE("https://rukminim1.flixcart.com/image/850/1000/k62i5jk0/solar-panel/7/g/q/diy-projects-6v-80ma-wire-attached-mini-power-solar-cells-for-original-imafzm93vcqqnsat.jpeg?q=20")</f>
        <v/>
      </c>
      <c r="Q215" s="78" t="s">
        <v>1688</v>
      </c>
      <c r="R215" s="74"/>
      <c r="S215" s="75"/>
      <c r="T215" s="12"/>
      <c r="U215" s="11"/>
      <c r="V215" s="12">
        <v>1.0</v>
      </c>
      <c r="W215" s="576"/>
    </row>
    <row r="216" ht="40.5" customHeight="1">
      <c r="A216" s="11">
        <v>215.0</v>
      </c>
      <c r="B216" s="11" t="s">
        <v>173</v>
      </c>
      <c r="C216" s="11" t="s">
        <v>922</v>
      </c>
      <c r="D216" s="93" t="s">
        <v>923</v>
      </c>
      <c r="E216" s="215" t="s">
        <v>891</v>
      </c>
      <c r="F216" s="216">
        <v>5.0</v>
      </c>
      <c r="G216" s="250" t="s">
        <v>2090</v>
      </c>
      <c r="H216" s="216">
        <v>5.0</v>
      </c>
      <c r="I216" s="216">
        <v>250.0</v>
      </c>
      <c r="J216" s="11">
        <f t="shared" si="5"/>
        <v>1250</v>
      </c>
      <c r="K216" s="11" t="s">
        <v>178</v>
      </c>
      <c r="L216" s="93"/>
      <c r="M216" s="93" t="s">
        <v>1895</v>
      </c>
      <c r="N216" s="93" t="s">
        <v>1947</v>
      </c>
      <c r="O216" s="217" t="s">
        <v>924</v>
      </c>
      <c r="P216" s="11" t="str">
        <f>IMAGE("https://robu.in/wp-content/uploads/2017/06/robu-3-13.jpg",1)</f>
        <v/>
      </c>
      <c r="Q216" s="78" t="s">
        <v>1688</v>
      </c>
      <c r="R216" s="74"/>
      <c r="S216" s="75"/>
      <c r="T216" s="12"/>
      <c r="U216" s="11"/>
      <c r="V216" s="12">
        <v>1.0</v>
      </c>
      <c r="W216" s="576"/>
    </row>
    <row r="217" ht="40.5" customHeight="1">
      <c r="A217" s="11">
        <v>216.0</v>
      </c>
      <c r="B217" s="11" t="s">
        <v>173</v>
      </c>
      <c r="C217" s="11" t="s">
        <v>926</v>
      </c>
      <c r="D217" s="93" t="s">
        <v>927</v>
      </c>
      <c r="E217" s="215" t="s">
        <v>891</v>
      </c>
      <c r="F217" s="216">
        <v>10.0</v>
      </c>
      <c r="G217" s="11" t="s">
        <v>2091</v>
      </c>
      <c r="H217" s="216">
        <v>10.0</v>
      </c>
      <c r="I217" s="216">
        <v>50.0</v>
      </c>
      <c r="J217" s="11">
        <f t="shared" si="5"/>
        <v>500</v>
      </c>
      <c r="K217" s="11" t="s">
        <v>178</v>
      </c>
      <c r="L217" s="93"/>
      <c r="M217" s="93" t="s">
        <v>1895</v>
      </c>
      <c r="N217" s="93" t="s">
        <v>1941</v>
      </c>
      <c r="O217" s="217"/>
      <c r="P217" s="11" t="str">
        <f>IMAGE("https://robu.in/wp-content/uploads/2021/05/0.5W-8OHM-Trumpet-Diameter-36mm-1.jpeg",1)</f>
        <v/>
      </c>
      <c r="Q217" s="78" t="s">
        <v>1688</v>
      </c>
      <c r="R217" s="74"/>
      <c r="S217" s="75"/>
      <c r="T217" s="12"/>
      <c r="U217" s="11"/>
      <c r="V217" s="12">
        <v>1.0</v>
      </c>
      <c r="W217" s="576"/>
    </row>
    <row r="218" ht="40.5" customHeight="1">
      <c r="A218" s="11">
        <v>217.0</v>
      </c>
      <c r="B218" s="11" t="s">
        <v>173</v>
      </c>
      <c r="C218" s="11" t="s">
        <v>929</v>
      </c>
      <c r="D218" s="93" t="s">
        <v>930</v>
      </c>
      <c r="E218" s="215" t="s">
        <v>891</v>
      </c>
      <c r="F218" s="216">
        <v>10.0</v>
      </c>
      <c r="G218" s="11" t="s">
        <v>2092</v>
      </c>
      <c r="H218" s="216">
        <v>10.0</v>
      </c>
      <c r="I218" s="216">
        <v>40.0</v>
      </c>
      <c r="J218" s="11">
        <f t="shared" si="5"/>
        <v>400</v>
      </c>
      <c r="K218" s="11" t="s">
        <v>178</v>
      </c>
      <c r="L218" s="93"/>
      <c r="M218" s="93" t="s">
        <v>1895</v>
      </c>
      <c r="N218" s="93" t="s">
        <v>1954</v>
      </c>
      <c r="O218" s="217" t="s">
        <v>931</v>
      </c>
      <c r="P218" s="11" t="str">
        <f>IMAGE("https://5.imimg.com/data5/SELLER/Default/2023/2/OP/GV/HH/182244990/water-pump-module-1000x1000.jpg",1)</f>
        <v/>
      </c>
      <c r="Q218" s="78" t="s">
        <v>1688</v>
      </c>
      <c r="R218" s="74"/>
      <c r="S218" s="75"/>
      <c r="T218" s="12"/>
      <c r="U218" s="11"/>
      <c r="V218" s="12">
        <v>1.0</v>
      </c>
      <c r="W218" s="576"/>
    </row>
    <row r="219" ht="40.5" customHeight="1">
      <c r="A219" s="11">
        <v>218.0</v>
      </c>
      <c r="B219" s="222" t="s">
        <v>173</v>
      </c>
      <c r="C219" s="222" t="s">
        <v>933</v>
      </c>
      <c r="D219" s="232" t="s">
        <v>934</v>
      </c>
      <c r="E219" s="233" t="s">
        <v>891</v>
      </c>
      <c r="F219" s="222">
        <v>15.0</v>
      </c>
      <c r="G219" s="11"/>
      <c r="H219" s="222">
        <v>15.0</v>
      </c>
      <c r="I219" s="222">
        <v>21.0</v>
      </c>
      <c r="J219" s="222">
        <f t="shared" si="5"/>
        <v>315</v>
      </c>
      <c r="K219" s="222" t="s">
        <v>178</v>
      </c>
      <c r="L219" s="232"/>
      <c r="M219" s="232" t="s">
        <v>935</v>
      </c>
      <c r="N219" s="232" t="s">
        <v>1909</v>
      </c>
      <c r="O219" s="235" t="s">
        <v>937</v>
      </c>
      <c r="P219" s="222" t="str">
        <f>IMAGE("https://robu.in/wp-content/uploads/2020/10/TP4056-1A-Li-ion-lithium-Battery-Charging-Module-With-Current-Protection-Type-C-2.png",1)</f>
        <v/>
      </c>
      <c r="Q219" s="358"/>
      <c r="R219" s="359"/>
      <c r="S219" s="336"/>
      <c r="T219" s="360"/>
      <c r="U219" s="222"/>
      <c r="V219" s="299">
        <v>2.0</v>
      </c>
      <c r="W219" s="576"/>
    </row>
    <row r="220" ht="40.5" customHeight="1">
      <c r="A220" s="11">
        <v>219.0</v>
      </c>
      <c r="B220" s="11" t="s">
        <v>173</v>
      </c>
      <c r="C220" s="11" t="s">
        <v>939</v>
      </c>
      <c r="D220" s="93" t="s">
        <v>940</v>
      </c>
      <c r="E220" s="215" t="s">
        <v>891</v>
      </c>
      <c r="F220" s="216">
        <v>5.0</v>
      </c>
      <c r="G220" s="11" t="s">
        <v>1814</v>
      </c>
      <c r="H220" s="216">
        <v>5.0</v>
      </c>
      <c r="I220" s="216">
        <v>250.0</v>
      </c>
      <c r="J220" s="11">
        <f t="shared" si="5"/>
        <v>1250</v>
      </c>
      <c r="K220" s="11" t="s">
        <v>178</v>
      </c>
      <c r="L220" s="93"/>
      <c r="M220" s="93" t="s">
        <v>2062</v>
      </c>
      <c r="N220" s="93" t="s">
        <v>1947</v>
      </c>
      <c r="O220" s="217"/>
      <c r="P220" s="11" t="str">
        <f>IMAGE("https://robu.in/wp-content/uploads/2016/03/Ublox-Neo-6M-GPS.jpg",1)</f>
        <v/>
      </c>
      <c r="Q220" s="78" t="s">
        <v>1688</v>
      </c>
      <c r="R220" s="74"/>
      <c r="S220" s="75"/>
      <c r="T220" s="12"/>
      <c r="U220" s="11"/>
      <c r="V220" s="12">
        <v>1.0</v>
      </c>
      <c r="W220" s="576"/>
    </row>
    <row r="221" ht="40.5" customHeight="1">
      <c r="A221" s="11">
        <v>220.0</v>
      </c>
      <c r="B221" s="11" t="s">
        <v>173</v>
      </c>
      <c r="C221" s="11" t="s">
        <v>942</v>
      </c>
      <c r="D221" s="93" t="s">
        <v>943</v>
      </c>
      <c r="E221" s="215" t="s">
        <v>891</v>
      </c>
      <c r="F221" s="216">
        <v>5.0</v>
      </c>
      <c r="G221" s="11" t="s">
        <v>1815</v>
      </c>
      <c r="H221" s="216">
        <v>5.0</v>
      </c>
      <c r="I221" s="216">
        <v>40.0</v>
      </c>
      <c r="J221" s="11">
        <f t="shared" si="5"/>
        <v>200</v>
      </c>
      <c r="K221" s="11" t="s">
        <v>178</v>
      </c>
      <c r="L221" s="93"/>
      <c r="M221" s="93" t="s">
        <v>2070</v>
      </c>
      <c r="N221" s="93" t="s">
        <v>1947</v>
      </c>
      <c r="O221" s="217" t="s">
        <v>944</v>
      </c>
      <c r="P221" s="11" t="str">
        <f>IMAGE("https://m.media-amazon.com/images/W/MEDIAX_792452-T2/images/I/51cWZAAMiWL._SL1000_.jpg",1)</f>
        <v/>
      </c>
      <c r="Q221" s="78" t="s">
        <v>1688</v>
      </c>
      <c r="R221" s="74"/>
      <c r="S221" s="75"/>
      <c r="T221" s="12"/>
      <c r="U221" s="11"/>
      <c r="V221" s="12">
        <v>1.0</v>
      </c>
      <c r="W221" s="576"/>
    </row>
    <row r="222" ht="40.5" customHeight="1">
      <c r="A222" s="11">
        <v>221.0</v>
      </c>
      <c r="B222" s="11" t="s">
        <v>173</v>
      </c>
      <c r="C222" s="11" t="s">
        <v>946</v>
      </c>
      <c r="D222" s="93" t="s">
        <v>947</v>
      </c>
      <c r="E222" s="215" t="s">
        <v>891</v>
      </c>
      <c r="F222" s="216">
        <v>5.0</v>
      </c>
      <c r="G222" s="11" t="s">
        <v>1819</v>
      </c>
      <c r="H222" s="216">
        <v>5.0</v>
      </c>
      <c r="I222" s="216">
        <v>40.0</v>
      </c>
      <c r="J222" s="11">
        <f t="shared" si="5"/>
        <v>200</v>
      </c>
      <c r="K222" s="11" t="s">
        <v>178</v>
      </c>
      <c r="L222" s="93"/>
      <c r="M222" s="93" t="s">
        <v>2070</v>
      </c>
      <c r="N222" s="93" t="s">
        <v>1947</v>
      </c>
      <c r="O222" s="217"/>
      <c r="P222" s="11" t="str">
        <f>IMAGE("https://m.media-amazon.com/images/W/MEDIAX_792452-T2/images/I/61wbYlIdx0L._SL1500_.jpg",1)</f>
        <v/>
      </c>
      <c r="Q222" s="78" t="s">
        <v>1688</v>
      </c>
      <c r="R222" s="74"/>
      <c r="S222" s="75"/>
      <c r="T222" s="12"/>
      <c r="U222" s="11"/>
      <c r="V222" s="12">
        <v>1.0</v>
      </c>
      <c r="W222" s="576"/>
    </row>
    <row r="223" ht="40.5" customHeight="1">
      <c r="A223" s="11">
        <v>222.0</v>
      </c>
      <c r="B223" s="11" t="s">
        <v>173</v>
      </c>
      <c r="C223" s="11" t="s">
        <v>949</v>
      </c>
      <c r="D223" s="93" t="s">
        <v>950</v>
      </c>
      <c r="E223" s="215" t="s">
        <v>891</v>
      </c>
      <c r="F223" s="216">
        <v>10.0</v>
      </c>
      <c r="G223" s="11" t="s">
        <v>1809</v>
      </c>
      <c r="H223" s="216">
        <v>10.0</v>
      </c>
      <c r="I223" s="216">
        <v>40.0</v>
      </c>
      <c r="J223" s="11">
        <f t="shared" si="5"/>
        <v>400</v>
      </c>
      <c r="K223" s="11" t="s">
        <v>178</v>
      </c>
      <c r="L223" s="93"/>
      <c r="M223" s="93" t="s">
        <v>2062</v>
      </c>
      <c r="N223" s="93" t="s">
        <v>1947</v>
      </c>
      <c r="O223" s="217" t="s">
        <v>951</v>
      </c>
      <c r="P223" s="11" t="str">
        <f>IMAGE("https://5.imimg.com/data5/SELLER/Default/2022/9/HX/YZ/GJ/43948449/micro-sd-card-adapter-with-level-shifter-500x500.png",1)</f>
        <v/>
      </c>
      <c r="Q223" s="78" t="s">
        <v>1688</v>
      </c>
      <c r="R223" s="74"/>
      <c r="S223" s="75"/>
      <c r="T223" s="12"/>
      <c r="U223" s="11"/>
      <c r="V223" s="12">
        <v>1.0</v>
      </c>
      <c r="W223" s="576"/>
    </row>
    <row r="224" ht="40.5" customHeight="1">
      <c r="A224" s="11">
        <v>223.0</v>
      </c>
      <c r="B224" s="11" t="s">
        <v>173</v>
      </c>
      <c r="C224" s="11" t="s">
        <v>953</v>
      </c>
      <c r="D224" s="93" t="s">
        <v>1958</v>
      </c>
      <c r="E224" s="215" t="s">
        <v>891</v>
      </c>
      <c r="F224" s="216">
        <v>10.0</v>
      </c>
      <c r="G224" s="221" t="s">
        <v>2061</v>
      </c>
      <c r="H224" s="216">
        <v>10.0</v>
      </c>
      <c r="I224" s="216">
        <v>200.0</v>
      </c>
      <c r="J224" s="11">
        <f t="shared" si="5"/>
        <v>2000</v>
      </c>
      <c r="K224" s="11" t="s">
        <v>178</v>
      </c>
      <c r="L224" s="93"/>
      <c r="M224" s="93" t="s">
        <v>1594</v>
      </c>
      <c r="N224" s="93" t="s">
        <v>1947</v>
      </c>
      <c r="O224" s="223" t="s">
        <v>955</v>
      </c>
      <c r="P224" s="11" t="str">
        <f>IMAGE("https://robu.in/wp-content/uploads/2020/09/L298P-Motor-Driver-Shield-for-Arduino-3.jpg",1)</f>
        <v/>
      </c>
      <c r="Q224" s="78" t="s">
        <v>1688</v>
      </c>
      <c r="R224" s="74"/>
      <c r="S224" s="75"/>
      <c r="T224" s="12"/>
      <c r="U224" s="11"/>
      <c r="V224" s="12">
        <v>1.0</v>
      </c>
      <c r="W224" s="576"/>
    </row>
    <row r="225" ht="40.5" customHeight="1">
      <c r="A225" s="11">
        <v>224.0</v>
      </c>
      <c r="B225" s="11" t="s">
        <v>173</v>
      </c>
      <c r="C225" s="11" t="s">
        <v>957</v>
      </c>
      <c r="D225" s="93" t="s">
        <v>1760</v>
      </c>
      <c r="E225" s="215" t="s">
        <v>891</v>
      </c>
      <c r="F225" s="216">
        <v>5.0</v>
      </c>
      <c r="G225" s="11" t="s">
        <v>1761</v>
      </c>
      <c r="H225" s="216">
        <v>5.0</v>
      </c>
      <c r="I225" s="216">
        <v>95.0</v>
      </c>
      <c r="J225" s="11">
        <f t="shared" si="5"/>
        <v>475</v>
      </c>
      <c r="K225" s="11" t="s">
        <v>178</v>
      </c>
      <c r="L225" s="93"/>
      <c r="M225" s="93" t="s">
        <v>2070</v>
      </c>
      <c r="N225" s="93" t="s">
        <v>1947</v>
      </c>
      <c r="O225" s="217" t="s">
        <v>959</v>
      </c>
      <c r="P225" s="11" t="str">
        <f>IMAGE("https://m.media-amazon.com/images/I/41Y-5b4TQcL.jpg",1)</f>
        <v/>
      </c>
      <c r="Q225" s="78" t="s">
        <v>1688</v>
      </c>
      <c r="R225" s="74"/>
      <c r="S225" s="75"/>
      <c r="T225" s="12"/>
      <c r="U225" s="11"/>
      <c r="V225" s="12">
        <v>1.0</v>
      </c>
      <c r="W225" s="576"/>
    </row>
    <row r="226" ht="40.5" customHeight="1">
      <c r="A226" s="11">
        <v>225.0</v>
      </c>
      <c r="B226" s="11" t="s">
        <v>173</v>
      </c>
      <c r="C226" s="11" t="s">
        <v>961</v>
      </c>
      <c r="D226" s="93" t="s">
        <v>962</v>
      </c>
      <c r="E226" s="215" t="s">
        <v>891</v>
      </c>
      <c r="F226" s="216">
        <v>10.0</v>
      </c>
      <c r="G226" s="221" t="s">
        <v>2093</v>
      </c>
      <c r="H226" s="216">
        <v>10.0</v>
      </c>
      <c r="I226" s="216">
        <v>500.0</v>
      </c>
      <c r="J226" s="11">
        <f t="shared" si="5"/>
        <v>5000</v>
      </c>
      <c r="K226" s="11" t="s">
        <v>178</v>
      </c>
      <c r="L226" s="93"/>
      <c r="M226" s="93" t="s">
        <v>1895</v>
      </c>
      <c r="N226" s="93" t="s">
        <v>1947</v>
      </c>
      <c r="O226" s="217" t="s">
        <v>963</v>
      </c>
      <c r="P226" s="11" t="str">
        <f>IMAGE("https://robu.in/wp-content/uploads/2016/02/617hpF6cJbL._SL1000_.jpg",1)</f>
        <v/>
      </c>
      <c r="Q226" s="78" t="s">
        <v>1688</v>
      </c>
      <c r="R226" s="74"/>
      <c r="S226" s="75"/>
      <c r="T226" s="5"/>
      <c r="U226" s="14"/>
      <c r="V226" s="12">
        <v>1.0</v>
      </c>
      <c r="W226" s="576"/>
    </row>
    <row r="227" ht="40.5" customHeight="1">
      <c r="A227" s="11">
        <v>226.0</v>
      </c>
      <c r="B227" s="222" t="s">
        <v>321</v>
      </c>
      <c r="C227" s="222" t="s">
        <v>965</v>
      </c>
      <c r="D227" s="232" t="s">
        <v>1959</v>
      </c>
      <c r="E227" s="233" t="s">
        <v>326</v>
      </c>
      <c r="F227" s="234">
        <v>6.0</v>
      </c>
      <c r="G227" s="11" t="s">
        <v>2094</v>
      </c>
      <c r="H227" s="234">
        <v>6.0</v>
      </c>
      <c r="I227" s="234">
        <v>600.0</v>
      </c>
      <c r="J227" s="222">
        <f t="shared" si="5"/>
        <v>3600</v>
      </c>
      <c r="K227" s="222" t="s">
        <v>326</v>
      </c>
      <c r="L227" s="622"/>
      <c r="M227" s="232" t="s">
        <v>1960</v>
      </c>
      <c r="N227" s="232" t="s">
        <v>1901</v>
      </c>
      <c r="O227" s="357" t="s">
        <v>967</v>
      </c>
      <c r="P227" s="222" t="str">
        <f>IMAGE("https://www.220converters.com/resize/Shared/images/Product/Seven-Star-ES5C-220-Volt-Universal-5-Outlet-Power-Strip-With-Surge-Protection-220V-240V/es5c.jpg?bw=500&amp;bh=500",1)</f>
        <v/>
      </c>
      <c r="Q227" s="358"/>
      <c r="R227" s="359"/>
      <c r="S227" s="336"/>
      <c r="T227" s="623"/>
      <c r="U227" s="222"/>
      <c r="V227" s="299">
        <v>1.0</v>
      </c>
      <c r="W227" s="576"/>
    </row>
    <row r="228" ht="40.5" customHeight="1">
      <c r="A228" s="11">
        <v>227.0</v>
      </c>
      <c r="B228" s="222" t="s">
        <v>321</v>
      </c>
      <c r="C228" s="222" t="s">
        <v>969</v>
      </c>
      <c r="D228" s="232" t="s">
        <v>970</v>
      </c>
      <c r="E228" s="233" t="s">
        <v>326</v>
      </c>
      <c r="F228" s="234">
        <v>1.0</v>
      </c>
      <c r="G228" s="11" t="s">
        <v>2095</v>
      </c>
      <c r="H228" s="234">
        <v>1.0</v>
      </c>
      <c r="I228" s="234">
        <v>2000.0</v>
      </c>
      <c r="J228" s="222">
        <f t="shared" si="5"/>
        <v>2000</v>
      </c>
      <c r="K228" s="222" t="s">
        <v>326</v>
      </c>
      <c r="L228" s="232"/>
      <c r="M228" s="232"/>
      <c r="N228" s="232" t="s">
        <v>1901</v>
      </c>
      <c r="O228" s="235" t="s">
        <v>971</v>
      </c>
      <c r="P228" s="222" t="str">
        <f>IMAGE("https://www.jiomart.com/images/product/original/491503417/mi-home-security-camera-digital-o491503417-p590045677-0-202010110622.jpeg")</f>
        <v/>
      </c>
      <c r="Q228" s="619" t="s">
        <v>1684</v>
      </c>
      <c r="R228" s="359">
        <v>55.0</v>
      </c>
      <c r="S228" s="336"/>
      <c r="T228" s="360"/>
      <c r="U228" s="222"/>
      <c r="V228" s="299">
        <v>3.0</v>
      </c>
      <c r="W228" s="576"/>
    </row>
    <row r="229" ht="40.5" customHeight="1">
      <c r="A229" s="11">
        <v>228.0</v>
      </c>
      <c r="B229" s="11" t="s">
        <v>137</v>
      </c>
      <c r="C229" s="11" t="s">
        <v>973</v>
      </c>
      <c r="D229" s="93" t="s">
        <v>974</v>
      </c>
      <c r="E229" s="215" t="s">
        <v>326</v>
      </c>
      <c r="F229" s="216">
        <v>1.0</v>
      </c>
      <c r="G229" s="11" t="s">
        <v>2096</v>
      </c>
      <c r="H229" s="216">
        <v>1.0</v>
      </c>
      <c r="I229" s="216">
        <v>32000.0</v>
      </c>
      <c r="J229" s="11">
        <f t="shared" si="5"/>
        <v>32000</v>
      </c>
      <c r="K229" s="11" t="s">
        <v>142</v>
      </c>
      <c r="L229" s="93"/>
      <c r="M229" s="93"/>
      <c r="N229" s="93" t="s">
        <v>1901</v>
      </c>
      <c r="O229" s="217"/>
      <c r="P229" s="11" t="str">
        <f>IMAGE("https://cdn.ttgtmedia.com/rms/onlineimages/hp_elitebook_mobile.jpg",1)</f>
        <v/>
      </c>
      <c r="Q229" s="73"/>
      <c r="R229" s="74"/>
      <c r="S229" s="75"/>
      <c r="T229" s="12"/>
      <c r="U229" s="11"/>
      <c r="V229" s="12">
        <v>3.0</v>
      </c>
      <c r="W229" s="576"/>
    </row>
    <row r="230" ht="40.5" customHeight="1">
      <c r="A230" s="11">
        <v>229.0</v>
      </c>
      <c r="B230" s="222" t="s">
        <v>137</v>
      </c>
      <c r="C230" s="222" t="s">
        <v>976</v>
      </c>
      <c r="D230" s="232" t="s">
        <v>977</v>
      </c>
      <c r="E230" s="233" t="s">
        <v>326</v>
      </c>
      <c r="F230" s="234">
        <v>1.0</v>
      </c>
      <c r="G230" s="11" t="s">
        <v>2095</v>
      </c>
      <c r="H230" s="234">
        <v>1.0</v>
      </c>
      <c r="I230" s="234">
        <v>1500.0</v>
      </c>
      <c r="J230" s="222">
        <f t="shared" si="5"/>
        <v>1500</v>
      </c>
      <c r="K230" s="222" t="s">
        <v>142</v>
      </c>
      <c r="L230" s="232"/>
      <c r="M230" s="232"/>
      <c r="N230" s="232" t="s">
        <v>1901</v>
      </c>
      <c r="O230" s="235"/>
      <c r="P230" s="222" t="str">
        <f>IMAGE("https://m.media-amazon.com/images/W/MEDIAX_792452-T2/images/I/51UzU+2x3OS._SL1000_.jpg")</f>
        <v/>
      </c>
      <c r="Q230" s="619" t="s">
        <v>1700</v>
      </c>
      <c r="R230" s="359"/>
      <c r="S230" s="336"/>
      <c r="T230" s="360"/>
      <c r="U230" s="222"/>
      <c r="V230" s="299">
        <v>3.0</v>
      </c>
      <c r="W230" s="576"/>
    </row>
    <row r="231" ht="40.5" customHeight="1">
      <c r="A231" s="11">
        <v>230.0</v>
      </c>
      <c r="B231" s="11" t="s">
        <v>15</v>
      </c>
      <c r="C231" s="11" t="s">
        <v>979</v>
      </c>
      <c r="D231" s="93" t="s">
        <v>980</v>
      </c>
      <c r="E231" s="215" t="s">
        <v>981</v>
      </c>
      <c r="F231" s="216">
        <v>5.0</v>
      </c>
      <c r="G231" s="11" t="s">
        <v>2097</v>
      </c>
      <c r="H231" s="216">
        <v>5.0</v>
      </c>
      <c r="I231" s="218">
        <v>20.0</v>
      </c>
      <c r="J231" s="11">
        <f t="shared" si="5"/>
        <v>100</v>
      </c>
      <c r="K231" s="11" t="s">
        <v>20</v>
      </c>
      <c r="L231" s="93" t="s">
        <v>77</v>
      </c>
      <c r="M231" s="93" t="s">
        <v>2012</v>
      </c>
      <c r="N231" s="215" t="s">
        <v>981</v>
      </c>
      <c r="O231" s="217" t="s">
        <v>982</v>
      </c>
      <c r="P231" s="11" t="str">
        <f t="shared" ref="P231:P233" si="13">IMAGE("https://encrypted-tbn0.gstatic.com/=IMAGEs?q=tbn:ANd9GcSdcvov5296EXdnf0Fj0qF-G6iK-nu0n6Z4THAWosUzBx_wQ7GuJyrL0Rnbt1uBxLroiao&amp;usqp=CAU",1)</f>
        <v/>
      </c>
      <c r="Q231" s="78"/>
      <c r="R231" s="74"/>
      <c r="S231" s="75"/>
      <c r="T231" s="12"/>
      <c r="U231" s="11"/>
      <c r="V231" s="12">
        <v>1.0</v>
      </c>
      <c r="W231" s="576"/>
    </row>
    <row r="232" ht="40.5" customHeight="1">
      <c r="A232" s="11">
        <v>231.0</v>
      </c>
      <c r="B232" s="11" t="s">
        <v>15</v>
      </c>
      <c r="C232" s="11" t="s">
        <v>984</v>
      </c>
      <c r="D232" s="93" t="s">
        <v>985</v>
      </c>
      <c r="E232" s="215" t="s">
        <v>981</v>
      </c>
      <c r="F232" s="216">
        <v>5.0</v>
      </c>
      <c r="G232" s="11" t="s">
        <v>2097</v>
      </c>
      <c r="H232" s="216">
        <v>5.0</v>
      </c>
      <c r="I232" s="218">
        <v>40.0</v>
      </c>
      <c r="J232" s="11">
        <f t="shared" si="5"/>
        <v>200</v>
      </c>
      <c r="K232" s="11" t="s">
        <v>20</v>
      </c>
      <c r="L232" s="93" t="s">
        <v>77</v>
      </c>
      <c r="M232" s="93" t="s">
        <v>2012</v>
      </c>
      <c r="N232" s="215" t="s">
        <v>981</v>
      </c>
      <c r="O232" s="217" t="s">
        <v>986</v>
      </c>
      <c r="P232" s="11" t="str">
        <f t="shared" si="13"/>
        <v/>
      </c>
      <c r="Q232" s="78"/>
      <c r="R232" s="74"/>
      <c r="S232" s="75"/>
      <c r="T232" s="12"/>
      <c r="U232" s="11"/>
      <c r="V232" s="12">
        <v>1.0</v>
      </c>
      <c r="W232" s="576"/>
    </row>
    <row r="233" ht="40.5" customHeight="1">
      <c r="A233" s="11">
        <v>232.0</v>
      </c>
      <c r="B233" s="11" t="s">
        <v>15</v>
      </c>
      <c r="C233" s="11" t="s">
        <v>988</v>
      </c>
      <c r="D233" s="93" t="s">
        <v>989</v>
      </c>
      <c r="E233" s="215" t="s">
        <v>981</v>
      </c>
      <c r="F233" s="216">
        <v>2.0</v>
      </c>
      <c r="G233" s="11" t="s">
        <v>2097</v>
      </c>
      <c r="H233" s="216">
        <v>2.0</v>
      </c>
      <c r="I233" s="218">
        <v>50.0</v>
      </c>
      <c r="J233" s="11">
        <f t="shared" si="5"/>
        <v>100</v>
      </c>
      <c r="K233" s="11" t="s">
        <v>20</v>
      </c>
      <c r="L233" s="93" t="s">
        <v>77</v>
      </c>
      <c r="M233" s="93" t="s">
        <v>2012</v>
      </c>
      <c r="N233" s="93" t="s">
        <v>981</v>
      </c>
      <c r="O233" s="217" t="s">
        <v>990</v>
      </c>
      <c r="P233" s="11" t="str">
        <f t="shared" si="13"/>
        <v/>
      </c>
      <c r="Q233" s="78"/>
      <c r="R233" s="74"/>
      <c r="S233" s="75"/>
      <c r="T233" s="12"/>
      <c r="U233" s="11"/>
      <c r="V233" s="12">
        <v>1.0</v>
      </c>
      <c r="W233" s="576"/>
    </row>
    <row r="234" ht="40.5" customHeight="1">
      <c r="A234" s="11">
        <v>233.0</v>
      </c>
      <c r="B234" s="222" t="s">
        <v>15</v>
      </c>
      <c r="C234" s="222" t="s">
        <v>992</v>
      </c>
      <c r="D234" s="232" t="s">
        <v>993</v>
      </c>
      <c r="E234" s="233" t="s">
        <v>981</v>
      </c>
      <c r="F234" s="234">
        <v>5.0</v>
      </c>
      <c r="G234" s="11" t="s">
        <v>2098</v>
      </c>
      <c r="H234" s="234">
        <v>5.0</v>
      </c>
      <c r="I234" s="337">
        <v>50.0</v>
      </c>
      <c r="J234" s="222">
        <f t="shared" si="5"/>
        <v>250</v>
      </c>
      <c r="K234" s="222" t="s">
        <v>20</v>
      </c>
      <c r="L234" s="232" t="s">
        <v>77</v>
      </c>
      <c r="M234" s="232" t="s">
        <v>1902</v>
      </c>
      <c r="N234" s="233" t="s">
        <v>981</v>
      </c>
      <c r="O234" s="235" t="s">
        <v>994</v>
      </c>
      <c r="P234" s="222" t="str">
        <f t="shared" ref="P234:P236" si="14">IMAGE("https://encrypted-tbn0.gstatic.com/=IMAGEs?q=tbn:ANd9GcTv3YU2gmM00qoI79XpKhq-dV1wM5aPXrLsmrVwQWwEda0tuTarN0ncQ0DMg_JUYk4IBe4&amp;usqp=CAU",1)</f>
        <v/>
      </c>
      <c r="Q234" s="358"/>
      <c r="R234" s="359"/>
      <c r="S234" s="336"/>
      <c r="T234" s="360"/>
      <c r="U234" s="222"/>
      <c r="V234" s="299">
        <v>1.0</v>
      </c>
      <c r="W234" s="576"/>
    </row>
    <row r="235" ht="40.5" customHeight="1">
      <c r="A235" s="11">
        <v>234.0</v>
      </c>
      <c r="B235" s="222" t="s">
        <v>15</v>
      </c>
      <c r="C235" s="222" t="s">
        <v>996</v>
      </c>
      <c r="D235" s="232" t="s">
        <v>997</v>
      </c>
      <c r="E235" s="233" t="s">
        <v>981</v>
      </c>
      <c r="F235" s="234">
        <v>5.0</v>
      </c>
      <c r="G235" s="11" t="s">
        <v>2098</v>
      </c>
      <c r="H235" s="234">
        <v>5.0</v>
      </c>
      <c r="I235" s="337">
        <v>130.0</v>
      </c>
      <c r="J235" s="222">
        <f t="shared" si="5"/>
        <v>650</v>
      </c>
      <c r="K235" s="222" t="s">
        <v>20</v>
      </c>
      <c r="L235" s="232" t="s">
        <v>77</v>
      </c>
      <c r="M235" s="232" t="s">
        <v>1902</v>
      </c>
      <c r="N235" s="233" t="s">
        <v>981</v>
      </c>
      <c r="O235" s="235" t="s">
        <v>994</v>
      </c>
      <c r="P235" s="222" t="str">
        <f t="shared" si="14"/>
        <v/>
      </c>
      <c r="Q235" s="358"/>
      <c r="R235" s="621"/>
      <c r="S235" s="339"/>
      <c r="T235" s="360"/>
      <c r="U235" s="222"/>
      <c r="V235" s="299">
        <v>1.0</v>
      </c>
      <c r="W235" s="576"/>
    </row>
    <row r="236" ht="40.5" customHeight="1">
      <c r="A236" s="11">
        <v>235.0</v>
      </c>
      <c r="B236" s="222" t="s">
        <v>15</v>
      </c>
      <c r="C236" s="222" t="s">
        <v>999</v>
      </c>
      <c r="D236" s="232" t="s">
        <v>1000</v>
      </c>
      <c r="E236" s="233" t="s">
        <v>981</v>
      </c>
      <c r="F236" s="234">
        <v>5.0</v>
      </c>
      <c r="G236" s="11" t="s">
        <v>2098</v>
      </c>
      <c r="H236" s="234">
        <v>5.0</v>
      </c>
      <c r="I236" s="337">
        <v>180.0</v>
      </c>
      <c r="J236" s="222">
        <f t="shared" si="5"/>
        <v>900</v>
      </c>
      <c r="K236" s="222" t="s">
        <v>20</v>
      </c>
      <c r="L236" s="232" t="s">
        <v>77</v>
      </c>
      <c r="M236" s="232" t="s">
        <v>1902</v>
      </c>
      <c r="N236" s="233" t="s">
        <v>981</v>
      </c>
      <c r="O236" s="235" t="s">
        <v>1001</v>
      </c>
      <c r="P236" s="222" t="str">
        <f t="shared" si="14"/>
        <v/>
      </c>
      <c r="Q236" s="358"/>
      <c r="R236" s="359"/>
      <c r="S236" s="336"/>
      <c r="T236" s="360"/>
      <c r="U236" s="222"/>
      <c r="V236" s="299">
        <v>1.0</v>
      </c>
      <c r="W236" s="576"/>
    </row>
    <row r="237" ht="40.5" customHeight="1">
      <c r="A237" s="11">
        <v>236.0</v>
      </c>
      <c r="B237" s="222" t="s">
        <v>15</v>
      </c>
      <c r="C237" s="222" t="s">
        <v>1003</v>
      </c>
      <c r="D237" s="232" t="s">
        <v>1004</v>
      </c>
      <c r="E237" s="233" t="s">
        <v>981</v>
      </c>
      <c r="F237" s="234">
        <v>1.0</v>
      </c>
      <c r="G237" s="11" t="s">
        <v>2013</v>
      </c>
      <c r="H237" s="234">
        <v>1.0</v>
      </c>
      <c r="I237" s="234">
        <v>250.0</v>
      </c>
      <c r="J237" s="222">
        <f t="shared" si="5"/>
        <v>250</v>
      </c>
      <c r="K237" s="222" t="s">
        <v>20</v>
      </c>
      <c r="L237" s="232" t="s">
        <v>77</v>
      </c>
      <c r="M237" s="232" t="s">
        <v>2012</v>
      </c>
      <c r="N237" s="233" t="s">
        <v>981</v>
      </c>
      <c r="O237" s="235" t="s">
        <v>1005</v>
      </c>
      <c r="P237" s="222" t="str">
        <f>IMAGE("https://3.imimg.com/data3/QQ/JR/MY-2/plastic-twine-500x500.jpg",1)</f>
        <v/>
      </c>
      <c r="Q237" s="358"/>
      <c r="R237" s="359"/>
      <c r="S237" s="336"/>
      <c r="T237" s="360"/>
      <c r="U237" s="222"/>
      <c r="V237" s="299">
        <v>1.0</v>
      </c>
      <c r="W237" s="576"/>
    </row>
    <row r="238" ht="40.5" customHeight="1">
      <c r="A238" s="11">
        <v>237.0</v>
      </c>
      <c r="B238" s="11" t="s">
        <v>15</v>
      </c>
      <c r="C238" s="11" t="s">
        <v>1007</v>
      </c>
      <c r="D238" s="93" t="s">
        <v>1008</v>
      </c>
      <c r="E238" s="215" t="s">
        <v>981</v>
      </c>
      <c r="F238" s="216">
        <v>1.0</v>
      </c>
      <c r="G238" s="11" t="s">
        <v>2099</v>
      </c>
      <c r="H238" s="216">
        <v>1.0</v>
      </c>
      <c r="I238" s="216">
        <v>200.0</v>
      </c>
      <c r="J238" s="11">
        <f t="shared" si="5"/>
        <v>200</v>
      </c>
      <c r="K238" s="11" t="s">
        <v>20</v>
      </c>
      <c r="L238" s="93" t="s">
        <v>77</v>
      </c>
      <c r="M238" s="93" t="s">
        <v>2008</v>
      </c>
      <c r="N238" s="93" t="s">
        <v>111</v>
      </c>
      <c r="O238" s="217" t="s">
        <v>1009</v>
      </c>
      <c r="P238" s="11" t="str">
        <f>IMAGE("https://5.imimg.com/data5/KE/BV/MY-37063415/elastic-rubber-band-500x500.jpg",1)</f>
        <v/>
      </c>
      <c r="Q238" s="78"/>
      <c r="R238" s="74"/>
      <c r="S238" s="75"/>
      <c r="T238" s="12"/>
      <c r="U238" s="11"/>
      <c r="V238" s="12">
        <v>1.0</v>
      </c>
      <c r="W238" s="576"/>
    </row>
    <row r="239" ht="40.5" customHeight="1">
      <c r="A239" s="11">
        <v>238.0</v>
      </c>
      <c r="B239" s="11" t="s">
        <v>15</v>
      </c>
      <c r="C239" s="11" t="s">
        <v>1011</v>
      </c>
      <c r="D239" s="93" t="s">
        <v>1012</v>
      </c>
      <c r="E239" s="215" t="s">
        <v>981</v>
      </c>
      <c r="F239" s="216">
        <v>1.0</v>
      </c>
      <c r="G239" s="11" t="s">
        <v>2099</v>
      </c>
      <c r="H239" s="216">
        <v>1.0</v>
      </c>
      <c r="I239" s="216">
        <v>200.0</v>
      </c>
      <c r="J239" s="11">
        <f t="shared" si="5"/>
        <v>200</v>
      </c>
      <c r="K239" s="11" t="s">
        <v>20</v>
      </c>
      <c r="L239" s="93" t="s">
        <v>77</v>
      </c>
      <c r="M239" s="93" t="s">
        <v>2008</v>
      </c>
      <c r="N239" s="93" t="s">
        <v>111</v>
      </c>
      <c r="O239" s="217" t="s">
        <v>1013</v>
      </c>
      <c r="P239" s="11" t="str">
        <f>IMAGE("https://5.imimg.com/data5/BN/VV/MY-31202642/rubber-band-500x500.jpg",1)</f>
        <v/>
      </c>
      <c r="Q239" s="78"/>
      <c r="R239" s="74"/>
      <c r="S239" s="75"/>
      <c r="T239" s="12"/>
      <c r="U239" s="11"/>
      <c r="V239" s="12">
        <v>1.0</v>
      </c>
      <c r="W239" s="576"/>
    </row>
    <row r="240" ht="40.5" customHeight="1">
      <c r="A240" s="11">
        <v>239.0</v>
      </c>
      <c r="B240" s="11" t="s">
        <v>15</v>
      </c>
      <c r="C240" s="11" t="s">
        <v>1015</v>
      </c>
      <c r="D240" s="93" t="s">
        <v>1016</v>
      </c>
      <c r="E240" s="215" t="s">
        <v>981</v>
      </c>
      <c r="F240" s="216">
        <v>1.0</v>
      </c>
      <c r="G240" s="11" t="s">
        <v>2099</v>
      </c>
      <c r="H240" s="216">
        <v>1.0</v>
      </c>
      <c r="I240" s="216">
        <v>200.0</v>
      </c>
      <c r="J240" s="11">
        <f t="shared" si="5"/>
        <v>200</v>
      </c>
      <c r="K240" s="11" t="s">
        <v>20</v>
      </c>
      <c r="L240" s="93" t="s">
        <v>77</v>
      </c>
      <c r="M240" s="93" t="s">
        <v>2008</v>
      </c>
      <c r="N240" s="93" t="s">
        <v>111</v>
      </c>
      <c r="O240" s="217"/>
      <c r="P240" s="11" t="str">
        <f>IMAGE("https://5.imimg.com/data5/YV/DJ/MY-7514996/rubber-band-500x500.jpg",1)</f>
        <v/>
      </c>
      <c r="Q240" s="78"/>
      <c r="R240" s="74"/>
      <c r="S240" s="75"/>
      <c r="T240" s="12"/>
      <c r="U240" s="11"/>
      <c r="V240" s="12">
        <v>1.0</v>
      </c>
      <c r="W240" s="576"/>
    </row>
    <row r="241" ht="40.5" customHeight="1">
      <c r="A241" s="11">
        <v>240.0</v>
      </c>
      <c r="B241" s="222" t="s">
        <v>15</v>
      </c>
      <c r="C241" s="222" t="s">
        <v>1018</v>
      </c>
      <c r="D241" s="232" t="s">
        <v>1019</v>
      </c>
      <c r="E241" s="233" t="s">
        <v>981</v>
      </c>
      <c r="F241" s="234">
        <v>1.0</v>
      </c>
      <c r="G241" s="11" t="s">
        <v>2099</v>
      </c>
      <c r="H241" s="234">
        <v>1.0</v>
      </c>
      <c r="I241" s="234">
        <v>200.0</v>
      </c>
      <c r="J241" s="222">
        <f t="shared" si="5"/>
        <v>200</v>
      </c>
      <c r="K241" s="222" t="s">
        <v>20</v>
      </c>
      <c r="L241" s="232" t="s">
        <v>77</v>
      </c>
      <c r="M241" s="232" t="s">
        <v>2008</v>
      </c>
      <c r="N241" s="233" t="s">
        <v>981</v>
      </c>
      <c r="O241" s="235" t="s">
        <v>1020</v>
      </c>
      <c r="P241" s="222" t="str">
        <f>IMAGE("https://m.media-amazon.com/images/I/51XnX9DfiFL._SL1166_.jpg",1)</f>
        <v/>
      </c>
      <c r="Q241" s="358"/>
      <c r="R241" s="359"/>
      <c r="S241" s="336"/>
      <c r="T241" s="360"/>
      <c r="U241" s="222"/>
      <c r="V241" s="299">
        <v>1.0</v>
      </c>
      <c r="W241" s="576"/>
    </row>
    <row r="242" ht="40.5" customHeight="1">
      <c r="A242" s="11">
        <v>241.0</v>
      </c>
      <c r="B242" s="11" t="s">
        <v>342</v>
      </c>
      <c r="C242" s="11" t="s">
        <v>1022</v>
      </c>
      <c r="D242" s="93" t="s">
        <v>1023</v>
      </c>
      <c r="E242" s="215" t="s">
        <v>981</v>
      </c>
      <c r="F242" s="216">
        <v>10.0</v>
      </c>
      <c r="G242" s="11" t="s">
        <v>2100</v>
      </c>
      <c r="H242" s="216">
        <v>10.0</v>
      </c>
      <c r="I242" s="216">
        <v>100.0</v>
      </c>
      <c r="J242" s="11">
        <f t="shared" si="5"/>
        <v>1000</v>
      </c>
      <c r="K242" s="11" t="s">
        <v>347</v>
      </c>
      <c r="L242" s="93" t="s">
        <v>77</v>
      </c>
      <c r="M242" s="93" t="s">
        <v>2012</v>
      </c>
      <c r="N242" s="215" t="s">
        <v>981</v>
      </c>
      <c r="O242" s="217" t="s">
        <v>1024</v>
      </c>
      <c r="P242" s="11" t="str">
        <f>IMAGE("https://www.shaanstationery.com/image/cache/catalog/kangaro/kangaro-stapler-no-10-corner-view-1000x1000.jpg",1)</f>
        <v/>
      </c>
      <c r="Q242" s="78"/>
      <c r="R242" s="74"/>
      <c r="S242" s="75"/>
      <c r="T242" s="12"/>
      <c r="U242" s="11"/>
      <c r="V242" s="12">
        <v>1.0</v>
      </c>
      <c r="W242" s="576"/>
    </row>
    <row r="243" ht="40.5" customHeight="1">
      <c r="A243" s="11">
        <v>242.0</v>
      </c>
      <c r="B243" s="11" t="s">
        <v>342</v>
      </c>
      <c r="C243" s="11" t="s">
        <v>1026</v>
      </c>
      <c r="D243" s="93" t="s">
        <v>1027</v>
      </c>
      <c r="E243" s="215" t="s">
        <v>981</v>
      </c>
      <c r="F243" s="216">
        <v>5.0</v>
      </c>
      <c r="G243" s="11" t="s">
        <v>2100</v>
      </c>
      <c r="H243" s="216">
        <v>10.0</v>
      </c>
      <c r="I243" s="216">
        <v>50.0</v>
      </c>
      <c r="J243" s="11">
        <f t="shared" si="5"/>
        <v>500</v>
      </c>
      <c r="K243" s="11" t="s">
        <v>347</v>
      </c>
      <c r="L243" s="93" t="s">
        <v>77</v>
      </c>
      <c r="M243" s="93" t="s">
        <v>2012</v>
      </c>
      <c r="N243" s="215" t="s">
        <v>981</v>
      </c>
      <c r="O243" s="217" t="s">
        <v>1028</v>
      </c>
      <c r="P243" s="11" t="str">
        <f>IMAGE("https://sc04.alicdn.com/kf/HTB1f9mqOZbpK1RjSZFyq6x_qFXaz.jpg",1)</f>
        <v/>
      </c>
      <c r="Q243" s="78"/>
      <c r="R243" s="74"/>
      <c r="S243" s="75"/>
      <c r="T243" s="12"/>
      <c r="U243" s="11"/>
      <c r="V243" s="12">
        <v>1.0</v>
      </c>
      <c r="W243" s="576"/>
    </row>
    <row r="244" ht="40.5" customHeight="1">
      <c r="A244" s="11">
        <v>243.0</v>
      </c>
      <c r="B244" s="11" t="s">
        <v>342</v>
      </c>
      <c r="C244" s="11" t="s">
        <v>1030</v>
      </c>
      <c r="D244" s="93" t="s">
        <v>1031</v>
      </c>
      <c r="E244" s="215" t="s">
        <v>1032</v>
      </c>
      <c r="F244" s="11">
        <v>1.0</v>
      </c>
      <c r="G244" s="11" t="s">
        <v>2050</v>
      </c>
      <c r="H244" s="11">
        <v>1.0</v>
      </c>
      <c r="I244" s="11">
        <v>350.0</v>
      </c>
      <c r="J244" s="11">
        <f t="shared" si="5"/>
        <v>350</v>
      </c>
      <c r="K244" s="11" t="s">
        <v>347</v>
      </c>
      <c r="L244" s="93"/>
      <c r="M244" s="93"/>
      <c r="N244" s="215" t="s">
        <v>1032</v>
      </c>
      <c r="O244" s="219" t="s">
        <v>1033</v>
      </c>
      <c r="P244" s="11" t="str">
        <f>IMAGE("https://m.media-amazon.com/images/I/61+L7sYwiBL._SL1500_.jpg",1)</f>
        <v/>
      </c>
      <c r="Q244" s="73" t="s">
        <v>1689</v>
      </c>
      <c r="R244" s="74"/>
      <c r="S244" s="75"/>
      <c r="T244" s="12"/>
      <c r="U244" s="11"/>
      <c r="V244" s="12">
        <v>3.0</v>
      </c>
      <c r="W244" s="576"/>
    </row>
    <row r="245" ht="40.5" customHeight="1">
      <c r="A245" s="11">
        <v>244.0</v>
      </c>
      <c r="B245" s="11" t="s">
        <v>342</v>
      </c>
      <c r="C245" s="11" t="s">
        <v>1035</v>
      </c>
      <c r="D245" s="93" t="s">
        <v>1036</v>
      </c>
      <c r="E245" s="215" t="s">
        <v>1032</v>
      </c>
      <c r="F245" s="216"/>
      <c r="G245" s="11" t="s">
        <v>2050</v>
      </c>
      <c r="H245" s="216">
        <v>2.0</v>
      </c>
      <c r="I245" s="216">
        <v>250.0</v>
      </c>
      <c r="J245" s="11">
        <f t="shared" si="5"/>
        <v>500</v>
      </c>
      <c r="K245" s="11" t="s">
        <v>347</v>
      </c>
      <c r="L245" s="93"/>
      <c r="M245" s="93"/>
      <c r="N245" s="215" t="s">
        <v>1032</v>
      </c>
      <c r="O245" s="217"/>
      <c r="P245" s="11" t="e">
        <v>#VALUE!</v>
      </c>
      <c r="Q245" s="78"/>
      <c r="R245" s="74"/>
      <c r="S245" s="75"/>
      <c r="T245" s="12"/>
      <c r="U245" s="11"/>
      <c r="V245" s="12">
        <v>3.0</v>
      </c>
      <c r="W245" s="576"/>
    </row>
    <row r="246" ht="40.5" customHeight="1">
      <c r="A246" s="11">
        <v>245.0</v>
      </c>
      <c r="B246" s="11" t="s">
        <v>342</v>
      </c>
      <c r="C246" s="11" t="s">
        <v>1038</v>
      </c>
      <c r="D246" s="93" t="s">
        <v>1039</v>
      </c>
      <c r="E246" s="215" t="s">
        <v>1032</v>
      </c>
      <c r="F246" s="216">
        <v>1.0</v>
      </c>
      <c r="G246" s="11" t="s">
        <v>2050</v>
      </c>
      <c r="H246" s="216">
        <v>1.0</v>
      </c>
      <c r="I246" s="216">
        <v>100.0</v>
      </c>
      <c r="J246" s="11">
        <f t="shared" si="5"/>
        <v>100</v>
      </c>
      <c r="K246" s="11" t="s">
        <v>347</v>
      </c>
      <c r="L246" s="93"/>
      <c r="M246" s="93"/>
      <c r="N246" s="215" t="s">
        <v>1032</v>
      </c>
      <c r="O246" s="217" t="s">
        <v>1040</v>
      </c>
      <c r="P246" s="11" t="str">
        <f>IMAGE("https://m.media-amazon.com/images/I/71qyUXJ5i6L._AC_UF1000,1000_QL80_.jpg",1)</f>
        <v/>
      </c>
      <c r="Q246" s="78" t="s">
        <v>1689</v>
      </c>
      <c r="R246" s="74" t="s">
        <v>1703</v>
      </c>
      <c r="S246" s="75"/>
      <c r="T246" s="12"/>
      <c r="U246" s="11"/>
      <c r="V246" s="12">
        <v>3.0</v>
      </c>
      <c r="W246" s="576"/>
    </row>
    <row r="247" ht="40.5" customHeight="1">
      <c r="A247" s="11">
        <v>246.0</v>
      </c>
      <c r="B247" s="11" t="s">
        <v>342</v>
      </c>
      <c r="C247" s="11" t="s">
        <v>1042</v>
      </c>
      <c r="D247" s="93" t="s">
        <v>1043</v>
      </c>
      <c r="E247" s="215" t="s">
        <v>1032</v>
      </c>
      <c r="F247" s="216">
        <v>1.0</v>
      </c>
      <c r="G247" s="11" t="s">
        <v>2050</v>
      </c>
      <c r="H247" s="216">
        <v>1.0</v>
      </c>
      <c r="I247" s="216">
        <v>200.0</v>
      </c>
      <c r="J247" s="11">
        <f t="shared" si="5"/>
        <v>200</v>
      </c>
      <c r="K247" s="11" t="s">
        <v>347</v>
      </c>
      <c r="L247" s="93"/>
      <c r="M247" s="93"/>
      <c r="N247" s="215" t="s">
        <v>1032</v>
      </c>
      <c r="O247" s="223" t="s">
        <v>1044</v>
      </c>
      <c r="P247" s="11" t="str">
        <f>IMAGE("https://5.imimg.com/data5/TS/AU/MY-11200044/steel-shaft-claw-hammer-500x500.jpg",1)</f>
        <v/>
      </c>
      <c r="Q247" s="73" t="s">
        <v>1689</v>
      </c>
      <c r="R247" s="74" t="s">
        <v>1704</v>
      </c>
      <c r="S247" s="75"/>
      <c r="T247" s="12"/>
      <c r="U247" s="11"/>
      <c r="V247" s="12">
        <v>3.0</v>
      </c>
      <c r="W247" s="576"/>
    </row>
    <row r="248" ht="40.5" customHeight="1">
      <c r="A248" s="11">
        <v>247.0</v>
      </c>
      <c r="B248" s="11" t="s">
        <v>342</v>
      </c>
      <c r="C248" s="11" t="s">
        <v>1046</v>
      </c>
      <c r="D248" s="93" t="s">
        <v>1047</v>
      </c>
      <c r="E248" s="215" t="s">
        <v>1032</v>
      </c>
      <c r="F248" s="216">
        <v>1.0</v>
      </c>
      <c r="G248" s="11" t="s">
        <v>2050</v>
      </c>
      <c r="H248" s="216">
        <v>1.0</v>
      </c>
      <c r="I248" s="216">
        <v>500.0</v>
      </c>
      <c r="J248" s="11">
        <f t="shared" si="5"/>
        <v>500</v>
      </c>
      <c r="K248" s="11" t="s">
        <v>347</v>
      </c>
      <c r="L248" s="93"/>
      <c r="M248" s="93"/>
      <c r="N248" s="215" t="s">
        <v>1032</v>
      </c>
      <c r="O248" s="217" t="s">
        <v>1048</v>
      </c>
      <c r="P248" s="11" t="str">
        <f>IMAGE("https://5.imimg.com/data5/GU/RT/MY-2970994/bench-clamp.jpg",1)</f>
        <v/>
      </c>
      <c r="Q248" s="73" t="s">
        <v>1689</v>
      </c>
      <c r="R248" s="74"/>
      <c r="S248" s="75"/>
      <c r="T248" s="12"/>
      <c r="U248" s="11"/>
      <c r="V248" s="12">
        <v>3.0</v>
      </c>
      <c r="W248" s="576"/>
    </row>
    <row r="249" ht="40.5" customHeight="1">
      <c r="A249" s="11">
        <v>248.0</v>
      </c>
      <c r="B249" s="11" t="s">
        <v>342</v>
      </c>
      <c r="C249" s="11" t="s">
        <v>1050</v>
      </c>
      <c r="D249" s="93" t="s">
        <v>1051</v>
      </c>
      <c r="E249" s="215" t="s">
        <v>1032</v>
      </c>
      <c r="F249" s="216">
        <v>1.0</v>
      </c>
      <c r="G249" s="11" t="s">
        <v>2050</v>
      </c>
      <c r="H249" s="216">
        <v>1.0</v>
      </c>
      <c r="I249" s="216">
        <v>100.0</v>
      </c>
      <c r="J249" s="11">
        <f t="shared" si="5"/>
        <v>100</v>
      </c>
      <c r="K249" s="11" t="s">
        <v>347</v>
      </c>
      <c r="L249" s="93"/>
      <c r="M249" s="93"/>
      <c r="N249" s="215" t="s">
        <v>1032</v>
      </c>
      <c r="O249" s="217" t="s">
        <v>1052</v>
      </c>
      <c r="P249" s="11" t="str">
        <f>IMAGE("https://images.jdmagicbox.com/quickquotes/images_main/plier-381885296-5n4zf.jpg",1)</f>
        <v/>
      </c>
      <c r="Q249" s="73" t="s">
        <v>1689</v>
      </c>
      <c r="R249" s="74" t="s">
        <v>1705</v>
      </c>
      <c r="S249" s="75"/>
      <c r="T249" s="12"/>
      <c r="U249" s="11"/>
      <c r="V249" s="12">
        <v>3.0</v>
      </c>
      <c r="W249" s="576"/>
    </row>
    <row r="250" ht="40.5" customHeight="1">
      <c r="A250" s="11">
        <v>249.0</v>
      </c>
      <c r="B250" s="11" t="s">
        <v>342</v>
      </c>
      <c r="C250" s="11" t="s">
        <v>1054</v>
      </c>
      <c r="D250" s="93" t="s">
        <v>1055</v>
      </c>
      <c r="E250" s="215" t="s">
        <v>1032</v>
      </c>
      <c r="F250" s="216">
        <v>1.0</v>
      </c>
      <c r="G250" s="11" t="s">
        <v>2050</v>
      </c>
      <c r="H250" s="216">
        <v>1.0</v>
      </c>
      <c r="I250" s="216">
        <v>150.0</v>
      </c>
      <c r="J250" s="11">
        <f t="shared" si="5"/>
        <v>150</v>
      </c>
      <c r="K250" s="11" t="s">
        <v>347</v>
      </c>
      <c r="L250" s="93"/>
      <c r="M250" s="93"/>
      <c r="N250" s="215" t="s">
        <v>1032</v>
      </c>
      <c r="O250" s="217" t="s">
        <v>1056</v>
      </c>
      <c r="P250" s="11" t="str">
        <f>IMAGE("https://m.media-amazon.com/images/I/613WSFIoSjL._SL1500_.jpg",1)</f>
        <v/>
      </c>
      <c r="Q250" s="73" t="s">
        <v>1689</v>
      </c>
      <c r="R250" s="74" t="s">
        <v>1706</v>
      </c>
      <c r="S250" s="75"/>
      <c r="T250" s="12"/>
      <c r="U250" s="11"/>
      <c r="V250" s="12">
        <v>3.0</v>
      </c>
      <c r="W250" s="576"/>
    </row>
    <row r="251" ht="40.5" customHeight="1">
      <c r="A251" s="11">
        <v>250.0</v>
      </c>
      <c r="B251" s="11" t="s">
        <v>342</v>
      </c>
      <c r="C251" s="11" t="s">
        <v>1058</v>
      </c>
      <c r="D251" s="93" t="s">
        <v>1059</v>
      </c>
      <c r="E251" s="215" t="s">
        <v>1032</v>
      </c>
      <c r="F251" s="216">
        <v>1.0</v>
      </c>
      <c r="G251" s="11" t="s">
        <v>2050</v>
      </c>
      <c r="H251" s="216">
        <v>1.0</v>
      </c>
      <c r="I251" s="216">
        <v>100.0</v>
      </c>
      <c r="J251" s="11">
        <f t="shared" si="5"/>
        <v>100</v>
      </c>
      <c r="K251" s="11" t="s">
        <v>347</v>
      </c>
      <c r="L251" s="93"/>
      <c r="M251" s="93"/>
      <c r="N251" s="215" t="s">
        <v>1032</v>
      </c>
      <c r="O251" s="217" t="s">
        <v>1060</v>
      </c>
      <c r="P251" s="11" t="str">
        <f>IMAGE("https://in.misumi-ec.com/linked/material/fs/FUJ1/PHOTO/223000817171_001.jpg?$product_main$",1)</f>
        <v/>
      </c>
      <c r="Q251" s="73" t="s">
        <v>1689</v>
      </c>
      <c r="R251" s="74" t="s">
        <v>1707</v>
      </c>
      <c r="S251" s="75"/>
      <c r="T251" s="5"/>
      <c r="U251" s="14"/>
      <c r="V251" s="12">
        <v>3.0</v>
      </c>
      <c r="W251" s="576"/>
    </row>
    <row r="252" ht="40.5" customHeight="1">
      <c r="A252" s="11">
        <v>251.0</v>
      </c>
      <c r="B252" s="222" t="s">
        <v>342</v>
      </c>
      <c r="C252" s="222" t="s">
        <v>1062</v>
      </c>
      <c r="D252" s="232" t="s">
        <v>1063</v>
      </c>
      <c r="E252" s="233" t="s">
        <v>1032</v>
      </c>
      <c r="F252" s="234">
        <v>2.0</v>
      </c>
      <c r="G252" s="11" t="s">
        <v>2195</v>
      </c>
      <c r="H252" s="234">
        <v>2.0</v>
      </c>
      <c r="I252" s="234">
        <v>500.0</v>
      </c>
      <c r="J252" s="222">
        <f t="shared" si="5"/>
        <v>1000</v>
      </c>
      <c r="K252" s="222" t="s">
        <v>347</v>
      </c>
      <c r="L252" s="232"/>
      <c r="M252" s="232"/>
      <c r="N252" s="233" t="s">
        <v>1032</v>
      </c>
      <c r="O252" s="235" t="s">
        <v>1064</v>
      </c>
      <c r="P252" s="222" t="str">
        <f>IMAGE("https://i.ebayimg.com/images/g/QLMAAOSwETxj4~0j/s-l1600.jpg",1)</f>
        <v/>
      </c>
      <c r="Q252" s="358"/>
      <c r="R252" s="359"/>
      <c r="S252" s="336"/>
      <c r="T252" s="360"/>
      <c r="U252" s="222"/>
      <c r="V252" s="299">
        <v>3.0</v>
      </c>
      <c r="W252" s="576"/>
    </row>
    <row r="253" ht="40.5" customHeight="1">
      <c r="A253" s="11">
        <v>252.0</v>
      </c>
      <c r="B253" s="11" t="s">
        <v>342</v>
      </c>
      <c r="C253" s="11" t="s">
        <v>1066</v>
      </c>
      <c r="D253" s="93" t="s">
        <v>1067</v>
      </c>
      <c r="E253" s="215" t="s">
        <v>1032</v>
      </c>
      <c r="F253" s="216">
        <v>1.0</v>
      </c>
      <c r="G253" s="11" t="s">
        <v>2050</v>
      </c>
      <c r="H253" s="216">
        <v>1.0</v>
      </c>
      <c r="I253" s="216">
        <v>200.0</v>
      </c>
      <c r="J253" s="11">
        <f t="shared" si="5"/>
        <v>200</v>
      </c>
      <c r="K253" s="11" t="s">
        <v>347</v>
      </c>
      <c r="L253" s="93"/>
      <c r="M253" s="93"/>
      <c r="N253" s="215" t="s">
        <v>1032</v>
      </c>
      <c r="O253" s="217" t="s">
        <v>1068</v>
      </c>
      <c r="P253" s="11" t="str">
        <f>IMAGE("https://res.cloudinary.com/rsc/image/upload/b_rgb:FFFFFF,c_pad,dpr_1.0,f_auto,q_auto,w_700/c_pad,w_700/C1985249-01",1)</f>
        <v/>
      </c>
      <c r="Q253" s="73" t="s">
        <v>1689</v>
      </c>
      <c r="R253" s="74" t="s">
        <v>1708</v>
      </c>
      <c r="S253" s="75"/>
      <c r="T253" s="12"/>
      <c r="U253" s="11"/>
      <c r="V253" s="12">
        <v>3.0</v>
      </c>
      <c r="W253" s="576"/>
    </row>
    <row r="254" ht="40.5" customHeight="1">
      <c r="A254" s="11">
        <v>253.0</v>
      </c>
      <c r="B254" s="222" t="s">
        <v>342</v>
      </c>
      <c r="C254" s="222" t="s">
        <v>1070</v>
      </c>
      <c r="D254" s="232" t="s">
        <v>1071</v>
      </c>
      <c r="E254" s="233" t="s">
        <v>1032</v>
      </c>
      <c r="F254" s="234">
        <v>10.0</v>
      </c>
      <c r="G254" s="11" t="s">
        <v>2209</v>
      </c>
      <c r="H254" s="234">
        <v>10.0</v>
      </c>
      <c r="I254" s="234">
        <v>200.0</v>
      </c>
      <c r="J254" s="222">
        <f t="shared" si="5"/>
        <v>2000</v>
      </c>
      <c r="K254" s="222" t="s">
        <v>347</v>
      </c>
      <c r="L254" s="232" t="s">
        <v>47</v>
      </c>
      <c r="M254" s="341" t="s">
        <v>65</v>
      </c>
      <c r="N254" s="233" t="s">
        <v>1032</v>
      </c>
      <c r="O254" s="235" t="s">
        <v>1072</v>
      </c>
      <c r="P254" s="222" t="str">
        <f>IMAGE("https://cdn.shopify.com/s/files/1/0064/3412/7939/products/71vpWrfPgFL._SL1000_9c7ae600-0e17-44f0-97b0-7a8fa32a55cc_2048x.jpg?v=1540199513",1)</f>
        <v/>
      </c>
      <c r="Q254" s="644"/>
      <c r="R254" s="359"/>
      <c r="S254" s="336"/>
      <c r="T254" s="360"/>
      <c r="U254" s="222"/>
      <c r="V254" s="299">
        <v>3.0</v>
      </c>
      <c r="W254" s="576"/>
    </row>
    <row r="255" ht="40.5" customHeight="1">
      <c r="A255" s="11">
        <v>254.0</v>
      </c>
      <c r="B255" s="11" t="s">
        <v>342</v>
      </c>
      <c r="C255" s="11" t="s">
        <v>1074</v>
      </c>
      <c r="D255" s="93" t="s">
        <v>1075</v>
      </c>
      <c r="E255" s="215" t="s">
        <v>1032</v>
      </c>
      <c r="F255" s="216">
        <v>4.0</v>
      </c>
      <c r="G255" s="11" t="s">
        <v>2102</v>
      </c>
      <c r="H255" s="216">
        <v>4.0</v>
      </c>
      <c r="I255" s="216">
        <v>500.0</v>
      </c>
      <c r="J255" s="11">
        <f t="shared" si="5"/>
        <v>2000</v>
      </c>
      <c r="K255" s="11" t="s">
        <v>347</v>
      </c>
      <c r="L255" s="93"/>
      <c r="M255" s="93"/>
      <c r="N255" s="215" t="s">
        <v>1032</v>
      </c>
      <c r="O255" s="217" t="s">
        <v>284</v>
      </c>
      <c r="P255" s="11" t="str">
        <f>IMAGE("https://cdn.shopify.com/s/files/1/0088/0056/7392/products/71GahpQFYhL._SL1500_1024x.jpg?v=1634034762",1)</f>
        <v/>
      </c>
      <c r="Q255" s="73" t="s">
        <v>1689</v>
      </c>
      <c r="R255" s="74" t="s">
        <v>1709</v>
      </c>
      <c r="S255" s="75"/>
      <c r="T255" s="12"/>
      <c r="U255" s="11"/>
      <c r="V255" s="12">
        <v>3.0</v>
      </c>
      <c r="W255" s="576"/>
    </row>
    <row r="256" ht="40.5" customHeight="1">
      <c r="A256" s="11">
        <v>255.0</v>
      </c>
      <c r="B256" s="11" t="s">
        <v>342</v>
      </c>
      <c r="C256" s="11" t="s">
        <v>1077</v>
      </c>
      <c r="D256" s="93" t="s">
        <v>1078</v>
      </c>
      <c r="E256" s="215" t="s">
        <v>1032</v>
      </c>
      <c r="F256" s="216">
        <v>50.0</v>
      </c>
      <c r="G256" s="11" t="s">
        <v>2103</v>
      </c>
      <c r="H256" s="216">
        <v>50.0</v>
      </c>
      <c r="I256" s="216">
        <v>8.0</v>
      </c>
      <c r="J256" s="11">
        <f t="shared" si="5"/>
        <v>400</v>
      </c>
      <c r="K256" s="11" t="s">
        <v>347</v>
      </c>
      <c r="L256" s="93" t="s">
        <v>47</v>
      </c>
      <c r="M256" s="93" t="s">
        <v>1594</v>
      </c>
      <c r="N256" s="93" t="s">
        <v>23</v>
      </c>
      <c r="O256" s="217" t="s">
        <v>1079</v>
      </c>
      <c r="P256" s="11" t="str">
        <f>IMAGE("https://m.media-amazon.com/images/I/51OTKanSUXL._SL1024_.jpg",1)</f>
        <v/>
      </c>
      <c r="Q256" s="78"/>
      <c r="R256" s="74"/>
      <c r="S256" s="75"/>
      <c r="T256" s="12"/>
      <c r="U256" s="11"/>
      <c r="V256" s="12">
        <v>1.0</v>
      </c>
      <c r="W256" s="576"/>
    </row>
    <row r="257" ht="40.5" customHeight="1">
      <c r="A257" s="11">
        <v>256.0</v>
      </c>
      <c r="B257" s="11" t="s">
        <v>342</v>
      </c>
      <c r="C257" s="11" t="s">
        <v>1081</v>
      </c>
      <c r="D257" s="93" t="s">
        <v>1082</v>
      </c>
      <c r="E257" s="215" t="s">
        <v>1032</v>
      </c>
      <c r="F257" s="216">
        <v>1.0</v>
      </c>
      <c r="G257" s="11" t="s">
        <v>2104</v>
      </c>
      <c r="H257" s="216">
        <v>1.0</v>
      </c>
      <c r="I257" s="216">
        <v>200.0</v>
      </c>
      <c r="J257" s="11">
        <f t="shared" si="5"/>
        <v>200</v>
      </c>
      <c r="K257" s="11" t="s">
        <v>347</v>
      </c>
      <c r="L257" s="93"/>
      <c r="M257" s="93" t="s">
        <v>2002</v>
      </c>
      <c r="N257" s="215" t="s">
        <v>1032</v>
      </c>
      <c r="O257" s="217" t="s">
        <v>1083</v>
      </c>
      <c r="P257" s="11" t="str">
        <f>IMAGE("https://m.media-amazon.com/images/I/41XSpNsGoiL._SL1024_.jpg",1)</f>
        <v/>
      </c>
      <c r="Q257" s="73" t="s">
        <v>1689</v>
      </c>
      <c r="R257" s="74" t="s">
        <v>1710</v>
      </c>
      <c r="S257" s="75"/>
      <c r="T257" s="12"/>
      <c r="U257" s="11"/>
      <c r="V257" s="12">
        <v>3.0</v>
      </c>
      <c r="W257" s="576"/>
    </row>
    <row r="258" ht="40.5" customHeight="1">
      <c r="A258" s="11">
        <v>257.0</v>
      </c>
      <c r="B258" s="11" t="s">
        <v>342</v>
      </c>
      <c r="C258" s="11" t="s">
        <v>1085</v>
      </c>
      <c r="D258" s="93" t="s">
        <v>1086</v>
      </c>
      <c r="E258" s="215" t="s">
        <v>1032</v>
      </c>
      <c r="F258" s="216">
        <v>2.0</v>
      </c>
      <c r="G258" s="11" t="s">
        <v>2050</v>
      </c>
      <c r="H258" s="216">
        <v>2.0</v>
      </c>
      <c r="I258" s="216">
        <v>100.0</v>
      </c>
      <c r="J258" s="11">
        <f t="shared" si="5"/>
        <v>200</v>
      </c>
      <c r="K258" s="11" t="s">
        <v>347</v>
      </c>
      <c r="L258" s="93"/>
      <c r="M258" s="93"/>
      <c r="N258" s="93" t="s">
        <v>1964</v>
      </c>
      <c r="O258" s="217" t="s">
        <v>1087</v>
      </c>
      <c r="P258" s="11" t="str">
        <f>IMAGE("https://m.media-amazon.com/images/I/513ZkVzGbdL._AC_.jpg", 1)</f>
        <v/>
      </c>
      <c r="Q258" s="78"/>
      <c r="R258" s="74"/>
      <c r="S258" s="75"/>
      <c r="T258" s="12"/>
      <c r="U258" s="11"/>
      <c r="V258" s="12">
        <v>3.0</v>
      </c>
      <c r="W258" s="576"/>
    </row>
    <row r="259" ht="40.5" customHeight="1">
      <c r="A259" s="11">
        <v>258.0</v>
      </c>
      <c r="B259" s="11" t="s">
        <v>342</v>
      </c>
      <c r="C259" s="11" t="s">
        <v>1089</v>
      </c>
      <c r="D259" s="93" t="s">
        <v>1090</v>
      </c>
      <c r="E259" s="215" t="s">
        <v>1032</v>
      </c>
      <c r="F259" s="216">
        <v>1.0</v>
      </c>
      <c r="G259" s="11" t="s">
        <v>2050</v>
      </c>
      <c r="H259" s="216">
        <v>2.0</v>
      </c>
      <c r="I259" s="216">
        <v>200.0</v>
      </c>
      <c r="J259" s="11">
        <f t="shared" si="5"/>
        <v>400</v>
      </c>
      <c r="K259" s="11" t="s">
        <v>347</v>
      </c>
      <c r="L259" s="93"/>
      <c r="M259" s="93"/>
      <c r="N259" s="93" t="s">
        <v>1964</v>
      </c>
      <c r="O259" s="217" t="s">
        <v>1091</v>
      </c>
      <c r="P259" s="11" t="str">
        <f>IMAGE("https://m.media-amazon.com/images/I/41V47za3aNL.jpg",1)</f>
        <v/>
      </c>
      <c r="Q259" s="73" t="s">
        <v>1689</v>
      </c>
      <c r="R259" s="74" t="s">
        <v>1711</v>
      </c>
      <c r="S259" s="75"/>
      <c r="T259" s="12"/>
      <c r="U259" s="11"/>
      <c r="V259" s="12">
        <v>3.0</v>
      </c>
      <c r="W259" s="576"/>
    </row>
    <row r="260" ht="40.5" customHeight="1">
      <c r="A260" s="11">
        <v>259.0</v>
      </c>
      <c r="B260" s="11" t="s">
        <v>342</v>
      </c>
      <c r="C260" s="11" t="s">
        <v>1093</v>
      </c>
      <c r="D260" s="93" t="s">
        <v>1094</v>
      </c>
      <c r="E260" s="215" t="s">
        <v>1032</v>
      </c>
      <c r="F260" s="216" t="s">
        <v>56</v>
      </c>
      <c r="G260" s="11" t="s">
        <v>2050</v>
      </c>
      <c r="H260" s="216">
        <v>2.0</v>
      </c>
      <c r="I260" s="216">
        <v>350.0</v>
      </c>
      <c r="J260" s="11">
        <f t="shared" si="5"/>
        <v>700</v>
      </c>
      <c r="K260" s="11" t="s">
        <v>347</v>
      </c>
      <c r="L260" s="93"/>
      <c r="M260" s="93"/>
      <c r="N260" s="215" t="s">
        <v>1032</v>
      </c>
      <c r="O260" s="217" t="s">
        <v>1095</v>
      </c>
      <c r="P260" s="11" t="str">
        <f>IMAGE("https://m.media-amazon.com/images/I/41pgJCdOd0L._AC_SX522_.jpg", 1)</f>
        <v/>
      </c>
      <c r="Q260" s="73" t="s">
        <v>1689</v>
      </c>
      <c r="R260" s="74" t="s">
        <v>1712</v>
      </c>
      <c r="S260" s="75"/>
      <c r="T260" s="12"/>
      <c r="U260" s="11"/>
      <c r="V260" s="12">
        <v>3.0</v>
      </c>
      <c r="W260" s="576"/>
    </row>
    <row r="261" ht="40.5" customHeight="1">
      <c r="A261" s="11">
        <v>260.0</v>
      </c>
      <c r="B261" s="11" t="s">
        <v>342</v>
      </c>
      <c r="C261" s="11" t="s">
        <v>1097</v>
      </c>
      <c r="D261" s="93" t="s">
        <v>1098</v>
      </c>
      <c r="E261" s="215" t="s">
        <v>1032</v>
      </c>
      <c r="F261" s="216">
        <v>25.0</v>
      </c>
      <c r="G261" s="11" t="s">
        <v>2051</v>
      </c>
      <c r="H261" s="216">
        <v>25.0</v>
      </c>
      <c r="I261" s="216">
        <v>20.0</v>
      </c>
      <c r="J261" s="11">
        <f t="shared" si="5"/>
        <v>500</v>
      </c>
      <c r="K261" s="11" t="s">
        <v>347</v>
      </c>
      <c r="L261" s="93"/>
      <c r="M261" s="93" t="s">
        <v>2105</v>
      </c>
      <c r="N261" s="215" t="s">
        <v>1032</v>
      </c>
      <c r="O261" s="217" t="s">
        <v>481</v>
      </c>
      <c r="P261" s="11" t="str">
        <f>IMAGE("https://5.imimg.com/data5/UF/DF/MY-45635244/sand-paper-500x500.jpg",1)</f>
        <v/>
      </c>
      <c r="Q261" s="78"/>
      <c r="R261" s="74"/>
      <c r="S261" s="75"/>
      <c r="T261" s="12"/>
      <c r="U261" s="11"/>
      <c r="V261" s="12">
        <v>3.0</v>
      </c>
      <c r="W261" s="576"/>
    </row>
    <row r="262" ht="40.5" customHeight="1">
      <c r="A262" s="11">
        <v>261.0</v>
      </c>
      <c r="B262" s="11" t="s">
        <v>342</v>
      </c>
      <c r="C262" s="11" t="s">
        <v>1100</v>
      </c>
      <c r="D262" s="93" t="s">
        <v>1101</v>
      </c>
      <c r="E262" s="215" t="s">
        <v>1032</v>
      </c>
      <c r="F262" s="216" t="s">
        <v>56</v>
      </c>
      <c r="G262" s="11" t="s">
        <v>2050</v>
      </c>
      <c r="H262" s="216" t="s">
        <v>56</v>
      </c>
      <c r="I262" s="216" t="s">
        <v>56</v>
      </c>
      <c r="J262" s="216" t="s">
        <v>56</v>
      </c>
      <c r="K262" s="11" t="s">
        <v>347</v>
      </c>
      <c r="L262" s="93"/>
      <c r="M262" s="93"/>
      <c r="N262" s="215" t="s">
        <v>1032</v>
      </c>
      <c r="O262" s="216" t="s">
        <v>56</v>
      </c>
      <c r="P262" s="218" t="e">
        <v>#VALUE!</v>
      </c>
      <c r="Q262" s="73" t="s">
        <v>1689</v>
      </c>
      <c r="R262" s="74" t="s">
        <v>1713</v>
      </c>
      <c r="S262" s="75"/>
      <c r="T262" s="12"/>
      <c r="U262" s="11"/>
      <c r="V262" s="12">
        <v>3.0</v>
      </c>
      <c r="W262" s="576"/>
    </row>
    <row r="263" ht="40.5" customHeight="1">
      <c r="A263" s="11">
        <v>262.0</v>
      </c>
      <c r="B263" s="11" t="s">
        <v>342</v>
      </c>
      <c r="C263" s="11" t="s">
        <v>1103</v>
      </c>
      <c r="D263" s="93" t="s">
        <v>1104</v>
      </c>
      <c r="E263" s="215" t="s">
        <v>1032</v>
      </c>
      <c r="F263" s="216" t="s">
        <v>56</v>
      </c>
      <c r="G263" s="11" t="s">
        <v>2050</v>
      </c>
      <c r="H263" s="216" t="s">
        <v>56</v>
      </c>
      <c r="I263" s="216" t="s">
        <v>56</v>
      </c>
      <c r="J263" s="216" t="s">
        <v>56</v>
      </c>
      <c r="K263" s="11" t="s">
        <v>347</v>
      </c>
      <c r="L263" s="93"/>
      <c r="M263" s="93"/>
      <c r="N263" s="215" t="s">
        <v>1032</v>
      </c>
      <c r="O263" s="216" t="s">
        <v>56</v>
      </c>
      <c r="P263" s="218" t="e">
        <v>#VALUE!</v>
      </c>
      <c r="Q263" s="73" t="s">
        <v>1689</v>
      </c>
      <c r="R263" s="74" t="s">
        <v>1714</v>
      </c>
      <c r="S263" s="75"/>
      <c r="T263" s="12"/>
      <c r="U263" s="11"/>
      <c r="V263" s="12">
        <v>3.0</v>
      </c>
      <c r="W263" s="576"/>
    </row>
    <row r="264" ht="40.5" customHeight="1">
      <c r="A264" s="11">
        <v>263.0</v>
      </c>
      <c r="B264" s="11" t="s">
        <v>342</v>
      </c>
      <c r="C264" s="11" t="s">
        <v>1106</v>
      </c>
      <c r="D264" s="107" t="s">
        <v>1107</v>
      </c>
      <c r="E264" s="215" t="s">
        <v>1032</v>
      </c>
      <c r="F264" s="216" t="s">
        <v>56</v>
      </c>
      <c r="G264" s="11" t="s">
        <v>2050</v>
      </c>
      <c r="H264" s="216" t="s">
        <v>56</v>
      </c>
      <c r="I264" s="216" t="s">
        <v>56</v>
      </c>
      <c r="J264" s="216" t="s">
        <v>56</v>
      </c>
      <c r="K264" s="11" t="s">
        <v>347</v>
      </c>
      <c r="L264" s="93"/>
      <c r="M264" s="93"/>
      <c r="N264" s="215" t="s">
        <v>1032</v>
      </c>
      <c r="O264" s="216" t="s">
        <v>56</v>
      </c>
      <c r="P264" s="218" t="e">
        <v>#VALUE!</v>
      </c>
      <c r="Q264" s="73" t="s">
        <v>1689</v>
      </c>
      <c r="R264" s="74" t="s">
        <v>1715</v>
      </c>
      <c r="S264" s="75"/>
      <c r="T264" s="12"/>
      <c r="U264" s="11"/>
      <c r="V264" s="12">
        <v>3.0</v>
      </c>
      <c r="W264" s="576"/>
    </row>
    <row r="265" ht="40.5" customHeight="1">
      <c r="A265" s="11">
        <v>264.0</v>
      </c>
      <c r="B265" s="11" t="s">
        <v>342</v>
      </c>
      <c r="C265" s="11" t="s">
        <v>1109</v>
      </c>
      <c r="D265" s="107" t="s">
        <v>1110</v>
      </c>
      <c r="E265" s="215" t="s">
        <v>1032</v>
      </c>
      <c r="F265" s="216" t="s">
        <v>56</v>
      </c>
      <c r="G265" s="11" t="s">
        <v>2050</v>
      </c>
      <c r="H265" s="216" t="s">
        <v>56</v>
      </c>
      <c r="I265" s="216" t="s">
        <v>56</v>
      </c>
      <c r="J265" s="216" t="s">
        <v>56</v>
      </c>
      <c r="K265" s="11" t="s">
        <v>347</v>
      </c>
      <c r="L265" s="93"/>
      <c r="M265" s="93"/>
      <c r="N265" s="215" t="s">
        <v>1032</v>
      </c>
      <c r="O265" s="217" t="s">
        <v>1111</v>
      </c>
      <c r="P265" s="216" t="e">
        <v>#VALUE!</v>
      </c>
      <c r="Q265" s="73" t="s">
        <v>1689</v>
      </c>
      <c r="R265" s="74" t="s">
        <v>1716</v>
      </c>
      <c r="S265" s="75"/>
      <c r="T265" s="12"/>
      <c r="U265" s="11"/>
      <c r="V265" s="12">
        <v>3.0</v>
      </c>
      <c r="W265" s="576"/>
    </row>
    <row r="266" ht="40.5" customHeight="1">
      <c r="A266" s="11">
        <v>265.0</v>
      </c>
      <c r="B266" s="11" t="s">
        <v>342</v>
      </c>
      <c r="C266" s="11" t="s">
        <v>1113</v>
      </c>
      <c r="D266" s="93" t="s">
        <v>1114</v>
      </c>
      <c r="E266" s="215" t="s">
        <v>1032</v>
      </c>
      <c r="F266" s="216" t="s">
        <v>56</v>
      </c>
      <c r="G266" s="11" t="s">
        <v>2050</v>
      </c>
      <c r="H266" s="216" t="s">
        <v>56</v>
      </c>
      <c r="I266" s="216" t="s">
        <v>56</v>
      </c>
      <c r="J266" s="216" t="s">
        <v>56</v>
      </c>
      <c r="K266" s="11" t="s">
        <v>347</v>
      </c>
      <c r="L266" s="93"/>
      <c r="M266" s="93"/>
      <c r="N266" s="215" t="s">
        <v>1032</v>
      </c>
      <c r="O266" s="216" t="s">
        <v>56</v>
      </c>
      <c r="P266" s="216" t="e">
        <v>#VALUE!</v>
      </c>
      <c r="Q266" s="73" t="s">
        <v>1689</v>
      </c>
      <c r="R266" s="74">
        <v>60449.0</v>
      </c>
      <c r="S266" s="75"/>
      <c r="T266" s="12"/>
      <c r="U266" s="11"/>
      <c r="V266" s="12">
        <v>3.0</v>
      </c>
      <c r="W266" s="576"/>
    </row>
    <row r="267" ht="40.5" customHeight="1">
      <c r="A267" s="11">
        <v>266.0</v>
      </c>
      <c r="B267" s="11" t="s">
        <v>342</v>
      </c>
      <c r="C267" s="11" t="s">
        <v>1116</v>
      </c>
      <c r="D267" s="93" t="s">
        <v>1117</v>
      </c>
      <c r="E267" s="215" t="s">
        <v>1032</v>
      </c>
      <c r="F267" s="216" t="s">
        <v>56</v>
      </c>
      <c r="G267" s="11" t="s">
        <v>2050</v>
      </c>
      <c r="H267" s="216" t="s">
        <v>56</v>
      </c>
      <c r="I267" s="216" t="s">
        <v>56</v>
      </c>
      <c r="J267" s="216" t="s">
        <v>56</v>
      </c>
      <c r="K267" s="11" t="s">
        <v>347</v>
      </c>
      <c r="L267" s="93"/>
      <c r="M267" s="93"/>
      <c r="N267" s="215" t="s">
        <v>1032</v>
      </c>
      <c r="O267" s="217" t="s">
        <v>1118</v>
      </c>
      <c r="P267" s="262" t="e">
        <v>#VALUE!</v>
      </c>
      <c r="Q267" s="73" t="s">
        <v>1689</v>
      </c>
      <c r="R267" s="74" t="s">
        <v>1717</v>
      </c>
      <c r="S267" s="75"/>
      <c r="T267" s="12"/>
      <c r="U267" s="11"/>
      <c r="V267" s="12">
        <v>3.0</v>
      </c>
      <c r="W267" s="576"/>
    </row>
    <row r="268" ht="40.5" customHeight="1">
      <c r="A268" s="11">
        <v>267.0</v>
      </c>
      <c r="B268" s="11" t="s">
        <v>342</v>
      </c>
      <c r="C268" s="11" t="s">
        <v>1120</v>
      </c>
      <c r="D268" s="93" t="s">
        <v>1121</v>
      </c>
      <c r="E268" s="215" t="s">
        <v>1032</v>
      </c>
      <c r="F268" s="216">
        <v>1.0</v>
      </c>
      <c r="G268" s="11" t="s">
        <v>2050</v>
      </c>
      <c r="H268" s="216">
        <v>1.0</v>
      </c>
      <c r="I268" s="216">
        <v>300.0</v>
      </c>
      <c r="J268" s="11">
        <f t="shared" ref="J268:J359" si="15">I268*H268</f>
        <v>300</v>
      </c>
      <c r="K268" s="11" t="s">
        <v>347</v>
      </c>
      <c r="L268" s="93"/>
      <c r="M268" s="93"/>
      <c r="N268" s="215" t="s">
        <v>1032</v>
      </c>
      <c r="O268" s="217" t="s">
        <v>1122</v>
      </c>
      <c r="P268" s="12" t="str">
        <f>IMAGE("https://5.imimg.com/data5/DH/NE/PV/SELLER-4135781/6-pc-precision-screwdriver-set-500x500.jpg",1)</f>
        <v/>
      </c>
      <c r="Q268" s="73" t="s">
        <v>1689</v>
      </c>
      <c r="R268" s="74" t="s">
        <v>1718</v>
      </c>
      <c r="S268" s="75"/>
      <c r="T268" s="12"/>
      <c r="U268" s="11"/>
      <c r="V268" s="12">
        <v>3.0</v>
      </c>
      <c r="W268" s="576"/>
    </row>
    <row r="269" ht="40.5" customHeight="1">
      <c r="A269" s="11">
        <v>268.0</v>
      </c>
      <c r="B269" s="222" t="s">
        <v>342</v>
      </c>
      <c r="C269" s="222" t="s">
        <v>1124</v>
      </c>
      <c r="D269" s="232" t="s">
        <v>1125</v>
      </c>
      <c r="E269" s="233" t="s">
        <v>1032</v>
      </c>
      <c r="F269" s="234">
        <v>1.0</v>
      </c>
      <c r="G269" s="11" t="s">
        <v>2106</v>
      </c>
      <c r="H269" s="234">
        <v>1.0</v>
      </c>
      <c r="I269" s="234">
        <v>100.0</v>
      </c>
      <c r="J269" s="222">
        <f t="shared" si="15"/>
        <v>100</v>
      </c>
      <c r="K269" s="222" t="s">
        <v>466</v>
      </c>
      <c r="L269" s="232"/>
      <c r="M269" s="232"/>
      <c r="N269" s="233" t="s">
        <v>1032</v>
      </c>
      <c r="O269" s="235"/>
      <c r="P269" s="222" t="str">
        <f>IMAGE("https://cdn.shopify.com/s/files/1/0276/7382/1286/products/57_1a2e82a1-0306-49dc-8a29-0c0b2110ddb8_600x.jpg?v=1632245164",1)</f>
        <v/>
      </c>
      <c r="Q269" s="358"/>
      <c r="R269" s="621"/>
      <c r="S269" s="339"/>
      <c r="T269" s="360"/>
      <c r="U269" s="222"/>
      <c r="V269" s="299">
        <v>3.0</v>
      </c>
      <c r="W269" s="576"/>
    </row>
    <row r="270" ht="40.5" customHeight="1">
      <c r="A270" s="11">
        <v>269.0</v>
      </c>
      <c r="B270" s="11" t="s">
        <v>342</v>
      </c>
      <c r="C270" s="11" t="s">
        <v>1127</v>
      </c>
      <c r="D270" s="93" t="s">
        <v>1128</v>
      </c>
      <c r="E270" s="215" t="s">
        <v>1032</v>
      </c>
      <c r="F270" s="216">
        <v>1.0</v>
      </c>
      <c r="G270" s="11" t="s">
        <v>2050</v>
      </c>
      <c r="H270" s="216">
        <v>1.0</v>
      </c>
      <c r="I270" s="216">
        <v>200.0</v>
      </c>
      <c r="J270" s="11">
        <f t="shared" si="15"/>
        <v>200</v>
      </c>
      <c r="K270" s="11" t="s">
        <v>347</v>
      </c>
      <c r="L270" s="93"/>
      <c r="M270" s="93"/>
      <c r="N270" s="93" t="s">
        <v>23</v>
      </c>
      <c r="O270" s="217" t="s">
        <v>1129</v>
      </c>
      <c r="P270" s="11" t="str">
        <f>IMAGE("https://cdn.bmstores.co.uk/images/hpcProductImage/imgFull/369783-stanley-sealant-gun-diy.jpg",1)</f>
        <v/>
      </c>
      <c r="Q270" s="73" t="s">
        <v>1689</v>
      </c>
      <c r="R270" s="74" t="s">
        <v>1719</v>
      </c>
      <c r="S270" s="75"/>
      <c r="T270" s="12"/>
      <c r="U270" s="11"/>
      <c r="V270" s="12">
        <v>3.0</v>
      </c>
      <c r="W270" s="576"/>
    </row>
    <row r="271" ht="40.5" customHeight="1">
      <c r="A271" s="11">
        <v>270.0</v>
      </c>
      <c r="B271" s="222" t="s">
        <v>342</v>
      </c>
      <c r="C271" s="222" t="s">
        <v>1131</v>
      </c>
      <c r="D271" s="232" t="s">
        <v>1132</v>
      </c>
      <c r="E271" s="233" t="s">
        <v>1032</v>
      </c>
      <c r="F271" s="234">
        <v>1.0</v>
      </c>
      <c r="G271" s="11" t="s">
        <v>2201</v>
      </c>
      <c r="H271" s="234">
        <v>1.0</v>
      </c>
      <c r="I271" s="234">
        <v>300.0</v>
      </c>
      <c r="J271" s="222">
        <f t="shared" si="15"/>
        <v>300</v>
      </c>
      <c r="K271" s="222" t="s">
        <v>347</v>
      </c>
      <c r="L271" s="232"/>
      <c r="M271" s="232"/>
      <c r="N271" s="232" t="s">
        <v>23</v>
      </c>
      <c r="O271" s="235" t="s">
        <v>1133</v>
      </c>
      <c r="P271" s="222" t="str">
        <f>IMAGE("https://5.imimg.com/data5/SELLER/Default/2020/12/RU/ZP/SZ/45671901/alstone-silicone-sealant-500x500.jpeg",1)</f>
        <v/>
      </c>
      <c r="Q271" s="619" t="s">
        <v>1689</v>
      </c>
      <c r="R271" s="359"/>
      <c r="S271" s="336"/>
      <c r="T271" s="360"/>
      <c r="U271" s="222"/>
      <c r="V271" s="299">
        <v>3.0</v>
      </c>
      <c r="W271" s="576"/>
    </row>
    <row r="272" ht="40.5" customHeight="1">
      <c r="A272" s="11">
        <v>271.0</v>
      </c>
      <c r="B272" s="11" t="s">
        <v>342</v>
      </c>
      <c r="C272" s="11" t="s">
        <v>1135</v>
      </c>
      <c r="D272" s="93" t="s">
        <v>1136</v>
      </c>
      <c r="E272" s="215" t="s">
        <v>1032</v>
      </c>
      <c r="F272" s="216">
        <v>1.0</v>
      </c>
      <c r="G272" s="11" t="s">
        <v>2050</v>
      </c>
      <c r="H272" s="216">
        <v>1.0</v>
      </c>
      <c r="I272" s="216">
        <v>180.0</v>
      </c>
      <c r="J272" s="11">
        <f t="shared" si="15"/>
        <v>180</v>
      </c>
      <c r="K272" s="11" t="s">
        <v>347</v>
      </c>
      <c r="L272" s="93"/>
      <c r="M272" s="93"/>
      <c r="N272" s="215" t="s">
        <v>1032</v>
      </c>
      <c r="O272" s="238" t="s">
        <v>1137</v>
      </c>
      <c r="P272" s="11" t="str">
        <f>IMAGE("https://ravimachines.com/wp-content/uploads/2016/07/full_13.jpg",1)</f>
        <v/>
      </c>
      <c r="Q272" s="73" t="s">
        <v>1689</v>
      </c>
      <c r="R272" s="74" t="s">
        <v>1720</v>
      </c>
      <c r="S272" s="75"/>
      <c r="T272" s="12"/>
      <c r="U272" s="11"/>
      <c r="V272" s="12">
        <v>3.0</v>
      </c>
      <c r="W272" s="576"/>
    </row>
    <row r="273" ht="40.5" customHeight="1">
      <c r="A273" s="11">
        <v>272.0</v>
      </c>
      <c r="B273" s="11" t="s">
        <v>342</v>
      </c>
      <c r="C273" s="11" t="s">
        <v>1139</v>
      </c>
      <c r="D273" s="217" t="s">
        <v>1140</v>
      </c>
      <c r="E273" s="215" t="s">
        <v>1032</v>
      </c>
      <c r="F273" s="11">
        <v>10.0</v>
      </c>
      <c r="G273" s="11" t="s">
        <v>2058</v>
      </c>
      <c r="H273" s="11">
        <v>10.0</v>
      </c>
      <c r="I273" s="11">
        <v>100.0</v>
      </c>
      <c r="J273" s="11">
        <f t="shared" si="15"/>
        <v>1000</v>
      </c>
      <c r="K273" s="11" t="s">
        <v>347</v>
      </c>
      <c r="L273" s="93"/>
      <c r="M273" s="93" t="s">
        <v>1594</v>
      </c>
      <c r="N273" s="215" t="s">
        <v>1032</v>
      </c>
      <c r="O273" s="217" t="s">
        <v>1141</v>
      </c>
      <c r="P273" s="11" t="str">
        <f>IMAGE("https://m.media-amazon.com/images/I/61O+7azby+L.jpg",1)</f>
        <v/>
      </c>
      <c r="Q273" s="78"/>
      <c r="R273" s="74"/>
      <c r="S273" s="75"/>
      <c r="T273" s="12"/>
      <c r="U273" s="11"/>
      <c r="V273" s="12">
        <v>1.0</v>
      </c>
      <c r="W273" s="576"/>
    </row>
    <row r="274" ht="40.5" customHeight="1">
      <c r="A274" s="11">
        <v>273.0</v>
      </c>
      <c r="B274" s="254" t="s">
        <v>342</v>
      </c>
      <c r="C274" s="11" t="s">
        <v>1143</v>
      </c>
      <c r="D274" s="93" t="s">
        <v>1144</v>
      </c>
      <c r="E274" s="215" t="s">
        <v>1032</v>
      </c>
      <c r="F274" s="216">
        <v>1.0</v>
      </c>
      <c r="G274" s="11" t="s">
        <v>2050</v>
      </c>
      <c r="H274" s="216">
        <v>1.0</v>
      </c>
      <c r="I274" s="364">
        <v>1500.0</v>
      </c>
      <c r="J274" s="254">
        <f t="shared" si="15"/>
        <v>1500</v>
      </c>
      <c r="K274" s="254" t="s">
        <v>347</v>
      </c>
      <c r="L274" s="362"/>
      <c r="M274" s="362"/>
      <c r="N274" s="363" t="s">
        <v>1032</v>
      </c>
      <c r="O274" s="365" t="s">
        <v>1145</v>
      </c>
      <c r="P274" s="254" t="str">
        <f>IMAGE("https://5.imimg.com/data5/SELLER/Default/2021/4/UH/ZY/EE/41301440/machine.jpeg",1)</f>
        <v/>
      </c>
      <c r="Q274" s="764" t="s">
        <v>1689</v>
      </c>
      <c r="R274" s="642" t="s">
        <v>1721</v>
      </c>
      <c r="S274" s="368"/>
      <c r="T274" s="765"/>
      <c r="U274" s="254"/>
      <c r="V274" s="373">
        <v>3.0</v>
      </c>
      <c r="W274" s="576"/>
    </row>
    <row r="275" ht="40.5" customHeight="1">
      <c r="A275" s="11">
        <v>274.0</v>
      </c>
      <c r="B275" s="11" t="s">
        <v>342</v>
      </c>
      <c r="C275" s="11" t="s">
        <v>1147</v>
      </c>
      <c r="D275" s="93" t="s">
        <v>1148</v>
      </c>
      <c r="E275" s="215" t="s">
        <v>1032</v>
      </c>
      <c r="F275" s="216">
        <v>2.0</v>
      </c>
      <c r="G275" s="11" t="s">
        <v>2108</v>
      </c>
      <c r="H275" s="216">
        <v>2.0</v>
      </c>
      <c r="I275" s="216">
        <v>250.0</v>
      </c>
      <c r="J275" s="11">
        <f t="shared" si="15"/>
        <v>500</v>
      </c>
      <c r="K275" s="11" t="s">
        <v>347</v>
      </c>
      <c r="L275" s="93"/>
      <c r="M275" s="93"/>
      <c r="N275" s="215" t="s">
        <v>1032</v>
      </c>
      <c r="O275" s="217"/>
      <c r="P275" s="11"/>
      <c r="Q275" s="73"/>
      <c r="R275" s="74"/>
      <c r="S275" s="75"/>
      <c r="T275" s="12"/>
      <c r="U275" s="11"/>
      <c r="V275" s="12">
        <v>3.0</v>
      </c>
      <c r="W275" s="576"/>
    </row>
    <row r="276" ht="40.5" customHeight="1">
      <c r="A276" s="11">
        <v>275.0</v>
      </c>
      <c r="B276" s="11" t="s">
        <v>342</v>
      </c>
      <c r="C276" s="11" t="s">
        <v>1150</v>
      </c>
      <c r="D276" s="93" t="s">
        <v>1151</v>
      </c>
      <c r="E276" s="215" t="s">
        <v>1032</v>
      </c>
      <c r="F276" s="216">
        <v>10.0</v>
      </c>
      <c r="G276" s="11" t="s">
        <v>2109</v>
      </c>
      <c r="H276" s="216">
        <v>10.0</v>
      </c>
      <c r="I276" s="216">
        <v>100.0</v>
      </c>
      <c r="J276" s="11">
        <f t="shared" si="15"/>
        <v>1000</v>
      </c>
      <c r="K276" s="11" t="s">
        <v>347</v>
      </c>
      <c r="L276" s="93" t="s">
        <v>21</v>
      </c>
      <c r="M276" s="93" t="s">
        <v>2002</v>
      </c>
      <c r="N276" s="215" t="s">
        <v>1032</v>
      </c>
      <c r="O276" s="217"/>
      <c r="P276" s="11" t="str">
        <f>IMAGE("https://5.imimg.com/data5/SELLER/Default/2020/10/KC/AV/BY/25174136/150b-cutter-stripper-250x250.jpg",1)</f>
        <v/>
      </c>
      <c r="Q276" s="73" t="s">
        <v>1689</v>
      </c>
      <c r="R276" s="74"/>
      <c r="S276" s="75"/>
      <c r="T276" s="12"/>
      <c r="U276" s="11"/>
      <c r="V276" s="12">
        <v>3.0</v>
      </c>
      <c r="W276" s="576"/>
    </row>
    <row r="277" ht="40.5" customHeight="1">
      <c r="A277" s="11">
        <v>276.0</v>
      </c>
      <c r="B277" s="11" t="s">
        <v>1152</v>
      </c>
      <c r="C277" s="11" t="s">
        <v>1154</v>
      </c>
      <c r="D277" s="93" t="s">
        <v>2766</v>
      </c>
      <c r="E277" s="215" t="s">
        <v>1156</v>
      </c>
      <c r="F277" s="216">
        <v>10.0</v>
      </c>
      <c r="G277" s="11" t="s">
        <v>2204</v>
      </c>
      <c r="H277" s="216">
        <v>10.0</v>
      </c>
      <c r="I277" s="216">
        <v>100.0</v>
      </c>
      <c r="J277" s="11">
        <f t="shared" si="15"/>
        <v>1000</v>
      </c>
      <c r="K277" s="11" t="s">
        <v>1157</v>
      </c>
      <c r="L277" s="93"/>
      <c r="M277" s="93"/>
      <c r="N277" s="93" t="s">
        <v>1968</v>
      </c>
      <c r="O277" s="217"/>
      <c r="P277" s="11" t="str">
        <f>IMAGE("https://5.imimg.com/data5/SB/TW/SA/SELLER-91497159/glass-beaker-500x500.jpg",1)</f>
        <v/>
      </c>
      <c r="Q277" s="78"/>
      <c r="R277" s="74"/>
      <c r="S277" s="75"/>
      <c r="T277" s="12"/>
      <c r="U277" s="11"/>
      <c r="V277" s="12">
        <v>3.0</v>
      </c>
      <c r="W277" s="576"/>
    </row>
    <row r="278" ht="40.5" customHeight="1">
      <c r="A278" s="11">
        <v>277.0</v>
      </c>
      <c r="B278" s="11" t="s">
        <v>1152</v>
      </c>
      <c r="C278" s="11" t="s">
        <v>1159</v>
      </c>
      <c r="D278" s="93" t="s">
        <v>1160</v>
      </c>
      <c r="E278" s="215" t="s">
        <v>1156</v>
      </c>
      <c r="F278" s="11">
        <v>5.0</v>
      </c>
      <c r="G278" s="11" t="s">
        <v>2204</v>
      </c>
      <c r="H278" s="11">
        <v>5.0</v>
      </c>
      <c r="I278" s="11">
        <v>300.0</v>
      </c>
      <c r="J278" s="11">
        <f t="shared" si="15"/>
        <v>1500</v>
      </c>
      <c r="K278" s="11" t="s">
        <v>1157</v>
      </c>
      <c r="L278" s="93"/>
      <c r="M278" s="93"/>
      <c r="N278" s="93" t="s">
        <v>1968</v>
      </c>
      <c r="O278" s="223" t="s">
        <v>1161</v>
      </c>
      <c r="P278" s="11" t="str">
        <f>IMAGE("https://m.media-amazon.com/images/I/41vGxqzVasL.jpg",1)</f>
        <v/>
      </c>
      <c r="Q278" s="78"/>
      <c r="R278" s="74"/>
      <c r="S278" s="75"/>
      <c r="T278" s="12"/>
      <c r="U278" s="11"/>
      <c r="V278" s="12">
        <v>3.0</v>
      </c>
      <c r="W278" s="576"/>
    </row>
    <row r="279" ht="40.5" customHeight="1">
      <c r="A279" s="11">
        <v>278.0</v>
      </c>
      <c r="B279" s="11" t="s">
        <v>1152</v>
      </c>
      <c r="C279" s="11" t="s">
        <v>1163</v>
      </c>
      <c r="D279" s="93" t="s">
        <v>1164</v>
      </c>
      <c r="E279" s="215" t="s">
        <v>1156</v>
      </c>
      <c r="F279" s="216">
        <v>10.0</v>
      </c>
      <c r="G279" s="11" t="s">
        <v>2204</v>
      </c>
      <c r="H279" s="216">
        <v>8.0</v>
      </c>
      <c r="I279" s="216">
        <v>100.0</v>
      </c>
      <c r="J279" s="11">
        <f t="shared" si="15"/>
        <v>800</v>
      </c>
      <c r="K279" s="11" t="s">
        <v>1157</v>
      </c>
      <c r="L279" s="93"/>
      <c r="M279" s="93"/>
      <c r="N279" s="93" t="s">
        <v>1968</v>
      </c>
      <c r="O279" s="217" t="s">
        <v>1165</v>
      </c>
      <c r="P279" s="11" t="str">
        <f>IMAGE("https://m.media-amazon.com/images/I/31b1KCUwqyL.jpg", 1)</f>
        <v/>
      </c>
      <c r="Q279" s="78" t="s">
        <v>56</v>
      </c>
      <c r="R279" s="74"/>
      <c r="S279" s="75"/>
      <c r="T279" s="12"/>
      <c r="U279" s="11"/>
      <c r="V279" s="12">
        <v>3.0</v>
      </c>
      <c r="W279" s="576"/>
    </row>
    <row r="280" ht="40.5" customHeight="1">
      <c r="A280" s="11">
        <v>279.0</v>
      </c>
      <c r="B280" s="11" t="s">
        <v>1152</v>
      </c>
      <c r="C280" s="11" t="s">
        <v>1167</v>
      </c>
      <c r="D280" s="93" t="s">
        <v>1168</v>
      </c>
      <c r="E280" s="215" t="s">
        <v>1156</v>
      </c>
      <c r="F280" s="11">
        <v>2.0</v>
      </c>
      <c r="G280" s="11" t="s">
        <v>2112</v>
      </c>
      <c r="H280" s="11">
        <v>2.0</v>
      </c>
      <c r="I280" s="11">
        <v>200.0</v>
      </c>
      <c r="J280" s="11">
        <f t="shared" si="15"/>
        <v>400</v>
      </c>
      <c r="K280" s="11" t="s">
        <v>1157</v>
      </c>
      <c r="L280" s="93" t="s">
        <v>77</v>
      </c>
      <c r="M280" s="93"/>
      <c r="N280" s="93" t="s">
        <v>1969</v>
      </c>
      <c r="O280" s="217" t="s">
        <v>1169</v>
      </c>
      <c r="P280" s="11" t="str">
        <f>IMAGE("https://m.media-amazon.com/images/W/MEDIAX_792452-T2/images/I/71veIL4opPL.jpg",1)</f>
        <v/>
      </c>
      <c r="Q280" s="78"/>
      <c r="R280" s="74"/>
      <c r="S280" s="75"/>
      <c r="T280" s="12"/>
      <c r="U280" s="11"/>
      <c r="V280" s="12">
        <v>3.0</v>
      </c>
      <c r="W280" s="576"/>
    </row>
    <row r="281" ht="40.5" customHeight="1">
      <c r="A281" s="11">
        <v>280.0</v>
      </c>
      <c r="B281" s="11" t="s">
        <v>1152</v>
      </c>
      <c r="C281" s="11" t="s">
        <v>1171</v>
      </c>
      <c r="D281" s="93" t="s">
        <v>1172</v>
      </c>
      <c r="E281" s="215" t="s">
        <v>1156</v>
      </c>
      <c r="F281" s="255">
        <v>1.0</v>
      </c>
      <c r="G281" s="11" t="s">
        <v>2113</v>
      </c>
      <c r="H281" s="255">
        <v>1.0</v>
      </c>
      <c r="I281" s="255">
        <v>200.0</v>
      </c>
      <c r="J281" s="11">
        <f t="shared" si="15"/>
        <v>200</v>
      </c>
      <c r="K281" s="11" t="s">
        <v>1157</v>
      </c>
      <c r="L281" s="93" t="s">
        <v>77</v>
      </c>
      <c r="M281" s="93" t="s">
        <v>2022</v>
      </c>
      <c r="N281" s="215" t="s">
        <v>111</v>
      </c>
      <c r="O281" s="217" t="s">
        <v>1173</v>
      </c>
      <c r="P281" s="11" t="str">
        <f>IMAGE("https://www.sigmaaldrich.com/deepweb/content/dam/sigma-aldrich/product2/017/wha2200110.tif/_jcr_content/renditions/wha2200110-large.jpg", 1)</f>
        <v/>
      </c>
      <c r="Q281" s="78"/>
      <c r="R281" s="74"/>
      <c r="S281" s="75"/>
      <c r="T281" s="12"/>
      <c r="U281" s="11"/>
      <c r="V281" s="12">
        <v>1.0</v>
      </c>
      <c r="W281" s="576"/>
    </row>
    <row r="282" ht="40.5" customHeight="1">
      <c r="A282" s="11">
        <v>281.0</v>
      </c>
      <c r="B282" s="11" t="s">
        <v>1152</v>
      </c>
      <c r="C282" s="11" t="s">
        <v>1175</v>
      </c>
      <c r="D282" s="93" t="s">
        <v>1176</v>
      </c>
      <c r="E282" s="215" t="s">
        <v>1156</v>
      </c>
      <c r="F282" s="216">
        <v>1.0</v>
      </c>
      <c r="G282" s="11" t="s">
        <v>2112</v>
      </c>
      <c r="H282" s="216">
        <v>1.0</v>
      </c>
      <c r="I282" s="216">
        <v>150.0</v>
      </c>
      <c r="J282" s="11">
        <f t="shared" si="15"/>
        <v>150</v>
      </c>
      <c r="K282" s="11" t="s">
        <v>1157</v>
      </c>
      <c r="L282" s="93"/>
      <c r="M282" s="93" t="s">
        <v>2002</v>
      </c>
      <c r="N282" s="93" t="s">
        <v>1968</v>
      </c>
      <c r="O282" s="217" t="s">
        <v>1177</v>
      </c>
      <c r="P282" s="11" t="str">
        <f>IMAGE("https://m.media-amazon.com/images/I/A1PFWcAysAL.jpg", 1)</f>
        <v/>
      </c>
      <c r="Q282" s="78"/>
      <c r="R282" s="74"/>
      <c r="S282" s="75"/>
      <c r="T282" s="12"/>
      <c r="U282" s="11"/>
      <c r="V282" s="12">
        <v>3.0</v>
      </c>
      <c r="W282" s="576"/>
    </row>
    <row r="283" ht="40.5" customHeight="1">
      <c r="A283" s="11">
        <v>282.0</v>
      </c>
      <c r="B283" s="222" t="s">
        <v>1152</v>
      </c>
      <c r="C283" s="222" t="s">
        <v>1179</v>
      </c>
      <c r="D283" s="232" t="s">
        <v>1180</v>
      </c>
      <c r="E283" s="233" t="s">
        <v>1156</v>
      </c>
      <c r="F283" s="234">
        <v>20.0</v>
      </c>
      <c r="G283" s="11" t="s">
        <v>2114</v>
      </c>
      <c r="H283" s="234">
        <v>20.0</v>
      </c>
      <c r="I283" s="234">
        <v>100.0</v>
      </c>
      <c r="J283" s="222">
        <f t="shared" si="15"/>
        <v>2000</v>
      </c>
      <c r="K283" s="222" t="s">
        <v>1157</v>
      </c>
      <c r="L283" s="232"/>
      <c r="M283" s="232" t="s">
        <v>2012</v>
      </c>
      <c r="N283" s="232" t="s">
        <v>1970</v>
      </c>
      <c r="O283" s="235" t="s">
        <v>1181</v>
      </c>
      <c r="P283" s="222" t="str">
        <f>IMAGE("https://www.domo.in/image/cache/catalog/nHance/LNSS4201/Display-228x228.jpg")</f>
        <v/>
      </c>
      <c r="Q283" s="358" t="s">
        <v>56</v>
      </c>
      <c r="R283" s="359"/>
      <c r="S283" s="336"/>
      <c r="T283" s="360"/>
      <c r="U283" s="222"/>
      <c r="V283" s="299">
        <v>3.0</v>
      </c>
      <c r="W283" s="576"/>
    </row>
    <row r="284" ht="40.5" customHeight="1">
      <c r="A284" s="11">
        <v>283.0</v>
      </c>
      <c r="B284" s="11" t="s">
        <v>1152</v>
      </c>
      <c r="C284" s="11" t="s">
        <v>1183</v>
      </c>
      <c r="D284" s="93" t="s">
        <v>1184</v>
      </c>
      <c r="E284" s="215" t="s">
        <v>1156</v>
      </c>
      <c r="F284" s="11">
        <v>1.0</v>
      </c>
      <c r="G284" s="11" t="s">
        <v>2115</v>
      </c>
      <c r="H284" s="11">
        <v>1.0</v>
      </c>
      <c r="I284" s="11">
        <v>100.0</v>
      </c>
      <c r="J284" s="11">
        <f t="shared" si="15"/>
        <v>100</v>
      </c>
      <c r="K284" s="11" t="s">
        <v>1157</v>
      </c>
      <c r="L284" s="93"/>
      <c r="M284" s="93"/>
      <c r="N284" s="93" t="s">
        <v>1975</v>
      </c>
      <c r="O284" s="217" t="s">
        <v>1185</v>
      </c>
      <c r="P284" s="11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Q284" s="78" t="s">
        <v>56</v>
      </c>
      <c r="R284" s="74"/>
      <c r="S284" s="75"/>
      <c r="T284" s="12"/>
      <c r="U284" s="11"/>
      <c r="V284" s="12">
        <v>3.0</v>
      </c>
      <c r="W284" s="576"/>
    </row>
    <row r="285" ht="40.5" customHeight="1">
      <c r="A285" s="11">
        <v>284.0</v>
      </c>
      <c r="B285" s="11" t="s">
        <v>1152</v>
      </c>
      <c r="C285" s="11" t="s">
        <v>1187</v>
      </c>
      <c r="D285" s="93" t="s">
        <v>1188</v>
      </c>
      <c r="E285" s="215" t="s">
        <v>1156</v>
      </c>
      <c r="F285" s="216">
        <v>1.0</v>
      </c>
      <c r="G285" s="11" t="s">
        <v>2116</v>
      </c>
      <c r="H285" s="216">
        <v>1.0</v>
      </c>
      <c r="I285" s="216">
        <v>350.0</v>
      </c>
      <c r="J285" s="11">
        <f t="shared" si="15"/>
        <v>350</v>
      </c>
      <c r="K285" s="11" t="s">
        <v>1157</v>
      </c>
      <c r="L285" s="93"/>
      <c r="M285" s="93"/>
      <c r="N285" s="93" t="s">
        <v>1975</v>
      </c>
      <c r="O285" s="217" t="s">
        <v>1189</v>
      </c>
      <c r="P285" s="11" t="str">
        <f>IMAGE("https://m.media-amazon.com/images/I/61ra1C535pL._SL1500_.jpg", 1)</f>
        <v/>
      </c>
      <c r="Q285" s="78"/>
      <c r="R285" s="74"/>
      <c r="S285" s="75"/>
      <c r="T285" s="12"/>
      <c r="U285" s="11"/>
      <c r="V285" s="12">
        <v>3.0</v>
      </c>
      <c r="W285" s="576"/>
    </row>
    <row r="286" ht="40.5" customHeight="1">
      <c r="A286" s="11">
        <v>285.0</v>
      </c>
      <c r="B286" s="222" t="s">
        <v>1152</v>
      </c>
      <c r="C286" s="222" t="s">
        <v>1191</v>
      </c>
      <c r="D286" s="232" t="s">
        <v>1192</v>
      </c>
      <c r="E286" s="233" t="s">
        <v>1156</v>
      </c>
      <c r="F286" s="222">
        <v>1.0</v>
      </c>
      <c r="G286" s="11" t="s">
        <v>2117</v>
      </c>
      <c r="H286" s="222">
        <v>1.0</v>
      </c>
      <c r="I286" s="222">
        <v>1000.0</v>
      </c>
      <c r="J286" s="222">
        <f t="shared" si="15"/>
        <v>1000</v>
      </c>
      <c r="K286" s="222" t="s">
        <v>1157</v>
      </c>
      <c r="L286" s="232"/>
      <c r="M286" s="232"/>
      <c r="N286" s="232" t="s">
        <v>1971</v>
      </c>
      <c r="O286" s="235" t="s">
        <v>1193</v>
      </c>
      <c r="P286" s="222" t="str">
        <f>IMAGE("https://5.imimg.com/data5/SI/VL/MY-6819814/multi-volume-adjustable-micropipette.jpg",1)</f>
        <v/>
      </c>
      <c r="Q286" s="619"/>
      <c r="R286" s="359"/>
      <c r="S286" s="336"/>
      <c r="T286" s="360"/>
      <c r="U286" s="222"/>
      <c r="V286" s="299">
        <v>3.0</v>
      </c>
      <c r="W286" s="576"/>
    </row>
    <row r="287" ht="40.5" customHeight="1">
      <c r="A287" s="11">
        <v>286.0</v>
      </c>
      <c r="B287" s="11" t="s">
        <v>1152</v>
      </c>
      <c r="C287" s="11" t="s">
        <v>1195</v>
      </c>
      <c r="D287" s="93" t="s">
        <v>1196</v>
      </c>
      <c r="E287" s="215" t="s">
        <v>1156</v>
      </c>
      <c r="F287" s="216">
        <v>2.0</v>
      </c>
      <c r="G287" s="11" t="s">
        <v>2118</v>
      </c>
      <c r="H287" s="216">
        <v>1.0</v>
      </c>
      <c r="I287" s="216">
        <v>200.0</v>
      </c>
      <c r="J287" s="11">
        <f t="shared" si="15"/>
        <v>200</v>
      </c>
      <c r="K287" s="11" t="s">
        <v>1157</v>
      </c>
      <c r="L287" s="93"/>
      <c r="M287" s="93" t="s">
        <v>1895</v>
      </c>
      <c r="N287" s="93" t="s">
        <v>1971</v>
      </c>
      <c r="O287" s="217" t="s">
        <v>1198</v>
      </c>
      <c r="P287" s="11" t="str">
        <f>IMAGE("https://5.imimg.com/data5/SELLER/Default/2021/7/IF/DT/PV/116258883/microscope-cover-glass-250x250.JPG",1)</f>
        <v/>
      </c>
      <c r="Q287" s="78"/>
      <c r="R287" s="74"/>
      <c r="S287" s="75"/>
      <c r="T287" s="12"/>
      <c r="U287" s="11"/>
      <c r="V287" s="12">
        <v>1.0</v>
      </c>
      <c r="W287" s="576"/>
    </row>
    <row r="288" ht="40.5" customHeight="1">
      <c r="A288" s="11">
        <v>287.0</v>
      </c>
      <c r="B288" s="11" t="s">
        <v>1152</v>
      </c>
      <c r="C288" s="11" t="s">
        <v>1200</v>
      </c>
      <c r="D288" s="93" t="s">
        <v>1201</v>
      </c>
      <c r="E288" s="215" t="s">
        <v>1156</v>
      </c>
      <c r="F288" s="216">
        <v>2.0</v>
      </c>
      <c r="G288" s="11" t="s">
        <v>2118</v>
      </c>
      <c r="H288" s="216">
        <v>1.0</v>
      </c>
      <c r="I288" s="218">
        <v>100.0</v>
      </c>
      <c r="J288" s="11">
        <f t="shared" si="15"/>
        <v>100</v>
      </c>
      <c r="K288" s="11" t="s">
        <v>1157</v>
      </c>
      <c r="L288" s="93"/>
      <c r="M288" s="93" t="s">
        <v>1895</v>
      </c>
      <c r="N288" s="93" t="s">
        <v>1971</v>
      </c>
      <c r="O288" s="217" t="s">
        <v>1202</v>
      </c>
      <c r="P288" s="11" t="str">
        <f>IMAGE("https://5.imimg.com/data5/AZ/OD/EC/SELLER-20177713/laboratory-slides-500x500.jpg",1)</f>
        <v/>
      </c>
      <c r="Q288" s="78"/>
      <c r="R288" s="74"/>
      <c r="S288" s="75"/>
      <c r="T288" s="12"/>
      <c r="U288" s="11"/>
      <c r="V288" s="12">
        <v>1.0</v>
      </c>
      <c r="W288" s="576"/>
    </row>
    <row r="289" ht="40.5" customHeight="1">
      <c r="A289" s="11">
        <v>288.0</v>
      </c>
      <c r="B289" s="222" t="s">
        <v>1152</v>
      </c>
      <c r="C289" s="222" t="s">
        <v>1204</v>
      </c>
      <c r="D289" s="232" t="s">
        <v>1205</v>
      </c>
      <c r="E289" s="233" t="s">
        <v>1156</v>
      </c>
      <c r="F289" s="234">
        <v>30.0</v>
      </c>
      <c r="G289" s="11" t="s">
        <v>2119</v>
      </c>
      <c r="H289" s="234">
        <v>30.0</v>
      </c>
      <c r="I289" s="234">
        <v>15.0</v>
      </c>
      <c r="J289" s="222">
        <f t="shared" si="15"/>
        <v>450</v>
      </c>
      <c r="K289" s="222" t="s">
        <v>1157</v>
      </c>
      <c r="L289" s="232"/>
      <c r="M289" s="232" t="s">
        <v>2008</v>
      </c>
      <c r="N289" s="232" t="s">
        <v>1968</v>
      </c>
      <c r="O289" s="235" t="s">
        <v>1206</v>
      </c>
      <c r="P289" s="222" t="str">
        <f>IMAGE("https://www.abdoslifesciences.com/wp-content/uploads/Abdos_Delhi2-107_P10911-to-P10918-2.png",1)</f>
        <v/>
      </c>
      <c r="Q289" s="358" t="s">
        <v>56</v>
      </c>
      <c r="R289" s="359"/>
      <c r="S289" s="336"/>
      <c r="T289" s="360"/>
      <c r="U289" s="222"/>
      <c r="V289" s="299">
        <v>1.0</v>
      </c>
      <c r="W289" s="576"/>
    </row>
    <row r="290" ht="40.5" customHeight="1">
      <c r="A290" s="11">
        <v>289.0</v>
      </c>
      <c r="B290" s="11" t="s">
        <v>1152</v>
      </c>
      <c r="C290" s="11" t="s">
        <v>1208</v>
      </c>
      <c r="D290" s="93" t="s">
        <v>1209</v>
      </c>
      <c r="E290" s="215" t="s">
        <v>1156</v>
      </c>
      <c r="F290" s="11">
        <v>2.0</v>
      </c>
      <c r="G290" s="11" t="s">
        <v>2117</v>
      </c>
      <c r="H290" s="11">
        <v>2.0</v>
      </c>
      <c r="I290" s="11">
        <v>500.0</v>
      </c>
      <c r="J290" s="11">
        <f t="shared" si="15"/>
        <v>1000</v>
      </c>
      <c r="K290" s="11" t="s">
        <v>1157</v>
      </c>
      <c r="L290" s="93"/>
      <c r="M290" s="93"/>
      <c r="N290" s="93" t="s">
        <v>1968</v>
      </c>
      <c r="O290" s="217" t="s">
        <v>1210</v>
      </c>
      <c r="P290" s="11" t="str">
        <f>IMAGE("https://pim-resources.coleparmer.com/product/l/dwk-life-sciences-kimble-dwk-kimble-babcock-pipettes-14663.jpg",1)</f>
        <v/>
      </c>
      <c r="Q290" s="78"/>
      <c r="R290" s="74"/>
      <c r="S290" s="75"/>
      <c r="T290" s="12"/>
      <c r="U290" s="11"/>
      <c r="V290" s="12">
        <v>3.0</v>
      </c>
      <c r="W290" s="576"/>
    </row>
    <row r="291" ht="40.5" customHeight="1">
      <c r="A291" s="11">
        <v>290.0</v>
      </c>
      <c r="B291" s="11" t="s">
        <v>1152</v>
      </c>
      <c r="C291" s="11" t="s">
        <v>1212</v>
      </c>
      <c r="D291" s="93" t="s">
        <v>1213</v>
      </c>
      <c r="E291" s="215" t="s">
        <v>1156</v>
      </c>
      <c r="F291" s="216">
        <v>10.0</v>
      </c>
      <c r="G291" s="11" t="s">
        <v>2113</v>
      </c>
      <c r="H291" s="216">
        <v>10.0</v>
      </c>
      <c r="I291" s="216">
        <v>20.0</v>
      </c>
      <c r="J291" s="11">
        <f t="shared" si="15"/>
        <v>200</v>
      </c>
      <c r="K291" s="11" t="s">
        <v>1157</v>
      </c>
      <c r="L291" s="93"/>
      <c r="M291" s="93" t="s">
        <v>2022</v>
      </c>
      <c r="N291" s="93" t="s">
        <v>1969</v>
      </c>
      <c r="O291" s="217" t="s">
        <v>1214</v>
      </c>
      <c r="P291" s="11" t="str">
        <f>IMAGE("https://5.imimg.com/data5/QC/NX/MY-932240/clear-plastic-funnel-250x250.jpg", 1)</f>
        <v/>
      </c>
      <c r="Q291" s="78"/>
      <c r="R291" s="74"/>
      <c r="S291" s="75"/>
      <c r="T291" s="12"/>
      <c r="U291" s="11"/>
      <c r="V291" s="12">
        <v>1.0</v>
      </c>
      <c r="W291" s="576"/>
    </row>
    <row r="292" ht="40.5" customHeight="1">
      <c r="A292" s="11">
        <v>291.0</v>
      </c>
      <c r="B292" s="11" t="s">
        <v>1152</v>
      </c>
      <c r="C292" s="11" t="s">
        <v>1216</v>
      </c>
      <c r="D292" s="93" t="s">
        <v>1217</v>
      </c>
      <c r="E292" s="215" t="s">
        <v>1156</v>
      </c>
      <c r="F292" s="216">
        <v>10.0</v>
      </c>
      <c r="G292" s="11" t="s">
        <v>2113</v>
      </c>
      <c r="H292" s="216">
        <v>10.0</v>
      </c>
      <c r="I292" s="216">
        <v>20.0</v>
      </c>
      <c r="J292" s="11">
        <f t="shared" si="15"/>
        <v>200</v>
      </c>
      <c r="K292" s="11" t="s">
        <v>1157</v>
      </c>
      <c r="L292" s="93"/>
      <c r="M292" s="93" t="s">
        <v>2022</v>
      </c>
      <c r="N292" s="93" t="s">
        <v>1969</v>
      </c>
      <c r="O292" s="217" t="s">
        <v>1218</v>
      </c>
      <c r="P292" s="11" t="str">
        <f>IMAGE("https://www.reagecon.com/product/image/medium/6267270_1.jpg",1)</f>
        <v/>
      </c>
      <c r="Q292" s="78"/>
      <c r="R292" s="74"/>
      <c r="S292" s="75"/>
      <c r="T292" s="12"/>
      <c r="U292" s="11"/>
      <c r="V292" s="12">
        <v>1.0</v>
      </c>
      <c r="W292" s="576"/>
    </row>
    <row r="293" ht="40.5" customHeight="1">
      <c r="A293" s="11">
        <v>292.0</v>
      </c>
      <c r="B293" s="222" t="s">
        <v>1152</v>
      </c>
      <c r="C293" s="222" t="s">
        <v>1220</v>
      </c>
      <c r="D293" s="232" t="s">
        <v>1221</v>
      </c>
      <c r="E293" s="233" t="s">
        <v>1156</v>
      </c>
      <c r="F293" s="222">
        <v>1.0</v>
      </c>
      <c r="G293" s="11" t="s">
        <v>2203</v>
      </c>
      <c r="H293" s="222">
        <v>1.0</v>
      </c>
      <c r="I293" s="222">
        <v>4000.0</v>
      </c>
      <c r="J293" s="222">
        <f t="shared" si="15"/>
        <v>4000</v>
      </c>
      <c r="K293" s="222" t="s">
        <v>1157</v>
      </c>
      <c r="L293" s="232"/>
      <c r="M293" s="232"/>
      <c r="N293" s="232" t="s">
        <v>1969</v>
      </c>
      <c r="O293" s="235" t="s">
        <v>1222</v>
      </c>
      <c r="P293" s="222" t="str">
        <f>IMAGE("https://5.imimg.com/data5/SELLER/Default/2021/3/XX/WV/MR/4080247/lab-sinks-500x500.jpeg",1)</f>
        <v/>
      </c>
      <c r="Q293" s="358"/>
      <c r="R293" s="359"/>
      <c r="S293" s="336"/>
      <c r="T293" s="360"/>
      <c r="U293" s="222"/>
      <c r="V293" s="299">
        <v>3.0</v>
      </c>
      <c r="W293" s="576"/>
    </row>
    <row r="294" ht="40.5" customHeight="1">
      <c r="A294" s="11">
        <v>293.0</v>
      </c>
      <c r="B294" s="222" t="s">
        <v>1152</v>
      </c>
      <c r="C294" s="222" t="s">
        <v>1224</v>
      </c>
      <c r="D294" s="232" t="s">
        <v>1225</v>
      </c>
      <c r="E294" s="233" t="s">
        <v>1156</v>
      </c>
      <c r="F294" s="234">
        <v>100.0</v>
      </c>
      <c r="G294" s="11" t="s">
        <v>2120</v>
      </c>
      <c r="H294" s="234">
        <v>100.0</v>
      </c>
      <c r="I294" s="234">
        <v>20.0</v>
      </c>
      <c r="J294" s="222">
        <f t="shared" si="15"/>
        <v>2000</v>
      </c>
      <c r="K294" s="222" t="s">
        <v>1157</v>
      </c>
      <c r="L294" s="232"/>
      <c r="M294" s="232" t="s">
        <v>2008</v>
      </c>
      <c r="N294" s="232" t="s">
        <v>1969</v>
      </c>
      <c r="O294" s="235" t="s">
        <v>1226</v>
      </c>
      <c r="P294" s="222" t="str">
        <f>IMAGE("https://5.imimg.com/data5/GX/OE/MY-972879/30ml-specimen-container-500x500.jpg", 1)</f>
        <v/>
      </c>
      <c r="Q294" s="358"/>
      <c r="R294" s="359"/>
      <c r="S294" s="336"/>
      <c r="T294" s="360"/>
      <c r="U294" s="222"/>
      <c r="V294" s="299">
        <v>1.0</v>
      </c>
      <c r="W294" s="576"/>
    </row>
    <row r="295" ht="40.5" customHeight="1">
      <c r="A295" s="11">
        <v>294.0</v>
      </c>
      <c r="B295" s="11" t="s">
        <v>1152</v>
      </c>
      <c r="C295" s="11" t="s">
        <v>1228</v>
      </c>
      <c r="D295" s="93" t="s">
        <v>1229</v>
      </c>
      <c r="E295" s="215" t="s">
        <v>1156</v>
      </c>
      <c r="F295" s="11">
        <v>1.0</v>
      </c>
      <c r="G295" s="11" t="s">
        <v>2027</v>
      </c>
      <c r="H295" s="11">
        <v>1.0</v>
      </c>
      <c r="I295" s="11">
        <v>150.0</v>
      </c>
      <c r="J295" s="11">
        <f t="shared" si="15"/>
        <v>150</v>
      </c>
      <c r="K295" s="11" t="s">
        <v>1157</v>
      </c>
      <c r="L295" s="93"/>
      <c r="M295" s="93"/>
      <c r="N295" s="93" t="s">
        <v>1968</v>
      </c>
      <c r="O295" s="217" t="s">
        <v>1230</v>
      </c>
      <c r="P295" s="11" t="str">
        <f>IMAGE("https://m.media-amazon.com/images/I/51+vdFGMMML._SL1001_.jpg",1)</f>
        <v/>
      </c>
      <c r="Q295" s="78"/>
      <c r="R295" s="74"/>
      <c r="S295" s="75"/>
      <c r="T295" s="12"/>
      <c r="U295" s="11"/>
      <c r="V295" s="12">
        <v>3.0</v>
      </c>
      <c r="W295" s="576"/>
    </row>
    <row r="296" ht="40.5" customHeight="1">
      <c r="A296" s="11">
        <v>295.0</v>
      </c>
      <c r="B296" s="11" t="s">
        <v>1152</v>
      </c>
      <c r="C296" s="11" t="s">
        <v>1232</v>
      </c>
      <c r="D296" s="93" t="s">
        <v>1233</v>
      </c>
      <c r="E296" s="215" t="s">
        <v>1156</v>
      </c>
      <c r="F296" s="216">
        <v>10.0</v>
      </c>
      <c r="G296" s="11" t="s">
        <v>2121</v>
      </c>
      <c r="H296" s="216">
        <v>10.0</v>
      </c>
      <c r="I296" s="216">
        <v>15.0</v>
      </c>
      <c r="J296" s="11">
        <f t="shared" si="15"/>
        <v>150</v>
      </c>
      <c r="K296" s="11" t="s">
        <v>1157</v>
      </c>
      <c r="L296" s="93"/>
      <c r="M296" s="93" t="s">
        <v>1895</v>
      </c>
      <c r="N296" s="93" t="s">
        <v>1968</v>
      </c>
      <c r="O296" s="217" t="s">
        <v>1234</v>
      </c>
      <c r="P296" s="11" t="str">
        <f>IMAGE("https://5.imimg.com/data5/SELLER/Default/2022/10/RF/ME/PW/7444604/12x100mm-glass-test-tube-500x500.jpg", 1)</f>
        <v/>
      </c>
      <c r="Q296" s="78"/>
      <c r="R296" s="74"/>
      <c r="S296" s="75"/>
      <c r="T296" s="12"/>
      <c r="U296" s="11"/>
      <c r="V296" s="12">
        <v>1.0</v>
      </c>
      <c r="W296" s="576"/>
    </row>
    <row r="297" ht="40.5" customHeight="1">
      <c r="A297" s="11">
        <v>296.0</v>
      </c>
      <c r="B297" s="11" t="s">
        <v>1152</v>
      </c>
      <c r="C297" s="11" t="s">
        <v>1236</v>
      </c>
      <c r="D297" s="93" t="s">
        <v>1237</v>
      </c>
      <c r="E297" s="215" t="s">
        <v>1156</v>
      </c>
      <c r="F297" s="216">
        <v>1.0</v>
      </c>
      <c r="G297" s="11" t="s">
        <v>2027</v>
      </c>
      <c r="H297" s="216">
        <v>2.0</v>
      </c>
      <c r="I297" s="216">
        <v>150.0</v>
      </c>
      <c r="J297" s="11">
        <f t="shared" si="15"/>
        <v>300</v>
      </c>
      <c r="K297" s="11" t="s">
        <v>1157</v>
      </c>
      <c r="L297" s="93"/>
      <c r="M297" s="93"/>
      <c r="N297" s="93" t="s">
        <v>1968</v>
      </c>
      <c r="O297" s="217" t="s">
        <v>1238</v>
      </c>
      <c r="P297" s="11" t="str">
        <f>IMAGE("https://www.abdoslifesciences.com/wp-content/uploads/p10.jpg", 1)</f>
        <v/>
      </c>
      <c r="Q297" s="78"/>
      <c r="R297" s="74"/>
      <c r="S297" s="75"/>
      <c r="T297" s="12"/>
      <c r="U297" s="11"/>
      <c r="V297" s="12">
        <v>3.0</v>
      </c>
      <c r="W297" s="576"/>
    </row>
    <row r="298" ht="40.5" customHeight="1">
      <c r="A298" s="11">
        <v>297.0</v>
      </c>
      <c r="B298" s="11" t="s">
        <v>1152</v>
      </c>
      <c r="C298" s="11" t="s">
        <v>1240</v>
      </c>
      <c r="D298" s="93" t="s">
        <v>1241</v>
      </c>
      <c r="E298" s="215" t="s">
        <v>1156</v>
      </c>
      <c r="F298" s="216">
        <v>2.0</v>
      </c>
      <c r="G298" s="11" t="s">
        <v>2205</v>
      </c>
      <c r="H298" s="216">
        <v>2.0</v>
      </c>
      <c r="I298" s="216">
        <v>100.0</v>
      </c>
      <c r="J298" s="11">
        <f t="shared" si="15"/>
        <v>200</v>
      </c>
      <c r="K298" s="11" t="s">
        <v>1157</v>
      </c>
      <c r="L298" s="93"/>
      <c r="M298" s="93"/>
      <c r="N298" s="93" t="s">
        <v>1969</v>
      </c>
      <c r="O298" s="238" t="s">
        <v>1242</v>
      </c>
      <c r="P298" s="11" t="str">
        <f>IMAGE("https://www.abdoslifesciences.com/wp-content/uploads/Wash-Bottle-LDPE-day-20376.jpg", 1)</f>
        <v/>
      </c>
      <c r="Q298" s="78"/>
      <c r="R298" s="74"/>
      <c r="S298" s="75"/>
      <c r="T298" s="12"/>
      <c r="U298" s="11"/>
      <c r="V298" s="12">
        <v>3.0</v>
      </c>
      <c r="W298" s="576"/>
    </row>
    <row r="299" ht="40.5" customHeight="1">
      <c r="A299" s="11">
        <v>298.0</v>
      </c>
      <c r="B299" s="11" t="s">
        <v>1152</v>
      </c>
      <c r="C299" s="11" t="s">
        <v>1244</v>
      </c>
      <c r="D299" s="93" t="s">
        <v>1245</v>
      </c>
      <c r="E299" s="215" t="s">
        <v>1156</v>
      </c>
      <c r="F299" s="11">
        <v>10.0</v>
      </c>
      <c r="G299" s="11" t="s">
        <v>2122</v>
      </c>
      <c r="H299" s="11">
        <v>10.0</v>
      </c>
      <c r="I299" s="11">
        <v>10.0</v>
      </c>
      <c r="J299" s="11">
        <f t="shared" si="15"/>
        <v>100</v>
      </c>
      <c r="K299" s="11" t="s">
        <v>1157</v>
      </c>
      <c r="L299" s="93"/>
      <c r="M299" s="93" t="s">
        <v>1895</v>
      </c>
      <c r="N299" s="93" t="s">
        <v>1968</v>
      </c>
      <c r="O299" s="217" t="s">
        <v>1246</v>
      </c>
      <c r="P299" s="11" t="str">
        <f>IMAGE("https://m.media-amazon.com/images/I/31U00ndDv2L._SX679_.jpg",1)</f>
        <v/>
      </c>
      <c r="Q299" s="78"/>
      <c r="R299" s="74"/>
      <c r="S299" s="75"/>
      <c r="T299" s="12"/>
      <c r="U299" s="11"/>
      <c r="V299" s="12">
        <v>1.0</v>
      </c>
      <c r="W299" s="576"/>
    </row>
    <row r="300" ht="40.5" customHeight="1">
      <c r="A300" s="11">
        <v>299.0</v>
      </c>
      <c r="B300" s="11" t="s">
        <v>173</v>
      </c>
      <c r="C300" s="11" t="s">
        <v>1248</v>
      </c>
      <c r="D300" s="93" t="s">
        <v>1249</v>
      </c>
      <c r="E300" s="215" t="s">
        <v>1250</v>
      </c>
      <c r="F300" s="216">
        <v>7.0</v>
      </c>
      <c r="G300" s="11" t="s">
        <v>2123</v>
      </c>
      <c r="H300" s="216">
        <v>7.0</v>
      </c>
      <c r="I300" s="216">
        <v>500.0</v>
      </c>
      <c r="J300" s="11">
        <f t="shared" si="15"/>
        <v>3500</v>
      </c>
      <c r="K300" s="11" t="s">
        <v>178</v>
      </c>
      <c r="L300" s="93" t="s">
        <v>47</v>
      </c>
      <c r="M300" s="93" t="s">
        <v>2008</v>
      </c>
      <c r="N300" s="93" t="s">
        <v>1964</v>
      </c>
      <c r="O300" s="217" t="s">
        <v>1251</v>
      </c>
      <c r="P300" s="11" t="str">
        <f>IMAGE("https://www.atel-electronics.eu/pic_cache/10/06158.jpg",1)</f>
        <v/>
      </c>
      <c r="Q300" s="73" t="s">
        <v>1724</v>
      </c>
      <c r="R300" s="74"/>
      <c r="S300" s="75"/>
      <c r="T300" s="12"/>
      <c r="U300" s="11"/>
      <c r="V300" s="12">
        <v>1.0</v>
      </c>
      <c r="W300" s="576"/>
    </row>
    <row r="301" ht="40.5" customHeight="1">
      <c r="A301" s="11">
        <v>300.0</v>
      </c>
      <c r="B301" s="11" t="s">
        <v>173</v>
      </c>
      <c r="C301" s="11" t="s">
        <v>1253</v>
      </c>
      <c r="D301" s="93" t="s">
        <v>1254</v>
      </c>
      <c r="E301" s="215" t="s">
        <v>1250</v>
      </c>
      <c r="F301" s="216">
        <v>1.0</v>
      </c>
      <c r="G301" s="11" t="s">
        <v>2123</v>
      </c>
      <c r="H301" s="216">
        <v>1.0</v>
      </c>
      <c r="I301" s="216">
        <v>1000.0</v>
      </c>
      <c r="J301" s="11">
        <f t="shared" si="15"/>
        <v>1000</v>
      </c>
      <c r="K301" s="11" t="s">
        <v>178</v>
      </c>
      <c r="L301" s="93" t="s">
        <v>47</v>
      </c>
      <c r="M301" s="93" t="s">
        <v>2008</v>
      </c>
      <c r="N301" s="93" t="s">
        <v>1964</v>
      </c>
      <c r="O301" s="217" t="s">
        <v>1255</v>
      </c>
      <c r="P301" s="11" t="str">
        <f>IMAGE("https://in.element14.com/productimages/large/en_GB/IN07444-40.jpg",1)</f>
        <v/>
      </c>
      <c r="Q301" s="73" t="s">
        <v>1724</v>
      </c>
      <c r="R301" s="74"/>
      <c r="S301" s="75"/>
      <c r="T301" s="12"/>
      <c r="U301" s="11"/>
      <c r="V301" s="12">
        <v>1.0</v>
      </c>
      <c r="W301" s="576"/>
    </row>
    <row r="302" ht="40.5" customHeight="1">
      <c r="A302" s="11">
        <v>301.0</v>
      </c>
      <c r="B302" s="11" t="s">
        <v>173</v>
      </c>
      <c r="C302" s="11" t="s">
        <v>1257</v>
      </c>
      <c r="D302" s="93" t="s">
        <v>1258</v>
      </c>
      <c r="E302" s="215" t="s">
        <v>1250</v>
      </c>
      <c r="F302" s="216">
        <v>1.0</v>
      </c>
      <c r="G302" s="11" t="s">
        <v>2104</v>
      </c>
      <c r="H302" s="216">
        <v>1.0</v>
      </c>
      <c r="I302" s="216">
        <v>25000.0</v>
      </c>
      <c r="J302" s="11">
        <f t="shared" si="15"/>
        <v>25000</v>
      </c>
      <c r="K302" s="11" t="s">
        <v>178</v>
      </c>
      <c r="L302" s="93" t="s">
        <v>47</v>
      </c>
      <c r="M302" s="93"/>
      <c r="N302" s="93" t="s">
        <v>1964</v>
      </c>
      <c r="O302" s="217" t="s">
        <v>1259</v>
      </c>
      <c r="P302" s="11" t="str">
        <f>IMAGE("https://m.media-amazon.com/images/I/51LxodXCiyS._SL1000_.jpg",1)</f>
        <v/>
      </c>
      <c r="Q302" s="73" t="s">
        <v>1724</v>
      </c>
      <c r="R302" s="74"/>
      <c r="S302" s="75"/>
      <c r="T302" s="12"/>
      <c r="U302" s="11"/>
      <c r="V302" s="12">
        <v>3.0</v>
      </c>
      <c r="W302" s="576"/>
    </row>
    <row r="303" ht="40.5" customHeight="1">
      <c r="A303" s="11">
        <v>302.0</v>
      </c>
      <c r="B303" s="222" t="s">
        <v>173</v>
      </c>
      <c r="C303" s="222" t="s">
        <v>1261</v>
      </c>
      <c r="D303" s="232" t="s">
        <v>1262</v>
      </c>
      <c r="E303" s="233" t="s">
        <v>1250</v>
      </c>
      <c r="F303" s="234">
        <v>1.0</v>
      </c>
      <c r="G303" s="11" t="s">
        <v>2104</v>
      </c>
      <c r="H303" s="234">
        <v>1.0</v>
      </c>
      <c r="I303" s="234">
        <v>2500.0</v>
      </c>
      <c r="J303" s="222">
        <f t="shared" si="15"/>
        <v>2500</v>
      </c>
      <c r="K303" s="222" t="s">
        <v>178</v>
      </c>
      <c r="L303" s="232" t="s">
        <v>47</v>
      </c>
      <c r="M303" s="232"/>
      <c r="N303" s="232" t="s">
        <v>1907</v>
      </c>
      <c r="O303" s="235" t="s">
        <v>1263</v>
      </c>
      <c r="P303" s="222" t="str">
        <f>IMAGE("https://m.media-amazon.com/images/I/61WLNOGJ4JS.jpg")</f>
        <v/>
      </c>
      <c r="Q303" s="619" t="s">
        <v>1724</v>
      </c>
      <c r="R303" s="359"/>
      <c r="S303" s="336"/>
      <c r="T303" s="360"/>
      <c r="U303" s="222"/>
      <c r="V303" s="299">
        <v>3.0</v>
      </c>
      <c r="W303" s="576"/>
    </row>
    <row r="304" ht="40.5" customHeight="1">
      <c r="A304" s="11">
        <v>303.0</v>
      </c>
      <c r="B304" s="11" t="s">
        <v>173</v>
      </c>
      <c r="C304" s="11" t="s">
        <v>1265</v>
      </c>
      <c r="D304" s="93" t="s">
        <v>1266</v>
      </c>
      <c r="E304" s="215" t="s">
        <v>1250</v>
      </c>
      <c r="F304" s="216">
        <v>1.0</v>
      </c>
      <c r="G304" s="11" t="s">
        <v>2104</v>
      </c>
      <c r="H304" s="216">
        <v>1.0</v>
      </c>
      <c r="I304" s="216">
        <v>2500.0</v>
      </c>
      <c r="J304" s="11">
        <f t="shared" si="15"/>
        <v>2500</v>
      </c>
      <c r="K304" s="11" t="s">
        <v>178</v>
      </c>
      <c r="L304" s="93"/>
      <c r="M304" s="93"/>
      <c r="N304" s="93" t="s">
        <v>1628</v>
      </c>
      <c r="O304" s="217" t="s">
        <v>1267</v>
      </c>
      <c r="P304" s="11" t="str">
        <f>IMAGE("https://cdn.shopify.com/s/files/1/0559/1970/6265/products/4_61325b1b-840f-41dd-a6d9-0ddb00c5c7bc_1024x1024@2x.png?v=1670588177",1)</f>
        <v/>
      </c>
      <c r="Q304" s="78" t="s">
        <v>1725</v>
      </c>
      <c r="R304" s="74"/>
      <c r="S304" s="75"/>
      <c r="T304" s="12"/>
      <c r="U304" s="11"/>
      <c r="V304" s="12">
        <v>3.0</v>
      </c>
      <c r="W304" s="576"/>
    </row>
    <row r="305" ht="40.5" customHeight="1">
      <c r="A305" s="11">
        <v>304.0</v>
      </c>
      <c r="B305" s="11" t="s">
        <v>1152</v>
      </c>
      <c r="C305" s="11" t="s">
        <v>1269</v>
      </c>
      <c r="D305" s="93" t="s">
        <v>1270</v>
      </c>
      <c r="E305" s="215" t="s">
        <v>1250</v>
      </c>
      <c r="F305" s="11">
        <v>1.0</v>
      </c>
      <c r="G305" s="11" t="s">
        <v>2027</v>
      </c>
      <c r="H305" s="11">
        <v>1.0</v>
      </c>
      <c r="I305" s="11">
        <v>2000.0</v>
      </c>
      <c r="J305" s="11">
        <f t="shared" si="15"/>
        <v>2000</v>
      </c>
      <c r="K305" s="11" t="s">
        <v>1157</v>
      </c>
      <c r="L305" s="93"/>
      <c r="M305" s="93"/>
      <c r="N305" s="93" t="s">
        <v>1975</v>
      </c>
      <c r="O305" s="217" t="s">
        <v>1271</v>
      </c>
      <c r="P305" s="11" t="str">
        <f>IMAGE("https://m.media-amazon.com/images/I/61USTYJ+OPL._SL1500_.jpg",1)</f>
        <v/>
      </c>
      <c r="Q305" s="78"/>
      <c r="R305" s="74"/>
      <c r="S305" s="75"/>
      <c r="T305" s="12"/>
      <c r="U305" s="11"/>
      <c r="V305" s="11">
        <v>3.0</v>
      </c>
      <c r="W305" s="576"/>
    </row>
    <row r="306" ht="40.5" customHeight="1">
      <c r="A306" s="11">
        <v>305.0</v>
      </c>
      <c r="B306" s="222" t="s">
        <v>1152</v>
      </c>
      <c r="C306" s="222" t="s">
        <v>1273</v>
      </c>
      <c r="D306" s="232" t="s">
        <v>1274</v>
      </c>
      <c r="E306" s="233" t="s">
        <v>1250</v>
      </c>
      <c r="F306" s="222">
        <v>1.0</v>
      </c>
      <c r="G306" s="11" t="s">
        <v>2124</v>
      </c>
      <c r="H306" s="222">
        <v>1.0</v>
      </c>
      <c r="I306" s="222">
        <v>1700.0</v>
      </c>
      <c r="J306" s="222">
        <f t="shared" si="15"/>
        <v>1700</v>
      </c>
      <c r="K306" s="222" t="s">
        <v>1157</v>
      </c>
      <c r="L306" s="232" t="s">
        <v>47</v>
      </c>
      <c r="M306" s="232"/>
      <c r="N306" s="232" t="s">
        <v>1964</v>
      </c>
      <c r="O306" s="235" t="s">
        <v>1275</v>
      </c>
      <c r="P306" s="222" t="str">
        <f>IMAGE("https://htcinstrument.com/wp-content/uploads/2021/05/AVM-06L.jpg",1)</f>
        <v/>
      </c>
      <c r="Q306" s="358" t="s">
        <v>1724</v>
      </c>
      <c r="R306" s="359"/>
      <c r="S306" s="336"/>
      <c r="T306" s="360"/>
      <c r="U306" s="222"/>
      <c r="V306" s="222">
        <v>3.0</v>
      </c>
      <c r="W306" s="576"/>
    </row>
    <row r="307" ht="40.5" customHeight="1">
      <c r="A307" s="11">
        <v>306.0</v>
      </c>
      <c r="B307" s="222" t="s">
        <v>1152</v>
      </c>
      <c r="C307" s="222" t="s">
        <v>1277</v>
      </c>
      <c r="D307" s="232" t="s">
        <v>1278</v>
      </c>
      <c r="E307" s="233" t="s">
        <v>1032</v>
      </c>
      <c r="F307" s="222">
        <v>1.0</v>
      </c>
      <c r="G307" s="11" t="s">
        <v>2050</v>
      </c>
      <c r="H307" s="222">
        <v>1.0</v>
      </c>
      <c r="I307" s="222">
        <v>3000.0</v>
      </c>
      <c r="J307" s="222">
        <f t="shared" si="15"/>
        <v>3000</v>
      </c>
      <c r="K307" s="222" t="s">
        <v>347</v>
      </c>
      <c r="L307" s="232"/>
      <c r="M307" s="232"/>
      <c r="N307" s="232" t="s">
        <v>1964</v>
      </c>
      <c r="O307" s="235"/>
      <c r="P307" s="222" t="str">
        <f>IMAGE("https://www.toolworld.in/storage/media/product/1696831532.jpg",1)</f>
        <v/>
      </c>
      <c r="Q307" s="358" t="s">
        <v>1724</v>
      </c>
      <c r="R307" s="359"/>
      <c r="S307" s="336"/>
      <c r="T307" s="360"/>
      <c r="U307" s="222"/>
      <c r="V307" s="222">
        <v>3.0</v>
      </c>
      <c r="W307" s="576"/>
    </row>
    <row r="308" ht="40.5" customHeight="1">
      <c r="A308" s="11">
        <v>307.0</v>
      </c>
      <c r="B308" s="222" t="s">
        <v>1152</v>
      </c>
      <c r="C308" s="222" t="s">
        <v>1280</v>
      </c>
      <c r="D308" s="232" t="s">
        <v>1281</v>
      </c>
      <c r="E308" s="233" t="s">
        <v>1250</v>
      </c>
      <c r="F308" s="222">
        <v>1.0</v>
      </c>
      <c r="G308" s="11" t="s">
        <v>2124</v>
      </c>
      <c r="H308" s="222">
        <v>1.0</v>
      </c>
      <c r="I308" s="222">
        <v>1700.0</v>
      </c>
      <c r="J308" s="222">
        <f t="shared" si="15"/>
        <v>1700</v>
      </c>
      <c r="K308" s="222" t="s">
        <v>1157</v>
      </c>
      <c r="L308" s="232" t="s">
        <v>47</v>
      </c>
      <c r="M308" s="232"/>
      <c r="N308" s="232" t="s">
        <v>1964</v>
      </c>
      <c r="O308" s="235" t="s">
        <v>1282</v>
      </c>
      <c r="P308" s="222" t="str">
        <f>IMAGE("https://www.toolworld.in/storage/media/product/UT382-1.jpg",1)</f>
        <v/>
      </c>
      <c r="Q308" s="358" t="s">
        <v>1724</v>
      </c>
      <c r="R308" s="359"/>
      <c r="S308" s="336"/>
      <c r="T308" s="360"/>
      <c r="U308" s="222"/>
      <c r="V308" s="222">
        <v>3.0</v>
      </c>
      <c r="W308" s="576"/>
    </row>
    <row r="309" ht="40.5" customHeight="1">
      <c r="A309" s="11">
        <v>308.0</v>
      </c>
      <c r="B309" s="11" t="s">
        <v>1152</v>
      </c>
      <c r="C309" s="11" t="s">
        <v>1284</v>
      </c>
      <c r="D309" s="93" t="s">
        <v>1285</v>
      </c>
      <c r="E309" s="215" t="s">
        <v>1250</v>
      </c>
      <c r="F309" s="11">
        <v>1.0</v>
      </c>
      <c r="G309" s="11" t="s">
        <v>2124</v>
      </c>
      <c r="H309" s="11">
        <v>1.0</v>
      </c>
      <c r="I309" s="11">
        <v>3000.0</v>
      </c>
      <c r="J309" s="11">
        <f t="shared" si="15"/>
        <v>3000</v>
      </c>
      <c r="K309" s="11" t="s">
        <v>1157</v>
      </c>
      <c r="L309" s="93"/>
      <c r="M309" s="93"/>
      <c r="N309" s="93" t="s">
        <v>1964</v>
      </c>
      <c r="O309" s="217"/>
      <c r="P309" s="11"/>
      <c r="Q309" s="78" t="s">
        <v>1726</v>
      </c>
      <c r="R309" s="74"/>
      <c r="S309" s="75"/>
      <c r="T309" s="12"/>
      <c r="U309" s="11"/>
      <c r="V309" s="11">
        <v>3.0</v>
      </c>
      <c r="W309" s="576"/>
    </row>
    <row r="310" ht="40.5" customHeight="1">
      <c r="A310" s="11">
        <v>309.0</v>
      </c>
      <c r="B310" s="222" t="s">
        <v>1152</v>
      </c>
      <c r="C310" s="222" t="s">
        <v>1287</v>
      </c>
      <c r="D310" s="232" t="s">
        <v>1288</v>
      </c>
      <c r="E310" s="233" t="s">
        <v>1250</v>
      </c>
      <c r="F310" s="222">
        <v>1.0</v>
      </c>
      <c r="G310" s="11" t="s">
        <v>2124</v>
      </c>
      <c r="H310" s="222">
        <v>1.0</v>
      </c>
      <c r="I310" s="222">
        <v>1000.0</v>
      </c>
      <c r="J310" s="222">
        <f t="shared" si="15"/>
        <v>1000</v>
      </c>
      <c r="K310" s="222" t="s">
        <v>1157</v>
      </c>
      <c r="L310" s="232"/>
      <c r="M310" s="232"/>
      <c r="N310" s="232" t="s">
        <v>1964</v>
      </c>
      <c r="O310" s="235"/>
      <c r="P310" s="222" t="str">
        <f>IMAGE("https://m.media-amazon.com/images/I/41d6N8TdSTL._SL1001_.jpg",1)</f>
        <v/>
      </c>
      <c r="Q310" s="358"/>
      <c r="R310" s="359"/>
      <c r="S310" s="336"/>
      <c r="T310" s="360"/>
      <c r="U310" s="222"/>
      <c r="V310" s="222">
        <v>3.0</v>
      </c>
      <c r="W310" s="576"/>
    </row>
    <row r="311" ht="40.5" customHeight="1">
      <c r="A311" s="11">
        <v>310.0</v>
      </c>
      <c r="B311" s="222" t="s">
        <v>1152</v>
      </c>
      <c r="C311" s="222" t="s">
        <v>1290</v>
      </c>
      <c r="D311" s="232" t="s">
        <v>1291</v>
      </c>
      <c r="E311" s="233" t="s">
        <v>1250</v>
      </c>
      <c r="F311" s="222">
        <v>1.0</v>
      </c>
      <c r="G311" s="11" t="s">
        <v>2124</v>
      </c>
      <c r="H311" s="222">
        <v>1.0</v>
      </c>
      <c r="I311" s="222">
        <v>1500.0</v>
      </c>
      <c r="J311" s="222">
        <f t="shared" si="15"/>
        <v>1500</v>
      </c>
      <c r="K311" s="222" t="s">
        <v>1157</v>
      </c>
      <c r="L311" s="232" t="s">
        <v>47</v>
      </c>
      <c r="M311" s="232"/>
      <c r="N311" s="232" t="s">
        <v>1964</v>
      </c>
      <c r="O311" s="235"/>
      <c r="P311" s="222" t="str">
        <f>IMAGE("https://htcinstrument.com/wp-content/uploads/2021/06/SL-1350L.jpg",1)</f>
        <v/>
      </c>
      <c r="Q311" s="358" t="s">
        <v>1724</v>
      </c>
      <c r="R311" s="359"/>
      <c r="S311" s="336"/>
      <c r="T311" s="360"/>
      <c r="U311" s="222"/>
      <c r="V311" s="222">
        <v>3.0</v>
      </c>
      <c r="W311" s="576"/>
    </row>
    <row r="312" ht="40.5" customHeight="1">
      <c r="A312" s="11">
        <v>311.0</v>
      </c>
      <c r="B312" s="222" t="s">
        <v>1152</v>
      </c>
      <c r="C312" s="222" t="s">
        <v>1293</v>
      </c>
      <c r="D312" s="232" t="s">
        <v>1294</v>
      </c>
      <c r="E312" s="233" t="s">
        <v>1250</v>
      </c>
      <c r="F312" s="222">
        <v>1.0</v>
      </c>
      <c r="G312" s="11" t="s">
        <v>2124</v>
      </c>
      <c r="H312" s="222">
        <v>1.0</v>
      </c>
      <c r="I312" s="222">
        <v>2000.0</v>
      </c>
      <c r="J312" s="222">
        <f t="shared" si="15"/>
        <v>2000</v>
      </c>
      <c r="K312" s="222" t="s">
        <v>1157</v>
      </c>
      <c r="L312" s="232" t="s">
        <v>47</v>
      </c>
      <c r="M312" s="232"/>
      <c r="N312" s="232" t="s">
        <v>1964</v>
      </c>
      <c r="O312" s="235" t="s">
        <v>1295</v>
      </c>
      <c r="P312" s="222" t="str">
        <f>IMAGE("https://htcinstrument.com/wp-content/uploads/2021/04/HT-306L.jpg",1)</f>
        <v/>
      </c>
      <c r="Q312" s="358" t="s">
        <v>1724</v>
      </c>
      <c r="R312" s="359"/>
      <c r="S312" s="336"/>
      <c r="T312" s="360"/>
      <c r="U312" s="222"/>
      <c r="V312" s="222">
        <v>3.0</v>
      </c>
      <c r="W312" s="576"/>
    </row>
    <row r="313" ht="40.5" customHeight="1">
      <c r="A313" s="11">
        <v>312.0</v>
      </c>
      <c r="B313" s="11" t="s">
        <v>1152</v>
      </c>
      <c r="C313" s="11" t="s">
        <v>1297</v>
      </c>
      <c r="D313" s="93" t="s">
        <v>1976</v>
      </c>
      <c r="E313" s="215" t="s">
        <v>1250</v>
      </c>
      <c r="F313" s="216">
        <v>20.0</v>
      </c>
      <c r="G313" s="11" t="s">
        <v>2125</v>
      </c>
      <c r="H313" s="216">
        <v>20.0</v>
      </c>
      <c r="I313" s="216">
        <v>2500.0</v>
      </c>
      <c r="J313" s="11">
        <f t="shared" si="15"/>
        <v>50000</v>
      </c>
      <c r="K313" s="11" t="s">
        <v>1157</v>
      </c>
      <c r="L313" s="93"/>
      <c r="M313" s="93" t="s">
        <v>2008</v>
      </c>
      <c r="N313" s="93" t="s">
        <v>1971</v>
      </c>
      <c r="O313" s="217" t="s">
        <v>1299</v>
      </c>
      <c r="P313" s="11" t="str">
        <f>IMAGE("https://m.media-amazon.com/images/I/71O3EMayekL.jpg",1)</f>
        <v/>
      </c>
      <c r="Q313" s="73" t="s">
        <v>1684</v>
      </c>
      <c r="R313" s="74">
        <v>1200.0</v>
      </c>
      <c r="S313" s="75"/>
      <c r="T313" s="12"/>
      <c r="U313" s="11"/>
      <c r="V313" s="11">
        <v>1.0</v>
      </c>
      <c r="W313" s="576"/>
    </row>
    <row r="314" ht="40.5" customHeight="1">
      <c r="A314" s="11">
        <v>313.0</v>
      </c>
      <c r="B314" s="11" t="s">
        <v>1152</v>
      </c>
      <c r="C314" s="11" t="s">
        <v>1301</v>
      </c>
      <c r="D314" s="93" t="s">
        <v>1302</v>
      </c>
      <c r="E314" s="215" t="s">
        <v>1250</v>
      </c>
      <c r="F314" s="216">
        <v>1.0</v>
      </c>
      <c r="G314" s="11" t="s">
        <v>2027</v>
      </c>
      <c r="H314" s="216">
        <v>1.0</v>
      </c>
      <c r="I314" s="216">
        <v>1500.0</v>
      </c>
      <c r="J314" s="11">
        <f t="shared" si="15"/>
        <v>1500</v>
      </c>
      <c r="K314" s="11" t="s">
        <v>1157</v>
      </c>
      <c r="L314" s="93" t="s">
        <v>47</v>
      </c>
      <c r="M314" s="93"/>
      <c r="N314" s="93" t="s">
        <v>1975</v>
      </c>
      <c r="O314" s="217" t="s">
        <v>1303</v>
      </c>
      <c r="P314" s="11" t="str">
        <f>IMAGE("https://5.imimg.com/data5/XG/YW/VV/SELLER-219478/hot-plate-round-250x250.jpg",1)</f>
        <v/>
      </c>
      <c r="Q314" s="73" t="s">
        <v>1684</v>
      </c>
      <c r="R314" s="74">
        <v>60.0</v>
      </c>
      <c r="S314" s="75"/>
      <c r="T314" s="12"/>
      <c r="U314" s="11"/>
      <c r="V314" s="11">
        <v>3.0</v>
      </c>
      <c r="W314" s="576"/>
    </row>
    <row r="315" ht="40.5" customHeight="1">
      <c r="A315" s="11">
        <v>314.0</v>
      </c>
      <c r="B315" s="11" t="s">
        <v>1152</v>
      </c>
      <c r="C315" s="11" t="s">
        <v>1305</v>
      </c>
      <c r="D315" s="93" t="s">
        <v>1306</v>
      </c>
      <c r="E315" s="215" t="s">
        <v>1250</v>
      </c>
      <c r="F315" s="216">
        <v>1.0</v>
      </c>
      <c r="G315" s="11" t="s">
        <v>2027</v>
      </c>
      <c r="H315" s="216">
        <v>1.0</v>
      </c>
      <c r="I315" s="216">
        <v>500.0</v>
      </c>
      <c r="J315" s="11">
        <f t="shared" si="15"/>
        <v>500</v>
      </c>
      <c r="K315" s="11" t="s">
        <v>1157</v>
      </c>
      <c r="L315" s="93"/>
      <c r="M315" s="93"/>
      <c r="N315" s="93" t="s">
        <v>1964</v>
      </c>
      <c r="O315" s="217" t="s">
        <v>1307</v>
      </c>
      <c r="P315" s="11" t="str">
        <f>IMAGE("https://image.made-in-china.com/202f0j00DeSTmvGBnZpR/Electronic-Weighing-Scale-Digital-Scale-of-High-Precision-HWA-.jpg",1)</f>
        <v/>
      </c>
      <c r="Q315" s="73" t="s">
        <v>1684</v>
      </c>
      <c r="R315" s="74"/>
      <c r="S315" s="75"/>
      <c r="T315" s="12"/>
      <c r="U315" s="11"/>
      <c r="V315" s="11">
        <v>3.0</v>
      </c>
      <c r="W315" s="576"/>
    </row>
    <row r="316" ht="40.5" customHeight="1">
      <c r="A316" s="11">
        <v>315.0</v>
      </c>
      <c r="B316" s="222" t="s">
        <v>1152</v>
      </c>
      <c r="C316" s="222" t="s">
        <v>1309</v>
      </c>
      <c r="D316" s="232" t="s">
        <v>1310</v>
      </c>
      <c r="E316" s="233" t="s">
        <v>1250</v>
      </c>
      <c r="F316" s="234">
        <v>1.0</v>
      </c>
      <c r="G316" s="11" t="s">
        <v>2027</v>
      </c>
      <c r="H316" s="234">
        <v>1.0</v>
      </c>
      <c r="I316" s="234">
        <v>500.0</v>
      </c>
      <c r="J316" s="222">
        <f t="shared" si="15"/>
        <v>500</v>
      </c>
      <c r="K316" s="222" t="s">
        <v>1157</v>
      </c>
      <c r="L316" s="232" t="s">
        <v>47</v>
      </c>
      <c r="M316" s="232" t="s">
        <v>2052</v>
      </c>
      <c r="N316" s="232" t="s">
        <v>1964</v>
      </c>
      <c r="O316" s="235" t="s">
        <v>1311</v>
      </c>
      <c r="P316" s="222" t="str">
        <f>IMAGE("https://m.media-amazon.com/images/I/71-uBViGV+L._SX522_.jpg",1)</f>
        <v/>
      </c>
      <c r="Q316" s="619" t="s">
        <v>1724</v>
      </c>
      <c r="R316" s="359"/>
      <c r="S316" s="336"/>
      <c r="T316" s="360"/>
      <c r="U316" s="222"/>
      <c r="V316" s="222">
        <v>3.0</v>
      </c>
      <c r="W316" s="576"/>
    </row>
    <row r="317" ht="40.5" customHeight="1">
      <c r="A317" s="11">
        <v>316.0</v>
      </c>
      <c r="B317" s="11" t="s">
        <v>1152</v>
      </c>
      <c r="C317" s="11" t="s">
        <v>1313</v>
      </c>
      <c r="D317" s="93" t="s">
        <v>1314</v>
      </c>
      <c r="E317" s="215" t="s">
        <v>1250</v>
      </c>
      <c r="F317" s="11">
        <v>1.0</v>
      </c>
      <c r="G317" s="11" t="s">
        <v>2027</v>
      </c>
      <c r="H317" s="11">
        <v>1.0</v>
      </c>
      <c r="I317" s="11">
        <v>12500.0</v>
      </c>
      <c r="J317" s="11">
        <f t="shared" si="15"/>
        <v>12500</v>
      </c>
      <c r="K317" s="11" t="s">
        <v>1157</v>
      </c>
      <c r="L317" s="93"/>
      <c r="M317" s="93"/>
      <c r="N317" s="93" t="s">
        <v>1971</v>
      </c>
      <c r="O317" s="217" t="s">
        <v>1315</v>
      </c>
      <c r="P317" s="11" t="str">
        <f>IMAGE("https://m.media-amazon.com/images/I/61MstERkLZL._SL1500_.jpg",1)</f>
        <v/>
      </c>
      <c r="Q317" s="78"/>
      <c r="R317" s="74"/>
      <c r="S317" s="75"/>
      <c r="T317" s="12"/>
      <c r="U317" s="11"/>
      <c r="V317" s="11">
        <v>3.0</v>
      </c>
      <c r="W317" s="576"/>
    </row>
    <row r="318" ht="40.5" customHeight="1">
      <c r="A318" s="11">
        <v>317.0</v>
      </c>
      <c r="B318" s="222" t="s">
        <v>1152</v>
      </c>
      <c r="C318" s="222" t="s">
        <v>1317</v>
      </c>
      <c r="D318" s="232" t="s">
        <v>1318</v>
      </c>
      <c r="E318" s="233" t="s">
        <v>1250</v>
      </c>
      <c r="F318" s="234">
        <v>2.0</v>
      </c>
      <c r="G318" s="11" t="s">
        <v>2050</v>
      </c>
      <c r="H318" s="234">
        <v>2.0</v>
      </c>
      <c r="I318" s="234">
        <v>160.0</v>
      </c>
      <c r="J318" s="222">
        <f t="shared" si="15"/>
        <v>320</v>
      </c>
      <c r="K318" s="222" t="s">
        <v>347</v>
      </c>
      <c r="L318" s="232"/>
      <c r="M318" s="232" t="s">
        <v>2052</v>
      </c>
      <c r="N318" s="232" t="s">
        <v>1964</v>
      </c>
      <c r="O318" s="235" t="s">
        <v>1319</v>
      </c>
      <c r="P318" s="222" t="str">
        <f>IMAGE("https://5.imimg.com/data5/UM/JA/MY-39609002/screw-gauge-500x500.jpg",1)</f>
        <v/>
      </c>
      <c r="Q318" s="358"/>
      <c r="R318" s="359"/>
      <c r="S318" s="336"/>
      <c r="T318" s="360"/>
      <c r="U318" s="222"/>
      <c r="V318" s="222">
        <v>3.0</v>
      </c>
      <c r="W318" s="576"/>
    </row>
    <row r="319" ht="40.5" customHeight="1">
      <c r="A319" s="11">
        <v>318.0</v>
      </c>
      <c r="B319" s="222" t="s">
        <v>1152</v>
      </c>
      <c r="C319" s="222" t="s">
        <v>1321</v>
      </c>
      <c r="D319" s="232" t="s">
        <v>1322</v>
      </c>
      <c r="E319" s="233" t="s">
        <v>1250</v>
      </c>
      <c r="F319" s="234">
        <v>1.0</v>
      </c>
      <c r="G319" s="11" t="s">
        <v>2027</v>
      </c>
      <c r="H319" s="234">
        <v>1.0</v>
      </c>
      <c r="I319" s="234">
        <v>1000.0</v>
      </c>
      <c r="J319" s="222">
        <f t="shared" si="15"/>
        <v>1000</v>
      </c>
      <c r="K319" s="222" t="s">
        <v>1157</v>
      </c>
      <c r="L319" s="232"/>
      <c r="M319" s="232" t="s">
        <v>2052</v>
      </c>
      <c r="N319" s="232" t="s">
        <v>1971</v>
      </c>
      <c r="O319" s="235"/>
      <c r="P319" s="222" t="str">
        <f>IMAGE("https://m.media-amazon.com/images/I/61yYBr4qxBL._SL1276_.jpg",1)</f>
        <v/>
      </c>
      <c r="Q319" s="619" t="s">
        <v>1684</v>
      </c>
      <c r="R319" s="359">
        <v>120.0</v>
      </c>
      <c r="S319" s="336"/>
      <c r="T319" s="360"/>
      <c r="U319" s="222"/>
      <c r="V319" s="222">
        <v>3.0</v>
      </c>
      <c r="W319" s="576"/>
    </row>
    <row r="320" ht="40.5" customHeight="1">
      <c r="A320" s="11">
        <v>319.0</v>
      </c>
      <c r="B320" s="11" t="s">
        <v>342</v>
      </c>
      <c r="C320" s="11" t="s">
        <v>1324</v>
      </c>
      <c r="D320" s="93" t="s">
        <v>1325</v>
      </c>
      <c r="E320" s="215" t="s">
        <v>1250</v>
      </c>
      <c r="F320" s="216">
        <v>1.0</v>
      </c>
      <c r="G320" s="11" t="s">
        <v>2050</v>
      </c>
      <c r="H320" s="216">
        <v>1.0</v>
      </c>
      <c r="I320" s="216">
        <v>2000.0</v>
      </c>
      <c r="J320" s="11">
        <f t="shared" si="15"/>
        <v>2000</v>
      </c>
      <c r="K320" s="11" t="s">
        <v>347</v>
      </c>
      <c r="L320" s="93"/>
      <c r="M320" s="93"/>
      <c r="N320" s="93" t="s">
        <v>1964</v>
      </c>
      <c r="O320" s="217" t="s">
        <v>1326</v>
      </c>
      <c r="P320" s="11" t="e">
        <v>#VALUE!</v>
      </c>
      <c r="Q320" s="73" t="s">
        <v>1684</v>
      </c>
      <c r="R320" s="74">
        <v>60.0</v>
      </c>
      <c r="S320" s="75"/>
      <c r="T320" s="12"/>
      <c r="U320" s="11"/>
      <c r="V320" s="11">
        <v>3.0</v>
      </c>
      <c r="W320" s="576"/>
    </row>
    <row r="321" ht="40.5" customHeight="1">
      <c r="A321" s="11">
        <v>320.0</v>
      </c>
      <c r="B321" s="11" t="s">
        <v>173</v>
      </c>
      <c r="C321" s="11" t="s">
        <v>1328</v>
      </c>
      <c r="D321" s="93" t="s">
        <v>1329</v>
      </c>
      <c r="E321" s="215" t="s">
        <v>1330</v>
      </c>
      <c r="F321" s="11">
        <v>100.0</v>
      </c>
      <c r="G321" s="221" t="s">
        <v>2126</v>
      </c>
      <c r="H321" s="11">
        <v>100.0</v>
      </c>
      <c r="I321" s="11">
        <v>10.0</v>
      </c>
      <c r="J321" s="11">
        <f t="shared" si="15"/>
        <v>1000</v>
      </c>
      <c r="K321" s="11" t="s">
        <v>178</v>
      </c>
      <c r="L321" s="93" t="s">
        <v>65</v>
      </c>
      <c r="M321" s="93" t="s">
        <v>2105</v>
      </c>
      <c r="N321" s="93" t="s">
        <v>1331</v>
      </c>
      <c r="O321" s="217" t="s">
        <v>1332</v>
      </c>
      <c r="P321" s="11" t="str">
        <f>IMAGE("https://m.media-amazon.com/images/I/61vUDUTouNL._SL1500_.jpg",1)</f>
        <v/>
      </c>
      <c r="Q321" s="78" t="s">
        <v>56</v>
      </c>
      <c r="R321" s="74"/>
      <c r="S321" s="75"/>
      <c r="T321" s="12"/>
      <c r="U321" s="11"/>
      <c r="V321" s="11">
        <v>4.0</v>
      </c>
      <c r="W321" s="576"/>
    </row>
    <row r="322" ht="40.5" customHeight="1">
      <c r="A322" s="11">
        <v>321.0</v>
      </c>
      <c r="B322" s="11" t="s">
        <v>173</v>
      </c>
      <c r="C322" s="11" t="s">
        <v>1334</v>
      </c>
      <c r="D322" s="93" t="s">
        <v>1335</v>
      </c>
      <c r="E322" s="215" t="s">
        <v>1330</v>
      </c>
      <c r="F322" s="11">
        <v>100.0</v>
      </c>
      <c r="G322" s="221" t="s">
        <v>2126</v>
      </c>
      <c r="H322" s="11">
        <v>100.0</v>
      </c>
      <c r="I322" s="11">
        <v>35.0</v>
      </c>
      <c r="J322" s="11">
        <f t="shared" si="15"/>
        <v>3500</v>
      </c>
      <c r="K322" s="11" t="s">
        <v>178</v>
      </c>
      <c r="L322" s="93"/>
      <c r="M322" s="93" t="s">
        <v>2105</v>
      </c>
      <c r="N322" s="93" t="s">
        <v>1331</v>
      </c>
      <c r="O322" s="217" t="s">
        <v>1336</v>
      </c>
      <c r="P322" s="11" t="str">
        <f>IMAGE("https://m.media-amazon.com/images/I/31ye7Xw2PpL.jpg",1)</f>
        <v/>
      </c>
      <c r="Q322" s="78"/>
      <c r="R322" s="74"/>
      <c r="S322" s="75"/>
      <c r="T322" s="12"/>
      <c r="U322" s="11"/>
      <c r="V322" s="11">
        <v>4.0</v>
      </c>
      <c r="W322" s="576"/>
    </row>
    <row r="323" ht="40.5" customHeight="1">
      <c r="A323" s="11">
        <v>322.0</v>
      </c>
      <c r="B323" s="11" t="s">
        <v>173</v>
      </c>
      <c r="C323" s="11" t="s">
        <v>1338</v>
      </c>
      <c r="D323" s="93" t="s">
        <v>1339</v>
      </c>
      <c r="E323" s="215" t="s">
        <v>1330</v>
      </c>
      <c r="F323" s="11">
        <v>10.0</v>
      </c>
      <c r="G323" s="11" t="s">
        <v>2127</v>
      </c>
      <c r="H323" s="11">
        <v>10.0</v>
      </c>
      <c r="I323" s="11">
        <v>100.0</v>
      </c>
      <c r="J323" s="11">
        <f t="shared" si="15"/>
        <v>1000</v>
      </c>
      <c r="K323" s="11" t="s">
        <v>178</v>
      </c>
      <c r="L323" s="93" t="s">
        <v>65</v>
      </c>
      <c r="M323" s="93" t="s">
        <v>1978</v>
      </c>
      <c r="N323" s="93" t="s">
        <v>1331</v>
      </c>
      <c r="O323" s="217" t="s">
        <v>1341</v>
      </c>
      <c r="P323" s="11" t="str">
        <f>IMAGE("https://m.media-amazon.com/images/I/414cC-M+nlL._SL1000_.jpg",1)</f>
        <v/>
      </c>
      <c r="Q323" s="78"/>
      <c r="R323" s="74"/>
      <c r="S323" s="75"/>
      <c r="T323" s="12"/>
      <c r="U323" s="11"/>
      <c r="V323" s="11">
        <v>1.0</v>
      </c>
      <c r="W323" s="576"/>
    </row>
    <row r="324" ht="40.5" customHeight="1">
      <c r="A324" s="11">
        <v>323.0</v>
      </c>
      <c r="B324" s="11" t="s">
        <v>173</v>
      </c>
      <c r="C324" s="11" t="s">
        <v>1343</v>
      </c>
      <c r="D324" s="93" t="s">
        <v>1344</v>
      </c>
      <c r="E324" s="215" t="s">
        <v>1330</v>
      </c>
      <c r="F324" s="11">
        <v>100.0</v>
      </c>
      <c r="G324" s="221" t="s">
        <v>2126</v>
      </c>
      <c r="H324" s="11">
        <v>100.0</v>
      </c>
      <c r="I324" s="11">
        <v>20.0</v>
      </c>
      <c r="J324" s="11">
        <f t="shared" si="15"/>
        <v>2000</v>
      </c>
      <c r="K324" s="11" t="s">
        <v>178</v>
      </c>
      <c r="L324" s="93" t="s">
        <v>65</v>
      </c>
      <c r="M324" s="93" t="s">
        <v>2105</v>
      </c>
      <c r="N324" s="93" t="s">
        <v>1331</v>
      </c>
      <c r="O324" s="217" t="s">
        <v>1347</v>
      </c>
      <c r="P324" s="11" t="str">
        <f>IMAGE("https://m.media-amazon.com/images/I/31nb9BadkoL.jpg",1)</f>
        <v/>
      </c>
      <c r="Q324" s="78"/>
      <c r="R324" s="74"/>
      <c r="S324" s="75"/>
      <c r="T324" s="12"/>
      <c r="U324" s="11"/>
      <c r="V324" s="11">
        <v>4.0</v>
      </c>
      <c r="W324" s="576"/>
    </row>
    <row r="325" ht="40.5" customHeight="1">
      <c r="A325" s="11">
        <v>324.0</v>
      </c>
      <c r="B325" s="11" t="s">
        <v>342</v>
      </c>
      <c r="C325" s="11" t="s">
        <v>1349</v>
      </c>
      <c r="D325" s="93" t="s">
        <v>1350</v>
      </c>
      <c r="E325" s="215" t="s">
        <v>1330</v>
      </c>
      <c r="F325" s="11">
        <v>1.0</v>
      </c>
      <c r="G325" s="11" t="s">
        <v>2128</v>
      </c>
      <c r="H325" s="11">
        <v>1.0</v>
      </c>
      <c r="I325" s="11">
        <v>1000.0</v>
      </c>
      <c r="J325" s="11">
        <f t="shared" si="15"/>
        <v>1000</v>
      </c>
      <c r="K325" s="11" t="s">
        <v>347</v>
      </c>
      <c r="L325" s="93" t="s">
        <v>47</v>
      </c>
      <c r="M325" s="123"/>
      <c r="N325" s="93" t="s">
        <v>1331</v>
      </c>
      <c r="O325" s="217" t="s">
        <v>1351</v>
      </c>
      <c r="P325" s="11" t="str">
        <f>IMAGE("https://5.imimg.com/data5/SELLER/Default/2023/1/CR/QN/CU/119456209/b22-cap-punching-tool-1000x1000.jpg",1)</f>
        <v/>
      </c>
      <c r="Q325" s="78"/>
      <c r="R325" s="74"/>
      <c r="S325" s="75"/>
      <c r="T325" s="12"/>
      <c r="U325" s="11"/>
      <c r="V325" s="11">
        <v>3.0</v>
      </c>
      <c r="W325" s="576"/>
    </row>
    <row r="326" ht="40.5" customHeight="1">
      <c r="A326" s="11">
        <v>325.0</v>
      </c>
      <c r="B326" s="11" t="s">
        <v>342</v>
      </c>
      <c r="C326" s="11" t="s">
        <v>1353</v>
      </c>
      <c r="D326" s="93" t="s">
        <v>1354</v>
      </c>
      <c r="E326" s="215" t="s">
        <v>1330</v>
      </c>
      <c r="F326" s="11">
        <v>1.0</v>
      </c>
      <c r="G326" s="11" t="s">
        <v>2128</v>
      </c>
      <c r="H326" s="11">
        <v>1.0</v>
      </c>
      <c r="I326" s="11">
        <v>1800.0</v>
      </c>
      <c r="J326" s="11">
        <f t="shared" si="15"/>
        <v>1800</v>
      </c>
      <c r="K326" s="11" t="s">
        <v>347</v>
      </c>
      <c r="L326" s="93" t="s">
        <v>47</v>
      </c>
      <c r="M326" s="93"/>
      <c r="N326" s="93" t="s">
        <v>1331</v>
      </c>
      <c r="O326" s="217" t="s">
        <v>1355</v>
      </c>
      <c r="P326" s="11" t="str">
        <f>IMAGE("https://m.media-amazon.com/images/I/31xTdt3sfiL.jpg",1)</f>
        <v/>
      </c>
      <c r="Q326" s="78"/>
      <c r="R326" s="74"/>
      <c r="S326" s="75"/>
      <c r="T326" s="12"/>
      <c r="U326" s="11"/>
      <c r="V326" s="11">
        <v>3.0</v>
      </c>
      <c r="W326" s="576"/>
    </row>
    <row r="327" ht="40.5" customHeight="1">
      <c r="A327" s="11">
        <v>326.0</v>
      </c>
      <c r="B327" s="11" t="s">
        <v>173</v>
      </c>
      <c r="C327" s="11" t="s">
        <v>1357</v>
      </c>
      <c r="D327" s="93" t="s">
        <v>1358</v>
      </c>
      <c r="E327" s="215" t="s">
        <v>1359</v>
      </c>
      <c r="F327" s="216">
        <v>15.0</v>
      </c>
      <c r="G327" s="11" t="s">
        <v>2129</v>
      </c>
      <c r="H327" s="216">
        <v>15.0</v>
      </c>
      <c r="I327" s="216">
        <v>250.0</v>
      </c>
      <c r="J327" s="11">
        <f t="shared" si="15"/>
        <v>3750</v>
      </c>
      <c r="K327" s="11" t="s">
        <v>178</v>
      </c>
      <c r="L327" s="93"/>
      <c r="M327" s="93" t="s">
        <v>1594</v>
      </c>
      <c r="N327" s="93" t="s">
        <v>1954</v>
      </c>
      <c r="O327" s="217" t="s">
        <v>1360</v>
      </c>
      <c r="P327" s="11" t="str">
        <f>IMAGE("https://robu.in/wp-content/uploads/2017/11/mg995-high-speed-digital-metal-gear-2bb-torque-rc-for-servo-hpi-savage-xl-2.jpg",1)</f>
        <v/>
      </c>
      <c r="Q327" s="78" t="s">
        <v>1688</v>
      </c>
      <c r="R327" s="74"/>
      <c r="S327" s="75"/>
      <c r="T327" s="12"/>
      <c r="U327" s="11"/>
      <c r="V327" s="12">
        <v>1.0</v>
      </c>
      <c r="W327" s="576"/>
    </row>
    <row r="328" ht="40.5" customHeight="1">
      <c r="A328" s="11">
        <v>327.0</v>
      </c>
      <c r="B328" s="11" t="s">
        <v>173</v>
      </c>
      <c r="C328" s="11" t="s">
        <v>1362</v>
      </c>
      <c r="D328" s="93" t="s">
        <v>1363</v>
      </c>
      <c r="E328" s="215" t="s">
        <v>1359</v>
      </c>
      <c r="F328" s="216">
        <v>30.0</v>
      </c>
      <c r="G328" s="11" t="s">
        <v>2130</v>
      </c>
      <c r="H328" s="216">
        <v>30.0</v>
      </c>
      <c r="I328" s="216">
        <v>55.0</v>
      </c>
      <c r="J328" s="11">
        <f t="shared" si="15"/>
        <v>1650</v>
      </c>
      <c r="K328" s="11" t="s">
        <v>178</v>
      </c>
      <c r="L328" s="93"/>
      <c r="M328" s="93" t="s">
        <v>2012</v>
      </c>
      <c r="N328" s="93" t="s">
        <v>1954</v>
      </c>
      <c r="O328" s="217" t="s">
        <v>1364</v>
      </c>
      <c r="P328" s="11" t="str">
        <f t="shared" ref="P328:P329" si="16">IMAGE("https://m.media-amazon.com/images/W/MEDIAX_792452-T2/images/I/21bgQSzvxLL.jpg",1)</f>
        <v/>
      </c>
      <c r="Q328" s="78" t="s">
        <v>1688</v>
      </c>
      <c r="R328" s="74"/>
      <c r="S328" s="75"/>
      <c r="T328" s="12"/>
      <c r="U328" s="11"/>
      <c r="V328" s="12">
        <v>1.0</v>
      </c>
      <c r="W328" s="576"/>
    </row>
    <row r="329" ht="40.5" customHeight="1">
      <c r="A329" s="11">
        <v>328.0</v>
      </c>
      <c r="B329" s="11" t="s">
        <v>173</v>
      </c>
      <c r="C329" s="11" t="s">
        <v>1366</v>
      </c>
      <c r="D329" s="93" t="s">
        <v>1367</v>
      </c>
      <c r="E329" s="215" t="s">
        <v>1359</v>
      </c>
      <c r="F329" s="216">
        <v>30.0</v>
      </c>
      <c r="G329" s="11" t="s">
        <v>2131</v>
      </c>
      <c r="H329" s="216">
        <v>30.0</v>
      </c>
      <c r="I329" s="216">
        <v>55.0</v>
      </c>
      <c r="J329" s="11">
        <f t="shared" si="15"/>
        <v>1650</v>
      </c>
      <c r="K329" s="11" t="s">
        <v>178</v>
      </c>
      <c r="L329" s="93"/>
      <c r="M329" s="93" t="s">
        <v>2012</v>
      </c>
      <c r="N329" s="93" t="s">
        <v>1954</v>
      </c>
      <c r="O329" s="217" t="s">
        <v>1369</v>
      </c>
      <c r="P329" s="11" t="str">
        <f t="shared" si="16"/>
        <v/>
      </c>
      <c r="Q329" s="78" t="s">
        <v>1688</v>
      </c>
      <c r="R329" s="74"/>
      <c r="S329" s="75"/>
      <c r="T329" s="12"/>
      <c r="U329" s="11"/>
      <c r="V329" s="12">
        <v>1.0</v>
      </c>
      <c r="W329" s="576"/>
    </row>
    <row r="330" ht="40.5" customHeight="1">
      <c r="A330" s="11">
        <v>329.0</v>
      </c>
      <c r="B330" s="11" t="s">
        <v>173</v>
      </c>
      <c r="C330" s="11" t="s">
        <v>1371</v>
      </c>
      <c r="D330" s="93" t="s">
        <v>1372</v>
      </c>
      <c r="E330" s="215" t="s">
        <v>1359</v>
      </c>
      <c r="F330" s="216">
        <v>30.0</v>
      </c>
      <c r="G330" s="11" t="s">
        <v>2132</v>
      </c>
      <c r="H330" s="216">
        <v>30.0</v>
      </c>
      <c r="I330" s="216">
        <v>30.0</v>
      </c>
      <c r="J330" s="11">
        <f t="shared" si="15"/>
        <v>900</v>
      </c>
      <c r="K330" s="11" t="s">
        <v>178</v>
      </c>
      <c r="L330" s="93"/>
      <c r="M330" s="93" t="s">
        <v>1594</v>
      </c>
      <c r="N330" s="93" t="s">
        <v>1954</v>
      </c>
      <c r="O330" s="217" t="s">
        <v>1373</v>
      </c>
      <c r="P330" s="11" t="str">
        <f>IMAGE("https://5.imimg.com/data5/DJ/PF/TV/SELLER-95692783/bo-wheel-500x500.jpg",1)</f>
        <v/>
      </c>
      <c r="Q330" s="78" t="s">
        <v>1688</v>
      </c>
      <c r="R330" s="74"/>
      <c r="S330" s="75"/>
      <c r="T330" s="12"/>
      <c r="U330" s="11"/>
      <c r="V330" s="12">
        <v>1.0</v>
      </c>
      <c r="W330" s="576"/>
    </row>
    <row r="331" ht="40.5" customHeight="1">
      <c r="A331" s="11">
        <v>330.0</v>
      </c>
      <c r="B331" s="11" t="s">
        <v>173</v>
      </c>
      <c r="C331" s="11" t="s">
        <v>1375</v>
      </c>
      <c r="D331" s="93" t="s">
        <v>1376</v>
      </c>
      <c r="E331" s="215" t="s">
        <v>1359</v>
      </c>
      <c r="F331" s="216">
        <v>20.0</v>
      </c>
      <c r="G331" s="11" t="s">
        <v>2133</v>
      </c>
      <c r="H331" s="216">
        <v>20.0</v>
      </c>
      <c r="I331" s="216">
        <v>50.0</v>
      </c>
      <c r="J331" s="11">
        <f t="shared" si="15"/>
        <v>1000</v>
      </c>
      <c r="K331" s="11" t="s">
        <v>178</v>
      </c>
      <c r="L331" s="93"/>
      <c r="M331" s="93" t="s">
        <v>1895</v>
      </c>
      <c r="N331" s="93" t="s">
        <v>1954</v>
      </c>
      <c r="O331" s="217" t="s">
        <v>1377</v>
      </c>
      <c r="P331" s="11" t="str">
        <f>IMAGE("https://aryabot.in/wp-content/uploads/2023/10/castor-wheel-big-550x550w.webp",1)</f>
        <v/>
      </c>
      <c r="Q331" s="78" t="s">
        <v>1688</v>
      </c>
      <c r="R331" s="74"/>
      <c r="S331" s="75"/>
      <c r="T331" s="12"/>
      <c r="U331" s="11"/>
      <c r="V331" s="12">
        <v>1.0</v>
      </c>
      <c r="W331" s="576"/>
    </row>
    <row r="332" ht="40.5" customHeight="1">
      <c r="A332" s="11">
        <v>331.0</v>
      </c>
      <c r="B332" s="11" t="s">
        <v>173</v>
      </c>
      <c r="C332" s="11" t="s">
        <v>1379</v>
      </c>
      <c r="D332" s="93" t="s">
        <v>1380</v>
      </c>
      <c r="E332" s="215" t="s">
        <v>1359</v>
      </c>
      <c r="F332" s="216">
        <v>10.0</v>
      </c>
      <c r="G332" s="11" t="s">
        <v>1834</v>
      </c>
      <c r="H332" s="216">
        <v>10.0</v>
      </c>
      <c r="I332" s="216">
        <v>20.0</v>
      </c>
      <c r="J332" s="11">
        <f t="shared" si="15"/>
        <v>200</v>
      </c>
      <c r="K332" s="11" t="s">
        <v>178</v>
      </c>
      <c r="L332" s="93"/>
      <c r="M332" s="93" t="s">
        <v>2070</v>
      </c>
      <c r="N332" s="93" t="s">
        <v>1954</v>
      </c>
      <c r="O332" s="217" t="s">
        <v>1381</v>
      </c>
      <c r="P332" s="11" t="str">
        <f>IMAGE("https://robu.in/wp-content/uploads/2020/09/DC3-6V-130-DIY-Toy-Motor-2-Pcs.-1.png",1)</f>
        <v/>
      </c>
      <c r="Q332" s="78" t="s">
        <v>1688</v>
      </c>
      <c r="R332" s="79"/>
      <c r="S332" s="80"/>
      <c r="T332" s="12"/>
      <c r="U332" s="11"/>
      <c r="V332" s="12">
        <v>1.0</v>
      </c>
      <c r="W332" s="576"/>
    </row>
    <row r="333" ht="40.5" customHeight="1">
      <c r="A333" s="11">
        <v>332.0</v>
      </c>
      <c r="B333" s="11" t="s">
        <v>173</v>
      </c>
      <c r="C333" s="11" t="s">
        <v>1383</v>
      </c>
      <c r="D333" s="93" t="s">
        <v>1384</v>
      </c>
      <c r="E333" s="215" t="s">
        <v>1359</v>
      </c>
      <c r="F333" s="216">
        <v>30.0</v>
      </c>
      <c r="G333" s="11" t="s">
        <v>2129</v>
      </c>
      <c r="H333" s="216">
        <v>30.0</v>
      </c>
      <c r="I333" s="216">
        <v>250.0</v>
      </c>
      <c r="J333" s="11">
        <f t="shared" si="15"/>
        <v>7500</v>
      </c>
      <c r="K333" s="11" t="s">
        <v>178</v>
      </c>
      <c r="L333" s="93"/>
      <c r="M333" s="93" t="s">
        <v>1594</v>
      </c>
      <c r="N333" s="93" t="s">
        <v>1954</v>
      </c>
      <c r="O333" s="217" t="s">
        <v>1385</v>
      </c>
      <c r="P333" s="11" t="str">
        <f>IMAGE("https://i0.wp.com/www.circuituncle.com/wp-content/uploads/2019/10/mg90s.png?fit=1001%2C1001&amp;ssl=1",1)</f>
        <v/>
      </c>
      <c r="Q333" s="78" t="s">
        <v>1688</v>
      </c>
      <c r="R333" s="74"/>
      <c r="S333" s="75"/>
      <c r="T333" s="12"/>
      <c r="U333" s="11"/>
      <c r="V333" s="12">
        <v>1.0</v>
      </c>
      <c r="W333" s="576"/>
    </row>
    <row r="334" ht="40.5" customHeight="1">
      <c r="A334" s="11">
        <v>333.0</v>
      </c>
      <c r="B334" s="11" t="s">
        <v>173</v>
      </c>
      <c r="C334" s="11" t="s">
        <v>1387</v>
      </c>
      <c r="D334" s="93" t="s">
        <v>1388</v>
      </c>
      <c r="E334" s="215" t="s">
        <v>1359</v>
      </c>
      <c r="F334" s="216">
        <v>5.0</v>
      </c>
      <c r="G334" s="11" t="s">
        <v>1830</v>
      </c>
      <c r="H334" s="216">
        <v>5.0</v>
      </c>
      <c r="I334" s="216">
        <v>90.0</v>
      </c>
      <c r="J334" s="11">
        <f t="shared" si="15"/>
        <v>450</v>
      </c>
      <c r="K334" s="11" t="s">
        <v>178</v>
      </c>
      <c r="L334" s="93"/>
      <c r="M334" s="93" t="s">
        <v>2070</v>
      </c>
      <c r="N334" s="93" t="s">
        <v>1954</v>
      </c>
      <c r="O334" s="217"/>
      <c r="P334" s="11" t="str">
        <f>IMAGE("https://robu.in/wp-content/uploads/2016/04/61nEdk-NxSL._SY355_.jpg",1)</f>
        <v/>
      </c>
      <c r="Q334" s="78" t="s">
        <v>1688</v>
      </c>
      <c r="R334" s="74"/>
      <c r="S334" s="75"/>
      <c r="T334" s="12"/>
      <c r="U334" s="11"/>
      <c r="V334" s="12">
        <v>1.0</v>
      </c>
      <c r="W334" s="576"/>
    </row>
    <row r="335" ht="40.5" customHeight="1">
      <c r="A335" s="11">
        <v>334.0</v>
      </c>
      <c r="B335" s="222" t="s">
        <v>173</v>
      </c>
      <c r="C335" s="222" t="s">
        <v>1390</v>
      </c>
      <c r="D335" s="232" t="s">
        <v>1391</v>
      </c>
      <c r="E335" s="233" t="s">
        <v>1359</v>
      </c>
      <c r="F335" s="349">
        <v>26.0</v>
      </c>
      <c r="G335" s="11"/>
      <c r="H335" s="349">
        <v>26.0</v>
      </c>
      <c r="I335" s="222">
        <v>750.0</v>
      </c>
      <c r="J335" s="222">
        <f t="shared" si="15"/>
        <v>19500</v>
      </c>
      <c r="K335" s="222" t="s">
        <v>178</v>
      </c>
      <c r="L335" s="232"/>
      <c r="M335" s="232" t="s">
        <v>249</v>
      </c>
      <c r="N335" s="232" t="s">
        <v>1954</v>
      </c>
      <c r="O335" s="235" t="s">
        <v>1392</v>
      </c>
      <c r="P335" s="222" t="str">
        <f>IMAGE("https://robu.in/wp-content/uploads/2023/09/34.jpg",1)</f>
        <v/>
      </c>
      <c r="Q335" s="358"/>
      <c r="R335" s="359"/>
      <c r="S335" s="336"/>
      <c r="T335" s="360"/>
      <c r="U335" s="222"/>
      <c r="V335" s="222">
        <v>2.0</v>
      </c>
      <c r="W335" s="576"/>
    </row>
    <row r="336" ht="40.5" customHeight="1">
      <c r="A336" s="11">
        <v>335.0</v>
      </c>
      <c r="B336" s="11" t="s">
        <v>173</v>
      </c>
      <c r="C336" s="11" t="s">
        <v>1394</v>
      </c>
      <c r="D336" s="93" t="s">
        <v>1395</v>
      </c>
      <c r="E336" s="215" t="s">
        <v>1359</v>
      </c>
      <c r="F336" s="216">
        <v>15.0</v>
      </c>
      <c r="G336" s="11" t="s">
        <v>2135</v>
      </c>
      <c r="H336" s="216">
        <v>15.0</v>
      </c>
      <c r="I336" s="216">
        <v>400.0</v>
      </c>
      <c r="J336" s="11">
        <f t="shared" si="15"/>
        <v>6000</v>
      </c>
      <c r="K336" s="11" t="s">
        <v>178</v>
      </c>
      <c r="L336" s="93"/>
      <c r="M336" s="93" t="s">
        <v>2012</v>
      </c>
      <c r="N336" s="93" t="s">
        <v>1954</v>
      </c>
      <c r="O336" s="217" t="s">
        <v>1396</v>
      </c>
      <c r="P336" s="11" t="str">
        <f>IMAGE("https://cdn.shopify.com/s/files/1/0088/0056/7392/products/Stepper_motor_with_Driver_board.jpg?v=1552579276",1)</f>
        <v/>
      </c>
      <c r="Q336" s="78" t="s">
        <v>1688</v>
      </c>
      <c r="R336" s="74"/>
      <c r="S336" s="75"/>
      <c r="T336" s="12"/>
      <c r="U336" s="11"/>
      <c r="V336" s="11">
        <v>1.0</v>
      </c>
      <c r="W336" s="576"/>
    </row>
    <row r="337" ht="40.5" customHeight="1">
      <c r="A337" s="11">
        <v>336.0</v>
      </c>
      <c r="B337" s="222" t="s">
        <v>342</v>
      </c>
      <c r="C337" s="222" t="s">
        <v>1398</v>
      </c>
      <c r="D337" s="232" t="s">
        <v>1399</v>
      </c>
      <c r="E337" s="233" t="s">
        <v>1400</v>
      </c>
      <c r="F337" s="222">
        <v>1.0</v>
      </c>
      <c r="G337" s="11" t="s">
        <v>2136</v>
      </c>
      <c r="H337" s="222">
        <v>1.0</v>
      </c>
      <c r="I337" s="222"/>
      <c r="J337" s="222">
        <f t="shared" si="15"/>
        <v>0</v>
      </c>
      <c r="K337" s="222" t="s">
        <v>347</v>
      </c>
      <c r="L337" s="232"/>
      <c r="M337" s="232" t="s">
        <v>2105</v>
      </c>
      <c r="N337" s="232" t="s">
        <v>1980</v>
      </c>
      <c r="O337" s="235" t="s">
        <v>1401</v>
      </c>
      <c r="P337" s="222" t="str">
        <f>IMAGE("https://m.media-amazon.com/images/I/41giw5t2ycL.jpg",1)</f>
        <v/>
      </c>
      <c r="Q337" s="619" t="s">
        <v>1689</v>
      </c>
      <c r="R337" s="359"/>
      <c r="S337" s="336"/>
      <c r="T337" s="360"/>
      <c r="U337" s="222"/>
      <c r="V337" s="222">
        <v>4.0</v>
      </c>
      <c r="W337" s="576"/>
    </row>
    <row r="338" ht="40.5" customHeight="1">
      <c r="A338" s="11">
        <v>337.0</v>
      </c>
      <c r="B338" s="11" t="s">
        <v>342</v>
      </c>
      <c r="C338" s="11" t="s">
        <v>1403</v>
      </c>
      <c r="D338" s="93" t="s">
        <v>1404</v>
      </c>
      <c r="E338" s="215" t="s">
        <v>1400</v>
      </c>
      <c r="F338" s="11">
        <v>1.0</v>
      </c>
      <c r="G338" s="11" t="s">
        <v>2136</v>
      </c>
      <c r="H338" s="11">
        <v>1.0</v>
      </c>
      <c r="I338" s="11">
        <v>700.0</v>
      </c>
      <c r="J338" s="11">
        <f t="shared" si="15"/>
        <v>700</v>
      </c>
      <c r="K338" s="11" t="s">
        <v>347</v>
      </c>
      <c r="L338" s="93"/>
      <c r="M338" s="93"/>
      <c r="N338" s="93" t="s">
        <v>1980</v>
      </c>
      <c r="O338" s="217"/>
      <c r="P338" s="11" t="str">
        <f>IMAGE("https://m.media-amazon.com/images/I/71vAZkeQh9L._SL1500_.jpg",1)</f>
        <v/>
      </c>
      <c r="Q338" s="73" t="s">
        <v>1689</v>
      </c>
      <c r="R338" s="74"/>
      <c r="S338" s="75"/>
      <c r="T338" s="12"/>
      <c r="U338" s="11"/>
      <c r="V338" s="11">
        <v>3.0</v>
      </c>
      <c r="W338" s="576"/>
    </row>
    <row r="339" ht="40.5" customHeight="1">
      <c r="A339" s="11">
        <v>338.0</v>
      </c>
      <c r="B339" s="222" t="s">
        <v>342</v>
      </c>
      <c r="C339" s="222" t="s">
        <v>1406</v>
      </c>
      <c r="D339" s="232" t="s">
        <v>1407</v>
      </c>
      <c r="E339" s="233" t="s">
        <v>1400</v>
      </c>
      <c r="F339" s="222"/>
      <c r="G339" s="11" t="s">
        <v>2136</v>
      </c>
      <c r="H339" s="222">
        <v>2.0</v>
      </c>
      <c r="I339" s="222"/>
      <c r="J339" s="222">
        <f t="shared" si="15"/>
        <v>0</v>
      </c>
      <c r="K339" s="222" t="s">
        <v>347</v>
      </c>
      <c r="L339" s="232" t="s">
        <v>65</v>
      </c>
      <c r="M339" s="232" t="s">
        <v>2105</v>
      </c>
      <c r="N339" s="232" t="s">
        <v>1980</v>
      </c>
      <c r="O339" s="235" t="s">
        <v>1409</v>
      </c>
      <c r="P339" s="222" t="str">
        <f>IMAGE("https://www.racknsell.com/public/thumbs/products/1138/pvc-solvent7_500_500.jpg",1)</f>
        <v/>
      </c>
      <c r="Q339" s="358"/>
      <c r="R339" s="359"/>
      <c r="S339" s="336"/>
      <c r="T339" s="360"/>
      <c r="U339" s="222"/>
      <c r="V339" s="222">
        <v>4.0</v>
      </c>
      <c r="W339" s="576"/>
    </row>
    <row r="340" ht="40.5" customHeight="1">
      <c r="A340" s="11">
        <v>339.0</v>
      </c>
      <c r="B340" s="222" t="s">
        <v>342</v>
      </c>
      <c r="C340" s="222" t="s">
        <v>1411</v>
      </c>
      <c r="D340" s="232" t="s">
        <v>1412</v>
      </c>
      <c r="E340" s="233" t="s">
        <v>1400</v>
      </c>
      <c r="F340" s="222">
        <v>5.0</v>
      </c>
      <c r="G340" s="11" t="s">
        <v>2138</v>
      </c>
      <c r="H340" s="222">
        <v>5.0</v>
      </c>
      <c r="I340" s="222">
        <v>20.0</v>
      </c>
      <c r="J340" s="222">
        <f t="shared" si="15"/>
        <v>100</v>
      </c>
      <c r="K340" s="222" t="s">
        <v>347</v>
      </c>
      <c r="L340" s="232"/>
      <c r="M340" s="232" t="s">
        <v>2137</v>
      </c>
      <c r="N340" s="232" t="s">
        <v>1980</v>
      </c>
      <c r="O340" s="374" t="s">
        <v>1413</v>
      </c>
      <c r="P340" s="222" t="str">
        <f>IMAGE("https://m.media-amazon.com/images/I/61saUYFEn9L._SL1500_.jpg",1)</f>
        <v/>
      </c>
      <c r="Q340" s="358"/>
      <c r="R340" s="359"/>
      <c r="S340" s="336"/>
      <c r="T340" s="360"/>
      <c r="U340" s="222"/>
      <c r="V340" s="222">
        <v>1.0</v>
      </c>
      <c r="W340" s="576"/>
    </row>
    <row r="341" ht="40.5" customHeight="1">
      <c r="A341" s="11">
        <v>340.0</v>
      </c>
      <c r="B341" s="11" t="s">
        <v>342</v>
      </c>
      <c r="C341" s="11" t="s">
        <v>1415</v>
      </c>
      <c r="D341" s="93" t="s">
        <v>1416</v>
      </c>
      <c r="E341" s="215" t="s">
        <v>1400</v>
      </c>
      <c r="F341" s="11">
        <v>1.0</v>
      </c>
      <c r="G341" s="11" t="s">
        <v>2136</v>
      </c>
      <c r="H341" s="11">
        <v>1.0</v>
      </c>
      <c r="I341" s="11"/>
      <c r="J341" s="11">
        <f t="shared" si="15"/>
        <v>0</v>
      </c>
      <c r="K341" s="11" t="s">
        <v>347</v>
      </c>
      <c r="L341" s="93"/>
      <c r="M341" s="93"/>
      <c r="N341" s="93" t="s">
        <v>1980</v>
      </c>
      <c r="O341" s="217" t="s">
        <v>1417</v>
      </c>
      <c r="P341" s="11" t="str">
        <f>IMAGE("https://m.media-amazon.com/images/I/61zRix8Lt0L._SL1500_.jpg",1)</f>
        <v/>
      </c>
      <c r="Q341" s="73" t="s">
        <v>1689</v>
      </c>
      <c r="R341" s="74"/>
      <c r="S341" s="75" t="s">
        <v>1729</v>
      </c>
      <c r="T341" s="12"/>
      <c r="U341" s="11"/>
      <c r="V341" s="11">
        <v>3.0</v>
      </c>
      <c r="W341" s="576"/>
    </row>
    <row r="342" ht="40.5" customHeight="1">
      <c r="A342" s="11">
        <v>341.0</v>
      </c>
      <c r="B342" s="222" t="s">
        <v>15</v>
      </c>
      <c r="C342" s="222" t="s">
        <v>1419</v>
      </c>
      <c r="D342" s="232" t="s">
        <v>1420</v>
      </c>
      <c r="E342" s="233" t="s">
        <v>1421</v>
      </c>
      <c r="F342" s="222">
        <v>10.0</v>
      </c>
      <c r="G342" s="11" t="s">
        <v>2202</v>
      </c>
      <c r="H342" s="222">
        <v>10.0</v>
      </c>
      <c r="I342" s="222">
        <v>150.0</v>
      </c>
      <c r="J342" s="222">
        <f t="shared" si="15"/>
        <v>1500</v>
      </c>
      <c r="K342" s="222" t="s">
        <v>20</v>
      </c>
      <c r="L342" s="232" t="s">
        <v>65</v>
      </c>
      <c r="M342" s="232"/>
      <c r="N342" s="232" t="s">
        <v>1899</v>
      </c>
      <c r="O342" s="235" t="s">
        <v>1422</v>
      </c>
      <c r="P342" s="222" t="str">
        <f>IMAGE("https://5.imimg.com/data5/AC/TD/VT/SELLER-14930302/milky-white-acrylic-sheet.jpg",1)</f>
        <v/>
      </c>
      <c r="Q342" s="644"/>
      <c r="R342" s="359"/>
      <c r="S342" s="336"/>
      <c r="T342" s="360"/>
      <c r="U342" s="222"/>
      <c r="V342" s="222">
        <v>3.0</v>
      </c>
      <c r="W342" s="576"/>
    </row>
    <row r="343" ht="40.5" customHeight="1">
      <c r="A343" s="11">
        <v>342.0</v>
      </c>
      <c r="B343" s="11" t="s">
        <v>15</v>
      </c>
      <c r="C343" s="11" t="s">
        <v>1424</v>
      </c>
      <c r="D343" s="93" t="s">
        <v>1425</v>
      </c>
      <c r="E343" s="215" t="s">
        <v>1421</v>
      </c>
      <c r="F343" s="11">
        <v>5.0</v>
      </c>
      <c r="G343" s="11" t="s">
        <v>2011</v>
      </c>
      <c r="H343" s="11">
        <v>5.0</v>
      </c>
      <c r="I343" s="11">
        <v>300.0</v>
      </c>
      <c r="J343" s="11">
        <f t="shared" si="15"/>
        <v>1500</v>
      </c>
      <c r="K343" s="11" t="s">
        <v>20</v>
      </c>
      <c r="L343" s="93" t="s">
        <v>65</v>
      </c>
      <c r="M343" s="93" t="s">
        <v>2008</v>
      </c>
      <c r="N343" s="93" t="s">
        <v>1892</v>
      </c>
      <c r="O343" s="217" t="s">
        <v>1427</v>
      </c>
      <c r="P343" s="11" t="str">
        <f>IMAGE("https://imgs.michaels.com/MAM/assets/1/5E3C12034D34434F8A9BAAFDDF0F8E1B/img/5CDBB82051B44720A8F8901B4AABD77C/10446567_2.jpg",1)</f>
        <v/>
      </c>
      <c r="Q343" s="333"/>
      <c r="R343" s="74"/>
      <c r="S343" s="75"/>
      <c r="T343" s="12"/>
      <c r="U343" s="11"/>
      <c r="V343" s="11">
        <v>1.0</v>
      </c>
      <c r="W343" s="576"/>
    </row>
    <row r="344" ht="40.5" customHeight="1">
      <c r="A344" s="11">
        <v>343.0</v>
      </c>
      <c r="B344" s="11" t="s">
        <v>15</v>
      </c>
      <c r="C344" s="11" t="s">
        <v>1429</v>
      </c>
      <c r="D344" s="93" t="s">
        <v>1981</v>
      </c>
      <c r="E344" s="215" t="s">
        <v>1421</v>
      </c>
      <c r="F344" s="11">
        <v>5.0</v>
      </c>
      <c r="G344" s="11" t="s">
        <v>2139</v>
      </c>
      <c r="H344" s="11">
        <v>5.0</v>
      </c>
      <c r="I344" s="11">
        <v>200.0</v>
      </c>
      <c r="J344" s="11">
        <f t="shared" si="15"/>
        <v>1000</v>
      </c>
      <c r="K344" s="11" t="s">
        <v>20</v>
      </c>
      <c r="L344" s="93" t="s">
        <v>65</v>
      </c>
      <c r="M344" s="93" t="s">
        <v>1594</v>
      </c>
      <c r="N344" s="93" t="s">
        <v>1892</v>
      </c>
      <c r="O344" s="217"/>
      <c r="P344" s="11" t="str">
        <f>IMAGE("https://upload.wikimedia.org/wikipedia/commons/7/79/Polymer_clay_examples.jpg",1)</f>
        <v/>
      </c>
      <c r="Q344" s="78"/>
      <c r="R344" s="74"/>
      <c r="S344" s="75"/>
      <c r="T344" s="12"/>
      <c r="U344" s="11"/>
      <c r="V344" s="11">
        <v>1.0</v>
      </c>
      <c r="W344" s="576"/>
    </row>
    <row r="345" ht="40.5" customHeight="1">
      <c r="A345" s="11">
        <v>344.0</v>
      </c>
      <c r="B345" s="222" t="s">
        <v>15</v>
      </c>
      <c r="C345" s="222" t="s">
        <v>1433</v>
      </c>
      <c r="D345" s="232" t="s">
        <v>1982</v>
      </c>
      <c r="E345" s="233" t="s">
        <v>1421</v>
      </c>
      <c r="F345" s="234">
        <v>1.0</v>
      </c>
      <c r="G345" s="11" t="s">
        <v>2007</v>
      </c>
      <c r="H345" s="234">
        <v>1.0</v>
      </c>
      <c r="I345" s="234">
        <v>200.0</v>
      </c>
      <c r="J345" s="222">
        <f t="shared" si="15"/>
        <v>200</v>
      </c>
      <c r="K345" s="222" t="s">
        <v>20</v>
      </c>
      <c r="L345" s="232" t="s">
        <v>21</v>
      </c>
      <c r="M345" s="232"/>
      <c r="N345" s="232" t="s">
        <v>1983</v>
      </c>
      <c r="O345" s="235" t="s">
        <v>1436</v>
      </c>
      <c r="P345" s="222" t="str">
        <f>IMAGE("https://m.media-amazon.com/images/I/81PowerIGsL._SL1500_.jpg")</f>
        <v/>
      </c>
      <c r="Q345" s="358"/>
      <c r="R345" s="359"/>
      <c r="S345" s="336"/>
      <c r="T345" s="360"/>
      <c r="U345" s="222"/>
      <c r="V345" s="222">
        <v>3.0</v>
      </c>
      <c r="W345" s="576"/>
    </row>
    <row r="346" ht="40.5" customHeight="1">
      <c r="A346" s="11">
        <v>345.0</v>
      </c>
      <c r="B346" s="11" t="s">
        <v>15</v>
      </c>
      <c r="C346" s="11" t="s">
        <v>1438</v>
      </c>
      <c r="D346" s="93" t="s">
        <v>1439</v>
      </c>
      <c r="E346" s="215" t="s">
        <v>1421</v>
      </c>
      <c r="F346" s="216">
        <v>5.0</v>
      </c>
      <c r="G346" s="11" t="s">
        <v>2140</v>
      </c>
      <c r="H346" s="216">
        <v>5.0</v>
      </c>
      <c r="I346" s="216">
        <v>50.0</v>
      </c>
      <c r="J346" s="11">
        <f t="shared" si="15"/>
        <v>250</v>
      </c>
      <c r="K346" s="11" t="s">
        <v>20</v>
      </c>
      <c r="L346" s="93" t="s">
        <v>21</v>
      </c>
      <c r="M346" s="93"/>
      <c r="N346" s="93" t="s">
        <v>1983</v>
      </c>
      <c r="O346" s="217" t="s">
        <v>1440</v>
      </c>
      <c r="P346" s="11" t="str">
        <f>IMAGE("https://cdn.shopify.com/s/files/1/0032/5448/5037/products/suvidha-aluminium-foil-72-meters-pack-of-12_800x.jpg?v=1562920856",1)</f>
        <v/>
      </c>
      <c r="Q346" s="78"/>
      <c r="R346" s="74"/>
      <c r="S346" s="75"/>
      <c r="T346" s="12"/>
      <c r="U346" s="11"/>
      <c r="V346" s="11">
        <v>3.0</v>
      </c>
      <c r="W346" s="576"/>
    </row>
    <row r="347" ht="40.5" customHeight="1">
      <c r="A347" s="11">
        <v>346.0</v>
      </c>
      <c r="B347" s="222" t="s">
        <v>15</v>
      </c>
      <c r="C347" s="222" t="s">
        <v>1442</v>
      </c>
      <c r="D347" s="232" t="s">
        <v>936</v>
      </c>
      <c r="E347" s="233" t="s">
        <v>1421</v>
      </c>
      <c r="F347" s="234">
        <v>4.0</v>
      </c>
      <c r="G347" s="11" t="s">
        <v>2019</v>
      </c>
      <c r="H347" s="234">
        <v>4.0</v>
      </c>
      <c r="I347" s="234">
        <v>20.0</v>
      </c>
      <c r="J347" s="222">
        <f t="shared" si="15"/>
        <v>80</v>
      </c>
      <c r="K347" s="222" t="s">
        <v>20</v>
      </c>
      <c r="L347" s="222"/>
      <c r="M347" s="232" t="s">
        <v>1902</v>
      </c>
      <c r="N347" s="232" t="s">
        <v>111</v>
      </c>
      <c r="O347" s="235" t="s">
        <v>1443</v>
      </c>
      <c r="P347" s="222" t="str">
        <f>IMAGE("https://m.media-amazon.com/images/I/61ywjiydpbS._SL1500_.jpg",1)</f>
        <v/>
      </c>
      <c r="Q347" s="358"/>
      <c r="R347" s="359"/>
      <c r="S347" s="336"/>
      <c r="T347" s="360"/>
      <c r="U347" s="222"/>
      <c r="V347" s="222">
        <v>1.0</v>
      </c>
      <c r="W347" s="576"/>
    </row>
    <row r="348" ht="40.5" customHeight="1">
      <c r="A348" s="11">
        <v>347.0</v>
      </c>
      <c r="B348" s="11" t="s">
        <v>15</v>
      </c>
      <c r="C348" s="11" t="s">
        <v>1453</v>
      </c>
      <c r="D348" s="93" t="s">
        <v>1454</v>
      </c>
      <c r="E348" s="215" t="s">
        <v>1421</v>
      </c>
      <c r="F348" s="216">
        <v>50.0</v>
      </c>
      <c r="G348" s="11" t="s">
        <v>2141</v>
      </c>
      <c r="H348" s="216">
        <v>50.0</v>
      </c>
      <c r="I348" s="216">
        <v>50.0</v>
      </c>
      <c r="J348" s="11">
        <f t="shared" si="15"/>
        <v>2500</v>
      </c>
      <c r="K348" s="11" t="s">
        <v>20</v>
      </c>
      <c r="L348" s="93" t="s">
        <v>65</v>
      </c>
      <c r="M348" s="93"/>
      <c r="N348" s="93" t="s">
        <v>111</v>
      </c>
      <c r="O348" s="217" t="s">
        <v>1455</v>
      </c>
      <c r="P348" s="11" t="str">
        <f>IMAGE("https://cdn11.bigcommerce.com/s-33iv1gdknl/images/stencil/1280x1280/products/115465/70691/prd_32014_5797121027228__12010.1559545680.jpg?c=2",1)</f>
        <v/>
      </c>
      <c r="Q348" s="78"/>
      <c r="R348" s="74"/>
      <c r="S348" s="75"/>
      <c r="T348" s="5"/>
      <c r="U348" s="14"/>
      <c r="V348" s="11">
        <v>3.0</v>
      </c>
      <c r="W348" s="576"/>
    </row>
    <row r="349" ht="40.5" customHeight="1">
      <c r="A349" s="11">
        <v>348.0</v>
      </c>
      <c r="B349" s="11" t="s">
        <v>15</v>
      </c>
      <c r="C349" s="11" t="s">
        <v>1457</v>
      </c>
      <c r="D349" s="93" t="s">
        <v>1458</v>
      </c>
      <c r="E349" s="215" t="s">
        <v>1421</v>
      </c>
      <c r="F349" s="216">
        <v>10.0</v>
      </c>
      <c r="G349" s="11" t="s">
        <v>2142</v>
      </c>
      <c r="H349" s="216">
        <v>10.0</v>
      </c>
      <c r="I349" s="216">
        <v>280.0</v>
      </c>
      <c r="J349" s="11">
        <f t="shared" si="15"/>
        <v>2800</v>
      </c>
      <c r="K349" s="11" t="s">
        <v>20</v>
      </c>
      <c r="L349" s="93" t="s">
        <v>65</v>
      </c>
      <c r="M349" s="93"/>
      <c r="N349" s="93" t="s">
        <v>1985</v>
      </c>
      <c r="O349" s="217"/>
      <c r="P349" s="11" t="str">
        <f>IMAGE("https://assetscdn1.paytm.com/images/catalog/product/S/ST/STAEVA-FOAM-SHEKAPI63599336D8CB51/1563562065545_0..jpg?imwidth=320&amp;impolicy=hq",1)</f>
        <v/>
      </c>
      <c r="Q349" s="78"/>
      <c r="R349" s="74"/>
      <c r="S349" s="75"/>
      <c r="T349" s="12"/>
      <c r="U349" s="11"/>
      <c r="V349" s="11">
        <v>3.0</v>
      </c>
      <c r="W349" s="576"/>
    </row>
    <row r="350" ht="40.5" customHeight="1">
      <c r="A350" s="11">
        <v>349.0</v>
      </c>
      <c r="B350" s="11" t="s">
        <v>15</v>
      </c>
      <c r="C350" s="11" t="s">
        <v>1445</v>
      </c>
      <c r="D350" s="93" t="s">
        <v>1446</v>
      </c>
      <c r="E350" s="215" t="s">
        <v>1421</v>
      </c>
      <c r="F350" s="216">
        <v>5.0</v>
      </c>
      <c r="G350" s="11" t="s">
        <v>2143</v>
      </c>
      <c r="H350" s="216">
        <v>5.0</v>
      </c>
      <c r="I350" s="216">
        <v>100.0</v>
      </c>
      <c r="J350" s="11">
        <f t="shared" si="15"/>
        <v>500</v>
      </c>
      <c r="K350" s="11" t="s">
        <v>20</v>
      </c>
      <c r="L350" s="93" t="s">
        <v>65</v>
      </c>
      <c r="M350" s="123"/>
      <c r="N350" s="93" t="s">
        <v>1985</v>
      </c>
      <c r="O350" s="217" t="s">
        <v>1447</v>
      </c>
      <c r="P350" s="11" t="str">
        <f t="shared" ref="P350:P351" si="17">IMAGE("https://m.media-amazon.com/images/I/51FB8cHTJyL._SL1500_.jpg",1)</f>
        <v/>
      </c>
      <c r="Q350" s="78"/>
      <c r="R350" s="74"/>
      <c r="S350" s="75"/>
      <c r="T350" s="12"/>
      <c r="U350" s="11"/>
      <c r="V350" s="11">
        <v>3.0</v>
      </c>
      <c r="W350" s="576"/>
    </row>
    <row r="351" ht="40.5" customHeight="1">
      <c r="A351" s="11">
        <v>350.0</v>
      </c>
      <c r="B351" s="11" t="s">
        <v>15</v>
      </c>
      <c r="C351" s="11" t="s">
        <v>1449</v>
      </c>
      <c r="D351" s="93" t="s">
        <v>1450</v>
      </c>
      <c r="E351" s="215" t="s">
        <v>1421</v>
      </c>
      <c r="F351" s="216">
        <v>5.0</v>
      </c>
      <c r="G351" s="11" t="s">
        <v>2143</v>
      </c>
      <c r="H351" s="216">
        <v>5.0</v>
      </c>
      <c r="I351" s="216">
        <v>200.0</v>
      </c>
      <c r="J351" s="11">
        <f t="shared" si="15"/>
        <v>1000</v>
      </c>
      <c r="K351" s="11" t="s">
        <v>20</v>
      </c>
      <c r="L351" s="93" t="s">
        <v>65</v>
      </c>
      <c r="M351" s="123"/>
      <c r="N351" s="93" t="s">
        <v>1985</v>
      </c>
      <c r="O351" s="217" t="s">
        <v>1451</v>
      </c>
      <c r="P351" s="11" t="str">
        <f t="shared" si="17"/>
        <v/>
      </c>
      <c r="Q351" s="78"/>
      <c r="R351" s="74"/>
      <c r="S351" s="75"/>
      <c r="T351" s="12"/>
      <c r="U351" s="11"/>
      <c r="V351" s="11">
        <v>3.0</v>
      </c>
      <c r="W351" s="576"/>
    </row>
    <row r="352" ht="40.5" customHeight="1">
      <c r="A352" s="11">
        <v>351.0</v>
      </c>
      <c r="B352" s="11" t="s">
        <v>15</v>
      </c>
      <c r="C352" s="11" t="s">
        <v>1460</v>
      </c>
      <c r="D352" s="93" t="s">
        <v>1461</v>
      </c>
      <c r="E352" s="215" t="s">
        <v>1421</v>
      </c>
      <c r="F352" s="216">
        <v>1.0</v>
      </c>
      <c r="G352" s="11" t="s">
        <v>1984</v>
      </c>
      <c r="H352" s="216">
        <v>1.0</v>
      </c>
      <c r="I352" s="216">
        <v>400.0</v>
      </c>
      <c r="J352" s="11">
        <f t="shared" si="15"/>
        <v>400</v>
      </c>
      <c r="K352" s="11" t="s">
        <v>20</v>
      </c>
      <c r="L352" s="93" t="s">
        <v>65</v>
      </c>
      <c r="M352" s="93"/>
      <c r="N352" s="93" t="s">
        <v>1899</v>
      </c>
      <c r="O352" s="217" t="s">
        <v>1463</v>
      </c>
      <c r="P352" s="11" t="str">
        <f>IMAGE("https://5.imimg.com/data5/NA/SV/MA/SELLER-5806248/transparent-ohp-sheet-1000x1000.jpg",1)</f>
        <v/>
      </c>
      <c r="Q352" s="78"/>
      <c r="R352" s="74"/>
      <c r="S352" s="75"/>
      <c r="T352" s="12"/>
      <c r="U352" s="11"/>
      <c r="V352" s="11">
        <v>3.0</v>
      </c>
      <c r="W352" s="576"/>
    </row>
    <row r="353" ht="40.5" customHeight="1">
      <c r="A353" s="11">
        <v>352.0</v>
      </c>
      <c r="B353" s="11" t="s">
        <v>15</v>
      </c>
      <c r="C353" s="11" t="s">
        <v>1465</v>
      </c>
      <c r="D353" s="93" t="s">
        <v>1466</v>
      </c>
      <c r="E353" s="215" t="s">
        <v>1421</v>
      </c>
      <c r="F353" s="216">
        <v>10.0</v>
      </c>
      <c r="G353" s="11" t="s">
        <v>2142</v>
      </c>
      <c r="H353" s="216">
        <v>10.0</v>
      </c>
      <c r="I353" s="216">
        <v>72.0</v>
      </c>
      <c r="J353" s="11">
        <f t="shared" si="15"/>
        <v>720</v>
      </c>
      <c r="K353" s="11" t="s">
        <v>20</v>
      </c>
      <c r="L353" s="93" t="s">
        <v>65</v>
      </c>
      <c r="M353" s="93"/>
      <c r="N353" s="93" t="s">
        <v>1985</v>
      </c>
      <c r="O353" s="223" t="s">
        <v>1467</v>
      </c>
      <c r="P353" s="11" t="str">
        <f>IMAGE("https://www.ramsayrubber.com/wp-content/uploads/2020/01/Rolls-Sheeting-Polyurethane-Foam-Rolls2-1.jpg",1)</f>
        <v/>
      </c>
      <c r="Q353" s="78"/>
      <c r="R353" s="74"/>
      <c r="S353" s="75"/>
      <c r="T353" s="12"/>
      <c r="U353" s="11"/>
      <c r="V353" s="11">
        <v>3.0</v>
      </c>
      <c r="W353" s="576"/>
    </row>
    <row r="354" ht="40.5" customHeight="1">
      <c r="A354" s="11">
        <v>353.0</v>
      </c>
      <c r="B354" s="11" t="s">
        <v>15</v>
      </c>
      <c r="C354" s="11" t="s">
        <v>1469</v>
      </c>
      <c r="D354" s="93" t="s">
        <v>1470</v>
      </c>
      <c r="E354" s="215" t="s">
        <v>1421</v>
      </c>
      <c r="F354" s="216">
        <v>1.0</v>
      </c>
      <c r="G354" s="11" t="s">
        <v>2007</v>
      </c>
      <c r="H354" s="216">
        <v>1.0</v>
      </c>
      <c r="I354" s="216">
        <v>400.0</v>
      </c>
      <c r="J354" s="11">
        <f t="shared" si="15"/>
        <v>400</v>
      </c>
      <c r="K354" s="11" t="s">
        <v>20</v>
      </c>
      <c r="L354" s="93" t="s">
        <v>21</v>
      </c>
      <c r="M354" s="93"/>
      <c r="N354" s="93" t="s">
        <v>111</v>
      </c>
      <c r="O354" s="217" t="s">
        <v>1471</v>
      </c>
      <c r="P354" s="11" t="str">
        <f>IMAGE("https://www.wpiinc.com/media/catalog/product/cache/57a65487c9a4c9d3ba2482ad45cfc757/5/0/503023.jpg",1)</f>
        <v/>
      </c>
      <c r="Q354" s="78"/>
      <c r="R354" s="74"/>
      <c r="S354" s="75"/>
      <c r="T354" s="12"/>
      <c r="U354" s="11"/>
      <c r="V354" s="11">
        <v>3.0</v>
      </c>
      <c r="W354" s="576"/>
    </row>
    <row r="355" ht="40.5" customHeight="1">
      <c r="A355" s="11">
        <v>354.0</v>
      </c>
      <c r="B355" s="222" t="s">
        <v>1472</v>
      </c>
      <c r="C355" s="222" t="s">
        <v>1474</v>
      </c>
      <c r="D355" s="232" t="s">
        <v>1475</v>
      </c>
      <c r="E355" s="233" t="s">
        <v>1476</v>
      </c>
      <c r="F355" s="234">
        <v>1.0</v>
      </c>
      <c r="G355" s="11" t="s">
        <v>2144</v>
      </c>
      <c r="H355" s="234">
        <v>1.0</v>
      </c>
      <c r="I355" s="234">
        <v>500.0</v>
      </c>
      <c r="J355" s="222">
        <f t="shared" si="15"/>
        <v>500</v>
      </c>
      <c r="K355" s="222" t="s">
        <v>1477</v>
      </c>
      <c r="L355" s="232"/>
      <c r="M355" s="232"/>
      <c r="N355" s="232" t="s">
        <v>1986</v>
      </c>
      <c r="O355" s="235" t="s">
        <v>1478</v>
      </c>
      <c r="P355" s="222" t="str">
        <f>IMAGE("https://rukminim1.flixcart.com/image/416/416/jj367bk0/fire-extinguisher-mount/w/s/y/2-kg-abc-type-fire-extinguisher-safepro-original-imaf6h7fkdngmbqd.jpeg?q=70",1)</f>
        <v/>
      </c>
      <c r="Q355" s="358"/>
      <c r="R355" s="359"/>
      <c r="S355" s="336"/>
      <c r="T355" s="360"/>
      <c r="U355" s="222"/>
      <c r="V355" s="222">
        <v>3.0</v>
      </c>
      <c r="W355" s="576"/>
    </row>
    <row r="356" ht="40.5" customHeight="1">
      <c r="A356" s="11">
        <v>355.0</v>
      </c>
      <c r="B356" s="222" t="s">
        <v>1472</v>
      </c>
      <c r="C356" s="222" t="s">
        <v>1480</v>
      </c>
      <c r="D356" s="232" t="s">
        <v>1481</v>
      </c>
      <c r="E356" s="233" t="s">
        <v>1476</v>
      </c>
      <c r="F356" s="234">
        <v>1.0</v>
      </c>
      <c r="G356" s="11" t="s">
        <v>2144</v>
      </c>
      <c r="H356" s="234">
        <v>1.0</v>
      </c>
      <c r="I356" s="234">
        <v>850.0</v>
      </c>
      <c r="J356" s="222">
        <f t="shared" si="15"/>
        <v>850</v>
      </c>
      <c r="K356" s="222" t="s">
        <v>1477</v>
      </c>
      <c r="L356" s="232"/>
      <c r="M356" s="232"/>
      <c r="N356" s="232" t="s">
        <v>1986</v>
      </c>
      <c r="O356" s="235" t="s">
        <v>1482</v>
      </c>
      <c r="P356" s="222" t="str">
        <f>IMAGE("https://m.media-amazon.com/images/I/61UHX6mp+wL._AC_UF894,1000_QL80_.jpg",1)</f>
        <v/>
      </c>
      <c r="Q356" s="358" t="s">
        <v>56</v>
      </c>
      <c r="R356" s="359"/>
      <c r="S356" s="336"/>
      <c r="T356" s="639"/>
      <c r="U356" s="222"/>
      <c r="V356" s="222">
        <v>3.0</v>
      </c>
      <c r="W356" s="576"/>
    </row>
    <row r="357" ht="40.5" customHeight="1">
      <c r="A357" s="11">
        <v>356.0</v>
      </c>
      <c r="B357" s="222" t="s">
        <v>1472</v>
      </c>
      <c r="C357" s="222" t="s">
        <v>1484</v>
      </c>
      <c r="D357" s="232" t="s">
        <v>1485</v>
      </c>
      <c r="E357" s="233" t="s">
        <v>1476</v>
      </c>
      <c r="F357" s="234">
        <v>1.0</v>
      </c>
      <c r="G357" s="11" t="s">
        <v>2144</v>
      </c>
      <c r="H357" s="234">
        <v>1.0</v>
      </c>
      <c r="I357" s="234">
        <v>500.0</v>
      </c>
      <c r="J357" s="222">
        <f t="shared" si="15"/>
        <v>500</v>
      </c>
      <c r="K357" s="222" t="s">
        <v>1477</v>
      </c>
      <c r="L357" s="232"/>
      <c r="M357" s="232"/>
      <c r="N357" s="232" t="s">
        <v>1986</v>
      </c>
      <c r="O357" s="235" t="s">
        <v>1486</v>
      </c>
      <c r="P357" s="222" t="str">
        <f>IMAGE("https://m.media-amazon.com/images/I/41yRsXk89rS._SX355_.jpg",1)</f>
        <v/>
      </c>
      <c r="Q357" s="358"/>
      <c r="R357" s="359"/>
      <c r="S357" s="336"/>
      <c r="T357" s="639"/>
      <c r="U357" s="222"/>
      <c r="V357" s="222">
        <v>3.0</v>
      </c>
      <c r="W357" s="576"/>
    </row>
    <row r="358" ht="40.5" customHeight="1">
      <c r="A358" s="11">
        <v>357.0</v>
      </c>
      <c r="B358" s="11" t="s">
        <v>1472</v>
      </c>
      <c r="C358" s="11" t="s">
        <v>1488</v>
      </c>
      <c r="D358" s="93" t="s">
        <v>1489</v>
      </c>
      <c r="E358" s="215" t="s">
        <v>1476</v>
      </c>
      <c r="F358" s="11">
        <v>5.0</v>
      </c>
      <c r="G358" s="221" t="s">
        <v>2145</v>
      </c>
      <c r="H358" s="11">
        <v>5.0</v>
      </c>
      <c r="I358" s="11">
        <v>500.0</v>
      </c>
      <c r="J358" s="11">
        <f t="shared" si="15"/>
        <v>2500</v>
      </c>
      <c r="K358" s="11" t="s">
        <v>1477</v>
      </c>
      <c r="L358" s="93"/>
      <c r="M358" s="93"/>
      <c r="N358" s="93" t="s">
        <v>1986</v>
      </c>
      <c r="O358" s="217" t="s">
        <v>1490</v>
      </c>
      <c r="P358" s="11" t="str">
        <f>IMAGE("https://5.imimg.com/data5/AR/LM/NG/SELLER-21409398/lab-uniform-500x500.jpg",1)</f>
        <v/>
      </c>
      <c r="Q358" s="78"/>
      <c r="R358" s="74"/>
      <c r="S358" s="75"/>
      <c r="T358" s="33"/>
      <c r="U358" s="11"/>
      <c r="V358" s="11">
        <v>3.0</v>
      </c>
      <c r="W358" s="576"/>
    </row>
    <row r="359" ht="40.5" customHeight="1">
      <c r="A359" s="11">
        <v>358.0</v>
      </c>
      <c r="B359" s="11" t="s">
        <v>1472</v>
      </c>
      <c r="C359" s="11" t="s">
        <v>1492</v>
      </c>
      <c r="D359" s="93" t="s">
        <v>1493</v>
      </c>
      <c r="E359" s="215" t="s">
        <v>1476</v>
      </c>
      <c r="F359" s="216">
        <v>2.0</v>
      </c>
      <c r="G359" s="221" t="s">
        <v>2145</v>
      </c>
      <c r="H359" s="216">
        <v>2.0</v>
      </c>
      <c r="I359" s="216">
        <v>100.0</v>
      </c>
      <c r="J359" s="11">
        <f t="shared" si="15"/>
        <v>200</v>
      </c>
      <c r="K359" s="11" t="s">
        <v>1477</v>
      </c>
      <c r="L359" s="93"/>
      <c r="M359" s="93" t="s">
        <v>2052</v>
      </c>
      <c r="N359" s="93" t="s">
        <v>1986</v>
      </c>
      <c r="O359" s="217" t="s">
        <v>1494</v>
      </c>
      <c r="P359" s="11" t="str">
        <f>IMAGE("https://cdn.moglix.com/p/oBWcDtePyNEFP.jpg",1)</f>
        <v/>
      </c>
      <c r="Q359" s="78"/>
      <c r="R359" s="74"/>
      <c r="S359" s="75"/>
      <c r="T359" s="33"/>
      <c r="U359" s="11"/>
      <c r="V359" s="11">
        <v>3.0</v>
      </c>
      <c r="W359" s="576"/>
    </row>
    <row r="360" ht="40.5" customHeight="1">
      <c r="A360" s="11">
        <v>359.0</v>
      </c>
      <c r="B360" s="222" t="s">
        <v>1472</v>
      </c>
      <c r="C360" s="222" t="s">
        <v>1496</v>
      </c>
      <c r="D360" s="232" t="s">
        <v>1497</v>
      </c>
      <c r="E360" s="233" t="s">
        <v>1476</v>
      </c>
      <c r="F360" s="222">
        <v>5.0</v>
      </c>
      <c r="G360" s="221" t="s">
        <v>2145</v>
      </c>
      <c r="H360" s="222">
        <v>5.0</v>
      </c>
      <c r="I360" s="222"/>
      <c r="J360" s="222">
        <v>100.0</v>
      </c>
      <c r="K360" s="222" t="s">
        <v>1477</v>
      </c>
      <c r="L360" s="232"/>
      <c r="M360" s="232"/>
      <c r="N360" s="232" t="s">
        <v>1986</v>
      </c>
      <c r="O360" s="235" t="s">
        <v>1498</v>
      </c>
      <c r="P360" s="222" t="str">
        <f>IMAGE("https://5.imimg.com/data5/SELLER/Default/2023/5/311302937/IM/IY/MO/34533827/safety-rubber-apron-1000x1000.jpg", 1)</f>
        <v/>
      </c>
      <c r="Q360" s="358"/>
      <c r="R360" s="359"/>
      <c r="S360" s="336"/>
      <c r="T360" s="639"/>
      <c r="U360" s="222"/>
      <c r="V360" s="222">
        <v>3.0</v>
      </c>
      <c r="W360" s="576"/>
    </row>
    <row r="361" ht="40.5" customHeight="1">
      <c r="A361" s="11">
        <v>360.0</v>
      </c>
      <c r="B361" s="254" t="s">
        <v>1472</v>
      </c>
      <c r="C361" s="254" t="s">
        <v>1500</v>
      </c>
      <c r="D361" s="362" t="s">
        <v>1501</v>
      </c>
      <c r="E361" s="363" t="s">
        <v>1476</v>
      </c>
      <c r="F361" s="364">
        <v>15.0</v>
      </c>
      <c r="G361" s="370" t="s">
        <v>2206</v>
      </c>
      <c r="H361" s="364">
        <v>15.0</v>
      </c>
      <c r="I361" s="364">
        <v>70.0</v>
      </c>
      <c r="J361" s="254">
        <f t="shared" ref="J361:J406" si="18">I361*H361</f>
        <v>1050</v>
      </c>
      <c r="K361" s="254" t="s">
        <v>1477</v>
      </c>
      <c r="L361" s="362"/>
      <c r="M361" s="362" t="s">
        <v>1594</v>
      </c>
      <c r="N361" s="362" t="s">
        <v>1986</v>
      </c>
      <c r="O361" s="365" t="s">
        <v>1502</v>
      </c>
      <c r="P361" s="254" t="str">
        <f>IMAGE("https://5.imimg.com/data5/DM/UP/MY-3422722/latex-coated-gloves-500x500.jpg",1)</f>
        <v/>
      </c>
      <c r="Q361" s="641"/>
      <c r="R361" s="642"/>
      <c r="S361" s="368"/>
      <c r="T361" s="643"/>
      <c r="U361" s="254"/>
      <c r="V361" s="254">
        <v>1.0</v>
      </c>
      <c r="W361" s="576"/>
    </row>
    <row r="362" ht="40.5" customHeight="1">
      <c r="A362" s="11">
        <v>361.0</v>
      </c>
      <c r="B362" s="222" t="s">
        <v>1472</v>
      </c>
      <c r="C362" s="222" t="s">
        <v>1504</v>
      </c>
      <c r="D362" s="232" t="s">
        <v>1505</v>
      </c>
      <c r="E362" s="233" t="s">
        <v>1476</v>
      </c>
      <c r="F362" s="234">
        <v>30.0</v>
      </c>
      <c r="G362" s="370" t="s">
        <v>2207</v>
      </c>
      <c r="H362" s="234">
        <v>30.0</v>
      </c>
      <c r="I362" s="234">
        <v>20.0</v>
      </c>
      <c r="J362" s="222">
        <f t="shared" si="18"/>
        <v>600</v>
      </c>
      <c r="K362" s="222" t="s">
        <v>1477</v>
      </c>
      <c r="L362" s="232"/>
      <c r="M362" s="232" t="s">
        <v>2008</v>
      </c>
      <c r="N362" s="232" t="s">
        <v>1986</v>
      </c>
      <c r="O362" s="235" t="s">
        <v>1506</v>
      </c>
      <c r="P362" s="222" t="str">
        <f>IMAGE("https://5.imimg.com/data5/RD/NQ/ZF/SELLER-67911650/safety-goggles.jpg")</f>
        <v/>
      </c>
      <c r="Q362" s="644"/>
      <c r="R362" s="359"/>
      <c r="S362" s="336"/>
      <c r="T362" s="639"/>
      <c r="U362" s="222"/>
      <c r="V362" s="222">
        <v>1.0</v>
      </c>
      <c r="W362" s="576"/>
    </row>
    <row r="363" ht="40.5" customHeight="1">
      <c r="A363" s="11">
        <v>362.0</v>
      </c>
      <c r="B363" s="222" t="s">
        <v>1472</v>
      </c>
      <c r="C363" s="222" t="s">
        <v>1508</v>
      </c>
      <c r="D363" s="232" t="s">
        <v>1509</v>
      </c>
      <c r="E363" s="233" t="s">
        <v>1476</v>
      </c>
      <c r="F363" s="234">
        <v>60.0</v>
      </c>
      <c r="G363" s="11" t="s">
        <v>2208</v>
      </c>
      <c r="H363" s="234">
        <v>60.0</v>
      </c>
      <c r="I363" s="234">
        <v>150.0</v>
      </c>
      <c r="J363" s="222">
        <f t="shared" si="18"/>
        <v>9000</v>
      </c>
      <c r="K363" s="222" t="s">
        <v>1477</v>
      </c>
      <c r="L363" s="232"/>
      <c r="M363" s="232" t="s">
        <v>1594</v>
      </c>
      <c r="N363" s="232" t="s">
        <v>1986</v>
      </c>
      <c r="O363" s="235" t="s">
        <v>1510</v>
      </c>
      <c r="P363" s="222" t="str">
        <f>IMAGE("https://img2.exportersindia.com/product_images/bc-full/dir_151/4514764/dust-masks-1499837104-3125900.jpg",1)</f>
        <v/>
      </c>
      <c r="Q363" s="358"/>
      <c r="R363" s="359"/>
      <c r="S363" s="336"/>
      <c r="T363" s="639"/>
      <c r="U363" s="222"/>
      <c r="V363" s="222">
        <v>1.0</v>
      </c>
      <c r="W363" s="576"/>
    </row>
    <row r="364" ht="40.5" customHeight="1">
      <c r="A364" s="11">
        <v>363.0</v>
      </c>
      <c r="B364" s="11" t="s">
        <v>173</v>
      </c>
      <c r="C364" s="11" t="s">
        <v>1512</v>
      </c>
      <c r="D364" s="37" t="s">
        <v>1767</v>
      </c>
      <c r="E364" s="215" t="s">
        <v>1514</v>
      </c>
      <c r="F364" s="216">
        <v>10.0</v>
      </c>
      <c r="G364" s="11" t="s">
        <v>1768</v>
      </c>
      <c r="H364" s="216">
        <v>10.0</v>
      </c>
      <c r="I364" s="216">
        <v>300.0</v>
      </c>
      <c r="J364" s="11">
        <f t="shared" si="18"/>
        <v>3000</v>
      </c>
      <c r="K364" s="11" t="s">
        <v>178</v>
      </c>
      <c r="L364" s="93"/>
      <c r="M364" s="93" t="s">
        <v>2062</v>
      </c>
      <c r="N364" s="215" t="s">
        <v>1514</v>
      </c>
      <c r="O364" s="217" t="s">
        <v>1515</v>
      </c>
      <c r="P364" s="11" t="str">
        <f>IMAGE("https://m.media-amazon.com/images/I/61PFvg8BbeL._SL1500_.jpg",1)</f>
        <v/>
      </c>
      <c r="Q364" s="78" t="s">
        <v>1688</v>
      </c>
      <c r="R364" s="74"/>
      <c r="S364" s="75"/>
      <c r="T364" s="12"/>
      <c r="U364" s="11"/>
      <c r="V364" s="12">
        <v>1.0</v>
      </c>
      <c r="W364" s="576"/>
    </row>
    <row r="365" ht="40.5" customHeight="1">
      <c r="A365" s="11">
        <v>364.0</v>
      </c>
      <c r="B365" s="11" t="s">
        <v>173</v>
      </c>
      <c r="C365" s="11" t="s">
        <v>1517</v>
      </c>
      <c r="D365" s="93" t="s">
        <v>1824</v>
      </c>
      <c r="E365" s="215" t="s">
        <v>1514</v>
      </c>
      <c r="F365" s="216">
        <v>5.0</v>
      </c>
      <c r="G365" s="11" t="s">
        <v>1823</v>
      </c>
      <c r="H365" s="216">
        <v>5.0</v>
      </c>
      <c r="I365" s="216">
        <v>30.0</v>
      </c>
      <c r="J365" s="11">
        <f t="shared" si="18"/>
        <v>150</v>
      </c>
      <c r="K365" s="11" t="s">
        <v>178</v>
      </c>
      <c r="L365" s="93"/>
      <c r="M365" s="93" t="s">
        <v>2070</v>
      </c>
      <c r="N365" s="215" t="s">
        <v>1514</v>
      </c>
      <c r="O365" s="217" t="s">
        <v>1519</v>
      </c>
      <c r="P365" s="11" t="str">
        <f>IMAGE("https://robu.in/wp-content/uploads/2017/06/31100-2.jpg",1)</f>
        <v/>
      </c>
      <c r="Q365" s="78" t="s">
        <v>1688</v>
      </c>
      <c r="R365" s="74"/>
      <c r="S365" s="75"/>
      <c r="T365" s="12"/>
      <c r="U365" s="11"/>
      <c r="V365" s="12">
        <v>1.0</v>
      </c>
      <c r="W365" s="576"/>
    </row>
    <row r="366" ht="40.5" customHeight="1">
      <c r="A366" s="11">
        <v>365.0</v>
      </c>
      <c r="B366" s="11" t="s">
        <v>173</v>
      </c>
      <c r="C366" s="11" t="s">
        <v>1521</v>
      </c>
      <c r="D366" s="93" t="s">
        <v>1744</v>
      </c>
      <c r="E366" s="215" t="s">
        <v>1514</v>
      </c>
      <c r="F366" s="216">
        <v>5.0</v>
      </c>
      <c r="G366" s="11" t="s">
        <v>1774</v>
      </c>
      <c r="H366" s="216">
        <v>5.0</v>
      </c>
      <c r="I366" s="216">
        <v>200.0</v>
      </c>
      <c r="J366" s="11">
        <f t="shared" si="18"/>
        <v>1000</v>
      </c>
      <c r="K366" s="11" t="s">
        <v>178</v>
      </c>
      <c r="L366" s="93"/>
      <c r="M366" s="93" t="s">
        <v>2070</v>
      </c>
      <c r="N366" s="215" t="s">
        <v>1514</v>
      </c>
      <c r="O366" s="217" t="s">
        <v>1523</v>
      </c>
      <c r="P366" s="11" t="str">
        <f>IMAGE("https://m.media-amazon.com/images/W/MEDIAX_792452-T2/images/I/71PSVpNRPuL._SL1500_.jpg",1)</f>
        <v/>
      </c>
      <c r="Q366" s="78" t="s">
        <v>1688</v>
      </c>
      <c r="R366" s="74"/>
      <c r="S366" s="75"/>
      <c r="T366" s="12"/>
      <c r="U366" s="11"/>
      <c r="V366" s="12">
        <v>1.0</v>
      </c>
      <c r="W366" s="576"/>
    </row>
    <row r="367" ht="40.5" customHeight="1">
      <c r="A367" s="11">
        <v>366.0</v>
      </c>
      <c r="B367" s="11" t="s">
        <v>173</v>
      </c>
      <c r="C367" s="11" t="s">
        <v>1525</v>
      </c>
      <c r="D367" s="93" t="s">
        <v>1526</v>
      </c>
      <c r="E367" s="215" t="s">
        <v>1514</v>
      </c>
      <c r="F367" s="216">
        <v>5.0</v>
      </c>
      <c r="G367" s="11" t="s">
        <v>1784</v>
      </c>
      <c r="H367" s="216">
        <v>5.0</v>
      </c>
      <c r="I367" s="216">
        <v>250.0</v>
      </c>
      <c r="J367" s="11">
        <f t="shared" si="18"/>
        <v>1250</v>
      </c>
      <c r="K367" s="11" t="s">
        <v>178</v>
      </c>
      <c r="L367" s="93"/>
      <c r="M367" s="93" t="s">
        <v>2070</v>
      </c>
      <c r="N367" s="215" t="s">
        <v>1514</v>
      </c>
      <c r="O367" s="217" t="s">
        <v>1527</v>
      </c>
      <c r="P367" s="11" t="str">
        <f>IMAGE("https://robu.in/wp-content/uploads/2016/08/2-1.jpg",1)</f>
        <v/>
      </c>
      <c r="Q367" s="78" t="s">
        <v>1688</v>
      </c>
      <c r="R367" s="74"/>
      <c r="S367" s="75"/>
      <c r="T367" s="12"/>
      <c r="U367" s="11"/>
      <c r="V367" s="12">
        <v>1.0</v>
      </c>
      <c r="W367" s="576"/>
    </row>
    <row r="368" ht="40.5" customHeight="1">
      <c r="A368" s="11">
        <v>367.0</v>
      </c>
      <c r="B368" s="11" t="s">
        <v>173</v>
      </c>
      <c r="C368" s="11" t="s">
        <v>1529</v>
      </c>
      <c r="D368" s="93" t="s">
        <v>1530</v>
      </c>
      <c r="E368" s="215" t="s">
        <v>1514</v>
      </c>
      <c r="F368" s="216">
        <v>5.0</v>
      </c>
      <c r="G368" s="11" t="s">
        <v>1783</v>
      </c>
      <c r="H368" s="216">
        <v>5.0</v>
      </c>
      <c r="I368" s="216">
        <v>250.0</v>
      </c>
      <c r="J368" s="11">
        <f t="shared" si="18"/>
        <v>1250</v>
      </c>
      <c r="K368" s="11" t="s">
        <v>178</v>
      </c>
      <c r="L368" s="93"/>
      <c r="M368" s="93" t="s">
        <v>2070</v>
      </c>
      <c r="N368" s="215" t="s">
        <v>1514</v>
      </c>
      <c r="O368" s="217" t="s">
        <v>1531</v>
      </c>
      <c r="P368" s="11" t="str">
        <f>IMAGE("https://5.imimg.com/data5/SELLER/Default/2023/1/KQ/RE/WN/37611021/unique-india-force-pressure-sensor-square-500x500.jpg",1)</f>
        <v/>
      </c>
      <c r="Q368" s="78" t="s">
        <v>1688</v>
      </c>
      <c r="R368" s="74"/>
      <c r="S368" s="75"/>
      <c r="T368" s="12"/>
      <c r="U368" s="11"/>
      <c r="V368" s="12">
        <v>1.0</v>
      </c>
      <c r="W368" s="576"/>
    </row>
    <row r="369" ht="40.5" customHeight="1">
      <c r="A369" s="11">
        <v>368.0</v>
      </c>
      <c r="B369" s="11" t="s">
        <v>173</v>
      </c>
      <c r="C369" s="11" t="s">
        <v>1533</v>
      </c>
      <c r="D369" s="93" t="s">
        <v>1781</v>
      </c>
      <c r="E369" s="215" t="s">
        <v>1514</v>
      </c>
      <c r="F369" s="216">
        <v>10.0</v>
      </c>
      <c r="G369" s="11" t="s">
        <v>1782</v>
      </c>
      <c r="H369" s="216">
        <v>10.0</v>
      </c>
      <c r="I369" s="216">
        <v>300.0</v>
      </c>
      <c r="J369" s="11">
        <f t="shared" si="18"/>
        <v>3000</v>
      </c>
      <c r="K369" s="11" t="s">
        <v>178</v>
      </c>
      <c r="L369" s="93"/>
      <c r="M369" s="93" t="s">
        <v>2062</v>
      </c>
      <c r="N369" s="215" t="s">
        <v>1514</v>
      </c>
      <c r="O369" s="217" t="s">
        <v>1535</v>
      </c>
      <c r="P369" s="11" t="str">
        <f>IMAGE("https://m.media-amazon.com/images/W/MEDIAX_792452-T2/images/I/61e+2rew8OL._SL1011_.jpg",1)</f>
        <v/>
      </c>
      <c r="Q369" s="78" t="s">
        <v>1688</v>
      </c>
      <c r="R369" s="74"/>
      <c r="S369" s="75"/>
      <c r="T369" s="12"/>
      <c r="U369" s="11"/>
      <c r="V369" s="12">
        <v>1.0</v>
      </c>
      <c r="W369" s="576"/>
    </row>
    <row r="370" ht="40.5" customHeight="1">
      <c r="A370" s="11">
        <v>369.0</v>
      </c>
      <c r="B370" s="11" t="s">
        <v>173</v>
      </c>
      <c r="C370" s="11" t="s">
        <v>1537</v>
      </c>
      <c r="D370" s="93" t="s">
        <v>1791</v>
      </c>
      <c r="E370" s="215" t="s">
        <v>1514</v>
      </c>
      <c r="F370" s="216">
        <v>5.0</v>
      </c>
      <c r="G370" s="11" t="s">
        <v>1788</v>
      </c>
      <c r="H370" s="216">
        <v>5.0</v>
      </c>
      <c r="I370" s="216">
        <v>30.0</v>
      </c>
      <c r="J370" s="11">
        <f t="shared" si="18"/>
        <v>150</v>
      </c>
      <c r="K370" s="11" t="s">
        <v>178</v>
      </c>
      <c r="L370" s="93"/>
      <c r="M370" s="93" t="s">
        <v>2070</v>
      </c>
      <c r="N370" s="215" t="s">
        <v>1514</v>
      </c>
      <c r="O370" s="217" t="s">
        <v>1539</v>
      </c>
      <c r="P370" s="11" t="str">
        <f>IMAGE("https://makerbazar.in/cdn/shop/products/IR_transmitter-receiver_-_TSOP_1738_600x.jpg?v=1582114496",1)</f>
        <v/>
      </c>
      <c r="Q370" s="78" t="s">
        <v>1688</v>
      </c>
      <c r="R370" s="74"/>
      <c r="S370" s="75"/>
      <c r="T370" s="12"/>
      <c r="U370" s="11"/>
      <c r="V370" s="12">
        <v>1.0</v>
      </c>
      <c r="W370" s="576"/>
    </row>
    <row r="371" ht="40.5" customHeight="1">
      <c r="A371" s="11">
        <v>370.0</v>
      </c>
      <c r="B371" s="11" t="s">
        <v>173</v>
      </c>
      <c r="C371" s="11" t="s">
        <v>1541</v>
      </c>
      <c r="D371" s="93" t="s">
        <v>1786</v>
      </c>
      <c r="E371" s="215" t="s">
        <v>1514</v>
      </c>
      <c r="F371" s="216">
        <v>5.0</v>
      </c>
      <c r="G371" s="11" t="s">
        <v>1787</v>
      </c>
      <c r="H371" s="216">
        <v>5.0</v>
      </c>
      <c r="I371" s="216">
        <v>250.0</v>
      </c>
      <c r="J371" s="11">
        <f t="shared" si="18"/>
        <v>1250</v>
      </c>
      <c r="K371" s="11" t="s">
        <v>178</v>
      </c>
      <c r="L371" s="93"/>
      <c r="M371" s="93" t="s">
        <v>2062</v>
      </c>
      <c r="N371" s="215" t="s">
        <v>1514</v>
      </c>
      <c r="O371" s="217" t="s">
        <v>1543</v>
      </c>
      <c r="P371" s="11" t="str">
        <f>IMAGE("https://makerbazar.in/cdn/shop/products/IR-Array_2048x2048_29f53719-c65f-4f67-a7f9-06b99966bf49_400x.jpg?v=1628014848",1)</f>
        <v/>
      </c>
      <c r="Q371" s="78" t="s">
        <v>1688</v>
      </c>
      <c r="R371" s="74"/>
      <c r="S371" s="75"/>
      <c r="T371" s="12"/>
      <c r="U371" s="11"/>
      <c r="V371" s="12">
        <v>1.0</v>
      </c>
      <c r="W371" s="576"/>
    </row>
    <row r="372" ht="40.5" customHeight="1">
      <c r="A372" s="11">
        <v>371.0</v>
      </c>
      <c r="B372" s="11" t="s">
        <v>173</v>
      </c>
      <c r="C372" s="11" t="s">
        <v>1545</v>
      </c>
      <c r="D372" s="93" t="s">
        <v>1546</v>
      </c>
      <c r="E372" s="215" t="s">
        <v>1514</v>
      </c>
      <c r="F372" s="216">
        <v>10.0</v>
      </c>
      <c r="G372" s="11" t="s">
        <v>1782</v>
      </c>
      <c r="H372" s="216">
        <v>10.0</v>
      </c>
      <c r="I372" s="216">
        <v>30.0</v>
      </c>
      <c r="J372" s="11">
        <f t="shared" si="18"/>
        <v>300</v>
      </c>
      <c r="K372" s="11" t="s">
        <v>178</v>
      </c>
      <c r="L372" s="93"/>
      <c r="M372" s="93" t="s">
        <v>2062</v>
      </c>
      <c r="N372" s="215" t="s">
        <v>1514</v>
      </c>
      <c r="O372" s="217" t="s">
        <v>1547</v>
      </c>
      <c r="P372" s="11" t="str">
        <f>IMAGE("https://robu.in/wp-content/uploads/2017/05/LDR-module-1.png",1)</f>
        <v/>
      </c>
      <c r="Q372" s="78" t="s">
        <v>1688</v>
      </c>
      <c r="R372" s="74"/>
      <c r="S372" s="75"/>
      <c r="T372" s="12"/>
      <c r="U372" s="11"/>
      <c r="V372" s="12">
        <v>1.0</v>
      </c>
      <c r="W372" s="576"/>
    </row>
    <row r="373" ht="40.5" customHeight="1">
      <c r="A373" s="11">
        <v>372.0</v>
      </c>
      <c r="B373" s="11" t="s">
        <v>173</v>
      </c>
      <c r="C373" s="11" t="s">
        <v>1549</v>
      </c>
      <c r="D373" s="93" t="s">
        <v>1775</v>
      </c>
      <c r="E373" s="215" t="s">
        <v>1514</v>
      </c>
      <c r="F373" s="216">
        <v>5.0</v>
      </c>
      <c r="G373" s="11" t="s">
        <v>1776</v>
      </c>
      <c r="H373" s="216">
        <v>5.0</v>
      </c>
      <c r="I373" s="216">
        <v>90.0</v>
      </c>
      <c r="J373" s="11">
        <f t="shared" si="18"/>
        <v>450</v>
      </c>
      <c r="K373" s="11" t="s">
        <v>178</v>
      </c>
      <c r="L373" s="93"/>
      <c r="M373" s="93" t="s">
        <v>2062</v>
      </c>
      <c r="N373" s="215" t="s">
        <v>1514</v>
      </c>
      <c r="O373" s="217" t="s">
        <v>1551</v>
      </c>
      <c r="P373" s="11" t="str">
        <f>IMAGE("https://m.media-amazon.com/images/W/MEDIAX_792452-T2/images/I/7158I82c4bL._SL1500_.jpg",1)</f>
        <v/>
      </c>
      <c r="Q373" s="78" t="s">
        <v>1688</v>
      </c>
      <c r="R373" s="74"/>
      <c r="S373" s="75"/>
      <c r="T373" s="12"/>
      <c r="U373" s="11"/>
      <c r="V373" s="12">
        <v>1.0</v>
      </c>
      <c r="W373" s="576"/>
    </row>
    <row r="374" ht="40.5" customHeight="1">
      <c r="A374" s="11">
        <v>373.0</v>
      </c>
      <c r="B374" s="11" t="s">
        <v>173</v>
      </c>
      <c r="C374" s="11" t="s">
        <v>1553</v>
      </c>
      <c r="D374" s="93" t="s">
        <v>1822</v>
      </c>
      <c r="E374" s="215" t="s">
        <v>1514</v>
      </c>
      <c r="F374" s="216">
        <v>5.0</v>
      </c>
      <c r="G374" s="11" t="s">
        <v>1823</v>
      </c>
      <c r="H374" s="216">
        <v>5.0</v>
      </c>
      <c r="I374" s="216">
        <v>150.0</v>
      </c>
      <c r="J374" s="11">
        <f t="shared" si="18"/>
        <v>750</v>
      </c>
      <c r="K374" s="11" t="s">
        <v>178</v>
      </c>
      <c r="L374" s="93"/>
      <c r="M374" s="93" t="s">
        <v>2070</v>
      </c>
      <c r="N374" s="215" t="s">
        <v>1514</v>
      </c>
      <c r="O374" s="217" t="s">
        <v>1555</v>
      </c>
      <c r="P374" s="11" t="str">
        <f>IMAGE("https://robu.in/wp-content/uploads/2017/09/download-1-2.jpg",1)</f>
        <v/>
      </c>
      <c r="Q374" s="78" t="s">
        <v>1688</v>
      </c>
      <c r="R374" s="74"/>
      <c r="S374" s="75"/>
      <c r="T374" s="12"/>
      <c r="U374" s="11"/>
      <c r="V374" s="12">
        <v>1.0</v>
      </c>
      <c r="W374" s="576"/>
    </row>
    <row r="375" ht="40.5" customHeight="1">
      <c r="A375" s="11">
        <v>374.0</v>
      </c>
      <c r="B375" s="11" t="s">
        <v>173</v>
      </c>
      <c r="C375" s="11" t="s">
        <v>1557</v>
      </c>
      <c r="D375" s="93" t="s">
        <v>1758</v>
      </c>
      <c r="E375" s="215" t="s">
        <v>1514</v>
      </c>
      <c r="F375" s="216">
        <v>10.0</v>
      </c>
      <c r="G375" s="11" t="s">
        <v>1759</v>
      </c>
      <c r="H375" s="216">
        <v>10.0</v>
      </c>
      <c r="I375" s="216">
        <v>40.0</v>
      </c>
      <c r="J375" s="11">
        <f t="shared" si="18"/>
        <v>400</v>
      </c>
      <c r="K375" s="11" t="s">
        <v>178</v>
      </c>
      <c r="L375" s="93"/>
      <c r="M375" s="93" t="s">
        <v>2062</v>
      </c>
      <c r="N375" s="215" t="s">
        <v>1514</v>
      </c>
      <c r="O375" s="217"/>
      <c r="P375" s="11" t="str">
        <f>IMAGE("https://cdn.shopify.com/s/files/1/0088/0056/7392/products/Sound_Detector_Module.jpg?v=1566646449",1)</f>
        <v/>
      </c>
      <c r="Q375" s="78" t="s">
        <v>1688</v>
      </c>
      <c r="R375" s="74"/>
      <c r="S375" s="75"/>
      <c r="T375" s="12"/>
      <c r="U375" s="11"/>
      <c r="V375" s="12">
        <v>1.0</v>
      </c>
      <c r="W375" s="576"/>
    </row>
    <row r="376" ht="40.5" customHeight="1">
      <c r="A376" s="11">
        <v>375.0</v>
      </c>
      <c r="B376" s="11" t="s">
        <v>173</v>
      </c>
      <c r="C376" s="11" t="s">
        <v>1560</v>
      </c>
      <c r="D376" s="93" t="s">
        <v>1789</v>
      </c>
      <c r="E376" s="215" t="s">
        <v>1514</v>
      </c>
      <c r="F376" s="216">
        <v>10.0</v>
      </c>
      <c r="G376" s="11" t="s">
        <v>1790</v>
      </c>
      <c r="H376" s="216">
        <v>10.0</v>
      </c>
      <c r="I376" s="216">
        <v>200.0</v>
      </c>
      <c r="J376" s="11">
        <f t="shared" si="18"/>
        <v>2000</v>
      </c>
      <c r="K376" s="11" t="s">
        <v>178</v>
      </c>
      <c r="L376" s="93"/>
      <c r="M376" s="93" t="s">
        <v>2062</v>
      </c>
      <c r="N376" s="215" t="s">
        <v>1514</v>
      </c>
      <c r="O376" s="217" t="s">
        <v>1562</v>
      </c>
      <c r="P376" s="11" t="str">
        <f>IMAGE("https://encrypted-tbn0.gstatic.com/images?q=tbn:ANd9GcRrIyUWjQ1rnIJDwYms78skSv9zbdkdml4sTR1WfoKl6GFD5OWnZULG8H98AB-i394c3VQ&amp;usqp=CAU",1)</f>
        <v/>
      </c>
      <c r="Q376" s="78" t="s">
        <v>1688</v>
      </c>
      <c r="R376" s="74"/>
      <c r="S376" s="75"/>
      <c r="T376" s="12"/>
      <c r="U376" s="11"/>
      <c r="V376" s="12">
        <v>1.0</v>
      </c>
      <c r="W376" s="576"/>
    </row>
    <row r="377" ht="40.5" customHeight="1">
      <c r="A377" s="11">
        <v>376.0</v>
      </c>
      <c r="B377" s="11" t="s">
        <v>173</v>
      </c>
      <c r="C377" s="11" t="s">
        <v>1564</v>
      </c>
      <c r="D377" s="93" t="s">
        <v>2149</v>
      </c>
      <c r="E377" s="215" t="s">
        <v>1514</v>
      </c>
      <c r="F377" s="216">
        <v>5.0</v>
      </c>
      <c r="G377" s="11" t="s">
        <v>1766</v>
      </c>
      <c r="H377" s="216">
        <v>5.0</v>
      </c>
      <c r="I377" s="216">
        <v>95.0</v>
      </c>
      <c r="J377" s="11">
        <f t="shared" si="18"/>
        <v>475</v>
      </c>
      <c r="K377" s="11" t="s">
        <v>178</v>
      </c>
      <c r="L377" s="93"/>
      <c r="M377" s="93" t="s">
        <v>2070</v>
      </c>
      <c r="N377" s="215" t="s">
        <v>1514</v>
      </c>
      <c r="O377" s="217" t="s">
        <v>1566</v>
      </c>
      <c r="P377" s="11" t="str">
        <f>IMAGE("https://robu.in/wp-content/uploads/2019/05/MAX30100-Pulse-Oximeter-Heart-Rate-Sensor-Module-2.jpg",1)</f>
        <v/>
      </c>
      <c r="Q377" s="78" t="s">
        <v>1688</v>
      </c>
      <c r="R377" s="74"/>
      <c r="S377" s="75"/>
      <c r="T377" s="12"/>
      <c r="U377" s="11"/>
      <c r="V377" s="12">
        <v>1.0</v>
      </c>
      <c r="W377" s="576"/>
    </row>
    <row r="378" ht="40.5" customHeight="1">
      <c r="A378" s="11">
        <v>377.0</v>
      </c>
      <c r="B378" s="11" t="s">
        <v>173</v>
      </c>
      <c r="C378" s="11" t="s">
        <v>1568</v>
      </c>
      <c r="D378" s="93" t="s">
        <v>1769</v>
      </c>
      <c r="E378" s="215" t="s">
        <v>1514</v>
      </c>
      <c r="F378" s="216">
        <v>5.0</v>
      </c>
      <c r="G378" s="11" t="s">
        <v>1770</v>
      </c>
      <c r="H378" s="216">
        <v>5.0</v>
      </c>
      <c r="I378" s="216">
        <v>125.0</v>
      </c>
      <c r="J378" s="11">
        <f t="shared" si="18"/>
        <v>625</v>
      </c>
      <c r="K378" s="11" t="s">
        <v>178</v>
      </c>
      <c r="L378" s="93"/>
      <c r="M378" s="93" t="s">
        <v>2070</v>
      </c>
      <c r="N378" s="215" t="s">
        <v>1514</v>
      </c>
      <c r="O378" s="217"/>
      <c r="P378" s="11" t="str">
        <f>IMAGE("https://makerbazar.in/cdn/shop/products/Untitled-1_39_1_60x.jpg?v=1637233670",1)</f>
        <v/>
      </c>
      <c r="Q378" s="78" t="s">
        <v>1688</v>
      </c>
      <c r="R378" s="74"/>
      <c r="S378" s="75"/>
      <c r="T378" s="12"/>
      <c r="U378" s="11"/>
      <c r="V378" s="12">
        <v>1.0</v>
      </c>
      <c r="W378" s="576"/>
    </row>
    <row r="379" ht="40.5" customHeight="1">
      <c r="A379" s="11">
        <v>378.0</v>
      </c>
      <c r="B379" s="11" t="s">
        <v>173</v>
      </c>
      <c r="C379" s="11" t="s">
        <v>1571</v>
      </c>
      <c r="D379" s="93" t="s">
        <v>1772</v>
      </c>
      <c r="E379" s="215" t="s">
        <v>1514</v>
      </c>
      <c r="F379" s="216">
        <v>5.0</v>
      </c>
      <c r="G379" s="11" t="s">
        <v>1773</v>
      </c>
      <c r="H379" s="216">
        <v>5.0</v>
      </c>
      <c r="I379" s="216">
        <v>75.0</v>
      </c>
      <c r="J379" s="11">
        <f t="shared" si="18"/>
        <v>375</v>
      </c>
      <c r="K379" s="11" t="s">
        <v>178</v>
      </c>
      <c r="L379" s="93"/>
      <c r="M379" s="93" t="s">
        <v>2062</v>
      </c>
      <c r="N379" s="215" t="s">
        <v>1514</v>
      </c>
      <c r="O379" s="217" t="s">
        <v>1573</v>
      </c>
      <c r="P379" s="11" t="str">
        <f>IMAGE("https://5.imimg.com/data5/SELLER/Default/2021/6/XN/UI/NS/84973740/mq2-flammable-gas-and-smoke-sensor-module-500x500.jpg",1)</f>
        <v/>
      </c>
      <c r="Q379" s="78" t="s">
        <v>1688</v>
      </c>
      <c r="R379" s="74"/>
      <c r="S379" s="75"/>
      <c r="T379" s="12"/>
      <c r="U379" s="11"/>
      <c r="V379" s="12">
        <v>1.0</v>
      </c>
      <c r="W379" s="576"/>
    </row>
    <row r="380" ht="40.5" customHeight="1">
      <c r="A380" s="11">
        <v>379.0</v>
      </c>
      <c r="B380" s="11" t="s">
        <v>173</v>
      </c>
      <c r="C380" s="11" t="s">
        <v>1575</v>
      </c>
      <c r="D380" s="93" t="s">
        <v>1576</v>
      </c>
      <c r="E380" s="215" t="s">
        <v>1514</v>
      </c>
      <c r="F380" s="216">
        <v>10.0</v>
      </c>
      <c r="G380" s="11" t="s">
        <v>1794</v>
      </c>
      <c r="H380" s="216">
        <v>10.0</v>
      </c>
      <c r="I380" s="216">
        <v>40.0</v>
      </c>
      <c r="J380" s="11">
        <f t="shared" si="18"/>
        <v>400</v>
      </c>
      <c r="K380" s="11" t="s">
        <v>178</v>
      </c>
      <c r="L380" s="93"/>
      <c r="M380" s="93" t="s">
        <v>2062</v>
      </c>
      <c r="N380" s="215" t="s">
        <v>1514</v>
      </c>
      <c r="O380" s="217" t="s">
        <v>1577</v>
      </c>
      <c r="P380" s="11" t="str">
        <f>IMAGE("https://robu.in/wp-content/uploads/2016/03/12251.jpg",1)</f>
        <v/>
      </c>
      <c r="Q380" s="78" t="s">
        <v>1688</v>
      </c>
      <c r="R380" s="74"/>
      <c r="S380" s="75"/>
      <c r="T380" s="12"/>
      <c r="U380" s="11"/>
      <c r="V380" s="12">
        <v>1.0</v>
      </c>
      <c r="W380" s="576"/>
    </row>
    <row r="381" ht="40.5" customHeight="1">
      <c r="A381" s="11">
        <v>380.0</v>
      </c>
      <c r="B381" s="11" t="s">
        <v>173</v>
      </c>
      <c r="C381" s="11" t="s">
        <v>1579</v>
      </c>
      <c r="D381" s="258" t="s">
        <v>1763</v>
      </c>
      <c r="E381" s="215" t="s">
        <v>1514</v>
      </c>
      <c r="F381" s="216">
        <v>5.0</v>
      </c>
      <c r="G381" s="11" t="s">
        <v>1764</v>
      </c>
      <c r="H381" s="216">
        <v>5.0</v>
      </c>
      <c r="I381" s="216">
        <v>130.0</v>
      </c>
      <c r="J381" s="11">
        <f t="shared" si="18"/>
        <v>650</v>
      </c>
      <c r="K381" s="11" t="s">
        <v>178</v>
      </c>
      <c r="L381" s="93"/>
      <c r="M381" s="93" t="s">
        <v>2062</v>
      </c>
      <c r="N381" s="215" t="s">
        <v>1514</v>
      </c>
      <c r="O381" s="217" t="s">
        <v>1581</v>
      </c>
      <c r="P381" s="11" t="str">
        <f>IMAGE("https://m.media-amazon.com/images/W/MEDIAX_792452-T2/images/I/61QNSpIV-GL._SL1000_.jpg",1)</f>
        <v/>
      </c>
      <c r="Q381" s="78" t="s">
        <v>1688</v>
      </c>
      <c r="R381" s="74"/>
      <c r="S381" s="75"/>
      <c r="T381" s="12"/>
      <c r="U381" s="11"/>
      <c r="V381" s="12">
        <v>1.0</v>
      </c>
      <c r="W381" s="576"/>
    </row>
    <row r="382" ht="40.5" customHeight="1">
      <c r="A382" s="11">
        <v>381.0</v>
      </c>
      <c r="B382" s="11" t="s">
        <v>173</v>
      </c>
      <c r="C382" s="11" t="s">
        <v>1583</v>
      </c>
      <c r="D382" s="93" t="s">
        <v>1584</v>
      </c>
      <c r="E382" s="215" t="s">
        <v>1514</v>
      </c>
      <c r="F382" s="216">
        <v>10.0</v>
      </c>
      <c r="G382" s="11" t="s">
        <v>1797</v>
      </c>
      <c r="H382" s="216">
        <v>10.0</v>
      </c>
      <c r="I382" s="216">
        <v>60.0</v>
      </c>
      <c r="J382" s="11">
        <f t="shared" si="18"/>
        <v>600</v>
      </c>
      <c r="K382" s="11" t="s">
        <v>178</v>
      </c>
      <c r="L382" s="93"/>
      <c r="M382" s="93" t="s">
        <v>2062</v>
      </c>
      <c r="N382" s="215" t="s">
        <v>1514</v>
      </c>
      <c r="O382" s="217" t="s">
        <v>1585</v>
      </c>
      <c r="P382" s="11" t="str">
        <f>IMAGE("https://projecthubbharat.com/wp-content/uploads/2022/02/dht-11-sensor-module-india-800x800-1.jpg",1)</f>
        <v/>
      </c>
      <c r="Q382" s="78" t="s">
        <v>1688</v>
      </c>
      <c r="R382" s="74"/>
      <c r="S382" s="75"/>
      <c r="T382" s="12"/>
      <c r="U382" s="11"/>
      <c r="V382" s="12">
        <v>1.0</v>
      </c>
      <c r="W382" s="576"/>
    </row>
    <row r="383" ht="40.5" customHeight="1">
      <c r="A383" s="11">
        <v>382.0</v>
      </c>
      <c r="B383" s="11" t="s">
        <v>173</v>
      </c>
      <c r="C383" s="11" t="s">
        <v>1587</v>
      </c>
      <c r="D383" s="93" t="s">
        <v>1795</v>
      </c>
      <c r="E383" s="215" t="s">
        <v>1514</v>
      </c>
      <c r="F383" s="216">
        <v>10.0</v>
      </c>
      <c r="G383" s="11" t="s">
        <v>1796</v>
      </c>
      <c r="H383" s="216">
        <v>10.0</v>
      </c>
      <c r="I383" s="216">
        <v>50.0</v>
      </c>
      <c r="J383" s="11">
        <f t="shared" si="18"/>
        <v>500</v>
      </c>
      <c r="K383" s="11" t="s">
        <v>178</v>
      </c>
      <c r="L383" s="93"/>
      <c r="M383" s="93" t="s">
        <v>2070</v>
      </c>
      <c r="N383" s="215" t="s">
        <v>1514</v>
      </c>
      <c r="O383" s="217" t="s">
        <v>1589</v>
      </c>
      <c r="P383" s="11" t="str">
        <f>IMAGE("https://potentiallabs.com/cart/image/cache/catalog/nov-dec/DS18B20-500x500-500x500.jpg",1)</f>
        <v/>
      </c>
      <c r="Q383" s="78" t="s">
        <v>1688</v>
      </c>
      <c r="R383" s="74"/>
      <c r="S383" s="75"/>
      <c r="T383" s="12"/>
      <c r="U383" s="11"/>
      <c r="V383" s="12">
        <v>1.0</v>
      </c>
      <c r="W383" s="576"/>
    </row>
    <row r="384" ht="40.5" customHeight="1">
      <c r="A384" s="11">
        <v>383.0</v>
      </c>
      <c r="B384" s="11" t="s">
        <v>173</v>
      </c>
      <c r="C384" s="11" t="s">
        <v>1591</v>
      </c>
      <c r="D384" s="93" t="s">
        <v>1798</v>
      </c>
      <c r="E384" s="215" t="s">
        <v>1514</v>
      </c>
      <c r="F384" s="216">
        <v>20.0</v>
      </c>
      <c r="G384" s="11" t="s">
        <v>1796</v>
      </c>
      <c r="H384" s="216">
        <v>20.0</v>
      </c>
      <c r="I384" s="216">
        <v>5.0</v>
      </c>
      <c r="J384" s="11">
        <f t="shared" si="18"/>
        <v>100</v>
      </c>
      <c r="K384" s="11" t="s">
        <v>178</v>
      </c>
      <c r="L384" s="93"/>
      <c r="M384" s="93" t="s">
        <v>2070</v>
      </c>
      <c r="N384" s="215" t="s">
        <v>1514</v>
      </c>
      <c r="O384" s="217" t="s">
        <v>1593</v>
      </c>
      <c r="P384" s="216" t="str">
        <f>IMAGE("https://5.imimg.com/data5/SELLER/Default/2021/9/HF/RK/UF/37611021/10k-ohm-ntc-thermistor-500x500.jpg",1)</f>
        <v/>
      </c>
      <c r="Q384" s="78" t="s">
        <v>1688</v>
      </c>
      <c r="R384" s="74"/>
      <c r="S384" s="75"/>
      <c r="T384" s="12"/>
      <c r="U384" s="11"/>
      <c r="V384" s="12">
        <v>1.0</v>
      </c>
      <c r="W384" s="576"/>
    </row>
    <row r="385" ht="40.5" customHeight="1">
      <c r="A385" s="11">
        <v>384.0</v>
      </c>
      <c r="B385" s="11" t="s">
        <v>173</v>
      </c>
      <c r="C385" s="11" t="s">
        <v>1595</v>
      </c>
      <c r="D385" s="93" t="s">
        <v>1777</v>
      </c>
      <c r="E385" s="215" t="s">
        <v>1514</v>
      </c>
      <c r="F385" s="216">
        <v>5.0</v>
      </c>
      <c r="G385" s="11" t="s">
        <v>1778</v>
      </c>
      <c r="H385" s="216">
        <v>5.0</v>
      </c>
      <c r="I385" s="216">
        <v>150.0</v>
      </c>
      <c r="J385" s="11">
        <f t="shared" si="18"/>
        <v>750</v>
      </c>
      <c r="K385" s="11" t="s">
        <v>178</v>
      </c>
      <c r="L385" s="93"/>
      <c r="M385" s="93" t="s">
        <v>2070</v>
      </c>
      <c r="N385" s="215" t="s">
        <v>1514</v>
      </c>
      <c r="O385" s="217" t="s">
        <v>1597</v>
      </c>
      <c r="P385" s="11" t="str">
        <f>IMAGE("https://media.distrelec.com/Web/WebShopImages/landscape_large/7-/01/Adafruit_163_30129187-01.jpg",1)</f>
        <v/>
      </c>
      <c r="Q385" s="78" t="s">
        <v>1688</v>
      </c>
      <c r="R385" s="74"/>
      <c r="S385" s="75"/>
      <c r="T385" s="12"/>
      <c r="U385" s="11"/>
      <c r="V385" s="12">
        <v>1.0</v>
      </c>
      <c r="W385" s="576"/>
    </row>
    <row r="386" ht="40.5" customHeight="1">
      <c r="A386" s="11">
        <v>385.0</v>
      </c>
      <c r="B386" s="11" t="s">
        <v>173</v>
      </c>
      <c r="C386" s="11" t="s">
        <v>1618</v>
      </c>
      <c r="D386" s="93" t="s">
        <v>1619</v>
      </c>
      <c r="E386" s="215" t="s">
        <v>1514</v>
      </c>
      <c r="F386" s="216">
        <v>10.0</v>
      </c>
      <c r="G386" s="11" t="s">
        <v>1801</v>
      </c>
      <c r="H386" s="216">
        <v>10.0</v>
      </c>
      <c r="I386" s="216">
        <v>50.0</v>
      </c>
      <c r="J386" s="11">
        <f t="shared" si="18"/>
        <v>500</v>
      </c>
      <c r="K386" s="11" t="s">
        <v>178</v>
      </c>
      <c r="L386" s="93"/>
      <c r="M386" s="93" t="s">
        <v>2062</v>
      </c>
      <c r="N386" s="215" t="s">
        <v>1514</v>
      </c>
      <c r="O386" s="217" t="s">
        <v>1620</v>
      </c>
      <c r="P386" s="11" t="str">
        <f>IMAGE("https://i0.wp.com/superbtech.in/wp-content/uploads/2020/07/2-60.jpg?fit=500%2C500&amp;ssl=1",1)</f>
        <v/>
      </c>
      <c r="Q386" s="78" t="s">
        <v>1688</v>
      </c>
      <c r="R386" s="74"/>
      <c r="S386" s="75"/>
      <c r="T386" s="12"/>
      <c r="U386" s="11"/>
      <c r="V386" s="12">
        <v>1.0</v>
      </c>
      <c r="W386" s="576"/>
    </row>
    <row r="387" ht="40.5" customHeight="1">
      <c r="A387" s="11">
        <v>386.0</v>
      </c>
      <c r="B387" s="11" t="s">
        <v>173</v>
      </c>
      <c r="C387" s="11" t="s">
        <v>1622</v>
      </c>
      <c r="D387" s="93" t="s">
        <v>1623</v>
      </c>
      <c r="E387" s="215" t="s">
        <v>1514</v>
      </c>
      <c r="F387" s="216">
        <v>5.0</v>
      </c>
      <c r="G387" s="11" t="s">
        <v>2150</v>
      </c>
      <c r="H387" s="216">
        <v>5.0</v>
      </c>
      <c r="I387" s="216">
        <v>150.0</v>
      </c>
      <c r="J387" s="11">
        <f t="shared" si="18"/>
        <v>750</v>
      </c>
      <c r="K387" s="11" t="s">
        <v>178</v>
      </c>
      <c r="L387" s="93"/>
      <c r="M387" s="93" t="s">
        <v>1895</v>
      </c>
      <c r="N387" s="215" t="s">
        <v>1514</v>
      </c>
      <c r="O387" s="217" t="s">
        <v>1624</v>
      </c>
      <c r="P387" s="11" t="str">
        <f>IMAGE("https://cdn.shopify.com/s/files/1/0559/1970/6265/products/1_9713a8db-db1e-42d0-a3e7-eebb7f66c4e9.jpg?v=1670581925",1)</f>
        <v/>
      </c>
      <c r="Q387" s="78" t="s">
        <v>1688</v>
      </c>
      <c r="R387" s="74"/>
      <c r="S387" s="75"/>
      <c r="T387" s="12"/>
      <c r="U387" s="11"/>
      <c r="V387" s="12">
        <v>1.0</v>
      </c>
      <c r="W387" s="576"/>
    </row>
    <row r="388" ht="40.5" customHeight="1">
      <c r="A388" s="11">
        <v>387.0</v>
      </c>
      <c r="B388" s="224" t="s">
        <v>15</v>
      </c>
      <c r="C388" s="224" t="s">
        <v>1599</v>
      </c>
      <c r="D388" s="225" t="s">
        <v>1600</v>
      </c>
      <c r="E388" s="226" t="s">
        <v>1601</v>
      </c>
      <c r="F388" s="224">
        <v>1.0</v>
      </c>
      <c r="G388" s="14"/>
      <c r="H388" s="224">
        <v>1.0</v>
      </c>
      <c r="I388" s="224">
        <v>10000.0</v>
      </c>
      <c r="J388" s="224">
        <f t="shared" si="18"/>
        <v>10000</v>
      </c>
      <c r="K388" s="224" t="s">
        <v>20</v>
      </c>
      <c r="L388" s="225" t="s">
        <v>65</v>
      </c>
      <c r="M388" s="229" t="s">
        <v>65</v>
      </c>
      <c r="N388" s="225" t="s">
        <v>1987</v>
      </c>
      <c r="O388" s="230"/>
      <c r="P388" s="224" t="str">
        <f>IMAGE("https://5.imimg.com/data5/SELLER/Default/2022/10/QQ/KR/IQ/23162102/singer-s0303-sewing-machine.png",1)</f>
        <v/>
      </c>
      <c r="Q388" s="644"/>
      <c r="R388" s="621"/>
      <c r="S388" s="339"/>
      <c r="T388" s="623"/>
      <c r="U388" s="224"/>
      <c r="V388" s="351">
        <v>2.0</v>
      </c>
      <c r="W388" s="576"/>
    </row>
    <row r="389" ht="40.5" customHeight="1">
      <c r="A389" s="11">
        <v>388.0</v>
      </c>
      <c r="B389" s="11" t="s">
        <v>15</v>
      </c>
      <c r="C389" s="11" t="s">
        <v>1603</v>
      </c>
      <c r="D389" s="93" t="s">
        <v>1604</v>
      </c>
      <c r="E389" s="215" t="s">
        <v>1601</v>
      </c>
      <c r="F389" s="11">
        <v>1.0</v>
      </c>
      <c r="G389" s="11" t="s">
        <v>2151</v>
      </c>
      <c r="H389" s="11">
        <v>1.0</v>
      </c>
      <c r="I389" s="11">
        <v>90.0</v>
      </c>
      <c r="J389" s="11">
        <f t="shared" si="18"/>
        <v>90</v>
      </c>
      <c r="K389" s="11" t="s">
        <v>20</v>
      </c>
      <c r="L389" s="93" t="s">
        <v>65</v>
      </c>
      <c r="M389" s="93" t="s">
        <v>2052</v>
      </c>
      <c r="N389" s="93" t="s">
        <v>1987</v>
      </c>
      <c r="O389" s="217"/>
      <c r="P389" s="11" t="str">
        <f>IMAGE("https://3.imimg.com/data3/HA/PB/MY-3231014/sewing-needle.jpg",1)</f>
        <v/>
      </c>
      <c r="Q389" s="78"/>
      <c r="R389" s="79"/>
      <c r="S389" s="80"/>
      <c r="T389" s="12"/>
      <c r="U389" s="11"/>
      <c r="V389" s="12">
        <v>3.0</v>
      </c>
      <c r="W389" s="576"/>
    </row>
    <row r="390" ht="40.5" customHeight="1">
      <c r="A390" s="11">
        <v>389.0</v>
      </c>
      <c r="B390" s="11" t="s">
        <v>15</v>
      </c>
      <c r="C390" s="11" t="s">
        <v>1607</v>
      </c>
      <c r="D390" s="93" t="s">
        <v>1608</v>
      </c>
      <c r="E390" s="215" t="s">
        <v>1601</v>
      </c>
      <c r="F390" s="11">
        <v>2.0</v>
      </c>
      <c r="G390" s="11" t="s">
        <v>2151</v>
      </c>
      <c r="H390" s="11">
        <v>2.0</v>
      </c>
      <c r="I390" s="11">
        <v>300.0</v>
      </c>
      <c r="J390" s="11">
        <f t="shared" si="18"/>
        <v>600</v>
      </c>
      <c r="K390" s="11" t="s">
        <v>20</v>
      </c>
      <c r="L390" s="93" t="s">
        <v>65</v>
      </c>
      <c r="M390" s="93" t="s">
        <v>2052</v>
      </c>
      <c r="N390" s="93" t="s">
        <v>1987</v>
      </c>
      <c r="O390" s="217"/>
      <c r="P390" s="11" t="str">
        <f>IMAGE("https://m.media-amazon.com/images/W/MEDIAX_792452-T2/images/I/71vxqqo9r7L.jpg",1)</f>
        <v/>
      </c>
      <c r="Q390" s="78"/>
      <c r="R390" s="74"/>
      <c r="S390" s="75"/>
      <c r="T390" s="12"/>
      <c r="U390" s="11"/>
      <c r="V390" s="12">
        <v>3.0</v>
      </c>
      <c r="W390" s="576"/>
    </row>
    <row r="391" ht="40.5" customHeight="1">
      <c r="A391" s="11">
        <v>390.0</v>
      </c>
      <c r="B391" s="11" t="s">
        <v>342</v>
      </c>
      <c r="C391" s="11" t="s">
        <v>1610</v>
      </c>
      <c r="D391" s="93" t="s">
        <v>1611</v>
      </c>
      <c r="E391" s="215" t="s">
        <v>1601</v>
      </c>
      <c r="F391" s="11">
        <v>5.0</v>
      </c>
      <c r="G391" s="11" t="s">
        <v>2151</v>
      </c>
      <c r="H391" s="11">
        <v>5.0</v>
      </c>
      <c r="I391" s="11">
        <v>10.0</v>
      </c>
      <c r="J391" s="11">
        <f t="shared" si="18"/>
        <v>50</v>
      </c>
      <c r="K391" s="11" t="s">
        <v>347</v>
      </c>
      <c r="L391" s="93" t="s">
        <v>65</v>
      </c>
      <c r="M391" s="93" t="s">
        <v>2052</v>
      </c>
      <c r="N391" s="93" t="s">
        <v>1987</v>
      </c>
      <c r="O391" s="217" t="s">
        <v>1612</v>
      </c>
      <c r="P391" s="11" t="str">
        <f>IMAGE("https://delhi6online.in/cdn/shop/products/S1_800x.jpg?v=1545883083.jpg",1)</f>
        <v/>
      </c>
      <c r="Q391" s="78"/>
      <c r="R391" s="74" t="s">
        <v>1719</v>
      </c>
      <c r="S391" s="75"/>
      <c r="T391" s="12"/>
      <c r="U391" s="11"/>
      <c r="V391" s="12">
        <v>3.0</v>
      </c>
      <c r="W391" s="576"/>
    </row>
    <row r="392" ht="40.5" customHeight="1">
      <c r="A392" s="11">
        <v>391.0</v>
      </c>
      <c r="B392" s="11" t="s">
        <v>342</v>
      </c>
      <c r="C392" s="11" t="s">
        <v>1614</v>
      </c>
      <c r="D392" s="93" t="s">
        <v>1615</v>
      </c>
      <c r="E392" s="215" t="s">
        <v>1601</v>
      </c>
      <c r="F392" s="11">
        <v>5.0</v>
      </c>
      <c r="G392" s="11" t="s">
        <v>2152</v>
      </c>
      <c r="H392" s="11">
        <v>5.0</v>
      </c>
      <c r="I392" s="11">
        <v>30.0</v>
      </c>
      <c r="J392" s="11">
        <f t="shared" si="18"/>
        <v>150</v>
      </c>
      <c r="K392" s="11" t="s">
        <v>347</v>
      </c>
      <c r="L392" s="93" t="s">
        <v>65</v>
      </c>
      <c r="M392" s="93" t="s">
        <v>2052</v>
      </c>
      <c r="N392" s="93" t="s">
        <v>1987</v>
      </c>
      <c r="O392" s="217" t="s">
        <v>1616</v>
      </c>
      <c r="P392" s="11" t="str">
        <f>IMAGE("https://4.imimg.com/data4/JF/WX/MY-2704359/thread-cutter-1000x1000.jpg",1)</f>
        <v/>
      </c>
      <c r="Q392" s="78"/>
      <c r="R392" s="74"/>
      <c r="S392" s="75"/>
      <c r="T392" s="12"/>
      <c r="U392" s="11"/>
      <c r="V392" s="12">
        <v>3.0</v>
      </c>
      <c r="W392" s="576"/>
    </row>
    <row r="393" ht="40.5" customHeight="1">
      <c r="A393" s="11">
        <v>392.0</v>
      </c>
      <c r="B393" s="11" t="s">
        <v>173</v>
      </c>
      <c r="C393" s="11" t="s">
        <v>1626</v>
      </c>
      <c r="D393" s="93" t="s">
        <v>1627</v>
      </c>
      <c r="E393" s="215" t="s">
        <v>1628</v>
      </c>
      <c r="F393" s="216">
        <v>10.0</v>
      </c>
      <c r="G393" s="11" t="s">
        <v>2127</v>
      </c>
      <c r="H393" s="216">
        <v>10.0</v>
      </c>
      <c r="I393" s="216">
        <v>20.0</v>
      </c>
      <c r="J393" s="11">
        <f t="shared" si="18"/>
        <v>200</v>
      </c>
      <c r="K393" s="11" t="s">
        <v>178</v>
      </c>
      <c r="L393" s="93"/>
      <c r="M393" s="93" t="s">
        <v>1960</v>
      </c>
      <c r="N393" s="93" t="s">
        <v>1628</v>
      </c>
      <c r="O393" s="217" t="s">
        <v>1630</v>
      </c>
      <c r="P393" s="11" t="str">
        <f>IMAGE("https://m.media-amazon.com/images/W/MEDIAX_792452-T2/images/I/419leG1YjXL.jpg",1)</f>
        <v/>
      </c>
      <c r="Q393" s="78" t="s">
        <v>1688</v>
      </c>
      <c r="R393" s="74"/>
      <c r="S393" s="75"/>
      <c r="T393" s="12"/>
      <c r="U393" s="11"/>
      <c r="V393" s="12">
        <v>1.0</v>
      </c>
      <c r="W393" s="576"/>
    </row>
    <row r="394" ht="40.5" customHeight="1">
      <c r="A394" s="11">
        <v>393.0</v>
      </c>
      <c r="B394" s="11" t="s">
        <v>173</v>
      </c>
      <c r="C394" s="11" t="s">
        <v>1632</v>
      </c>
      <c r="D394" s="93" t="s">
        <v>1633</v>
      </c>
      <c r="E394" s="215" t="s">
        <v>1628</v>
      </c>
      <c r="F394" s="216">
        <v>10.0</v>
      </c>
      <c r="G394" s="11" t="s">
        <v>2127</v>
      </c>
      <c r="H394" s="216">
        <v>10.0</v>
      </c>
      <c r="I394" s="216">
        <v>100.0</v>
      </c>
      <c r="J394" s="11">
        <f t="shared" si="18"/>
        <v>1000</v>
      </c>
      <c r="K394" s="11" t="s">
        <v>178</v>
      </c>
      <c r="L394" s="93"/>
      <c r="M394" s="93" t="s">
        <v>1960</v>
      </c>
      <c r="N394" s="93" t="s">
        <v>1628</v>
      </c>
      <c r="O394" s="217" t="s">
        <v>1634</v>
      </c>
      <c r="P394" s="11" t="str">
        <f>IMAGE("https://i0.wp.com/armsol.in/wp-content/uploads/2021/08/1-5-rotated.jpg?fit=600%2C600&amp;ssl=1",1)</f>
        <v/>
      </c>
      <c r="Q394" s="78" t="s">
        <v>1688</v>
      </c>
      <c r="R394" s="74"/>
      <c r="S394" s="75"/>
      <c r="T394" s="12"/>
      <c r="U394" s="11"/>
      <c r="V394" s="12">
        <v>1.0</v>
      </c>
      <c r="W394" s="576"/>
    </row>
    <row r="395" ht="40.5" customHeight="1">
      <c r="A395" s="11">
        <v>394.0</v>
      </c>
      <c r="B395" s="11" t="s">
        <v>173</v>
      </c>
      <c r="C395" s="11" t="s">
        <v>1636</v>
      </c>
      <c r="D395" s="93" t="s">
        <v>1988</v>
      </c>
      <c r="E395" s="215" t="s">
        <v>1628</v>
      </c>
      <c r="F395" s="216">
        <v>30.0</v>
      </c>
      <c r="G395" s="11" t="s">
        <v>2153</v>
      </c>
      <c r="H395" s="216">
        <v>30.0</v>
      </c>
      <c r="I395" s="216">
        <v>20.0</v>
      </c>
      <c r="J395" s="11">
        <f t="shared" si="18"/>
        <v>600</v>
      </c>
      <c r="K395" s="11" t="s">
        <v>178</v>
      </c>
      <c r="L395" s="93"/>
      <c r="M395" s="93" t="s">
        <v>1895</v>
      </c>
      <c r="N395" s="93" t="s">
        <v>1628</v>
      </c>
      <c r="O395" s="217" t="s">
        <v>1639</v>
      </c>
      <c r="P395" s="11" t="str">
        <f>IMAGE("https://www.voltaat.com/cdn/shop/products/voltaat-soldering-board-5cm-x-7cm-10728457568358_1024x1024.jpg?v=1628445244")</f>
        <v/>
      </c>
      <c r="Q395" s="78" t="s">
        <v>1688</v>
      </c>
      <c r="R395" s="74"/>
      <c r="S395" s="75"/>
      <c r="T395" s="12"/>
      <c r="U395" s="11"/>
      <c r="V395" s="12">
        <v>1.0</v>
      </c>
      <c r="W395" s="576"/>
    </row>
    <row r="396" ht="40.5" customHeight="1">
      <c r="A396" s="11">
        <v>395.0</v>
      </c>
      <c r="B396" s="11" t="s">
        <v>173</v>
      </c>
      <c r="C396" s="11" t="s">
        <v>1641</v>
      </c>
      <c r="D396" s="93" t="s">
        <v>1989</v>
      </c>
      <c r="E396" s="215" t="s">
        <v>1628</v>
      </c>
      <c r="F396" s="216">
        <v>10.0</v>
      </c>
      <c r="G396" s="11" t="s">
        <v>2153</v>
      </c>
      <c r="H396" s="216">
        <v>10.0</v>
      </c>
      <c r="I396" s="216">
        <v>30.0</v>
      </c>
      <c r="J396" s="11">
        <f t="shared" si="18"/>
        <v>300</v>
      </c>
      <c r="K396" s="11" t="s">
        <v>178</v>
      </c>
      <c r="L396" s="93"/>
      <c r="M396" s="93" t="s">
        <v>1895</v>
      </c>
      <c r="N396" s="93" t="s">
        <v>1628</v>
      </c>
      <c r="O396" s="217" t="s">
        <v>1643</v>
      </c>
      <c r="P396" s="11" t="str">
        <f>IMAGE("https://m.media-amazon.com/images/W/MEDIAX_792452-T2/images/I/91hMIBtDtPS._SL1500_.jpg")</f>
        <v/>
      </c>
      <c r="Q396" s="78" t="s">
        <v>1688</v>
      </c>
      <c r="R396" s="74"/>
      <c r="S396" s="75"/>
      <c r="T396" s="12"/>
      <c r="U396" s="11"/>
      <c r="V396" s="12">
        <v>1.0</v>
      </c>
      <c r="W396" s="576"/>
    </row>
    <row r="397" ht="40.5" customHeight="1">
      <c r="A397" s="11">
        <v>396.0</v>
      </c>
      <c r="B397" s="624" t="s">
        <v>173</v>
      </c>
      <c r="C397" s="624" t="s">
        <v>1645</v>
      </c>
      <c r="D397" s="625" t="s">
        <v>1646</v>
      </c>
      <c r="E397" s="628" t="s">
        <v>1628</v>
      </c>
      <c r="F397" s="627">
        <v>5.0</v>
      </c>
      <c r="G397" s="11" t="s">
        <v>2127</v>
      </c>
      <c r="H397" s="627">
        <v>5.0</v>
      </c>
      <c r="I397" s="627">
        <v>20.0</v>
      </c>
      <c r="J397" s="624">
        <f t="shared" si="18"/>
        <v>100</v>
      </c>
      <c r="K397" s="624" t="s">
        <v>178</v>
      </c>
      <c r="L397" s="625"/>
      <c r="M397" s="625" t="s">
        <v>1960</v>
      </c>
      <c r="N397" s="625" t="s">
        <v>1628</v>
      </c>
      <c r="O397" s="629" t="s">
        <v>1647</v>
      </c>
      <c r="P397" s="624" t="str">
        <f>IMAGE("https://5.imimg.com/data5/SELLER/Default/2022/1/IK/KY/AC/131638211/31tvrpe7ijl-500x500.jpg")</f>
        <v/>
      </c>
      <c r="Q397" s="630" t="s">
        <v>1725</v>
      </c>
      <c r="R397" s="631"/>
      <c r="S397" s="632"/>
      <c r="T397" s="633"/>
      <c r="U397" s="624"/>
      <c r="V397" s="12">
        <v>2.0</v>
      </c>
      <c r="W397" s="576"/>
    </row>
    <row r="398" ht="40.5" customHeight="1">
      <c r="A398" s="11">
        <v>397.0</v>
      </c>
      <c r="B398" s="624" t="s">
        <v>173</v>
      </c>
      <c r="C398" s="624" t="s">
        <v>1649</v>
      </c>
      <c r="D398" s="625" t="s">
        <v>1650</v>
      </c>
      <c r="E398" s="628" t="s">
        <v>1628</v>
      </c>
      <c r="F398" s="627">
        <v>10.0</v>
      </c>
      <c r="G398" s="11" t="s">
        <v>2127</v>
      </c>
      <c r="H398" s="627">
        <v>10.0</v>
      </c>
      <c r="I398" s="627">
        <v>20.0</v>
      </c>
      <c r="J398" s="624">
        <f t="shared" si="18"/>
        <v>200</v>
      </c>
      <c r="K398" s="624" t="s">
        <v>178</v>
      </c>
      <c r="L398" s="625"/>
      <c r="M398" s="625" t="s">
        <v>1960</v>
      </c>
      <c r="N398" s="625" t="s">
        <v>1628</v>
      </c>
      <c r="O398" s="629" t="s">
        <v>1651</v>
      </c>
      <c r="P398" s="624" t="str">
        <f>IMAGE("https://i0.wp.com/roboticsdna.in/wp-content/uploads/2020/11/IRON-TIP-1.png?fit=1000%2C1000&amp;ssl=1",1)</f>
        <v/>
      </c>
      <c r="Q398" s="630" t="s">
        <v>1725</v>
      </c>
      <c r="R398" s="631"/>
      <c r="S398" s="632"/>
      <c r="T398" s="633"/>
      <c r="U398" s="624"/>
      <c r="V398" s="12">
        <v>2.0</v>
      </c>
      <c r="W398" s="576"/>
    </row>
    <row r="399" ht="40.5" customHeight="1">
      <c r="A399" s="11">
        <v>398.0</v>
      </c>
      <c r="B399" s="624" t="s">
        <v>173</v>
      </c>
      <c r="C399" s="624" t="s">
        <v>1653</v>
      </c>
      <c r="D399" s="625" t="s">
        <v>1654</v>
      </c>
      <c r="E399" s="628" t="s">
        <v>1628</v>
      </c>
      <c r="F399" s="627">
        <v>10.0</v>
      </c>
      <c r="G399" s="11" t="s">
        <v>2127</v>
      </c>
      <c r="H399" s="627">
        <v>10.0</v>
      </c>
      <c r="I399" s="627">
        <v>20.0</v>
      </c>
      <c r="J399" s="624">
        <f t="shared" si="18"/>
        <v>200</v>
      </c>
      <c r="K399" s="624" t="s">
        <v>178</v>
      </c>
      <c r="L399" s="625"/>
      <c r="M399" s="625" t="s">
        <v>1960</v>
      </c>
      <c r="N399" s="625" t="s">
        <v>1628</v>
      </c>
      <c r="O399" s="629" t="s">
        <v>1655</v>
      </c>
      <c r="P399" s="624" t="str">
        <f>IMAGE("https://www.toolworld.in/storage/media/product/1656317774.jpg",1)</f>
        <v/>
      </c>
      <c r="Q399" s="630" t="s">
        <v>1725</v>
      </c>
      <c r="R399" s="631"/>
      <c r="S399" s="632"/>
      <c r="T399" s="633"/>
      <c r="U399" s="624"/>
      <c r="V399" s="12">
        <v>2.0</v>
      </c>
      <c r="W399" s="576"/>
    </row>
    <row r="400" ht="40.5" customHeight="1">
      <c r="A400" s="11">
        <v>399.0</v>
      </c>
      <c r="B400" s="11" t="s">
        <v>173</v>
      </c>
      <c r="C400" s="11" t="s">
        <v>1657</v>
      </c>
      <c r="D400" s="93" t="s">
        <v>1658</v>
      </c>
      <c r="E400" s="215" t="s">
        <v>1628</v>
      </c>
      <c r="F400" s="216">
        <v>10.0</v>
      </c>
      <c r="G400" s="11" t="s">
        <v>2127</v>
      </c>
      <c r="H400" s="216">
        <v>10.0</v>
      </c>
      <c r="I400" s="216">
        <v>50.0</v>
      </c>
      <c r="J400" s="11">
        <f t="shared" si="18"/>
        <v>500</v>
      </c>
      <c r="K400" s="11" t="s">
        <v>178</v>
      </c>
      <c r="L400" s="93"/>
      <c r="M400" s="93" t="s">
        <v>1960</v>
      </c>
      <c r="N400" s="93" t="s">
        <v>1628</v>
      </c>
      <c r="O400" s="217" t="s">
        <v>1659</v>
      </c>
      <c r="P400" s="11" t="str">
        <f>IMAGE("https://m.media-amazon.com/images/W/MEDIAX_792452-T2/images/I/41OjS3jnL4L.jpg",1)</f>
        <v/>
      </c>
      <c r="Q400" s="78" t="s">
        <v>1688</v>
      </c>
      <c r="R400" s="74"/>
      <c r="S400" s="75"/>
      <c r="T400" s="12"/>
      <c r="U400" s="11"/>
      <c r="V400" s="12">
        <v>1.0</v>
      </c>
      <c r="W400" s="576"/>
    </row>
    <row r="401" ht="40.5" customHeight="1">
      <c r="A401" s="11">
        <v>400.0</v>
      </c>
      <c r="B401" s="624" t="s">
        <v>173</v>
      </c>
      <c r="C401" s="624" t="s">
        <v>1661</v>
      </c>
      <c r="D401" s="625" t="s">
        <v>1662</v>
      </c>
      <c r="E401" s="628" t="s">
        <v>1628</v>
      </c>
      <c r="F401" s="627">
        <v>2.0</v>
      </c>
      <c r="G401" s="11" t="s">
        <v>2104</v>
      </c>
      <c r="H401" s="627">
        <v>2.0</v>
      </c>
      <c r="I401" s="627">
        <v>500.0</v>
      </c>
      <c r="J401" s="624">
        <f t="shared" si="18"/>
        <v>1000</v>
      </c>
      <c r="K401" s="624" t="s">
        <v>178</v>
      </c>
      <c r="L401" s="625" t="s">
        <v>47</v>
      </c>
      <c r="M401" s="625"/>
      <c r="N401" s="625" t="s">
        <v>1628</v>
      </c>
      <c r="O401" s="629" t="s">
        <v>1663</v>
      </c>
      <c r="P401" s="624" t="str">
        <f>IMAGE("https://m.media-amazon.com/images/W/MEDIAX_792452-T2/images/I/61gvV3Wc-NL._SL1024_.jpg")</f>
        <v/>
      </c>
      <c r="Q401" s="636" t="s">
        <v>1684</v>
      </c>
      <c r="R401" s="631">
        <v>120.0</v>
      </c>
      <c r="S401" s="632"/>
      <c r="T401" s="633"/>
      <c r="U401" s="624"/>
      <c r="V401" s="12">
        <v>3.0</v>
      </c>
      <c r="W401" s="576"/>
    </row>
    <row r="402" ht="40.5" customHeight="1">
      <c r="A402" s="11">
        <v>401.0</v>
      </c>
      <c r="B402" s="11" t="s">
        <v>173</v>
      </c>
      <c r="C402" s="11" t="s">
        <v>1665</v>
      </c>
      <c r="D402" s="93" t="s">
        <v>1666</v>
      </c>
      <c r="E402" s="215" t="s">
        <v>1628</v>
      </c>
      <c r="F402" s="216">
        <v>10.0</v>
      </c>
      <c r="G402" s="11" t="s">
        <v>2127</v>
      </c>
      <c r="H402" s="216">
        <v>10.0</v>
      </c>
      <c r="I402" s="216">
        <v>300.0</v>
      </c>
      <c r="J402" s="11">
        <f t="shared" si="18"/>
        <v>3000</v>
      </c>
      <c r="K402" s="11" t="s">
        <v>178</v>
      </c>
      <c r="L402" s="93"/>
      <c r="M402" s="93" t="s">
        <v>1960</v>
      </c>
      <c r="N402" s="93" t="s">
        <v>1628</v>
      </c>
      <c r="O402" s="217" t="s">
        <v>1667</v>
      </c>
      <c r="P402" s="11" t="str">
        <f>IMAGE("https://robu.in/wp-content/uploads/2015/10/Soldron-25-Watt-Iron-Soldering-Gun-5.jpg")</f>
        <v/>
      </c>
      <c r="Q402" s="78" t="s">
        <v>1725</v>
      </c>
      <c r="R402" s="74"/>
      <c r="S402" s="75"/>
      <c r="T402" s="12"/>
      <c r="U402" s="11"/>
      <c r="V402" s="12">
        <v>1.0</v>
      </c>
      <c r="W402" s="576"/>
    </row>
    <row r="403" ht="40.5" customHeight="1">
      <c r="A403" s="11">
        <v>402.0</v>
      </c>
      <c r="B403" s="222" t="s">
        <v>173</v>
      </c>
      <c r="C403" s="222" t="s">
        <v>1669</v>
      </c>
      <c r="D403" s="232" t="s">
        <v>1670</v>
      </c>
      <c r="E403" s="233" t="s">
        <v>1628</v>
      </c>
      <c r="F403" s="234">
        <v>1.0</v>
      </c>
      <c r="G403" s="11" t="s">
        <v>2127</v>
      </c>
      <c r="H403" s="234">
        <v>1.0</v>
      </c>
      <c r="I403" s="234">
        <v>200.0</v>
      </c>
      <c r="J403" s="222">
        <f t="shared" si="18"/>
        <v>200</v>
      </c>
      <c r="K403" s="222" t="s">
        <v>178</v>
      </c>
      <c r="L403" s="232"/>
      <c r="M403" s="232" t="s">
        <v>1960</v>
      </c>
      <c r="N403" s="232" t="s">
        <v>1628</v>
      </c>
      <c r="O403" s="235" t="s">
        <v>1671</v>
      </c>
      <c r="P403" s="222" t="str">
        <f>IMAGE("https://m.media-amazon.com/images/I/71Nb2wKaZgS._SL1500_.jpg", 1)</f>
        <v/>
      </c>
      <c r="Q403" s="619" t="s">
        <v>1684</v>
      </c>
      <c r="R403" s="359">
        <v>60.0</v>
      </c>
      <c r="S403" s="336"/>
      <c r="T403" s="360"/>
      <c r="U403" s="222"/>
      <c r="V403" s="299">
        <v>1.0</v>
      </c>
      <c r="W403" s="576"/>
    </row>
    <row r="404" ht="40.5" customHeight="1">
      <c r="A404" s="11">
        <v>403.0</v>
      </c>
      <c r="B404" s="11" t="s">
        <v>173</v>
      </c>
      <c r="C404" s="11" t="s">
        <v>1673</v>
      </c>
      <c r="D404" s="93" t="s">
        <v>1674</v>
      </c>
      <c r="E404" s="215" t="s">
        <v>1628</v>
      </c>
      <c r="F404" s="216">
        <v>10.0</v>
      </c>
      <c r="G404" s="11" t="s">
        <v>2127</v>
      </c>
      <c r="H404" s="216">
        <v>10.0</v>
      </c>
      <c r="I404" s="216">
        <v>65.0</v>
      </c>
      <c r="J404" s="11">
        <f t="shared" si="18"/>
        <v>650</v>
      </c>
      <c r="K404" s="11" t="s">
        <v>178</v>
      </c>
      <c r="L404" s="93"/>
      <c r="M404" s="93" t="s">
        <v>1960</v>
      </c>
      <c r="N404" s="93" t="s">
        <v>1628</v>
      </c>
      <c r="O404" s="217" t="s">
        <v>1675</v>
      </c>
      <c r="P404" s="11" t="str">
        <f>IMAGE("https://m.media-amazon.com/images/W/MEDIAX_792452-T2/images/I/511g3IePVzL.jpg",1)</f>
        <v/>
      </c>
      <c r="Q404" s="78" t="s">
        <v>1725</v>
      </c>
      <c r="R404" s="74"/>
      <c r="S404" s="75"/>
      <c r="T404" s="12"/>
      <c r="U404" s="11"/>
      <c r="V404" s="12">
        <v>1.0</v>
      </c>
      <c r="W404" s="576"/>
    </row>
    <row r="405" ht="40.5" customHeight="1">
      <c r="A405" s="11">
        <v>404.0</v>
      </c>
      <c r="B405" s="11" t="s">
        <v>173</v>
      </c>
      <c r="C405" s="11" t="s">
        <v>1677</v>
      </c>
      <c r="D405" s="93" t="s">
        <v>1678</v>
      </c>
      <c r="E405" s="215" t="s">
        <v>1628</v>
      </c>
      <c r="F405" s="216">
        <v>10.0</v>
      </c>
      <c r="G405" s="11" t="s">
        <v>2127</v>
      </c>
      <c r="H405" s="216">
        <v>10.0</v>
      </c>
      <c r="I405" s="216">
        <v>100.0</v>
      </c>
      <c r="J405" s="11">
        <f t="shared" si="18"/>
        <v>1000</v>
      </c>
      <c r="K405" s="11" t="s">
        <v>178</v>
      </c>
      <c r="L405" s="93"/>
      <c r="M405" s="93" t="s">
        <v>1960</v>
      </c>
      <c r="N405" s="93" t="s">
        <v>1628</v>
      </c>
      <c r="O405" s="217" t="s">
        <v>1679</v>
      </c>
      <c r="P405" s="11" t="str">
        <f>IMAGE("https://5.imimg.com/data5/FT/MG/MY-9316309/soldering-wire-500x500.jpg",1)</f>
        <v/>
      </c>
      <c r="Q405" s="78" t="s">
        <v>1688</v>
      </c>
      <c r="R405" s="79"/>
      <c r="S405" s="80"/>
      <c r="T405" s="12"/>
      <c r="U405" s="11"/>
      <c r="V405" s="12">
        <v>1.0</v>
      </c>
      <c r="W405" s="576"/>
    </row>
    <row r="406" ht="40.5" customHeight="1">
      <c r="A406" s="11">
        <v>405.0</v>
      </c>
      <c r="B406" s="11" t="s">
        <v>461</v>
      </c>
      <c r="C406" s="11" t="s">
        <v>482</v>
      </c>
      <c r="D406" s="93" t="s">
        <v>483</v>
      </c>
      <c r="E406" s="215" t="s">
        <v>465</v>
      </c>
      <c r="F406" s="216">
        <v>1.0</v>
      </c>
      <c r="G406" s="11" t="s">
        <v>2066</v>
      </c>
      <c r="H406" s="216">
        <v>1.0</v>
      </c>
      <c r="I406" s="216">
        <v>28000.0</v>
      </c>
      <c r="J406" s="11">
        <f t="shared" si="18"/>
        <v>28000</v>
      </c>
      <c r="K406" s="11" t="s">
        <v>466</v>
      </c>
      <c r="L406" s="93" t="s">
        <v>47</v>
      </c>
      <c r="M406" s="123" t="s">
        <v>65</v>
      </c>
      <c r="N406" s="93" t="s">
        <v>1991</v>
      </c>
      <c r="O406" s="217" t="s">
        <v>484</v>
      </c>
      <c r="P406" s="11" t="str">
        <f>IMAGE("https://robu.in/wp-content/uploads/2022/12/Creality-X-Ender-CR-Laser-Falcon-Laser-Engraver-10W-1.jpg",1)</f>
        <v/>
      </c>
      <c r="Q406" s="73" t="s">
        <v>1684</v>
      </c>
      <c r="R406" s="74">
        <v>55.0</v>
      </c>
      <c r="S406" s="75"/>
      <c r="T406" s="12"/>
      <c r="U406" s="11"/>
      <c r="V406" s="12">
        <v>3.0</v>
      </c>
      <c r="W406" s="576"/>
    </row>
    <row r="407" ht="40.5" customHeight="1">
      <c r="A407" s="11">
        <v>406.0</v>
      </c>
      <c r="B407" s="11"/>
      <c r="C407" s="259" t="s">
        <v>1992</v>
      </c>
      <c r="D407" s="93" t="s">
        <v>1993</v>
      </c>
      <c r="E407" s="215" t="s">
        <v>465</v>
      </c>
      <c r="F407" s="216"/>
      <c r="G407" s="11" t="s">
        <v>2067</v>
      </c>
      <c r="H407" s="216">
        <v>1.0</v>
      </c>
      <c r="I407" s="216"/>
      <c r="J407" s="11"/>
      <c r="K407" s="11" t="s">
        <v>466</v>
      </c>
      <c r="L407" s="93"/>
      <c r="M407" s="123" t="s">
        <v>1594</v>
      </c>
      <c r="N407" s="93" t="s">
        <v>1991</v>
      </c>
      <c r="O407" s="217"/>
      <c r="P407" s="11"/>
      <c r="Q407" s="73"/>
      <c r="R407" s="74"/>
      <c r="S407" s="75"/>
      <c r="T407" s="12"/>
      <c r="U407" s="11"/>
      <c r="V407" s="12">
        <v>1.0</v>
      </c>
      <c r="W407" s="576"/>
    </row>
    <row r="408" ht="40.5" customHeight="1">
      <c r="A408" s="11">
        <v>407.0</v>
      </c>
      <c r="B408" s="11"/>
      <c r="C408" s="259" t="s">
        <v>1994</v>
      </c>
      <c r="D408" s="260" t="s">
        <v>1995</v>
      </c>
      <c r="E408" s="215" t="s">
        <v>465</v>
      </c>
      <c r="F408" s="216"/>
      <c r="G408" s="11" t="s">
        <v>2066</v>
      </c>
      <c r="H408" s="216">
        <v>1.0</v>
      </c>
      <c r="I408" s="216"/>
      <c r="J408" s="11"/>
      <c r="K408" s="11" t="s">
        <v>466</v>
      </c>
      <c r="L408" s="93" t="s">
        <v>47</v>
      </c>
      <c r="M408" s="123"/>
      <c r="N408" s="93" t="s">
        <v>1991</v>
      </c>
      <c r="O408" s="217"/>
      <c r="P408" s="11"/>
      <c r="Q408" s="73"/>
      <c r="R408" s="74"/>
      <c r="S408" s="75"/>
      <c r="T408" s="12"/>
      <c r="U408" s="11"/>
      <c r="V408" s="12">
        <v>3.0</v>
      </c>
      <c r="W408" s="576"/>
    </row>
    <row r="409" ht="40.5" customHeight="1">
      <c r="A409" s="11">
        <v>408.0</v>
      </c>
      <c r="B409" s="222"/>
      <c r="C409" s="346" t="s">
        <v>1996</v>
      </c>
      <c r="D409" s="347" t="s">
        <v>1997</v>
      </c>
      <c r="E409" s="233" t="s">
        <v>465</v>
      </c>
      <c r="F409" s="234"/>
      <c r="G409" s="11" t="s">
        <v>2154</v>
      </c>
      <c r="H409" s="234">
        <v>1.0</v>
      </c>
      <c r="I409" s="234"/>
      <c r="J409" s="222"/>
      <c r="K409" s="222" t="s">
        <v>466</v>
      </c>
      <c r="L409" s="232"/>
      <c r="M409" s="341"/>
      <c r="N409" s="232" t="s">
        <v>1991</v>
      </c>
      <c r="O409" s="235"/>
      <c r="P409" s="222"/>
      <c r="Q409" s="619"/>
      <c r="R409" s="359"/>
      <c r="S409" s="336"/>
      <c r="T409" s="360"/>
      <c r="U409" s="222"/>
      <c r="V409" s="299">
        <v>2.0</v>
      </c>
      <c r="W409" s="576"/>
    </row>
    <row r="410" ht="40.5" customHeight="1">
      <c r="A410" s="11">
        <v>409.0</v>
      </c>
      <c r="B410" s="11"/>
      <c r="C410" s="259" t="s">
        <v>1998</v>
      </c>
      <c r="D410" s="260" t="s">
        <v>1999</v>
      </c>
      <c r="E410" s="215" t="s">
        <v>1156</v>
      </c>
      <c r="F410" s="216"/>
      <c r="G410" s="11" t="s">
        <v>2155</v>
      </c>
      <c r="H410" s="216">
        <v>4.0</v>
      </c>
      <c r="I410" s="262"/>
      <c r="J410" s="12"/>
      <c r="K410" s="12" t="s">
        <v>1157</v>
      </c>
      <c r="L410" s="37"/>
      <c r="M410" s="766" t="s">
        <v>2002</v>
      </c>
      <c r="N410" s="37"/>
      <c r="O410" s="264"/>
      <c r="P410" s="12"/>
      <c r="Q410" s="767"/>
      <c r="R410" s="12"/>
      <c r="S410" s="12"/>
      <c r="T410" s="12"/>
      <c r="U410" s="12"/>
      <c r="V410" s="12">
        <v>3.0</v>
      </c>
      <c r="W410" s="576"/>
    </row>
    <row r="411" ht="40.5" customHeight="1">
      <c r="A411" s="412">
        <v>410.0</v>
      </c>
      <c r="B411" s="768" t="s">
        <v>2000</v>
      </c>
      <c r="C411" s="259" t="s">
        <v>2000</v>
      </c>
      <c r="D411" s="769" t="s">
        <v>2001</v>
      </c>
      <c r="E411" s="215"/>
      <c r="F411" s="216"/>
      <c r="G411" s="216" t="s">
        <v>2156</v>
      </c>
      <c r="H411" s="216">
        <v>5.0</v>
      </c>
      <c r="I411" s="262"/>
      <c r="J411" s="12"/>
      <c r="K411" s="12"/>
      <c r="L411" s="37"/>
      <c r="M411" s="766"/>
      <c r="N411" s="37"/>
      <c r="O411" s="264"/>
      <c r="P411" s="12"/>
      <c r="Q411" s="767"/>
      <c r="R411" s="12"/>
      <c r="S411" s="12"/>
      <c r="T411" s="12"/>
      <c r="U411" s="12"/>
      <c r="V411" s="12"/>
      <c r="W411" s="576"/>
    </row>
  </sheetData>
  <autoFilter ref="$A$1:$V$410"/>
  <conditionalFormatting sqref="A2:E2 A5 A8 A11 A14 A17 A20 A23 A26 A29 A32 A35 A38 A41 A44 A47 A50 A53 A56 A59 A62 A65 B94">
    <cfRule type="containsBlanks" dxfId="0" priority="1">
      <formula>LEN(TRIM(A2))=0</formula>
    </cfRule>
  </conditionalFormatting>
  <conditionalFormatting sqref="G1:G411 V1:V411">
    <cfRule type="cellIs" dxfId="3" priority="2" operator="equal">
      <formula>1</formula>
    </cfRule>
  </conditionalFormatting>
  <conditionalFormatting sqref="G1:G411 V1:V411">
    <cfRule type="cellIs" dxfId="8" priority="3" operator="equal">
      <formula>2</formula>
    </cfRule>
  </conditionalFormatting>
  <conditionalFormatting sqref="G1:G411 V1:V411">
    <cfRule type="cellIs" dxfId="9" priority="4" operator="equal">
      <formula>3</formula>
    </cfRule>
  </conditionalFormatting>
  <conditionalFormatting sqref="G1:G411 V1:V411">
    <cfRule type="cellIs" dxfId="5" priority="5" operator="equal">
      <formula>4</formula>
    </cfRule>
  </conditionalFormatting>
  <conditionalFormatting sqref="U1:U411">
    <cfRule type="cellIs" dxfId="3" priority="6" operator="equal">
      <formula>1</formula>
    </cfRule>
  </conditionalFormatting>
  <dataValidations>
    <dataValidation type="list" allowBlank="1" showErrorMessage="1" sqref="K1:K103 K105:K411">
      <formula1>Sheet1!$C$1:$C$8</formula1>
    </dataValidation>
    <dataValidation type="list" allowBlank="1" showErrorMessage="1" sqref="N13 N15:N17 N20:N21 N25 N28 N33:N36 N70:N74 N126:N131 N143 N147 N207 N227:N230 N286:N288 N304 N310:N311 N313 N317:N320 N327:N338 N342 N344 N352 N389:N405 E1:E411">
      <formula1>Sheet1!$A$1:$A$24</formula1>
    </dataValidation>
  </dataValidations>
  <printOptions gridLines="1" horizontalCentered="1"/>
  <pageMargins bottom="0.75" footer="0.0" header="0.0" left="0.25" right="0.25" top="0.75"/>
  <pageSetup fitToHeight="0"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6" width="8.71"/>
  </cols>
  <sheetData>
    <row r="1">
      <c r="A1" s="32" t="s">
        <v>1736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8.71"/>
    <col customWidth="1" min="3" max="3" width="20.57"/>
    <col customWidth="1" min="4" max="26" width="8.71"/>
  </cols>
  <sheetData>
    <row r="1" ht="15.75" customHeight="1">
      <c r="A1" s="771" t="s">
        <v>2768</v>
      </c>
      <c r="B1" s="771" t="s">
        <v>2769</v>
      </c>
      <c r="C1" s="772" t="s">
        <v>466</v>
      </c>
      <c r="D1" s="771" t="s">
        <v>461</v>
      </c>
      <c r="E1" s="771"/>
      <c r="F1" s="771"/>
      <c r="G1" s="771"/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</row>
    <row r="2" ht="15.75" customHeight="1">
      <c r="A2" s="771" t="s">
        <v>64</v>
      </c>
      <c r="B2" s="771" t="s">
        <v>2770</v>
      </c>
      <c r="C2" s="772" t="s">
        <v>20</v>
      </c>
      <c r="D2" s="771" t="s">
        <v>15</v>
      </c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</row>
    <row r="3" ht="15.75" customHeight="1">
      <c r="A3" s="771" t="s">
        <v>2172</v>
      </c>
      <c r="B3" s="771" t="s">
        <v>2771</v>
      </c>
      <c r="C3" s="772" t="s">
        <v>347</v>
      </c>
      <c r="D3" s="771" t="s">
        <v>342</v>
      </c>
      <c r="E3" s="771"/>
      <c r="F3" s="771"/>
      <c r="G3" s="771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1"/>
      <c r="U3" s="771"/>
      <c r="V3" s="771"/>
      <c r="W3" s="771"/>
      <c r="X3" s="771"/>
      <c r="Y3" s="771"/>
      <c r="Z3" s="771"/>
    </row>
    <row r="4" ht="15.75" customHeight="1">
      <c r="A4" s="771" t="s">
        <v>177</v>
      </c>
      <c r="B4" s="771" t="s">
        <v>2772</v>
      </c>
      <c r="C4" s="772" t="s">
        <v>1157</v>
      </c>
      <c r="D4" s="771" t="s">
        <v>1152</v>
      </c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Q4" s="771"/>
      <c r="R4" s="771"/>
      <c r="S4" s="771"/>
      <c r="T4" s="771"/>
      <c r="U4" s="771"/>
      <c r="V4" s="771"/>
      <c r="W4" s="771"/>
      <c r="X4" s="771"/>
      <c r="Y4" s="771"/>
      <c r="Z4" s="771"/>
    </row>
    <row r="5" ht="15.75" customHeight="1">
      <c r="A5" s="771" t="s">
        <v>237</v>
      </c>
      <c r="B5" s="771" t="s">
        <v>2773</v>
      </c>
      <c r="C5" s="772" t="s">
        <v>1477</v>
      </c>
      <c r="D5" s="771" t="s">
        <v>1472</v>
      </c>
      <c r="E5" s="771"/>
      <c r="F5" s="771"/>
      <c r="G5" s="771"/>
      <c r="H5" s="771"/>
      <c r="I5" s="771"/>
      <c r="J5" s="771"/>
      <c r="K5" s="771"/>
      <c r="L5" s="771"/>
      <c r="M5" s="771"/>
      <c r="N5" s="771"/>
      <c r="O5" s="771"/>
      <c r="P5" s="771"/>
      <c r="Q5" s="771"/>
      <c r="R5" s="771"/>
      <c r="S5" s="771"/>
      <c r="T5" s="771"/>
      <c r="U5" s="771"/>
      <c r="V5" s="771"/>
      <c r="W5" s="771"/>
      <c r="X5" s="771"/>
      <c r="Y5" s="771"/>
      <c r="Z5" s="771"/>
    </row>
    <row r="6" ht="15.75" customHeight="1">
      <c r="A6" s="771" t="s">
        <v>325</v>
      </c>
      <c r="B6" s="771" t="s">
        <v>2774</v>
      </c>
      <c r="C6" s="772" t="s">
        <v>142</v>
      </c>
      <c r="D6" s="771" t="s">
        <v>137</v>
      </c>
      <c r="E6" s="771"/>
      <c r="F6" s="771"/>
      <c r="G6" s="771"/>
      <c r="H6" s="771"/>
      <c r="I6" s="771"/>
      <c r="J6" s="771"/>
      <c r="K6" s="771"/>
      <c r="L6" s="771"/>
      <c r="M6" s="771"/>
      <c r="N6" s="771"/>
      <c r="O6" s="771"/>
      <c r="P6" s="771"/>
      <c r="Q6" s="771"/>
      <c r="R6" s="771"/>
      <c r="S6" s="771"/>
      <c r="T6" s="771"/>
      <c r="U6" s="771"/>
      <c r="V6" s="771"/>
      <c r="W6" s="771"/>
      <c r="X6" s="771"/>
      <c r="Y6" s="771"/>
      <c r="Z6" s="771"/>
    </row>
    <row r="7" ht="15.75" customHeight="1">
      <c r="A7" s="771" t="s">
        <v>346</v>
      </c>
      <c r="B7" s="771" t="s">
        <v>2775</v>
      </c>
      <c r="C7" s="772" t="s">
        <v>178</v>
      </c>
      <c r="D7" s="771" t="s">
        <v>173</v>
      </c>
      <c r="E7" s="771"/>
      <c r="F7" s="771"/>
      <c r="G7" s="771"/>
      <c r="H7" s="771"/>
      <c r="I7" s="771"/>
      <c r="J7" s="771"/>
      <c r="K7" s="771"/>
      <c r="L7" s="771"/>
      <c r="M7" s="771"/>
      <c r="N7" s="771"/>
      <c r="O7" s="771"/>
      <c r="P7" s="771"/>
      <c r="Q7" s="771"/>
      <c r="R7" s="771"/>
      <c r="S7" s="771"/>
      <c r="T7" s="771"/>
      <c r="U7" s="771"/>
      <c r="V7" s="771"/>
      <c r="W7" s="771"/>
      <c r="X7" s="771"/>
      <c r="Y7" s="771"/>
      <c r="Z7" s="771"/>
    </row>
    <row r="8" ht="15.75" customHeight="1">
      <c r="A8" s="771" t="s">
        <v>415</v>
      </c>
      <c r="B8" s="771" t="s">
        <v>2776</v>
      </c>
      <c r="C8" s="771" t="s">
        <v>326</v>
      </c>
      <c r="D8" s="771" t="s">
        <v>321</v>
      </c>
      <c r="E8" s="771"/>
      <c r="F8" s="771"/>
      <c r="G8" s="771"/>
      <c r="H8" s="771"/>
      <c r="I8" s="771"/>
      <c r="J8" s="771"/>
      <c r="K8" s="771"/>
      <c r="L8" s="771"/>
      <c r="M8" s="771"/>
      <c r="N8" s="771"/>
      <c r="O8" s="771"/>
      <c r="P8" s="771"/>
      <c r="Q8" s="771"/>
      <c r="R8" s="771"/>
      <c r="S8" s="771"/>
      <c r="T8" s="771"/>
      <c r="U8" s="771"/>
      <c r="V8" s="771"/>
      <c r="W8" s="771"/>
      <c r="X8" s="771"/>
      <c r="Y8" s="771"/>
      <c r="Z8" s="771"/>
    </row>
    <row r="9" ht="15.75" customHeight="1">
      <c r="A9" s="771" t="s">
        <v>465</v>
      </c>
      <c r="B9" s="771" t="s">
        <v>2777</v>
      </c>
      <c r="C9" s="773"/>
      <c r="D9" s="771"/>
      <c r="E9" s="771"/>
      <c r="F9" s="771"/>
      <c r="G9" s="771"/>
      <c r="H9" s="771"/>
      <c r="I9" s="771"/>
      <c r="J9" s="771"/>
      <c r="K9" s="771"/>
      <c r="L9" s="771"/>
      <c r="M9" s="771"/>
      <c r="N9" s="771"/>
      <c r="O9" s="771"/>
      <c r="P9" s="771"/>
      <c r="Q9" s="771"/>
      <c r="R9" s="771"/>
      <c r="S9" s="771"/>
      <c r="T9" s="771"/>
      <c r="U9" s="771"/>
      <c r="V9" s="771"/>
      <c r="W9" s="771"/>
      <c r="X9" s="771"/>
      <c r="Y9" s="771"/>
      <c r="Z9" s="771"/>
    </row>
    <row r="10" ht="15.75" customHeight="1">
      <c r="A10" s="771" t="s">
        <v>489</v>
      </c>
      <c r="B10" s="771" t="s">
        <v>2778</v>
      </c>
      <c r="C10" s="773"/>
      <c r="D10" s="771"/>
      <c r="E10" s="771"/>
      <c r="F10" s="771"/>
      <c r="G10" s="771"/>
      <c r="H10" s="771"/>
      <c r="I10" s="771"/>
      <c r="J10" s="771"/>
      <c r="K10" s="771"/>
      <c r="L10" s="771"/>
      <c r="M10" s="771"/>
      <c r="N10" s="771"/>
      <c r="O10" s="771"/>
      <c r="P10" s="771"/>
      <c r="Q10" s="771"/>
      <c r="R10" s="771"/>
      <c r="S10" s="771"/>
      <c r="T10" s="771"/>
      <c r="U10" s="771"/>
      <c r="V10" s="771"/>
      <c r="W10" s="771"/>
      <c r="X10" s="771"/>
      <c r="Y10" s="771"/>
      <c r="Z10" s="771"/>
    </row>
    <row r="11" ht="15.75" customHeight="1">
      <c r="A11" s="771" t="s">
        <v>891</v>
      </c>
      <c r="B11" s="771" t="s">
        <v>2779</v>
      </c>
      <c r="C11" s="773"/>
      <c r="D11" s="771"/>
      <c r="E11" s="771"/>
      <c r="F11" s="771"/>
      <c r="G11" s="771"/>
      <c r="H11" s="771"/>
      <c r="I11" s="771"/>
      <c r="J11" s="771"/>
      <c r="K11" s="771"/>
      <c r="L11" s="771"/>
      <c r="M11" s="771"/>
      <c r="N11" s="771"/>
      <c r="O11" s="771"/>
      <c r="P11" s="771"/>
      <c r="Q11" s="771"/>
      <c r="R11" s="771"/>
      <c r="S11" s="771"/>
      <c r="T11" s="771"/>
      <c r="U11" s="771"/>
      <c r="V11" s="771"/>
      <c r="W11" s="771"/>
      <c r="X11" s="771"/>
      <c r="Y11" s="771"/>
      <c r="Z11" s="771"/>
    </row>
    <row r="12" ht="15.75" customHeight="1">
      <c r="A12" s="771" t="s">
        <v>326</v>
      </c>
      <c r="B12" s="771" t="s">
        <v>2780</v>
      </c>
      <c r="C12" s="771"/>
      <c r="D12" s="771"/>
      <c r="E12" s="771"/>
      <c r="F12" s="771"/>
      <c r="G12" s="771"/>
      <c r="H12" s="771"/>
      <c r="I12" s="771"/>
      <c r="J12" s="771"/>
      <c r="K12" s="771"/>
      <c r="L12" s="771"/>
      <c r="M12" s="771"/>
      <c r="N12" s="771"/>
      <c r="O12" s="771"/>
      <c r="P12" s="771"/>
      <c r="Q12" s="771"/>
      <c r="R12" s="771"/>
      <c r="S12" s="771"/>
      <c r="T12" s="771"/>
      <c r="U12" s="771"/>
      <c r="V12" s="771"/>
      <c r="W12" s="771"/>
      <c r="X12" s="771"/>
      <c r="Y12" s="771"/>
      <c r="Z12" s="771"/>
    </row>
    <row r="13" ht="15.75" customHeight="1">
      <c r="A13" s="771" t="s">
        <v>981</v>
      </c>
      <c r="B13" s="771" t="s">
        <v>2781</v>
      </c>
      <c r="C13" s="771"/>
      <c r="D13" s="771"/>
      <c r="E13" s="771"/>
      <c r="F13" s="771"/>
      <c r="G13" s="771"/>
      <c r="H13" s="771"/>
      <c r="I13" s="771"/>
      <c r="J13" s="771"/>
      <c r="K13" s="771"/>
      <c r="L13" s="771"/>
      <c r="M13" s="771"/>
      <c r="N13" s="771"/>
      <c r="O13" s="771"/>
      <c r="P13" s="771"/>
      <c r="Q13" s="771"/>
      <c r="R13" s="771"/>
      <c r="S13" s="771"/>
      <c r="T13" s="771"/>
      <c r="U13" s="771"/>
      <c r="V13" s="771"/>
      <c r="W13" s="771"/>
      <c r="X13" s="771"/>
      <c r="Y13" s="771"/>
      <c r="Z13" s="771"/>
    </row>
    <row r="14" ht="15.75" customHeight="1">
      <c r="A14" s="771" t="s">
        <v>1032</v>
      </c>
      <c r="B14" s="771" t="s">
        <v>2782</v>
      </c>
      <c r="C14" s="771"/>
      <c r="D14" s="771"/>
      <c r="E14" s="771"/>
      <c r="F14" s="771"/>
      <c r="G14" s="771"/>
      <c r="H14" s="771"/>
      <c r="I14" s="771"/>
      <c r="J14" s="771"/>
      <c r="K14" s="771"/>
      <c r="L14" s="771"/>
      <c r="M14" s="771"/>
      <c r="N14" s="771"/>
      <c r="O14" s="771"/>
      <c r="P14" s="771"/>
      <c r="Q14" s="771"/>
      <c r="R14" s="771"/>
      <c r="S14" s="771"/>
      <c r="T14" s="771"/>
      <c r="U14" s="771"/>
      <c r="V14" s="771"/>
      <c r="W14" s="771"/>
      <c r="X14" s="771"/>
      <c r="Y14" s="771"/>
      <c r="Z14" s="771"/>
    </row>
    <row r="15" ht="15.75" customHeight="1">
      <c r="A15" s="771" t="s">
        <v>1156</v>
      </c>
      <c r="B15" s="771" t="s">
        <v>2783</v>
      </c>
      <c r="C15" s="771"/>
      <c r="D15" s="771"/>
      <c r="E15" s="771"/>
      <c r="F15" s="771"/>
      <c r="G15" s="771"/>
      <c r="H15" s="771"/>
      <c r="I15" s="771"/>
      <c r="J15" s="771"/>
      <c r="K15" s="771"/>
      <c r="L15" s="771"/>
      <c r="M15" s="771"/>
      <c r="N15" s="771"/>
      <c r="O15" s="771"/>
      <c r="P15" s="771"/>
      <c r="Q15" s="771"/>
      <c r="R15" s="771"/>
      <c r="S15" s="771"/>
      <c r="T15" s="771"/>
      <c r="U15" s="771"/>
      <c r="V15" s="771"/>
      <c r="W15" s="771"/>
      <c r="X15" s="771"/>
      <c r="Y15" s="771"/>
      <c r="Z15" s="771"/>
    </row>
    <row r="16" ht="15.75" customHeight="1">
      <c r="A16" s="771" t="s">
        <v>1250</v>
      </c>
      <c r="B16" s="771" t="s">
        <v>2784</v>
      </c>
      <c r="C16" s="771"/>
      <c r="D16" s="771"/>
      <c r="E16" s="771"/>
      <c r="F16" s="771"/>
      <c r="G16" s="771"/>
      <c r="H16" s="771"/>
      <c r="I16" s="771"/>
      <c r="J16" s="771"/>
      <c r="K16" s="771"/>
      <c r="L16" s="771"/>
      <c r="M16" s="771"/>
      <c r="N16" s="771"/>
      <c r="O16" s="771"/>
      <c r="P16" s="771"/>
      <c r="Q16" s="771"/>
      <c r="R16" s="771"/>
      <c r="S16" s="771"/>
      <c r="T16" s="771"/>
      <c r="U16" s="771"/>
      <c r="V16" s="771"/>
      <c r="W16" s="771"/>
      <c r="X16" s="771"/>
      <c r="Y16" s="771"/>
      <c r="Z16" s="771"/>
    </row>
    <row r="17" ht="15.75" customHeight="1">
      <c r="A17" s="771" t="s">
        <v>1330</v>
      </c>
      <c r="B17" s="771" t="s">
        <v>2785</v>
      </c>
      <c r="C17" s="771"/>
      <c r="D17" s="771"/>
      <c r="E17" s="771"/>
      <c r="F17" s="771"/>
      <c r="G17" s="771"/>
      <c r="H17" s="771"/>
      <c r="I17" s="771"/>
      <c r="J17" s="771"/>
      <c r="K17" s="771"/>
      <c r="L17" s="771"/>
      <c r="M17" s="771"/>
      <c r="N17" s="771"/>
      <c r="O17" s="771"/>
      <c r="P17" s="771"/>
      <c r="Q17" s="771"/>
      <c r="R17" s="771"/>
      <c r="S17" s="771"/>
      <c r="T17" s="771"/>
      <c r="U17" s="771"/>
      <c r="V17" s="771"/>
      <c r="W17" s="771"/>
      <c r="X17" s="771"/>
      <c r="Y17" s="771"/>
      <c r="Z17" s="771"/>
    </row>
    <row r="18" ht="15.75" customHeight="1">
      <c r="A18" s="771" t="s">
        <v>1359</v>
      </c>
      <c r="B18" s="771" t="s">
        <v>2786</v>
      </c>
      <c r="C18" s="771"/>
      <c r="D18" s="771"/>
      <c r="E18" s="771"/>
      <c r="F18" s="771"/>
      <c r="G18" s="771"/>
      <c r="H18" s="771"/>
      <c r="I18" s="771"/>
      <c r="J18" s="771"/>
      <c r="K18" s="771"/>
      <c r="L18" s="771"/>
      <c r="M18" s="771"/>
      <c r="N18" s="771"/>
      <c r="O18" s="771"/>
      <c r="P18" s="771"/>
      <c r="Q18" s="771"/>
      <c r="R18" s="771"/>
      <c r="S18" s="771"/>
      <c r="T18" s="771"/>
      <c r="U18" s="771"/>
      <c r="V18" s="771"/>
      <c r="W18" s="771"/>
      <c r="X18" s="771"/>
      <c r="Y18" s="771"/>
      <c r="Z18" s="771"/>
    </row>
    <row r="19" ht="15.75" customHeight="1">
      <c r="A19" s="771" t="s">
        <v>1400</v>
      </c>
      <c r="B19" s="771" t="s">
        <v>2787</v>
      </c>
      <c r="C19" s="771"/>
      <c r="D19" s="771"/>
      <c r="E19" s="771"/>
      <c r="F19" s="771"/>
      <c r="G19" s="771"/>
      <c r="H19" s="771"/>
      <c r="I19" s="771"/>
      <c r="J19" s="771"/>
      <c r="K19" s="771"/>
      <c r="L19" s="771"/>
      <c r="M19" s="771"/>
      <c r="N19" s="771"/>
      <c r="O19" s="771"/>
      <c r="P19" s="771"/>
      <c r="Q19" s="771"/>
      <c r="R19" s="771"/>
      <c r="S19" s="771"/>
      <c r="T19" s="771"/>
      <c r="U19" s="771"/>
      <c r="V19" s="771"/>
      <c r="W19" s="771"/>
      <c r="X19" s="771"/>
      <c r="Y19" s="771"/>
      <c r="Z19" s="771"/>
    </row>
    <row r="20" ht="15.75" customHeight="1">
      <c r="A20" s="771" t="s">
        <v>1421</v>
      </c>
      <c r="B20" s="771" t="s">
        <v>2788</v>
      </c>
      <c r="C20" s="771"/>
      <c r="D20" s="771"/>
      <c r="E20" s="771"/>
      <c r="F20" s="771"/>
      <c r="G20" s="771"/>
      <c r="H20" s="771"/>
      <c r="I20" s="771"/>
      <c r="J20" s="771"/>
      <c r="K20" s="771"/>
      <c r="L20" s="771"/>
      <c r="M20" s="771"/>
      <c r="N20" s="771"/>
      <c r="O20" s="771"/>
      <c r="P20" s="771"/>
      <c r="Q20" s="771"/>
      <c r="R20" s="771"/>
      <c r="S20" s="771"/>
      <c r="T20" s="771"/>
      <c r="U20" s="771"/>
      <c r="V20" s="771"/>
      <c r="W20" s="771"/>
      <c r="X20" s="771"/>
      <c r="Y20" s="771"/>
      <c r="Z20" s="771"/>
    </row>
    <row r="21" ht="15.75" customHeight="1">
      <c r="A21" s="771" t="s">
        <v>1476</v>
      </c>
      <c r="B21" s="771" t="s">
        <v>2789</v>
      </c>
      <c r="C21" s="771"/>
      <c r="D21" s="771"/>
      <c r="E21" s="771"/>
      <c r="F21" s="771"/>
      <c r="G21" s="771"/>
      <c r="H21" s="771"/>
      <c r="I21" s="771"/>
      <c r="J21" s="771"/>
      <c r="K21" s="771"/>
      <c r="L21" s="771"/>
      <c r="M21" s="771"/>
      <c r="N21" s="771"/>
      <c r="O21" s="771"/>
      <c r="P21" s="771"/>
      <c r="Q21" s="771"/>
      <c r="R21" s="771"/>
      <c r="S21" s="771"/>
      <c r="T21" s="771"/>
      <c r="U21" s="771"/>
      <c r="V21" s="771"/>
      <c r="W21" s="771"/>
      <c r="X21" s="771"/>
      <c r="Y21" s="771"/>
      <c r="Z21" s="771"/>
    </row>
    <row r="22" ht="15.75" customHeight="1">
      <c r="A22" s="771" t="s">
        <v>1514</v>
      </c>
      <c r="B22" s="771" t="s">
        <v>2790</v>
      </c>
      <c r="C22" s="771"/>
      <c r="D22" s="771"/>
      <c r="E22" s="771"/>
      <c r="F22" s="771"/>
      <c r="G22" s="771"/>
      <c r="H22" s="771"/>
      <c r="I22" s="771"/>
      <c r="J22" s="771"/>
      <c r="K22" s="771"/>
      <c r="L22" s="771"/>
      <c r="M22" s="771"/>
      <c r="N22" s="771"/>
      <c r="O22" s="771"/>
      <c r="P22" s="771"/>
      <c r="Q22" s="771"/>
      <c r="R22" s="771"/>
      <c r="S22" s="771"/>
      <c r="T22" s="771"/>
      <c r="U22" s="771"/>
      <c r="V22" s="771"/>
      <c r="W22" s="771"/>
      <c r="X22" s="771"/>
      <c r="Y22" s="771"/>
      <c r="Z22" s="771"/>
    </row>
    <row r="23" ht="15.75" customHeight="1">
      <c r="A23" s="771" t="s">
        <v>1601</v>
      </c>
      <c r="B23" s="771" t="s">
        <v>2791</v>
      </c>
      <c r="C23" s="771"/>
      <c r="D23" s="771"/>
      <c r="E23" s="771"/>
      <c r="F23" s="771"/>
      <c r="G23" s="771"/>
      <c r="H23" s="771"/>
      <c r="I23" s="771"/>
      <c r="J23" s="771"/>
      <c r="K23" s="771"/>
      <c r="L23" s="771"/>
      <c r="M23" s="771"/>
      <c r="N23" s="771"/>
      <c r="O23" s="771"/>
      <c r="P23" s="771"/>
      <c r="Q23" s="771"/>
      <c r="R23" s="771"/>
      <c r="S23" s="771"/>
      <c r="T23" s="771"/>
      <c r="U23" s="771"/>
      <c r="V23" s="771"/>
      <c r="W23" s="771"/>
      <c r="X23" s="771"/>
      <c r="Y23" s="771"/>
      <c r="Z23" s="771"/>
    </row>
    <row r="24" ht="15.75" customHeight="1">
      <c r="A24" s="771" t="s">
        <v>1628</v>
      </c>
      <c r="B24" s="771" t="s">
        <v>2792</v>
      </c>
      <c r="C24" s="771"/>
      <c r="D24" s="771"/>
      <c r="E24" s="771"/>
      <c r="F24" s="771"/>
      <c r="G24" s="771"/>
      <c r="H24" s="771"/>
      <c r="I24" s="771"/>
      <c r="J24" s="771"/>
      <c r="K24" s="771"/>
      <c r="L24" s="771"/>
      <c r="M24" s="771"/>
      <c r="N24" s="771"/>
      <c r="O24" s="771"/>
      <c r="P24" s="771"/>
      <c r="Q24" s="771"/>
      <c r="R24" s="771"/>
      <c r="S24" s="771"/>
      <c r="T24" s="771"/>
      <c r="U24" s="771"/>
      <c r="V24" s="771"/>
      <c r="W24" s="771"/>
      <c r="X24" s="771"/>
      <c r="Y24" s="771"/>
      <c r="Z24" s="771"/>
    </row>
    <row r="25" ht="15.75" customHeight="1">
      <c r="A25" s="771"/>
      <c r="B25" s="771"/>
      <c r="C25" s="771"/>
      <c r="D25" s="771"/>
      <c r="E25" s="771"/>
      <c r="F25" s="771"/>
      <c r="G25" s="771"/>
      <c r="H25" s="771"/>
      <c r="I25" s="771"/>
      <c r="J25" s="771"/>
      <c r="K25" s="771"/>
      <c r="L25" s="771"/>
      <c r="M25" s="771"/>
      <c r="N25" s="771"/>
      <c r="O25" s="771"/>
      <c r="P25" s="771"/>
      <c r="Q25" s="771"/>
      <c r="R25" s="771"/>
      <c r="S25" s="771"/>
      <c r="T25" s="771"/>
      <c r="U25" s="771"/>
      <c r="V25" s="771"/>
      <c r="W25" s="771"/>
      <c r="X25" s="771"/>
      <c r="Y25" s="771"/>
      <c r="Z25" s="771"/>
    </row>
    <row r="26" ht="15.75" customHeight="1">
      <c r="A26" s="771"/>
      <c r="B26" s="771"/>
      <c r="C26" s="771"/>
      <c r="D26" s="771"/>
      <c r="E26" s="771"/>
      <c r="F26" s="771"/>
      <c r="G26" s="771"/>
      <c r="H26" s="771"/>
      <c r="I26" s="771"/>
      <c r="J26" s="771"/>
      <c r="K26" s="771"/>
      <c r="L26" s="771"/>
      <c r="M26" s="771"/>
      <c r="N26" s="771"/>
      <c r="O26" s="771"/>
      <c r="P26" s="771"/>
      <c r="Q26" s="771"/>
      <c r="R26" s="771"/>
      <c r="S26" s="771"/>
      <c r="T26" s="771"/>
      <c r="U26" s="771"/>
      <c r="V26" s="771"/>
      <c r="W26" s="771"/>
      <c r="X26" s="771"/>
      <c r="Y26" s="771"/>
      <c r="Z26" s="771"/>
    </row>
    <row r="27" ht="15.75" customHeight="1">
      <c r="A27" s="771"/>
      <c r="B27" s="771"/>
      <c r="C27" s="771"/>
      <c r="D27" s="771"/>
      <c r="E27" s="771"/>
      <c r="F27" s="771"/>
      <c r="G27" s="771"/>
      <c r="H27" s="771"/>
      <c r="I27" s="771"/>
      <c r="J27" s="771"/>
      <c r="K27" s="771"/>
      <c r="L27" s="771"/>
      <c r="M27" s="771"/>
      <c r="N27" s="771"/>
      <c r="O27" s="771"/>
      <c r="P27" s="771"/>
      <c r="Q27" s="771"/>
      <c r="R27" s="771"/>
      <c r="S27" s="771"/>
      <c r="T27" s="771"/>
      <c r="U27" s="771"/>
      <c r="V27" s="771"/>
      <c r="W27" s="771"/>
      <c r="X27" s="771"/>
      <c r="Y27" s="771"/>
      <c r="Z27" s="771"/>
    </row>
    <row r="28" ht="15.75" customHeight="1">
      <c r="A28" s="771"/>
      <c r="B28" s="771"/>
      <c r="C28" s="771"/>
      <c r="D28" s="771"/>
      <c r="E28" s="771"/>
      <c r="F28" s="771"/>
      <c r="G28" s="771"/>
      <c r="H28" s="771"/>
      <c r="I28" s="771"/>
      <c r="J28" s="771"/>
      <c r="K28" s="771"/>
      <c r="L28" s="771"/>
      <c r="M28" s="771"/>
      <c r="N28" s="771"/>
      <c r="O28" s="771"/>
      <c r="P28" s="771"/>
      <c r="Q28" s="771"/>
      <c r="R28" s="771"/>
      <c r="S28" s="771"/>
      <c r="T28" s="771"/>
      <c r="U28" s="771"/>
      <c r="V28" s="771"/>
      <c r="W28" s="771"/>
      <c r="X28" s="771"/>
      <c r="Y28" s="771"/>
      <c r="Z28" s="771"/>
    </row>
    <row r="29" ht="15.75" customHeight="1">
      <c r="A29" s="771"/>
      <c r="B29" s="771"/>
      <c r="C29" s="771"/>
      <c r="D29" s="771"/>
      <c r="E29" s="771"/>
      <c r="F29" s="771"/>
      <c r="G29" s="771"/>
      <c r="H29" s="771"/>
      <c r="I29" s="771"/>
      <c r="J29" s="771"/>
      <c r="K29" s="771"/>
      <c r="L29" s="771"/>
      <c r="M29" s="771"/>
      <c r="N29" s="771"/>
      <c r="O29" s="771"/>
      <c r="P29" s="771"/>
      <c r="Q29" s="771"/>
      <c r="R29" s="771"/>
      <c r="S29" s="771"/>
      <c r="T29" s="771"/>
      <c r="U29" s="771"/>
      <c r="V29" s="771"/>
      <c r="W29" s="771"/>
      <c r="X29" s="771"/>
      <c r="Y29" s="771"/>
      <c r="Z29" s="771"/>
    </row>
    <row r="30" ht="15.75" customHeight="1">
      <c r="A30" s="771"/>
      <c r="B30" s="771"/>
      <c r="C30" s="771"/>
      <c r="D30" s="771"/>
      <c r="E30" s="771"/>
      <c r="F30" s="771"/>
      <c r="G30" s="771"/>
      <c r="H30" s="771"/>
      <c r="I30" s="771"/>
      <c r="J30" s="771"/>
      <c r="K30" s="771"/>
      <c r="L30" s="771"/>
      <c r="M30" s="771"/>
      <c r="N30" s="771"/>
      <c r="O30" s="771"/>
      <c r="P30" s="771"/>
      <c r="Q30" s="771"/>
      <c r="R30" s="771"/>
      <c r="S30" s="771"/>
      <c r="T30" s="771"/>
      <c r="U30" s="771"/>
      <c r="V30" s="771"/>
      <c r="W30" s="771"/>
      <c r="X30" s="771"/>
      <c r="Y30" s="771"/>
      <c r="Z30" s="771"/>
    </row>
    <row r="31" ht="15.75" customHeight="1">
      <c r="A31" s="771"/>
      <c r="B31" s="771"/>
      <c r="C31" s="771"/>
      <c r="D31" s="771"/>
      <c r="E31" s="771"/>
      <c r="F31" s="771"/>
      <c r="G31" s="771"/>
      <c r="H31" s="771"/>
      <c r="I31" s="771"/>
      <c r="J31" s="771"/>
      <c r="K31" s="771"/>
      <c r="L31" s="771"/>
      <c r="M31" s="771"/>
      <c r="N31" s="771"/>
      <c r="O31" s="771"/>
      <c r="P31" s="771"/>
      <c r="Q31" s="771"/>
      <c r="R31" s="771"/>
      <c r="S31" s="771"/>
      <c r="T31" s="771"/>
      <c r="U31" s="771"/>
      <c r="V31" s="771"/>
      <c r="W31" s="771"/>
      <c r="X31" s="771"/>
      <c r="Y31" s="771"/>
      <c r="Z31" s="771"/>
    </row>
    <row r="32" ht="15.75" customHeight="1">
      <c r="A32" s="771"/>
      <c r="B32" s="771"/>
      <c r="C32" s="771"/>
      <c r="D32" s="771"/>
      <c r="E32" s="771"/>
      <c r="F32" s="771"/>
      <c r="G32" s="771"/>
      <c r="H32" s="771"/>
      <c r="I32" s="771"/>
      <c r="J32" s="771"/>
      <c r="K32" s="771"/>
      <c r="L32" s="771"/>
      <c r="M32" s="771"/>
      <c r="N32" s="771"/>
      <c r="O32" s="771"/>
      <c r="P32" s="771"/>
      <c r="Q32" s="771"/>
      <c r="R32" s="771"/>
      <c r="S32" s="771"/>
      <c r="T32" s="771"/>
      <c r="U32" s="771"/>
      <c r="V32" s="771"/>
      <c r="W32" s="771"/>
      <c r="X32" s="771"/>
      <c r="Y32" s="771"/>
      <c r="Z32" s="771"/>
    </row>
    <row r="33" ht="15.75" customHeight="1">
      <c r="A33" s="771"/>
      <c r="B33" s="771"/>
      <c r="C33" s="771"/>
      <c r="D33" s="771"/>
      <c r="E33" s="771"/>
      <c r="F33" s="771"/>
      <c r="G33" s="771"/>
      <c r="H33" s="771"/>
      <c r="I33" s="771"/>
      <c r="J33" s="771"/>
      <c r="K33" s="771"/>
      <c r="L33" s="771"/>
      <c r="M33" s="771"/>
      <c r="N33" s="771"/>
      <c r="O33" s="771"/>
      <c r="P33" s="771"/>
      <c r="Q33" s="771"/>
      <c r="R33" s="771"/>
      <c r="S33" s="771"/>
      <c r="T33" s="771"/>
      <c r="U33" s="771"/>
      <c r="V33" s="771"/>
      <c r="W33" s="771"/>
      <c r="X33" s="771"/>
      <c r="Y33" s="771"/>
      <c r="Z33" s="771"/>
    </row>
    <row r="34" ht="15.75" customHeight="1">
      <c r="A34" s="771"/>
      <c r="B34" s="771"/>
      <c r="C34" s="771"/>
      <c r="D34" s="771"/>
      <c r="E34" s="771"/>
      <c r="F34" s="771"/>
      <c r="G34" s="771"/>
      <c r="H34" s="771"/>
      <c r="I34" s="771"/>
      <c r="J34" s="771"/>
      <c r="K34" s="771"/>
      <c r="L34" s="771"/>
      <c r="M34" s="771"/>
      <c r="N34" s="771"/>
      <c r="O34" s="771"/>
      <c r="P34" s="771"/>
      <c r="Q34" s="771"/>
      <c r="R34" s="771"/>
      <c r="S34" s="771"/>
      <c r="T34" s="771"/>
      <c r="U34" s="771"/>
      <c r="V34" s="771"/>
      <c r="W34" s="771"/>
      <c r="X34" s="771"/>
      <c r="Y34" s="771"/>
      <c r="Z34" s="771"/>
    </row>
    <row r="35" ht="15.75" customHeight="1">
      <c r="A35" s="771"/>
      <c r="B35" s="771"/>
      <c r="C35" s="771"/>
      <c r="D35" s="771"/>
      <c r="E35" s="771"/>
      <c r="F35" s="771"/>
      <c r="G35" s="771"/>
      <c r="H35" s="771"/>
      <c r="I35" s="771"/>
      <c r="J35" s="771"/>
      <c r="K35" s="771"/>
      <c r="L35" s="771"/>
      <c r="M35" s="771"/>
      <c r="N35" s="771"/>
      <c r="O35" s="771"/>
      <c r="P35" s="771"/>
      <c r="Q35" s="771"/>
      <c r="R35" s="771"/>
      <c r="S35" s="771"/>
      <c r="T35" s="771"/>
      <c r="U35" s="771"/>
      <c r="V35" s="771"/>
      <c r="W35" s="771"/>
      <c r="X35" s="771"/>
      <c r="Y35" s="771"/>
      <c r="Z35" s="771"/>
    </row>
    <row r="36" ht="15.75" customHeight="1">
      <c r="A36" s="771"/>
      <c r="B36" s="771"/>
      <c r="C36" s="771"/>
      <c r="D36" s="771"/>
      <c r="E36" s="771"/>
      <c r="F36" s="771"/>
      <c r="G36" s="771"/>
      <c r="H36" s="771"/>
      <c r="I36" s="771"/>
      <c r="J36" s="771"/>
      <c r="K36" s="771"/>
      <c r="L36" s="771"/>
      <c r="M36" s="771"/>
      <c r="N36" s="771"/>
      <c r="O36" s="771"/>
      <c r="P36" s="771"/>
      <c r="Q36" s="771"/>
      <c r="R36" s="771"/>
      <c r="S36" s="771"/>
      <c r="T36" s="771"/>
      <c r="U36" s="771"/>
      <c r="V36" s="771"/>
      <c r="W36" s="771"/>
      <c r="X36" s="771"/>
      <c r="Y36" s="771"/>
      <c r="Z36" s="771"/>
    </row>
    <row r="37" ht="15.75" customHeight="1">
      <c r="A37" s="771"/>
      <c r="B37" s="771"/>
      <c r="C37" s="771"/>
      <c r="D37" s="771"/>
      <c r="E37" s="771"/>
      <c r="F37" s="771"/>
      <c r="G37" s="771"/>
      <c r="H37" s="771"/>
      <c r="I37" s="771"/>
      <c r="J37" s="771"/>
      <c r="K37" s="771"/>
      <c r="L37" s="771"/>
      <c r="M37" s="771"/>
      <c r="N37" s="771"/>
      <c r="O37" s="771"/>
      <c r="P37" s="771"/>
      <c r="Q37" s="771"/>
      <c r="R37" s="771"/>
      <c r="S37" s="771"/>
      <c r="T37" s="771"/>
      <c r="U37" s="771"/>
      <c r="V37" s="771"/>
      <c r="W37" s="771"/>
      <c r="X37" s="771"/>
      <c r="Y37" s="771"/>
      <c r="Z37" s="771"/>
    </row>
    <row r="38" ht="15.75" customHeight="1">
      <c r="A38" s="771"/>
      <c r="B38" s="771"/>
      <c r="C38" s="771"/>
      <c r="D38" s="771"/>
      <c r="E38" s="771"/>
      <c r="F38" s="771"/>
      <c r="G38" s="771"/>
      <c r="H38" s="771"/>
      <c r="I38" s="771"/>
      <c r="J38" s="771"/>
      <c r="K38" s="771"/>
      <c r="L38" s="771"/>
      <c r="M38" s="771"/>
      <c r="N38" s="771"/>
      <c r="O38" s="771"/>
      <c r="P38" s="771"/>
      <c r="Q38" s="771"/>
      <c r="R38" s="771"/>
      <c r="S38" s="771"/>
      <c r="T38" s="771"/>
      <c r="U38" s="771"/>
      <c r="V38" s="771"/>
      <c r="W38" s="771"/>
      <c r="X38" s="771"/>
      <c r="Y38" s="771"/>
      <c r="Z38" s="771"/>
    </row>
    <row r="39" ht="15.75" customHeight="1">
      <c r="A39" s="771"/>
      <c r="B39" s="771"/>
      <c r="C39" s="771"/>
      <c r="D39" s="771"/>
      <c r="E39" s="771"/>
      <c r="F39" s="771"/>
      <c r="G39" s="771"/>
      <c r="H39" s="771"/>
      <c r="I39" s="771"/>
      <c r="J39" s="771"/>
      <c r="K39" s="771"/>
      <c r="L39" s="771"/>
      <c r="M39" s="771"/>
      <c r="N39" s="771"/>
      <c r="O39" s="771"/>
      <c r="P39" s="771"/>
      <c r="Q39" s="771"/>
      <c r="R39" s="771"/>
      <c r="S39" s="771"/>
      <c r="T39" s="771"/>
      <c r="U39" s="771"/>
      <c r="V39" s="771"/>
      <c r="W39" s="771"/>
      <c r="X39" s="771"/>
      <c r="Y39" s="771"/>
      <c r="Z39" s="771"/>
    </row>
    <row r="40" ht="15.75" customHeight="1">
      <c r="A40" s="771"/>
      <c r="B40" s="771"/>
      <c r="C40" s="771"/>
      <c r="D40" s="771"/>
      <c r="E40" s="771"/>
      <c r="F40" s="771"/>
      <c r="G40" s="771"/>
      <c r="H40" s="771"/>
      <c r="I40" s="771"/>
      <c r="J40" s="771"/>
      <c r="K40" s="771"/>
      <c r="L40" s="771"/>
      <c r="M40" s="771"/>
      <c r="N40" s="771"/>
      <c r="O40" s="771"/>
      <c r="P40" s="771"/>
      <c r="Q40" s="771"/>
      <c r="R40" s="771"/>
      <c r="S40" s="771"/>
      <c r="T40" s="771"/>
      <c r="U40" s="771"/>
      <c r="V40" s="771"/>
      <c r="W40" s="771"/>
      <c r="X40" s="771"/>
      <c r="Y40" s="771"/>
      <c r="Z40" s="771"/>
    </row>
    <row r="41" ht="15.75" customHeight="1">
      <c r="A41" s="771"/>
      <c r="B41" s="771"/>
      <c r="C41" s="771"/>
      <c r="D41" s="771"/>
      <c r="E41" s="771"/>
      <c r="F41" s="771"/>
      <c r="G41" s="771"/>
      <c r="H41" s="771"/>
      <c r="I41" s="771"/>
      <c r="J41" s="771"/>
      <c r="K41" s="771"/>
      <c r="L41" s="771"/>
      <c r="M41" s="771"/>
      <c r="N41" s="771"/>
      <c r="O41" s="771"/>
      <c r="P41" s="771"/>
      <c r="Q41" s="771"/>
      <c r="R41" s="771"/>
      <c r="S41" s="771"/>
      <c r="T41" s="771"/>
      <c r="U41" s="771"/>
      <c r="V41" s="771"/>
      <c r="W41" s="771"/>
      <c r="X41" s="771"/>
      <c r="Y41" s="771"/>
      <c r="Z41" s="771"/>
    </row>
    <row r="42" ht="15.75" customHeight="1">
      <c r="A42" s="771"/>
      <c r="B42" s="771"/>
      <c r="C42" s="771"/>
      <c r="D42" s="771"/>
      <c r="E42" s="771"/>
      <c r="F42" s="771"/>
      <c r="G42" s="771"/>
      <c r="H42" s="771"/>
      <c r="I42" s="771"/>
      <c r="J42" s="771"/>
      <c r="K42" s="771"/>
      <c r="L42" s="771"/>
      <c r="M42" s="771"/>
      <c r="N42" s="771"/>
      <c r="O42" s="771"/>
      <c r="P42" s="771"/>
      <c r="Q42" s="771"/>
      <c r="R42" s="771"/>
      <c r="S42" s="771"/>
      <c r="T42" s="771"/>
      <c r="U42" s="771"/>
      <c r="V42" s="771"/>
      <c r="W42" s="771"/>
      <c r="X42" s="771"/>
      <c r="Y42" s="771"/>
      <c r="Z42" s="771"/>
    </row>
    <row r="43" ht="15.75" customHeight="1">
      <c r="A43" s="771"/>
      <c r="B43" s="771"/>
      <c r="C43" s="771"/>
      <c r="D43" s="771"/>
      <c r="E43" s="771"/>
      <c r="F43" s="771"/>
      <c r="G43" s="771"/>
      <c r="H43" s="771"/>
      <c r="I43" s="771"/>
      <c r="J43" s="771"/>
      <c r="K43" s="771"/>
      <c r="L43" s="771"/>
      <c r="M43" s="771"/>
      <c r="N43" s="771"/>
      <c r="O43" s="771"/>
      <c r="P43" s="771"/>
      <c r="Q43" s="771"/>
      <c r="R43" s="771"/>
      <c r="S43" s="771"/>
      <c r="T43" s="771"/>
      <c r="U43" s="771"/>
      <c r="V43" s="771"/>
      <c r="W43" s="771"/>
      <c r="X43" s="771"/>
      <c r="Y43" s="771"/>
      <c r="Z43" s="771"/>
    </row>
    <row r="44" ht="15.75" customHeight="1">
      <c r="A44" s="771"/>
      <c r="B44" s="771"/>
      <c r="C44" s="771"/>
      <c r="D44" s="771"/>
      <c r="E44" s="771"/>
      <c r="F44" s="771"/>
      <c r="G44" s="771"/>
      <c r="H44" s="771"/>
      <c r="I44" s="771"/>
      <c r="J44" s="771"/>
      <c r="K44" s="771"/>
      <c r="L44" s="771"/>
      <c r="M44" s="771"/>
      <c r="N44" s="771"/>
      <c r="O44" s="771"/>
      <c r="P44" s="771"/>
      <c r="Q44" s="771"/>
      <c r="R44" s="771"/>
      <c r="S44" s="771"/>
      <c r="T44" s="771"/>
      <c r="U44" s="771"/>
      <c r="V44" s="771"/>
      <c r="W44" s="771"/>
      <c r="X44" s="771"/>
      <c r="Y44" s="771"/>
      <c r="Z44" s="771"/>
    </row>
    <row r="45" ht="15.75" customHeight="1">
      <c r="A45" s="771"/>
      <c r="B45" s="771"/>
      <c r="C45" s="771"/>
      <c r="D45" s="771"/>
      <c r="E45" s="771"/>
      <c r="F45" s="771"/>
      <c r="G45" s="771"/>
      <c r="H45" s="771"/>
      <c r="I45" s="771"/>
      <c r="J45" s="771"/>
      <c r="K45" s="771"/>
      <c r="L45" s="771"/>
      <c r="M45" s="771"/>
      <c r="N45" s="771"/>
      <c r="O45" s="771"/>
      <c r="P45" s="771"/>
      <c r="Q45" s="771"/>
      <c r="R45" s="771"/>
      <c r="S45" s="771"/>
      <c r="T45" s="771"/>
      <c r="U45" s="771"/>
      <c r="V45" s="771"/>
      <c r="W45" s="771"/>
      <c r="X45" s="771"/>
      <c r="Y45" s="771"/>
      <c r="Z45" s="771"/>
    </row>
    <row r="46" ht="15.75" customHeight="1">
      <c r="A46" s="771"/>
      <c r="B46" s="771"/>
      <c r="C46" s="771"/>
      <c r="D46" s="771"/>
      <c r="E46" s="771"/>
      <c r="F46" s="771"/>
      <c r="G46" s="771"/>
      <c r="H46" s="771"/>
      <c r="I46" s="771"/>
      <c r="J46" s="771"/>
      <c r="K46" s="771"/>
      <c r="L46" s="771"/>
      <c r="M46" s="771"/>
      <c r="N46" s="771"/>
      <c r="O46" s="771"/>
      <c r="P46" s="771"/>
      <c r="Q46" s="771"/>
      <c r="R46" s="771"/>
      <c r="S46" s="771"/>
      <c r="T46" s="771"/>
      <c r="U46" s="771"/>
      <c r="V46" s="771"/>
      <c r="W46" s="771"/>
      <c r="X46" s="771"/>
      <c r="Y46" s="771"/>
      <c r="Z46" s="771"/>
    </row>
    <row r="47" ht="15.75" customHeight="1">
      <c r="A47" s="771"/>
      <c r="B47" s="771"/>
      <c r="C47" s="771"/>
      <c r="D47" s="771"/>
      <c r="E47" s="771"/>
      <c r="F47" s="771"/>
      <c r="G47" s="771"/>
      <c r="H47" s="771"/>
      <c r="I47" s="771"/>
      <c r="J47" s="771"/>
      <c r="K47" s="771"/>
      <c r="L47" s="771"/>
      <c r="M47" s="771"/>
      <c r="N47" s="771"/>
      <c r="O47" s="771"/>
      <c r="P47" s="771"/>
      <c r="Q47" s="771"/>
      <c r="R47" s="771"/>
      <c r="S47" s="771"/>
      <c r="T47" s="771"/>
      <c r="U47" s="771"/>
      <c r="V47" s="771"/>
      <c r="W47" s="771"/>
      <c r="X47" s="771"/>
      <c r="Y47" s="771"/>
      <c r="Z47" s="771"/>
    </row>
    <row r="48" ht="15.75" customHeight="1">
      <c r="A48" s="771"/>
      <c r="B48" s="771"/>
      <c r="C48" s="771"/>
      <c r="D48" s="771"/>
      <c r="E48" s="771"/>
      <c r="F48" s="771"/>
      <c r="G48" s="771"/>
      <c r="H48" s="771"/>
      <c r="I48" s="771"/>
      <c r="J48" s="771"/>
      <c r="K48" s="771"/>
      <c r="L48" s="771"/>
      <c r="M48" s="771"/>
      <c r="N48" s="771"/>
      <c r="O48" s="771"/>
      <c r="P48" s="771"/>
      <c r="Q48" s="771"/>
      <c r="R48" s="771"/>
      <c r="S48" s="771"/>
      <c r="T48" s="771"/>
      <c r="U48" s="771"/>
      <c r="V48" s="771"/>
      <c r="W48" s="771"/>
      <c r="X48" s="771"/>
      <c r="Y48" s="771"/>
      <c r="Z48" s="771"/>
    </row>
    <row r="49" ht="15.75" customHeight="1">
      <c r="A49" s="771"/>
      <c r="B49" s="771"/>
      <c r="C49" s="771"/>
      <c r="D49" s="771"/>
      <c r="E49" s="771"/>
      <c r="F49" s="771"/>
      <c r="G49" s="771"/>
      <c r="H49" s="771"/>
      <c r="I49" s="771"/>
      <c r="J49" s="771"/>
      <c r="K49" s="771"/>
      <c r="L49" s="771"/>
      <c r="M49" s="771"/>
      <c r="N49" s="771"/>
      <c r="O49" s="771"/>
      <c r="P49" s="771"/>
      <c r="Q49" s="771"/>
      <c r="R49" s="771"/>
      <c r="S49" s="771"/>
      <c r="T49" s="771"/>
      <c r="U49" s="771"/>
      <c r="V49" s="771"/>
      <c r="W49" s="771"/>
      <c r="X49" s="771"/>
      <c r="Y49" s="771"/>
      <c r="Z49" s="771"/>
    </row>
    <row r="50" ht="15.75" customHeight="1">
      <c r="A50" s="771"/>
      <c r="B50" s="771"/>
      <c r="C50" s="771"/>
      <c r="D50" s="771"/>
      <c r="E50" s="771"/>
      <c r="F50" s="771"/>
      <c r="G50" s="771"/>
      <c r="H50" s="771"/>
      <c r="I50" s="771"/>
      <c r="J50" s="771"/>
      <c r="K50" s="771"/>
      <c r="L50" s="771"/>
      <c r="M50" s="771"/>
      <c r="N50" s="771"/>
      <c r="O50" s="771"/>
      <c r="P50" s="771"/>
      <c r="Q50" s="771"/>
      <c r="R50" s="771"/>
      <c r="S50" s="771"/>
      <c r="T50" s="771"/>
      <c r="U50" s="771"/>
      <c r="V50" s="771"/>
      <c r="W50" s="771"/>
      <c r="X50" s="771"/>
      <c r="Y50" s="771"/>
      <c r="Z50" s="771"/>
    </row>
    <row r="51" ht="15.75" customHeight="1">
      <c r="A51" s="771"/>
      <c r="B51" s="771"/>
      <c r="C51" s="771"/>
      <c r="D51" s="771"/>
      <c r="E51" s="771"/>
      <c r="F51" s="771"/>
      <c r="G51" s="771"/>
      <c r="H51" s="771"/>
      <c r="I51" s="771"/>
      <c r="J51" s="771"/>
      <c r="K51" s="771"/>
      <c r="L51" s="771"/>
      <c r="M51" s="771"/>
      <c r="N51" s="771"/>
      <c r="O51" s="771"/>
      <c r="P51" s="771"/>
      <c r="Q51" s="771"/>
      <c r="R51" s="771"/>
      <c r="S51" s="771"/>
      <c r="T51" s="771"/>
      <c r="U51" s="771"/>
      <c r="V51" s="771"/>
      <c r="W51" s="771"/>
      <c r="X51" s="771"/>
      <c r="Y51" s="771"/>
      <c r="Z51" s="771"/>
    </row>
    <row r="52" ht="15.75" customHeight="1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  <c r="L52" s="771"/>
      <c r="M52" s="771"/>
      <c r="N52" s="771"/>
      <c r="O52" s="771"/>
      <c r="P52" s="771"/>
      <c r="Q52" s="771"/>
      <c r="R52" s="771"/>
      <c r="S52" s="771"/>
      <c r="T52" s="771"/>
      <c r="U52" s="771"/>
      <c r="V52" s="771"/>
      <c r="W52" s="771"/>
      <c r="X52" s="771"/>
      <c r="Y52" s="771"/>
      <c r="Z52" s="771"/>
    </row>
    <row r="53" ht="15.75" customHeight="1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  <c r="L53" s="771"/>
      <c r="M53" s="771"/>
      <c r="N53" s="771"/>
      <c r="O53" s="771"/>
      <c r="P53" s="771"/>
      <c r="Q53" s="771"/>
      <c r="R53" s="771"/>
      <c r="S53" s="771"/>
      <c r="T53" s="771"/>
      <c r="U53" s="771"/>
      <c r="V53" s="771"/>
      <c r="W53" s="771"/>
      <c r="X53" s="771"/>
      <c r="Y53" s="771"/>
      <c r="Z53" s="771"/>
    </row>
    <row r="54" ht="15.75" customHeight="1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  <c r="L54" s="771"/>
      <c r="M54" s="771"/>
      <c r="N54" s="771"/>
      <c r="O54" s="771"/>
      <c r="P54" s="771"/>
      <c r="Q54" s="771"/>
      <c r="R54" s="771"/>
      <c r="S54" s="771"/>
      <c r="T54" s="771"/>
      <c r="U54" s="771"/>
      <c r="V54" s="771"/>
      <c r="W54" s="771"/>
      <c r="X54" s="771"/>
      <c r="Y54" s="771"/>
      <c r="Z54" s="771"/>
    </row>
    <row r="55" ht="15.75" customHeight="1">
      <c r="A55" s="771"/>
      <c r="B55" s="771"/>
      <c r="C55" s="771"/>
      <c r="D55" s="771"/>
      <c r="E55" s="771"/>
      <c r="F55" s="771"/>
      <c r="G55" s="771"/>
      <c r="H55" s="771"/>
      <c r="I55" s="771"/>
      <c r="J55" s="771"/>
      <c r="K55" s="771"/>
      <c r="L55" s="771"/>
      <c r="M55" s="771"/>
      <c r="N55" s="771"/>
      <c r="O55" s="771"/>
      <c r="P55" s="771"/>
      <c r="Q55" s="771"/>
      <c r="R55" s="771"/>
      <c r="S55" s="771"/>
      <c r="T55" s="771"/>
      <c r="U55" s="771"/>
      <c r="V55" s="771"/>
      <c r="W55" s="771"/>
      <c r="X55" s="771"/>
      <c r="Y55" s="771"/>
      <c r="Z55" s="771"/>
    </row>
    <row r="56" ht="15.75" customHeight="1">
      <c r="A56" s="771"/>
      <c r="B56" s="771"/>
      <c r="C56" s="771"/>
      <c r="D56" s="771"/>
      <c r="E56" s="771"/>
      <c r="F56" s="771"/>
      <c r="G56" s="771"/>
      <c r="H56" s="771"/>
      <c r="I56" s="771"/>
      <c r="J56" s="771"/>
      <c r="K56" s="771"/>
      <c r="L56" s="771"/>
      <c r="M56" s="771"/>
      <c r="N56" s="771"/>
      <c r="O56" s="771"/>
      <c r="P56" s="771"/>
      <c r="Q56" s="771"/>
      <c r="R56" s="771"/>
      <c r="S56" s="771"/>
      <c r="T56" s="771"/>
      <c r="U56" s="771"/>
      <c r="V56" s="771"/>
      <c r="W56" s="771"/>
      <c r="X56" s="771"/>
      <c r="Y56" s="771"/>
      <c r="Z56" s="771"/>
    </row>
    <row r="57" ht="15.75" customHeight="1">
      <c r="A57" s="771"/>
      <c r="B57" s="771"/>
      <c r="C57" s="771"/>
      <c r="D57" s="771"/>
      <c r="E57" s="771"/>
      <c r="F57" s="771"/>
      <c r="G57" s="771"/>
      <c r="H57" s="771"/>
      <c r="I57" s="771"/>
      <c r="J57" s="771"/>
      <c r="K57" s="771"/>
      <c r="L57" s="771"/>
      <c r="M57" s="771"/>
      <c r="N57" s="771"/>
      <c r="O57" s="771"/>
      <c r="P57" s="771"/>
      <c r="Q57" s="771"/>
      <c r="R57" s="771"/>
      <c r="S57" s="771"/>
      <c r="T57" s="771"/>
      <c r="U57" s="771"/>
      <c r="V57" s="771"/>
      <c r="W57" s="771"/>
      <c r="X57" s="771"/>
      <c r="Y57" s="771"/>
      <c r="Z57" s="771"/>
    </row>
    <row r="58" ht="15.75" customHeight="1">
      <c r="A58" s="771"/>
      <c r="B58" s="771"/>
      <c r="C58" s="771"/>
      <c r="D58" s="771"/>
      <c r="E58" s="771"/>
      <c r="F58" s="771"/>
      <c r="G58" s="771"/>
      <c r="H58" s="771"/>
      <c r="I58" s="771"/>
      <c r="J58" s="771"/>
      <c r="K58" s="771"/>
      <c r="L58" s="771"/>
      <c r="M58" s="771"/>
      <c r="N58" s="771"/>
      <c r="O58" s="771"/>
      <c r="P58" s="771"/>
      <c r="Q58" s="771"/>
      <c r="R58" s="771"/>
      <c r="S58" s="771"/>
      <c r="T58" s="771"/>
      <c r="U58" s="771"/>
      <c r="V58" s="771"/>
      <c r="W58" s="771"/>
      <c r="X58" s="771"/>
      <c r="Y58" s="771"/>
      <c r="Z58" s="771"/>
    </row>
    <row r="59" ht="15.75" customHeight="1">
      <c r="A59" s="771"/>
      <c r="B59" s="771"/>
      <c r="C59" s="771"/>
      <c r="D59" s="771"/>
      <c r="E59" s="771"/>
      <c r="F59" s="771"/>
      <c r="G59" s="771"/>
      <c r="H59" s="771"/>
      <c r="I59" s="771"/>
      <c r="J59" s="771"/>
      <c r="K59" s="771"/>
      <c r="L59" s="771"/>
      <c r="M59" s="771"/>
      <c r="N59" s="771"/>
      <c r="O59" s="771"/>
      <c r="P59" s="771"/>
      <c r="Q59" s="771"/>
      <c r="R59" s="771"/>
      <c r="S59" s="771"/>
      <c r="T59" s="771"/>
      <c r="U59" s="771"/>
      <c r="V59" s="771"/>
      <c r="W59" s="771"/>
      <c r="X59" s="771"/>
      <c r="Y59" s="771"/>
      <c r="Z59" s="771"/>
    </row>
    <row r="60" ht="15.75" customHeight="1">
      <c r="A60" s="771"/>
      <c r="B60" s="771"/>
      <c r="C60" s="771"/>
      <c r="D60" s="771"/>
      <c r="E60" s="771"/>
      <c r="F60" s="771"/>
      <c r="G60" s="771"/>
      <c r="H60" s="771"/>
      <c r="I60" s="771"/>
      <c r="J60" s="771"/>
      <c r="K60" s="771"/>
      <c r="L60" s="771"/>
      <c r="M60" s="771"/>
      <c r="N60" s="771"/>
      <c r="O60" s="771"/>
      <c r="P60" s="771"/>
      <c r="Q60" s="771"/>
      <c r="R60" s="771"/>
      <c r="S60" s="771"/>
      <c r="T60" s="771"/>
      <c r="U60" s="771"/>
      <c r="V60" s="771"/>
      <c r="W60" s="771"/>
      <c r="X60" s="771"/>
      <c r="Y60" s="771"/>
      <c r="Z60" s="771"/>
    </row>
    <row r="61" ht="15.75" customHeight="1">
      <c r="A61" s="771"/>
      <c r="B61" s="771"/>
      <c r="C61" s="771"/>
      <c r="D61" s="771"/>
      <c r="E61" s="771"/>
      <c r="F61" s="771"/>
      <c r="G61" s="771"/>
      <c r="H61" s="771"/>
      <c r="I61" s="771"/>
      <c r="J61" s="771"/>
      <c r="K61" s="771"/>
      <c r="L61" s="771"/>
      <c r="M61" s="771"/>
      <c r="N61" s="771"/>
      <c r="O61" s="771"/>
      <c r="P61" s="771"/>
      <c r="Q61" s="771"/>
      <c r="R61" s="771"/>
      <c r="S61" s="771"/>
      <c r="T61" s="771"/>
      <c r="U61" s="771"/>
      <c r="V61" s="771"/>
      <c r="W61" s="771"/>
      <c r="X61" s="771"/>
      <c r="Y61" s="771"/>
      <c r="Z61" s="771"/>
    </row>
    <row r="62" ht="15.75" customHeight="1">
      <c r="A62" s="771"/>
      <c r="B62" s="771"/>
      <c r="C62" s="771"/>
      <c r="D62" s="771"/>
      <c r="E62" s="771"/>
      <c r="F62" s="771"/>
      <c r="G62" s="771"/>
      <c r="H62" s="771"/>
      <c r="I62" s="771"/>
      <c r="J62" s="771"/>
      <c r="K62" s="771"/>
      <c r="L62" s="771"/>
      <c r="M62" s="771"/>
      <c r="N62" s="771"/>
      <c r="O62" s="771"/>
      <c r="P62" s="771"/>
      <c r="Q62" s="771"/>
      <c r="R62" s="771"/>
      <c r="S62" s="771"/>
      <c r="T62" s="771"/>
      <c r="U62" s="771"/>
      <c r="V62" s="771"/>
      <c r="W62" s="771"/>
      <c r="X62" s="771"/>
      <c r="Y62" s="771"/>
      <c r="Z62" s="771"/>
    </row>
    <row r="63" ht="15.75" customHeight="1">
      <c r="A63" s="771"/>
      <c r="B63" s="771"/>
      <c r="C63" s="771"/>
      <c r="D63" s="771"/>
      <c r="E63" s="771"/>
      <c r="F63" s="771"/>
      <c r="G63" s="771"/>
      <c r="H63" s="771"/>
      <c r="I63" s="771"/>
      <c r="J63" s="771"/>
      <c r="K63" s="771"/>
      <c r="L63" s="771"/>
      <c r="M63" s="771"/>
      <c r="N63" s="771"/>
      <c r="O63" s="771"/>
      <c r="P63" s="771"/>
      <c r="Q63" s="771"/>
      <c r="R63" s="771"/>
      <c r="S63" s="771"/>
      <c r="T63" s="771"/>
      <c r="U63" s="771"/>
      <c r="V63" s="771"/>
      <c r="W63" s="771"/>
      <c r="X63" s="771"/>
      <c r="Y63" s="771"/>
      <c r="Z63" s="771"/>
    </row>
    <row r="64" ht="15.75" customHeight="1">
      <c r="A64" s="771"/>
      <c r="B64" s="771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1"/>
      <c r="P64" s="771"/>
      <c r="Q64" s="771"/>
      <c r="R64" s="771"/>
      <c r="S64" s="771"/>
      <c r="T64" s="771"/>
      <c r="U64" s="771"/>
      <c r="V64" s="771"/>
      <c r="W64" s="771"/>
      <c r="X64" s="771"/>
      <c r="Y64" s="771"/>
      <c r="Z64" s="771"/>
    </row>
    <row r="65" ht="15.75" customHeight="1">
      <c r="A65" s="771"/>
      <c r="B65" s="771"/>
      <c r="C65" s="771"/>
      <c r="D65" s="771"/>
      <c r="E65" s="771"/>
      <c r="F65" s="771"/>
      <c r="G65" s="771"/>
      <c r="H65" s="771"/>
      <c r="I65" s="771"/>
      <c r="J65" s="771"/>
      <c r="K65" s="771"/>
      <c r="L65" s="771"/>
      <c r="M65" s="771"/>
      <c r="N65" s="771"/>
      <c r="O65" s="771"/>
      <c r="P65" s="771"/>
      <c r="Q65" s="771"/>
      <c r="R65" s="771"/>
      <c r="S65" s="771"/>
      <c r="T65" s="771"/>
      <c r="U65" s="771"/>
      <c r="V65" s="771"/>
      <c r="W65" s="771"/>
      <c r="X65" s="771"/>
      <c r="Y65" s="771"/>
      <c r="Z65" s="771"/>
    </row>
    <row r="66" ht="15.75" customHeight="1">
      <c r="A66" s="771"/>
      <c r="B66" s="771"/>
      <c r="C66" s="771"/>
      <c r="D66" s="771"/>
      <c r="E66" s="771"/>
      <c r="F66" s="771"/>
      <c r="G66" s="771"/>
      <c r="H66" s="771"/>
      <c r="I66" s="771"/>
      <c r="J66" s="771"/>
      <c r="K66" s="771"/>
      <c r="L66" s="771"/>
      <c r="M66" s="771"/>
      <c r="N66" s="771"/>
      <c r="O66" s="771"/>
      <c r="P66" s="771"/>
      <c r="Q66" s="771"/>
      <c r="R66" s="771"/>
      <c r="S66" s="771"/>
      <c r="T66" s="771"/>
      <c r="U66" s="771"/>
      <c r="V66" s="771"/>
      <c r="W66" s="771"/>
      <c r="X66" s="771"/>
      <c r="Y66" s="771"/>
      <c r="Z66" s="771"/>
    </row>
    <row r="67" ht="15.75" customHeight="1">
      <c r="A67" s="771"/>
      <c r="B67" s="771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1"/>
      <c r="P67" s="771"/>
      <c r="Q67" s="771"/>
      <c r="R67" s="771"/>
      <c r="S67" s="771"/>
      <c r="T67" s="771"/>
      <c r="U67" s="771"/>
      <c r="V67" s="771"/>
      <c r="W67" s="771"/>
      <c r="X67" s="771"/>
      <c r="Y67" s="771"/>
      <c r="Z67" s="771"/>
    </row>
    <row r="68" ht="15.75" customHeight="1">
      <c r="A68" s="771"/>
      <c r="B68" s="771"/>
      <c r="C68" s="771"/>
      <c r="D68" s="771"/>
      <c r="E68" s="771"/>
      <c r="F68" s="771"/>
      <c r="G68" s="771"/>
      <c r="H68" s="771"/>
      <c r="I68" s="771"/>
      <c r="J68" s="771"/>
      <c r="K68" s="771"/>
      <c r="L68" s="771"/>
      <c r="M68" s="771"/>
      <c r="N68" s="771"/>
      <c r="O68" s="771"/>
      <c r="P68" s="771"/>
      <c r="Q68" s="771"/>
      <c r="R68" s="771"/>
      <c r="S68" s="771"/>
      <c r="T68" s="771"/>
      <c r="U68" s="771"/>
      <c r="V68" s="771"/>
      <c r="W68" s="771"/>
      <c r="X68" s="771"/>
      <c r="Y68" s="771"/>
      <c r="Z68" s="771"/>
    </row>
    <row r="69" ht="15.75" customHeight="1">
      <c r="A69" s="771"/>
      <c r="B69" s="771"/>
      <c r="C69" s="771"/>
      <c r="D69" s="771"/>
      <c r="E69" s="771"/>
      <c r="F69" s="771"/>
      <c r="G69" s="771"/>
      <c r="H69" s="771"/>
      <c r="I69" s="771"/>
      <c r="J69" s="771"/>
      <c r="K69" s="771"/>
      <c r="L69" s="771"/>
      <c r="M69" s="771"/>
      <c r="N69" s="771"/>
      <c r="O69" s="771"/>
      <c r="P69" s="771"/>
      <c r="Q69" s="771"/>
      <c r="R69" s="771"/>
      <c r="S69" s="771"/>
      <c r="T69" s="771"/>
      <c r="U69" s="771"/>
      <c r="V69" s="771"/>
      <c r="W69" s="771"/>
      <c r="X69" s="771"/>
      <c r="Y69" s="771"/>
      <c r="Z69" s="771"/>
    </row>
    <row r="70" ht="15.75" customHeight="1">
      <c r="A70" s="771"/>
      <c r="B70" s="771"/>
      <c r="C70" s="771"/>
      <c r="D70" s="771"/>
      <c r="E70" s="771"/>
      <c r="F70" s="771"/>
      <c r="G70" s="771"/>
      <c r="H70" s="771"/>
      <c r="I70" s="771"/>
      <c r="J70" s="771"/>
      <c r="K70" s="771"/>
      <c r="L70" s="771"/>
      <c r="M70" s="771"/>
      <c r="N70" s="771"/>
      <c r="O70" s="771"/>
      <c r="P70" s="771"/>
      <c r="Q70" s="771"/>
      <c r="R70" s="771"/>
      <c r="S70" s="771"/>
      <c r="T70" s="771"/>
      <c r="U70" s="771"/>
      <c r="V70" s="771"/>
      <c r="W70" s="771"/>
      <c r="X70" s="771"/>
      <c r="Y70" s="771"/>
      <c r="Z70" s="771"/>
    </row>
    <row r="71" ht="15.75" customHeight="1">
      <c r="A71" s="771"/>
      <c r="B71" s="771"/>
      <c r="C71" s="771"/>
      <c r="D71" s="771"/>
      <c r="E71" s="771"/>
      <c r="F71" s="771"/>
      <c r="G71" s="771"/>
      <c r="H71" s="771"/>
      <c r="I71" s="771"/>
      <c r="J71" s="771"/>
      <c r="K71" s="771"/>
      <c r="L71" s="771"/>
      <c r="M71" s="771"/>
      <c r="N71" s="771"/>
      <c r="O71" s="771"/>
      <c r="P71" s="771"/>
      <c r="Q71" s="771"/>
      <c r="R71" s="771"/>
      <c r="S71" s="771"/>
      <c r="T71" s="771"/>
      <c r="U71" s="771"/>
      <c r="V71" s="771"/>
      <c r="W71" s="771"/>
      <c r="X71" s="771"/>
      <c r="Y71" s="771"/>
      <c r="Z71" s="771"/>
    </row>
    <row r="72" ht="15.75" customHeight="1">
      <c r="A72" s="771"/>
      <c r="B72" s="771"/>
      <c r="C72" s="771"/>
      <c r="D72" s="771"/>
      <c r="E72" s="771"/>
      <c r="F72" s="771"/>
      <c r="G72" s="771"/>
      <c r="H72" s="771"/>
      <c r="I72" s="771"/>
      <c r="J72" s="771"/>
      <c r="K72" s="771"/>
      <c r="L72" s="771"/>
      <c r="M72" s="771"/>
      <c r="N72" s="771"/>
      <c r="O72" s="771"/>
      <c r="P72" s="771"/>
      <c r="Q72" s="771"/>
      <c r="R72" s="771"/>
      <c r="S72" s="771"/>
      <c r="T72" s="771"/>
      <c r="U72" s="771"/>
      <c r="V72" s="771"/>
      <c r="W72" s="771"/>
      <c r="X72" s="771"/>
      <c r="Y72" s="771"/>
      <c r="Z72" s="771"/>
    </row>
    <row r="73" ht="15.75" customHeight="1">
      <c r="A73" s="771"/>
      <c r="B73" s="771"/>
      <c r="C73" s="771"/>
      <c r="D73" s="771"/>
      <c r="E73" s="771"/>
      <c r="F73" s="771"/>
      <c r="G73" s="771"/>
      <c r="H73" s="771"/>
      <c r="I73" s="771"/>
      <c r="J73" s="771"/>
      <c r="K73" s="771"/>
      <c r="L73" s="771"/>
      <c r="M73" s="771"/>
      <c r="N73" s="771"/>
      <c r="O73" s="771"/>
      <c r="P73" s="771"/>
      <c r="Q73" s="771"/>
      <c r="R73" s="771"/>
      <c r="S73" s="771"/>
      <c r="T73" s="771"/>
      <c r="U73" s="771"/>
      <c r="V73" s="771"/>
      <c r="W73" s="771"/>
      <c r="X73" s="771"/>
      <c r="Y73" s="771"/>
      <c r="Z73" s="771"/>
    </row>
    <row r="74" ht="15.75" customHeight="1">
      <c r="A74" s="771"/>
      <c r="B74" s="771"/>
      <c r="C74" s="771"/>
      <c r="D74" s="771"/>
      <c r="E74" s="771"/>
      <c r="F74" s="771"/>
      <c r="G74" s="771"/>
      <c r="H74" s="771"/>
      <c r="I74" s="771"/>
      <c r="J74" s="771"/>
      <c r="K74" s="771"/>
      <c r="L74" s="771"/>
      <c r="M74" s="771"/>
      <c r="N74" s="771"/>
      <c r="O74" s="771"/>
      <c r="P74" s="771"/>
      <c r="Q74" s="771"/>
      <c r="R74" s="771"/>
      <c r="S74" s="771"/>
      <c r="T74" s="771"/>
      <c r="U74" s="771"/>
      <c r="V74" s="771"/>
      <c r="W74" s="771"/>
      <c r="X74" s="771"/>
      <c r="Y74" s="771"/>
      <c r="Z74" s="771"/>
    </row>
    <row r="75" ht="15.75" customHeight="1">
      <c r="A75" s="771"/>
      <c r="B75" s="771"/>
      <c r="C75" s="771"/>
      <c r="D75" s="771"/>
      <c r="E75" s="771"/>
      <c r="F75" s="771"/>
      <c r="G75" s="771"/>
      <c r="H75" s="771"/>
      <c r="I75" s="771"/>
      <c r="J75" s="771"/>
      <c r="K75" s="771"/>
      <c r="L75" s="771"/>
      <c r="M75" s="771"/>
      <c r="N75" s="771"/>
      <c r="O75" s="771"/>
      <c r="P75" s="771"/>
      <c r="Q75" s="771"/>
      <c r="R75" s="771"/>
      <c r="S75" s="771"/>
      <c r="T75" s="771"/>
      <c r="U75" s="771"/>
      <c r="V75" s="771"/>
      <c r="W75" s="771"/>
      <c r="X75" s="771"/>
      <c r="Y75" s="771"/>
      <c r="Z75" s="771"/>
    </row>
    <row r="76" ht="15.75" customHeight="1">
      <c r="A76" s="771"/>
      <c r="B76" s="771"/>
      <c r="C76" s="771"/>
      <c r="D76" s="771"/>
      <c r="E76" s="771"/>
      <c r="F76" s="771"/>
      <c r="G76" s="771"/>
      <c r="H76" s="771"/>
      <c r="I76" s="771"/>
      <c r="J76" s="771"/>
      <c r="K76" s="771"/>
      <c r="L76" s="771"/>
      <c r="M76" s="771"/>
      <c r="N76" s="771"/>
      <c r="O76" s="771"/>
      <c r="P76" s="771"/>
      <c r="Q76" s="771"/>
      <c r="R76" s="771"/>
      <c r="S76" s="771"/>
      <c r="T76" s="771"/>
      <c r="U76" s="771"/>
      <c r="V76" s="771"/>
      <c r="W76" s="771"/>
      <c r="X76" s="771"/>
      <c r="Y76" s="771"/>
      <c r="Z76" s="771"/>
    </row>
    <row r="77" ht="15.75" customHeight="1">
      <c r="A77" s="771"/>
      <c r="B77" s="771"/>
      <c r="C77" s="771"/>
      <c r="D77" s="771"/>
      <c r="E77" s="771"/>
      <c r="F77" s="771"/>
      <c r="G77" s="771"/>
      <c r="H77" s="771"/>
      <c r="I77" s="771"/>
      <c r="J77" s="771"/>
      <c r="K77" s="771"/>
      <c r="L77" s="771"/>
      <c r="M77" s="771"/>
      <c r="N77" s="771"/>
      <c r="O77" s="771"/>
      <c r="P77" s="771"/>
      <c r="Q77" s="771"/>
      <c r="R77" s="771"/>
      <c r="S77" s="771"/>
      <c r="T77" s="771"/>
      <c r="U77" s="771"/>
      <c r="V77" s="771"/>
      <c r="W77" s="771"/>
      <c r="X77" s="771"/>
      <c r="Y77" s="771"/>
      <c r="Z77" s="771"/>
    </row>
    <row r="78" ht="15.75" customHeight="1">
      <c r="A78" s="771"/>
      <c r="B78" s="771"/>
      <c r="C78" s="771"/>
      <c r="D78" s="771"/>
      <c r="E78" s="771"/>
      <c r="F78" s="771"/>
      <c r="G78" s="771"/>
      <c r="H78" s="771"/>
      <c r="I78" s="771"/>
      <c r="J78" s="771"/>
      <c r="K78" s="771"/>
      <c r="L78" s="771"/>
      <c r="M78" s="771"/>
      <c r="N78" s="771"/>
      <c r="O78" s="771"/>
      <c r="P78" s="771"/>
      <c r="Q78" s="771"/>
      <c r="R78" s="771"/>
      <c r="S78" s="771"/>
      <c r="T78" s="771"/>
      <c r="U78" s="771"/>
      <c r="V78" s="771"/>
      <c r="W78" s="771"/>
      <c r="X78" s="771"/>
      <c r="Y78" s="771"/>
      <c r="Z78" s="771"/>
    </row>
    <row r="79" ht="15.75" customHeight="1">
      <c r="A79" s="771"/>
      <c r="B79" s="771"/>
      <c r="C79" s="771"/>
      <c r="D79" s="771"/>
      <c r="E79" s="771"/>
      <c r="F79" s="771"/>
      <c r="G79" s="771"/>
      <c r="H79" s="771"/>
      <c r="I79" s="771"/>
      <c r="J79" s="771"/>
      <c r="K79" s="771"/>
      <c r="L79" s="771"/>
      <c r="M79" s="771"/>
      <c r="N79" s="771"/>
      <c r="O79" s="771"/>
      <c r="P79" s="771"/>
      <c r="Q79" s="771"/>
      <c r="R79" s="771"/>
      <c r="S79" s="771"/>
      <c r="T79" s="771"/>
      <c r="U79" s="771"/>
      <c r="V79" s="771"/>
      <c r="W79" s="771"/>
      <c r="X79" s="771"/>
      <c r="Y79" s="771"/>
      <c r="Z79" s="771"/>
    </row>
    <row r="80" ht="15.75" customHeight="1">
      <c r="A80" s="771"/>
      <c r="B80" s="771"/>
      <c r="C80" s="771"/>
      <c r="D80" s="771"/>
      <c r="E80" s="771"/>
      <c r="F80" s="771"/>
      <c r="G80" s="771"/>
      <c r="H80" s="771"/>
      <c r="I80" s="771"/>
      <c r="J80" s="771"/>
      <c r="K80" s="771"/>
      <c r="L80" s="771"/>
      <c r="M80" s="771"/>
      <c r="N80" s="771"/>
      <c r="O80" s="771"/>
      <c r="P80" s="771"/>
      <c r="Q80" s="771"/>
      <c r="R80" s="771"/>
      <c r="S80" s="771"/>
      <c r="T80" s="771"/>
      <c r="U80" s="771"/>
      <c r="V80" s="771"/>
      <c r="W80" s="771"/>
      <c r="X80" s="771"/>
      <c r="Y80" s="771"/>
      <c r="Z80" s="771"/>
    </row>
    <row r="81" ht="15.75" customHeight="1">
      <c r="A81" s="771"/>
      <c r="B81" s="771"/>
      <c r="C81" s="771"/>
      <c r="D81" s="771"/>
      <c r="E81" s="771"/>
      <c r="F81" s="771"/>
      <c r="G81" s="771"/>
      <c r="H81" s="771"/>
      <c r="I81" s="771"/>
      <c r="J81" s="771"/>
      <c r="K81" s="771"/>
      <c r="L81" s="771"/>
      <c r="M81" s="771"/>
      <c r="N81" s="771"/>
      <c r="O81" s="771"/>
      <c r="P81" s="771"/>
      <c r="Q81" s="771"/>
      <c r="R81" s="771"/>
      <c r="S81" s="771"/>
      <c r="T81" s="771"/>
      <c r="U81" s="771"/>
      <c r="V81" s="771"/>
      <c r="W81" s="771"/>
      <c r="X81" s="771"/>
      <c r="Y81" s="771"/>
      <c r="Z81" s="771"/>
    </row>
    <row r="82" ht="15.75" customHeight="1">
      <c r="A82" s="771"/>
      <c r="B82" s="771"/>
      <c r="C82" s="771"/>
      <c r="D82" s="771"/>
      <c r="E82" s="771"/>
      <c r="F82" s="771"/>
      <c r="G82" s="771"/>
      <c r="H82" s="771"/>
      <c r="I82" s="771"/>
      <c r="J82" s="771"/>
      <c r="K82" s="771"/>
      <c r="L82" s="771"/>
      <c r="M82" s="771"/>
      <c r="N82" s="771"/>
      <c r="O82" s="771"/>
      <c r="P82" s="771"/>
      <c r="Q82" s="771"/>
      <c r="R82" s="771"/>
      <c r="S82" s="771"/>
      <c r="T82" s="771"/>
      <c r="U82" s="771"/>
      <c r="V82" s="771"/>
      <c r="W82" s="771"/>
      <c r="X82" s="771"/>
      <c r="Y82" s="771"/>
      <c r="Z82" s="771"/>
    </row>
    <row r="83" ht="15.75" customHeight="1">
      <c r="A83" s="771"/>
      <c r="B83" s="771"/>
      <c r="C83" s="771"/>
      <c r="D83" s="771"/>
      <c r="E83" s="771"/>
      <c r="F83" s="771"/>
      <c r="G83" s="771"/>
      <c r="H83" s="771"/>
      <c r="I83" s="771"/>
      <c r="J83" s="771"/>
      <c r="K83" s="771"/>
      <c r="L83" s="771"/>
      <c r="M83" s="771"/>
      <c r="N83" s="771"/>
      <c r="O83" s="771"/>
      <c r="P83" s="771"/>
      <c r="Q83" s="771"/>
      <c r="R83" s="771"/>
      <c r="S83" s="771"/>
      <c r="T83" s="771"/>
      <c r="U83" s="771"/>
      <c r="V83" s="771"/>
      <c r="W83" s="771"/>
      <c r="X83" s="771"/>
      <c r="Y83" s="771"/>
      <c r="Z83" s="771"/>
    </row>
    <row r="84" ht="15.75" customHeight="1">
      <c r="A84" s="771"/>
      <c r="B84" s="771"/>
      <c r="C84" s="771"/>
      <c r="D84" s="771"/>
      <c r="E84" s="771"/>
      <c r="F84" s="771"/>
      <c r="G84" s="771"/>
      <c r="H84" s="771"/>
      <c r="I84" s="771"/>
      <c r="J84" s="771"/>
      <c r="K84" s="771"/>
      <c r="L84" s="771"/>
      <c r="M84" s="771"/>
      <c r="N84" s="771"/>
      <c r="O84" s="771"/>
      <c r="P84" s="771"/>
      <c r="Q84" s="771"/>
      <c r="R84" s="771"/>
      <c r="S84" s="771"/>
      <c r="T84" s="771"/>
      <c r="U84" s="771"/>
      <c r="V84" s="771"/>
      <c r="W84" s="771"/>
      <c r="X84" s="771"/>
      <c r="Y84" s="771"/>
      <c r="Z84" s="771"/>
    </row>
    <row r="85" ht="15.75" customHeight="1">
      <c r="A85" s="771"/>
      <c r="B85" s="771"/>
      <c r="C85" s="771"/>
      <c r="D85" s="771"/>
      <c r="E85" s="771"/>
      <c r="F85" s="771"/>
      <c r="G85" s="771"/>
      <c r="H85" s="771"/>
      <c r="I85" s="771"/>
      <c r="J85" s="771"/>
      <c r="K85" s="771"/>
      <c r="L85" s="771"/>
      <c r="M85" s="771"/>
      <c r="N85" s="771"/>
      <c r="O85" s="771"/>
      <c r="P85" s="771"/>
      <c r="Q85" s="771"/>
      <c r="R85" s="771"/>
      <c r="S85" s="771"/>
      <c r="T85" s="771"/>
      <c r="U85" s="771"/>
      <c r="V85" s="771"/>
      <c r="W85" s="771"/>
      <c r="X85" s="771"/>
      <c r="Y85" s="771"/>
      <c r="Z85" s="771"/>
    </row>
    <row r="86" ht="15.75" customHeight="1">
      <c r="A86" s="771"/>
      <c r="B86" s="771"/>
      <c r="C86" s="771"/>
      <c r="D86" s="771"/>
      <c r="E86" s="771"/>
      <c r="F86" s="771"/>
      <c r="G86" s="771"/>
      <c r="H86" s="771"/>
      <c r="I86" s="771"/>
      <c r="J86" s="771"/>
      <c r="K86" s="771"/>
      <c r="L86" s="771"/>
      <c r="M86" s="771"/>
      <c r="N86" s="771"/>
      <c r="O86" s="771"/>
      <c r="P86" s="771"/>
      <c r="Q86" s="771"/>
      <c r="R86" s="771"/>
      <c r="S86" s="771"/>
      <c r="T86" s="771"/>
      <c r="U86" s="771"/>
      <c r="V86" s="771"/>
      <c r="W86" s="771"/>
      <c r="X86" s="771"/>
      <c r="Y86" s="771"/>
      <c r="Z86" s="771"/>
    </row>
    <row r="87" ht="15.75" customHeight="1">
      <c r="A87" s="771"/>
      <c r="B87" s="771"/>
      <c r="C87" s="771"/>
      <c r="D87" s="771"/>
      <c r="E87" s="771"/>
      <c r="F87" s="771"/>
      <c r="G87" s="771"/>
      <c r="H87" s="771"/>
      <c r="I87" s="771"/>
      <c r="J87" s="771"/>
      <c r="K87" s="771"/>
      <c r="L87" s="771"/>
      <c r="M87" s="771"/>
      <c r="N87" s="771"/>
      <c r="O87" s="771"/>
      <c r="P87" s="771"/>
      <c r="Q87" s="771"/>
      <c r="R87" s="771"/>
      <c r="S87" s="771"/>
      <c r="T87" s="771"/>
      <c r="U87" s="771"/>
      <c r="V87" s="771"/>
      <c r="W87" s="771"/>
      <c r="X87" s="771"/>
      <c r="Y87" s="771"/>
      <c r="Z87" s="771"/>
    </row>
    <row r="88" ht="15.75" customHeight="1">
      <c r="A88" s="771"/>
      <c r="B88" s="771"/>
      <c r="C88" s="771"/>
      <c r="D88" s="771"/>
      <c r="E88" s="771"/>
      <c r="F88" s="771"/>
      <c r="G88" s="771"/>
      <c r="H88" s="771"/>
      <c r="I88" s="771"/>
      <c r="J88" s="771"/>
      <c r="K88" s="771"/>
      <c r="L88" s="771"/>
      <c r="M88" s="771"/>
      <c r="N88" s="771"/>
      <c r="O88" s="771"/>
      <c r="P88" s="771"/>
      <c r="Q88" s="771"/>
      <c r="R88" s="771"/>
      <c r="S88" s="771"/>
      <c r="T88" s="771"/>
      <c r="U88" s="771"/>
      <c r="V88" s="771"/>
      <c r="W88" s="771"/>
      <c r="X88" s="771"/>
      <c r="Y88" s="771"/>
      <c r="Z88" s="771"/>
    </row>
    <row r="89" ht="15.75" customHeight="1">
      <c r="A89" s="771"/>
      <c r="B89" s="771"/>
      <c r="C89" s="771"/>
      <c r="D89" s="771"/>
      <c r="E89" s="771"/>
      <c r="F89" s="771"/>
      <c r="G89" s="771"/>
      <c r="H89" s="771"/>
      <c r="I89" s="771"/>
      <c r="J89" s="771"/>
      <c r="K89" s="771"/>
      <c r="L89" s="771"/>
      <c r="M89" s="771"/>
      <c r="N89" s="771"/>
      <c r="O89" s="771"/>
      <c r="P89" s="771"/>
      <c r="Q89" s="771"/>
      <c r="R89" s="771"/>
      <c r="S89" s="771"/>
      <c r="T89" s="771"/>
      <c r="U89" s="771"/>
      <c r="V89" s="771"/>
      <c r="W89" s="771"/>
      <c r="X89" s="771"/>
      <c r="Y89" s="771"/>
      <c r="Z89" s="771"/>
    </row>
    <row r="90" ht="15.75" customHeight="1">
      <c r="A90" s="771"/>
      <c r="B90" s="771"/>
      <c r="C90" s="771"/>
      <c r="D90" s="771"/>
      <c r="E90" s="771"/>
      <c r="F90" s="771"/>
      <c r="G90" s="771"/>
      <c r="H90" s="771"/>
      <c r="I90" s="771"/>
      <c r="J90" s="771"/>
      <c r="K90" s="771"/>
      <c r="L90" s="771"/>
      <c r="M90" s="771"/>
      <c r="N90" s="771"/>
      <c r="O90" s="771"/>
      <c r="P90" s="771"/>
      <c r="Q90" s="771"/>
      <c r="R90" s="771"/>
      <c r="S90" s="771"/>
      <c r="T90" s="771"/>
      <c r="U90" s="771"/>
      <c r="V90" s="771"/>
      <c r="W90" s="771"/>
      <c r="X90" s="771"/>
      <c r="Y90" s="771"/>
      <c r="Z90" s="771"/>
    </row>
    <row r="91" ht="15.75" customHeight="1">
      <c r="A91" s="771"/>
      <c r="B91" s="771"/>
      <c r="C91" s="771"/>
      <c r="D91" s="771"/>
      <c r="E91" s="771"/>
      <c r="F91" s="771"/>
      <c r="G91" s="771"/>
      <c r="H91" s="771"/>
      <c r="I91" s="771"/>
      <c r="J91" s="771"/>
      <c r="K91" s="771"/>
      <c r="L91" s="771"/>
      <c r="M91" s="771"/>
      <c r="N91" s="771"/>
      <c r="O91" s="771"/>
      <c r="P91" s="771"/>
      <c r="Q91" s="771"/>
      <c r="R91" s="771"/>
      <c r="S91" s="771"/>
      <c r="T91" s="771"/>
      <c r="U91" s="771"/>
      <c r="V91" s="771"/>
      <c r="W91" s="771"/>
      <c r="X91" s="771"/>
      <c r="Y91" s="771"/>
      <c r="Z91" s="771"/>
    </row>
    <row r="92" ht="15.75" customHeight="1">
      <c r="A92" s="771"/>
      <c r="B92" s="771"/>
      <c r="C92" s="771"/>
      <c r="D92" s="771"/>
      <c r="E92" s="771"/>
      <c r="F92" s="771"/>
      <c r="G92" s="771"/>
      <c r="H92" s="771"/>
      <c r="I92" s="771"/>
      <c r="J92" s="771"/>
      <c r="K92" s="771"/>
      <c r="L92" s="771"/>
      <c r="M92" s="771"/>
      <c r="N92" s="771"/>
      <c r="O92" s="771"/>
      <c r="P92" s="771"/>
      <c r="Q92" s="771"/>
      <c r="R92" s="771"/>
      <c r="S92" s="771"/>
      <c r="T92" s="771"/>
      <c r="U92" s="771"/>
      <c r="V92" s="771"/>
      <c r="W92" s="771"/>
      <c r="X92" s="771"/>
      <c r="Y92" s="771"/>
      <c r="Z92" s="771"/>
    </row>
    <row r="93" ht="15.75" customHeight="1">
      <c r="A93" s="771"/>
      <c r="B93" s="771"/>
      <c r="C93" s="771"/>
      <c r="D93" s="771"/>
      <c r="E93" s="771"/>
      <c r="F93" s="771"/>
      <c r="G93" s="771"/>
      <c r="H93" s="771"/>
      <c r="I93" s="771"/>
      <c r="J93" s="771"/>
      <c r="K93" s="771"/>
      <c r="L93" s="771"/>
      <c r="M93" s="771"/>
      <c r="N93" s="771"/>
      <c r="O93" s="771"/>
      <c r="P93" s="771"/>
      <c r="Q93" s="771"/>
      <c r="R93" s="771"/>
      <c r="S93" s="771"/>
      <c r="T93" s="771"/>
      <c r="U93" s="771"/>
      <c r="V93" s="771"/>
      <c r="W93" s="771"/>
      <c r="X93" s="771"/>
      <c r="Y93" s="771"/>
      <c r="Z93" s="771"/>
    </row>
    <row r="94" ht="15.75" customHeight="1">
      <c r="A94" s="771"/>
      <c r="B94" s="771"/>
      <c r="C94" s="771"/>
      <c r="D94" s="771"/>
      <c r="E94" s="771"/>
      <c r="F94" s="771"/>
      <c r="G94" s="771"/>
      <c r="H94" s="771"/>
      <c r="I94" s="771"/>
      <c r="J94" s="771"/>
      <c r="K94" s="771"/>
      <c r="L94" s="771"/>
      <c r="M94" s="771"/>
      <c r="N94" s="771"/>
      <c r="O94" s="771"/>
      <c r="P94" s="771"/>
      <c r="Q94" s="771"/>
      <c r="R94" s="771"/>
      <c r="S94" s="771"/>
      <c r="T94" s="771"/>
      <c r="U94" s="771"/>
      <c r="V94" s="771"/>
      <c r="W94" s="771"/>
      <c r="X94" s="771"/>
      <c r="Y94" s="771"/>
      <c r="Z94" s="771"/>
    </row>
    <row r="95" ht="15.75" customHeight="1">
      <c r="A95" s="771"/>
      <c r="B95" s="771"/>
      <c r="C95" s="771"/>
      <c r="D95" s="771"/>
      <c r="E95" s="771"/>
      <c r="F95" s="771"/>
      <c r="G95" s="771"/>
      <c r="H95" s="771"/>
      <c r="I95" s="771"/>
      <c r="J95" s="771"/>
      <c r="K95" s="771"/>
      <c r="L95" s="771"/>
      <c r="M95" s="771"/>
      <c r="N95" s="771"/>
      <c r="O95" s="771"/>
      <c r="P95" s="771"/>
      <c r="Q95" s="771"/>
      <c r="R95" s="771"/>
      <c r="S95" s="771"/>
      <c r="T95" s="771"/>
      <c r="U95" s="771"/>
      <c r="V95" s="771"/>
      <c r="W95" s="771"/>
      <c r="X95" s="771"/>
      <c r="Y95" s="771"/>
      <c r="Z95" s="771"/>
    </row>
    <row r="96" ht="15.75" customHeight="1">
      <c r="A96" s="771"/>
      <c r="B96" s="771"/>
      <c r="C96" s="771"/>
      <c r="D96" s="771"/>
      <c r="E96" s="771"/>
      <c r="F96" s="771"/>
      <c r="G96" s="771"/>
      <c r="H96" s="771"/>
      <c r="I96" s="771"/>
      <c r="J96" s="771"/>
      <c r="K96" s="771"/>
      <c r="L96" s="771"/>
      <c r="M96" s="771"/>
      <c r="N96" s="771"/>
      <c r="O96" s="771"/>
      <c r="P96" s="771"/>
      <c r="Q96" s="771"/>
      <c r="R96" s="771"/>
      <c r="S96" s="771"/>
      <c r="T96" s="771"/>
      <c r="U96" s="771"/>
      <c r="V96" s="771"/>
      <c r="W96" s="771"/>
      <c r="X96" s="771"/>
      <c r="Y96" s="771"/>
      <c r="Z96" s="771"/>
    </row>
    <row r="97" ht="15.75" customHeight="1">
      <c r="A97" s="771"/>
      <c r="B97" s="771"/>
      <c r="C97" s="771"/>
      <c r="D97" s="771"/>
      <c r="E97" s="771"/>
      <c r="F97" s="771"/>
      <c r="G97" s="771"/>
      <c r="H97" s="771"/>
      <c r="I97" s="771"/>
      <c r="J97" s="771"/>
      <c r="K97" s="771"/>
      <c r="L97" s="771"/>
      <c r="M97" s="771"/>
      <c r="N97" s="771"/>
      <c r="O97" s="771"/>
      <c r="P97" s="771"/>
      <c r="Q97" s="771"/>
      <c r="R97" s="771"/>
      <c r="S97" s="771"/>
      <c r="T97" s="771"/>
      <c r="U97" s="771"/>
      <c r="V97" s="771"/>
      <c r="W97" s="771"/>
      <c r="X97" s="771"/>
      <c r="Y97" s="771"/>
      <c r="Z97" s="771"/>
    </row>
    <row r="98" ht="15.75" customHeight="1">
      <c r="A98" s="771"/>
      <c r="B98" s="771"/>
      <c r="C98" s="771"/>
      <c r="D98" s="771"/>
      <c r="E98" s="771"/>
      <c r="F98" s="771"/>
      <c r="G98" s="771"/>
      <c r="H98" s="771"/>
      <c r="I98" s="771"/>
      <c r="J98" s="771"/>
      <c r="K98" s="771"/>
      <c r="L98" s="771"/>
      <c r="M98" s="771"/>
      <c r="N98" s="771"/>
      <c r="O98" s="771"/>
      <c r="P98" s="771"/>
      <c r="Q98" s="771"/>
      <c r="R98" s="771"/>
      <c r="S98" s="771"/>
      <c r="T98" s="771"/>
      <c r="U98" s="771"/>
      <c r="V98" s="771"/>
      <c r="W98" s="771"/>
      <c r="X98" s="771"/>
      <c r="Y98" s="771"/>
      <c r="Z98" s="771"/>
    </row>
    <row r="99" ht="15.75" customHeight="1">
      <c r="A99" s="771"/>
      <c r="B99" s="771"/>
      <c r="C99" s="771"/>
      <c r="D99" s="771"/>
      <c r="E99" s="771"/>
      <c r="F99" s="771"/>
      <c r="G99" s="771"/>
      <c r="H99" s="771"/>
      <c r="I99" s="771"/>
      <c r="J99" s="771"/>
      <c r="K99" s="771"/>
      <c r="L99" s="771"/>
      <c r="M99" s="771"/>
      <c r="N99" s="771"/>
      <c r="O99" s="771"/>
      <c r="P99" s="771"/>
      <c r="Q99" s="771"/>
      <c r="R99" s="771"/>
      <c r="S99" s="771"/>
      <c r="T99" s="771"/>
      <c r="U99" s="771"/>
      <c r="V99" s="771"/>
      <c r="W99" s="771"/>
      <c r="X99" s="771"/>
      <c r="Y99" s="771"/>
      <c r="Z99" s="771"/>
    </row>
    <row r="100" ht="15.75" customHeight="1">
      <c r="A100" s="771"/>
      <c r="B100" s="771"/>
      <c r="C100" s="771"/>
      <c r="D100" s="771"/>
      <c r="E100" s="771"/>
      <c r="F100" s="771"/>
      <c r="G100" s="771"/>
      <c r="H100" s="771"/>
      <c r="I100" s="771"/>
      <c r="J100" s="771"/>
      <c r="K100" s="771"/>
      <c r="L100" s="771"/>
      <c r="M100" s="771"/>
      <c r="N100" s="771"/>
      <c r="O100" s="771"/>
      <c r="P100" s="771"/>
      <c r="Q100" s="771"/>
      <c r="R100" s="771"/>
      <c r="S100" s="771"/>
      <c r="T100" s="771"/>
      <c r="U100" s="771"/>
      <c r="V100" s="771"/>
      <c r="W100" s="771"/>
      <c r="X100" s="771"/>
      <c r="Y100" s="771"/>
      <c r="Z100" s="771"/>
    </row>
    <row r="101" ht="15.75" customHeight="1">
      <c r="A101" s="771"/>
      <c r="B101" s="771"/>
      <c r="C101" s="771"/>
      <c r="D101" s="771"/>
      <c r="E101" s="771"/>
      <c r="F101" s="771"/>
      <c r="G101" s="771"/>
      <c r="H101" s="771"/>
      <c r="I101" s="771"/>
      <c r="J101" s="771"/>
      <c r="K101" s="771"/>
      <c r="L101" s="771"/>
      <c r="M101" s="771"/>
      <c r="N101" s="771"/>
      <c r="O101" s="771"/>
      <c r="P101" s="771"/>
      <c r="Q101" s="771"/>
      <c r="R101" s="771"/>
      <c r="S101" s="771"/>
      <c r="T101" s="771"/>
      <c r="U101" s="771"/>
      <c r="V101" s="771"/>
      <c r="W101" s="771"/>
      <c r="X101" s="771"/>
      <c r="Y101" s="771"/>
      <c r="Z101" s="771"/>
    </row>
    <row r="102" ht="15.75" customHeight="1">
      <c r="A102" s="771"/>
      <c r="B102" s="771"/>
      <c r="C102" s="771"/>
      <c r="D102" s="771"/>
      <c r="E102" s="771"/>
      <c r="F102" s="771"/>
      <c r="G102" s="771"/>
      <c r="H102" s="771"/>
      <c r="I102" s="771"/>
      <c r="J102" s="771"/>
      <c r="K102" s="771"/>
      <c r="L102" s="771"/>
      <c r="M102" s="771"/>
      <c r="N102" s="771"/>
      <c r="O102" s="771"/>
      <c r="P102" s="771"/>
      <c r="Q102" s="771"/>
      <c r="R102" s="771"/>
      <c r="S102" s="771"/>
      <c r="T102" s="771"/>
      <c r="U102" s="771"/>
      <c r="V102" s="771"/>
      <c r="W102" s="771"/>
      <c r="X102" s="771"/>
      <c r="Y102" s="771"/>
      <c r="Z102" s="771"/>
    </row>
    <row r="103" ht="15.75" customHeight="1">
      <c r="A103" s="771"/>
      <c r="B103" s="771"/>
      <c r="C103" s="771"/>
      <c r="D103" s="771"/>
      <c r="E103" s="771"/>
      <c r="F103" s="771"/>
      <c r="G103" s="771"/>
      <c r="H103" s="771"/>
      <c r="I103" s="771"/>
      <c r="J103" s="771"/>
      <c r="K103" s="771"/>
      <c r="L103" s="771"/>
      <c r="M103" s="771"/>
      <c r="N103" s="771"/>
      <c r="O103" s="771"/>
      <c r="P103" s="771"/>
      <c r="Q103" s="771"/>
      <c r="R103" s="771"/>
      <c r="S103" s="771"/>
      <c r="T103" s="771"/>
      <c r="U103" s="771"/>
      <c r="V103" s="771"/>
      <c r="W103" s="771"/>
      <c r="X103" s="771"/>
      <c r="Y103" s="771"/>
      <c r="Z103" s="771"/>
    </row>
    <row r="104" ht="15.75" customHeight="1">
      <c r="A104" s="771"/>
      <c r="B104" s="771"/>
      <c r="C104" s="771"/>
      <c r="D104" s="771"/>
      <c r="E104" s="771"/>
      <c r="F104" s="771"/>
      <c r="G104" s="771"/>
      <c r="H104" s="771"/>
      <c r="I104" s="771"/>
      <c r="J104" s="771"/>
      <c r="K104" s="771"/>
      <c r="L104" s="771"/>
      <c r="M104" s="771"/>
      <c r="N104" s="771"/>
      <c r="O104" s="771"/>
      <c r="P104" s="771"/>
      <c r="Q104" s="771"/>
      <c r="R104" s="771"/>
      <c r="S104" s="771"/>
      <c r="T104" s="771"/>
      <c r="U104" s="771"/>
      <c r="V104" s="771"/>
      <c r="W104" s="771"/>
      <c r="X104" s="771"/>
      <c r="Y104" s="771"/>
      <c r="Z104" s="771"/>
    </row>
    <row r="105" ht="15.75" customHeight="1">
      <c r="A105" s="771"/>
      <c r="B105" s="771"/>
      <c r="C105" s="771"/>
      <c r="D105" s="771"/>
      <c r="E105" s="771"/>
      <c r="F105" s="771"/>
      <c r="G105" s="771"/>
      <c r="H105" s="771"/>
      <c r="I105" s="771"/>
      <c r="J105" s="771"/>
      <c r="K105" s="771"/>
      <c r="L105" s="771"/>
      <c r="M105" s="771"/>
      <c r="N105" s="771"/>
      <c r="O105" s="771"/>
      <c r="P105" s="771"/>
      <c r="Q105" s="771"/>
      <c r="R105" s="771"/>
      <c r="S105" s="771"/>
      <c r="T105" s="771"/>
      <c r="U105" s="771"/>
      <c r="V105" s="771"/>
      <c r="W105" s="771"/>
      <c r="X105" s="771"/>
      <c r="Y105" s="771"/>
      <c r="Z105" s="771"/>
    </row>
    <row r="106" ht="15.75" customHeight="1">
      <c r="A106" s="771"/>
      <c r="B106" s="771"/>
      <c r="C106" s="771"/>
      <c r="D106" s="771"/>
      <c r="E106" s="771"/>
      <c r="F106" s="771"/>
      <c r="G106" s="771"/>
      <c r="H106" s="771"/>
      <c r="I106" s="771"/>
      <c r="J106" s="771"/>
      <c r="K106" s="771"/>
      <c r="L106" s="771"/>
      <c r="M106" s="771"/>
      <c r="N106" s="771"/>
      <c r="O106" s="771"/>
      <c r="P106" s="771"/>
      <c r="Q106" s="771"/>
      <c r="R106" s="771"/>
      <c r="S106" s="771"/>
      <c r="T106" s="771"/>
      <c r="U106" s="771"/>
      <c r="V106" s="771"/>
      <c r="W106" s="771"/>
      <c r="X106" s="771"/>
      <c r="Y106" s="771"/>
      <c r="Z106" s="771"/>
    </row>
    <row r="107" ht="15.75" customHeight="1">
      <c r="A107" s="771"/>
      <c r="B107" s="771"/>
      <c r="C107" s="771"/>
      <c r="D107" s="771"/>
      <c r="E107" s="771"/>
      <c r="F107" s="771"/>
      <c r="G107" s="771"/>
      <c r="H107" s="771"/>
      <c r="I107" s="771"/>
      <c r="J107" s="771"/>
      <c r="K107" s="771"/>
      <c r="L107" s="771"/>
      <c r="M107" s="771"/>
      <c r="N107" s="771"/>
      <c r="O107" s="771"/>
      <c r="P107" s="771"/>
      <c r="Q107" s="771"/>
      <c r="R107" s="771"/>
      <c r="S107" s="771"/>
      <c r="T107" s="771"/>
      <c r="U107" s="771"/>
      <c r="V107" s="771"/>
      <c r="W107" s="771"/>
      <c r="X107" s="771"/>
      <c r="Y107" s="771"/>
      <c r="Z107" s="771"/>
    </row>
    <row r="108" ht="15.75" customHeight="1">
      <c r="A108" s="771"/>
      <c r="B108" s="771"/>
      <c r="C108" s="771"/>
      <c r="D108" s="771"/>
      <c r="E108" s="771"/>
      <c r="F108" s="771"/>
      <c r="G108" s="771"/>
      <c r="H108" s="771"/>
      <c r="I108" s="771"/>
      <c r="J108" s="771"/>
      <c r="K108" s="771"/>
      <c r="L108" s="771"/>
      <c r="M108" s="771"/>
      <c r="N108" s="771"/>
      <c r="O108" s="771"/>
      <c r="P108" s="771"/>
      <c r="Q108" s="771"/>
      <c r="R108" s="771"/>
      <c r="S108" s="771"/>
      <c r="T108" s="771"/>
      <c r="U108" s="771"/>
      <c r="V108" s="771"/>
      <c r="W108" s="771"/>
      <c r="X108" s="771"/>
      <c r="Y108" s="771"/>
      <c r="Z108" s="771"/>
    </row>
    <row r="109" ht="15.75" customHeight="1">
      <c r="A109" s="771"/>
      <c r="B109" s="771"/>
      <c r="C109" s="771"/>
      <c r="D109" s="771"/>
      <c r="E109" s="771"/>
      <c r="F109" s="771"/>
      <c r="G109" s="771"/>
      <c r="H109" s="771"/>
      <c r="I109" s="771"/>
      <c r="J109" s="771"/>
      <c r="K109" s="771"/>
      <c r="L109" s="771"/>
      <c r="M109" s="771"/>
      <c r="N109" s="771"/>
      <c r="O109" s="771"/>
      <c r="P109" s="771"/>
      <c r="Q109" s="771"/>
      <c r="R109" s="771"/>
      <c r="S109" s="771"/>
      <c r="T109" s="771"/>
      <c r="U109" s="771"/>
      <c r="V109" s="771"/>
      <c r="W109" s="771"/>
      <c r="X109" s="771"/>
      <c r="Y109" s="771"/>
      <c r="Z109" s="771"/>
    </row>
    <row r="110" ht="15.75" customHeight="1">
      <c r="A110" s="771"/>
      <c r="B110" s="771"/>
      <c r="C110" s="771"/>
      <c r="D110" s="771"/>
      <c r="E110" s="771"/>
      <c r="F110" s="771"/>
      <c r="G110" s="771"/>
      <c r="H110" s="771"/>
      <c r="I110" s="771"/>
      <c r="J110" s="771"/>
      <c r="K110" s="771"/>
      <c r="L110" s="771"/>
      <c r="M110" s="771"/>
      <c r="N110" s="771"/>
      <c r="O110" s="771"/>
      <c r="P110" s="771"/>
      <c r="Q110" s="771"/>
      <c r="R110" s="771"/>
      <c r="S110" s="771"/>
      <c r="T110" s="771"/>
      <c r="U110" s="771"/>
      <c r="V110" s="771"/>
      <c r="W110" s="771"/>
      <c r="X110" s="771"/>
      <c r="Y110" s="771"/>
      <c r="Z110" s="771"/>
    </row>
    <row r="111" ht="15.75" customHeight="1">
      <c r="A111" s="771"/>
      <c r="B111" s="771"/>
      <c r="C111" s="771"/>
      <c r="D111" s="771"/>
      <c r="E111" s="771"/>
      <c r="F111" s="771"/>
      <c r="G111" s="771"/>
      <c r="H111" s="771"/>
      <c r="I111" s="771"/>
      <c r="J111" s="771"/>
      <c r="K111" s="771"/>
      <c r="L111" s="771"/>
      <c r="M111" s="771"/>
      <c r="N111" s="771"/>
      <c r="O111" s="771"/>
      <c r="P111" s="771"/>
      <c r="Q111" s="771"/>
      <c r="R111" s="771"/>
      <c r="S111" s="771"/>
      <c r="T111" s="771"/>
      <c r="U111" s="771"/>
      <c r="V111" s="771"/>
      <c r="W111" s="771"/>
      <c r="X111" s="771"/>
      <c r="Y111" s="771"/>
      <c r="Z111" s="771"/>
    </row>
    <row r="112" ht="15.75" customHeight="1">
      <c r="A112" s="771"/>
      <c r="B112" s="771"/>
      <c r="C112" s="771"/>
      <c r="D112" s="771"/>
      <c r="E112" s="771"/>
      <c r="F112" s="771"/>
      <c r="G112" s="771"/>
      <c r="H112" s="771"/>
      <c r="I112" s="771"/>
      <c r="J112" s="771"/>
      <c r="K112" s="771"/>
      <c r="L112" s="771"/>
      <c r="M112" s="771"/>
      <c r="N112" s="771"/>
      <c r="O112" s="771"/>
      <c r="P112" s="771"/>
      <c r="Q112" s="771"/>
      <c r="R112" s="771"/>
      <c r="S112" s="771"/>
      <c r="T112" s="771"/>
      <c r="U112" s="771"/>
      <c r="V112" s="771"/>
      <c r="W112" s="771"/>
      <c r="X112" s="771"/>
      <c r="Y112" s="771"/>
      <c r="Z112" s="771"/>
    </row>
    <row r="113" ht="15.75" customHeight="1">
      <c r="A113" s="771"/>
      <c r="B113" s="771"/>
      <c r="C113" s="771"/>
      <c r="D113" s="771"/>
      <c r="E113" s="771"/>
      <c r="F113" s="771"/>
      <c r="G113" s="771"/>
      <c r="H113" s="771"/>
      <c r="I113" s="771"/>
      <c r="J113" s="771"/>
      <c r="K113" s="771"/>
      <c r="L113" s="771"/>
      <c r="M113" s="771"/>
      <c r="N113" s="771"/>
      <c r="O113" s="771"/>
      <c r="P113" s="771"/>
      <c r="Q113" s="771"/>
      <c r="R113" s="771"/>
      <c r="S113" s="771"/>
      <c r="T113" s="771"/>
      <c r="U113" s="771"/>
      <c r="V113" s="771"/>
      <c r="W113" s="771"/>
      <c r="X113" s="771"/>
      <c r="Y113" s="771"/>
      <c r="Z113" s="771"/>
    </row>
    <row r="114" ht="15.75" customHeight="1">
      <c r="A114" s="771"/>
      <c r="B114" s="771"/>
      <c r="C114" s="771"/>
      <c r="D114" s="771"/>
      <c r="E114" s="771"/>
      <c r="F114" s="771"/>
      <c r="G114" s="771"/>
      <c r="H114" s="771"/>
      <c r="I114" s="771"/>
      <c r="J114" s="771"/>
      <c r="K114" s="771"/>
      <c r="L114" s="771"/>
      <c r="M114" s="771"/>
      <c r="N114" s="771"/>
      <c r="O114" s="771"/>
      <c r="P114" s="771"/>
      <c r="Q114" s="771"/>
      <c r="R114" s="771"/>
      <c r="S114" s="771"/>
      <c r="T114" s="771"/>
      <c r="U114" s="771"/>
      <c r="V114" s="771"/>
      <c r="W114" s="771"/>
      <c r="X114" s="771"/>
      <c r="Y114" s="771"/>
      <c r="Z114" s="771"/>
    </row>
    <row r="115" ht="15.75" customHeight="1">
      <c r="A115" s="771"/>
      <c r="B115" s="771"/>
      <c r="C115" s="771"/>
      <c r="D115" s="771"/>
      <c r="E115" s="771"/>
      <c r="F115" s="771"/>
      <c r="G115" s="771"/>
      <c r="H115" s="771"/>
      <c r="I115" s="771"/>
      <c r="J115" s="771"/>
      <c r="K115" s="771"/>
      <c r="L115" s="771"/>
      <c r="M115" s="771"/>
      <c r="N115" s="771"/>
      <c r="O115" s="771"/>
      <c r="P115" s="771"/>
      <c r="Q115" s="771"/>
      <c r="R115" s="771"/>
      <c r="S115" s="771"/>
      <c r="T115" s="771"/>
      <c r="U115" s="771"/>
      <c r="V115" s="771"/>
      <c r="W115" s="771"/>
      <c r="X115" s="771"/>
      <c r="Y115" s="771"/>
      <c r="Z115" s="771"/>
    </row>
    <row r="116" ht="15.75" customHeight="1">
      <c r="A116" s="771"/>
      <c r="B116" s="771"/>
      <c r="C116" s="771"/>
      <c r="D116" s="771"/>
      <c r="E116" s="771"/>
      <c r="F116" s="771"/>
      <c r="G116" s="771"/>
      <c r="H116" s="771"/>
      <c r="I116" s="771"/>
      <c r="J116" s="771"/>
      <c r="K116" s="771"/>
      <c r="L116" s="771"/>
      <c r="M116" s="771"/>
      <c r="N116" s="771"/>
      <c r="O116" s="771"/>
      <c r="P116" s="771"/>
      <c r="Q116" s="771"/>
      <c r="R116" s="771"/>
      <c r="S116" s="771"/>
      <c r="T116" s="771"/>
      <c r="U116" s="771"/>
      <c r="V116" s="771"/>
      <c r="W116" s="771"/>
      <c r="X116" s="771"/>
      <c r="Y116" s="771"/>
      <c r="Z116" s="771"/>
    </row>
    <row r="117" ht="15.75" customHeight="1">
      <c r="A117" s="771"/>
      <c r="B117" s="771"/>
      <c r="C117" s="771"/>
      <c r="D117" s="771"/>
      <c r="E117" s="771"/>
      <c r="F117" s="771"/>
      <c r="G117" s="771"/>
      <c r="H117" s="771"/>
      <c r="I117" s="771"/>
      <c r="J117" s="771"/>
      <c r="K117" s="771"/>
      <c r="L117" s="771"/>
      <c r="M117" s="771"/>
      <c r="N117" s="771"/>
      <c r="O117" s="771"/>
      <c r="P117" s="771"/>
      <c r="Q117" s="771"/>
      <c r="R117" s="771"/>
      <c r="S117" s="771"/>
      <c r="T117" s="771"/>
      <c r="U117" s="771"/>
      <c r="V117" s="771"/>
      <c r="W117" s="771"/>
      <c r="X117" s="771"/>
      <c r="Y117" s="771"/>
      <c r="Z117" s="771"/>
    </row>
    <row r="118" ht="15.75" customHeight="1">
      <c r="A118" s="771"/>
      <c r="B118" s="771"/>
      <c r="C118" s="771"/>
      <c r="D118" s="771"/>
      <c r="E118" s="771"/>
      <c r="F118" s="771"/>
      <c r="G118" s="771"/>
      <c r="H118" s="771"/>
      <c r="I118" s="771"/>
      <c r="J118" s="771"/>
      <c r="K118" s="771"/>
      <c r="L118" s="771"/>
      <c r="M118" s="771"/>
      <c r="N118" s="771"/>
      <c r="O118" s="771"/>
      <c r="P118" s="771"/>
      <c r="Q118" s="771"/>
      <c r="R118" s="771"/>
      <c r="S118" s="771"/>
      <c r="T118" s="771"/>
      <c r="U118" s="771"/>
      <c r="V118" s="771"/>
      <c r="W118" s="771"/>
      <c r="X118" s="771"/>
      <c r="Y118" s="771"/>
      <c r="Z118" s="771"/>
    </row>
    <row r="119" ht="15.75" customHeight="1">
      <c r="A119" s="771"/>
      <c r="B119" s="771"/>
      <c r="C119" s="771"/>
      <c r="D119" s="771"/>
      <c r="E119" s="771"/>
      <c r="F119" s="771"/>
      <c r="G119" s="771"/>
      <c r="H119" s="771"/>
      <c r="I119" s="771"/>
      <c r="J119" s="771"/>
      <c r="K119" s="771"/>
      <c r="L119" s="771"/>
      <c r="M119" s="771"/>
      <c r="N119" s="771"/>
      <c r="O119" s="771"/>
      <c r="P119" s="771"/>
      <c r="Q119" s="771"/>
      <c r="R119" s="771"/>
      <c r="S119" s="771"/>
      <c r="T119" s="771"/>
      <c r="U119" s="771"/>
      <c r="V119" s="771"/>
      <c r="W119" s="771"/>
      <c r="X119" s="771"/>
      <c r="Y119" s="771"/>
      <c r="Z119" s="771"/>
    </row>
    <row r="120" ht="15.75" customHeight="1">
      <c r="A120" s="771"/>
      <c r="B120" s="771"/>
      <c r="C120" s="771"/>
      <c r="D120" s="771"/>
      <c r="E120" s="771"/>
      <c r="F120" s="771"/>
      <c r="G120" s="771"/>
      <c r="H120" s="771"/>
      <c r="I120" s="771"/>
      <c r="J120" s="771"/>
      <c r="K120" s="771"/>
      <c r="L120" s="771"/>
      <c r="M120" s="771"/>
      <c r="N120" s="771"/>
      <c r="O120" s="771"/>
      <c r="P120" s="771"/>
      <c r="Q120" s="771"/>
      <c r="R120" s="771"/>
      <c r="S120" s="771"/>
      <c r="T120" s="771"/>
      <c r="U120" s="771"/>
      <c r="V120" s="771"/>
      <c r="W120" s="771"/>
      <c r="X120" s="771"/>
      <c r="Y120" s="771"/>
      <c r="Z120" s="771"/>
    </row>
    <row r="121" ht="15.75" customHeight="1">
      <c r="A121" s="771"/>
      <c r="B121" s="771"/>
      <c r="C121" s="771"/>
      <c r="D121" s="771"/>
      <c r="E121" s="771"/>
      <c r="F121" s="771"/>
      <c r="G121" s="771"/>
      <c r="H121" s="771"/>
      <c r="I121" s="771"/>
      <c r="J121" s="771"/>
      <c r="K121" s="771"/>
      <c r="L121" s="771"/>
      <c r="M121" s="771"/>
      <c r="N121" s="771"/>
      <c r="O121" s="771"/>
      <c r="P121" s="771"/>
      <c r="Q121" s="771"/>
      <c r="R121" s="771"/>
      <c r="S121" s="771"/>
      <c r="T121" s="771"/>
      <c r="U121" s="771"/>
      <c r="V121" s="771"/>
      <c r="W121" s="771"/>
      <c r="X121" s="771"/>
      <c r="Y121" s="771"/>
      <c r="Z121" s="771"/>
    </row>
    <row r="122" ht="15.75" customHeight="1">
      <c r="A122" s="771"/>
      <c r="B122" s="771"/>
      <c r="C122" s="771"/>
      <c r="D122" s="771"/>
      <c r="E122" s="771"/>
      <c r="F122" s="771"/>
      <c r="G122" s="771"/>
      <c r="H122" s="771"/>
      <c r="I122" s="771"/>
      <c r="J122" s="771"/>
      <c r="K122" s="771"/>
      <c r="L122" s="771"/>
      <c r="M122" s="771"/>
      <c r="N122" s="771"/>
      <c r="O122" s="771"/>
      <c r="P122" s="771"/>
      <c r="Q122" s="771"/>
      <c r="R122" s="771"/>
      <c r="S122" s="771"/>
      <c r="T122" s="771"/>
      <c r="U122" s="771"/>
      <c r="V122" s="771"/>
      <c r="W122" s="771"/>
      <c r="X122" s="771"/>
      <c r="Y122" s="771"/>
      <c r="Z122" s="771"/>
    </row>
    <row r="123" ht="15.75" customHeight="1">
      <c r="A123" s="771"/>
      <c r="B123" s="771"/>
      <c r="C123" s="771"/>
      <c r="D123" s="771"/>
      <c r="E123" s="771"/>
      <c r="F123" s="771"/>
      <c r="G123" s="771"/>
      <c r="H123" s="771"/>
      <c r="I123" s="771"/>
      <c r="J123" s="771"/>
      <c r="K123" s="771"/>
      <c r="L123" s="771"/>
      <c r="M123" s="771"/>
      <c r="N123" s="771"/>
      <c r="O123" s="771"/>
      <c r="P123" s="771"/>
      <c r="Q123" s="771"/>
      <c r="R123" s="771"/>
      <c r="S123" s="771"/>
      <c r="T123" s="771"/>
      <c r="U123" s="771"/>
      <c r="V123" s="771"/>
      <c r="W123" s="771"/>
      <c r="X123" s="771"/>
      <c r="Y123" s="771"/>
      <c r="Z123" s="771"/>
    </row>
    <row r="124" ht="15.75" customHeight="1">
      <c r="A124" s="771"/>
      <c r="B124" s="771"/>
      <c r="C124" s="771"/>
      <c r="D124" s="771"/>
      <c r="E124" s="771"/>
      <c r="F124" s="771"/>
      <c r="G124" s="771"/>
      <c r="H124" s="771"/>
      <c r="I124" s="771"/>
      <c r="J124" s="771"/>
      <c r="K124" s="771"/>
      <c r="L124" s="771"/>
      <c r="M124" s="771"/>
      <c r="N124" s="771"/>
      <c r="O124" s="771"/>
      <c r="P124" s="771"/>
      <c r="Q124" s="771"/>
      <c r="R124" s="771"/>
      <c r="S124" s="771"/>
      <c r="T124" s="771"/>
      <c r="U124" s="771"/>
      <c r="V124" s="771"/>
      <c r="W124" s="771"/>
      <c r="X124" s="771"/>
      <c r="Y124" s="771"/>
      <c r="Z124" s="771"/>
    </row>
    <row r="125" ht="15.75" customHeight="1">
      <c r="A125" s="771"/>
      <c r="B125" s="771"/>
      <c r="C125" s="771"/>
      <c r="D125" s="771"/>
      <c r="E125" s="771"/>
      <c r="F125" s="771"/>
      <c r="G125" s="771"/>
      <c r="H125" s="771"/>
      <c r="I125" s="771"/>
      <c r="J125" s="771"/>
      <c r="K125" s="771"/>
      <c r="L125" s="771"/>
      <c r="M125" s="771"/>
      <c r="N125" s="771"/>
      <c r="O125" s="771"/>
      <c r="P125" s="771"/>
      <c r="Q125" s="771"/>
      <c r="R125" s="771"/>
      <c r="S125" s="771"/>
      <c r="T125" s="771"/>
      <c r="U125" s="771"/>
      <c r="V125" s="771"/>
      <c r="W125" s="771"/>
      <c r="X125" s="771"/>
      <c r="Y125" s="771"/>
      <c r="Z125" s="771"/>
    </row>
    <row r="126" ht="15.75" customHeight="1">
      <c r="A126" s="771"/>
      <c r="B126" s="771"/>
      <c r="C126" s="771"/>
      <c r="D126" s="771"/>
      <c r="E126" s="771"/>
      <c r="F126" s="771"/>
      <c r="G126" s="771"/>
      <c r="H126" s="771"/>
      <c r="I126" s="771"/>
      <c r="J126" s="771"/>
      <c r="K126" s="771"/>
      <c r="L126" s="771"/>
      <c r="M126" s="771"/>
      <c r="N126" s="771"/>
      <c r="O126" s="771"/>
      <c r="P126" s="771"/>
      <c r="Q126" s="771"/>
      <c r="R126" s="771"/>
      <c r="S126" s="771"/>
      <c r="T126" s="771"/>
      <c r="U126" s="771"/>
      <c r="V126" s="771"/>
      <c r="W126" s="771"/>
      <c r="X126" s="771"/>
      <c r="Y126" s="771"/>
      <c r="Z126" s="771"/>
    </row>
    <row r="127" ht="15.75" customHeight="1">
      <c r="A127" s="771"/>
      <c r="B127" s="771"/>
      <c r="C127" s="771"/>
      <c r="D127" s="771"/>
      <c r="E127" s="771"/>
      <c r="F127" s="771"/>
      <c r="G127" s="771"/>
      <c r="H127" s="771"/>
      <c r="I127" s="771"/>
      <c r="J127" s="771"/>
      <c r="K127" s="771"/>
      <c r="L127" s="771"/>
      <c r="M127" s="771"/>
      <c r="N127" s="771"/>
      <c r="O127" s="771"/>
      <c r="P127" s="771"/>
      <c r="Q127" s="771"/>
      <c r="R127" s="771"/>
      <c r="S127" s="771"/>
      <c r="T127" s="771"/>
      <c r="U127" s="771"/>
      <c r="V127" s="771"/>
      <c r="W127" s="771"/>
      <c r="X127" s="771"/>
      <c r="Y127" s="771"/>
      <c r="Z127" s="771"/>
    </row>
    <row r="128" ht="15.75" customHeight="1">
      <c r="A128" s="771"/>
      <c r="B128" s="771"/>
      <c r="C128" s="771"/>
      <c r="D128" s="771"/>
      <c r="E128" s="771"/>
      <c r="F128" s="771"/>
      <c r="G128" s="771"/>
      <c r="H128" s="771"/>
      <c r="I128" s="771"/>
      <c r="J128" s="771"/>
      <c r="K128" s="771"/>
      <c r="L128" s="771"/>
      <c r="M128" s="771"/>
      <c r="N128" s="771"/>
      <c r="O128" s="771"/>
      <c r="P128" s="771"/>
      <c r="Q128" s="771"/>
      <c r="R128" s="771"/>
      <c r="S128" s="771"/>
      <c r="T128" s="771"/>
      <c r="U128" s="771"/>
      <c r="V128" s="771"/>
      <c r="W128" s="771"/>
      <c r="X128" s="771"/>
      <c r="Y128" s="771"/>
      <c r="Z128" s="771"/>
    </row>
    <row r="129" ht="15.75" customHeight="1">
      <c r="A129" s="771"/>
      <c r="B129" s="771"/>
      <c r="C129" s="771"/>
      <c r="D129" s="771"/>
      <c r="E129" s="771"/>
      <c r="F129" s="771"/>
      <c r="G129" s="771"/>
      <c r="H129" s="771"/>
      <c r="I129" s="771"/>
      <c r="J129" s="771"/>
      <c r="K129" s="771"/>
      <c r="L129" s="771"/>
      <c r="M129" s="771"/>
      <c r="N129" s="771"/>
      <c r="O129" s="771"/>
      <c r="P129" s="771"/>
      <c r="Q129" s="771"/>
      <c r="R129" s="771"/>
      <c r="S129" s="771"/>
      <c r="T129" s="771"/>
      <c r="U129" s="771"/>
      <c r="V129" s="771"/>
      <c r="W129" s="771"/>
      <c r="X129" s="771"/>
      <c r="Y129" s="771"/>
      <c r="Z129" s="771"/>
    </row>
    <row r="130" ht="15.75" customHeight="1">
      <c r="A130" s="771"/>
      <c r="B130" s="771"/>
      <c r="C130" s="771"/>
      <c r="D130" s="771"/>
      <c r="E130" s="771"/>
      <c r="F130" s="771"/>
      <c r="G130" s="771"/>
      <c r="H130" s="771"/>
      <c r="I130" s="771"/>
      <c r="J130" s="771"/>
      <c r="K130" s="771"/>
      <c r="L130" s="771"/>
      <c r="M130" s="771"/>
      <c r="N130" s="771"/>
      <c r="O130" s="771"/>
      <c r="P130" s="771"/>
      <c r="Q130" s="771"/>
      <c r="R130" s="771"/>
      <c r="S130" s="771"/>
      <c r="T130" s="771"/>
      <c r="U130" s="771"/>
      <c r="V130" s="771"/>
      <c r="W130" s="771"/>
      <c r="X130" s="771"/>
      <c r="Y130" s="771"/>
      <c r="Z130" s="771"/>
    </row>
    <row r="131" ht="15.75" customHeight="1">
      <c r="A131" s="771"/>
      <c r="B131" s="771"/>
      <c r="C131" s="771"/>
      <c r="D131" s="771"/>
      <c r="E131" s="771"/>
      <c r="F131" s="771"/>
      <c r="G131" s="771"/>
      <c r="H131" s="771"/>
      <c r="I131" s="771"/>
      <c r="J131" s="771"/>
      <c r="K131" s="771"/>
      <c r="L131" s="771"/>
      <c r="M131" s="771"/>
      <c r="N131" s="771"/>
      <c r="O131" s="771"/>
      <c r="P131" s="771"/>
      <c r="Q131" s="771"/>
      <c r="R131" s="771"/>
      <c r="S131" s="771"/>
      <c r="T131" s="771"/>
      <c r="U131" s="771"/>
      <c r="V131" s="771"/>
      <c r="W131" s="771"/>
      <c r="X131" s="771"/>
      <c r="Y131" s="771"/>
      <c r="Z131" s="771"/>
    </row>
    <row r="132" ht="15.75" customHeight="1">
      <c r="A132" s="771"/>
      <c r="B132" s="771"/>
      <c r="C132" s="771"/>
      <c r="D132" s="771"/>
      <c r="E132" s="771"/>
      <c r="F132" s="771"/>
      <c r="G132" s="771"/>
      <c r="H132" s="771"/>
      <c r="I132" s="771"/>
      <c r="J132" s="771"/>
      <c r="K132" s="771"/>
      <c r="L132" s="771"/>
      <c r="M132" s="771"/>
      <c r="N132" s="771"/>
      <c r="O132" s="771"/>
      <c r="P132" s="771"/>
      <c r="Q132" s="771"/>
      <c r="R132" s="771"/>
      <c r="S132" s="771"/>
      <c r="T132" s="771"/>
      <c r="U132" s="771"/>
      <c r="V132" s="771"/>
      <c r="W132" s="771"/>
      <c r="X132" s="771"/>
      <c r="Y132" s="771"/>
      <c r="Z132" s="771"/>
    </row>
    <row r="133" ht="15.75" customHeight="1">
      <c r="A133" s="771"/>
      <c r="B133" s="771"/>
      <c r="C133" s="771"/>
      <c r="D133" s="771"/>
      <c r="E133" s="771"/>
      <c r="F133" s="771"/>
      <c r="G133" s="771"/>
      <c r="H133" s="771"/>
      <c r="I133" s="771"/>
      <c r="J133" s="771"/>
      <c r="K133" s="771"/>
      <c r="L133" s="771"/>
      <c r="M133" s="771"/>
      <c r="N133" s="771"/>
      <c r="O133" s="771"/>
      <c r="P133" s="771"/>
      <c r="Q133" s="771"/>
      <c r="R133" s="771"/>
      <c r="S133" s="771"/>
      <c r="T133" s="771"/>
      <c r="U133" s="771"/>
      <c r="V133" s="771"/>
      <c r="W133" s="771"/>
      <c r="X133" s="771"/>
      <c r="Y133" s="771"/>
      <c r="Z133" s="771"/>
    </row>
    <row r="134" ht="15.75" customHeight="1">
      <c r="A134" s="771"/>
      <c r="B134" s="771"/>
      <c r="C134" s="771"/>
      <c r="D134" s="771"/>
      <c r="E134" s="771"/>
      <c r="F134" s="771"/>
      <c r="G134" s="771"/>
      <c r="H134" s="771"/>
      <c r="I134" s="771"/>
      <c r="J134" s="771"/>
      <c r="K134" s="771"/>
      <c r="L134" s="771"/>
      <c r="M134" s="771"/>
      <c r="N134" s="771"/>
      <c r="O134" s="771"/>
      <c r="P134" s="771"/>
      <c r="Q134" s="771"/>
      <c r="R134" s="771"/>
      <c r="S134" s="771"/>
      <c r="T134" s="771"/>
      <c r="U134" s="771"/>
      <c r="V134" s="771"/>
      <c r="W134" s="771"/>
      <c r="X134" s="771"/>
      <c r="Y134" s="771"/>
      <c r="Z134" s="771"/>
    </row>
    <row r="135" ht="15.75" customHeight="1">
      <c r="A135" s="771"/>
      <c r="B135" s="771"/>
      <c r="C135" s="771"/>
      <c r="D135" s="771"/>
      <c r="E135" s="771"/>
      <c r="F135" s="771"/>
      <c r="G135" s="771"/>
      <c r="H135" s="771"/>
      <c r="I135" s="771"/>
      <c r="J135" s="771"/>
      <c r="K135" s="771"/>
      <c r="L135" s="771"/>
      <c r="M135" s="771"/>
      <c r="N135" s="771"/>
      <c r="O135" s="771"/>
      <c r="P135" s="771"/>
      <c r="Q135" s="771"/>
      <c r="R135" s="771"/>
      <c r="S135" s="771"/>
      <c r="T135" s="771"/>
      <c r="U135" s="771"/>
      <c r="V135" s="771"/>
      <c r="W135" s="771"/>
      <c r="X135" s="771"/>
      <c r="Y135" s="771"/>
      <c r="Z135" s="771"/>
    </row>
    <row r="136" ht="15.75" customHeight="1">
      <c r="A136" s="771"/>
      <c r="B136" s="771"/>
      <c r="C136" s="771"/>
      <c r="D136" s="771"/>
      <c r="E136" s="771"/>
      <c r="F136" s="771"/>
      <c r="G136" s="771"/>
      <c r="H136" s="771"/>
      <c r="I136" s="771"/>
      <c r="J136" s="771"/>
      <c r="K136" s="771"/>
      <c r="L136" s="771"/>
      <c r="M136" s="771"/>
      <c r="N136" s="771"/>
      <c r="O136" s="771"/>
      <c r="P136" s="771"/>
      <c r="Q136" s="771"/>
      <c r="R136" s="771"/>
      <c r="S136" s="771"/>
      <c r="T136" s="771"/>
      <c r="U136" s="771"/>
      <c r="V136" s="771"/>
      <c r="W136" s="771"/>
      <c r="X136" s="771"/>
      <c r="Y136" s="771"/>
      <c r="Z136" s="771"/>
    </row>
    <row r="137" ht="15.75" customHeight="1">
      <c r="A137" s="771"/>
      <c r="B137" s="771"/>
      <c r="C137" s="771"/>
      <c r="D137" s="771"/>
      <c r="E137" s="771"/>
      <c r="F137" s="771"/>
      <c r="G137" s="771"/>
      <c r="H137" s="771"/>
      <c r="I137" s="771"/>
      <c r="J137" s="771"/>
      <c r="K137" s="771"/>
      <c r="L137" s="771"/>
      <c r="M137" s="771"/>
      <c r="N137" s="771"/>
      <c r="O137" s="771"/>
      <c r="P137" s="771"/>
      <c r="Q137" s="771"/>
      <c r="R137" s="771"/>
      <c r="S137" s="771"/>
      <c r="T137" s="771"/>
      <c r="U137" s="771"/>
      <c r="V137" s="771"/>
      <c r="W137" s="771"/>
      <c r="X137" s="771"/>
      <c r="Y137" s="771"/>
      <c r="Z137" s="771"/>
    </row>
    <row r="138" ht="15.75" customHeight="1">
      <c r="A138" s="771"/>
      <c r="B138" s="771"/>
      <c r="C138" s="771"/>
      <c r="D138" s="771"/>
      <c r="E138" s="771"/>
      <c r="F138" s="771"/>
      <c r="G138" s="771"/>
      <c r="H138" s="771"/>
      <c r="I138" s="771"/>
      <c r="J138" s="771"/>
      <c r="K138" s="771"/>
      <c r="L138" s="771"/>
      <c r="M138" s="771"/>
      <c r="N138" s="771"/>
      <c r="O138" s="771"/>
      <c r="P138" s="771"/>
      <c r="Q138" s="771"/>
      <c r="R138" s="771"/>
      <c r="S138" s="771"/>
      <c r="T138" s="771"/>
      <c r="U138" s="771"/>
      <c r="V138" s="771"/>
      <c r="W138" s="771"/>
      <c r="X138" s="771"/>
      <c r="Y138" s="771"/>
      <c r="Z138" s="771"/>
    </row>
    <row r="139" ht="15.75" customHeight="1">
      <c r="A139" s="771"/>
      <c r="B139" s="771"/>
      <c r="C139" s="771"/>
      <c r="D139" s="771"/>
      <c r="E139" s="771"/>
      <c r="F139" s="771"/>
      <c r="G139" s="771"/>
      <c r="H139" s="771"/>
      <c r="I139" s="771"/>
      <c r="J139" s="771"/>
      <c r="K139" s="771"/>
      <c r="L139" s="771"/>
      <c r="M139" s="771"/>
      <c r="N139" s="771"/>
      <c r="O139" s="771"/>
      <c r="P139" s="771"/>
      <c r="Q139" s="771"/>
      <c r="R139" s="771"/>
      <c r="S139" s="771"/>
      <c r="T139" s="771"/>
      <c r="U139" s="771"/>
      <c r="V139" s="771"/>
      <c r="W139" s="771"/>
      <c r="X139" s="771"/>
      <c r="Y139" s="771"/>
      <c r="Z139" s="771"/>
    </row>
    <row r="140" ht="15.75" customHeight="1">
      <c r="A140" s="771"/>
      <c r="B140" s="771"/>
      <c r="C140" s="771"/>
      <c r="D140" s="771"/>
      <c r="E140" s="771"/>
      <c r="F140" s="771"/>
      <c r="G140" s="771"/>
      <c r="H140" s="771"/>
      <c r="I140" s="771"/>
      <c r="J140" s="771"/>
      <c r="K140" s="771"/>
      <c r="L140" s="771"/>
      <c r="M140" s="771"/>
      <c r="N140" s="771"/>
      <c r="O140" s="771"/>
      <c r="P140" s="771"/>
      <c r="Q140" s="771"/>
      <c r="R140" s="771"/>
      <c r="S140" s="771"/>
      <c r="T140" s="771"/>
      <c r="U140" s="771"/>
      <c r="V140" s="771"/>
      <c r="W140" s="771"/>
      <c r="X140" s="771"/>
      <c r="Y140" s="771"/>
      <c r="Z140" s="771"/>
    </row>
    <row r="141" ht="15.75" customHeight="1">
      <c r="A141" s="771"/>
      <c r="B141" s="771"/>
      <c r="C141" s="771"/>
      <c r="D141" s="771"/>
      <c r="E141" s="771"/>
      <c r="F141" s="771"/>
      <c r="G141" s="771"/>
      <c r="H141" s="771"/>
      <c r="I141" s="771"/>
      <c r="J141" s="771"/>
      <c r="K141" s="771"/>
      <c r="L141" s="771"/>
      <c r="M141" s="771"/>
      <c r="N141" s="771"/>
      <c r="O141" s="771"/>
      <c r="P141" s="771"/>
      <c r="Q141" s="771"/>
      <c r="R141" s="771"/>
      <c r="S141" s="771"/>
      <c r="T141" s="771"/>
      <c r="U141" s="771"/>
      <c r="V141" s="771"/>
      <c r="W141" s="771"/>
      <c r="X141" s="771"/>
      <c r="Y141" s="771"/>
      <c r="Z141" s="771"/>
    </row>
    <row r="142" ht="15.75" customHeight="1">
      <c r="A142" s="771"/>
      <c r="B142" s="771"/>
      <c r="C142" s="771"/>
      <c r="D142" s="771"/>
      <c r="E142" s="771"/>
      <c r="F142" s="771"/>
      <c r="G142" s="771"/>
      <c r="H142" s="771"/>
      <c r="I142" s="771"/>
      <c r="J142" s="771"/>
      <c r="K142" s="771"/>
      <c r="L142" s="771"/>
      <c r="M142" s="771"/>
      <c r="N142" s="771"/>
      <c r="O142" s="771"/>
      <c r="P142" s="771"/>
      <c r="Q142" s="771"/>
      <c r="R142" s="771"/>
      <c r="S142" s="771"/>
      <c r="T142" s="771"/>
      <c r="U142" s="771"/>
      <c r="V142" s="771"/>
      <c r="W142" s="771"/>
      <c r="X142" s="771"/>
      <c r="Y142" s="771"/>
      <c r="Z142" s="771"/>
    </row>
    <row r="143" ht="15.75" customHeight="1">
      <c r="A143" s="771"/>
      <c r="B143" s="771"/>
      <c r="C143" s="771"/>
      <c r="D143" s="771"/>
      <c r="E143" s="771"/>
      <c r="F143" s="771"/>
      <c r="G143" s="771"/>
      <c r="H143" s="771"/>
      <c r="I143" s="771"/>
      <c r="J143" s="771"/>
      <c r="K143" s="771"/>
      <c r="L143" s="771"/>
      <c r="M143" s="771"/>
      <c r="N143" s="771"/>
      <c r="O143" s="771"/>
      <c r="P143" s="771"/>
      <c r="Q143" s="771"/>
      <c r="R143" s="771"/>
      <c r="S143" s="771"/>
      <c r="T143" s="771"/>
      <c r="U143" s="771"/>
      <c r="V143" s="771"/>
      <c r="W143" s="771"/>
      <c r="X143" s="771"/>
      <c r="Y143" s="771"/>
      <c r="Z143" s="771"/>
    </row>
    <row r="144" ht="15.75" customHeight="1">
      <c r="A144" s="771"/>
      <c r="B144" s="771"/>
      <c r="C144" s="771"/>
      <c r="D144" s="771"/>
      <c r="E144" s="771"/>
      <c r="F144" s="771"/>
      <c r="G144" s="771"/>
      <c r="H144" s="771"/>
      <c r="I144" s="771"/>
      <c r="J144" s="771"/>
      <c r="K144" s="771"/>
      <c r="L144" s="771"/>
      <c r="M144" s="771"/>
      <c r="N144" s="771"/>
      <c r="O144" s="771"/>
      <c r="P144" s="771"/>
      <c r="Q144" s="771"/>
      <c r="R144" s="771"/>
      <c r="S144" s="771"/>
      <c r="T144" s="771"/>
      <c r="U144" s="771"/>
      <c r="V144" s="771"/>
      <c r="W144" s="771"/>
      <c r="X144" s="771"/>
      <c r="Y144" s="771"/>
      <c r="Z144" s="771"/>
    </row>
    <row r="145" ht="15.75" customHeight="1">
      <c r="A145" s="771"/>
      <c r="B145" s="771"/>
      <c r="C145" s="771"/>
      <c r="D145" s="771"/>
      <c r="E145" s="771"/>
      <c r="F145" s="771"/>
      <c r="G145" s="771"/>
      <c r="H145" s="771"/>
      <c r="I145" s="771"/>
      <c r="J145" s="771"/>
      <c r="K145" s="771"/>
      <c r="L145" s="771"/>
      <c r="M145" s="771"/>
      <c r="N145" s="771"/>
      <c r="O145" s="771"/>
      <c r="P145" s="771"/>
      <c r="Q145" s="771"/>
      <c r="R145" s="771"/>
      <c r="S145" s="771"/>
      <c r="T145" s="771"/>
      <c r="U145" s="771"/>
      <c r="V145" s="771"/>
      <c r="W145" s="771"/>
      <c r="X145" s="771"/>
      <c r="Y145" s="771"/>
      <c r="Z145" s="771"/>
    </row>
    <row r="146" ht="15.75" customHeight="1">
      <c r="A146" s="771"/>
      <c r="B146" s="771"/>
      <c r="C146" s="771"/>
      <c r="D146" s="771"/>
      <c r="E146" s="771"/>
      <c r="F146" s="771"/>
      <c r="G146" s="771"/>
      <c r="H146" s="771"/>
      <c r="I146" s="771"/>
      <c r="J146" s="771"/>
      <c r="K146" s="771"/>
      <c r="L146" s="771"/>
      <c r="M146" s="771"/>
      <c r="N146" s="771"/>
      <c r="O146" s="771"/>
      <c r="P146" s="771"/>
      <c r="Q146" s="771"/>
      <c r="R146" s="771"/>
      <c r="S146" s="771"/>
      <c r="T146" s="771"/>
      <c r="U146" s="771"/>
      <c r="V146" s="771"/>
      <c r="W146" s="771"/>
      <c r="X146" s="771"/>
      <c r="Y146" s="771"/>
      <c r="Z146" s="771"/>
    </row>
    <row r="147" ht="15.75" customHeight="1">
      <c r="A147" s="771"/>
      <c r="B147" s="771"/>
      <c r="C147" s="771"/>
      <c r="D147" s="771"/>
      <c r="E147" s="771"/>
      <c r="F147" s="771"/>
      <c r="G147" s="771"/>
      <c r="H147" s="771"/>
      <c r="I147" s="771"/>
      <c r="J147" s="771"/>
      <c r="K147" s="771"/>
      <c r="L147" s="771"/>
      <c r="M147" s="771"/>
      <c r="N147" s="771"/>
      <c r="O147" s="771"/>
      <c r="P147" s="771"/>
      <c r="Q147" s="771"/>
      <c r="R147" s="771"/>
      <c r="S147" s="771"/>
      <c r="T147" s="771"/>
      <c r="U147" s="771"/>
      <c r="V147" s="771"/>
      <c r="W147" s="771"/>
      <c r="X147" s="771"/>
      <c r="Y147" s="771"/>
      <c r="Z147" s="771"/>
    </row>
    <row r="148" ht="15.75" customHeight="1">
      <c r="A148" s="771"/>
      <c r="B148" s="771"/>
      <c r="C148" s="771"/>
      <c r="D148" s="771"/>
      <c r="E148" s="771"/>
      <c r="F148" s="771"/>
      <c r="G148" s="771"/>
      <c r="H148" s="771"/>
      <c r="I148" s="771"/>
      <c r="J148" s="771"/>
      <c r="K148" s="771"/>
      <c r="L148" s="771"/>
      <c r="M148" s="771"/>
      <c r="N148" s="771"/>
      <c r="O148" s="771"/>
      <c r="P148" s="771"/>
      <c r="Q148" s="771"/>
      <c r="R148" s="771"/>
      <c r="S148" s="771"/>
      <c r="T148" s="771"/>
      <c r="U148" s="771"/>
      <c r="V148" s="771"/>
      <c r="W148" s="771"/>
      <c r="X148" s="771"/>
      <c r="Y148" s="771"/>
      <c r="Z148" s="771"/>
    </row>
    <row r="149" ht="15.75" customHeight="1">
      <c r="A149" s="771"/>
      <c r="B149" s="771"/>
      <c r="C149" s="771"/>
      <c r="D149" s="771"/>
      <c r="E149" s="771"/>
      <c r="F149" s="771"/>
      <c r="G149" s="771"/>
      <c r="H149" s="771"/>
      <c r="I149" s="771"/>
      <c r="J149" s="771"/>
      <c r="K149" s="771"/>
      <c r="L149" s="771"/>
      <c r="M149" s="771"/>
      <c r="N149" s="771"/>
      <c r="O149" s="771"/>
      <c r="P149" s="771"/>
      <c r="Q149" s="771"/>
      <c r="R149" s="771"/>
      <c r="S149" s="771"/>
      <c r="T149" s="771"/>
      <c r="U149" s="771"/>
      <c r="V149" s="771"/>
      <c r="W149" s="771"/>
      <c r="X149" s="771"/>
      <c r="Y149" s="771"/>
      <c r="Z149" s="771"/>
    </row>
    <row r="150" ht="15.75" customHeight="1">
      <c r="A150" s="771"/>
      <c r="B150" s="771"/>
      <c r="C150" s="771"/>
      <c r="D150" s="771"/>
      <c r="E150" s="771"/>
      <c r="F150" s="771"/>
      <c r="G150" s="771"/>
      <c r="H150" s="771"/>
      <c r="I150" s="771"/>
      <c r="J150" s="771"/>
      <c r="K150" s="771"/>
      <c r="L150" s="771"/>
      <c r="M150" s="771"/>
      <c r="N150" s="771"/>
      <c r="O150" s="771"/>
      <c r="P150" s="771"/>
      <c r="Q150" s="771"/>
      <c r="R150" s="771"/>
      <c r="S150" s="771"/>
      <c r="T150" s="771"/>
      <c r="U150" s="771"/>
      <c r="V150" s="771"/>
      <c r="W150" s="771"/>
      <c r="X150" s="771"/>
      <c r="Y150" s="771"/>
      <c r="Z150" s="771"/>
    </row>
    <row r="151" ht="15.75" customHeight="1">
      <c r="A151" s="771"/>
      <c r="B151" s="771"/>
      <c r="C151" s="771"/>
      <c r="D151" s="771"/>
      <c r="E151" s="771"/>
      <c r="F151" s="771"/>
      <c r="G151" s="771"/>
      <c r="H151" s="771"/>
      <c r="I151" s="771"/>
      <c r="J151" s="771"/>
      <c r="K151" s="771"/>
      <c r="L151" s="771"/>
      <c r="M151" s="771"/>
      <c r="N151" s="771"/>
      <c r="O151" s="771"/>
      <c r="P151" s="771"/>
      <c r="Q151" s="771"/>
      <c r="R151" s="771"/>
      <c r="S151" s="771"/>
      <c r="T151" s="771"/>
      <c r="U151" s="771"/>
      <c r="V151" s="771"/>
      <c r="W151" s="771"/>
      <c r="X151" s="771"/>
      <c r="Y151" s="771"/>
      <c r="Z151" s="771"/>
    </row>
    <row r="152" ht="15.75" customHeight="1">
      <c r="A152" s="771"/>
      <c r="B152" s="771"/>
      <c r="C152" s="771"/>
      <c r="D152" s="771"/>
      <c r="E152" s="771"/>
      <c r="F152" s="771"/>
      <c r="G152" s="771"/>
      <c r="H152" s="771"/>
      <c r="I152" s="771"/>
      <c r="J152" s="771"/>
      <c r="K152" s="771"/>
      <c r="L152" s="771"/>
      <c r="M152" s="771"/>
      <c r="N152" s="771"/>
      <c r="O152" s="771"/>
      <c r="P152" s="771"/>
      <c r="Q152" s="771"/>
      <c r="R152" s="771"/>
      <c r="S152" s="771"/>
      <c r="T152" s="771"/>
      <c r="U152" s="771"/>
      <c r="V152" s="771"/>
      <c r="W152" s="771"/>
      <c r="X152" s="771"/>
      <c r="Y152" s="771"/>
      <c r="Z152" s="771"/>
    </row>
    <row r="153" ht="15.75" customHeight="1">
      <c r="A153" s="771"/>
      <c r="B153" s="771"/>
      <c r="C153" s="771"/>
      <c r="D153" s="771"/>
      <c r="E153" s="771"/>
      <c r="F153" s="771"/>
      <c r="G153" s="771"/>
      <c r="H153" s="771"/>
      <c r="I153" s="771"/>
      <c r="J153" s="771"/>
      <c r="K153" s="771"/>
      <c r="L153" s="771"/>
      <c r="M153" s="771"/>
      <c r="N153" s="771"/>
      <c r="O153" s="771"/>
      <c r="P153" s="771"/>
      <c r="Q153" s="771"/>
      <c r="R153" s="771"/>
      <c r="S153" s="771"/>
      <c r="T153" s="771"/>
      <c r="U153" s="771"/>
      <c r="V153" s="771"/>
      <c r="W153" s="771"/>
      <c r="X153" s="771"/>
      <c r="Y153" s="771"/>
      <c r="Z153" s="771"/>
    </row>
    <row r="154" ht="15.75" customHeight="1">
      <c r="A154" s="771"/>
      <c r="B154" s="771"/>
      <c r="C154" s="771"/>
      <c r="D154" s="771"/>
      <c r="E154" s="771"/>
      <c r="F154" s="771"/>
      <c r="G154" s="771"/>
      <c r="H154" s="771"/>
      <c r="I154" s="771"/>
      <c r="J154" s="771"/>
      <c r="K154" s="771"/>
      <c r="L154" s="771"/>
      <c r="M154" s="771"/>
      <c r="N154" s="771"/>
      <c r="O154" s="771"/>
      <c r="P154" s="771"/>
      <c r="Q154" s="771"/>
      <c r="R154" s="771"/>
      <c r="S154" s="771"/>
      <c r="T154" s="771"/>
      <c r="U154" s="771"/>
      <c r="V154" s="771"/>
      <c r="W154" s="771"/>
      <c r="X154" s="771"/>
      <c r="Y154" s="771"/>
      <c r="Z154" s="771"/>
    </row>
    <row r="155" ht="15.75" customHeight="1">
      <c r="A155" s="771"/>
      <c r="B155" s="771"/>
      <c r="C155" s="771"/>
      <c r="D155" s="771"/>
      <c r="E155" s="771"/>
      <c r="F155" s="771"/>
      <c r="G155" s="771"/>
      <c r="H155" s="771"/>
      <c r="I155" s="771"/>
      <c r="J155" s="771"/>
      <c r="K155" s="771"/>
      <c r="L155" s="771"/>
      <c r="M155" s="771"/>
      <c r="N155" s="771"/>
      <c r="O155" s="771"/>
      <c r="P155" s="771"/>
      <c r="Q155" s="771"/>
      <c r="R155" s="771"/>
      <c r="S155" s="771"/>
      <c r="T155" s="771"/>
      <c r="U155" s="771"/>
      <c r="V155" s="771"/>
      <c r="W155" s="771"/>
      <c r="X155" s="771"/>
      <c r="Y155" s="771"/>
      <c r="Z155" s="771"/>
    </row>
    <row r="156" ht="15.75" customHeight="1">
      <c r="A156" s="771"/>
      <c r="B156" s="771"/>
      <c r="C156" s="771"/>
      <c r="D156" s="771"/>
      <c r="E156" s="771"/>
      <c r="F156" s="771"/>
      <c r="G156" s="771"/>
      <c r="H156" s="771"/>
      <c r="I156" s="771"/>
      <c r="J156" s="771"/>
      <c r="K156" s="771"/>
      <c r="L156" s="771"/>
      <c r="M156" s="771"/>
      <c r="N156" s="771"/>
      <c r="O156" s="771"/>
      <c r="P156" s="771"/>
      <c r="Q156" s="771"/>
      <c r="R156" s="771"/>
      <c r="S156" s="771"/>
      <c r="T156" s="771"/>
      <c r="U156" s="771"/>
      <c r="V156" s="771"/>
      <c r="W156" s="771"/>
      <c r="X156" s="771"/>
      <c r="Y156" s="771"/>
      <c r="Z156" s="771"/>
    </row>
    <row r="157" ht="15.75" customHeight="1">
      <c r="A157" s="771"/>
      <c r="B157" s="771"/>
      <c r="C157" s="771"/>
      <c r="D157" s="771"/>
      <c r="E157" s="771"/>
      <c r="F157" s="771"/>
      <c r="G157" s="771"/>
      <c r="H157" s="771"/>
      <c r="I157" s="771"/>
      <c r="J157" s="771"/>
      <c r="K157" s="771"/>
      <c r="L157" s="771"/>
      <c r="M157" s="771"/>
      <c r="N157" s="771"/>
      <c r="O157" s="771"/>
      <c r="P157" s="771"/>
      <c r="Q157" s="771"/>
      <c r="R157" s="771"/>
      <c r="S157" s="771"/>
      <c r="T157" s="771"/>
      <c r="U157" s="771"/>
      <c r="V157" s="771"/>
      <c r="W157" s="771"/>
      <c r="X157" s="771"/>
      <c r="Y157" s="771"/>
      <c r="Z157" s="771"/>
    </row>
    <row r="158" ht="15.75" customHeight="1">
      <c r="A158" s="771"/>
      <c r="B158" s="771"/>
      <c r="C158" s="771"/>
      <c r="D158" s="771"/>
      <c r="E158" s="771"/>
      <c r="F158" s="771"/>
      <c r="G158" s="771"/>
      <c r="H158" s="771"/>
      <c r="I158" s="771"/>
      <c r="J158" s="771"/>
      <c r="K158" s="771"/>
      <c r="L158" s="771"/>
      <c r="M158" s="771"/>
      <c r="N158" s="771"/>
      <c r="O158" s="771"/>
      <c r="P158" s="771"/>
      <c r="Q158" s="771"/>
      <c r="R158" s="771"/>
      <c r="S158" s="771"/>
      <c r="T158" s="771"/>
      <c r="U158" s="771"/>
      <c r="V158" s="771"/>
      <c r="W158" s="771"/>
      <c r="X158" s="771"/>
      <c r="Y158" s="771"/>
      <c r="Z158" s="771"/>
    </row>
    <row r="159" ht="15.75" customHeight="1">
      <c r="A159" s="771"/>
      <c r="B159" s="771"/>
      <c r="C159" s="771"/>
      <c r="D159" s="771"/>
      <c r="E159" s="771"/>
      <c r="F159" s="771"/>
      <c r="G159" s="771"/>
      <c r="H159" s="771"/>
      <c r="I159" s="771"/>
      <c r="J159" s="771"/>
      <c r="K159" s="771"/>
      <c r="L159" s="771"/>
      <c r="M159" s="771"/>
      <c r="N159" s="771"/>
      <c r="O159" s="771"/>
      <c r="P159" s="771"/>
      <c r="Q159" s="771"/>
      <c r="R159" s="771"/>
      <c r="S159" s="771"/>
      <c r="T159" s="771"/>
      <c r="U159" s="771"/>
      <c r="V159" s="771"/>
      <c r="W159" s="771"/>
      <c r="X159" s="771"/>
      <c r="Y159" s="771"/>
      <c r="Z159" s="771"/>
    </row>
    <row r="160" ht="15.75" customHeight="1">
      <c r="A160" s="771"/>
      <c r="B160" s="771"/>
      <c r="C160" s="771"/>
      <c r="D160" s="771"/>
      <c r="E160" s="771"/>
      <c r="F160" s="771"/>
      <c r="G160" s="771"/>
      <c r="H160" s="771"/>
      <c r="I160" s="771"/>
      <c r="J160" s="771"/>
      <c r="K160" s="771"/>
      <c r="L160" s="771"/>
      <c r="M160" s="771"/>
      <c r="N160" s="771"/>
      <c r="O160" s="771"/>
      <c r="P160" s="771"/>
      <c r="Q160" s="771"/>
      <c r="R160" s="771"/>
      <c r="S160" s="771"/>
      <c r="T160" s="771"/>
      <c r="U160" s="771"/>
      <c r="V160" s="771"/>
      <c r="W160" s="771"/>
      <c r="X160" s="771"/>
      <c r="Y160" s="771"/>
      <c r="Z160" s="771"/>
    </row>
    <row r="161" ht="15.75" customHeight="1">
      <c r="A161" s="771"/>
      <c r="B161" s="771"/>
      <c r="C161" s="771"/>
      <c r="D161" s="771"/>
      <c r="E161" s="771"/>
      <c r="F161" s="771"/>
      <c r="G161" s="771"/>
      <c r="H161" s="771"/>
      <c r="I161" s="771"/>
      <c r="J161" s="771"/>
      <c r="K161" s="771"/>
      <c r="L161" s="771"/>
      <c r="M161" s="771"/>
      <c r="N161" s="771"/>
      <c r="O161" s="771"/>
      <c r="P161" s="771"/>
      <c r="Q161" s="771"/>
      <c r="R161" s="771"/>
      <c r="S161" s="771"/>
      <c r="T161" s="771"/>
      <c r="U161" s="771"/>
      <c r="V161" s="771"/>
      <c r="W161" s="771"/>
      <c r="X161" s="771"/>
      <c r="Y161" s="771"/>
      <c r="Z161" s="771"/>
    </row>
    <row r="162" ht="15.75" customHeight="1">
      <c r="A162" s="771"/>
      <c r="B162" s="771"/>
      <c r="C162" s="771"/>
      <c r="D162" s="771"/>
      <c r="E162" s="771"/>
      <c r="F162" s="771"/>
      <c r="G162" s="771"/>
      <c r="H162" s="771"/>
      <c r="I162" s="771"/>
      <c r="J162" s="771"/>
      <c r="K162" s="771"/>
      <c r="L162" s="771"/>
      <c r="M162" s="771"/>
      <c r="N162" s="771"/>
      <c r="O162" s="771"/>
      <c r="P162" s="771"/>
      <c r="Q162" s="771"/>
      <c r="R162" s="771"/>
      <c r="S162" s="771"/>
      <c r="T162" s="771"/>
      <c r="U162" s="771"/>
      <c r="V162" s="771"/>
      <c r="W162" s="771"/>
      <c r="X162" s="771"/>
      <c r="Y162" s="771"/>
      <c r="Z162" s="771"/>
    </row>
    <row r="163" ht="15.75" customHeight="1">
      <c r="A163" s="771"/>
      <c r="B163" s="771"/>
      <c r="C163" s="771"/>
      <c r="D163" s="771"/>
      <c r="E163" s="771"/>
      <c r="F163" s="771"/>
      <c r="G163" s="771"/>
      <c r="H163" s="771"/>
      <c r="I163" s="771"/>
      <c r="J163" s="771"/>
      <c r="K163" s="771"/>
      <c r="L163" s="771"/>
      <c r="M163" s="771"/>
      <c r="N163" s="771"/>
      <c r="O163" s="771"/>
      <c r="P163" s="771"/>
      <c r="Q163" s="771"/>
      <c r="R163" s="771"/>
      <c r="S163" s="771"/>
      <c r="T163" s="771"/>
      <c r="U163" s="771"/>
      <c r="V163" s="771"/>
      <c r="W163" s="771"/>
      <c r="X163" s="771"/>
      <c r="Y163" s="771"/>
      <c r="Z163" s="771"/>
    </row>
    <row r="164" ht="15.75" customHeight="1">
      <c r="A164" s="771"/>
      <c r="B164" s="771"/>
      <c r="C164" s="771"/>
      <c r="D164" s="771"/>
      <c r="E164" s="771"/>
      <c r="F164" s="771"/>
      <c r="G164" s="771"/>
      <c r="H164" s="771"/>
      <c r="I164" s="771"/>
      <c r="J164" s="771"/>
      <c r="K164" s="771"/>
      <c r="L164" s="771"/>
      <c r="M164" s="771"/>
      <c r="N164" s="771"/>
      <c r="O164" s="771"/>
      <c r="P164" s="771"/>
      <c r="Q164" s="771"/>
      <c r="R164" s="771"/>
      <c r="S164" s="771"/>
      <c r="T164" s="771"/>
      <c r="U164" s="771"/>
      <c r="V164" s="771"/>
      <c r="W164" s="771"/>
      <c r="X164" s="771"/>
      <c r="Y164" s="771"/>
      <c r="Z164" s="771"/>
    </row>
    <row r="165" ht="15.75" customHeight="1">
      <c r="A165" s="771"/>
      <c r="B165" s="771"/>
      <c r="C165" s="771"/>
      <c r="D165" s="771"/>
      <c r="E165" s="771"/>
      <c r="F165" s="771"/>
      <c r="G165" s="771"/>
      <c r="H165" s="771"/>
      <c r="I165" s="771"/>
      <c r="J165" s="771"/>
      <c r="K165" s="771"/>
      <c r="L165" s="771"/>
      <c r="M165" s="771"/>
      <c r="N165" s="771"/>
      <c r="O165" s="771"/>
      <c r="P165" s="771"/>
      <c r="Q165" s="771"/>
      <c r="R165" s="771"/>
      <c r="S165" s="771"/>
      <c r="T165" s="771"/>
      <c r="U165" s="771"/>
      <c r="V165" s="771"/>
      <c r="W165" s="771"/>
      <c r="X165" s="771"/>
      <c r="Y165" s="771"/>
      <c r="Z165" s="771"/>
    </row>
    <row r="166" ht="15.75" customHeight="1">
      <c r="A166" s="771"/>
      <c r="B166" s="771"/>
      <c r="C166" s="771"/>
      <c r="D166" s="771"/>
      <c r="E166" s="771"/>
      <c r="F166" s="771"/>
      <c r="G166" s="771"/>
      <c r="H166" s="771"/>
      <c r="I166" s="771"/>
      <c r="J166" s="771"/>
      <c r="K166" s="771"/>
      <c r="L166" s="771"/>
      <c r="M166" s="771"/>
      <c r="N166" s="771"/>
      <c r="O166" s="771"/>
      <c r="P166" s="771"/>
      <c r="Q166" s="771"/>
      <c r="R166" s="771"/>
      <c r="S166" s="771"/>
      <c r="T166" s="771"/>
      <c r="U166" s="771"/>
      <c r="V166" s="771"/>
      <c r="W166" s="771"/>
      <c r="X166" s="771"/>
      <c r="Y166" s="771"/>
      <c r="Z166" s="771"/>
    </row>
    <row r="167" ht="15.75" customHeight="1">
      <c r="A167" s="771"/>
      <c r="B167" s="771"/>
      <c r="C167" s="771"/>
      <c r="D167" s="771"/>
      <c r="E167" s="771"/>
      <c r="F167" s="771"/>
      <c r="G167" s="771"/>
      <c r="H167" s="771"/>
      <c r="I167" s="771"/>
      <c r="J167" s="771"/>
      <c r="K167" s="771"/>
      <c r="L167" s="771"/>
      <c r="M167" s="771"/>
      <c r="N167" s="771"/>
      <c r="O167" s="771"/>
      <c r="P167" s="771"/>
      <c r="Q167" s="771"/>
      <c r="R167" s="771"/>
      <c r="S167" s="771"/>
      <c r="T167" s="771"/>
      <c r="U167" s="771"/>
      <c r="V167" s="771"/>
      <c r="W167" s="771"/>
      <c r="X167" s="771"/>
      <c r="Y167" s="771"/>
      <c r="Z167" s="771"/>
    </row>
    <row r="168" ht="15.75" customHeight="1">
      <c r="A168" s="771"/>
      <c r="B168" s="771"/>
      <c r="C168" s="771"/>
      <c r="D168" s="771"/>
      <c r="E168" s="771"/>
      <c r="F168" s="771"/>
      <c r="G168" s="771"/>
      <c r="H168" s="771"/>
      <c r="I168" s="771"/>
      <c r="J168" s="771"/>
      <c r="K168" s="771"/>
      <c r="L168" s="771"/>
      <c r="M168" s="771"/>
      <c r="N168" s="771"/>
      <c r="O168" s="771"/>
      <c r="P168" s="771"/>
      <c r="Q168" s="771"/>
      <c r="R168" s="771"/>
      <c r="S168" s="771"/>
      <c r="T168" s="771"/>
      <c r="U168" s="771"/>
      <c r="V168" s="771"/>
      <c r="W168" s="771"/>
      <c r="X168" s="771"/>
      <c r="Y168" s="771"/>
      <c r="Z168" s="771"/>
    </row>
    <row r="169" ht="15.75" customHeight="1">
      <c r="A169" s="771"/>
      <c r="B169" s="771"/>
      <c r="C169" s="771"/>
      <c r="D169" s="771"/>
      <c r="E169" s="771"/>
      <c r="F169" s="771"/>
      <c r="G169" s="771"/>
      <c r="H169" s="771"/>
      <c r="I169" s="771"/>
      <c r="J169" s="771"/>
      <c r="K169" s="771"/>
      <c r="L169" s="771"/>
      <c r="M169" s="771"/>
      <c r="N169" s="771"/>
      <c r="O169" s="771"/>
      <c r="P169" s="771"/>
      <c r="Q169" s="771"/>
      <c r="R169" s="771"/>
      <c r="S169" s="771"/>
      <c r="T169" s="771"/>
      <c r="U169" s="771"/>
      <c r="V169" s="771"/>
      <c r="W169" s="771"/>
      <c r="X169" s="771"/>
      <c r="Y169" s="771"/>
      <c r="Z169" s="771"/>
    </row>
    <row r="170" ht="15.75" customHeight="1">
      <c r="A170" s="771"/>
      <c r="B170" s="771"/>
      <c r="C170" s="771"/>
      <c r="D170" s="771"/>
      <c r="E170" s="771"/>
      <c r="F170" s="771"/>
      <c r="G170" s="771"/>
      <c r="H170" s="771"/>
      <c r="I170" s="771"/>
      <c r="J170" s="771"/>
      <c r="K170" s="771"/>
      <c r="L170" s="771"/>
      <c r="M170" s="771"/>
      <c r="N170" s="771"/>
      <c r="O170" s="771"/>
      <c r="P170" s="771"/>
      <c r="Q170" s="771"/>
      <c r="R170" s="771"/>
      <c r="S170" s="771"/>
      <c r="T170" s="771"/>
      <c r="U170" s="771"/>
      <c r="V170" s="771"/>
      <c r="W170" s="771"/>
      <c r="X170" s="771"/>
      <c r="Y170" s="771"/>
      <c r="Z170" s="771"/>
    </row>
    <row r="171" ht="15.75" customHeight="1">
      <c r="A171" s="771"/>
      <c r="B171" s="771"/>
      <c r="C171" s="771"/>
      <c r="D171" s="771"/>
      <c r="E171" s="771"/>
      <c r="F171" s="771"/>
      <c r="G171" s="771"/>
      <c r="H171" s="771"/>
      <c r="I171" s="771"/>
      <c r="J171" s="771"/>
      <c r="K171" s="771"/>
      <c r="L171" s="771"/>
      <c r="M171" s="771"/>
      <c r="N171" s="771"/>
      <c r="O171" s="771"/>
      <c r="P171" s="771"/>
      <c r="Q171" s="771"/>
      <c r="R171" s="771"/>
      <c r="S171" s="771"/>
      <c r="T171" s="771"/>
      <c r="U171" s="771"/>
      <c r="V171" s="771"/>
      <c r="W171" s="771"/>
      <c r="X171" s="771"/>
      <c r="Y171" s="771"/>
      <c r="Z171" s="771"/>
    </row>
    <row r="172" ht="15.75" customHeight="1">
      <c r="A172" s="771"/>
      <c r="B172" s="771"/>
      <c r="C172" s="771"/>
      <c r="D172" s="771"/>
      <c r="E172" s="771"/>
      <c r="F172" s="771"/>
      <c r="G172" s="771"/>
      <c r="H172" s="771"/>
      <c r="I172" s="771"/>
      <c r="J172" s="771"/>
      <c r="K172" s="771"/>
      <c r="L172" s="771"/>
      <c r="M172" s="771"/>
      <c r="N172" s="771"/>
      <c r="O172" s="771"/>
      <c r="P172" s="771"/>
      <c r="Q172" s="771"/>
      <c r="R172" s="771"/>
      <c r="S172" s="771"/>
      <c r="T172" s="771"/>
      <c r="U172" s="771"/>
      <c r="V172" s="771"/>
      <c r="W172" s="771"/>
      <c r="X172" s="771"/>
      <c r="Y172" s="771"/>
      <c r="Z172" s="771"/>
    </row>
    <row r="173" ht="15.75" customHeight="1">
      <c r="A173" s="771"/>
      <c r="B173" s="771"/>
      <c r="C173" s="771"/>
      <c r="D173" s="771"/>
      <c r="E173" s="771"/>
      <c r="F173" s="771"/>
      <c r="G173" s="771"/>
      <c r="H173" s="771"/>
      <c r="I173" s="771"/>
      <c r="J173" s="771"/>
      <c r="K173" s="771"/>
      <c r="L173" s="771"/>
      <c r="M173" s="771"/>
      <c r="N173" s="771"/>
      <c r="O173" s="771"/>
      <c r="P173" s="771"/>
      <c r="Q173" s="771"/>
      <c r="R173" s="771"/>
      <c r="S173" s="771"/>
      <c r="T173" s="771"/>
      <c r="U173" s="771"/>
      <c r="V173" s="771"/>
      <c r="W173" s="771"/>
      <c r="X173" s="771"/>
      <c r="Y173" s="771"/>
      <c r="Z173" s="771"/>
    </row>
    <row r="174" ht="15.75" customHeight="1">
      <c r="A174" s="771"/>
      <c r="B174" s="771"/>
      <c r="C174" s="771"/>
      <c r="D174" s="771"/>
      <c r="E174" s="771"/>
      <c r="F174" s="771"/>
      <c r="G174" s="771"/>
      <c r="H174" s="771"/>
      <c r="I174" s="771"/>
      <c r="J174" s="771"/>
      <c r="K174" s="771"/>
      <c r="L174" s="771"/>
      <c r="M174" s="771"/>
      <c r="N174" s="771"/>
      <c r="O174" s="771"/>
      <c r="P174" s="771"/>
      <c r="Q174" s="771"/>
      <c r="R174" s="771"/>
      <c r="S174" s="771"/>
      <c r="T174" s="771"/>
      <c r="U174" s="771"/>
      <c r="V174" s="771"/>
      <c r="W174" s="771"/>
      <c r="X174" s="771"/>
      <c r="Y174" s="771"/>
      <c r="Z174" s="771"/>
    </row>
    <row r="175" ht="15.75" customHeight="1">
      <c r="A175" s="771"/>
      <c r="B175" s="771"/>
      <c r="C175" s="771"/>
      <c r="D175" s="771"/>
      <c r="E175" s="771"/>
      <c r="F175" s="771"/>
      <c r="G175" s="771"/>
      <c r="H175" s="771"/>
      <c r="I175" s="771"/>
      <c r="J175" s="771"/>
      <c r="K175" s="771"/>
      <c r="L175" s="771"/>
      <c r="M175" s="771"/>
      <c r="N175" s="771"/>
      <c r="O175" s="771"/>
      <c r="P175" s="771"/>
      <c r="Q175" s="771"/>
      <c r="R175" s="771"/>
      <c r="S175" s="771"/>
      <c r="T175" s="771"/>
      <c r="U175" s="771"/>
      <c r="V175" s="771"/>
      <c r="W175" s="771"/>
      <c r="X175" s="771"/>
      <c r="Y175" s="771"/>
      <c r="Z175" s="771"/>
    </row>
    <row r="176" ht="15.75" customHeight="1">
      <c r="A176" s="771"/>
      <c r="B176" s="771"/>
      <c r="C176" s="771"/>
      <c r="D176" s="771"/>
      <c r="E176" s="771"/>
      <c r="F176" s="771"/>
      <c r="G176" s="771"/>
      <c r="H176" s="771"/>
      <c r="I176" s="771"/>
      <c r="J176" s="771"/>
      <c r="K176" s="771"/>
      <c r="L176" s="771"/>
      <c r="M176" s="771"/>
      <c r="N176" s="771"/>
      <c r="O176" s="771"/>
      <c r="P176" s="771"/>
      <c r="Q176" s="771"/>
      <c r="R176" s="771"/>
      <c r="S176" s="771"/>
      <c r="T176" s="771"/>
      <c r="U176" s="771"/>
      <c r="V176" s="771"/>
      <c r="W176" s="771"/>
      <c r="X176" s="771"/>
      <c r="Y176" s="771"/>
      <c r="Z176" s="771"/>
    </row>
    <row r="177" ht="15.75" customHeight="1">
      <c r="A177" s="771"/>
      <c r="B177" s="771"/>
      <c r="C177" s="771"/>
      <c r="D177" s="771"/>
      <c r="E177" s="771"/>
      <c r="F177" s="771"/>
      <c r="G177" s="771"/>
      <c r="H177" s="771"/>
      <c r="I177" s="771"/>
      <c r="J177" s="771"/>
      <c r="K177" s="771"/>
      <c r="L177" s="771"/>
      <c r="M177" s="771"/>
      <c r="N177" s="771"/>
      <c r="O177" s="771"/>
      <c r="P177" s="771"/>
      <c r="Q177" s="771"/>
      <c r="R177" s="771"/>
      <c r="S177" s="771"/>
      <c r="T177" s="771"/>
      <c r="U177" s="771"/>
      <c r="V177" s="771"/>
      <c r="W177" s="771"/>
      <c r="X177" s="771"/>
      <c r="Y177" s="771"/>
      <c r="Z177" s="771"/>
    </row>
    <row r="178" ht="15.75" customHeight="1">
      <c r="A178" s="771"/>
      <c r="B178" s="771"/>
      <c r="C178" s="771"/>
      <c r="D178" s="771"/>
      <c r="E178" s="771"/>
      <c r="F178" s="771"/>
      <c r="G178" s="771"/>
      <c r="H178" s="771"/>
      <c r="I178" s="771"/>
      <c r="J178" s="771"/>
      <c r="K178" s="771"/>
      <c r="L178" s="771"/>
      <c r="M178" s="771"/>
      <c r="N178" s="771"/>
      <c r="O178" s="771"/>
      <c r="P178" s="771"/>
      <c r="Q178" s="771"/>
      <c r="R178" s="771"/>
      <c r="S178" s="771"/>
      <c r="T178" s="771"/>
      <c r="U178" s="771"/>
      <c r="V178" s="771"/>
      <c r="W178" s="771"/>
      <c r="X178" s="771"/>
      <c r="Y178" s="771"/>
      <c r="Z178" s="771"/>
    </row>
    <row r="179" ht="15.75" customHeight="1">
      <c r="A179" s="771"/>
      <c r="B179" s="771"/>
      <c r="C179" s="771"/>
      <c r="D179" s="771"/>
      <c r="E179" s="771"/>
      <c r="F179" s="771"/>
      <c r="G179" s="771"/>
      <c r="H179" s="771"/>
      <c r="I179" s="771"/>
      <c r="J179" s="771"/>
      <c r="K179" s="771"/>
      <c r="L179" s="771"/>
      <c r="M179" s="771"/>
      <c r="N179" s="771"/>
      <c r="O179" s="771"/>
      <c r="P179" s="771"/>
      <c r="Q179" s="771"/>
      <c r="R179" s="771"/>
      <c r="S179" s="771"/>
      <c r="T179" s="771"/>
      <c r="U179" s="771"/>
      <c r="V179" s="771"/>
      <c r="W179" s="771"/>
      <c r="X179" s="771"/>
      <c r="Y179" s="771"/>
      <c r="Z179" s="771"/>
    </row>
    <row r="180" ht="15.75" customHeight="1">
      <c r="A180" s="771"/>
      <c r="B180" s="771"/>
      <c r="C180" s="771"/>
      <c r="D180" s="771"/>
      <c r="E180" s="771"/>
      <c r="F180" s="771"/>
      <c r="G180" s="771"/>
      <c r="H180" s="771"/>
      <c r="I180" s="771"/>
      <c r="J180" s="771"/>
      <c r="K180" s="771"/>
      <c r="L180" s="771"/>
      <c r="M180" s="771"/>
      <c r="N180" s="771"/>
      <c r="O180" s="771"/>
      <c r="P180" s="771"/>
      <c r="Q180" s="771"/>
      <c r="R180" s="771"/>
      <c r="S180" s="771"/>
      <c r="T180" s="771"/>
      <c r="U180" s="771"/>
      <c r="V180" s="771"/>
      <c r="W180" s="771"/>
      <c r="X180" s="771"/>
      <c r="Y180" s="771"/>
      <c r="Z180" s="771"/>
    </row>
    <row r="181" ht="15.75" customHeight="1">
      <c r="A181" s="771"/>
      <c r="B181" s="771"/>
      <c r="C181" s="771"/>
      <c r="D181" s="771"/>
      <c r="E181" s="771"/>
      <c r="F181" s="771"/>
      <c r="G181" s="771"/>
      <c r="H181" s="771"/>
      <c r="I181" s="771"/>
      <c r="J181" s="771"/>
      <c r="K181" s="771"/>
      <c r="L181" s="771"/>
      <c r="M181" s="771"/>
      <c r="N181" s="771"/>
      <c r="O181" s="771"/>
      <c r="P181" s="771"/>
      <c r="Q181" s="771"/>
      <c r="R181" s="771"/>
      <c r="S181" s="771"/>
      <c r="T181" s="771"/>
      <c r="U181" s="771"/>
      <c r="V181" s="771"/>
      <c r="W181" s="771"/>
      <c r="X181" s="771"/>
      <c r="Y181" s="771"/>
      <c r="Z181" s="771"/>
    </row>
    <row r="182" ht="15.75" customHeight="1">
      <c r="A182" s="771"/>
      <c r="B182" s="771"/>
      <c r="C182" s="771"/>
      <c r="D182" s="771"/>
      <c r="E182" s="771"/>
      <c r="F182" s="771"/>
      <c r="G182" s="771"/>
      <c r="H182" s="771"/>
      <c r="I182" s="771"/>
      <c r="J182" s="771"/>
      <c r="K182" s="771"/>
      <c r="L182" s="771"/>
      <c r="M182" s="771"/>
      <c r="N182" s="771"/>
      <c r="O182" s="771"/>
      <c r="P182" s="771"/>
      <c r="Q182" s="771"/>
      <c r="R182" s="771"/>
      <c r="S182" s="771"/>
      <c r="T182" s="771"/>
      <c r="U182" s="771"/>
      <c r="V182" s="771"/>
      <c r="W182" s="771"/>
      <c r="X182" s="771"/>
      <c r="Y182" s="771"/>
      <c r="Z182" s="771"/>
    </row>
    <row r="183" ht="15.75" customHeight="1">
      <c r="A183" s="771"/>
      <c r="B183" s="771"/>
      <c r="C183" s="771"/>
      <c r="D183" s="771"/>
      <c r="E183" s="771"/>
      <c r="F183" s="771"/>
      <c r="G183" s="771"/>
      <c r="H183" s="771"/>
      <c r="I183" s="771"/>
      <c r="J183" s="771"/>
      <c r="K183" s="771"/>
      <c r="L183" s="771"/>
      <c r="M183" s="771"/>
      <c r="N183" s="771"/>
      <c r="O183" s="771"/>
      <c r="P183" s="771"/>
      <c r="Q183" s="771"/>
      <c r="R183" s="771"/>
      <c r="S183" s="771"/>
      <c r="T183" s="771"/>
      <c r="U183" s="771"/>
      <c r="V183" s="771"/>
      <c r="W183" s="771"/>
      <c r="X183" s="771"/>
      <c r="Y183" s="771"/>
      <c r="Z183" s="771"/>
    </row>
    <row r="184" ht="15.75" customHeight="1">
      <c r="A184" s="771"/>
      <c r="B184" s="771"/>
      <c r="C184" s="771"/>
      <c r="D184" s="771"/>
      <c r="E184" s="771"/>
      <c r="F184" s="771"/>
      <c r="G184" s="771"/>
      <c r="H184" s="771"/>
      <c r="I184" s="771"/>
      <c r="J184" s="771"/>
      <c r="K184" s="771"/>
      <c r="L184" s="771"/>
      <c r="M184" s="771"/>
      <c r="N184" s="771"/>
      <c r="O184" s="771"/>
      <c r="P184" s="771"/>
      <c r="Q184" s="771"/>
      <c r="R184" s="771"/>
      <c r="S184" s="771"/>
      <c r="T184" s="771"/>
      <c r="U184" s="771"/>
      <c r="V184" s="771"/>
      <c r="W184" s="771"/>
      <c r="X184" s="771"/>
      <c r="Y184" s="771"/>
      <c r="Z184" s="771"/>
    </row>
    <row r="185" ht="15.75" customHeight="1">
      <c r="A185" s="771"/>
      <c r="B185" s="771"/>
      <c r="C185" s="771"/>
      <c r="D185" s="771"/>
      <c r="E185" s="771"/>
      <c r="F185" s="771"/>
      <c r="G185" s="771"/>
      <c r="H185" s="771"/>
      <c r="I185" s="771"/>
      <c r="J185" s="771"/>
      <c r="K185" s="771"/>
      <c r="L185" s="771"/>
      <c r="M185" s="771"/>
      <c r="N185" s="771"/>
      <c r="O185" s="771"/>
      <c r="P185" s="771"/>
      <c r="Q185" s="771"/>
      <c r="R185" s="771"/>
      <c r="S185" s="771"/>
      <c r="T185" s="771"/>
      <c r="U185" s="771"/>
      <c r="V185" s="771"/>
      <c r="W185" s="771"/>
      <c r="X185" s="771"/>
      <c r="Y185" s="771"/>
      <c r="Z185" s="771"/>
    </row>
    <row r="186" ht="15.75" customHeight="1">
      <c r="A186" s="771"/>
      <c r="B186" s="771"/>
      <c r="C186" s="771"/>
      <c r="D186" s="771"/>
      <c r="E186" s="771"/>
      <c r="F186" s="771"/>
      <c r="G186" s="771"/>
      <c r="H186" s="771"/>
      <c r="I186" s="771"/>
      <c r="J186" s="771"/>
      <c r="K186" s="771"/>
      <c r="L186" s="771"/>
      <c r="M186" s="771"/>
      <c r="N186" s="771"/>
      <c r="O186" s="771"/>
      <c r="P186" s="771"/>
      <c r="Q186" s="771"/>
      <c r="R186" s="771"/>
      <c r="S186" s="771"/>
      <c r="T186" s="771"/>
      <c r="U186" s="771"/>
      <c r="V186" s="771"/>
      <c r="W186" s="771"/>
      <c r="X186" s="771"/>
      <c r="Y186" s="771"/>
      <c r="Z186" s="771"/>
    </row>
    <row r="187" ht="15.75" customHeight="1">
      <c r="A187" s="771"/>
      <c r="B187" s="771"/>
      <c r="C187" s="771"/>
      <c r="D187" s="771"/>
      <c r="E187" s="771"/>
      <c r="F187" s="771"/>
      <c r="G187" s="771"/>
      <c r="H187" s="771"/>
      <c r="I187" s="771"/>
      <c r="J187" s="771"/>
      <c r="K187" s="771"/>
      <c r="L187" s="771"/>
      <c r="M187" s="771"/>
      <c r="N187" s="771"/>
      <c r="O187" s="771"/>
      <c r="P187" s="771"/>
      <c r="Q187" s="771"/>
      <c r="R187" s="771"/>
      <c r="S187" s="771"/>
      <c r="T187" s="771"/>
      <c r="U187" s="771"/>
      <c r="V187" s="771"/>
      <c r="W187" s="771"/>
      <c r="X187" s="771"/>
      <c r="Y187" s="771"/>
      <c r="Z187" s="771"/>
    </row>
    <row r="188" ht="15.75" customHeight="1">
      <c r="A188" s="771"/>
      <c r="B188" s="771"/>
      <c r="C188" s="771"/>
      <c r="D188" s="771"/>
      <c r="E188" s="771"/>
      <c r="F188" s="771"/>
      <c r="G188" s="771"/>
      <c r="H188" s="771"/>
      <c r="I188" s="771"/>
      <c r="J188" s="771"/>
      <c r="K188" s="771"/>
      <c r="L188" s="771"/>
      <c r="M188" s="771"/>
      <c r="N188" s="771"/>
      <c r="O188" s="771"/>
      <c r="P188" s="771"/>
      <c r="Q188" s="771"/>
      <c r="R188" s="771"/>
      <c r="S188" s="771"/>
      <c r="T188" s="771"/>
      <c r="U188" s="771"/>
      <c r="V188" s="771"/>
      <c r="W188" s="771"/>
      <c r="X188" s="771"/>
      <c r="Y188" s="771"/>
      <c r="Z188" s="771"/>
    </row>
    <row r="189" ht="15.75" customHeight="1">
      <c r="A189" s="771"/>
      <c r="B189" s="771"/>
      <c r="C189" s="771"/>
      <c r="D189" s="771"/>
      <c r="E189" s="771"/>
      <c r="F189" s="771"/>
      <c r="G189" s="771"/>
      <c r="H189" s="771"/>
      <c r="I189" s="771"/>
      <c r="J189" s="771"/>
      <c r="K189" s="771"/>
      <c r="L189" s="771"/>
      <c r="M189" s="771"/>
      <c r="N189" s="771"/>
      <c r="O189" s="771"/>
      <c r="P189" s="771"/>
      <c r="Q189" s="771"/>
      <c r="R189" s="771"/>
      <c r="S189" s="771"/>
      <c r="T189" s="771"/>
      <c r="U189" s="771"/>
      <c r="V189" s="771"/>
      <c r="W189" s="771"/>
      <c r="X189" s="771"/>
      <c r="Y189" s="771"/>
      <c r="Z189" s="771"/>
    </row>
    <row r="190" ht="15.75" customHeight="1">
      <c r="A190" s="771"/>
      <c r="B190" s="771"/>
      <c r="C190" s="771"/>
      <c r="D190" s="771"/>
      <c r="E190" s="771"/>
      <c r="F190" s="771"/>
      <c r="G190" s="771"/>
      <c r="H190" s="771"/>
      <c r="I190" s="771"/>
      <c r="J190" s="771"/>
      <c r="K190" s="771"/>
      <c r="L190" s="771"/>
      <c r="M190" s="771"/>
      <c r="N190" s="771"/>
      <c r="O190" s="771"/>
      <c r="P190" s="771"/>
      <c r="Q190" s="771"/>
      <c r="R190" s="771"/>
      <c r="S190" s="771"/>
      <c r="T190" s="771"/>
      <c r="U190" s="771"/>
      <c r="V190" s="771"/>
      <c r="W190" s="771"/>
      <c r="X190" s="771"/>
      <c r="Y190" s="771"/>
      <c r="Z190" s="771"/>
    </row>
    <row r="191" ht="15.75" customHeight="1">
      <c r="A191" s="771"/>
      <c r="B191" s="771"/>
      <c r="C191" s="771"/>
      <c r="D191" s="771"/>
      <c r="E191" s="771"/>
      <c r="F191" s="771"/>
      <c r="G191" s="771"/>
      <c r="H191" s="771"/>
      <c r="I191" s="771"/>
      <c r="J191" s="771"/>
      <c r="K191" s="771"/>
      <c r="L191" s="771"/>
      <c r="M191" s="771"/>
      <c r="N191" s="771"/>
      <c r="O191" s="771"/>
      <c r="P191" s="771"/>
      <c r="Q191" s="771"/>
      <c r="R191" s="771"/>
      <c r="S191" s="771"/>
      <c r="T191" s="771"/>
      <c r="U191" s="771"/>
      <c r="V191" s="771"/>
      <c r="W191" s="771"/>
      <c r="X191" s="771"/>
      <c r="Y191" s="771"/>
      <c r="Z191" s="771"/>
    </row>
    <row r="192" ht="15.75" customHeight="1">
      <c r="A192" s="771"/>
      <c r="B192" s="771"/>
      <c r="C192" s="771"/>
      <c r="D192" s="771"/>
      <c r="E192" s="771"/>
      <c r="F192" s="771"/>
      <c r="G192" s="771"/>
      <c r="H192" s="771"/>
      <c r="I192" s="771"/>
      <c r="J192" s="771"/>
      <c r="K192" s="771"/>
      <c r="L192" s="771"/>
      <c r="M192" s="771"/>
      <c r="N192" s="771"/>
      <c r="O192" s="771"/>
      <c r="P192" s="771"/>
      <c r="Q192" s="771"/>
      <c r="R192" s="771"/>
      <c r="S192" s="771"/>
      <c r="T192" s="771"/>
      <c r="U192" s="771"/>
      <c r="V192" s="771"/>
      <c r="W192" s="771"/>
      <c r="X192" s="771"/>
      <c r="Y192" s="771"/>
      <c r="Z192" s="771"/>
    </row>
    <row r="193" ht="15.75" customHeight="1">
      <c r="A193" s="771"/>
      <c r="B193" s="771"/>
      <c r="C193" s="771"/>
      <c r="D193" s="771"/>
      <c r="E193" s="771"/>
      <c r="F193" s="771"/>
      <c r="G193" s="771"/>
      <c r="H193" s="771"/>
      <c r="I193" s="771"/>
      <c r="J193" s="771"/>
      <c r="K193" s="771"/>
      <c r="L193" s="771"/>
      <c r="M193" s="771"/>
      <c r="N193" s="771"/>
      <c r="O193" s="771"/>
      <c r="P193" s="771"/>
      <c r="Q193" s="771"/>
      <c r="R193" s="771"/>
      <c r="S193" s="771"/>
      <c r="T193" s="771"/>
      <c r="U193" s="771"/>
      <c r="V193" s="771"/>
      <c r="W193" s="771"/>
      <c r="X193" s="771"/>
      <c r="Y193" s="771"/>
      <c r="Z193" s="771"/>
    </row>
    <row r="194" ht="15.75" customHeight="1">
      <c r="A194" s="771"/>
      <c r="B194" s="771"/>
      <c r="C194" s="771"/>
      <c r="D194" s="771"/>
      <c r="E194" s="771"/>
      <c r="F194" s="771"/>
      <c r="G194" s="771"/>
      <c r="H194" s="771"/>
      <c r="I194" s="771"/>
      <c r="J194" s="771"/>
      <c r="K194" s="771"/>
      <c r="L194" s="771"/>
      <c r="M194" s="771"/>
      <c r="N194" s="771"/>
      <c r="O194" s="771"/>
      <c r="P194" s="771"/>
      <c r="Q194" s="771"/>
      <c r="R194" s="771"/>
      <c r="S194" s="771"/>
      <c r="T194" s="771"/>
      <c r="U194" s="771"/>
      <c r="V194" s="771"/>
      <c r="W194" s="771"/>
      <c r="X194" s="771"/>
      <c r="Y194" s="771"/>
      <c r="Z194" s="771"/>
    </row>
    <row r="195" ht="15.75" customHeight="1">
      <c r="A195" s="771"/>
      <c r="B195" s="771"/>
      <c r="C195" s="771"/>
      <c r="D195" s="771"/>
      <c r="E195" s="771"/>
      <c r="F195" s="771"/>
      <c r="G195" s="771"/>
      <c r="H195" s="771"/>
      <c r="I195" s="771"/>
      <c r="J195" s="771"/>
      <c r="K195" s="771"/>
      <c r="L195" s="771"/>
      <c r="M195" s="771"/>
      <c r="N195" s="771"/>
      <c r="O195" s="771"/>
      <c r="P195" s="771"/>
      <c r="Q195" s="771"/>
      <c r="R195" s="771"/>
      <c r="S195" s="771"/>
      <c r="T195" s="771"/>
      <c r="U195" s="771"/>
      <c r="V195" s="771"/>
      <c r="W195" s="771"/>
      <c r="X195" s="771"/>
      <c r="Y195" s="771"/>
      <c r="Z195" s="771"/>
    </row>
    <row r="196" ht="15.75" customHeight="1">
      <c r="A196" s="771"/>
      <c r="B196" s="771"/>
      <c r="C196" s="771"/>
      <c r="D196" s="771"/>
      <c r="E196" s="771"/>
      <c r="F196" s="771"/>
      <c r="G196" s="771"/>
      <c r="H196" s="771"/>
      <c r="I196" s="771"/>
      <c r="J196" s="771"/>
      <c r="K196" s="771"/>
      <c r="L196" s="771"/>
      <c r="M196" s="771"/>
      <c r="N196" s="771"/>
      <c r="O196" s="771"/>
      <c r="P196" s="771"/>
      <c r="Q196" s="771"/>
      <c r="R196" s="771"/>
      <c r="S196" s="771"/>
      <c r="T196" s="771"/>
      <c r="U196" s="771"/>
      <c r="V196" s="771"/>
      <c r="W196" s="771"/>
      <c r="X196" s="771"/>
      <c r="Y196" s="771"/>
      <c r="Z196" s="771"/>
    </row>
    <row r="197" ht="15.75" customHeight="1">
      <c r="A197" s="771"/>
      <c r="B197" s="771"/>
      <c r="C197" s="771"/>
      <c r="D197" s="771"/>
      <c r="E197" s="771"/>
      <c r="F197" s="771"/>
      <c r="G197" s="771"/>
      <c r="H197" s="771"/>
      <c r="I197" s="771"/>
      <c r="J197" s="771"/>
      <c r="K197" s="771"/>
      <c r="L197" s="771"/>
      <c r="M197" s="771"/>
      <c r="N197" s="771"/>
      <c r="O197" s="771"/>
      <c r="P197" s="771"/>
      <c r="Q197" s="771"/>
      <c r="R197" s="771"/>
      <c r="S197" s="771"/>
      <c r="T197" s="771"/>
      <c r="U197" s="771"/>
      <c r="V197" s="771"/>
      <c r="W197" s="771"/>
      <c r="X197" s="771"/>
      <c r="Y197" s="771"/>
      <c r="Z197" s="771"/>
    </row>
    <row r="198" ht="15.75" customHeight="1">
      <c r="A198" s="771"/>
      <c r="B198" s="771"/>
      <c r="C198" s="771"/>
      <c r="D198" s="771"/>
      <c r="E198" s="771"/>
      <c r="F198" s="771"/>
      <c r="G198" s="771"/>
      <c r="H198" s="771"/>
      <c r="I198" s="771"/>
      <c r="J198" s="771"/>
      <c r="K198" s="771"/>
      <c r="L198" s="771"/>
      <c r="M198" s="771"/>
      <c r="N198" s="771"/>
      <c r="O198" s="771"/>
      <c r="P198" s="771"/>
      <c r="Q198" s="771"/>
      <c r="R198" s="771"/>
      <c r="S198" s="771"/>
      <c r="T198" s="771"/>
      <c r="U198" s="771"/>
      <c r="V198" s="771"/>
      <c r="W198" s="771"/>
      <c r="X198" s="771"/>
      <c r="Y198" s="771"/>
      <c r="Z198" s="771"/>
    </row>
    <row r="199" ht="15.75" customHeight="1">
      <c r="A199" s="771"/>
      <c r="B199" s="771"/>
      <c r="C199" s="771"/>
      <c r="D199" s="771"/>
      <c r="E199" s="771"/>
      <c r="F199" s="771"/>
      <c r="G199" s="771"/>
      <c r="H199" s="771"/>
      <c r="I199" s="771"/>
      <c r="J199" s="771"/>
      <c r="K199" s="771"/>
      <c r="L199" s="771"/>
      <c r="M199" s="771"/>
      <c r="N199" s="771"/>
      <c r="O199" s="771"/>
      <c r="P199" s="771"/>
      <c r="Q199" s="771"/>
      <c r="R199" s="771"/>
      <c r="S199" s="771"/>
      <c r="T199" s="771"/>
      <c r="U199" s="771"/>
      <c r="V199" s="771"/>
      <c r="W199" s="771"/>
      <c r="X199" s="771"/>
      <c r="Y199" s="771"/>
      <c r="Z199" s="771"/>
    </row>
    <row r="200" ht="15.75" customHeight="1">
      <c r="A200" s="771"/>
      <c r="B200" s="771"/>
      <c r="C200" s="771"/>
      <c r="D200" s="771"/>
      <c r="E200" s="771"/>
      <c r="F200" s="771"/>
      <c r="G200" s="771"/>
      <c r="H200" s="771"/>
      <c r="I200" s="771"/>
      <c r="J200" s="771"/>
      <c r="K200" s="771"/>
      <c r="L200" s="771"/>
      <c r="M200" s="771"/>
      <c r="N200" s="771"/>
      <c r="O200" s="771"/>
      <c r="P200" s="771"/>
      <c r="Q200" s="771"/>
      <c r="R200" s="771"/>
      <c r="S200" s="771"/>
      <c r="T200" s="771"/>
      <c r="U200" s="771"/>
      <c r="V200" s="771"/>
      <c r="W200" s="771"/>
      <c r="X200" s="771"/>
      <c r="Y200" s="771"/>
      <c r="Z200" s="771"/>
    </row>
    <row r="201" ht="15.75" customHeight="1">
      <c r="A201" s="771"/>
      <c r="B201" s="771"/>
      <c r="C201" s="771"/>
      <c r="D201" s="771"/>
      <c r="E201" s="771"/>
      <c r="F201" s="771"/>
      <c r="G201" s="771"/>
      <c r="H201" s="771"/>
      <c r="I201" s="771"/>
      <c r="J201" s="771"/>
      <c r="K201" s="771"/>
      <c r="L201" s="771"/>
      <c r="M201" s="771"/>
      <c r="N201" s="771"/>
      <c r="O201" s="771"/>
      <c r="P201" s="771"/>
      <c r="Q201" s="771"/>
      <c r="R201" s="771"/>
      <c r="S201" s="771"/>
      <c r="T201" s="771"/>
      <c r="U201" s="771"/>
      <c r="V201" s="771"/>
      <c r="W201" s="771"/>
      <c r="X201" s="771"/>
      <c r="Y201" s="771"/>
      <c r="Z201" s="771"/>
    </row>
    <row r="202" ht="15.75" customHeight="1">
      <c r="A202" s="771"/>
      <c r="B202" s="771"/>
      <c r="C202" s="771"/>
      <c r="D202" s="771"/>
      <c r="E202" s="771"/>
      <c r="F202" s="771"/>
      <c r="G202" s="771"/>
      <c r="H202" s="771"/>
      <c r="I202" s="771"/>
      <c r="J202" s="771"/>
      <c r="K202" s="771"/>
      <c r="L202" s="771"/>
      <c r="M202" s="771"/>
      <c r="N202" s="771"/>
      <c r="O202" s="771"/>
      <c r="P202" s="771"/>
      <c r="Q202" s="771"/>
      <c r="R202" s="771"/>
      <c r="S202" s="771"/>
      <c r="T202" s="771"/>
      <c r="U202" s="771"/>
      <c r="V202" s="771"/>
      <c r="W202" s="771"/>
      <c r="X202" s="771"/>
      <c r="Y202" s="771"/>
      <c r="Z202" s="771"/>
    </row>
    <row r="203" ht="15.75" customHeight="1">
      <c r="A203" s="771"/>
      <c r="B203" s="771"/>
      <c r="C203" s="771"/>
      <c r="D203" s="771"/>
      <c r="E203" s="771"/>
      <c r="F203" s="771"/>
      <c r="G203" s="771"/>
      <c r="H203" s="771"/>
      <c r="I203" s="771"/>
      <c r="J203" s="771"/>
      <c r="K203" s="771"/>
      <c r="L203" s="771"/>
      <c r="M203" s="771"/>
      <c r="N203" s="771"/>
      <c r="O203" s="771"/>
      <c r="P203" s="771"/>
      <c r="Q203" s="771"/>
      <c r="R203" s="771"/>
      <c r="S203" s="771"/>
      <c r="T203" s="771"/>
      <c r="U203" s="771"/>
      <c r="V203" s="771"/>
      <c r="W203" s="771"/>
      <c r="X203" s="771"/>
      <c r="Y203" s="771"/>
      <c r="Z203" s="771"/>
    </row>
    <row r="204" ht="15.75" customHeight="1">
      <c r="A204" s="771"/>
      <c r="B204" s="771"/>
      <c r="C204" s="771"/>
      <c r="D204" s="771"/>
      <c r="E204" s="771"/>
      <c r="F204" s="771"/>
      <c r="G204" s="771"/>
      <c r="H204" s="771"/>
      <c r="I204" s="771"/>
      <c r="J204" s="771"/>
      <c r="K204" s="771"/>
      <c r="L204" s="771"/>
      <c r="M204" s="771"/>
      <c r="N204" s="771"/>
      <c r="O204" s="771"/>
      <c r="P204" s="771"/>
      <c r="Q204" s="771"/>
      <c r="R204" s="771"/>
      <c r="S204" s="771"/>
      <c r="T204" s="771"/>
      <c r="U204" s="771"/>
      <c r="V204" s="771"/>
      <c r="W204" s="771"/>
      <c r="X204" s="771"/>
      <c r="Y204" s="771"/>
      <c r="Z204" s="771"/>
    </row>
    <row r="205" ht="15.75" customHeight="1">
      <c r="A205" s="771"/>
      <c r="B205" s="771"/>
      <c r="C205" s="771"/>
      <c r="D205" s="771"/>
      <c r="E205" s="771"/>
      <c r="F205" s="771"/>
      <c r="G205" s="771"/>
      <c r="H205" s="771"/>
      <c r="I205" s="771"/>
      <c r="J205" s="771"/>
      <c r="K205" s="771"/>
      <c r="L205" s="771"/>
      <c r="M205" s="771"/>
      <c r="N205" s="771"/>
      <c r="O205" s="771"/>
      <c r="P205" s="771"/>
      <c r="Q205" s="771"/>
      <c r="R205" s="771"/>
      <c r="S205" s="771"/>
      <c r="T205" s="771"/>
      <c r="U205" s="771"/>
      <c r="V205" s="771"/>
      <c r="W205" s="771"/>
      <c r="X205" s="771"/>
      <c r="Y205" s="771"/>
      <c r="Z205" s="771"/>
    </row>
    <row r="206" ht="15.75" customHeight="1">
      <c r="A206" s="771"/>
      <c r="B206" s="771"/>
      <c r="C206" s="771"/>
      <c r="D206" s="771"/>
      <c r="E206" s="771"/>
      <c r="F206" s="771"/>
      <c r="G206" s="771"/>
      <c r="H206" s="771"/>
      <c r="I206" s="771"/>
      <c r="J206" s="771"/>
      <c r="K206" s="771"/>
      <c r="L206" s="771"/>
      <c r="M206" s="771"/>
      <c r="N206" s="771"/>
      <c r="O206" s="771"/>
      <c r="P206" s="771"/>
      <c r="Q206" s="771"/>
      <c r="R206" s="771"/>
      <c r="S206" s="771"/>
      <c r="T206" s="771"/>
      <c r="U206" s="771"/>
      <c r="V206" s="771"/>
      <c r="W206" s="771"/>
      <c r="X206" s="771"/>
      <c r="Y206" s="771"/>
      <c r="Z206" s="771"/>
    </row>
    <row r="207" ht="15.75" customHeight="1">
      <c r="A207" s="771"/>
      <c r="B207" s="771"/>
      <c r="C207" s="771"/>
      <c r="D207" s="771"/>
      <c r="E207" s="771"/>
      <c r="F207" s="771"/>
      <c r="G207" s="771"/>
      <c r="H207" s="771"/>
      <c r="I207" s="771"/>
      <c r="J207" s="771"/>
      <c r="K207" s="771"/>
      <c r="L207" s="771"/>
      <c r="M207" s="771"/>
      <c r="N207" s="771"/>
      <c r="O207" s="771"/>
      <c r="P207" s="771"/>
      <c r="Q207" s="771"/>
      <c r="R207" s="771"/>
      <c r="S207" s="771"/>
      <c r="T207" s="771"/>
      <c r="U207" s="771"/>
      <c r="V207" s="771"/>
      <c r="W207" s="771"/>
      <c r="X207" s="771"/>
      <c r="Y207" s="771"/>
      <c r="Z207" s="771"/>
    </row>
    <row r="208" ht="15.75" customHeight="1">
      <c r="A208" s="771"/>
      <c r="B208" s="771"/>
      <c r="C208" s="771"/>
      <c r="D208" s="771"/>
      <c r="E208" s="771"/>
      <c r="F208" s="771"/>
      <c r="G208" s="771"/>
      <c r="H208" s="771"/>
      <c r="I208" s="771"/>
      <c r="J208" s="771"/>
      <c r="K208" s="771"/>
      <c r="L208" s="771"/>
      <c r="M208" s="771"/>
      <c r="N208" s="771"/>
      <c r="O208" s="771"/>
      <c r="P208" s="771"/>
      <c r="Q208" s="771"/>
      <c r="R208" s="771"/>
      <c r="S208" s="771"/>
      <c r="T208" s="771"/>
      <c r="U208" s="771"/>
      <c r="V208" s="771"/>
      <c r="W208" s="771"/>
      <c r="X208" s="771"/>
      <c r="Y208" s="771"/>
      <c r="Z208" s="771"/>
    </row>
    <row r="209" ht="15.75" customHeight="1">
      <c r="A209" s="771"/>
      <c r="B209" s="771"/>
      <c r="C209" s="771"/>
      <c r="D209" s="771"/>
      <c r="E209" s="771"/>
      <c r="F209" s="771"/>
      <c r="G209" s="771"/>
      <c r="H209" s="771"/>
      <c r="I209" s="771"/>
      <c r="J209" s="771"/>
      <c r="K209" s="771"/>
      <c r="L209" s="771"/>
      <c r="M209" s="771"/>
      <c r="N209" s="771"/>
      <c r="O209" s="771"/>
      <c r="P209" s="771"/>
      <c r="Q209" s="771"/>
      <c r="R209" s="771"/>
      <c r="S209" s="771"/>
      <c r="T209" s="771"/>
      <c r="U209" s="771"/>
      <c r="V209" s="771"/>
      <c r="W209" s="771"/>
      <c r="X209" s="771"/>
      <c r="Y209" s="771"/>
      <c r="Z209" s="771"/>
    </row>
    <row r="210" ht="15.75" customHeight="1">
      <c r="A210" s="771"/>
      <c r="B210" s="771"/>
      <c r="C210" s="771"/>
      <c r="D210" s="771"/>
      <c r="E210" s="771"/>
      <c r="F210" s="771"/>
      <c r="G210" s="771"/>
      <c r="H210" s="771"/>
      <c r="I210" s="771"/>
      <c r="J210" s="771"/>
      <c r="K210" s="771"/>
      <c r="L210" s="771"/>
      <c r="M210" s="771"/>
      <c r="N210" s="771"/>
      <c r="O210" s="771"/>
      <c r="P210" s="771"/>
      <c r="Q210" s="771"/>
      <c r="R210" s="771"/>
      <c r="S210" s="771"/>
      <c r="T210" s="771"/>
      <c r="U210" s="771"/>
      <c r="V210" s="771"/>
      <c r="W210" s="771"/>
      <c r="X210" s="771"/>
      <c r="Y210" s="771"/>
      <c r="Z210" s="771"/>
    </row>
    <row r="211" ht="15.75" customHeight="1">
      <c r="A211" s="771"/>
      <c r="B211" s="771"/>
      <c r="C211" s="771"/>
      <c r="D211" s="771"/>
      <c r="E211" s="771"/>
      <c r="F211" s="771"/>
      <c r="G211" s="771"/>
      <c r="H211" s="771"/>
      <c r="I211" s="771"/>
      <c r="J211" s="771"/>
      <c r="K211" s="771"/>
      <c r="L211" s="771"/>
      <c r="M211" s="771"/>
      <c r="N211" s="771"/>
      <c r="O211" s="771"/>
      <c r="P211" s="771"/>
      <c r="Q211" s="771"/>
      <c r="R211" s="771"/>
      <c r="S211" s="771"/>
      <c r="T211" s="771"/>
      <c r="U211" s="771"/>
      <c r="V211" s="771"/>
      <c r="W211" s="771"/>
      <c r="X211" s="771"/>
      <c r="Y211" s="771"/>
      <c r="Z211" s="771"/>
    </row>
    <row r="212" ht="15.75" customHeight="1">
      <c r="A212" s="771"/>
      <c r="B212" s="771"/>
      <c r="C212" s="771"/>
      <c r="D212" s="771"/>
      <c r="E212" s="771"/>
      <c r="F212" s="771"/>
      <c r="G212" s="771"/>
      <c r="H212" s="771"/>
      <c r="I212" s="771"/>
      <c r="J212" s="771"/>
      <c r="K212" s="771"/>
      <c r="L212" s="771"/>
      <c r="M212" s="771"/>
      <c r="N212" s="771"/>
      <c r="O212" s="771"/>
      <c r="P212" s="771"/>
      <c r="Q212" s="771"/>
      <c r="R212" s="771"/>
      <c r="S212" s="771"/>
      <c r="T212" s="771"/>
      <c r="U212" s="771"/>
      <c r="V212" s="771"/>
      <c r="W212" s="771"/>
      <c r="X212" s="771"/>
      <c r="Y212" s="771"/>
      <c r="Z212" s="771"/>
    </row>
    <row r="213" ht="15.75" customHeight="1">
      <c r="A213" s="771"/>
      <c r="B213" s="771"/>
      <c r="C213" s="771"/>
      <c r="D213" s="771"/>
      <c r="E213" s="771"/>
      <c r="F213" s="771"/>
      <c r="G213" s="771"/>
      <c r="H213" s="771"/>
      <c r="I213" s="771"/>
      <c r="J213" s="771"/>
      <c r="K213" s="771"/>
      <c r="L213" s="771"/>
      <c r="M213" s="771"/>
      <c r="N213" s="771"/>
      <c r="O213" s="771"/>
      <c r="P213" s="771"/>
      <c r="Q213" s="771"/>
      <c r="R213" s="771"/>
      <c r="S213" s="771"/>
      <c r="T213" s="771"/>
      <c r="U213" s="771"/>
      <c r="V213" s="771"/>
      <c r="W213" s="771"/>
      <c r="X213" s="771"/>
      <c r="Y213" s="771"/>
      <c r="Z213" s="771"/>
    </row>
    <row r="214" ht="15.75" customHeight="1">
      <c r="A214" s="771"/>
      <c r="B214" s="771"/>
      <c r="C214" s="771"/>
      <c r="D214" s="771"/>
      <c r="E214" s="771"/>
      <c r="F214" s="771"/>
      <c r="G214" s="771"/>
      <c r="H214" s="771"/>
      <c r="I214" s="771"/>
      <c r="J214" s="771"/>
      <c r="K214" s="771"/>
      <c r="L214" s="771"/>
      <c r="M214" s="771"/>
      <c r="N214" s="771"/>
      <c r="O214" s="771"/>
      <c r="P214" s="771"/>
      <c r="Q214" s="771"/>
      <c r="R214" s="771"/>
      <c r="S214" s="771"/>
      <c r="T214" s="771"/>
      <c r="U214" s="771"/>
      <c r="V214" s="771"/>
      <c r="W214" s="771"/>
      <c r="X214" s="771"/>
      <c r="Y214" s="771"/>
      <c r="Z214" s="771"/>
    </row>
    <row r="215" ht="15.75" customHeight="1">
      <c r="A215" s="771"/>
      <c r="B215" s="771"/>
      <c r="C215" s="771"/>
      <c r="D215" s="771"/>
      <c r="E215" s="771"/>
      <c r="F215" s="771"/>
      <c r="G215" s="771"/>
      <c r="H215" s="771"/>
      <c r="I215" s="771"/>
      <c r="J215" s="771"/>
      <c r="K215" s="771"/>
      <c r="L215" s="771"/>
      <c r="M215" s="771"/>
      <c r="N215" s="771"/>
      <c r="O215" s="771"/>
      <c r="P215" s="771"/>
      <c r="Q215" s="771"/>
      <c r="R215" s="771"/>
      <c r="S215" s="771"/>
      <c r="T215" s="771"/>
      <c r="U215" s="771"/>
      <c r="V215" s="771"/>
      <c r="W215" s="771"/>
      <c r="X215" s="771"/>
      <c r="Y215" s="771"/>
      <c r="Z215" s="771"/>
    </row>
    <row r="216" ht="15.75" customHeight="1">
      <c r="A216" s="771"/>
      <c r="B216" s="771"/>
      <c r="C216" s="771"/>
      <c r="D216" s="771"/>
      <c r="E216" s="771"/>
      <c r="F216" s="771"/>
      <c r="G216" s="771"/>
      <c r="H216" s="771"/>
      <c r="I216" s="771"/>
      <c r="J216" s="771"/>
      <c r="K216" s="771"/>
      <c r="L216" s="771"/>
      <c r="M216" s="771"/>
      <c r="N216" s="771"/>
      <c r="O216" s="771"/>
      <c r="P216" s="771"/>
      <c r="Q216" s="771"/>
      <c r="R216" s="771"/>
      <c r="S216" s="771"/>
      <c r="T216" s="771"/>
      <c r="U216" s="771"/>
      <c r="V216" s="771"/>
      <c r="W216" s="771"/>
      <c r="X216" s="771"/>
      <c r="Y216" s="771"/>
      <c r="Z216" s="771"/>
    </row>
    <row r="217" ht="15.75" customHeight="1">
      <c r="A217" s="771"/>
      <c r="B217" s="771"/>
      <c r="C217" s="771"/>
      <c r="D217" s="771"/>
      <c r="E217" s="771"/>
      <c r="F217" s="771"/>
      <c r="G217" s="771"/>
      <c r="H217" s="771"/>
      <c r="I217" s="771"/>
      <c r="J217" s="771"/>
      <c r="K217" s="771"/>
      <c r="L217" s="771"/>
      <c r="M217" s="771"/>
      <c r="N217" s="771"/>
      <c r="O217" s="771"/>
      <c r="P217" s="771"/>
      <c r="Q217" s="771"/>
      <c r="R217" s="771"/>
      <c r="S217" s="771"/>
      <c r="T217" s="771"/>
      <c r="U217" s="771"/>
      <c r="V217" s="771"/>
      <c r="W217" s="771"/>
      <c r="X217" s="771"/>
      <c r="Y217" s="771"/>
      <c r="Z217" s="771"/>
    </row>
    <row r="218" ht="15.75" customHeight="1">
      <c r="A218" s="771"/>
      <c r="B218" s="771"/>
      <c r="C218" s="771"/>
      <c r="D218" s="771"/>
      <c r="E218" s="771"/>
      <c r="F218" s="771"/>
      <c r="G218" s="771"/>
      <c r="H218" s="771"/>
      <c r="I218" s="771"/>
      <c r="J218" s="771"/>
      <c r="K218" s="771"/>
      <c r="L218" s="771"/>
      <c r="M218" s="771"/>
      <c r="N218" s="771"/>
      <c r="O218" s="771"/>
      <c r="P218" s="771"/>
      <c r="Q218" s="771"/>
      <c r="R218" s="771"/>
      <c r="S218" s="771"/>
      <c r="T218" s="771"/>
      <c r="U218" s="771"/>
      <c r="V218" s="771"/>
      <c r="W218" s="771"/>
      <c r="X218" s="771"/>
      <c r="Y218" s="771"/>
      <c r="Z218" s="771"/>
    </row>
    <row r="219" ht="15.75" customHeight="1">
      <c r="A219" s="771"/>
      <c r="B219" s="771"/>
      <c r="C219" s="771"/>
      <c r="D219" s="771"/>
      <c r="E219" s="771"/>
      <c r="F219" s="771"/>
      <c r="G219" s="771"/>
      <c r="H219" s="771"/>
      <c r="I219" s="771"/>
      <c r="J219" s="771"/>
      <c r="K219" s="771"/>
      <c r="L219" s="771"/>
      <c r="M219" s="771"/>
      <c r="N219" s="771"/>
      <c r="O219" s="771"/>
      <c r="P219" s="771"/>
      <c r="Q219" s="771"/>
      <c r="R219" s="771"/>
      <c r="S219" s="771"/>
      <c r="T219" s="771"/>
      <c r="U219" s="771"/>
      <c r="V219" s="771"/>
      <c r="W219" s="771"/>
      <c r="X219" s="771"/>
      <c r="Y219" s="771"/>
      <c r="Z219" s="771"/>
    </row>
    <row r="220" ht="15.75" customHeight="1">
      <c r="A220" s="771"/>
      <c r="B220" s="771"/>
      <c r="C220" s="771"/>
      <c r="D220" s="771"/>
      <c r="E220" s="771"/>
      <c r="F220" s="771"/>
      <c r="G220" s="771"/>
      <c r="H220" s="771"/>
      <c r="I220" s="771"/>
      <c r="J220" s="771"/>
      <c r="K220" s="771"/>
      <c r="L220" s="771"/>
      <c r="M220" s="771"/>
      <c r="N220" s="771"/>
      <c r="O220" s="771"/>
      <c r="P220" s="771"/>
      <c r="Q220" s="771"/>
      <c r="R220" s="771"/>
      <c r="S220" s="771"/>
      <c r="T220" s="771"/>
      <c r="U220" s="771"/>
      <c r="V220" s="771"/>
      <c r="W220" s="771"/>
      <c r="X220" s="771"/>
      <c r="Y220" s="771"/>
      <c r="Z220" s="771"/>
    </row>
    <row r="221" ht="15.75" customHeight="1">
      <c r="A221" s="771"/>
      <c r="B221" s="771"/>
      <c r="C221" s="771"/>
      <c r="D221" s="771"/>
      <c r="E221" s="771"/>
      <c r="F221" s="771"/>
      <c r="G221" s="771"/>
      <c r="H221" s="771"/>
      <c r="I221" s="771"/>
      <c r="J221" s="771"/>
      <c r="K221" s="771"/>
      <c r="L221" s="771"/>
      <c r="M221" s="771"/>
      <c r="N221" s="771"/>
      <c r="O221" s="771"/>
      <c r="P221" s="771"/>
      <c r="Q221" s="771"/>
      <c r="R221" s="771"/>
      <c r="S221" s="771"/>
      <c r="T221" s="771"/>
      <c r="U221" s="771"/>
      <c r="V221" s="771"/>
      <c r="W221" s="771"/>
      <c r="X221" s="771"/>
      <c r="Y221" s="771"/>
      <c r="Z221" s="771"/>
    </row>
    <row r="222" ht="15.75" customHeight="1">
      <c r="A222" s="771"/>
      <c r="B222" s="771"/>
      <c r="C222" s="771"/>
      <c r="D222" s="771"/>
      <c r="E222" s="771"/>
      <c r="F222" s="771"/>
      <c r="G222" s="771"/>
      <c r="H222" s="771"/>
      <c r="I222" s="771"/>
      <c r="J222" s="771"/>
      <c r="K222" s="771"/>
      <c r="L222" s="771"/>
      <c r="M222" s="771"/>
      <c r="N222" s="771"/>
      <c r="O222" s="771"/>
      <c r="P222" s="771"/>
      <c r="Q222" s="771"/>
      <c r="R222" s="771"/>
      <c r="S222" s="771"/>
      <c r="T222" s="771"/>
      <c r="U222" s="771"/>
      <c r="V222" s="771"/>
      <c r="W222" s="771"/>
      <c r="X222" s="771"/>
      <c r="Y222" s="771"/>
      <c r="Z222" s="771"/>
    </row>
    <row r="223" ht="15.75" customHeight="1">
      <c r="A223" s="771"/>
      <c r="B223" s="771"/>
      <c r="C223" s="771"/>
      <c r="D223" s="771"/>
      <c r="E223" s="771"/>
      <c r="F223" s="771"/>
      <c r="G223" s="771"/>
      <c r="H223" s="771"/>
      <c r="I223" s="771"/>
      <c r="J223" s="771"/>
      <c r="K223" s="771"/>
      <c r="L223" s="771"/>
      <c r="M223" s="771"/>
      <c r="N223" s="771"/>
      <c r="O223" s="771"/>
      <c r="P223" s="771"/>
      <c r="Q223" s="771"/>
      <c r="R223" s="771"/>
      <c r="S223" s="771"/>
      <c r="T223" s="771"/>
      <c r="U223" s="771"/>
      <c r="V223" s="771"/>
      <c r="W223" s="771"/>
      <c r="X223" s="771"/>
      <c r="Y223" s="771"/>
      <c r="Z223" s="771"/>
    </row>
    <row r="224" ht="15.75" customHeight="1">
      <c r="A224" s="771"/>
      <c r="B224" s="771"/>
      <c r="C224" s="771"/>
      <c r="D224" s="771"/>
      <c r="E224" s="771"/>
      <c r="F224" s="771"/>
      <c r="G224" s="771"/>
      <c r="H224" s="771"/>
      <c r="I224" s="771"/>
      <c r="J224" s="771"/>
      <c r="K224" s="771"/>
      <c r="L224" s="771"/>
      <c r="M224" s="771"/>
      <c r="N224" s="771"/>
      <c r="O224" s="771"/>
      <c r="P224" s="771"/>
      <c r="Q224" s="771"/>
      <c r="R224" s="771"/>
      <c r="S224" s="771"/>
      <c r="T224" s="771"/>
      <c r="U224" s="771"/>
      <c r="V224" s="771"/>
      <c r="W224" s="771"/>
      <c r="X224" s="771"/>
      <c r="Y224" s="771"/>
      <c r="Z224" s="771"/>
    </row>
    <row r="225" ht="15.75" customHeight="1">
      <c r="A225" s="771"/>
      <c r="B225" s="771"/>
      <c r="C225" s="771"/>
      <c r="D225" s="771"/>
      <c r="E225" s="771"/>
      <c r="F225" s="771"/>
      <c r="G225" s="771"/>
      <c r="H225" s="771"/>
      <c r="I225" s="771"/>
      <c r="J225" s="771"/>
      <c r="K225" s="771"/>
      <c r="L225" s="771"/>
      <c r="M225" s="771"/>
      <c r="N225" s="771"/>
      <c r="O225" s="771"/>
      <c r="P225" s="771"/>
      <c r="Q225" s="771"/>
      <c r="R225" s="771"/>
      <c r="S225" s="771"/>
      <c r="T225" s="771"/>
      <c r="U225" s="771"/>
      <c r="V225" s="771"/>
      <c r="W225" s="771"/>
      <c r="X225" s="771"/>
      <c r="Y225" s="771"/>
      <c r="Z225" s="771"/>
    </row>
    <row r="226" ht="15.75" customHeight="1">
      <c r="A226" s="771"/>
      <c r="B226" s="771"/>
      <c r="C226" s="771"/>
      <c r="D226" s="771"/>
      <c r="E226" s="771"/>
      <c r="F226" s="771"/>
      <c r="G226" s="771"/>
      <c r="H226" s="771"/>
      <c r="I226" s="771"/>
      <c r="J226" s="771"/>
      <c r="K226" s="771"/>
      <c r="L226" s="771"/>
      <c r="M226" s="771"/>
      <c r="N226" s="771"/>
      <c r="O226" s="771"/>
      <c r="P226" s="771"/>
      <c r="Q226" s="771"/>
      <c r="R226" s="771"/>
      <c r="S226" s="771"/>
      <c r="T226" s="771"/>
      <c r="U226" s="771"/>
      <c r="V226" s="771"/>
      <c r="W226" s="771"/>
      <c r="X226" s="771"/>
      <c r="Y226" s="771"/>
      <c r="Z226" s="771"/>
    </row>
    <row r="227" ht="15.75" customHeight="1">
      <c r="A227" s="771"/>
      <c r="B227" s="771"/>
      <c r="C227" s="771"/>
      <c r="D227" s="771"/>
      <c r="E227" s="771"/>
      <c r="F227" s="771"/>
      <c r="G227" s="771"/>
      <c r="H227" s="771"/>
      <c r="I227" s="771"/>
      <c r="J227" s="771"/>
      <c r="K227" s="771"/>
      <c r="L227" s="771"/>
      <c r="M227" s="771"/>
      <c r="N227" s="771"/>
      <c r="O227" s="771"/>
      <c r="P227" s="771"/>
      <c r="Q227" s="771"/>
      <c r="R227" s="771"/>
      <c r="S227" s="771"/>
      <c r="T227" s="771"/>
      <c r="U227" s="771"/>
      <c r="V227" s="771"/>
      <c r="W227" s="771"/>
      <c r="X227" s="771"/>
      <c r="Y227" s="771"/>
      <c r="Z227" s="771"/>
    </row>
    <row r="228" ht="15.75" customHeight="1">
      <c r="A228" s="771"/>
      <c r="B228" s="771"/>
      <c r="C228" s="771"/>
      <c r="D228" s="771"/>
      <c r="E228" s="771"/>
      <c r="F228" s="771"/>
      <c r="G228" s="771"/>
      <c r="H228" s="771"/>
      <c r="I228" s="771"/>
      <c r="J228" s="771"/>
      <c r="K228" s="771"/>
      <c r="L228" s="771"/>
      <c r="M228" s="771"/>
      <c r="N228" s="771"/>
      <c r="O228" s="771"/>
      <c r="P228" s="771"/>
      <c r="Q228" s="771"/>
      <c r="R228" s="771"/>
      <c r="S228" s="771"/>
      <c r="T228" s="771"/>
      <c r="U228" s="771"/>
      <c r="V228" s="771"/>
      <c r="W228" s="771"/>
      <c r="X228" s="771"/>
      <c r="Y228" s="771"/>
      <c r="Z228" s="771"/>
    </row>
    <row r="229" ht="15.75" customHeight="1">
      <c r="A229" s="771"/>
      <c r="B229" s="771"/>
      <c r="C229" s="771"/>
      <c r="D229" s="771"/>
      <c r="E229" s="771"/>
      <c r="F229" s="771"/>
      <c r="G229" s="771"/>
      <c r="H229" s="771"/>
      <c r="I229" s="771"/>
      <c r="J229" s="771"/>
      <c r="K229" s="771"/>
      <c r="L229" s="771"/>
      <c r="M229" s="771"/>
      <c r="N229" s="771"/>
      <c r="O229" s="771"/>
      <c r="P229" s="771"/>
      <c r="Q229" s="771"/>
      <c r="R229" s="771"/>
      <c r="S229" s="771"/>
      <c r="T229" s="771"/>
      <c r="U229" s="771"/>
      <c r="V229" s="771"/>
      <c r="W229" s="771"/>
      <c r="X229" s="771"/>
      <c r="Y229" s="771"/>
      <c r="Z229" s="771"/>
    </row>
    <row r="230" ht="15.75" customHeight="1">
      <c r="A230" s="771"/>
      <c r="B230" s="771"/>
      <c r="C230" s="771"/>
      <c r="D230" s="771"/>
      <c r="E230" s="771"/>
      <c r="F230" s="771"/>
      <c r="G230" s="771"/>
      <c r="H230" s="771"/>
      <c r="I230" s="771"/>
      <c r="J230" s="771"/>
      <c r="K230" s="771"/>
      <c r="L230" s="771"/>
      <c r="M230" s="771"/>
      <c r="N230" s="771"/>
      <c r="O230" s="771"/>
      <c r="P230" s="771"/>
      <c r="Q230" s="771"/>
      <c r="R230" s="771"/>
      <c r="S230" s="771"/>
      <c r="T230" s="771"/>
      <c r="U230" s="771"/>
      <c r="V230" s="771"/>
      <c r="W230" s="771"/>
      <c r="X230" s="771"/>
      <c r="Y230" s="771"/>
      <c r="Z230" s="771"/>
    </row>
    <row r="231" ht="15.75" customHeight="1">
      <c r="A231" s="771"/>
      <c r="B231" s="771"/>
      <c r="C231" s="771"/>
      <c r="D231" s="771"/>
      <c r="E231" s="771"/>
      <c r="F231" s="771"/>
      <c r="G231" s="771"/>
      <c r="H231" s="771"/>
      <c r="I231" s="771"/>
      <c r="J231" s="771"/>
      <c r="K231" s="771"/>
      <c r="L231" s="771"/>
      <c r="M231" s="771"/>
      <c r="N231" s="771"/>
      <c r="O231" s="771"/>
      <c r="P231" s="771"/>
      <c r="Q231" s="771"/>
      <c r="R231" s="771"/>
      <c r="S231" s="771"/>
      <c r="T231" s="771"/>
      <c r="U231" s="771"/>
      <c r="V231" s="771"/>
      <c r="W231" s="771"/>
      <c r="X231" s="771"/>
      <c r="Y231" s="771"/>
      <c r="Z231" s="771"/>
    </row>
    <row r="232" ht="15.75" customHeight="1">
      <c r="A232" s="771"/>
      <c r="B232" s="771"/>
      <c r="C232" s="771"/>
      <c r="D232" s="771"/>
      <c r="E232" s="771"/>
      <c r="F232" s="771"/>
      <c r="G232" s="771"/>
      <c r="H232" s="771"/>
      <c r="I232" s="771"/>
      <c r="J232" s="771"/>
      <c r="K232" s="771"/>
      <c r="L232" s="771"/>
      <c r="M232" s="771"/>
      <c r="N232" s="771"/>
      <c r="O232" s="771"/>
      <c r="P232" s="771"/>
      <c r="Q232" s="771"/>
      <c r="R232" s="771"/>
      <c r="S232" s="771"/>
      <c r="T232" s="771"/>
      <c r="U232" s="771"/>
      <c r="V232" s="771"/>
      <c r="W232" s="771"/>
      <c r="X232" s="771"/>
      <c r="Y232" s="771"/>
      <c r="Z232" s="771"/>
    </row>
    <row r="233" ht="15.75" customHeight="1">
      <c r="A233" s="771"/>
      <c r="B233" s="771"/>
      <c r="C233" s="771"/>
      <c r="D233" s="771"/>
      <c r="E233" s="771"/>
      <c r="F233" s="771"/>
      <c r="G233" s="771"/>
      <c r="H233" s="771"/>
      <c r="I233" s="771"/>
      <c r="J233" s="771"/>
      <c r="K233" s="771"/>
      <c r="L233" s="771"/>
      <c r="M233" s="771"/>
      <c r="N233" s="771"/>
      <c r="O233" s="771"/>
      <c r="P233" s="771"/>
      <c r="Q233" s="771"/>
      <c r="R233" s="771"/>
      <c r="S233" s="771"/>
      <c r="T233" s="771"/>
      <c r="U233" s="771"/>
      <c r="V233" s="771"/>
      <c r="W233" s="771"/>
      <c r="X233" s="771"/>
      <c r="Y233" s="771"/>
      <c r="Z233" s="771"/>
    </row>
    <row r="234" ht="15.75" customHeight="1">
      <c r="A234" s="771"/>
      <c r="B234" s="771"/>
      <c r="C234" s="771"/>
      <c r="D234" s="771"/>
      <c r="E234" s="771"/>
      <c r="F234" s="771"/>
      <c r="G234" s="771"/>
      <c r="H234" s="771"/>
      <c r="I234" s="771"/>
      <c r="J234" s="771"/>
      <c r="K234" s="771"/>
      <c r="L234" s="771"/>
      <c r="M234" s="771"/>
      <c r="N234" s="771"/>
      <c r="O234" s="771"/>
      <c r="P234" s="771"/>
      <c r="Q234" s="771"/>
      <c r="R234" s="771"/>
      <c r="S234" s="771"/>
      <c r="T234" s="771"/>
      <c r="U234" s="771"/>
      <c r="V234" s="771"/>
      <c r="W234" s="771"/>
      <c r="X234" s="771"/>
      <c r="Y234" s="771"/>
      <c r="Z234" s="771"/>
    </row>
    <row r="235" ht="15.75" customHeight="1">
      <c r="A235" s="771"/>
      <c r="B235" s="771"/>
      <c r="C235" s="771"/>
      <c r="D235" s="771"/>
      <c r="E235" s="771"/>
      <c r="F235" s="771"/>
      <c r="G235" s="771"/>
      <c r="H235" s="771"/>
      <c r="I235" s="771"/>
      <c r="J235" s="771"/>
      <c r="K235" s="771"/>
      <c r="L235" s="771"/>
      <c r="M235" s="771"/>
      <c r="N235" s="771"/>
      <c r="O235" s="771"/>
      <c r="P235" s="771"/>
      <c r="Q235" s="771"/>
      <c r="R235" s="771"/>
      <c r="S235" s="771"/>
      <c r="T235" s="771"/>
      <c r="U235" s="771"/>
      <c r="V235" s="771"/>
      <c r="W235" s="771"/>
      <c r="X235" s="771"/>
      <c r="Y235" s="771"/>
      <c r="Z235" s="771"/>
    </row>
    <row r="236" ht="15.75" customHeight="1">
      <c r="A236" s="771"/>
      <c r="B236" s="771"/>
      <c r="C236" s="771"/>
      <c r="D236" s="771"/>
      <c r="E236" s="771"/>
      <c r="F236" s="771"/>
      <c r="G236" s="771"/>
      <c r="H236" s="771"/>
      <c r="I236" s="771"/>
      <c r="J236" s="771"/>
      <c r="K236" s="771"/>
      <c r="L236" s="771"/>
      <c r="M236" s="771"/>
      <c r="N236" s="771"/>
      <c r="O236" s="771"/>
      <c r="P236" s="771"/>
      <c r="Q236" s="771"/>
      <c r="R236" s="771"/>
      <c r="S236" s="771"/>
      <c r="T236" s="771"/>
      <c r="U236" s="771"/>
      <c r="V236" s="771"/>
      <c r="W236" s="771"/>
      <c r="X236" s="771"/>
      <c r="Y236" s="771"/>
      <c r="Z236" s="771"/>
    </row>
    <row r="237" ht="15.75" customHeight="1">
      <c r="A237" s="771"/>
      <c r="B237" s="771"/>
      <c r="C237" s="771"/>
      <c r="D237" s="771"/>
      <c r="E237" s="771"/>
      <c r="F237" s="771"/>
      <c r="G237" s="771"/>
      <c r="H237" s="771"/>
      <c r="I237" s="771"/>
      <c r="J237" s="771"/>
      <c r="K237" s="771"/>
      <c r="L237" s="771"/>
      <c r="M237" s="771"/>
      <c r="N237" s="771"/>
      <c r="O237" s="771"/>
      <c r="P237" s="771"/>
      <c r="Q237" s="771"/>
      <c r="R237" s="771"/>
      <c r="S237" s="771"/>
      <c r="T237" s="771"/>
      <c r="U237" s="771"/>
      <c r="V237" s="771"/>
      <c r="W237" s="771"/>
      <c r="X237" s="771"/>
      <c r="Y237" s="771"/>
      <c r="Z237" s="771"/>
    </row>
    <row r="238" ht="15.75" customHeight="1">
      <c r="A238" s="771"/>
      <c r="B238" s="771"/>
      <c r="C238" s="771"/>
      <c r="D238" s="771"/>
      <c r="E238" s="771"/>
      <c r="F238" s="771"/>
      <c r="G238" s="771"/>
      <c r="H238" s="771"/>
      <c r="I238" s="771"/>
      <c r="J238" s="771"/>
      <c r="K238" s="771"/>
      <c r="L238" s="771"/>
      <c r="M238" s="771"/>
      <c r="N238" s="771"/>
      <c r="O238" s="771"/>
      <c r="P238" s="771"/>
      <c r="Q238" s="771"/>
      <c r="R238" s="771"/>
      <c r="S238" s="771"/>
      <c r="T238" s="771"/>
      <c r="U238" s="771"/>
      <c r="V238" s="771"/>
      <c r="W238" s="771"/>
      <c r="X238" s="771"/>
      <c r="Y238" s="771"/>
      <c r="Z238" s="771"/>
    </row>
    <row r="239" ht="15.75" customHeight="1">
      <c r="A239" s="771"/>
      <c r="B239" s="771"/>
      <c r="C239" s="771"/>
      <c r="D239" s="771"/>
      <c r="E239" s="771"/>
      <c r="F239" s="771"/>
      <c r="G239" s="771"/>
      <c r="H239" s="771"/>
      <c r="I239" s="771"/>
      <c r="J239" s="771"/>
      <c r="K239" s="771"/>
      <c r="L239" s="771"/>
      <c r="M239" s="771"/>
      <c r="N239" s="771"/>
      <c r="O239" s="771"/>
      <c r="P239" s="771"/>
      <c r="Q239" s="771"/>
      <c r="R239" s="771"/>
      <c r="S239" s="771"/>
      <c r="T239" s="771"/>
      <c r="U239" s="771"/>
      <c r="V239" s="771"/>
      <c r="W239" s="771"/>
      <c r="X239" s="771"/>
      <c r="Y239" s="771"/>
      <c r="Z239" s="771"/>
    </row>
    <row r="240" ht="15.75" customHeight="1">
      <c r="A240" s="771"/>
      <c r="B240" s="771"/>
      <c r="C240" s="771"/>
      <c r="D240" s="771"/>
      <c r="E240" s="771"/>
      <c r="F240" s="771"/>
      <c r="G240" s="771"/>
      <c r="H240" s="771"/>
      <c r="I240" s="771"/>
      <c r="J240" s="771"/>
      <c r="K240" s="771"/>
      <c r="L240" s="771"/>
      <c r="M240" s="771"/>
      <c r="N240" s="771"/>
      <c r="O240" s="771"/>
      <c r="P240" s="771"/>
      <c r="Q240" s="771"/>
      <c r="R240" s="771"/>
      <c r="S240" s="771"/>
      <c r="T240" s="771"/>
      <c r="U240" s="771"/>
      <c r="V240" s="771"/>
      <c r="W240" s="771"/>
      <c r="X240" s="771"/>
      <c r="Y240" s="771"/>
      <c r="Z240" s="771"/>
    </row>
    <row r="241" ht="15.75" customHeight="1">
      <c r="A241" s="771"/>
      <c r="B241" s="771"/>
      <c r="C241" s="771"/>
      <c r="D241" s="771"/>
      <c r="E241" s="771"/>
      <c r="F241" s="771"/>
      <c r="G241" s="771"/>
      <c r="H241" s="771"/>
      <c r="I241" s="771"/>
      <c r="J241" s="771"/>
      <c r="K241" s="771"/>
      <c r="L241" s="771"/>
      <c r="M241" s="771"/>
      <c r="N241" s="771"/>
      <c r="O241" s="771"/>
      <c r="P241" s="771"/>
      <c r="Q241" s="771"/>
      <c r="R241" s="771"/>
      <c r="S241" s="771"/>
      <c r="T241" s="771"/>
      <c r="U241" s="771"/>
      <c r="V241" s="771"/>
      <c r="W241" s="771"/>
      <c r="X241" s="771"/>
      <c r="Y241" s="771"/>
      <c r="Z241" s="771"/>
    </row>
    <row r="242" ht="15.75" customHeight="1">
      <c r="A242" s="771"/>
      <c r="B242" s="771"/>
      <c r="C242" s="771"/>
      <c r="D242" s="771"/>
      <c r="E242" s="771"/>
      <c r="F242" s="771"/>
      <c r="G242" s="771"/>
      <c r="H242" s="771"/>
      <c r="I242" s="771"/>
      <c r="J242" s="771"/>
      <c r="K242" s="771"/>
      <c r="L242" s="771"/>
      <c r="M242" s="771"/>
      <c r="N242" s="771"/>
      <c r="O242" s="771"/>
      <c r="P242" s="771"/>
      <c r="Q242" s="771"/>
      <c r="R242" s="771"/>
      <c r="S242" s="771"/>
      <c r="T242" s="771"/>
      <c r="U242" s="771"/>
      <c r="V242" s="771"/>
      <c r="W242" s="771"/>
      <c r="X242" s="771"/>
      <c r="Y242" s="771"/>
      <c r="Z242" s="771"/>
    </row>
    <row r="243" ht="15.75" customHeight="1">
      <c r="A243" s="771"/>
      <c r="B243" s="771"/>
      <c r="C243" s="771"/>
      <c r="D243" s="771"/>
      <c r="E243" s="771"/>
      <c r="F243" s="771"/>
      <c r="G243" s="771"/>
      <c r="H243" s="771"/>
      <c r="I243" s="771"/>
      <c r="J243" s="771"/>
      <c r="K243" s="771"/>
      <c r="L243" s="771"/>
      <c r="M243" s="771"/>
      <c r="N243" s="771"/>
      <c r="O243" s="771"/>
      <c r="P243" s="771"/>
      <c r="Q243" s="771"/>
      <c r="R243" s="771"/>
      <c r="S243" s="771"/>
      <c r="T243" s="771"/>
      <c r="U243" s="771"/>
      <c r="V243" s="771"/>
      <c r="W243" s="771"/>
      <c r="X243" s="771"/>
      <c r="Y243" s="771"/>
      <c r="Z243" s="771"/>
    </row>
    <row r="244" ht="15.75" customHeight="1">
      <c r="A244" s="771"/>
      <c r="B244" s="771"/>
      <c r="C244" s="771"/>
      <c r="D244" s="771"/>
      <c r="E244" s="771"/>
      <c r="F244" s="771"/>
      <c r="G244" s="771"/>
      <c r="H244" s="771"/>
      <c r="I244" s="771"/>
      <c r="J244" s="771"/>
      <c r="K244" s="771"/>
      <c r="L244" s="771"/>
      <c r="M244" s="771"/>
      <c r="N244" s="771"/>
      <c r="O244" s="771"/>
      <c r="P244" s="771"/>
      <c r="Q244" s="771"/>
      <c r="R244" s="771"/>
      <c r="S244" s="771"/>
      <c r="T244" s="771"/>
      <c r="U244" s="771"/>
      <c r="V244" s="771"/>
      <c r="W244" s="771"/>
      <c r="X244" s="771"/>
      <c r="Y244" s="771"/>
      <c r="Z244" s="771"/>
    </row>
    <row r="245" ht="15.75" customHeight="1">
      <c r="A245" s="771"/>
      <c r="B245" s="771"/>
      <c r="C245" s="771"/>
      <c r="D245" s="771"/>
      <c r="E245" s="771"/>
      <c r="F245" s="771"/>
      <c r="G245" s="771"/>
      <c r="H245" s="771"/>
      <c r="I245" s="771"/>
      <c r="J245" s="771"/>
      <c r="K245" s="771"/>
      <c r="L245" s="771"/>
      <c r="M245" s="771"/>
      <c r="N245" s="771"/>
      <c r="O245" s="771"/>
      <c r="P245" s="771"/>
      <c r="Q245" s="771"/>
      <c r="R245" s="771"/>
      <c r="S245" s="771"/>
      <c r="T245" s="771"/>
      <c r="U245" s="771"/>
      <c r="V245" s="771"/>
      <c r="W245" s="771"/>
      <c r="X245" s="771"/>
      <c r="Y245" s="771"/>
      <c r="Z245" s="771"/>
    </row>
    <row r="246" ht="15.75" customHeight="1">
      <c r="A246" s="771"/>
      <c r="B246" s="771"/>
      <c r="C246" s="771"/>
      <c r="D246" s="771"/>
      <c r="E246" s="771"/>
      <c r="F246" s="771"/>
      <c r="G246" s="771"/>
      <c r="H246" s="771"/>
      <c r="I246" s="771"/>
      <c r="J246" s="771"/>
      <c r="K246" s="771"/>
      <c r="L246" s="771"/>
      <c r="M246" s="771"/>
      <c r="N246" s="771"/>
      <c r="O246" s="771"/>
      <c r="P246" s="771"/>
      <c r="Q246" s="771"/>
      <c r="R246" s="771"/>
      <c r="S246" s="771"/>
      <c r="T246" s="771"/>
      <c r="U246" s="771"/>
      <c r="V246" s="771"/>
      <c r="W246" s="771"/>
      <c r="X246" s="771"/>
      <c r="Y246" s="771"/>
      <c r="Z246" s="771"/>
    </row>
    <row r="247" ht="15.75" customHeight="1">
      <c r="A247" s="771"/>
      <c r="B247" s="771"/>
      <c r="C247" s="771"/>
      <c r="D247" s="771"/>
      <c r="E247" s="771"/>
      <c r="F247" s="771"/>
      <c r="G247" s="771"/>
      <c r="H247" s="771"/>
      <c r="I247" s="771"/>
      <c r="J247" s="771"/>
      <c r="K247" s="771"/>
      <c r="L247" s="771"/>
      <c r="M247" s="771"/>
      <c r="N247" s="771"/>
      <c r="O247" s="771"/>
      <c r="P247" s="771"/>
      <c r="Q247" s="771"/>
      <c r="R247" s="771"/>
      <c r="S247" s="771"/>
      <c r="T247" s="771"/>
      <c r="U247" s="771"/>
      <c r="V247" s="771"/>
      <c r="W247" s="771"/>
      <c r="X247" s="771"/>
      <c r="Y247" s="771"/>
      <c r="Z247" s="771"/>
    </row>
    <row r="248" ht="15.75" customHeight="1">
      <c r="A248" s="771"/>
      <c r="B248" s="771"/>
      <c r="C248" s="771"/>
      <c r="D248" s="771"/>
      <c r="E248" s="771"/>
      <c r="F248" s="771"/>
      <c r="G248" s="771"/>
      <c r="H248" s="771"/>
      <c r="I248" s="771"/>
      <c r="J248" s="771"/>
      <c r="K248" s="771"/>
      <c r="L248" s="771"/>
      <c r="M248" s="771"/>
      <c r="N248" s="771"/>
      <c r="O248" s="771"/>
      <c r="P248" s="771"/>
      <c r="Q248" s="771"/>
      <c r="R248" s="771"/>
      <c r="S248" s="771"/>
      <c r="T248" s="771"/>
      <c r="U248" s="771"/>
      <c r="V248" s="771"/>
      <c r="W248" s="771"/>
      <c r="X248" s="771"/>
      <c r="Y248" s="771"/>
      <c r="Z248" s="771"/>
    </row>
    <row r="249" ht="15.75" customHeight="1">
      <c r="A249" s="771"/>
      <c r="B249" s="771"/>
      <c r="C249" s="771"/>
      <c r="D249" s="771"/>
      <c r="E249" s="771"/>
      <c r="F249" s="771"/>
      <c r="G249" s="771"/>
      <c r="H249" s="771"/>
      <c r="I249" s="771"/>
      <c r="J249" s="771"/>
      <c r="K249" s="771"/>
      <c r="L249" s="771"/>
      <c r="M249" s="771"/>
      <c r="N249" s="771"/>
      <c r="O249" s="771"/>
      <c r="P249" s="771"/>
      <c r="Q249" s="771"/>
      <c r="R249" s="771"/>
      <c r="S249" s="771"/>
      <c r="T249" s="771"/>
      <c r="U249" s="771"/>
      <c r="V249" s="771"/>
      <c r="W249" s="771"/>
      <c r="X249" s="771"/>
      <c r="Y249" s="771"/>
      <c r="Z249" s="771"/>
    </row>
    <row r="250" ht="15.75" customHeight="1">
      <c r="A250" s="771"/>
      <c r="B250" s="771"/>
      <c r="C250" s="771"/>
      <c r="D250" s="771"/>
      <c r="E250" s="771"/>
      <c r="F250" s="771"/>
      <c r="G250" s="771"/>
      <c r="H250" s="771"/>
      <c r="I250" s="771"/>
      <c r="J250" s="771"/>
      <c r="K250" s="771"/>
      <c r="L250" s="771"/>
      <c r="M250" s="771"/>
      <c r="N250" s="771"/>
      <c r="O250" s="771"/>
      <c r="P250" s="771"/>
      <c r="Q250" s="771"/>
      <c r="R250" s="771"/>
      <c r="S250" s="771"/>
      <c r="T250" s="771"/>
      <c r="U250" s="771"/>
      <c r="V250" s="771"/>
      <c r="W250" s="771"/>
      <c r="X250" s="771"/>
      <c r="Y250" s="771"/>
      <c r="Z250" s="771"/>
    </row>
    <row r="251" ht="15.75" customHeight="1">
      <c r="A251" s="771"/>
      <c r="B251" s="771"/>
      <c r="C251" s="771"/>
      <c r="D251" s="771"/>
      <c r="E251" s="771"/>
      <c r="F251" s="771"/>
      <c r="G251" s="771"/>
      <c r="H251" s="771"/>
      <c r="I251" s="771"/>
      <c r="J251" s="771"/>
      <c r="K251" s="771"/>
      <c r="L251" s="771"/>
      <c r="M251" s="771"/>
      <c r="N251" s="771"/>
      <c r="O251" s="771"/>
      <c r="P251" s="771"/>
      <c r="Q251" s="771"/>
      <c r="R251" s="771"/>
      <c r="S251" s="771"/>
      <c r="T251" s="771"/>
      <c r="U251" s="771"/>
      <c r="V251" s="771"/>
      <c r="W251" s="771"/>
      <c r="X251" s="771"/>
      <c r="Y251" s="771"/>
      <c r="Z251" s="771"/>
    </row>
    <row r="252" ht="15.75" customHeight="1">
      <c r="A252" s="771"/>
      <c r="B252" s="771"/>
      <c r="C252" s="771"/>
      <c r="D252" s="771"/>
      <c r="E252" s="771"/>
      <c r="F252" s="771"/>
      <c r="G252" s="771"/>
      <c r="H252" s="771"/>
      <c r="I252" s="771"/>
      <c r="J252" s="771"/>
      <c r="K252" s="771"/>
      <c r="L252" s="771"/>
      <c r="M252" s="771"/>
      <c r="N252" s="771"/>
      <c r="O252" s="771"/>
      <c r="P252" s="771"/>
      <c r="Q252" s="771"/>
      <c r="R252" s="771"/>
      <c r="S252" s="771"/>
      <c r="T252" s="771"/>
      <c r="U252" s="771"/>
      <c r="V252" s="771"/>
      <c r="W252" s="771"/>
      <c r="X252" s="771"/>
      <c r="Y252" s="771"/>
      <c r="Z252" s="771"/>
    </row>
    <row r="253" ht="15.75" customHeight="1">
      <c r="A253" s="771"/>
      <c r="B253" s="771"/>
      <c r="C253" s="771"/>
      <c r="D253" s="771"/>
      <c r="E253" s="771"/>
      <c r="F253" s="771"/>
      <c r="G253" s="771"/>
      <c r="H253" s="771"/>
      <c r="I253" s="771"/>
      <c r="J253" s="771"/>
      <c r="K253" s="771"/>
      <c r="L253" s="771"/>
      <c r="M253" s="771"/>
      <c r="N253" s="771"/>
      <c r="O253" s="771"/>
      <c r="P253" s="771"/>
      <c r="Q253" s="771"/>
      <c r="R253" s="771"/>
      <c r="S253" s="771"/>
      <c r="T253" s="771"/>
      <c r="U253" s="771"/>
      <c r="V253" s="771"/>
      <c r="W253" s="771"/>
      <c r="X253" s="771"/>
      <c r="Y253" s="771"/>
      <c r="Z253" s="771"/>
    </row>
    <row r="254" ht="15.75" customHeight="1">
      <c r="A254" s="771"/>
      <c r="B254" s="771"/>
      <c r="C254" s="771"/>
      <c r="D254" s="771"/>
      <c r="E254" s="771"/>
      <c r="F254" s="771"/>
      <c r="G254" s="771"/>
      <c r="H254" s="771"/>
      <c r="I254" s="771"/>
      <c r="J254" s="771"/>
      <c r="K254" s="771"/>
      <c r="L254" s="771"/>
      <c r="M254" s="771"/>
      <c r="N254" s="771"/>
      <c r="O254" s="771"/>
      <c r="P254" s="771"/>
      <c r="Q254" s="771"/>
      <c r="R254" s="771"/>
      <c r="S254" s="771"/>
      <c r="T254" s="771"/>
      <c r="U254" s="771"/>
      <c r="V254" s="771"/>
      <c r="W254" s="771"/>
      <c r="X254" s="771"/>
      <c r="Y254" s="771"/>
      <c r="Z254" s="771"/>
    </row>
    <row r="255" ht="15.75" customHeight="1">
      <c r="A255" s="771"/>
      <c r="B255" s="771"/>
      <c r="C255" s="771"/>
      <c r="D255" s="771"/>
      <c r="E255" s="771"/>
      <c r="F255" s="771"/>
      <c r="G255" s="771"/>
      <c r="H255" s="771"/>
      <c r="I255" s="771"/>
      <c r="J255" s="771"/>
      <c r="K255" s="771"/>
      <c r="L255" s="771"/>
      <c r="M255" s="771"/>
      <c r="N255" s="771"/>
      <c r="O255" s="771"/>
      <c r="P255" s="771"/>
      <c r="Q255" s="771"/>
      <c r="R255" s="771"/>
      <c r="S255" s="771"/>
      <c r="T255" s="771"/>
      <c r="U255" s="771"/>
      <c r="V255" s="771"/>
      <c r="W255" s="771"/>
      <c r="X255" s="771"/>
      <c r="Y255" s="771"/>
      <c r="Z255" s="771"/>
    </row>
    <row r="256" ht="15.75" customHeight="1">
      <c r="A256" s="771"/>
      <c r="B256" s="771"/>
      <c r="C256" s="771"/>
      <c r="D256" s="771"/>
      <c r="E256" s="771"/>
      <c r="F256" s="771"/>
      <c r="G256" s="771"/>
      <c r="H256" s="771"/>
      <c r="I256" s="771"/>
      <c r="J256" s="771"/>
      <c r="K256" s="771"/>
      <c r="L256" s="771"/>
      <c r="M256" s="771"/>
      <c r="N256" s="771"/>
      <c r="O256" s="771"/>
      <c r="P256" s="771"/>
      <c r="Q256" s="771"/>
      <c r="R256" s="771"/>
      <c r="S256" s="771"/>
      <c r="T256" s="771"/>
      <c r="U256" s="771"/>
      <c r="V256" s="771"/>
      <c r="W256" s="771"/>
      <c r="X256" s="771"/>
      <c r="Y256" s="771"/>
      <c r="Z256" s="771"/>
    </row>
    <row r="257" ht="15.75" customHeight="1">
      <c r="A257" s="771"/>
      <c r="B257" s="771"/>
      <c r="C257" s="771"/>
      <c r="D257" s="771"/>
      <c r="E257" s="771"/>
      <c r="F257" s="771"/>
      <c r="G257" s="771"/>
      <c r="H257" s="771"/>
      <c r="I257" s="771"/>
      <c r="J257" s="771"/>
      <c r="K257" s="771"/>
      <c r="L257" s="771"/>
      <c r="M257" s="771"/>
      <c r="N257" s="771"/>
      <c r="O257" s="771"/>
      <c r="P257" s="771"/>
      <c r="Q257" s="771"/>
      <c r="R257" s="771"/>
      <c r="S257" s="771"/>
      <c r="T257" s="771"/>
      <c r="U257" s="771"/>
      <c r="V257" s="771"/>
      <c r="W257" s="771"/>
      <c r="X257" s="771"/>
      <c r="Y257" s="771"/>
      <c r="Z257" s="771"/>
    </row>
    <row r="258" ht="15.75" customHeight="1">
      <c r="A258" s="771"/>
      <c r="B258" s="771"/>
      <c r="C258" s="771"/>
      <c r="D258" s="771"/>
      <c r="E258" s="771"/>
      <c r="F258" s="771"/>
      <c r="G258" s="771"/>
      <c r="H258" s="771"/>
      <c r="I258" s="771"/>
      <c r="J258" s="771"/>
      <c r="K258" s="771"/>
      <c r="L258" s="771"/>
      <c r="M258" s="771"/>
      <c r="N258" s="771"/>
      <c r="O258" s="771"/>
      <c r="P258" s="771"/>
      <c r="Q258" s="771"/>
      <c r="R258" s="771"/>
      <c r="S258" s="771"/>
      <c r="T258" s="771"/>
      <c r="U258" s="771"/>
      <c r="V258" s="771"/>
      <c r="W258" s="771"/>
      <c r="X258" s="771"/>
      <c r="Y258" s="771"/>
      <c r="Z258" s="771"/>
    </row>
    <row r="259" ht="15.75" customHeight="1">
      <c r="A259" s="771"/>
      <c r="B259" s="771"/>
      <c r="C259" s="771"/>
      <c r="D259" s="771"/>
      <c r="E259" s="771"/>
      <c r="F259" s="771"/>
      <c r="G259" s="771"/>
      <c r="H259" s="771"/>
      <c r="I259" s="771"/>
      <c r="J259" s="771"/>
      <c r="K259" s="771"/>
      <c r="L259" s="771"/>
      <c r="M259" s="771"/>
      <c r="N259" s="771"/>
      <c r="O259" s="771"/>
      <c r="P259" s="771"/>
      <c r="Q259" s="771"/>
      <c r="R259" s="771"/>
      <c r="S259" s="771"/>
      <c r="T259" s="771"/>
      <c r="U259" s="771"/>
      <c r="V259" s="771"/>
      <c r="W259" s="771"/>
      <c r="X259" s="771"/>
      <c r="Y259" s="771"/>
      <c r="Z259" s="771"/>
    </row>
    <row r="260" ht="15.75" customHeight="1">
      <c r="A260" s="771"/>
      <c r="B260" s="771"/>
      <c r="C260" s="771"/>
      <c r="D260" s="771"/>
      <c r="E260" s="771"/>
      <c r="F260" s="771"/>
      <c r="G260" s="771"/>
      <c r="H260" s="771"/>
      <c r="I260" s="771"/>
      <c r="J260" s="771"/>
      <c r="K260" s="771"/>
      <c r="L260" s="771"/>
      <c r="M260" s="771"/>
      <c r="N260" s="771"/>
      <c r="O260" s="771"/>
      <c r="P260" s="771"/>
      <c r="Q260" s="771"/>
      <c r="R260" s="771"/>
      <c r="S260" s="771"/>
      <c r="T260" s="771"/>
      <c r="U260" s="771"/>
      <c r="V260" s="771"/>
      <c r="W260" s="771"/>
      <c r="X260" s="771"/>
      <c r="Y260" s="771"/>
      <c r="Z260" s="771"/>
    </row>
    <row r="261" ht="15.75" customHeight="1">
      <c r="A261" s="771"/>
      <c r="B261" s="771"/>
      <c r="C261" s="771"/>
      <c r="D261" s="771"/>
      <c r="E261" s="771"/>
      <c r="F261" s="771"/>
      <c r="G261" s="771"/>
      <c r="H261" s="771"/>
      <c r="I261" s="771"/>
      <c r="J261" s="771"/>
      <c r="K261" s="771"/>
      <c r="L261" s="771"/>
      <c r="M261" s="771"/>
      <c r="N261" s="771"/>
      <c r="O261" s="771"/>
      <c r="P261" s="771"/>
      <c r="Q261" s="771"/>
      <c r="R261" s="771"/>
      <c r="S261" s="771"/>
      <c r="T261" s="771"/>
      <c r="U261" s="771"/>
      <c r="V261" s="771"/>
      <c r="W261" s="771"/>
      <c r="X261" s="771"/>
      <c r="Y261" s="771"/>
      <c r="Z261" s="771"/>
    </row>
    <row r="262" ht="15.75" customHeight="1">
      <c r="A262" s="771"/>
      <c r="B262" s="771"/>
      <c r="C262" s="771"/>
      <c r="D262" s="771"/>
      <c r="E262" s="771"/>
      <c r="F262" s="771"/>
      <c r="G262" s="771"/>
      <c r="H262" s="771"/>
      <c r="I262" s="771"/>
      <c r="J262" s="771"/>
      <c r="K262" s="771"/>
      <c r="L262" s="771"/>
      <c r="M262" s="771"/>
      <c r="N262" s="771"/>
      <c r="O262" s="771"/>
      <c r="P262" s="771"/>
      <c r="Q262" s="771"/>
      <c r="R262" s="771"/>
      <c r="S262" s="771"/>
      <c r="T262" s="771"/>
      <c r="U262" s="771"/>
      <c r="V262" s="771"/>
      <c r="W262" s="771"/>
      <c r="X262" s="771"/>
      <c r="Y262" s="771"/>
      <c r="Z262" s="771"/>
    </row>
    <row r="263" ht="15.75" customHeight="1">
      <c r="A263" s="771"/>
      <c r="B263" s="771"/>
      <c r="C263" s="771"/>
      <c r="D263" s="771"/>
      <c r="E263" s="771"/>
      <c r="F263" s="771"/>
      <c r="G263" s="771"/>
      <c r="H263" s="771"/>
      <c r="I263" s="771"/>
      <c r="J263" s="771"/>
      <c r="K263" s="771"/>
      <c r="L263" s="771"/>
      <c r="M263" s="771"/>
      <c r="N263" s="771"/>
      <c r="O263" s="771"/>
      <c r="P263" s="771"/>
      <c r="Q263" s="771"/>
      <c r="R263" s="771"/>
      <c r="S263" s="771"/>
      <c r="T263" s="771"/>
      <c r="U263" s="771"/>
      <c r="V263" s="771"/>
      <c r="W263" s="771"/>
      <c r="X263" s="771"/>
      <c r="Y263" s="771"/>
      <c r="Z263" s="771"/>
    </row>
    <row r="264" ht="15.75" customHeight="1">
      <c r="A264" s="771"/>
      <c r="B264" s="771"/>
      <c r="C264" s="771"/>
      <c r="D264" s="771"/>
      <c r="E264" s="771"/>
      <c r="F264" s="771"/>
      <c r="G264" s="771"/>
      <c r="H264" s="771"/>
      <c r="I264" s="771"/>
      <c r="J264" s="771"/>
      <c r="K264" s="771"/>
      <c r="L264" s="771"/>
      <c r="M264" s="771"/>
      <c r="N264" s="771"/>
      <c r="O264" s="771"/>
      <c r="P264" s="771"/>
      <c r="Q264" s="771"/>
      <c r="R264" s="771"/>
      <c r="S264" s="771"/>
      <c r="T264" s="771"/>
      <c r="U264" s="771"/>
      <c r="V264" s="771"/>
      <c r="W264" s="771"/>
      <c r="X264" s="771"/>
      <c r="Y264" s="771"/>
      <c r="Z264" s="771"/>
    </row>
    <row r="265" ht="15.75" customHeight="1">
      <c r="A265" s="771"/>
      <c r="B265" s="771"/>
      <c r="C265" s="771"/>
      <c r="D265" s="771"/>
      <c r="E265" s="771"/>
      <c r="F265" s="771"/>
      <c r="G265" s="771"/>
      <c r="H265" s="771"/>
      <c r="I265" s="771"/>
      <c r="J265" s="771"/>
      <c r="K265" s="771"/>
      <c r="L265" s="771"/>
      <c r="M265" s="771"/>
      <c r="N265" s="771"/>
      <c r="O265" s="771"/>
      <c r="P265" s="771"/>
      <c r="Q265" s="771"/>
      <c r="R265" s="771"/>
      <c r="S265" s="771"/>
      <c r="T265" s="771"/>
      <c r="U265" s="771"/>
      <c r="V265" s="771"/>
      <c r="W265" s="771"/>
      <c r="X265" s="771"/>
      <c r="Y265" s="771"/>
      <c r="Z265" s="771"/>
    </row>
    <row r="266" ht="15.75" customHeight="1">
      <c r="A266" s="771"/>
      <c r="B266" s="771"/>
      <c r="C266" s="771"/>
      <c r="D266" s="771"/>
      <c r="E266" s="771"/>
      <c r="F266" s="771"/>
      <c r="G266" s="771"/>
      <c r="H266" s="771"/>
      <c r="I266" s="771"/>
      <c r="J266" s="771"/>
      <c r="K266" s="771"/>
      <c r="L266" s="771"/>
      <c r="M266" s="771"/>
      <c r="N266" s="771"/>
      <c r="O266" s="771"/>
      <c r="P266" s="771"/>
      <c r="Q266" s="771"/>
      <c r="R266" s="771"/>
      <c r="S266" s="771"/>
      <c r="T266" s="771"/>
      <c r="U266" s="771"/>
      <c r="V266" s="771"/>
      <c r="W266" s="771"/>
      <c r="X266" s="771"/>
      <c r="Y266" s="771"/>
      <c r="Z266" s="771"/>
    </row>
    <row r="267" ht="15.75" customHeight="1">
      <c r="A267" s="771"/>
      <c r="B267" s="771"/>
      <c r="C267" s="771"/>
      <c r="D267" s="771"/>
      <c r="E267" s="771"/>
      <c r="F267" s="771"/>
      <c r="G267" s="771"/>
      <c r="H267" s="771"/>
      <c r="I267" s="771"/>
      <c r="J267" s="771"/>
      <c r="K267" s="771"/>
      <c r="L267" s="771"/>
      <c r="M267" s="771"/>
      <c r="N267" s="771"/>
      <c r="O267" s="771"/>
      <c r="P267" s="771"/>
      <c r="Q267" s="771"/>
      <c r="R267" s="771"/>
      <c r="S267" s="771"/>
      <c r="T267" s="771"/>
      <c r="U267" s="771"/>
      <c r="V267" s="771"/>
      <c r="W267" s="771"/>
      <c r="X267" s="771"/>
      <c r="Y267" s="771"/>
      <c r="Z267" s="771"/>
    </row>
    <row r="268" ht="15.75" customHeight="1">
      <c r="A268" s="771"/>
      <c r="B268" s="771"/>
      <c r="C268" s="771"/>
      <c r="D268" s="771"/>
      <c r="E268" s="771"/>
      <c r="F268" s="771"/>
      <c r="G268" s="771"/>
      <c r="H268" s="771"/>
      <c r="I268" s="771"/>
      <c r="J268" s="771"/>
      <c r="K268" s="771"/>
      <c r="L268" s="771"/>
      <c r="M268" s="771"/>
      <c r="N268" s="771"/>
      <c r="O268" s="771"/>
      <c r="P268" s="771"/>
      <c r="Q268" s="771"/>
      <c r="R268" s="771"/>
      <c r="S268" s="771"/>
      <c r="T268" s="771"/>
      <c r="U268" s="771"/>
      <c r="V268" s="771"/>
      <c r="W268" s="771"/>
      <c r="X268" s="771"/>
      <c r="Y268" s="771"/>
      <c r="Z268" s="771"/>
    </row>
    <row r="269" ht="15.75" customHeight="1">
      <c r="A269" s="771"/>
      <c r="B269" s="771"/>
      <c r="C269" s="771"/>
      <c r="D269" s="771"/>
      <c r="E269" s="771"/>
      <c r="F269" s="771"/>
      <c r="G269" s="771"/>
      <c r="H269" s="771"/>
      <c r="I269" s="771"/>
      <c r="J269" s="771"/>
      <c r="K269" s="771"/>
      <c r="L269" s="771"/>
      <c r="M269" s="771"/>
      <c r="N269" s="771"/>
      <c r="O269" s="771"/>
      <c r="P269" s="771"/>
      <c r="Q269" s="771"/>
      <c r="R269" s="771"/>
      <c r="S269" s="771"/>
      <c r="T269" s="771"/>
      <c r="U269" s="771"/>
      <c r="V269" s="771"/>
      <c r="W269" s="771"/>
      <c r="X269" s="771"/>
      <c r="Y269" s="771"/>
      <c r="Z269" s="771"/>
    </row>
    <row r="270" ht="15.75" customHeight="1">
      <c r="A270" s="771"/>
      <c r="B270" s="771"/>
      <c r="C270" s="771"/>
      <c r="D270" s="771"/>
      <c r="E270" s="771"/>
      <c r="F270" s="771"/>
      <c r="G270" s="771"/>
      <c r="H270" s="771"/>
      <c r="I270" s="771"/>
      <c r="J270" s="771"/>
      <c r="K270" s="771"/>
      <c r="L270" s="771"/>
      <c r="M270" s="771"/>
      <c r="N270" s="771"/>
      <c r="O270" s="771"/>
      <c r="P270" s="771"/>
      <c r="Q270" s="771"/>
      <c r="R270" s="771"/>
      <c r="S270" s="771"/>
      <c r="T270" s="771"/>
      <c r="U270" s="771"/>
      <c r="V270" s="771"/>
      <c r="W270" s="771"/>
      <c r="X270" s="771"/>
      <c r="Y270" s="771"/>
      <c r="Z270" s="771"/>
    </row>
    <row r="271" ht="15.75" customHeight="1">
      <c r="A271" s="771"/>
      <c r="B271" s="771"/>
      <c r="C271" s="771"/>
      <c r="D271" s="771"/>
      <c r="E271" s="771"/>
      <c r="F271" s="771"/>
      <c r="G271" s="771"/>
      <c r="H271" s="771"/>
      <c r="I271" s="771"/>
      <c r="J271" s="771"/>
      <c r="K271" s="771"/>
      <c r="L271" s="771"/>
      <c r="M271" s="771"/>
      <c r="N271" s="771"/>
      <c r="O271" s="771"/>
      <c r="P271" s="771"/>
      <c r="Q271" s="771"/>
      <c r="R271" s="771"/>
      <c r="S271" s="771"/>
      <c r="T271" s="771"/>
      <c r="U271" s="771"/>
      <c r="V271" s="771"/>
      <c r="W271" s="771"/>
      <c r="X271" s="771"/>
      <c r="Y271" s="771"/>
      <c r="Z271" s="771"/>
    </row>
    <row r="272" ht="15.75" customHeight="1">
      <c r="A272" s="771"/>
      <c r="B272" s="771"/>
      <c r="C272" s="771"/>
      <c r="D272" s="771"/>
      <c r="E272" s="771"/>
      <c r="F272" s="771"/>
      <c r="G272" s="771"/>
      <c r="H272" s="771"/>
      <c r="I272" s="771"/>
      <c r="J272" s="771"/>
      <c r="K272" s="771"/>
      <c r="L272" s="771"/>
      <c r="M272" s="771"/>
      <c r="N272" s="771"/>
      <c r="O272" s="771"/>
      <c r="P272" s="771"/>
      <c r="Q272" s="771"/>
      <c r="R272" s="771"/>
      <c r="S272" s="771"/>
      <c r="T272" s="771"/>
      <c r="U272" s="771"/>
      <c r="V272" s="771"/>
      <c r="W272" s="771"/>
      <c r="X272" s="771"/>
      <c r="Y272" s="771"/>
      <c r="Z272" s="771"/>
    </row>
    <row r="273" ht="15.75" customHeight="1">
      <c r="A273" s="771"/>
      <c r="B273" s="771"/>
      <c r="C273" s="771"/>
      <c r="D273" s="771"/>
      <c r="E273" s="771"/>
      <c r="F273" s="771"/>
      <c r="G273" s="771"/>
      <c r="H273" s="771"/>
      <c r="I273" s="771"/>
      <c r="J273" s="771"/>
      <c r="K273" s="771"/>
      <c r="L273" s="771"/>
      <c r="M273" s="771"/>
      <c r="N273" s="771"/>
      <c r="O273" s="771"/>
      <c r="P273" s="771"/>
      <c r="Q273" s="771"/>
      <c r="R273" s="771"/>
      <c r="S273" s="771"/>
      <c r="T273" s="771"/>
      <c r="U273" s="771"/>
      <c r="V273" s="771"/>
      <c r="W273" s="771"/>
      <c r="X273" s="771"/>
      <c r="Y273" s="771"/>
      <c r="Z273" s="771"/>
    </row>
    <row r="274" ht="15.75" customHeight="1">
      <c r="A274" s="771"/>
      <c r="B274" s="771"/>
      <c r="C274" s="771"/>
      <c r="D274" s="771"/>
      <c r="E274" s="771"/>
      <c r="F274" s="771"/>
      <c r="G274" s="771"/>
      <c r="H274" s="771"/>
      <c r="I274" s="771"/>
      <c r="J274" s="771"/>
      <c r="K274" s="771"/>
      <c r="L274" s="771"/>
      <c r="M274" s="771"/>
      <c r="N274" s="771"/>
      <c r="O274" s="771"/>
      <c r="P274" s="771"/>
      <c r="Q274" s="771"/>
      <c r="R274" s="771"/>
      <c r="S274" s="771"/>
      <c r="T274" s="771"/>
      <c r="U274" s="771"/>
      <c r="V274" s="771"/>
      <c r="W274" s="771"/>
      <c r="X274" s="771"/>
      <c r="Y274" s="771"/>
      <c r="Z274" s="771"/>
    </row>
    <row r="275" ht="15.75" customHeight="1">
      <c r="A275" s="771"/>
      <c r="B275" s="771"/>
      <c r="C275" s="771"/>
      <c r="D275" s="771"/>
      <c r="E275" s="771"/>
      <c r="F275" s="771"/>
      <c r="G275" s="771"/>
      <c r="H275" s="771"/>
      <c r="I275" s="771"/>
      <c r="J275" s="771"/>
      <c r="K275" s="771"/>
      <c r="L275" s="771"/>
      <c r="M275" s="771"/>
      <c r="N275" s="771"/>
      <c r="O275" s="771"/>
      <c r="P275" s="771"/>
      <c r="Q275" s="771"/>
      <c r="R275" s="771"/>
      <c r="S275" s="771"/>
      <c r="T275" s="771"/>
      <c r="U275" s="771"/>
      <c r="V275" s="771"/>
      <c r="W275" s="771"/>
      <c r="X275" s="771"/>
      <c r="Y275" s="771"/>
      <c r="Z275" s="771"/>
    </row>
    <row r="276" ht="15.75" customHeight="1">
      <c r="A276" s="771"/>
      <c r="B276" s="771"/>
      <c r="C276" s="771"/>
      <c r="D276" s="771"/>
      <c r="E276" s="771"/>
      <c r="F276" s="771"/>
      <c r="G276" s="771"/>
      <c r="H276" s="771"/>
      <c r="I276" s="771"/>
      <c r="J276" s="771"/>
      <c r="K276" s="771"/>
      <c r="L276" s="771"/>
      <c r="M276" s="771"/>
      <c r="N276" s="771"/>
      <c r="O276" s="771"/>
      <c r="P276" s="771"/>
      <c r="Q276" s="771"/>
      <c r="R276" s="771"/>
      <c r="S276" s="771"/>
      <c r="T276" s="771"/>
      <c r="U276" s="771"/>
      <c r="V276" s="771"/>
      <c r="W276" s="771"/>
      <c r="X276" s="771"/>
      <c r="Y276" s="771"/>
      <c r="Z276" s="771"/>
    </row>
    <row r="277" ht="15.75" customHeight="1">
      <c r="A277" s="771"/>
      <c r="B277" s="771"/>
      <c r="C277" s="771"/>
      <c r="D277" s="771"/>
      <c r="E277" s="771"/>
      <c r="F277" s="771"/>
      <c r="G277" s="771"/>
      <c r="H277" s="771"/>
      <c r="I277" s="771"/>
      <c r="J277" s="771"/>
      <c r="K277" s="771"/>
      <c r="L277" s="771"/>
      <c r="M277" s="771"/>
      <c r="N277" s="771"/>
      <c r="O277" s="771"/>
      <c r="P277" s="771"/>
      <c r="Q277" s="771"/>
      <c r="R277" s="771"/>
      <c r="S277" s="771"/>
      <c r="T277" s="771"/>
      <c r="U277" s="771"/>
      <c r="V277" s="771"/>
      <c r="W277" s="771"/>
      <c r="X277" s="771"/>
      <c r="Y277" s="771"/>
      <c r="Z277" s="771"/>
    </row>
    <row r="278" ht="15.75" customHeight="1">
      <c r="A278" s="771"/>
      <c r="B278" s="771"/>
      <c r="C278" s="771"/>
      <c r="D278" s="771"/>
      <c r="E278" s="771"/>
      <c r="F278" s="771"/>
      <c r="G278" s="771"/>
      <c r="H278" s="771"/>
      <c r="I278" s="771"/>
      <c r="J278" s="771"/>
      <c r="K278" s="771"/>
      <c r="L278" s="771"/>
      <c r="M278" s="771"/>
      <c r="N278" s="771"/>
      <c r="O278" s="771"/>
      <c r="P278" s="771"/>
      <c r="Q278" s="771"/>
      <c r="R278" s="771"/>
      <c r="S278" s="771"/>
      <c r="T278" s="771"/>
      <c r="U278" s="771"/>
      <c r="V278" s="771"/>
      <c r="W278" s="771"/>
      <c r="X278" s="771"/>
      <c r="Y278" s="771"/>
      <c r="Z278" s="771"/>
    </row>
    <row r="279" ht="15.75" customHeight="1">
      <c r="A279" s="771"/>
      <c r="B279" s="771"/>
      <c r="C279" s="771"/>
      <c r="D279" s="771"/>
      <c r="E279" s="771"/>
      <c r="F279" s="771"/>
      <c r="G279" s="771"/>
      <c r="H279" s="771"/>
      <c r="I279" s="771"/>
      <c r="J279" s="771"/>
      <c r="K279" s="771"/>
      <c r="L279" s="771"/>
      <c r="M279" s="771"/>
      <c r="N279" s="771"/>
      <c r="O279" s="771"/>
      <c r="P279" s="771"/>
      <c r="Q279" s="771"/>
      <c r="R279" s="771"/>
      <c r="S279" s="771"/>
      <c r="T279" s="771"/>
      <c r="U279" s="771"/>
      <c r="V279" s="771"/>
      <c r="W279" s="771"/>
      <c r="X279" s="771"/>
      <c r="Y279" s="771"/>
      <c r="Z279" s="771"/>
    </row>
    <row r="280" ht="15.75" customHeight="1">
      <c r="A280" s="771"/>
      <c r="B280" s="771"/>
      <c r="C280" s="771"/>
      <c r="D280" s="771"/>
      <c r="E280" s="771"/>
      <c r="F280" s="771"/>
      <c r="G280" s="771"/>
      <c r="H280" s="771"/>
      <c r="I280" s="771"/>
      <c r="J280" s="771"/>
      <c r="K280" s="771"/>
      <c r="L280" s="771"/>
      <c r="M280" s="771"/>
      <c r="N280" s="771"/>
      <c r="O280" s="771"/>
      <c r="P280" s="771"/>
      <c r="Q280" s="771"/>
      <c r="R280" s="771"/>
      <c r="S280" s="771"/>
      <c r="T280" s="771"/>
      <c r="U280" s="771"/>
      <c r="V280" s="771"/>
      <c r="W280" s="771"/>
      <c r="X280" s="771"/>
      <c r="Y280" s="771"/>
      <c r="Z280" s="771"/>
    </row>
    <row r="281" ht="15.75" customHeight="1">
      <c r="A281" s="771"/>
      <c r="B281" s="771"/>
      <c r="C281" s="771"/>
      <c r="D281" s="771"/>
      <c r="E281" s="771"/>
      <c r="F281" s="771"/>
      <c r="G281" s="771"/>
      <c r="H281" s="771"/>
      <c r="I281" s="771"/>
      <c r="J281" s="771"/>
      <c r="K281" s="771"/>
      <c r="L281" s="771"/>
      <c r="M281" s="771"/>
      <c r="N281" s="771"/>
      <c r="O281" s="771"/>
      <c r="P281" s="771"/>
      <c r="Q281" s="771"/>
      <c r="R281" s="771"/>
      <c r="S281" s="771"/>
      <c r="T281" s="771"/>
      <c r="U281" s="771"/>
      <c r="V281" s="771"/>
      <c r="W281" s="771"/>
      <c r="X281" s="771"/>
      <c r="Y281" s="771"/>
      <c r="Z281" s="771"/>
    </row>
    <row r="282" ht="15.75" customHeight="1">
      <c r="A282" s="771"/>
      <c r="B282" s="771"/>
      <c r="C282" s="771"/>
      <c r="D282" s="771"/>
      <c r="E282" s="771"/>
      <c r="F282" s="771"/>
      <c r="G282" s="771"/>
      <c r="H282" s="771"/>
      <c r="I282" s="771"/>
      <c r="J282" s="771"/>
      <c r="K282" s="771"/>
      <c r="L282" s="771"/>
      <c r="M282" s="771"/>
      <c r="N282" s="771"/>
      <c r="O282" s="771"/>
      <c r="P282" s="771"/>
      <c r="Q282" s="771"/>
      <c r="R282" s="771"/>
      <c r="S282" s="771"/>
      <c r="T282" s="771"/>
      <c r="U282" s="771"/>
      <c r="V282" s="771"/>
      <c r="W282" s="771"/>
      <c r="X282" s="771"/>
      <c r="Y282" s="771"/>
      <c r="Z282" s="771"/>
    </row>
    <row r="283" ht="15.75" customHeight="1">
      <c r="A283" s="771"/>
      <c r="B283" s="771"/>
      <c r="C283" s="771"/>
      <c r="D283" s="771"/>
      <c r="E283" s="771"/>
      <c r="F283" s="771"/>
      <c r="G283" s="771"/>
      <c r="H283" s="771"/>
      <c r="I283" s="771"/>
      <c r="J283" s="771"/>
      <c r="K283" s="771"/>
      <c r="L283" s="771"/>
      <c r="M283" s="771"/>
      <c r="N283" s="771"/>
      <c r="O283" s="771"/>
      <c r="P283" s="771"/>
      <c r="Q283" s="771"/>
      <c r="R283" s="771"/>
      <c r="S283" s="771"/>
      <c r="T283" s="771"/>
      <c r="U283" s="771"/>
      <c r="V283" s="771"/>
      <c r="W283" s="771"/>
      <c r="X283" s="771"/>
      <c r="Y283" s="771"/>
      <c r="Z283" s="771"/>
    </row>
    <row r="284" ht="15.75" customHeight="1">
      <c r="A284" s="771"/>
      <c r="B284" s="771"/>
      <c r="C284" s="771"/>
      <c r="D284" s="771"/>
      <c r="E284" s="771"/>
      <c r="F284" s="771"/>
      <c r="G284" s="771"/>
      <c r="H284" s="771"/>
      <c r="I284" s="771"/>
      <c r="J284" s="771"/>
      <c r="K284" s="771"/>
      <c r="L284" s="771"/>
      <c r="M284" s="771"/>
      <c r="N284" s="771"/>
      <c r="O284" s="771"/>
      <c r="P284" s="771"/>
      <c r="Q284" s="771"/>
      <c r="R284" s="771"/>
      <c r="S284" s="771"/>
      <c r="T284" s="771"/>
      <c r="U284" s="771"/>
      <c r="V284" s="771"/>
      <c r="W284" s="771"/>
      <c r="X284" s="771"/>
      <c r="Y284" s="771"/>
      <c r="Z284" s="771"/>
    </row>
    <row r="285" ht="15.75" customHeight="1">
      <c r="A285" s="771"/>
      <c r="B285" s="771"/>
      <c r="C285" s="771"/>
      <c r="D285" s="771"/>
      <c r="E285" s="771"/>
      <c r="F285" s="771"/>
      <c r="G285" s="771"/>
      <c r="H285" s="771"/>
      <c r="I285" s="771"/>
      <c r="J285" s="771"/>
      <c r="K285" s="771"/>
      <c r="L285" s="771"/>
      <c r="M285" s="771"/>
      <c r="N285" s="771"/>
      <c r="O285" s="771"/>
      <c r="P285" s="771"/>
      <c r="Q285" s="771"/>
      <c r="R285" s="771"/>
      <c r="S285" s="771"/>
      <c r="T285" s="771"/>
      <c r="U285" s="771"/>
      <c r="V285" s="771"/>
      <c r="W285" s="771"/>
      <c r="X285" s="771"/>
      <c r="Y285" s="771"/>
      <c r="Z285" s="771"/>
    </row>
    <row r="286" ht="15.75" customHeight="1">
      <c r="A286" s="771"/>
      <c r="B286" s="771"/>
      <c r="C286" s="771"/>
      <c r="D286" s="771"/>
      <c r="E286" s="771"/>
      <c r="F286" s="771"/>
      <c r="G286" s="771"/>
      <c r="H286" s="771"/>
      <c r="I286" s="771"/>
      <c r="J286" s="771"/>
      <c r="K286" s="771"/>
      <c r="L286" s="771"/>
      <c r="M286" s="771"/>
      <c r="N286" s="771"/>
      <c r="O286" s="771"/>
      <c r="P286" s="771"/>
      <c r="Q286" s="771"/>
      <c r="R286" s="771"/>
      <c r="S286" s="771"/>
      <c r="T286" s="771"/>
      <c r="U286" s="771"/>
      <c r="V286" s="771"/>
      <c r="W286" s="771"/>
      <c r="X286" s="771"/>
      <c r="Y286" s="771"/>
      <c r="Z286" s="771"/>
    </row>
    <row r="287" ht="15.75" customHeight="1">
      <c r="A287" s="771"/>
      <c r="B287" s="771"/>
      <c r="C287" s="771"/>
      <c r="D287" s="771"/>
      <c r="E287" s="771"/>
      <c r="F287" s="771"/>
      <c r="G287" s="771"/>
      <c r="H287" s="771"/>
      <c r="I287" s="771"/>
      <c r="J287" s="771"/>
      <c r="K287" s="771"/>
      <c r="L287" s="771"/>
      <c r="M287" s="771"/>
      <c r="N287" s="771"/>
      <c r="O287" s="771"/>
      <c r="P287" s="771"/>
      <c r="Q287" s="771"/>
      <c r="R287" s="771"/>
      <c r="S287" s="771"/>
      <c r="T287" s="771"/>
      <c r="U287" s="771"/>
      <c r="V287" s="771"/>
      <c r="W287" s="771"/>
      <c r="X287" s="771"/>
      <c r="Y287" s="771"/>
      <c r="Z287" s="771"/>
    </row>
    <row r="288" ht="15.75" customHeight="1">
      <c r="A288" s="771"/>
      <c r="B288" s="771"/>
      <c r="C288" s="771"/>
      <c r="D288" s="771"/>
      <c r="E288" s="771"/>
      <c r="F288" s="771"/>
      <c r="G288" s="771"/>
      <c r="H288" s="771"/>
      <c r="I288" s="771"/>
      <c r="J288" s="771"/>
      <c r="K288" s="771"/>
      <c r="L288" s="771"/>
      <c r="M288" s="771"/>
      <c r="N288" s="771"/>
      <c r="O288" s="771"/>
      <c r="P288" s="771"/>
      <c r="Q288" s="771"/>
      <c r="R288" s="771"/>
      <c r="S288" s="771"/>
      <c r="T288" s="771"/>
      <c r="U288" s="771"/>
      <c r="V288" s="771"/>
      <c r="W288" s="771"/>
      <c r="X288" s="771"/>
      <c r="Y288" s="771"/>
      <c r="Z288" s="771"/>
    </row>
    <row r="289" ht="15.75" customHeight="1">
      <c r="A289" s="771"/>
      <c r="B289" s="771"/>
      <c r="C289" s="771"/>
      <c r="D289" s="771"/>
      <c r="E289" s="771"/>
      <c r="F289" s="771"/>
      <c r="G289" s="771"/>
      <c r="H289" s="771"/>
      <c r="I289" s="771"/>
      <c r="J289" s="771"/>
      <c r="K289" s="771"/>
      <c r="L289" s="771"/>
      <c r="M289" s="771"/>
      <c r="N289" s="771"/>
      <c r="O289" s="771"/>
      <c r="P289" s="771"/>
      <c r="Q289" s="771"/>
      <c r="R289" s="771"/>
      <c r="S289" s="771"/>
      <c r="T289" s="771"/>
      <c r="U289" s="771"/>
      <c r="V289" s="771"/>
      <c r="W289" s="771"/>
      <c r="X289" s="771"/>
      <c r="Y289" s="771"/>
      <c r="Z289" s="771"/>
    </row>
    <row r="290" ht="15.75" customHeight="1">
      <c r="A290" s="771"/>
      <c r="B290" s="771"/>
      <c r="C290" s="771"/>
      <c r="D290" s="771"/>
      <c r="E290" s="771"/>
      <c r="F290" s="771"/>
      <c r="G290" s="771"/>
      <c r="H290" s="771"/>
      <c r="I290" s="771"/>
      <c r="J290" s="771"/>
      <c r="K290" s="771"/>
      <c r="L290" s="771"/>
      <c r="M290" s="771"/>
      <c r="N290" s="771"/>
      <c r="O290" s="771"/>
      <c r="P290" s="771"/>
      <c r="Q290" s="771"/>
      <c r="R290" s="771"/>
      <c r="S290" s="771"/>
      <c r="T290" s="771"/>
      <c r="U290" s="771"/>
      <c r="V290" s="771"/>
      <c r="W290" s="771"/>
      <c r="X290" s="771"/>
      <c r="Y290" s="771"/>
      <c r="Z290" s="771"/>
    </row>
    <row r="291" ht="15.75" customHeight="1">
      <c r="A291" s="771"/>
      <c r="B291" s="771"/>
      <c r="C291" s="771"/>
      <c r="D291" s="771"/>
      <c r="E291" s="771"/>
      <c r="F291" s="771"/>
      <c r="G291" s="771"/>
      <c r="H291" s="771"/>
      <c r="I291" s="771"/>
      <c r="J291" s="771"/>
      <c r="K291" s="771"/>
      <c r="L291" s="771"/>
      <c r="M291" s="771"/>
      <c r="N291" s="771"/>
      <c r="O291" s="771"/>
      <c r="P291" s="771"/>
      <c r="Q291" s="771"/>
      <c r="R291" s="771"/>
      <c r="S291" s="771"/>
      <c r="T291" s="771"/>
      <c r="U291" s="771"/>
      <c r="V291" s="771"/>
      <c r="W291" s="771"/>
      <c r="X291" s="771"/>
      <c r="Y291" s="771"/>
      <c r="Z291" s="771"/>
    </row>
    <row r="292" ht="15.75" customHeight="1">
      <c r="A292" s="771"/>
      <c r="B292" s="771"/>
      <c r="C292" s="771"/>
      <c r="D292" s="771"/>
      <c r="E292" s="771"/>
      <c r="F292" s="771"/>
      <c r="G292" s="771"/>
      <c r="H292" s="771"/>
      <c r="I292" s="771"/>
      <c r="J292" s="771"/>
      <c r="K292" s="771"/>
      <c r="L292" s="771"/>
      <c r="M292" s="771"/>
      <c r="N292" s="771"/>
      <c r="O292" s="771"/>
      <c r="P292" s="771"/>
      <c r="Q292" s="771"/>
      <c r="R292" s="771"/>
      <c r="S292" s="771"/>
      <c r="T292" s="771"/>
      <c r="U292" s="771"/>
      <c r="V292" s="771"/>
      <c r="W292" s="771"/>
      <c r="X292" s="771"/>
      <c r="Y292" s="771"/>
      <c r="Z292" s="771"/>
    </row>
    <row r="293" ht="15.75" customHeight="1">
      <c r="A293" s="771"/>
      <c r="B293" s="771"/>
      <c r="C293" s="771"/>
      <c r="D293" s="771"/>
      <c r="E293" s="771"/>
      <c r="F293" s="771"/>
      <c r="G293" s="771"/>
      <c r="H293" s="771"/>
      <c r="I293" s="771"/>
      <c r="J293" s="771"/>
      <c r="K293" s="771"/>
      <c r="L293" s="771"/>
      <c r="M293" s="771"/>
      <c r="N293" s="771"/>
      <c r="O293" s="771"/>
      <c r="P293" s="771"/>
      <c r="Q293" s="771"/>
      <c r="R293" s="771"/>
      <c r="S293" s="771"/>
      <c r="T293" s="771"/>
      <c r="U293" s="771"/>
      <c r="V293" s="771"/>
      <c r="W293" s="771"/>
      <c r="X293" s="771"/>
      <c r="Y293" s="771"/>
      <c r="Z293" s="771"/>
    </row>
    <row r="294" ht="15.75" customHeight="1">
      <c r="A294" s="771"/>
      <c r="B294" s="771"/>
      <c r="C294" s="771"/>
      <c r="D294" s="771"/>
      <c r="E294" s="771"/>
      <c r="F294" s="771"/>
      <c r="G294" s="771"/>
      <c r="H294" s="771"/>
      <c r="I294" s="771"/>
      <c r="J294" s="771"/>
      <c r="K294" s="771"/>
      <c r="L294" s="771"/>
      <c r="M294" s="771"/>
      <c r="N294" s="771"/>
      <c r="O294" s="771"/>
      <c r="P294" s="771"/>
      <c r="Q294" s="771"/>
      <c r="R294" s="771"/>
      <c r="S294" s="771"/>
      <c r="T294" s="771"/>
      <c r="U294" s="771"/>
      <c r="V294" s="771"/>
      <c r="W294" s="771"/>
      <c r="X294" s="771"/>
      <c r="Y294" s="771"/>
      <c r="Z294" s="771"/>
    </row>
    <row r="295" ht="15.75" customHeight="1">
      <c r="A295" s="771"/>
      <c r="B295" s="771"/>
      <c r="C295" s="771"/>
      <c r="D295" s="771"/>
      <c r="E295" s="771"/>
      <c r="F295" s="771"/>
      <c r="G295" s="771"/>
      <c r="H295" s="771"/>
      <c r="I295" s="771"/>
      <c r="J295" s="771"/>
      <c r="K295" s="771"/>
      <c r="L295" s="771"/>
      <c r="M295" s="771"/>
      <c r="N295" s="771"/>
      <c r="O295" s="771"/>
      <c r="P295" s="771"/>
      <c r="Q295" s="771"/>
      <c r="R295" s="771"/>
      <c r="S295" s="771"/>
      <c r="T295" s="771"/>
      <c r="U295" s="771"/>
      <c r="V295" s="771"/>
      <c r="W295" s="771"/>
      <c r="X295" s="771"/>
      <c r="Y295" s="771"/>
      <c r="Z295" s="771"/>
    </row>
    <row r="296" ht="15.75" customHeight="1">
      <c r="A296" s="771"/>
      <c r="B296" s="771"/>
      <c r="C296" s="771"/>
      <c r="D296" s="771"/>
      <c r="E296" s="771"/>
      <c r="F296" s="771"/>
      <c r="G296" s="771"/>
      <c r="H296" s="771"/>
      <c r="I296" s="771"/>
      <c r="J296" s="771"/>
      <c r="K296" s="771"/>
      <c r="L296" s="771"/>
      <c r="M296" s="771"/>
      <c r="N296" s="771"/>
      <c r="O296" s="771"/>
      <c r="P296" s="771"/>
      <c r="Q296" s="771"/>
      <c r="R296" s="771"/>
      <c r="S296" s="771"/>
      <c r="T296" s="771"/>
      <c r="U296" s="771"/>
      <c r="V296" s="771"/>
      <c r="W296" s="771"/>
      <c r="X296" s="771"/>
      <c r="Y296" s="771"/>
      <c r="Z296" s="771"/>
    </row>
    <row r="297" ht="15.75" customHeight="1">
      <c r="A297" s="771"/>
      <c r="B297" s="771"/>
      <c r="C297" s="771"/>
      <c r="D297" s="771"/>
      <c r="E297" s="771"/>
      <c r="F297" s="771"/>
      <c r="G297" s="771"/>
      <c r="H297" s="771"/>
      <c r="I297" s="771"/>
      <c r="J297" s="771"/>
      <c r="K297" s="771"/>
      <c r="L297" s="771"/>
      <c r="M297" s="771"/>
      <c r="N297" s="771"/>
      <c r="O297" s="771"/>
      <c r="P297" s="771"/>
      <c r="Q297" s="771"/>
      <c r="R297" s="771"/>
      <c r="S297" s="771"/>
      <c r="T297" s="771"/>
      <c r="U297" s="771"/>
      <c r="V297" s="771"/>
      <c r="W297" s="771"/>
      <c r="X297" s="771"/>
      <c r="Y297" s="771"/>
      <c r="Z297" s="771"/>
    </row>
    <row r="298" ht="15.75" customHeight="1">
      <c r="A298" s="771"/>
      <c r="B298" s="771"/>
      <c r="C298" s="771"/>
      <c r="D298" s="771"/>
      <c r="E298" s="771"/>
      <c r="F298" s="771"/>
      <c r="G298" s="771"/>
      <c r="H298" s="771"/>
      <c r="I298" s="771"/>
      <c r="J298" s="771"/>
      <c r="K298" s="771"/>
      <c r="L298" s="771"/>
      <c r="M298" s="771"/>
      <c r="N298" s="771"/>
      <c r="O298" s="771"/>
      <c r="P298" s="771"/>
      <c r="Q298" s="771"/>
      <c r="R298" s="771"/>
      <c r="S298" s="771"/>
      <c r="T298" s="771"/>
      <c r="U298" s="771"/>
      <c r="V298" s="771"/>
      <c r="W298" s="771"/>
      <c r="X298" s="771"/>
      <c r="Y298" s="771"/>
      <c r="Z298" s="771"/>
    </row>
    <row r="299" ht="15.75" customHeight="1">
      <c r="A299" s="771"/>
      <c r="B299" s="771"/>
      <c r="C299" s="771"/>
      <c r="D299" s="771"/>
      <c r="E299" s="771"/>
      <c r="F299" s="771"/>
      <c r="G299" s="771"/>
      <c r="H299" s="771"/>
      <c r="I299" s="771"/>
      <c r="J299" s="771"/>
      <c r="K299" s="771"/>
      <c r="L299" s="771"/>
      <c r="M299" s="771"/>
      <c r="N299" s="771"/>
      <c r="O299" s="771"/>
      <c r="P299" s="771"/>
      <c r="Q299" s="771"/>
      <c r="R299" s="771"/>
      <c r="S299" s="771"/>
      <c r="T299" s="771"/>
      <c r="U299" s="771"/>
      <c r="V299" s="771"/>
      <c r="W299" s="771"/>
      <c r="X299" s="771"/>
      <c r="Y299" s="771"/>
      <c r="Z299" s="771"/>
    </row>
    <row r="300" ht="15.75" customHeight="1">
      <c r="A300" s="771"/>
      <c r="B300" s="771"/>
      <c r="C300" s="771"/>
      <c r="D300" s="771"/>
      <c r="E300" s="771"/>
      <c r="F300" s="771"/>
      <c r="G300" s="771"/>
      <c r="H300" s="771"/>
      <c r="I300" s="771"/>
      <c r="J300" s="771"/>
      <c r="K300" s="771"/>
      <c r="L300" s="771"/>
      <c r="M300" s="771"/>
      <c r="N300" s="771"/>
      <c r="O300" s="771"/>
      <c r="P300" s="771"/>
      <c r="Q300" s="771"/>
      <c r="R300" s="771"/>
      <c r="S300" s="771"/>
      <c r="T300" s="771"/>
      <c r="U300" s="771"/>
      <c r="V300" s="771"/>
      <c r="W300" s="771"/>
      <c r="X300" s="771"/>
      <c r="Y300" s="771"/>
      <c r="Z300" s="771"/>
    </row>
    <row r="301" ht="15.75" customHeight="1">
      <c r="A301" s="771"/>
      <c r="B301" s="771"/>
      <c r="C301" s="771"/>
      <c r="D301" s="771"/>
      <c r="E301" s="771"/>
      <c r="F301" s="771"/>
      <c r="G301" s="771"/>
      <c r="H301" s="771"/>
      <c r="I301" s="771"/>
      <c r="J301" s="771"/>
      <c r="K301" s="771"/>
      <c r="L301" s="771"/>
      <c r="M301" s="771"/>
      <c r="N301" s="771"/>
      <c r="O301" s="771"/>
      <c r="P301" s="771"/>
      <c r="Q301" s="771"/>
      <c r="R301" s="771"/>
      <c r="S301" s="771"/>
      <c r="T301" s="771"/>
      <c r="U301" s="771"/>
      <c r="V301" s="771"/>
      <c r="W301" s="771"/>
      <c r="X301" s="771"/>
      <c r="Y301" s="771"/>
      <c r="Z301" s="771"/>
    </row>
    <row r="302" ht="15.75" customHeight="1">
      <c r="A302" s="771"/>
      <c r="B302" s="771"/>
      <c r="C302" s="771"/>
      <c r="D302" s="771"/>
      <c r="E302" s="771"/>
      <c r="F302" s="771"/>
      <c r="G302" s="771"/>
      <c r="H302" s="771"/>
      <c r="I302" s="771"/>
      <c r="J302" s="771"/>
      <c r="K302" s="771"/>
      <c r="L302" s="771"/>
      <c r="M302" s="771"/>
      <c r="N302" s="771"/>
      <c r="O302" s="771"/>
      <c r="P302" s="771"/>
      <c r="Q302" s="771"/>
      <c r="R302" s="771"/>
      <c r="S302" s="771"/>
      <c r="T302" s="771"/>
      <c r="U302" s="771"/>
      <c r="V302" s="771"/>
      <c r="W302" s="771"/>
      <c r="X302" s="771"/>
      <c r="Y302" s="771"/>
      <c r="Z302" s="771"/>
    </row>
    <row r="303" ht="15.75" customHeight="1">
      <c r="A303" s="771"/>
      <c r="B303" s="771"/>
      <c r="C303" s="771"/>
      <c r="D303" s="771"/>
      <c r="E303" s="771"/>
      <c r="F303" s="771"/>
      <c r="G303" s="771"/>
      <c r="H303" s="771"/>
      <c r="I303" s="771"/>
      <c r="J303" s="771"/>
      <c r="K303" s="771"/>
      <c r="L303" s="771"/>
      <c r="M303" s="771"/>
      <c r="N303" s="771"/>
      <c r="O303" s="771"/>
      <c r="P303" s="771"/>
      <c r="Q303" s="771"/>
      <c r="R303" s="771"/>
      <c r="S303" s="771"/>
      <c r="T303" s="771"/>
      <c r="U303" s="771"/>
      <c r="V303" s="771"/>
      <c r="W303" s="771"/>
      <c r="X303" s="771"/>
      <c r="Y303" s="771"/>
      <c r="Z303" s="771"/>
    </row>
    <row r="304" ht="15.75" customHeight="1">
      <c r="A304" s="771"/>
      <c r="B304" s="771"/>
      <c r="C304" s="771"/>
      <c r="D304" s="771"/>
      <c r="E304" s="771"/>
      <c r="F304" s="771"/>
      <c r="G304" s="771"/>
      <c r="H304" s="771"/>
      <c r="I304" s="771"/>
      <c r="J304" s="771"/>
      <c r="K304" s="771"/>
      <c r="L304" s="771"/>
      <c r="M304" s="771"/>
      <c r="N304" s="771"/>
      <c r="O304" s="771"/>
      <c r="P304" s="771"/>
      <c r="Q304" s="771"/>
      <c r="R304" s="771"/>
      <c r="S304" s="771"/>
      <c r="T304" s="771"/>
      <c r="U304" s="771"/>
      <c r="V304" s="771"/>
      <c r="W304" s="771"/>
      <c r="X304" s="771"/>
      <c r="Y304" s="771"/>
      <c r="Z304" s="771"/>
    </row>
    <row r="305" ht="15.75" customHeight="1">
      <c r="A305" s="771"/>
      <c r="B305" s="771"/>
      <c r="C305" s="771"/>
      <c r="D305" s="771"/>
      <c r="E305" s="771"/>
      <c r="F305" s="771"/>
      <c r="G305" s="771"/>
      <c r="H305" s="771"/>
      <c r="I305" s="771"/>
      <c r="J305" s="771"/>
      <c r="K305" s="771"/>
      <c r="L305" s="771"/>
      <c r="M305" s="771"/>
      <c r="N305" s="771"/>
      <c r="O305" s="771"/>
      <c r="P305" s="771"/>
      <c r="Q305" s="771"/>
      <c r="R305" s="771"/>
      <c r="S305" s="771"/>
      <c r="T305" s="771"/>
      <c r="U305" s="771"/>
      <c r="V305" s="771"/>
      <c r="W305" s="771"/>
      <c r="X305" s="771"/>
      <c r="Y305" s="771"/>
      <c r="Z305" s="771"/>
    </row>
    <row r="306" ht="15.75" customHeight="1">
      <c r="A306" s="771"/>
      <c r="B306" s="771"/>
      <c r="C306" s="771"/>
      <c r="D306" s="771"/>
      <c r="E306" s="771"/>
      <c r="F306" s="771"/>
      <c r="G306" s="771"/>
      <c r="H306" s="771"/>
      <c r="I306" s="771"/>
      <c r="J306" s="771"/>
      <c r="K306" s="771"/>
      <c r="L306" s="771"/>
      <c r="M306" s="771"/>
      <c r="N306" s="771"/>
      <c r="O306" s="771"/>
      <c r="P306" s="771"/>
      <c r="Q306" s="771"/>
      <c r="R306" s="771"/>
      <c r="S306" s="771"/>
      <c r="T306" s="771"/>
      <c r="U306" s="771"/>
      <c r="V306" s="771"/>
      <c r="W306" s="771"/>
      <c r="X306" s="771"/>
      <c r="Y306" s="771"/>
      <c r="Z306" s="771"/>
    </row>
    <row r="307" ht="15.75" customHeight="1">
      <c r="A307" s="771"/>
      <c r="B307" s="771"/>
      <c r="C307" s="771"/>
      <c r="D307" s="771"/>
      <c r="E307" s="771"/>
      <c r="F307" s="771"/>
      <c r="G307" s="771"/>
      <c r="H307" s="771"/>
      <c r="I307" s="771"/>
      <c r="J307" s="771"/>
      <c r="K307" s="771"/>
      <c r="L307" s="771"/>
      <c r="M307" s="771"/>
      <c r="N307" s="771"/>
      <c r="O307" s="771"/>
      <c r="P307" s="771"/>
      <c r="Q307" s="771"/>
      <c r="R307" s="771"/>
      <c r="S307" s="771"/>
      <c r="T307" s="771"/>
      <c r="U307" s="771"/>
      <c r="V307" s="771"/>
      <c r="W307" s="771"/>
      <c r="X307" s="771"/>
      <c r="Y307" s="771"/>
      <c r="Z307" s="771"/>
    </row>
    <row r="308" ht="15.75" customHeight="1">
      <c r="A308" s="771"/>
      <c r="B308" s="771"/>
      <c r="C308" s="771"/>
      <c r="D308" s="771"/>
      <c r="E308" s="771"/>
      <c r="F308" s="771"/>
      <c r="G308" s="771"/>
      <c r="H308" s="771"/>
      <c r="I308" s="771"/>
      <c r="J308" s="771"/>
      <c r="K308" s="771"/>
      <c r="L308" s="771"/>
      <c r="M308" s="771"/>
      <c r="N308" s="771"/>
      <c r="O308" s="771"/>
      <c r="P308" s="771"/>
      <c r="Q308" s="771"/>
      <c r="R308" s="771"/>
      <c r="S308" s="771"/>
      <c r="T308" s="771"/>
      <c r="U308" s="771"/>
      <c r="V308" s="771"/>
      <c r="W308" s="771"/>
      <c r="X308" s="771"/>
      <c r="Y308" s="771"/>
      <c r="Z308" s="771"/>
    </row>
    <row r="309" ht="15.75" customHeight="1">
      <c r="A309" s="771"/>
      <c r="B309" s="771"/>
      <c r="C309" s="771"/>
      <c r="D309" s="771"/>
      <c r="E309" s="771"/>
      <c r="F309" s="771"/>
      <c r="G309" s="771"/>
      <c r="H309" s="771"/>
      <c r="I309" s="771"/>
      <c r="J309" s="771"/>
      <c r="K309" s="771"/>
      <c r="L309" s="771"/>
      <c r="M309" s="771"/>
      <c r="N309" s="771"/>
      <c r="O309" s="771"/>
      <c r="P309" s="771"/>
      <c r="Q309" s="771"/>
      <c r="R309" s="771"/>
      <c r="S309" s="771"/>
      <c r="T309" s="771"/>
      <c r="U309" s="771"/>
      <c r="V309" s="771"/>
      <c r="W309" s="771"/>
      <c r="X309" s="771"/>
      <c r="Y309" s="771"/>
      <c r="Z309" s="771"/>
    </row>
    <row r="310" ht="15.75" customHeight="1">
      <c r="A310" s="771"/>
      <c r="B310" s="771"/>
      <c r="C310" s="771"/>
      <c r="D310" s="771"/>
      <c r="E310" s="771"/>
      <c r="F310" s="771"/>
      <c r="G310" s="771"/>
      <c r="H310" s="771"/>
      <c r="I310" s="771"/>
      <c r="J310" s="771"/>
      <c r="K310" s="771"/>
      <c r="L310" s="771"/>
      <c r="M310" s="771"/>
      <c r="N310" s="771"/>
      <c r="O310" s="771"/>
      <c r="P310" s="771"/>
      <c r="Q310" s="771"/>
      <c r="R310" s="771"/>
      <c r="S310" s="771"/>
      <c r="T310" s="771"/>
      <c r="U310" s="771"/>
      <c r="V310" s="771"/>
      <c r="W310" s="771"/>
      <c r="X310" s="771"/>
      <c r="Y310" s="771"/>
      <c r="Z310" s="771"/>
    </row>
    <row r="311" ht="15.75" customHeight="1">
      <c r="A311" s="771"/>
      <c r="B311" s="771"/>
      <c r="C311" s="771"/>
      <c r="D311" s="771"/>
      <c r="E311" s="771"/>
      <c r="F311" s="771"/>
      <c r="G311" s="771"/>
      <c r="H311" s="771"/>
      <c r="I311" s="771"/>
      <c r="J311" s="771"/>
      <c r="K311" s="771"/>
      <c r="L311" s="771"/>
      <c r="M311" s="771"/>
      <c r="N311" s="771"/>
      <c r="O311" s="771"/>
      <c r="P311" s="771"/>
      <c r="Q311" s="771"/>
      <c r="R311" s="771"/>
      <c r="S311" s="771"/>
      <c r="T311" s="771"/>
      <c r="U311" s="771"/>
      <c r="V311" s="771"/>
      <c r="W311" s="771"/>
      <c r="X311" s="771"/>
      <c r="Y311" s="771"/>
      <c r="Z311" s="771"/>
    </row>
    <row r="312" ht="15.75" customHeight="1">
      <c r="A312" s="771"/>
      <c r="B312" s="771"/>
      <c r="C312" s="771"/>
      <c r="D312" s="771"/>
      <c r="E312" s="771"/>
      <c r="F312" s="771"/>
      <c r="G312" s="771"/>
      <c r="H312" s="771"/>
      <c r="I312" s="771"/>
      <c r="J312" s="771"/>
      <c r="K312" s="771"/>
      <c r="L312" s="771"/>
      <c r="M312" s="771"/>
      <c r="N312" s="771"/>
      <c r="O312" s="771"/>
      <c r="P312" s="771"/>
      <c r="Q312" s="771"/>
      <c r="R312" s="771"/>
      <c r="S312" s="771"/>
      <c r="T312" s="771"/>
      <c r="U312" s="771"/>
      <c r="V312" s="771"/>
      <c r="W312" s="771"/>
      <c r="X312" s="771"/>
      <c r="Y312" s="771"/>
      <c r="Z312" s="771"/>
    </row>
    <row r="313" ht="15.75" customHeight="1">
      <c r="A313" s="771"/>
      <c r="B313" s="771"/>
      <c r="C313" s="771"/>
      <c r="D313" s="771"/>
      <c r="E313" s="771"/>
      <c r="F313" s="771"/>
      <c r="G313" s="771"/>
      <c r="H313" s="771"/>
      <c r="I313" s="771"/>
      <c r="J313" s="771"/>
      <c r="K313" s="771"/>
      <c r="L313" s="771"/>
      <c r="M313" s="771"/>
      <c r="N313" s="771"/>
      <c r="O313" s="771"/>
      <c r="P313" s="771"/>
      <c r="Q313" s="771"/>
      <c r="R313" s="771"/>
      <c r="S313" s="771"/>
      <c r="T313" s="771"/>
      <c r="U313" s="771"/>
      <c r="V313" s="771"/>
      <c r="W313" s="771"/>
      <c r="X313" s="771"/>
      <c r="Y313" s="771"/>
      <c r="Z313" s="771"/>
    </row>
    <row r="314" ht="15.75" customHeight="1">
      <c r="A314" s="771"/>
      <c r="B314" s="771"/>
      <c r="C314" s="771"/>
      <c r="D314" s="771"/>
      <c r="E314" s="771"/>
      <c r="F314" s="771"/>
      <c r="G314" s="771"/>
      <c r="H314" s="771"/>
      <c r="I314" s="771"/>
      <c r="J314" s="771"/>
      <c r="K314" s="771"/>
      <c r="L314" s="771"/>
      <c r="M314" s="771"/>
      <c r="N314" s="771"/>
      <c r="O314" s="771"/>
      <c r="P314" s="771"/>
      <c r="Q314" s="771"/>
      <c r="R314" s="771"/>
      <c r="S314" s="771"/>
      <c r="T314" s="771"/>
      <c r="U314" s="771"/>
      <c r="V314" s="771"/>
      <c r="W314" s="771"/>
      <c r="X314" s="771"/>
      <c r="Y314" s="771"/>
      <c r="Z314" s="771"/>
    </row>
    <row r="315" ht="15.75" customHeight="1">
      <c r="A315" s="771"/>
      <c r="B315" s="771"/>
      <c r="C315" s="771"/>
      <c r="D315" s="771"/>
      <c r="E315" s="771"/>
      <c r="F315" s="771"/>
      <c r="G315" s="771"/>
      <c r="H315" s="771"/>
      <c r="I315" s="771"/>
      <c r="J315" s="771"/>
      <c r="K315" s="771"/>
      <c r="L315" s="771"/>
      <c r="M315" s="771"/>
      <c r="N315" s="771"/>
      <c r="O315" s="771"/>
      <c r="P315" s="771"/>
      <c r="Q315" s="771"/>
      <c r="R315" s="771"/>
      <c r="S315" s="771"/>
      <c r="T315" s="771"/>
      <c r="U315" s="771"/>
      <c r="V315" s="771"/>
      <c r="W315" s="771"/>
      <c r="X315" s="771"/>
      <c r="Y315" s="771"/>
      <c r="Z315" s="771"/>
    </row>
    <row r="316" ht="15.75" customHeight="1">
      <c r="A316" s="771"/>
      <c r="B316" s="771"/>
      <c r="C316" s="771"/>
      <c r="D316" s="771"/>
      <c r="E316" s="771"/>
      <c r="F316" s="771"/>
      <c r="G316" s="771"/>
      <c r="H316" s="771"/>
      <c r="I316" s="771"/>
      <c r="J316" s="771"/>
      <c r="K316" s="771"/>
      <c r="L316" s="771"/>
      <c r="M316" s="771"/>
      <c r="N316" s="771"/>
      <c r="O316" s="771"/>
      <c r="P316" s="771"/>
      <c r="Q316" s="771"/>
      <c r="R316" s="771"/>
      <c r="S316" s="771"/>
      <c r="T316" s="771"/>
      <c r="U316" s="771"/>
      <c r="V316" s="771"/>
      <c r="W316" s="771"/>
      <c r="X316" s="771"/>
      <c r="Y316" s="771"/>
      <c r="Z316" s="771"/>
    </row>
    <row r="317" ht="15.75" customHeight="1">
      <c r="A317" s="771"/>
      <c r="B317" s="771"/>
      <c r="C317" s="771"/>
      <c r="D317" s="771"/>
      <c r="E317" s="771"/>
      <c r="F317" s="771"/>
      <c r="G317" s="771"/>
      <c r="H317" s="771"/>
      <c r="I317" s="771"/>
      <c r="J317" s="771"/>
      <c r="K317" s="771"/>
      <c r="L317" s="771"/>
      <c r="M317" s="771"/>
      <c r="N317" s="771"/>
      <c r="O317" s="771"/>
      <c r="P317" s="771"/>
      <c r="Q317" s="771"/>
      <c r="R317" s="771"/>
      <c r="S317" s="771"/>
      <c r="T317" s="771"/>
      <c r="U317" s="771"/>
      <c r="V317" s="771"/>
      <c r="W317" s="771"/>
      <c r="X317" s="771"/>
      <c r="Y317" s="771"/>
      <c r="Z317" s="771"/>
    </row>
    <row r="318" ht="15.75" customHeight="1">
      <c r="A318" s="771"/>
      <c r="B318" s="771"/>
      <c r="C318" s="771"/>
      <c r="D318" s="771"/>
      <c r="E318" s="771"/>
      <c r="F318" s="771"/>
      <c r="G318" s="771"/>
      <c r="H318" s="771"/>
      <c r="I318" s="771"/>
      <c r="J318" s="771"/>
      <c r="K318" s="771"/>
      <c r="L318" s="771"/>
      <c r="M318" s="771"/>
      <c r="N318" s="771"/>
      <c r="O318" s="771"/>
      <c r="P318" s="771"/>
      <c r="Q318" s="771"/>
      <c r="R318" s="771"/>
      <c r="S318" s="771"/>
      <c r="T318" s="771"/>
      <c r="U318" s="771"/>
      <c r="V318" s="771"/>
      <c r="W318" s="771"/>
      <c r="X318" s="771"/>
      <c r="Y318" s="771"/>
      <c r="Z318" s="771"/>
    </row>
    <row r="319" ht="15.75" customHeight="1">
      <c r="A319" s="771"/>
      <c r="B319" s="771"/>
      <c r="C319" s="771"/>
      <c r="D319" s="771"/>
      <c r="E319" s="771"/>
      <c r="F319" s="771"/>
      <c r="G319" s="771"/>
      <c r="H319" s="771"/>
      <c r="I319" s="771"/>
      <c r="J319" s="771"/>
      <c r="K319" s="771"/>
      <c r="L319" s="771"/>
      <c r="M319" s="771"/>
      <c r="N319" s="771"/>
      <c r="O319" s="771"/>
      <c r="P319" s="771"/>
      <c r="Q319" s="771"/>
      <c r="R319" s="771"/>
      <c r="S319" s="771"/>
      <c r="T319" s="771"/>
      <c r="U319" s="771"/>
      <c r="V319" s="771"/>
      <c r="W319" s="771"/>
      <c r="X319" s="771"/>
      <c r="Y319" s="771"/>
      <c r="Z319" s="771"/>
    </row>
    <row r="320" ht="15.75" customHeight="1">
      <c r="A320" s="771"/>
      <c r="B320" s="771"/>
      <c r="C320" s="771"/>
      <c r="D320" s="771"/>
      <c r="E320" s="771"/>
      <c r="F320" s="771"/>
      <c r="G320" s="771"/>
      <c r="H320" s="771"/>
      <c r="I320" s="771"/>
      <c r="J320" s="771"/>
      <c r="K320" s="771"/>
      <c r="L320" s="771"/>
      <c r="M320" s="771"/>
      <c r="N320" s="771"/>
      <c r="O320" s="771"/>
      <c r="P320" s="771"/>
      <c r="Q320" s="771"/>
      <c r="R320" s="771"/>
      <c r="S320" s="771"/>
      <c r="T320" s="771"/>
      <c r="U320" s="771"/>
      <c r="V320" s="771"/>
      <c r="W320" s="771"/>
      <c r="X320" s="771"/>
      <c r="Y320" s="771"/>
      <c r="Z320" s="771"/>
    </row>
    <row r="321" ht="15.75" customHeight="1">
      <c r="A321" s="771"/>
      <c r="B321" s="771"/>
      <c r="C321" s="771"/>
      <c r="D321" s="771"/>
      <c r="E321" s="771"/>
      <c r="F321" s="771"/>
      <c r="G321" s="771"/>
      <c r="H321" s="771"/>
      <c r="I321" s="771"/>
      <c r="J321" s="771"/>
      <c r="K321" s="771"/>
      <c r="L321" s="771"/>
      <c r="M321" s="771"/>
      <c r="N321" s="771"/>
      <c r="O321" s="771"/>
      <c r="P321" s="771"/>
      <c r="Q321" s="771"/>
      <c r="R321" s="771"/>
      <c r="S321" s="771"/>
      <c r="T321" s="771"/>
      <c r="U321" s="771"/>
      <c r="V321" s="771"/>
      <c r="W321" s="771"/>
      <c r="X321" s="771"/>
      <c r="Y321" s="771"/>
      <c r="Z321" s="771"/>
    </row>
    <row r="322" ht="15.75" customHeight="1">
      <c r="A322" s="771"/>
      <c r="B322" s="771"/>
      <c r="C322" s="771"/>
      <c r="D322" s="771"/>
      <c r="E322" s="771"/>
      <c r="F322" s="771"/>
      <c r="G322" s="771"/>
      <c r="H322" s="771"/>
      <c r="I322" s="771"/>
      <c r="J322" s="771"/>
      <c r="K322" s="771"/>
      <c r="L322" s="771"/>
      <c r="M322" s="771"/>
      <c r="N322" s="771"/>
      <c r="O322" s="771"/>
      <c r="P322" s="771"/>
      <c r="Q322" s="771"/>
      <c r="R322" s="771"/>
      <c r="S322" s="771"/>
      <c r="T322" s="771"/>
      <c r="U322" s="771"/>
      <c r="V322" s="771"/>
      <c r="W322" s="771"/>
      <c r="X322" s="771"/>
      <c r="Y322" s="771"/>
      <c r="Z322" s="771"/>
    </row>
    <row r="323" ht="15.75" customHeight="1">
      <c r="A323" s="771"/>
      <c r="B323" s="771"/>
      <c r="C323" s="771"/>
      <c r="D323" s="771"/>
      <c r="E323" s="771"/>
      <c r="F323" s="771"/>
      <c r="G323" s="771"/>
      <c r="H323" s="771"/>
      <c r="I323" s="771"/>
      <c r="J323" s="771"/>
      <c r="K323" s="771"/>
      <c r="L323" s="771"/>
      <c r="M323" s="771"/>
      <c r="N323" s="771"/>
      <c r="O323" s="771"/>
      <c r="P323" s="771"/>
      <c r="Q323" s="771"/>
      <c r="R323" s="771"/>
      <c r="S323" s="771"/>
      <c r="T323" s="771"/>
      <c r="U323" s="771"/>
      <c r="V323" s="771"/>
      <c r="W323" s="771"/>
      <c r="X323" s="771"/>
      <c r="Y323" s="771"/>
      <c r="Z323" s="771"/>
    </row>
    <row r="324" ht="15.75" customHeight="1">
      <c r="A324" s="771"/>
      <c r="B324" s="771"/>
      <c r="C324" s="771"/>
      <c r="D324" s="771"/>
      <c r="E324" s="771"/>
      <c r="F324" s="771"/>
      <c r="G324" s="771"/>
      <c r="H324" s="771"/>
      <c r="I324" s="771"/>
      <c r="J324" s="771"/>
      <c r="K324" s="771"/>
      <c r="L324" s="771"/>
      <c r="M324" s="771"/>
      <c r="N324" s="771"/>
      <c r="O324" s="771"/>
      <c r="P324" s="771"/>
      <c r="Q324" s="771"/>
      <c r="R324" s="771"/>
      <c r="S324" s="771"/>
      <c r="T324" s="771"/>
      <c r="U324" s="771"/>
      <c r="V324" s="771"/>
      <c r="W324" s="771"/>
      <c r="X324" s="771"/>
      <c r="Y324" s="771"/>
      <c r="Z324" s="771"/>
    </row>
    <row r="325" ht="15.75" customHeight="1">
      <c r="A325" s="771"/>
      <c r="B325" s="771"/>
      <c r="C325" s="771"/>
      <c r="D325" s="771"/>
      <c r="E325" s="771"/>
      <c r="F325" s="771"/>
      <c r="G325" s="771"/>
      <c r="H325" s="771"/>
      <c r="I325" s="771"/>
      <c r="J325" s="771"/>
      <c r="K325" s="771"/>
      <c r="L325" s="771"/>
      <c r="M325" s="771"/>
      <c r="N325" s="771"/>
      <c r="O325" s="771"/>
      <c r="P325" s="771"/>
      <c r="Q325" s="771"/>
      <c r="R325" s="771"/>
      <c r="S325" s="771"/>
      <c r="T325" s="771"/>
      <c r="U325" s="771"/>
      <c r="V325" s="771"/>
      <c r="W325" s="771"/>
      <c r="X325" s="771"/>
      <c r="Y325" s="771"/>
      <c r="Z325" s="771"/>
    </row>
    <row r="326" ht="15.75" customHeight="1">
      <c r="A326" s="771"/>
      <c r="B326" s="771"/>
      <c r="C326" s="771"/>
      <c r="D326" s="771"/>
      <c r="E326" s="771"/>
      <c r="F326" s="771"/>
      <c r="G326" s="771"/>
      <c r="H326" s="771"/>
      <c r="I326" s="771"/>
      <c r="J326" s="771"/>
      <c r="K326" s="771"/>
      <c r="L326" s="771"/>
      <c r="M326" s="771"/>
      <c r="N326" s="771"/>
      <c r="O326" s="771"/>
      <c r="P326" s="771"/>
      <c r="Q326" s="771"/>
      <c r="R326" s="771"/>
      <c r="S326" s="771"/>
      <c r="T326" s="771"/>
      <c r="U326" s="771"/>
      <c r="V326" s="771"/>
      <c r="W326" s="771"/>
      <c r="X326" s="771"/>
      <c r="Y326" s="771"/>
      <c r="Z326" s="771"/>
    </row>
    <row r="327" ht="15.75" customHeight="1">
      <c r="A327" s="771"/>
      <c r="B327" s="771"/>
      <c r="C327" s="771"/>
      <c r="D327" s="771"/>
      <c r="E327" s="771"/>
      <c r="F327" s="771"/>
      <c r="G327" s="771"/>
      <c r="H327" s="771"/>
      <c r="I327" s="771"/>
      <c r="J327" s="771"/>
      <c r="K327" s="771"/>
      <c r="L327" s="771"/>
      <c r="M327" s="771"/>
      <c r="N327" s="771"/>
      <c r="O327" s="771"/>
      <c r="P327" s="771"/>
      <c r="Q327" s="771"/>
      <c r="R327" s="771"/>
      <c r="S327" s="771"/>
      <c r="T327" s="771"/>
      <c r="U327" s="771"/>
      <c r="V327" s="771"/>
      <c r="W327" s="771"/>
      <c r="X327" s="771"/>
      <c r="Y327" s="771"/>
      <c r="Z327" s="771"/>
    </row>
    <row r="328" ht="15.75" customHeight="1">
      <c r="A328" s="771"/>
      <c r="B328" s="771"/>
      <c r="C328" s="771"/>
      <c r="D328" s="771"/>
      <c r="E328" s="771"/>
      <c r="F328" s="771"/>
      <c r="G328" s="771"/>
      <c r="H328" s="771"/>
      <c r="I328" s="771"/>
      <c r="J328" s="771"/>
      <c r="K328" s="771"/>
      <c r="L328" s="771"/>
      <c r="M328" s="771"/>
      <c r="N328" s="771"/>
      <c r="O328" s="771"/>
      <c r="P328" s="771"/>
      <c r="Q328" s="771"/>
      <c r="R328" s="771"/>
      <c r="S328" s="771"/>
      <c r="T328" s="771"/>
      <c r="U328" s="771"/>
      <c r="V328" s="771"/>
      <c r="W328" s="771"/>
      <c r="X328" s="771"/>
      <c r="Y328" s="771"/>
      <c r="Z328" s="771"/>
    </row>
    <row r="329" ht="15.75" customHeight="1">
      <c r="A329" s="771"/>
      <c r="B329" s="771"/>
      <c r="C329" s="771"/>
      <c r="D329" s="771"/>
      <c r="E329" s="771"/>
      <c r="F329" s="771"/>
      <c r="G329" s="771"/>
      <c r="H329" s="771"/>
      <c r="I329" s="771"/>
      <c r="J329" s="771"/>
      <c r="K329" s="771"/>
      <c r="L329" s="771"/>
      <c r="M329" s="771"/>
      <c r="N329" s="771"/>
      <c r="O329" s="771"/>
      <c r="P329" s="771"/>
      <c r="Q329" s="771"/>
      <c r="R329" s="771"/>
      <c r="S329" s="771"/>
      <c r="T329" s="771"/>
      <c r="U329" s="771"/>
      <c r="V329" s="771"/>
      <c r="W329" s="771"/>
      <c r="X329" s="771"/>
      <c r="Y329" s="771"/>
      <c r="Z329" s="771"/>
    </row>
    <row r="330" ht="15.75" customHeight="1">
      <c r="A330" s="771"/>
      <c r="B330" s="771"/>
      <c r="C330" s="771"/>
      <c r="D330" s="771"/>
      <c r="E330" s="771"/>
      <c r="F330" s="771"/>
      <c r="G330" s="771"/>
      <c r="H330" s="771"/>
      <c r="I330" s="771"/>
      <c r="J330" s="771"/>
      <c r="K330" s="771"/>
      <c r="L330" s="771"/>
      <c r="M330" s="771"/>
      <c r="N330" s="771"/>
      <c r="O330" s="771"/>
      <c r="P330" s="771"/>
      <c r="Q330" s="771"/>
      <c r="R330" s="771"/>
      <c r="S330" s="771"/>
      <c r="T330" s="771"/>
      <c r="U330" s="771"/>
      <c r="V330" s="771"/>
      <c r="W330" s="771"/>
      <c r="X330" s="771"/>
      <c r="Y330" s="771"/>
      <c r="Z330" s="771"/>
    </row>
    <row r="331" ht="15.75" customHeight="1">
      <c r="A331" s="771"/>
      <c r="B331" s="771"/>
      <c r="C331" s="771"/>
      <c r="D331" s="771"/>
      <c r="E331" s="771"/>
      <c r="F331" s="771"/>
      <c r="G331" s="771"/>
      <c r="H331" s="771"/>
      <c r="I331" s="771"/>
      <c r="J331" s="771"/>
      <c r="K331" s="771"/>
      <c r="L331" s="771"/>
      <c r="M331" s="771"/>
      <c r="N331" s="771"/>
      <c r="O331" s="771"/>
      <c r="P331" s="771"/>
      <c r="Q331" s="771"/>
      <c r="R331" s="771"/>
      <c r="S331" s="771"/>
      <c r="T331" s="771"/>
      <c r="U331" s="771"/>
      <c r="V331" s="771"/>
      <c r="W331" s="771"/>
      <c r="X331" s="771"/>
      <c r="Y331" s="771"/>
      <c r="Z331" s="771"/>
    </row>
    <row r="332" ht="15.75" customHeight="1">
      <c r="A332" s="771"/>
      <c r="B332" s="771"/>
      <c r="C332" s="771"/>
      <c r="D332" s="771"/>
      <c r="E332" s="771"/>
      <c r="F332" s="771"/>
      <c r="G332" s="771"/>
      <c r="H332" s="771"/>
      <c r="I332" s="771"/>
      <c r="J332" s="771"/>
      <c r="K332" s="771"/>
      <c r="L332" s="771"/>
      <c r="M332" s="771"/>
      <c r="N332" s="771"/>
      <c r="O332" s="771"/>
      <c r="P332" s="771"/>
      <c r="Q332" s="771"/>
      <c r="R332" s="771"/>
      <c r="S332" s="771"/>
      <c r="T332" s="771"/>
      <c r="U332" s="771"/>
      <c r="V332" s="771"/>
      <c r="W332" s="771"/>
      <c r="X332" s="771"/>
      <c r="Y332" s="771"/>
      <c r="Z332" s="771"/>
    </row>
    <row r="333" ht="15.75" customHeight="1">
      <c r="A333" s="771"/>
      <c r="B333" s="771"/>
      <c r="C333" s="771"/>
      <c r="D333" s="771"/>
      <c r="E333" s="771"/>
      <c r="F333" s="771"/>
      <c r="G333" s="771"/>
      <c r="H333" s="771"/>
      <c r="I333" s="771"/>
      <c r="J333" s="771"/>
      <c r="K333" s="771"/>
      <c r="L333" s="771"/>
      <c r="M333" s="771"/>
      <c r="N333" s="771"/>
      <c r="O333" s="771"/>
      <c r="P333" s="771"/>
      <c r="Q333" s="771"/>
      <c r="R333" s="771"/>
      <c r="S333" s="771"/>
      <c r="T333" s="771"/>
      <c r="U333" s="771"/>
      <c r="V333" s="771"/>
      <c r="W333" s="771"/>
      <c r="X333" s="771"/>
      <c r="Y333" s="771"/>
      <c r="Z333" s="771"/>
    </row>
    <row r="334" ht="15.75" customHeight="1">
      <c r="A334" s="771"/>
      <c r="B334" s="771"/>
      <c r="C334" s="771"/>
      <c r="D334" s="771"/>
      <c r="E334" s="771"/>
      <c r="F334" s="771"/>
      <c r="G334" s="771"/>
      <c r="H334" s="771"/>
      <c r="I334" s="771"/>
      <c r="J334" s="771"/>
      <c r="K334" s="771"/>
      <c r="L334" s="771"/>
      <c r="M334" s="771"/>
      <c r="N334" s="771"/>
      <c r="O334" s="771"/>
      <c r="P334" s="771"/>
      <c r="Q334" s="771"/>
      <c r="R334" s="771"/>
      <c r="S334" s="771"/>
      <c r="T334" s="771"/>
      <c r="U334" s="771"/>
      <c r="V334" s="771"/>
      <c r="W334" s="771"/>
      <c r="X334" s="771"/>
      <c r="Y334" s="771"/>
      <c r="Z334" s="771"/>
    </row>
    <row r="335" ht="15.75" customHeight="1">
      <c r="A335" s="771"/>
      <c r="B335" s="771"/>
      <c r="C335" s="771"/>
      <c r="D335" s="771"/>
      <c r="E335" s="771"/>
      <c r="F335" s="771"/>
      <c r="G335" s="771"/>
      <c r="H335" s="771"/>
      <c r="I335" s="771"/>
      <c r="J335" s="771"/>
      <c r="K335" s="771"/>
      <c r="L335" s="771"/>
      <c r="M335" s="771"/>
      <c r="N335" s="771"/>
      <c r="O335" s="771"/>
      <c r="P335" s="771"/>
      <c r="Q335" s="771"/>
      <c r="R335" s="771"/>
      <c r="S335" s="771"/>
      <c r="T335" s="771"/>
      <c r="U335" s="771"/>
      <c r="V335" s="771"/>
      <c r="W335" s="771"/>
      <c r="X335" s="771"/>
      <c r="Y335" s="771"/>
      <c r="Z335" s="771"/>
    </row>
    <row r="336" ht="15.75" customHeight="1">
      <c r="A336" s="771"/>
      <c r="B336" s="771"/>
      <c r="C336" s="771"/>
      <c r="D336" s="771"/>
      <c r="E336" s="771"/>
      <c r="F336" s="771"/>
      <c r="G336" s="771"/>
      <c r="H336" s="771"/>
      <c r="I336" s="771"/>
      <c r="J336" s="771"/>
      <c r="K336" s="771"/>
      <c r="L336" s="771"/>
      <c r="M336" s="771"/>
      <c r="N336" s="771"/>
      <c r="O336" s="771"/>
      <c r="P336" s="771"/>
      <c r="Q336" s="771"/>
      <c r="R336" s="771"/>
      <c r="S336" s="771"/>
      <c r="T336" s="771"/>
      <c r="U336" s="771"/>
      <c r="V336" s="771"/>
      <c r="W336" s="771"/>
      <c r="X336" s="771"/>
      <c r="Y336" s="771"/>
      <c r="Z336" s="771"/>
    </row>
    <row r="337" ht="15.75" customHeight="1">
      <c r="A337" s="771"/>
      <c r="B337" s="771"/>
      <c r="C337" s="771"/>
      <c r="D337" s="771"/>
      <c r="E337" s="771"/>
      <c r="F337" s="771"/>
      <c r="G337" s="771"/>
      <c r="H337" s="771"/>
      <c r="I337" s="771"/>
      <c r="J337" s="771"/>
      <c r="K337" s="771"/>
      <c r="L337" s="771"/>
      <c r="M337" s="771"/>
      <c r="N337" s="771"/>
      <c r="O337" s="771"/>
      <c r="P337" s="771"/>
      <c r="Q337" s="771"/>
      <c r="R337" s="771"/>
      <c r="S337" s="771"/>
      <c r="T337" s="771"/>
      <c r="U337" s="771"/>
      <c r="V337" s="771"/>
      <c r="W337" s="771"/>
      <c r="X337" s="771"/>
      <c r="Y337" s="771"/>
      <c r="Z337" s="771"/>
    </row>
    <row r="338" ht="15.75" customHeight="1">
      <c r="A338" s="771"/>
      <c r="B338" s="771"/>
      <c r="C338" s="771"/>
      <c r="D338" s="771"/>
      <c r="E338" s="771"/>
      <c r="F338" s="771"/>
      <c r="G338" s="771"/>
      <c r="H338" s="771"/>
      <c r="I338" s="771"/>
      <c r="J338" s="771"/>
      <c r="K338" s="771"/>
      <c r="L338" s="771"/>
      <c r="M338" s="771"/>
      <c r="N338" s="771"/>
      <c r="O338" s="771"/>
      <c r="P338" s="771"/>
      <c r="Q338" s="771"/>
      <c r="R338" s="771"/>
      <c r="S338" s="771"/>
      <c r="T338" s="771"/>
      <c r="U338" s="771"/>
      <c r="V338" s="771"/>
      <c r="W338" s="771"/>
      <c r="X338" s="771"/>
      <c r="Y338" s="771"/>
      <c r="Z338" s="771"/>
    </row>
    <row r="339" ht="15.75" customHeight="1">
      <c r="A339" s="771"/>
      <c r="B339" s="771"/>
      <c r="C339" s="771"/>
      <c r="D339" s="771"/>
      <c r="E339" s="771"/>
      <c r="F339" s="771"/>
      <c r="G339" s="771"/>
      <c r="H339" s="771"/>
      <c r="I339" s="771"/>
      <c r="J339" s="771"/>
      <c r="K339" s="771"/>
      <c r="L339" s="771"/>
      <c r="M339" s="771"/>
      <c r="N339" s="771"/>
      <c r="O339" s="771"/>
      <c r="P339" s="771"/>
      <c r="Q339" s="771"/>
      <c r="R339" s="771"/>
      <c r="S339" s="771"/>
      <c r="T339" s="771"/>
      <c r="U339" s="771"/>
      <c r="V339" s="771"/>
      <c r="W339" s="771"/>
      <c r="X339" s="771"/>
      <c r="Y339" s="771"/>
      <c r="Z339" s="771"/>
    </row>
    <row r="340" ht="15.75" customHeight="1">
      <c r="A340" s="771"/>
      <c r="B340" s="771"/>
      <c r="C340" s="771"/>
      <c r="D340" s="771"/>
      <c r="E340" s="771"/>
      <c r="F340" s="771"/>
      <c r="G340" s="771"/>
      <c r="H340" s="771"/>
      <c r="I340" s="771"/>
      <c r="J340" s="771"/>
      <c r="K340" s="771"/>
      <c r="L340" s="771"/>
      <c r="M340" s="771"/>
      <c r="N340" s="771"/>
      <c r="O340" s="771"/>
      <c r="P340" s="771"/>
      <c r="Q340" s="771"/>
      <c r="R340" s="771"/>
      <c r="S340" s="771"/>
      <c r="T340" s="771"/>
      <c r="U340" s="771"/>
      <c r="V340" s="771"/>
      <c r="W340" s="771"/>
      <c r="X340" s="771"/>
      <c r="Y340" s="771"/>
      <c r="Z340" s="771"/>
    </row>
    <row r="341" ht="15.75" customHeight="1">
      <c r="A341" s="771"/>
      <c r="B341" s="771"/>
      <c r="C341" s="771"/>
      <c r="D341" s="771"/>
      <c r="E341" s="771"/>
      <c r="F341" s="771"/>
      <c r="G341" s="771"/>
      <c r="H341" s="771"/>
      <c r="I341" s="771"/>
      <c r="J341" s="771"/>
      <c r="K341" s="771"/>
      <c r="L341" s="771"/>
      <c r="M341" s="771"/>
      <c r="N341" s="771"/>
      <c r="O341" s="771"/>
      <c r="P341" s="771"/>
      <c r="Q341" s="771"/>
      <c r="R341" s="771"/>
      <c r="S341" s="771"/>
      <c r="T341" s="771"/>
      <c r="U341" s="771"/>
      <c r="V341" s="771"/>
      <c r="W341" s="771"/>
      <c r="X341" s="771"/>
      <c r="Y341" s="771"/>
      <c r="Z341" s="771"/>
    </row>
    <row r="342" ht="15.75" customHeight="1">
      <c r="A342" s="771"/>
      <c r="B342" s="771"/>
      <c r="C342" s="771"/>
      <c r="D342" s="771"/>
      <c r="E342" s="771"/>
      <c r="F342" s="771"/>
      <c r="G342" s="771"/>
      <c r="H342" s="771"/>
      <c r="I342" s="771"/>
      <c r="J342" s="771"/>
      <c r="K342" s="771"/>
      <c r="L342" s="771"/>
      <c r="M342" s="771"/>
      <c r="N342" s="771"/>
      <c r="O342" s="771"/>
      <c r="P342" s="771"/>
      <c r="Q342" s="771"/>
      <c r="R342" s="771"/>
      <c r="S342" s="771"/>
      <c r="T342" s="771"/>
      <c r="U342" s="771"/>
      <c r="V342" s="771"/>
      <c r="W342" s="771"/>
      <c r="X342" s="771"/>
      <c r="Y342" s="771"/>
      <c r="Z342" s="771"/>
    </row>
    <row r="343" ht="15.75" customHeight="1">
      <c r="A343" s="771"/>
      <c r="B343" s="771"/>
      <c r="C343" s="771"/>
      <c r="D343" s="771"/>
      <c r="E343" s="771"/>
      <c r="F343" s="771"/>
      <c r="G343" s="771"/>
      <c r="H343" s="771"/>
      <c r="I343" s="771"/>
      <c r="J343" s="771"/>
      <c r="K343" s="771"/>
      <c r="L343" s="771"/>
      <c r="M343" s="771"/>
      <c r="N343" s="771"/>
      <c r="O343" s="771"/>
      <c r="P343" s="771"/>
      <c r="Q343" s="771"/>
      <c r="R343" s="771"/>
      <c r="S343" s="771"/>
      <c r="T343" s="771"/>
      <c r="U343" s="771"/>
      <c r="V343" s="771"/>
      <c r="W343" s="771"/>
      <c r="X343" s="771"/>
      <c r="Y343" s="771"/>
      <c r="Z343" s="771"/>
    </row>
    <row r="344" ht="15.75" customHeight="1">
      <c r="A344" s="771"/>
      <c r="B344" s="771"/>
      <c r="C344" s="771"/>
      <c r="D344" s="771"/>
      <c r="E344" s="771"/>
      <c r="F344" s="771"/>
      <c r="G344" s="771"/>
      <c r="H344" s="771"/>
      <c r="I344" s="771"/>
      <c r="J344" s="771"/>
      <c r="K344" s="771"/>
      <c r="L344" s="771"/>
      <c r="M344" s="771"/>
      <c r="N344" s="771"/>
      <c r="O344" s="771"/>
      <c r="P344" s="771"/>
      <c r="Q344" s="771"/>
      <c r="R344" s="771"/>
      <c r="S344" s="771"/>
      <c r="T344" s="771"/>
      <c r="U344" s="771"/>
      <c r="V344" s="771"/>
      <c r="W344" s="771"/>
      <c r="X344" s="771"/>
      <c r="Y344" s="771"/>
      <c r="Z344" s="771"/>
    </row>
    <row r="345" ht="15.75" customHeight="1">
      <c r="A345" s="771"/>
      <c r="B345" s="771"/>
      <c r="C345" s="771"/>
      <c r="D345" s="771"/>
      <c r="E345" s="771"/>
      <c r="F345" s="771"/>
      <c r="G345" s="771"/>
      <c r="H345" s="771"/>
      <c r="I345" s="771"/>
      <c r="J345" s="771"/>
      <c r="K345" s="771"/>
      <c r="L345" s="771"/>
      <c r="M345" s="771"/>
      <c r="N345" s="771"/>
      <c r="O345" s="771"/>
      <c r="P345" s="771"/>
      <c r="Q345" s="771"/>
      <c r="R345" s="771"/>
      <c r="S345" s="771"/>
      <c r="T345" s="771"/>
      <c r="U345" s="771"/>
      <c r="V345" s="771"/>
      <c r="W345" s="771"/>
      <c r="X345" s="771"/>
      <c r="Y345" s="771"/>
      <c r="Z345" s="771"/>
    </row>
    <row r="346" ht="15.75" customHeight="1">
      <c r="A346" s="771"/>
      <c r="B346" s="771"/>
      <c r="C346" s="771"/>
      <c r="D346" s="771"/>
      <c r="E346" s="771"/>
      <c r="F346" s="771"/>
      <c r="G346" s="771"/>
      <c r="H346" s="771"/>
      <c r="I346" s="771"/>
      <c r="J346" s="771"/>
      <c r="K346" s="771"/>
      <c r="L346" s="771"/>
      <c r="M346" s="771"/>
      <c r="N346" s="771"/>
      <c r="O346" s="771"/>
      <c r="P346" s="771"/>
      <c r="Q346" s="771"/>
      <c r="R346" s="771"/>
      <c r="S346" s="771"/>
      <c r="T346" s="771"/>
      <c r="U346" s="771"/>
      <c r="V346" s="771"/>
      <c r="W346" s="771"/>
      <c r="X346" s="771"/>
      <c r="Y346" s="771"/>
      <c r="Z346" s="771"/>
    </row>
    <row r="347" ht="15.75" customHeight="1">
      <c r="A347" s="771"/>
      <c r="B347" s="771"/>
      <c r="C347" s="771"/>
      <c r="D347" s="771"/>
      <c r="E347" s="771"/>
      <c r="F347" s="771"/>
      <c r="G347" s="771"/>
      <c r="H347" s="771"/>
      <c r="I347" s="771"/>
      <c r="J347" s="771"/>
      <c r="K347" s="771"/>
      <c r="L347" s="771"/>
      <c r="M347" s="771"/>
      <c r="N347" s="771"/>
      <c r="O347" s="771"/>
      <c r="P347" s="771"/>
      <c r="Q347" s="771"/>
      <c r="R347" s="771"/>
      <c r="S347" s="771"/>
      <c r="T347" s="771"/>
      <c r="U347" s="771"/>
      <c r="V347" s="771"/>
      <c r="W347" s="771"/>
      <c r="X347" s="771"/>
      <c r="Y347" s="771"/>
      <c r="Z347" s="771"/>
    </row>
    <row r="348" ht="15.75" customHeight="1">
      <c r="A348" s="771"/>
      <c r="B348" s="771"/>
      <c r="C348" s="771"/>
      <c r="D348" s="771"/>
      <c r="E348" s="771"/>
      <c r="F348" s="771"/>
      <c r="G348" s="771"/>
      <c r="H348" s="771"/>
      <c r="I348" s="771"/>
      <c r="J348" s="771"/>
      <c r="K348" s="771"/>
      <c r="L348" s="771"/>
      <c r="M348" s="771"/>
      <c r="N348" s="771"/>
      <c r="O348" s="771"/>
      <c r="P348" s="771"/>
      <c r="Q348" s="771"/>
      <c r="R348" s="771"/>
      <c r="S348" s="771"/>
      <c r="T348" s="771"/>
      <c r="U348" s="771"/>
      <c r="V348" s="771"/>
      <c r="W348" s="771"/>
      <c r="X348" s="771"/>
      <c r="Y348" s="771"/>
      <c r="Z348" s="771"/>
    </row>
    <row r="349" ht="15.75" customHeight="1">
      <c r="A349" s="771"/>
      <c r="B349" s="771"/>
      <c r="C349" s="771"/>
      <c r="D349" s="771"/>
      <c r="E349" s="771"/>
      <c r="F349" s="771"/>
      <c r="G349" s="771"/>
      <c r="H349" s="771"/>
      <c r="I349" s="771"/>
      <c r="J349" s="771"/>
      <c r="K349" s="771"/>
      <c r="L349" s="771"/>
      <c r="M349" s="771"/>
      <c r="N349" s="771"/>
      <c r="O349" s="771"/>
      <c r="P349" s="771"/>
      <c r="Q349" s="771"/>
      <c r="R349" s="771"/>
      <c r="S349" s="771"/>
      <c r="T349" s="771"/>
      <c r="U349" s="771"/>
      <c r="V349" s="771"/>
      <c r="W349" s="771"/>
      <c r="X349" s="771"/>
      <c r="Y349" s="771"/>
      <c r="Z349" s="771"/>
    </row>
    <row r="350" ht="15.75" customHeight="1">
      <c r="A350" s="771"/>
      <c r="B350" s="771"/>
      <c r="C350" s="771"/>
      <c r="D350" s="771"/>
      <c r="E350" s="771"/>
      <c r="F350" s="771"/>
      <c r="G350" s="771"/>
      <c r="H350" s="771"/>
      <c r="I350" s="771"/>
      <c r="J350" s="771"/>
      <c r="K350" s="771"/>
      <c r="L350" s="771"/>
      <c r="M350" s="771"/>
      <c r="N350" s="771"/>
      <c r="O350" s="771"/>
      <c r="P350" s="771"/>
      <c r="Q350" s="771"/>
      <c r="R350" s="771"/>
      <c r="S350" s="771"/>
      <c r="T350" s="771"/>
      <c r="U350" s="771"/>
      <c r="V350" s="771"/>
      <c r="W350" s="771"/>
      <c r="X350" s="771"/>
      <c r="Y350" s="771"/>
      <c r="Z350" s="771"/>
    </row>
    <row r="351" ht="15.75" customHeight="1">
      <c r="A351" s="771"/>
      <c r="B351" s="771"/>
      <c r="C351" s="771"/>
      <c r="D351" s="771"/>
      <c r="E351" s="771"/>
      <c r="F351" s="771"/>
      <c r="G351" s="771"/>
      <c r="H351" s="771"/>
      <c r="I351" s="771"/>
      <c r="J351" s="771"/>
      <c r="K351" s="771"/>
      <c r="L351" s="771"/>
      <c r="M351" s="771"/>
      <c r="N351" s="771"/>
      <c r="O351" s="771"/>
      <c r="P351" s="771"/>
      <c r="Q351" s="771"/>
      <c r="R351" s="771"/>
      <c r="S351" s="771"/>
      <c r="T351" s="771"/>
      <c r="U351" s="771"/>
      <c r="V351" s="771"/>
      <c r="W351" s="771"/>
      <c r="X351" s="771"/>
      <c r="Y351" s="771"/>
      <c r="Z351" s="771"/>
    </row>
    <row r="352" ht="15.75" customHeight="1">
      <c r="A352" s="771"/>
      <c r="B352" s="771"/>
      <c r="C352" s="771"/>
      <c r="D352" s="771"/>
      <c r="E352" s="771"/>
      <c r="F352" s="771"/>
      <c r="G352" s="771"/>
      <c r="H352" s="771"/>
      <c r="I352" s="771"/>
      <c r="J352" s="771"/>
      <c r="K352" s="771"/>
      <c r="L352" s="771"/>
      <c r="M352" s="771"/>
      <c r="N352" s="771"/>
      <c r="O352" s="771"/>
      <c r="P352" s="771"/>
      <c r="Q352" s="771"/>
      <c r="R352" s="771"/>
      <c r="S352" s="771"/>
      <c r="T352" s="771"/>
      <c r="U352" s="771"/>
      <c r="V352" s="771"/>
      <c r="W352" s="771"/>
      <c r="X352" s="771"/>
      <c r="Y352" s="771"/>
      <c r="Z352" s="771"/>
    </row>
    <row r="353" ht="15.75" customHeight="1">
      <c r="A353" s="771"/>
      <c r="B353" s="771"/>
      <c r="C353" s="771"/>
      <c r="D353" s="771"/>
      <c r="E353" s="771"/>
      <c r="F353" s="771"/>
      <c r="G353" s="771"/>
      <c r="H353" s="771"/>
      <c r="I353" s="771"/>
      <c r="J353" s="771"/>
      <c r="K353" s="771"/>
      <c r="L353" s="771"/>
      <c r="M353" s="771"/>
      <c r="N353" s="771"/>
      <c r="O353" s="771"/>
      <c r="P353" s="771"/>
      <c r="Q353" s="771"/>
      <c r="R353" s="771"/>
      <c r="S353" s="771"/>
      <c r="T353" s="771"/>
      <c r="U353" s="771"/>
      <c r="V353" s="771"/>
      <c r="W353" s="771"/>
      <c r="X353" s="771"/>
      <c r="Y353" s="771"/>
      <c r="Z353" s="771"/>
    </row>
    <row r="354" ht="15.75" customHeight="1">
      <c r="A354" s="771"/>
      <c r="B354" s="771"/>
      <c r="C354" s="771"/>
      <c r="D354" s="771"/>
      <c r="E354" s="771"/>
      <c r="F354" s="771"/>
      <c r="G354" s="771"/>
      <c r="H354" s="771"/>
      <c r="I354" s="771"/>
      <c r="J354" s="771"/>
      <c r="K354" s="771"/>
      <c r="L354" s="771"/>
      <c r="M354" s="771"/>
      <c r="N354" s="771"/>
      <c r="O354" s="771"/>
      <c r="P354" s="771"/>
      <c r="Q354" s="771"/>
      <c r="R354" s="771"/>
      <c r="S354" s="771"/>
      <c r="T354" s="771"/>
      <c r="U354" s="771"/>
      <c r="V354" s="771"/>
      <c r="W354" s="771"/>
      <c r="X354" s="771"/>
      <c r="Y354" s="771"/>
      <c r="Z354" s="771"/>
    </row>
    <row r="355" ht="15.75" customHeight="1">
      <c r="A355" s="771"/>
      <c r="B355" s="771"/>
      <c r="C355" s="771"/>
      <c r="D355" s="771"/>
      <c r="E355" s="771"/>
      <c r="F355" s="771"/>
      <c r="G355" s="771"/>
      <c r="H355" s="771"/>
      <c r="I355" s="771"/>
      <c r="J355" s="771"/>
      <c r="K355" s="771"/>
      <c r="L355" s="771"/>
      <c r="M355" s="771"/>
      <c r="N355" s="771"/>
      <c r="O355" s="771"/>
      <c r="P355" s="771"/>
      <c r="Q355" s="771"/>
      <c r="R355" s="771"/>
      <c r="S355" s="771"/>
      <c r="T355" s="771"/>
      <c r="U355" s="771"/>
      <c r="V355" s="771"/>
      <c r="W355" s="771"/>
      <c r="X355" s="771"/>
      <c r="Y355" s="771"/>
      <c r="Z355" s="771"/>
    </row>
    <row r="356" ht="15.75" customHeight="1">
      <c r="A356" s="771"/>
      <c r="B356" s="771"/>
      <c r="C356" s="771"/>
      <c r="D356" s="771"/>
      <c r="E356" s="771"/>
      <c r="F356" s="771"/>
      <c r="G356" s="771"/>
      <c r="H356" s="771"/>
      <c r="I356" s="771"/>
      <c r="J356" s="771"/>
      <c r="K356" s="771"/>
      <c r="L356" s="771"/>
      <c r="M356" s="771"/>
      <c r="N356" s="771"/>
      <c r="O356" s="771"/>
      <c r="P356" s="771"/>
      <c r="Q356" s="771"/>
      <c r="R356" s="771"/>
      <c r="S356" s="771"/>
      <c r="T356" s="771"/>
      <c r="U356" s="771"/>
      <c r="V356" s="771"/>
      <c r="W356" s="771"/>
      <c r="X356" s="771"/>
      <c r="Y356" s="771"/>
      <c r="Z356" s="771"/>
    </row>
    <row r="357" ht="15.75" customHeight="1">
      <c r="A357" s="771"/>
      <c r="B357" s="771"/>
      <c r="C357" s="771"/>
      <c r="D357" s="771"/>
      <c r="E357" s="771"/>
      <c r="F357" s="771"/>
      <c r="G357" s="771"/>
      <c r="H357" s="771"/>
      <c r="I357" s="771"/>
      <c r="J357" s="771"/>
      <c r="K357" s="771"/>
      <c r="L357" s="771"/>
      <c r="M357" s="771"/>
      <c r="N357" s="771"/>
      <c r="O357" s="771"/>
      <c r="P357" s="771"/>
      <c r="Q357" s="771"/>
      <c r="R357" s="771"/>
      <c r="S357" s="771"/>
      <c r="T357" s="771"/>
      <c r="U357" s="771"/>
      <c r="V357" s="771"/>
      <c r="W357" s="771"/>
      <c r="X357" s="771"/>
      <c r="Y357" s="771"/>
      <c r="Z357" s="771"/>
    </row>
    <row r="358" ht="15.75" customHeight="1">
      <c r="A358" s="771"/>
      <c r="B358" s="771"/>
      <c r="C358" s="771"/>
      <c r="D358" s="771"/>
      <c r="E358" s="771"/>
      <c r="F358" s="771"/>
      <c r="G358" s="771"/>
      <c r="H358" s="771"/>
      <c r="I358" s="771"/>
      <c r="J358" s="771"/>
      <c r="K358" s="771"/>
      <c r="L358" s="771"/>
      <c r="M358" s="771"/>
      <c r="N358" s="771"/>
      <c r="O358" s="771"/>
      <c r="P358" s="771"/>
      <c r="Q358" s="771"/>
      <c r="R358" s="771"/>
      <c r="S358" s="771"/>
      <c r="T358" s="771"/>
      <c r="U358" s="771"/>
      <c r="V358" s="771"/>
      <c r="W358" s="771"/>
      <c r="X358" s="771"/>
      <c r="Y358" s="771"/>
      <c r="Z358" s="771"/>
    </row>
    <row r="359" ht="15.75" customHeight="1">
      <c r="A359" s="771"/>
      <c r="B359" s="771"/>
      <c r="C359" s="771"/>
      <c r="D359" s="771"/>
      <c r="E359" s="771"/>
      <c r="F359" s="771"/>
      <c r="G359" s="771"/>
      <c r="H359" s="771"/>
      <c r="I359" s="771"/>
      <c r="J359" s="771"/>
      <c r="K359" s="771"/>
      <c r="L359" s="771"/>
      <c r="M359" s="771"/>
      <c r="N359" s="771"/>
      <c r="O359" s="771"/>
      <c r="P359" s="771"/>
      <c r="Q359" s="771"/>
      <c r="R359" s="771"/>
      <c r="S359" s="771"/>
      <c r="T359" s="771"/>
      <c r="U359" s="771"/>
      <c r="V359" s="771"/>
      <c r="W359" s="771"/>
      <c r="X359" s="771"/>
      <c r="Y359" s="771"/>
      <c r="Z359" s="771"/>
    </row>
    <row r="360" ht="15.75" customHeight="1">
      <c r="A360" s="771"/>
      <c r="B360" s="771"/>
      <c r="C360" s="771"/>
      <c r="D360" s="771"/>
      <c r="E360" s="771"/>
      <c r="F360" s="771"/>
      <c r="G360" s="771"/>
      <c r="H360" s="771"/>
      <c r="I360" s="771"/>
      <c r="J360" s="771"/>
      <c r="K360" s="771"/>
      <c r="L360" s="771"/>
      <c r="M360" s="771"/>
      <c r="N360" s="771"/>
      <c r="O360" s="771"/>
      <c r="P360" s="771"/>
      <c r="Q360" s="771"/>
      <c r="R360" s="771"/>
      <c r="S360" s="771"/>
      <c r="T360" s="771"/>
      <c r="U360" s="771"/>
      <c r="V360" s="771"/>
      <c r="W360" s="771"/>
      <c r="X360" s="771"/>
      <c r="Y360" s="771"/>
      <c r="Z360" s="771"/>
    </row>
    <row r="361" ht="15.75" customHeight="1">
      <c r="A361" s="771"/>
      <c r="B361" s="771"/>
      <c r="C361" s="771"/>
      <c r="D361" s="771"/>
      <c r="E361" s="771"/>
      <c r="F361" s="771"/>
      <c r="G361" s="771"/>
      <c r="H361" s="771"/>
      <c r="I361" s="771"/>
      <c r="J361" s="771"/>
      <c r="K361" s="771"/>
      <c r="L361" s="771"/>
      <c r="M361" s="771"/>
      <c r="N361" s="771"/>
      <c r="O361" s="771"/>
      <c r="P361" s="771"/>
      <c r="Q361" s="771"/>
      <c r="R361" s="771"/>
      <c r="S361" s="771"/>
      <c r="T361" s="771"/>
      <c r="U361" s="771"/>
      <c r="V361" s="771"/>
      <c r="W361" s="771"/>
      <c r="X361" s="771"/>
      <c r="Y361" s="771"/>
      <c r="Z361" s="771"/>
    </row>
    <row r="362" ht="15.75" customHeight="1">
      <c r="A362" s="771"/>
      <c r="B362" s="771"/>
      <c r="C362" s="771"/>
      <c r="D362" s="771"/>
      <c r="E362" s="771"/>
      <c r="F362" s="771"/>
      <c r="G362" s="771"/>
      <c r="H362" s="771"/>
      <c r="I362" s="771"/>
      <c r="J362" s="771"/>
      <c r="K362" s="771"/>
      <c r="L362" s="771"/>
      <c r="M362" s="771"/>
      <c r="N362" s="771"/>
      <c r="O362" s="771"/>
      <c r="P362" s="771"/>
      <c r="Q362" s="771"/>
      <c r="R362" s="771"/>
      <c r="S362" s="771"/>
      <c r="T362" s="771"/>
      <c r="U362" s="771"/>
      <c r="V362" s="771"/>
      <c r="W362" s="771"/>
      <c r="X362" s="771"/>
      <c r="Y362" s="771"/>
      <c r="Z362" s="771"/>
    </row>
    <row r="363" ht="15.75" customHeight="1">
      <c r="A363" s="771"/>
      <c r="B363" s="771"/>
      <c r="C363" s="771"/>
      <c r="D363" s="771"/>
      <c r="E363" s="771"/>
      <c r="F363" s="771"/>
      <c r="G363" s="771"/>
      <c r="H363" s="771"/>
      <c r="I363" s="771"/>
      <c r="J363" s="771"/>
      <c r="K363" s="771"/>
      <c r="L363" s="771"/>
      <c r="M363" s="771"/>
      <c r="N363" s="771"/>
      <c r="O363" s="771"/>
      <c r="P363" s="771"/>
      <c r="Q363" s="771"/>
      <c r="R363" s="771"/>
      <c r="S363" s="771"/>
      <c r="T363" s="771"/>
      <c r="U363" s="771"/>
      <c r="V363" s="771"/>
      <c r="W363" s="771"/>
      <c r="X363" s="771"/>
      <c r="Y363" s="771"/>
      <c r="Z363" s="771"/>
    </row>
    <row r="364" ht="15.75" customHeight="1">
      <c r="A364" s="771"/>
      <c r="B364" s="771"/>
      <c r="C364" s="771"/>
      <c r="D364" s="771"/>
      <c r="E364" s="771"/>
      <c r="F364" s="771"/>
      <c r="G364" s="771"/>
      <c r="H364" s="771"/>
      <c r="I364" s="771"/>
      <c r="J364" s="771"/>
      <c r="K364" s="771"/>
      <c r="L364" s="771"/>
      <c r="M364" s="771"/>
      <c r="N364" s="771"/>
      <c r="O364" s="771"/>
      <c r="P364" s="771"/>
      <c r="Q364" s="771"/>
      <c r="R364" s="771"/>
      <c r="S364" s="771"/>
      <c r="T364" s="771"/>
      <c r="U364" s="771"/>
      <c r="V364" s="771"/>
      <c r="W364" s="771"/>
      <c r="X364" s="771"/>
      <c r="Y364" s="771"/>
      <c r="Z364" s="771"/>
    </row>
    <row r="365" ht="15.75" customHeight="1">
      <c r="A365" s="771"/>
      <c r="B365" s="771"/>
      <c r="C365" s="771"/>
      <c r="D365" s="771"/>
      <c r="E365" s="771"/>
      <c r="F365" s="771"/>
      <c r="G365" s="771"/>
      <c r="H365" s="771"/>
      <c r="I365" s="771"/>
      <c r="J365" s="771"/>
      <c r="K365" s="771"/>
      <c r="L365" s="771"/>
      <c r="M365" s="771"/>
      <c r="N365" s="771"/>
      <c r="O365" s="771"/>
      <c r="P365" s="771"/>
      <c r="Q365" s="771"/>
      <c r="R365" s="771"/>
      <c r="S365" s="771"/>
      <c r="T365" s="771"/>
      <c r="U365" s="771"/>
      <c r="V365" s="771"/>
      <c r="W365" s="771"/>
      <c r="X365" s="771"/>
      <c r="Y365" s="771"/>
      <c r="Z365" s="771"/>
    </row>
    <row r="366" ht="15.75" customHeight="1">
      <c r="A366" s="771"/>
      <c r="B366" s="771"/>
      <c r="C366" s="771"/>
      <c r="D366" s="771"/>
      <c r="E366" s="771"/>
      <c r="F366" s="771"/>
      <c r="G366" s="771"/>
      <c r="H366" s="771"/>
      <c r="I366" s="771"/>
      <c r="J366" s="771"/>
      <c r="K366" s="771"/>
      <c r="L366" s="771"/>
      <c r="M366" s="771"/>
      <c r="N366" s="771"/>
      <c r="O366" s="771"/>
      <c r="P366" s="771"/>
      <c r="Q366" s="771"/>
      <c r="R366" s="771"/>
      <c r="S366" s="771"/>
      <c r="T366" s="771"/>
      <c r="U366" s="771"/>
      <c r="V366" s="771"/>
      <c r="W366" s="771"/>
      <c r="X366" s="771"/>
      <c r="Y366" s="771"/>
      <c r="Z366" s="771"/>
    </row>
    <row r="367" ht="15.75" customHeight="1">
      <c r="A367" s="771"/>
      <c r="B367" s="771"/>
      <c r="C367" s="771"/>
      <c r="D367" s="771"/>
      <c r="E367" s="771"/>
      <c r="F367" s="771"/>
      <c r="G367" s="771"/>
      <c r="H367" s="771"/>
      <c r="I367" s="771"/>
      <c r="J367" s="771"/>
      <c r="K367" s="771"/>
      <c r="L367" s="771"/>
      <c r="M367" s="771"/>
      <c r="N367" s="771"/>
      <c r="O367" s="771"/>
      <c r="P367" s="771"/>
      <c r="Q367" s="771"/>
      <c r="R367" s="771"/>
      <c r="S367" s="771"/>
      <c r="T367" s="771"/>
      <c r="U367" s="771"/>
      <c r="V367" s="771"/>
      <c r="W367" s="771"/>
      <c r="X367" s="771"/>
      <c r="Y367" s="771"/>
      <c r="Z367" s="771"/>
    </row>
    <row r="368" ht="15.75" customHeight="1">
      <c r="A368" s="771"/>
      <c r="B368" s="771"/>
      <c r="C368" s="771"/>
      <c r="D368" s="771"/>
      <c r="E368" s="771"/>
      <c r="F368" s="771"/>
      <c r="G368" s="771"/>
      <c r="H368" s="771"/>
      <c r="I368" s="771"/>
      <c r="J368" s="771"/>
      <c r="K368" s="771"/>
      <c r="L368" s="771"/>
      <c r="M368" s="771"/>
      <c r="N368" s="771"/>
      <c r="O368" s="771"/>
      <c r="P368" s="771"/>
      <c r="Q368" s="771"/>
      <c r="R368" s="771"/>
      <c r="S368" s="771"/>
      <c r="T368" s="771"/>
      <c r="U368" s="771"/>
      <c r="V368" s="771"/>
      <c r="W368" s="771"/>
      <c r="X368" s="771"/>
      <c r="Y368" s="771"/>
      <c r="Z368" s="771"/>
    </row>
    <row r="369" ht="15.75" customHeight="1">
      <c r="A369" s="771"/>
      <c r="B369" s="771"/>
      <c r="C369" s="771"/>
      <c r="D369" s="771"/>
      <c r="E369" s="771"/>
      <c r="F369" s="771"/>
      <c r="G369" s="771"/>
      <c r="H369" s="771"/>
      <c r="I369" s="771"/>
      <c r="J369" s="771"/>
      <c r="K369" s="771"/>
      <c r="L369" s="771"/>
      <c r="M369" s="771"/>
      <c r="N369" s="771"/>
      <c r="O369" s="771"/>
      <c r="P369" s="771"/>
      <c r="Q369" s="771"/>
      <c r="R369" s="771"/>
      <c r="S369" s="771"/>
      <c r="T369" s="771"/>
      <c r="U369" s="771"/>
      <c r="V369" s="771"/>
      <c r="W369" s="771"/>
      <c r="X369" s="771"/>
      <c r="Y369" s="771"/>
      <c r="Z369" s="771"/>
    </row>
    <row r="370" ht="15.75" customHeight="1">
      <c r="A370" s="771"/>
      <c r="B370" s="771"/>
      <c r="C370" s="771"/>
      <c r="D370" s="771"/>
      <c r="E370" s="771"/>
      <c r="F370" s="771"/>
      <c r="G370" s="771"/>
      <c r="H370" s="771"/>
      <c r="I370" s="771"/>
      <c r="J370" s="771"/>
      <c r="K370" s="771"/>
      <c r="L370" s="771"/>
      <c r="M370" s="771"/>
      <c r="N370" s="771"/>
      <c r="O370" s="771"/>
      <c r="P370" s="771"/>
      <c r="Q370" s="771"/>
      <c r="R370" s="771"/>
      <c r="S370" s="771"/>
      <c r="T370" s="771"/>
      <c r="U370" s="771"/>
      <c r="V370" s="771"/>
      <c r="W370" s="771"/>
      <c r="X370" s="771"/>
      <c r="Y370" s="771"/>
      <c r="Z370" s="771"/>
    </row>
    <row r="371" ht="15.75" customHeight="1">
      <c r="A371" s="771"/>
      <c r="B371" s="771"/>
      <c r="C371" s="771"/>
      <c r="D371" s="771"/>
      <c r="E371" s="771"/>
      <c r="F371" s="771"/>
      <c r="G371" s="771"/>
      <c r="H371" s="771"/>
      <c r="I371" s="771"/>
      <c r="J371" s="771"/>
      <c r="K371" s="771"/>
      <c r="L371" s="771"/>
      <c r="M371" s="771"/>
      <c r="N371" s="771"/>
      <c r="O371" s="771"/>
      <c r="P371" s="771"/>
      <c r="Q371" s="771"/>
      <c r="R371" s="771"/>
      <c r="S371" s="771"/>
      <c r="T371" s="771"/>
      <c r="U371" s="771"/>
      <c r="V371" s="771"/>
      <c r="W371" s="771"/>
      <c r="X371" s="771"/>
      <c r="Y371" s="771"/>
      <c r="Z371" s="771"/>
    </row>
    <row r="372" ht="15.75" customHeight="1">
      <c r="A372" s="771"/>
      <c r="B372" s="771"/>
      <c r="C372" s="771"/>
      <c r="D372" s="771"/>
      <c r="E372" s="771"/>
      <c r="F372" s="771"/>
      <c r="G372" s="771"/>
      <c r="H372" s="771"/>
      <c r="I372" s="771"/>
      <c r="J372" s="771"/>
      <c r="K372" s="771"/>
      <c r="L372" s="771"/>
      <c r="M372" s="771"/>
      <c r="N372" s="771"/>
      <c r="O372" s="771"/>
      <c r="P372" s="771"/>
      <c r="Q372" s="771"/>
      <c r="R372" s="771"/>
      <c r="S372" s="771"/>
      <c r="T372" s="771"/>
      <c r="U372" s="771"/>
      <c r="V372" s="771"/>
      <c r="W372" s="771"/>
      <c r="X372" s="771"/>
      <c r="Y372" s="771"/>
      <c r="Z372" s="771"/>
    </row>
    <row r="373" ht="15.75" customHeight="1">
      <c r="A373" s="771"/>
      <c r="B373" s="771"/>
      <c r="C373" s="771"/>
      <c r="D373" s="771"/>
      <c r="E373" s="771"/>
      <c r="F373" s="771"/>
      <c r="G373" s="771"/>
      <c r="H373" s="771"/>
      <c r="I373" s="771"/>
      <c r="J373" s="771"/>
      <c r="K373" s="771"/>
      <c r="L373" s="771"/>
      <c r="M373" s="771"/>
      <c r="N373" s="771"/>
      <c r="O373" s="771"/>
      <c r="P373" s="771"/>
      <c r="Q373" s="771"/>
      <c r="R373" s="771"/>
      <c r="S373" s="771"/>
      <c r="T373" s="771"/>
      <c r="U373" s="771"/>
      <c r="V373" s="771"/>
      <c r="W373" s="771"/>
      <c r="X373" s="771"/>
      <c r="Y373" s="771"/>
      <c r="Z373" s="771"/>
    </row>
    <row r="374" ht="15.75" customHeight="1">
      <c r="A374" s="771"/>
      <c r="B374" s="771"/>
      <c r="C374" s="771"/>
      <c r="D374" s="771"/>
      <c r="E374" s="771"/>
      <c r="F374" s="771"/>
      <c r="G374" s="771"/>
      <c r="H374" s="771"/>
      <c r="I374" s="771"/>
      <c r="J374" s="771"/>
      <c r="K374" s="771"/>
      <c r="L374" s="771"/>
      <c r="M374" s="771"/>
      <c r="N374" s="771"/>
      <c r="O374" s="771"/>
      <c r="P374" s="771"/>
      <c r="Q374" s="771"/>
      <c r="R374" s="771"/>
      <c r="S374" s="771"/>
      <c r="T374" s="771"/>
      <c r="U374" s="771"/>
      <c r="V374" s="771"/>
      <c r="W374" s="771"/>
      <c r="X374" s="771"/>
      <c r="Y374" s="771"/>
      <c r="Z374" s="771"/>
    </row>
    <row r="375" ht="15.75" customHeight="1">
      <c r="A375" s="771"/>
      <c r="B375" s="771"/>
      <c r="C375" s="771"/>
      <c r="D375" s="771"/>
      <c r="E375" s="771"/>
      <c r="F375" s="771"/>
      <c r="G375" s="771"/>
      <c r="H375" s="771"/>
      <c r="I375" s="771"/>
      <c r="J375" s="771"/>
      <c r="K375" s="771"/>
      <c r="L375" s="771"/>
      <c r="M375" s="771"/>
      <c r="N375" s="771"/>
      <c r="O375" s="771"/>
      <c r="P375" s="771"/>
      <c r="Q375" s="771"/>
      <c r="R375" s="771"/>
      <c r="S375" s="771"/>
      <c r="T375" s="771"/>
      <c r="U375" s="771"/>
      <c r="V375" s="771"/>
      <c r="W375" s="771"/>
      <c r="X375" s="771"/>
      <c r="Y375" s="771"/>
      <c r="Z375" s="771"/>
    </row>
    <row r="376" ht="15.75" customHeight="1">
      <c r="A376" s="771"/>
      <c r="B376" s="771"/>
      <c r="C376" s="771"/>
      <c r="D376" s="771"/>
      <c r="E376" s="771"/>
      <c r="F376" s="771"/>
      <c r="G376" s="771"/>
      <c r="H376" s="771"/>
      <c r="I376" s="771"/>
      <c r="J376" s="771"/>
      <c r="K376" s="771"/>
      <c r="L376" s="771"/>
      <c r="M376" s="771"/>
      <c r="N376" s="771"/>
      <c r="O376" s="771"/>
      <c r="P376" s="771"/>
      <c r="Q376" s="771"/>
      <c r="R376" s="771"/>
      <c r="S376" s="771"/>
      <c r="T376" s="771"/>
      <c r="U376" s="771"/>
      <c r="V376" s="771"/>
      <c r="W376" s="771"/>
      <c r="X376" s="771"/>
      <c r="Y376" s="771"/>
      <c r="Z376" s="771"/>
    </row>
    <row r="377" ht="15.75" customHeight="1">
      <c r="A377" s="771"/>
      <c r="B377" s="771"/>
      <c r="C377" s="771"/>
      <c r="D377" s="771"/>
      <c r="E377" s="771"/>
      <c r="F377" s="771"/>
      <c r="G377" s="771"/>
      <c r="H377" s="771"/>
      <c r="I377" s="771"/>
      <c r="J377" s="771"/>
      <c r="K377" s="771"/>
      <c r="L377" s="771"/>
      <c r="M377" s="771"/>
      <c r="N377" s="771"/>
      <c r="O377" s="771"/>
      <c r="P377" s="771"/>
      <c r="Q377" s="771"/>
      <c r="R377" s="771"/>
      <c r="S377" s="771"/>
      <c r="T377" s="771"/>
      <c r="U377" s="771"/>
      <c r="V377" s="771"/>
      <c r="W377" s="771"/>
      <c r="X377" s="771"/>
      <c r="Y377" s="771"/>
      <c r="Z377" s="771"/>
    </row>
    <row r="378" ht="15.75" customHeight="1">
      <c r="A378" s="771"/>
      <c r="B378" s="771"/>
      <c r="C378" s="771"/>
      <c r="D378" s="771"/>
      <c r="E378" s="771"/>
      <c r="F378" s="771"/>
      <c r="G378" s="771"/>
      <c r="H378" s="771"/>
      <c r="I378" s="771"/>
      <c r="J378" s="771"/>
      <c r="K378" s="771"/>
      <c r="L378" s="771"/>
      <c r="M378" s="771"/>
      <c r="N378" s="771"/>
      <c r="O378" s="771"/>
      <c r="P378" s="771"/>
      <c r="Q378" s="771"/>
      <c r="R378" s="771"/>
      <c r="S378" s="771"/>
      <c r="T378" s="771"/>
      <c r="U378" s="771"/>
      <c r="V378" s="771"/>
      <c r="W378" s="771"/>
      <c r="X378" s="771"/>
      <c r="Y378" s="771"/>
      <c r="Z378" s="771"/>
    </row>
    <row r="379" ht="15.75" customHeight="1">
      <c r="A379" s="771"/>
      <c r="B379" s="771"/>
      <c r="C379" s="771"/>
      <c r="D379" s="771"/>
      <c r="E379" s="771"/>
      <c r="F379" s="771"/>
      <c r="G379" s="771"/>
      <c r="H379" s="771"/>
      <c r="I379" s="771"/>
      <c r="J379" s="771"/>
      <c r="K379" s="771"/>
      <c r="L379" s="771"/>
      <c r="M379" s="771"/>
      <c r="N379" s="771"/>
      <c r="O379" s="771"/>
      <c r="P379" s="771"/>
      <c r="Q379" s="771"/>
      <c r="R379" s="771"/>
      <c r="S379" s="771"/>
      <c r="T379" s="771"/>
      <c r="U379" s="771"/>
      <c r="V379" s="771"/>
      <c r="W379" s="771"/>
      <c r="X379" s="771"/>
      <c r="Y379" s="771"/>
      <c r="Z379" s="771"/>
    </row>
    <row r="380" ht="15.75" customHeight="1">
      <c r="A380" s="771"/>
      <c r="B380" s="771"/>
      <c r="C380" s="771"/>
      <c r="D380" s="771"/>
      <c r="E380" s="771"/>
      <c r="F380" s="771"/>
      <c r="G380" s="771"/>
      <c r="H380" s="771"/>
      <c r="I380" s="771"/>
      <c r="J380" s="771"/>
      <c r="K380" s="771"/>
      <c r="L380" s="771"/>
      <c r="M380" s="771"/>
      <c r="N380" s="771"/>
      <c r="O380" s="771"/>
      <c r="P380" s="771"/>
      <c r="Q380" s="771"/>
      <c r="R380" s="771"/>
      <c r="S380" s="771"/>
      <c r="T380" s="771"/>
      <c r="U380" s="771"/>
      <c r="V380" s="771"/>
      <c r="W380" s="771"/>
      <c r="X380" s="771"/>
      <c r="Y380" s="771"/>
      <c r="Z380" s="771"/>
    </row>
    <row r="381" ht="15.75" customHeight="1">
      <c r="A381" s="771"/>
      <c r="B381" s="771"/>
      <c r="C381" s="771"/>
      <c r="D381" s="771"/>
      <c r="E381" s="771"/>
      <c r="F381" s="771"/>
      <c r="G381" s="771"/>
      <c r="H381" s="771"/>
      <c r="I381" s="771"/>
      <c r="J381" s="771"/>
      <c r="K381" s="771"/>
      <c r="L381" s="771"/>
      <c r="M381" s="771"/>
      <c r="N381" s="771"/>
      <c r="O381" s="771"/>
      <c r="P381" s="771"/>
      <c r="Q381" s="771"/>
      <c r="R381" s="771"/>
      <c r="S381" s="771"/>
      <c r="T381" s="771"/>
      <c r="U381" s="771"/>
      <c r="V381" s="771"/>
      <c r="W381" s="771"/>
      <c r="X381" s="771"/>
      <c r="Y381" s="771"/>
      <c r="Z381" s="771"/>
    </row>
    <row r="382" ht="15.75" customHeight="1">
      <c r="A382" s="771"/>
      <c r="B382" s="771"/>
      <c r="C382" s="771"/>
      <c r="D382" s="771"/>
      <c r="E382" s="771"/>
      <c r="F382" s="771"/>
      <c r="G382" s="771"/>
      <c r="H382" s="771"/>
      <c r="I382" s="771"/>
      <c r="J382" s="771"/>
      <c r="K382" s="771"/>
      <c r="L382" s="771"/>
      <c r="M382" s="771"/>
      <c r="N382" s="771"/>
      <c r="O382" s="771"/>
      <c r="P382" s="771"/>
      <c r="Q382" s="771"/>
      <c r="R382" s="771"/>
      <c r="S382" s="771"/>
      <c r="T382" s="771"/>
      <c r="U382" s="771"/>
      <c r="V382" s="771"/>
      <c r="W382" s="771"/>
      <c r="X382" s="771"/>
      <c r="Y382" s="771"/>
      <c r="Z382" s="771"/>
    </row>
    <row r="383" ht="15.75" customHeight="1">
      <c r="A383" s="771"/>
      <c r="B383" s="771"/>
      <c r="C383" s="771"/>
      <c r="D383" s="771"/>
      <c r="E383" s="771"/>
      <c r="F383" s="771"/>
      <c r="G383" s="771"/>
      <c r="H383" s="771"/>
      <c r="I383" s="771"/>
      <c r="J383" s="771"/>
      <c r="K383" s="771"/>
      <c r="L383" s="771"/>
      <c r="M383" s="771"/>
      <c r="N383" s="771"/>
      <c r="O383" s="771"/>
      <c r="P383" s="771"/>
      <c r="Q383" s="771"/>
      <c r="R383" s="771"/>
      <c r="S383" s="771"/>
      <c r="T383" s="771"/>
      <c r="U383" s="771"/>
      <c r="V383" s="771"/>
      <c r="W383" s="771"/>
      <c r="X383" s="771"/>
      <c r="Y383" s="771"/>
      <c r="Z383" s="771"/>
    </row>
    <row r="384" ht="15.75" customHeight="1">
      <c r="A384" s="771"/>
      <c r="B384" s="771"/>
      <c r="C384" s="771"/>
      <c r="D384" s="771"/>
      <c r="E384" s="771"/>
      <c r="F384" s="771"/>
      <c r="G384" s="771"/>
      <c r="H384" s="771"/>
      <c r="I384" s="771"/>
      <c r="J384" s="771"/>
      <c r="K384" s="771"/>
      <c r="L384" s="771"/>
      <c r="M384" s="771"/>
      <c r="N384" s="771"/>
      <c r="O384" s="771"/>
      <c r="P384" s="771"/>
      <c r="Q384" s="771"/>
      <c r="R384" s="771"/>
      <c r="S384" s="771"/>
      <c r="T384" s="771"/>
      <c r="U384" s="771"/>
      <c r="V384" s="771"/>
      <c r="W384" s="771"/>
      <c r="X384" s="771"/>
      <c r="Y384" s="771"/>
      <c r="Z384" s="771"/>
    </row>
    <row r="385" ht="15.75" customHeight="1">
      <c r="A385" s="771"/>
      <c r="B385" s="771"/>
      <c r="C385" s="771"/>
      <c r="D385" s="771"/>
      <c r="E385" s="771"/>
      <c r="F385" s="771"/>
      <c r="G385" s="771"/>
      <c r="H385" s="771"/>
      <c r="I385" s="771"/>
      <c r="J385" s="771"/>
      <c r="K385" s="771"/>
      <c r="L385" s="771"/>
      <c r="M385" s="771"/>
      <c r="N385" s="771"/>
      <c r="O385" s="771"/>
      <c r="P385" s="771"/>
      <c r="Q385" s="771"/>
      <c r="R385" s="771"/>
      <c r="S385" s="771"/>
      <c r="T385" s="771"/>
      <c r="U385" s="771"/>
      <c r="V385" s="771"/>
      <c r="W385" s="771"/>
      <c r="X385" s="771"/>
      <c r="Y385" s="771"/>
      <c r="Z385" s="771"/>
    </row>
    <row r="386" ht="15.75" customHeight="1">
      <c r="A386" s="771"/>
      <c r="B386" s="771"/>
      <c r="C386" s="771"/>
      <c r="D386" s="771"/>
      <c r="E386" s="771"/>
      <c r="F386" s="771"/>
      <c r="G386" s="771"/>
      <c r="H386" s="771"/>
      <c r="I386" s="771"/>
      <c r="J386" s="771"/>
      <c r="K386" s="771"/>
      <c r="L386" s="771"/>
      <c r="M386" s="771"/>
      <c r="N386" s="771"/>
      <c r="O386" s="771"/>
      <c r="P386" s="771"/>
      <c r="Q386" s="771"/>
      <c r="R386" s="771"/>
      <c r="S386" s="771"/>
      <c r="T386" s="771"/>
      <c r="U386" s="771"/>
      <c r="V386" s="771"/>
      <c r="W386" s="771"/>
      <c r="X386" s="771"/>
      <c r="Y386" s="771"/>
      <c r="Z386" s="771"/>
    </row>
    <row r="387" ht="15.75" customHeight="1">
      <c r="A387" s="771"/>
      <c r="B387" s="771"/>
      <c r="C387" s="771"/>
      <c r="D387" s="771"/>
      <c r="E387" s="771"/>
      <c r="F387" s="771"/>
      <c r="G387" s="771"/>
      <c r="H387" s="771"/>
      <c r="I387" s="771"/>
      <c r="J387" s="771"/>
      <c r="K387" s="771"/>
      <c r="L387" s="771"/>
      <c r="M387" s="771"/>
      <c r="N387" s="771"/>
      <c r="O387" s="771"/>
      <c r="P387" s="771"/>
      <c r="Q387" s="771"/>
      <c r="R387" s="771"/>
      <c r="S387" s="771"/>
      <c r="T387" s="771"/>
      <c r="U387" s="771"/>
      <c r="V387" s="771"/>
      <c r="W387" s="771"/>
      <c r="X387" s="771"/>
      <c r="Y387" s="771"/>
      <c r="Z387" s="771"/>
    </row>
    <row r="388" ht="15.75" customHeight="1">
      <c r="A388" s="771"/>
      <c r="B388" s="771"/>
      <c r="C388" s="771"/>
      <c r="D388" s="771"/>
      <c r="E388" s="771"/>
      <c r="F388" s="771"/>
      <c r="G388" s="771"/>
      <c r="H388" s="771"/>
      <c r="I388" s="771"/>
      <c r="J388" s="771"/>
      <c r="K388" s="771"/>
      <c r="L388" s="771"/>
      <c r="M388" s="771"/>
      <c r="N388" s="771"/>
      <c r="O388" s="771"/>
      <c r="P388" s="771"/>
      <c r="Q388" s="771"/>
      <c r="R388" s="771"/>
      <c r="S388" s="771"/>
      <c r="T388" s="771"/>
      <c r="U388" s="771"/>
      <c r="V388" s="771"/>
      <c r="W388" s="771"/>
      <c r="X388" s="771"/>
      <c r="Y388" s="771"/>
      <c r="Z388" s="771"/>
    </row>
    <row r="389" ht="15.75" customHeight="1">
      <c r="A389" s="771"/>
      <c r="B389" s="771"/>
      <c r="C389" s="771"/>
      <c r="D389" s="771"/>
      <c r="E389" s="771"/>
      <c r="F389" s="771"/>
      <c r="G389" s="771"/>
      <c r="H389" s="771"/>
      <c r="I389" s="771"/>
      <c r="J389" s="771"/>
      <c r="K389" s="771"/>
      <c r="L389" s="771"/>
      <c r="M389" s="771"/>
      <c r="N389" s="771"/>
      <c r="O389" s="771"/>
      <c r="P389" s="771"/>
      <c r="Q389" s="771"/>
      <c r="R389" s="771"/>
      <c r="S389" s="771"/>
      <c r="T389" s="771"/>
      <c r="U389" s="771"/>
      <c r="V389" s="771"/>
      <c r="W389" s="771"/>
      <c r="X389" s="771"/>
      <c r="Y389" s="771"/>
      <c r="Z389" s="771"/>
    </row>
    <row r="390" ht="15.75" customHeight="1">
      <c r="A390" s="771"/>
      <c r="B390" s="771"/>
      <c r="C390" s="771"/>
      <c r="D390" s="771"/>
      <c r="E390" s="771"/>
      <c r="F390" s="771"/>
      <c r="G390" s="771"/>
      <c r="H390" s="771"/>
      <c r="I390" s="771"/>
      <c r="J390" s="771"/>
      <c r="K390" s="771"/>
      <c r="L390" s="771"/>
      <c r="M390" s="771"/>
      <c r="N390" s="771"/>
      <c r="O390" s="771"/>
      <c r="P390" s="771"/>
      <c r="Q390" s="771"/>
      <c r="R390" s="771"/>
      <c r="S390" s="771"/>
      <c r="T390" s="771"/>
      <c r="U390" s="771"/>
      <c r="V390" s="771"/>
      <c r="W390" s="771"/>
      <c r="X390" s="771"/>
      <c r="Y390" s="771"/>
      <c r="Z390" s="771"/>
    </row>
    <row r="391" ht="15.75" customHeight="1">
      <c r="A391" s="771"/>
      <c r="B391" s="771"/>
      <c r="C391" s="771"/>
      <c r="D391" s="771"/>
      <c r="E391" s="771"/>
      <c r="F391" s="771"/>
      <c r="G391" s="771"/>
      <c r="H391" s="771"/>
      <c r="I391" s="771"/>
      <c r="J391" s="771"/>
      <c r="K391" s="771"/>
      <c r="L391" s="771"/>
      <c r="M391" s="771"/>
      <c r="N391" s="771"/>
      <c r="O391" s="771"/>
      <c r="P391" s="771"/>
      <c r="Q391" s="771"/>
      <c r="R391" s="771"/>
      <c r="S391" s="771"/>
      <c r="T391" s="771"/>
      <c r="U391" s="771"/>
      <c r="V391" s="771"/>
      <c r="W391" s="771"/>
      <c r="X391" s="771"/>
      <c r="Y391" s="771"/>
      <c r="Z391" s="771"/>
    </row>
    <row r="392" ht="15.75" customHeight="1">
      <c r="A392" s="771"/>
      <c r="B392" s="771"/>
      <c r="C392" s="771"/>
      <c r="D392" s="771"/>
      <c r="E392" s="771"/>
      <c r="F392" s="771"/>
      <c r="G392" s="771"/>
      <c r="H392" s="771"/>
      <c r="I392" s="771"/>
      <c r="J392" s="771"/>
      <c r="K392" s="771"/>
      <c r="L392" s="771"/>
      <c r="M392" s="771"/>
      <c r="N392" s="771"/>
      <c r="O392" s="771"/>
      <c r="P392" s="771"/>
      <c r="Q392" s="771"/>
      <c r="R392" s="771"/>
      <c r="S392" s="771"/>
      <c r="T392" s="771"/>
      <c r="U392" s="771"/>
      <c r="V392" s="771"/>
      <c r="W392" s="771"/>
      <c r="X392" s="771"/>
      <c r="Y392" s="771"/>
      <c r="Z392" s="771"/>
    </row>
    <row r="393" ht="15.75" customHeight="1">
      <c r="A393" s="771"/>
      <c r="B393" s="771"/>
      <c r="C393" s="771"/>
      <c r="D393" s="771"/>
      <c r="E393" s="771"/>
      <c r="F393" s="771"/>
      <c r="G393" s="771"/>
      <c r="H393" s="771"/>
      <c r="I393" s="771"/>
      <c r="J393" s="771"/>
      <c r="K393" s="771"/>
      <c r="L393" s="771"/>
      <c r="M393" s="771"/>
      <c r="N393" s="771"/>
      <c r="O393" s="771"/>
      <c r="P393" s="771"/>
      <c r="Q393" s="771"/>
      <c r="R393" s="771"/>
      <c r="S393" s="771"/>
      <c r="T393" s="771"/>
      <c r="U393" s="771"/>
      <c r="V393" s="771"/>
      <c r="W393" s="771"/>
      <c r="X393" s="771"/>
      <c r="Y393" s="771"/>
      <c r="Z393" s="771"/>
    </row>
    <row r="394" ht="15.75" customHeight="1">
      <c r="A394" s="771"/>
      <c r="B394" s="771"/>
      <c r="C394" s="771"/>
      <c r="D394" s="771"/>
      <c r="E394" s="771"/>
      <c r="F394" s="771"/>
      <c r="G394" s="771"/>
      <c r="H394" s="771"/>
      <c r="I394" s="771"/>
      <c r="J394" s="771"/>
      <c r="K394" s="771"/>
      <c r="L394" s="771"/>
      <c r="M394" s="771"/>
      <c r="N394" s="771"/>
      <c r="O394" s="771"/>
      <c r="P394" s="771"/>
      <c r="Q394" s="771"/>
      <c r="R394" s="771"/>
      <c r="S394" s="771"/>
      <c r="T394" s="771"/>
      <c r="U394" s="771"/>
      <c r="V394" s="771"/>
      <c r="W394" s="771"/>
      <c r="X394" s="771"/>
      <c r="Y394" s="771"/>
      <c r="Z394" s="771"/>
    </row>
    <row r="395" ht="15.75" customHeight="1">
      <c r="A395" s="771"/>
      <c r="B395" s="771"/>
      <c r="C395" s="771"/>
      <c r="D395" s="771"/>
      <c r="E395" s="771"/>
      <c r="F395" s="771"/>
      <c r="G395" s="771"/>
      <c r="H395" s="771"/>
      <c r="I395" s="771"/>
      <c r="J395" s="771"/>
      <c r="K395" s="771"/>
      <c r="L395" s="771"/>
      <c r="M395" s="771"/>
      <c r="N395" s="771"/>
      <c r="O395" s="771"/>
      <c r="P395" s="771"/>
      <c r="Q395" s="771"/>
      <c r="R395" s="771"/>
      <c r="S395" s="771"/>
      <c r="T395" s="771"/>
      <c r="U395" s="771"/>
      <c r="V395" s="771"/>
      <c r="W395" s="771"/>
      <c r="X395" s="771"/>
      <c r="Y395" s="771"/>
      <c r="Z395" s="771"/>
    </row>
    <row r="396" ht="15.75" customHeight="1">
      <c r="A396" s="771"/>
      <c r="B396" s="771"/>
      <c r="C396" s="771"/>
      <c r="D396" s="771"/>
      <c r="E396" s="771"/>
      <c r="F396" s="771"/>
      <c r="G396" s="771"/>
      <c r="H396" s="771"/>
      <c r="I396" s="771"/>
      <c r="J396" s="771"/>
      <c r="K396" s="771"/>
      <c r="L396" s="771"/>
      <c r="M396" s="771"/>
      <c r="N396" s="771"/>
      <c r="O396" s="771"/>
      <c r="P396" s="771"/>
      <c r="Q396" s="771"/>
      <c r="R396" s="771"/>
      <c r="S396" s="771"/>
      <c r="T396" s="771"/>
      <c r="U396" s="771"/>
      <c r="V396" s="771"/>
      <c r="W396" s="771"/>
      <c r="X396" s="771"/>
      <c r="Y396" s="771"/>
      <c r="Z396" s="771"/>
    </row>
    <row r="397" ht="15.75" customHeight="1">
      <c r="A397" s="771"/>
      <c r="B397" s="771"/>
      <c r="C397" s="771"/>
      <c r="D397" s="771"/>
      <c r="E397" s="771"/>
      <c r="F397" s="771"/>
      <c r="G397" s="771"/>
      <c r="H397" s="771"/>
      <c r="I397" s="771"/>
      <c r="J397" s="771"/>
      <c r="K397" s="771"/>
      <c r="L397" s="771"/>
      <c r="M397" s="771"/>
      <c r="N397" s="771"/>
      <c r="O397" s="771"/>
      <c r="P397" s="771"/>
      <c r="Q397" s="771"/>
      <c r="R397" s="771"/>
      <c r="S397" s="771"/>
      <c r="T397" s="771"/>
      <c r="U397" s="771"/>
      <c r="V397" s="771"/>
      <c r="W397" s="771"/>
      <c r="X397" s="771"/>
      <c r="Y397" s="771"/>
      <c r="Z397" s="771"/>
    </row>
    <row r="398" ht="15.75" customHeight="1">
      <c r="A398" s="771"/>
      <c r="B398" s="771"/>
      <c r="C398" s="771"/>
      <c r="D398" s="771"/>
      <c r="E398" s="771"/>
      <c r="F398" s="771"/>
      <c r="G398" s="771"/>
      <c r="H398" s="771"/>
      <c r="I398" s="771"/>
      <c r="J398" s="771"/>
      <c r="K398" s="771"/>
      <c r="L398" s="771"/>
      <c r="M398" s="771"/>
      <c r="N398" s="771"/>
      <c r="O398" s="771"/>
      <c r="P398" s="771"/>
      <c r="Q398" s="771"/>
      <c r="R398" s="771"/>
      <c r="S398" s="771"/>
      <c r="T398" s="771"/>
      <c r="U398" s="771"/>
      <c r="V398" s="771"/>
      <c r="W398" s="771"/>
      <c r="X398" s="771"/>
      <c r="Y398" s="771"/>
      <c r="Z398" s="771"/>
    </row>
    <row r="399" ht="15.75" customHeight="1">
      <c r="A399" s="771"/>
      <c r="B399" s="771"/>
      <c r="C399" s="771"/>
      <c r="D399" s="771"/>
      <c r="E399" s="771"/>
      <c r="F399" s="771"/>
      <c r="G399" s="771"/>
      <c r="H399" s="771"/>
      <c r="I399" s="771"/>
      <c r="J399" s="771"/>
      <c r="K399" s="771"/>
      <c r="L399" s="771"/>
      <c r="M399" s="771"/>
      <c r="N399" s="771"/>
      <c r="O399" s="771"/>
      <c r="P399" s="771"/>
      <c r="Q399" s="771"/>
      <c r="R399" s="771"/>
      <c r="S399" s="771"/>
      <c r="T399" s="771"/>
      <c r="U399" s="771"/>
      <c r="V399" s="771"/>
      <c r="W399" s="771"/>
      <c r="X399" s="771"/>
      <c r="Y399" s="771"/>
      <c r="Z399" s="771"/>
    </row>
    <row r="400" ht="15.75" customHeight="1">
      <c r="A400" s="771"/>
      <c r="B400" s="771"/>
      <c r="C400" s="771"/>
      <c r="D400" s="771"/>
      <c r="E400" s="771"/>
      <c r="F400" s="771"/>
      <c r="G400" s="771"/>
      <c r="H400" s="771"/>
      <c r="I400" s="771"/>
      <c r="J400" s="771"/>
      <c r="K400" s="771"/>
      <c r="L400" s="771"/>
      <c r="M400" s="771"/>
      <c r="N400" s="771"/>
      <c r="O400" s="771"/>
      <c r="P400" s="771"/>
      <c r="Q400" s="771"/>
      <c r="R400" s="771"/>
      <c r="S400" s="771"/>
      <c r="T400" s="771"/>
      <c r="U400" s="771"/>
      <c r="V400" s="771"/>
      <c r="W400" s="771"/>
      <c r="X400" s="771"/>
      <c r="Y400" s="771"/>
      <c r="Z400" s="771"/>
    </row>
    <row r="401" ht="15.75" customHeight="1">
      <c r="A401" s="771"/>
      <c r="B401" s="771"/>
      <c r="C401" s="771"/>
      <c r="D401" s="771"/>
      <c r="E401" s="771"/>
      <c r="F401" s="771"/>
      <c r="G401" s="771"/>
      <c r="H401" s="771"/>
      <c r="I401" s="771"/>
      <c r="J401" s="771"/>
      <c r="K401" s="771"/>
      <c r="L401" s="771"/>
      <c r="M401" s="771"/>
      <c r="N401" s="771"/>
      <c r="O401" s="771"/>
      <c r="P401" s="771"/>
      <c r="Q401" s="771"/>
      <c r="R401" s="771"/>
      <c r="S401" s="771"/>
      <c r="T401" s="771"/>
      <c r="U401" s="771"/>
      <c r="V401" s="771"/>
      <c r="W401" s="771"/>
      <c r="X401" s="771"/>
      <c r="Y401" s="771"/>
      <c r="Z401" s="771"/>
    </row>
    <row r="402" ht="15.75" customHeight="1">
      <c r="A402" s="771"/>
      <c r="B402" s="771"/>
      <c r="C402" s="771"/>
      <c r="D402" s="771"/>
      <c r="E402" s="771"/>
      <c r="F402" s="771"/>
      <c r="G402" s="771"/>
      <c r="H402" s="771"/>
      <c r="I402" s="771"/>
      <c r="J402" s="771"/>
      <c r="K402" s="771"/>
      <c r="L402" s="771"/>
      <c r="M402" s="771"/>
      <c r="N402" s="771"/>
      <c r="O402" s="771"/>
      <c r="P402" s="771"/>
      <c r="Q402" s="771"/>
      <c r="R402" s="771"/>
      <c r="S402" s="771"/>
      <c r="T402" s="771"/>
      <c r="U402" s="771"/>
      <c r="V402" s="771"/>
      <c r="W402" s="771"/>
      <c r="X402" s="771"/>
      <c r="Y402" s="771"/>
      <c r="Z402" s="771"/>
    </row>
    <row r="403" ht="15.75" customHeight="1">
      <c r="A403" s="771"/>
      <c r="B403" s="771"/>
      <c r="C403" s="771"/>
      <c r="D403" s="771"/>
      <c r="E403" s="771"/>
      <c r="F403" s="771"/>
      <c r="G403" s="771"/>
      <c r="H403" s="771"/>
      <c r="I403" s="771"/>
      <c r="J403" s="771"/>
      <c r="K403" s="771"/>
      <c r="L403" s="771"/>
      <c r="M403" s="771"/>
      <c r="N403" s="771"/>
      <c r="O403" s="771"/>
      <c r="P403" s="771"/>
      <c r="Q403" s="771"/>
      <c r="R403" s="771"/>
      <c r="S403" s="771"/>
      <c r="T403" s="771"/>
      <c r="U403" s="771"/>
      <c r="V403" s="771"/>
      <c r="W403" s="771"/>
      <c r="X403" s="771"/>
      <c r="Y403" s="771"/>
      <c r="Z403" s="771"/>
    </row>
    <row r="404" ht="15.75" customHeight="1">
      <c r="A404" s="771"/>
      <c r="B404" s="771"/>
      <c r="C404" s="771"/>
      <c r="D404" s="771"/>
      <c r="E404" s="771"/>
      <c r="F404" s="771"/>
      <c r="G404" s="771"/>
      <c r="H404" s="771"/>
      <c r="I404" s="771"/>
      <c r="J404" s="771"/>
      <c r="K404" s="771"/>
      <c r="L404" s="771"/>
      <c r="M404" s="771"/>
      <c r="N404" s="771"/>
      <c r="O404" s="771"/>
      <c r="P404" s="771"/>
      <c r="Q404" s="771"/>
      <c r="R404" s="771"/>
      <c r="S404" s="771"/>
      <c r="T404" s="771"/>
      <c r="U404" s="771"/>
      <c r="V404" s="771"/>
      <c r="W404" s="771"/>
      <c r="X404" s="771"/>
      <c r="Y404" s="771"/>
      <c r="Z404" s="771"/>
    </row>
    <row r="405" ht="15.75" customHeight="1">
      <c r="A405" s="771"/>
      <c r="B405" s="771"/>
      <c r="C405" s="771"/>
      <c r="D405" s="771"/>
      <c r="E405" s="771"/>
      <c r="F405" s="771"/>
      <c r="G405" s="771"/>
      <c r="H405" s="771"/>
      <c r="I405" s="771"/>
      <c r="J405" s="771"/>
      <c r="K405" s="771"/>
      <c r="L405" s="771"/>
      <c r="M405" s="771"/>
      <c r="N405" s="771"/>
      <c r="O405" s="771"/>
      <c r="P405" s="771"/>
      <c r="Q405" s="771"/>
      <c r="R405" s="771"/>
      <c r="S405" s="771"/>
      <c r="T405" s="771"/>
      <c r="U405" s="771"/>
      <c r="V405" s="771"/>
      <c r="W405" s="771"/>
      <c r="X405" s="771"/>
      <c r="Y405" s="771"/>
      <c r="Z405" s="771"/>
    </row>
    <row r="406" ht="15.75" customHeight="1">
      <c r="A406" s="771"/>
      <c r="B406" s="771"/>
      <c r="C406" s="771"/>
      <c r="D406" s="771"/>
      <c r="E406" s="771"/>
      <c r="F406" s="771"/>
      <c r="G406" s="771"/>
      <c r="H406" s="771"/>
      <c r="I406" s="771"/>
      <c r="J406" s="771"/>
      <c r="K406" s="771"/>
      <c r="L406" s="771"/>
      <c r="M406" s="771"/>
      <c r="N406" s="771"/>
      <c r="O406" s="771"/>
      <c r="P406" s="771"/>
      <c r="Q406" s="771"/>
      <c r="R406" s="771"/>
      <c r="S406" s="771"/>
      <c r="T406" s="771"/>
      <c r="U406" s="771"/>
      <c r="V406" s="771"/>
      <c r="W406" s="771"/>
      <c r="X406" s="771"/>
      <c r="Y406" s="771"/>
      <c r="Z406" s="771"/>
    </row>
    <row r="407" ht="15.75" customHeight="1">
      <c r="A407" s="771"/>
      <c r="B407" s="771"/>
      <c r="C407" s="771"/>
      <c r="D407" s="771"/>
      <c r="E407" s="771"/>
      <c r="F407" s="771"/>
      <c r="G407" s="771"/>
      <c r="H407" s="771"/>
      <c r="I407" s="771"/>
      <c r="J407" s="771"/>
      <c r="K407" s="771"/>
      <c r="L407" s="771"/>
      <c r="M407" s="771"/>
      <c r="N407" s="771"/>
      <c r="O407" s="771"/>
      <c r="P407" s="771"/>
      <c r="Q407" s="771"/>
      <c r="R407" s="771"/>
      <c r="S407" s="771"/>
      <c r="T407" s="771"/>
      <c r="U407" s="771"/>
      <c r="V407" s="771"/>
      <c r="W407" s="771"/>
      <c r="X407" s="771"/>
      <c r="Y407" s="771"/>
      <c r="Z407" s="771"/>
    </row>
    <row r="408" ht="15.75" customHeight="1">
      <c r="A408" s="771"/>
      <c r="B408" s="771"/>
      <c r="C408" s="771"/>
      <c r="D408" s="771"/>
      <c r="E408" s="771"/>
      <c r="F408" s="771"/>
      <c r="G408" s="771"/>
      <c r="H408" s="771"/>
      <c r="I408" s="771"/>
      <c r="J408" s="771"/>
      <c r="K408" s="771"/>
      <c r="L408" s="771"/>
      <c r="M408" s="771"/>
      <c r="N408" s="771"/>
      <c r="O408" s="771"/>
      <c r="P408" s="771"/>
      <c r="Q408" s="771"/>
      <c r="R408" s="771"/>
      <c r="S408" s="771"/>
      <c r="T408" s="771"/>
      <c r="U408" s="771"/>
      <c r="V408" s="771"/>
      <c r="W408" s="771"/>
      <c r="X408" s="771"/>
      <c r="Y408" s="771"/>
      <c r="Z408" s="771"/>
    </row>
    <row r="409" ht="15.75" customHeight="1">
      <c r="A409" s="771"/>
      <c r="B409" s="771"/>
      <c r="C409" s="771"/>
      <c r="D409" s="771"/>
      <c r="E409" s="771"/>
      <c r="F409" s="771"/>
      <c r="G409" s="771"/>
      <c r="H409" s="771"/>
      <c r="I409" s="771"/>
      <c r="J409" s="771"/>
      <c r="K409" s="771"/>
      <c r="L409" s="771"/>
      <c r="M409" s="771"/>
      <c r="N409" s="771"/>
      <c r="O409" s="771"/>
      <c r="P409" s="771"/>
      <c r="Q409" s="771"/>
      <c r="R409" s="771"/>
      <c r="S409" s="771"/>
      <c r="T409" s="771"/>
      <c r="U409" s="771"/>
      <c r="V409" s="771"/>
      <c r="W409" s="771"/>
      <c r="X409" s="771"/>
      <c r="Y409" s="771"/>
      <c r="Z409" s="771"/>
    </row>
    <row r="410" ht="15.75" customHeight="1">
      <c r="A410" s="771"/>
      <c r="B410" s="771"/>
      <c r="C410" s="771"/>
      <c r="D410" s="771"/>
      <c r="E410" s="771"/>
      <c r="F410" s="771"/>
      <c r="G410" s="771"/>
      <c r="H410" s="771"/>
      <c r="I410" s="771"/>
      <c r="J410" s="771"/>
      <c r="K410" s="771"/>
      <c r="L410" s="771"/>
      <c r="M410" s="771"/>
      <c r="N410" s="771"/>
      <c r="O410" s="771"/>
      <c r="P410" s="771"/>
      <c r="Q410" s="771"/>
      <c r="R410" s="771"/>
      <c r="S410" s="771"/>
      <c r="T410" s="771"/>
      <c r="U410" s="771"/>
      <c r="V410" s="771"/>
      <c r="W410" s="771"/>
      <c r="X410" s="771"/>
      <c r="Y410" s="771"/>
      <c r="Z410" s="771"/>
    </row>
    <row r="411" ht="15.75" customHeight="1">
      <c r="A411" s="771"/>
      <c r="B411" s="771"/>
      <c r="C411" s="771"/>
      <c r="D411" s="771"/>
      <c r="E411" s="771"/>
      <c r="F411" s="771"/>
      <c r="G411" s="771"/>
      <c r="H411" s="771"/>
      <c r="I411" s="771"/>
      <c r="J411" s="771"/>
      <c r="K411" s="771"/>
      <c r="L411" s="771"/>
      <c r="M411" s="771"/>
      <c r="N411" s="771"/>
      <c r="O411" s="771"/>
      <c r="P411" s="771"/>
      <c r="Q411" s="771"/>
      <c r="R411" s="771"/>
      <c r="S411" s="771"/>
      <c r="T411" s="771"/>
      <c r="U411" s="771"/>
      <c r="V411" s="771"/>
      <c r="W411" s="771"/>
      <c r="X411" s="771"/>
      <c r="Y411" s="771"/>
      <c r="Z411" s="771"/>
    </row>
    <row r="412" ht="15.75" customHeight="1">
      <c r="A412" s="771"/>
      <c r="B412" s="771"/>
      <c r="C412" s="771"/>
      <c r="D412" s="771"/>
      <c r="E412" s="771"/>
      <c r="F412" s="771"/>
      <c r="G412" s="771"/>
      <c r="H412" s="771"/>
      <c r="I412" s="771"/>
      <c r="J412" s="771"/>
      <c r="K412" s="771"/>
      <c r="L412" s="771"/>
      <c r="M412" s="771"/>
      <c r="N412" s="771"/>
      <c r="O412" s="771"/>
      <c r="P412" s="771"/>
      <c r="Q412" s="771"/>
      <c r="R412" s="771"/>
      <c r="S412" s="771"/>
      <c r="T412" s="771"/>
      <c r="U412" s="771"/>
      <c r="V412" s="771"/>
      <c r="W412" s="771"/>
      <c r="X412" s="771"/>
      <c r="Y412" s="771"/>
      <c r="Z412" s="771"/>
    </row>
    <row r="413" ht="15.75" customHeight="1">
      <c r="A413" s="771"/>
      <c r="B413" s="771"/>
      <c r="C413" s="771"/>
      <c r="D413" s="771"/>
      <c r="E413" s="771"/>
      <c r="F413" s="771"/>
      <c r="G413" s="771"/>
      <c r="H413" s="771"/>
      <c r="I413" s="771"/>
      <c r="J413" s="771"/>
      <c r="K413" s="771"/>
      <c r="L413" s="771"/>
      <c r="M413" s="771"/>
      <c r="N413" s="771"/>
      <c r="O413" s="771"/>
      <c r="P413" s="771"/>
      <c r="Q413" s="771"/>
      <c r="R413" s="771"/>
      <c r="S413" s="771"/>
      <c r="T413" s="771"/>
      <c r="U413" s="771"/>
      <c r="V413" s="771"/>
      <c r="W413" s="771"/>
      <c r="X413" s="771"/>
      <c r="Y413" s="771"/>
      <c r="Z413" s="771"/>
    </row>
    <row r="414" ht="15.75" customHeight="1">
      <c r="A414" s="771"/>
      <c r="B414" s="771"/>
      <c r="C414" s="771"/>
      <c r="D414" s="771"/>
      <c r="E414" s="771"/>
      <c r="F414" s="771"/>
      <c r="G414" s="771"/>
      <c r="H414" s="771"/>
      <c r="I414" s="771"/>
      <c r="J414" s="771"/>
      <c r="K414" s="771"/>
      <c r="L414" s="771"/>
      <c r="M414" s="771"/>
      <c r="N414" s="771"/>
      <c r="O414" s="771"/>
      <c r="P414" s="771"/>
      <c r="Q414" s="771"/>
      <c r="R414" s="771"/>
      <c r="S414" s="771"/>
      <c r="T414" s="771"/>
      <c r="U414" s="771"/>
      <c r="V414" s="771"/>
      <c r="W414" s="771"/>
      <c r="X414" s="771"/>
      <c r="Y414" s="771"/>
      <c r="Z414" s="771"/>
    </row>
    <row r="415" ht="15.75" customHeight="1">
      <c r="A415" s="771"/>
      <c r="B415" s="771"/>
      <c r="C415" s="771"/>
      <c r="D415" s="771"/>
      <c r="E415" s="771"/>
      <c r="F415" s="771"/>
      <c r="G415" s="771"/>
      <c r="H415" s="771"/>
      <c r="I415" s="771"/>
      <c r="J415" s="771"/>
      <c r="K415" s="771"/>
      <c r="L415" s="771"/>
      <c r="M415" s="771"/>
      <c r="N415" s="771"/>
      <c r="O415" s="771"/>
      <c r="P415" s="771"/>
      <c r="Q415" s="771"/>
      <c r="R415" s="771"/>
      <c r="S415" s="771"/>
      <c r="T415" s="771"/>
      <c r="U415" s="771"/>
      <c r="V415" s="771"/>
      <c r="W415" s="771"/>
      <c r="X415" s="771"/>
      <c r="Y415" s="771"/>
      <c r="Z415" s="771"/>
    </row>
    <row r="416" ht="15.75" customHeight="1">
      <c r="A416" s="771"/>
      <c r="B416" s="771"/>
      <c r="C416" s="771"/>
      <c r="D416" s="771"/>
      <c r="E416" s="771"/>
      <c r="F416" s="771"/>
      <c r="G416" s="771"/>
      <c r="H416" s="771"/>
      <c r="I416" s="771"/>
      <c r="J416" s="771"/>
      <c r="K416" s="771"/>
      <c r="L416" s="771"/>
      <c r="M416" s="771"/>
      <c r="N416" s="771"/>
      <c r="O416" s="771"/>
      <c r="P416" s="771"/>
      <c r="Q416" s="771"/>
      <c r="R416" s="771"/>
      <c r="S416" s="771"/>
      <c r="T416" s="771"/>
      <c r="U416" s="771"/>
      <c r="V416" s="771"/>
      <c r="W416" s="771"/>
      <c r="X416" s="771"/>
      <c r="Y416" s="771"/>
      <c r="Z416" s="771"/>
    </row>
    <row r="417" ht="15.75" customHeight="1">
      <c r="A417" s="771"/>
      <c r="B417" s="771"/>
      <c r="C417" s="771"/>
      <c r="D417" s="771"/>
      <c r="E417" s="771"/>
      <c r="F417" s="771"/>
      <c r="G417" s="771"/>
      <c r="H417" s="771"/>
      <c r="I417" s="771"/>
      <c r="J417" s="771"/>
      <c r="K417" s="771"/>
      <c r="L417" s="771"/>
      <c r="M417" s="771"/>
      <c r="N417" s="771"/>
      <c r="O417" s="771"/>
      <c r="P417" s="771"/>
      <c r="Q417" s="771"/>
      <c r="R417" s="771"/>
      <c r="S417" s="771"/>
      <c r="T417" s="771"/>
      <c r="U417" s="771"/>
      <c r="V417" s="771"/>
      <c r="W417" s="771"/>
      <c r="X417" s="771"/>
      <c r="Y417" s="771"/>
      <c r="Z417" s="771"/>
    </row>
    <row r="418" ht="15.75" customHeight="1">
      <c r="A418" s="771"/>
      <c r="B418" s="771"/>
      <c r="C418" s="771"/>
      <c r="D418" s="771"/>
      <c r="E418" s="771"/>
      <c r="F418" s="771"/>
      <c r="G418" s="771"/>
      <c r="H418" s="771"/>
      <c r="I418" s="771"/>
      <c r="J418" s="771"/>
      <c r="K418" s="771"/>
      <c r="L418" s="771"/>
      <c r="M418" s="771"/>
      <c r="N418" s="771"/>
      <c r="O418" s="771"/>
      <c r="P418" s="771"/>
      <c r="Q418" s="771"/>
      <c r="R418" s="771"/>
      <c r="S418" s="771"/>
      <c r="T418" s="771"/>
      <c r="U418" s="771"/>
      <c r="V418" s="771"/>
      <c r="W418" s="771"/>
      <c r="X418" s="771"/>
      <c r="Y418" s="771"/>
      <c r="Z418" s="771"/>
    </row>
    <row r="419" ht="15.75" customHeight="1">
      <c r="A419" s="771"/>
      <c r="B419" s="771"/>
      <c r="C419" s="771"/>
      <c r="D419" s="771"/>
      <c r="E419" s="771"/>
      <c r="F419" s="771"/>
      <c r="G419" s="771"/>
      <c r="H419" s="771"/>
      <c r="I419" s="771"/>
      <c r="J419" s="771"/>
      <c r="K419" s="771"/>
      <c r="L419" s="771"/>
      <c r="M419" s="771"/>
      <c r="N419" s="771"/>
      <c r="O419" s="771"/>
      <c r="P419" s="771"/>
      <c r="Q419" s="771"/>
      <c r="R419" s="771"/>
      <c r="S419" s="771"/>
      <c r="T419" s="771"/>
      <c r="U419" s="771"/>
      <c r="V419" s="771"/>
      <c r="W419" s="771"/>
      <c r="X419" s="771"/>
      <c r="Y419" s="771"/>
      <c r="Z419" s="771"/>
    </row>
    <row r="420" ht="15.75" customHeight="1">
      <c r="A420" s="771"/>
      <c r="B420" s="771"/>
      <c r="C420" s="771"/>
      <c r="D420" s="771"/>
      <c r="E420" s="771"/>
      <c r="F420" s="771"/>
      <c r="G420" s="771"/>
      <c r="H420" s="771"/>
      <c r="I420" s="771"/>
      <c r="J420" s="771"/>
      <c r="K420" s="771"/>
      <c r="L420" s="771"/>
      <c r="M420" s="771"/>
      <c r="N420" s="771"/>
      <c r="O420" s="771"/>
      <c r="P420" s="771"/>
      <c r="Q420" s="771"/>
      <c r="R420" s="771"/>
      <c r="S420" s="771"/>
      <c r="T420" s="771"/>
      <c r="U420" s="771"/>
      <c r="V420" s="771"/>
      <c r="W420" s="771"/>
      <c r="X420" s="771"/>
      <c r="Y420" s="771"/>
      <c r="Z420" s="771"/>
    </row>
    <row r="421" ht="15.75" customHeight="1">
      <c r="A421" s="771"/>
      <c r="B421" s="771"/>
      <c r="C421" s="771"/>
      <c r="D421" s="771"/>
      <c r="E421" s="771"/>
      <c r="F421" s="771"/>
      <c r="G421" s="771"/>
      <c r="H421" s="771"/>
      <c r="I421" s="771"/>
      <c r="J421" s="771"/>
      <c r="K421" s="771"/>
      <c r="L421" s="771"/>
      <c r="M421" s="771"/>
      <c r="N421" s="771"/>
      <c r="O421" s="771"/>
      <c r="P421" s="771"/>
      <c r="Q421" s="771"/>
      <c r="R421" s="771"/>
      <c r="S421" s="771"/>
      <c r="T421" s="771"/>
      <c r="U421" s="771"/>
      <c r="V421" s="771"/>
      <c r="W421" s="771"/>
      <c r="X421" s="771"/>
      <c r="Y421" s="771"/>
      <c r="Z421" s="771"/>
    </row>
    <row r="422" ht="15.75" customHeight="1">
      <c r="A422" s="771"/>
      <c r="B422" s="771"/>
      <c r="C422" s="771"/>
      <c r="D422" s="771"/>
      <c r="E422" s="771"/>
      <c r="F422" s="771"/>
      <c r="G422" s="771"/>
      <c r="H422" s="771"/>
      <c r="I422" s="771"/>
      <c r="J422" s="771"/>
      <c r="K422" s="771"/>
      <c r="L422" s="771"/>
      <c r="M422" s="771"/>
      <c r="N422" s="771"/>
      <c r="O422" s="771"/>
      <c r="P422" s="771"/>
      <c r="Q422" s="771"/>
      <c r="R422" s="771"/>
      <c r="S422" s="771"/>
      <c r="T422" s="771"/>
      <c r="U422" s="771"/>
      <c r="V422" s="771"/>
      <c r="W422" s="771"/>
      <c r="X422" s="771"/>
      <c r="Y422" s="771"/>
      <c r="Z422" s="771"/>
    </row>
    <row r="423" ht="15.75" customHeight="1">
      <c r="A423" s="771"/>
      <c r="B423" s="771"/>
      <c r="C423" s="771"/>
      <c r="D423" s="771"/>
      <c r="E423" s="771"/>
      <c r="F423" s="771"/>
      <c r="G423" s="771"/>
      <c r="H423" s="771"/>
      <c r="I423" s="771"/>
      <c r="J423" s="771"/>
      <c r="K423" s="771"/>
      <c r="L423" s="771"/>
      <c r="M423" s="771"/>
      <c r="N423" s="771"/>
      <c r="O423" s="771"/>
      <c r="P423" s="771"/>
      <c r="Q423" s="771"/>
      <c r="R423" s="771"/>
      <c r="S423" s="771"/>
      <c r="T423" s="771"/>
      <c r="U423" s="771"/>
      <c r="V423" s="771"/>
      <c r="W423" s="771"/>
      <c r="X423" s="771"/>
      <c r="Y423" s="771"/>
      <c r="Z423" s="771"/>
    </row>
    <row r="424" ht="15.75" customHeight="1">
      <c r="A424" s="771"/>
      <c r="B424" s="771"/>
      <c r="C424" s="771"/>
      <c r="D424" s="771"/>
      <c r="E424" s="771"/>
      <c r="F424" s="771"/>
      <c r="G424" s="771"/>
      <c r="H424" s="771"/>
      <c r="I424" s="771"/>
      <c r="J424" s="771"/>
      <c r="K424" s="771"/>
      <c r="L424" s="771"/>
      <c r="M424" s="771"/>
      <c r="N424" s="771"/>
      <c r="O424" s="771"/>
      <c r="P424" s="771"/>
      <c r="Q424" s="771"/>
      <c r="R424" s="771"/>
      <c r="S424" s="771"/>
      <c r="T424" s="771"/>
      <c r="U424" s="771"/>
      <c r="V424" s="771"/>
      <c r="W424" s="771"/>
      <c r="X424" s="771"/>
      <c r="Y424" s="771"/>
      <c r="Z424" s="771"/>
    </row>
    <row r="425" ht="15.75" customHeight="1">
      <c r="A425" s="771"/>
      <c r="B425" s="771"/>
      <c r="C425" s="771"/>
      <c r="D425" s="771"/>
      <c r="E425" s="771"/>
      <c r="F425" s="771"/>
      <c r="G425" s="771"/>
      <c r="H425" s="771"/>
      <c r="I425" s="771"/>
      <c r="J425" s="771"/>
      <c r="K425" s="771"/>
      <c r="L425" s="771"/>
      <c r="M425" s="771"/>
      <c r="N425" s="771"/>
      <c r="O425" s="771"/>
      <c r="P425" s="771"/>
      <c r="Q425" s="771"/>
      <c r="R425" s="771"/>
      <c r="S425" s="771"/>
      <c r="T425" s="771"/>
      <c r="U425" s="771"/>
      <c r="V425" s="771"/>
      <c r="W425" s="771"/>
      <c r="X425" s="771"/>
      <c r="Y425" s="771"/>
      <c r="Z425" s="771"/>
    </row>
    <row r="426" ht="15.75" customHeight="1">
      <c r="A426" s="771"/>
      <c r="B426" s="771"/>
      <c r="C426" s="771"/>
      <c r="D426" s="771"/>
      <c r="E426" s="771"/>
      <c r="F426" s="771"/>
      <c r="G426" s="771"/>
      <c r="H426" s="771"/>
      <c r="I426" s="771"/>
      <c r="J426" s="771"/>
      <c r="K426" s="771"/>
      <c r="L426" s="771"/>
      <c r="M426" s="771"/>
      <c r="N426" s="771"/>
      <c r="O426" s="771"/>
      <c r="P426" s="771"/>
      <c r="Q426" s="771"/>
      <c r="R426" s="771"/>
      <c r="S426" s="771"/>
      <c r="T426" s="771"/>
      <c r="U426" s="771"/>
      <c r="V426" s="771"/>
      <c r="W426" s="771"/>
      <c r="X426" s="771"/>
      <c r="Y426" s="771"/>
      <c r="Z426" s="771"/>
    </row>
    <row r="427" ht="15.75" customHeight="1">
      <c r="A427" s="771"/>
      <c r="B427" s="771"/>
      <c r="C427" s="771"/>
      <c r="D427" s="771"/>
      <c r="E427" s="771"/>
      <c r="F427" s="771"/>
      <c r="G427" s="771"/>
      <c r="H427" s="771"/>
      <c r="I427" s="771"/>
      <c r="J427" s="771"/>
      <c r="K427" s="771"/>
      <c r="L427" s="771"/>
      <c r="M427" s="771"/>
      <c r="N427" s="771"/>
      <c r="O427" s="771"/>
      <c r="P427" s="771"/>
      <c r="Q427" s="771"/>
      <c r="R427" s="771"/>
      <c r="S427" s="771"/>
      <c r="T427" s="771"/>
      <c r="U427" s="771"/>
      <c r="V427" s="771"/>
      <c r="W427" s="771"/>
      <c r="X427" s="771"/>
      <c r="Y427" s="771"/>
      <c r="Z427" s="771"/>
    </row>
    <row r="428" ht="15.75" customHeight="1">
      <c r="A428" s="771"/>
      <c r="B428" s="771"/>
      <c r="C428" s="771"/>
      <c r="D428" s="771"/>
      <c r="E428" s="771"/>
      <c r="F428" s="771"/>
      <c r="G428" s="771"/>
      <c r="H428" s="771"/>
      <c r="I428" s="771"/>
      <c r="J428" s="771"/>
      <c r="K428" s="771"/>
      <c r="L428" s="771"/>
      <c r="M428" s="771"/>
      <c r="N428" s="771"/>
      <c r="O428" s="771"/>
      <c r="P428" s="771"/>
      <c r="Q428" s="771"/>
      <c r="R428" s="771"/>
      <c r="S428" s="771"/>
      <c r="T428" s="771"/>
      <c r="U428" s="771"/>
      <c r="V428" s="771"/>
      <c r="W428" s="771"/>
      <c r="X428" s="771"/>
      <c r="Y428" s="771"/>
      <c r="Z428" s="771"/>
    </row>
    <row r="429" ht="15.75" customHeight="1">
      <c r="A429" s="771"/>
      <c r="B429" s="771"/>
      <c r="C429" s="771"/>
      <c r="D429" s="771"/>
      <c r="E429" s="771"/>
      <c r="F429" s="771"/>
      <c r="G429" s="771"/>
      <c r="H429" s="771"/>
      <c r="I429" s="771"/>
      <c r="J429" s="771"/>
      <c r="K429" s="771"/>
      <c r="L429" s="771"/>
      <c r="M429" s="771"/>
      <c r="N429" s="771"/>
      <c r="O429" s="771"/>
      <c r="P429" s="771"/>
      <c r="Q429" s="771"/>
      <c r="R429" s="771"/>
      <c r="S429" s="771"/>
      <c r="T429" s="771"/>
      <c r="U429" s="771"/>
      <c r="V429" s="771"/>
      <c r="W429" s="771"/>
      <c r="X429" s="771"/>
      <c r="Y429" s="771"/>
      <c r="Z429" s="771"/>
    </row>
    <row r="430" ht="15.75" customHeight="1">
      <c r="A430" s="771"/>
      <c r="B430" s="771"/>
      <c r="C430" s="771"/>
      <c r="D430" s="771"/>
      <c r="E430" s="771"/>
      <c r="F430" s="771"/>
      <c r="G430" s="771"/>
      <c r="H430" s="771"/>
      <c r="I430" s="771"/>
      <c r="J430" s="771"/>
      <c r="K430" s="771"/>
      <c r="L430" s="771"/>
      <c r="M430" s="771"/>
      <c r="N430" s="771"/>
      <c r="O430" s="771"/>
      <c r="P430" s="771"/>
      <c r="Q430" s="771"/>
      <c r="R430" s="771"/>
      <c r="S430" s="771"/>
      <c r="T430" s="771"/>
      <c r="U430" s="771"/>
      <c r="V430" s="771"/>
      <c r="W430" s="771"/>
      <c r="X430" s="771"/>
      <c r="Y430" s="771"/>
      <c r="Z430" s="771"/>
    </row>
    <row r="431" ht="15.75" customHeight="1">
      <c r="A431" s="771"/>
      <c r="B431" s="771"/>
      <c r="C431" s="771"/>
      <c r="D431" s="771"/>
      <c r="E431" s="771"/>
      <c r="F431" s="771"/>
      <c r="G431" s="771"/>
      <c r="H431" s="771"/>
      <c r="I431" s="771"/>
      <c r="J431" s="771"/>
      <c r="K431" s="771"/>
      <c r="L431" s="771"/>
      <c r="M431" s="771"/>
      <c r="N431" s="771"/>
      <c r="O431" s="771"/>
      <c r="P431" s="771"/>
      <c r="Q431" s="771"/>
      <c r="R431" s="771"/>
      <c r="S431" s="771"/>
      <c r="T431" s="771"/>
      <c r="U431" s="771"/>
      <c r="V431" s="771"/>
      <c r="W431" s="771"/>
      <c r="X431" s="771"/>
      <c r="Y431" s="771"/>
      <c r="Z431" s="771"/>
    </row>
    <row r="432" ht="15.75" customHeight="1">
      <c r="A432" s="771"/>
      <c r="B432" s="771"/>
      <c r="C432" s="771"/>
      <c r="D432" s="771"/>
      <c r="E432" s="771"/>
      <c r="F432" s="771"/>
      <c r="G432" s="771"/>
      <c r="H432" s="771"/>
      <c r="I432" s="771"/>
      <c r="J432" s="771"/>
      <c r="K432" s="771"/>
      <c r="L432" s="771"/>
      <c r="M432" s="771"/>
      <c r="N432" s="771"/>
      <c r="O432" s="771"/>
      <c r="P432" s="771"/>
      <c r="Q432" s="771"/>
      <c r="R432" s="771"/>
      <c r="S432" s="771"/>
      <c r="T432" s="771"/>
      <c r="U432" s="771"/>
      <c r="V432" s="771"/>
      <c r="W432" s="771"/>
      <c r="X432" s="771"/>
      <c r="Y432" s="771"/>
      <c r="Z432" s="771"/>
    </row>
    <row r="433" ht="15.75" customHeight="1">
      <c r="A433" s="771"/>
      <c r="B433" s="771"/>
      <c r="C433" s="771"/>
      <c r="D433" s="771"/>
      <c r="E433" s="771"/>
      <c r="F433" s="771"/>
      <c r="G433" s="771"/>
      <c r="H433" s="771"/>
      <c r="I433" s="771"/>
      <c r="J433" s="771"/>
      <c r="K433" s="771"/>
      <c r="L433" s="771"/>
      <c r="M433" s="771"/>
      <c r="N433" s="771"/>
      <c r="O433" s="771"/>
      <c r="P433" s="771"/>
      <c r="Q433" s="771"/>
      <c r="R433" s="771"/>
      <c r="S433" s="771"/>
      <c r="T433" s="771"/>
      <c r="U433" s="771"/>
      <c r="V433" s="771"/>
      <c r="W433" s="771"/>
      <c r="X433" s="771"/>
      <c r="Y433" s="771"/>
      <c r="Z433" s="771"/>
    </row>
    <row r="434" ht="15.75" customHeight="1">
      <c r="A434" s="771"/>
      <c r="B434" s="771"/>
      <c r="C434" s="771"/>
      <c r="D434" s="771"/>
      <c r="E434" s="771"/>
      <c r="F434" s="771"/>
      <c r="G434" s="771"/>
      <c r="H434" s="771"/>
      <c r="I434" s="771"/>
      <c r="J434" s="771"/>
      <c r="K434" s="771"/>
      <c r="L434" s="771"/>
      <c r="M434" s="771"/>
      <c r="N434" s="771"/>
      <c r="O434" s="771"/>
      <c r="P434" s="771"/>
      <c r="Q434" s="771"/>
      <c r="R434" s="771"/>
      <c r="S434" s="771"/>
      <c r="T434" s="771"/>
      <c r="U434" s="771"/>
      <c r="V434" s="771"/>
      <c r="W434" s="771"/>
      <c r="X434" s="771"/>
      <c r="Y434" s="771"/>
      <c r="Z434" s="771"/>
    </row>
    <row r="435" ht="15.75" customHeight="1">
      <c r="A435" s="771"/>
      <c r="B435" s="771"/>
      <c r="C435" s="771"/>
      <c r="D435" s="771"/>
      <c r="E435" s="771"/>
      <c r="F435" s="771"/>
      <c r="G435" s="771"/>
      <c r="H435" s="771"/>
      <c r="I435" s="771"/>
      <c r="J435" s="771"/>
      <c r="K435" s="771"/>
      <c r="L435" s="771"/>
      <c r="M435" s="771"/>
      <c r="N435" s="771"/>
      <c r="O435" s="771"/>
      <c r="P435" s="771"/>
      <c r="Q435" s="771"/>
      <c r="R435" s="771"/>
      <c r="S435" s="771"/>
      <c r="T435" s="771"/>
      <c r="U435" s="771"/>
      <c r="V435" s="771"/>
      <c r="W435" s="771"/>
      <c r="X435" s="771"/>
      <c r="Y435" s="771"/>
      <c r="Z435" s="771"/>
    </row>
    <row r="436" ht="15.75" customHeight="1">
      <c r="A436" s="771"/>
      <c r="B436" s="771"/>
      <c r="C436" s="771"/>
      <c r="D436" s="771"/>
      <c r="E436" s="771"/>
      <c r="F436" s="771"/>
      <c r="G436" s="771"/>
      <c r="H436" s="771"/>
      <c r="I436" s="771"/>
      <c r="J436" s="771"/>
      <c r="K436" s="771"/>
      <c r="L436" s="771"/>
      <c r="M436" s="771"/>
      <c r="N436" s="771"/>
      <c r="O436" s="771"/>
      <c r="P436" s="771"/>
      <c r="Q436" s="771"/>
      <c r="R436" s="771"/>
      <c r="S436" s="771"/>
      <c r="T436" s="771"/>
      <c r="U436" s="771"/>
      <c r="V436" s="771"/>
      <c r="W436" s="771"/>
      <c r="X436" s="771"/>
      <c r="Y436" s="771"/>
      <c r="Z436" s="771"/>
    </row>
    <row r="437" ht="15.75" customHeight="1">
      <c r="A437" s="771"/>
      <c r="B437" s="771"/>
      <c r="C437" s="771"/>
      <c r="D437" s="771"/>
      <c r="E437" s="771"/>
      <c r="F437" s="771"/>
      <c r="G437" s="771"/>
      <c r="H437" s="771"/>
      <c r="I437" s="771"/>
      <c r="J437" s="771"/>
      <c r="K437" s="771"/>
      <c r="L437" s="771"/>
      <c r="M437" s="771"/>
      <c r="N437" s="771"/>
      <c r="O437" s="771"/>
      <c r="P437" s="771"/>
      <c r="Q437" s="771"/>
      <c r="R437" s="771"/>
      <c r="S437" s="771"/>
      <c r="T437" s="771"/>
      <c r="U437" s="771"/>
      <c r="V437" s="771"/>
      <c r="W437" s="771"/>
      <c r="X437" s="771"/>
      <c r="Y437" s="771"/>
      <c r="Z437" s="771"/>
    </row>
    <row r="438" ht="15.75" customHeight="1">
      <c r="A438" s="771"/>
      <c r="B438" s="771"/>
      <c r="C438" s="771"/>
      <c r="D438" s="771"/>
      <c r="E438" s="771"/>
      <c r="F438" s="771"/>
      <c r="G438" s="771"/>
      <c r="H438" s="771"/>
      <c r="I438" s="771"/>
      <c r="J438" s="771"/>
      <c r="K438" s="771"/>
      <c r="L438" s="771"/>
      <c r="M438" s="771"/>
      <c r="N438" s="771"/>
      <c r="O438" s="771"/>
      <c r="P438" s="771"/>
      <c r="Q438" s="771"/>
      <c r="R438" s="771"/>
      <c r="S438" s="771"/>
      <c r="T438" s="771"/>
      <c r="U438" s="771"/>
      <c r="V438" s="771"/>
      <c r="W438" s="771"/>
      <c r="X438" s="771"/>
      <c r="Y438" s="771"/>
      <c r="Z438" s="771"/>
    </row>
    <row r="439" ht="15.75" customHeight="1">
      <c r="A439" s="771"/>
      <c r="B439" s="771"/>
      <c r="C439" s="771"/>
      <c r="D439" s="771"/>
      <c r="E439" s="771"/>
      <c r="F439" s="771"/>
      <c r="G439" s="771"/>
      <c r="H439" s="771"/>
      <c r="I439" s="771"/>
      <c r="J439" s="771"/>
      <c r="K439" s="771"/>
      <c r="L439" s="771"/>
      <c r="M439" s="771"/>
      <c r="N439" s="771"/>
      <c r="O439" s="771"/>
      <c r="P439" s="771"/>
      <c r="Q439" s="771"/>
      <c r="R439" s="771"/>
      <c r="S439" s="771"/>
      <c r="T439" s="771"/>
      <c r="U439" s="771"/>
      <c r="V439" s="771"/>
      <c r="W439" s="771"/>
      <c r="X439" s="771"/>
      <c r="Y439" s="771"/>
      <c r="Z439" s="771"/>
    </row>
    <row r="440" ht="15.75" customHeight="1">
      <c r="A440" s="771"/>
      <c r="B440" s="771"/>
      <c r="C440" s="771"/>
      <c r="D440" s="771"/>
      <c r="E440" s="771"/>
      <c r="F440" s="771"/>
      <c r="G440" s="771"/>
      <c r="H440" s="771"/>
      <c r="I440" s="771"/>
      <c r="J440" s="771"/>
      <c r="K440" s="771"/>
      <c r="L440" s="771"/>
      <c r="M440" s="771"/>
      <c r="N440" s="771"/>
      <c r="O440" s="771"/>
      <c r="P440" s="771"/>
      <c r="Q440" s="771"/>
      <c r="R440" s="771"/>
      <c r="S440" s="771"/>
      <c r="T440" s="771"/>
      <c r="U440" s="771"/>
      <c r="V440" s="771"/>
      <c r="W440" s="771"/>
      <c r="X440" s="771"/>
      <c r="Y440" s="771"/>
      <c r="Z440" s="771"/>
    </row>
    <row r="441" ht="15.75" customHeight="1">
      <c r="A441" s="771"/>
      <c r="B441" s="771"/>
      <c r="C441" s="771"/>
      <c r="D441" s="771"/>
      <c r="E441" s="771"/>
      <c r="F441" s="771"/>
      <c r="G441" s="771"/>
      <c r="H441" s="771"/>
      <c r="I441" s="771"/>
      <c r="J441" s="771"/>
      <c r="K441" s="771"/>
      <c r="L441" s="771"/>
      <c r="M441" s="771"/>
      <c r="N441" s="771"/>
      <c r="O441" s="771"/>
      <c r="P441" s="771"/>
      <c r="Q441" s="771"/>
      <c r="R441" s="771"/>
      <c r="S441" s="771"/>
      <c r="T441" s="771"/>
      <c r="U441" s="771"/>
      <c r="V441" s="771"/>
      <c r="W441" s="771"/>
      <c r="X441" s="771"/>
      <c r="Y441" s="771"/>
      <c r="Z441" s="771"/>
    </row>
    <row r="442" ht="15.75" customHeight="1">
      <c r="A442" s="771"/>
      <c r="B442" s="771"/>
      <c r="C442" s="771"/>
      <c r="D442" s="771"/>
      <c r="E442" s="771"/>
      <c r="F442" s="771"/>
      <c r="G442" s="771"/>
      <c r="H442" s="771"/>
      <c r="I442" s="771"/>
      <c r="J442" s="771"/>
      <c r="K442" s="771"/>
      <c r="L442" s="771"/>
      <c r="M442" s="771"/>
      <c r="N442" s="771"/>
      <c r="O442" s="771"/>
      <c r="P442" s="771"/>
      <c r="Q442" s="771"/>
      <c r="R442" s="771"/>
      <c r="S442" s="771"/>
      <c r="T442" s="771"/>
      <c r="U442" s="771"/>
      <c r="V442" s="771"/>
      <c r="W442" s="771"/>
      <c r="X442" s="771"/>
      <c r="Y442" s="771"/>
      <c r="Z442" s="771"/>
    </row>
    <row r="443" ht="15.75" customHeight="1">
      <c r="A443" s="771"/>
      <c r="B443" s="771"/>
      <c r="C443" s="771"/>
      <c r="D443" s="771"/>
      <c r="E443" s="771"/>
      <c r="F443" s="771"/>
      <c r="G443" s="771"/>
      <c r="H443" s="771"/>
      <c r="I443" s="771"/>
      <c r="J443" s="771"/>
      <c r="K443" s="771"/>
      <c r="L443" s="771"/>
      <c r="M443" s="771"/>
      <c r="N443" s="771"/>
      <c r="O443" s="771"/>
      <c r="P443" s="771"/>
      <c r="Q443" s="771"/>
      <c r="R443" s="771"/>
      <c r="S443" s="771"/>
      <c r="T443" s="771"/>
      <c r="U443" s="771"/>
      <c r="V443" s="771"/>
      <c r="W443" s="771"/>
      <c r="X443" s="771"/>
      <c r="Y443" s="771"/>
      <c r="Z443" s="771"/>
    </row>
    <row r="444" ht="15.75" customHeight="1">
      <c r="A444" s="771"/>
      <c r="B444" s="771"/>
      <c r="C444" s="771"/>
      <c r="D444" s="771"/>
      <c r="E444" s="771"/>
      <c r="F444" s="771"/>
      <c r="G444" s="771"/>
      <c r="H444" s="771"/>
      <c r="I444" s="771"/>
      <c r="J444" s="771"/>
      <c r="K444" s="771"/>
      <c r="L444" s="771"/>
      <c r="M444" s="771"/>
      <c r="N444" s="771"/>
      <c r="O444" s="771"/>
      <c r="P444" s="771"/>
      <c r="Q444" s="771"/>
      <c r="R444" s="771"/>
      <c r="S444" s="771"/>
      <c r="T444" s="771"/>
      <c r="U444" s="771"/>
      <c r="V444" s="771"/>
      <c r="W444" s="771"/>
      <c r="X444" s="771"/>
      <c r="Y444" s="771"/>
      <c r="Z444" s="771"/>
    </row>
    <row r="445" ht="15.75" customHeight="1">
      <c r="A445" s="771"/>
      <c r="B445" s="771"/>
      <c r="C445" s="771"/>
      <c r="D445" s="771"/>
      <c r="E445" s="771"/>
      <c r="F445" s="771"/>
      <c r="G445" s="771"/>
      <c r="H445" s="771"/>
      <c r="I445" s="771"/>
      <c r="J445" s="771"/>
      <c r="K445" s="771"/>
      <c r="L445" s="771"/>
      <c r="M445" s="771"/>
      <c r="N445" s="771"/>
      <c r="O445" s="771"/>
      <c r="P445" s="771"/>
      <c r="Q445" s="771"/>
      <c r="R445" s="771"/>
      <c r="S445" s="771"/>
      <c r="T445" s="771"/>
      <c r="U445" s="771"/>
      <c r="V445" s="771"/>
      <c r="W445" s="771"/>
      <c r="X445" s="771"/>
      <c r="Y445" s="771"/>
      <c r="Z445" s="771"/>
    </row>
    <row r="446" ht="15.75" customHeight="1">
      <c r="A446" s="771"/>
      <c r="B446" s="771"/>
      <c r="C446" s="771"/>
      <c r="D446" s="771"/>
      <c r="E446" s="771"/>
      <c r="F446" s="771"/>
      <c r="G446" s="771"/>
      <c r="H446" s="771"/>
      <c r="I446" s="771"/>
      <c r="J446" s="771"/>
      <c r="K446" s="771"/>
      <c r="L446" s="771"/>
      <c r="M446" s="771"/>
      <c r="N446" s="771"/>
      <c r="O446" s="771"/>
      <c r="P446" s="771"/>
      <c r="Q446" s="771"/>
      <c r="R446" s="771"/>
      <c r="S446" s="771"/>
      <c r="T446" s="771"/>
      <c r="U446" s="771"/>
      <c r="V446" s="771"/>
      <c r="W446" s="771"/>
      <c r="X446" s="771"/>
      <c r="Y446" s="771"/>
      <c r="Z446" s="771"/>
    </row>
    <row r="447" ht="15.75" customHeight="1">
      <c r="A447" s="771"/>
      <c r="B447" s="771"/>
      <c r="C447" s="771"/>
      <c r="D447" s="771"/>
      <c r="E447" s="771"/>
      <c r="F447" s="771"/>
      <c r="G447" s="771"/>
      <c r="H447" s="771"/>
      <c r="I447" s="771"/>
      <c r="J447" s="771"/>
      <c r="K447" s="771"/>
      <c r="L447" s="771"/>
      <c r="M447" s="771"/>
      <c r="N447" s="771"/>
      <c r="O447" s="771"/>
      <c r="P447" s="771"/>
      <c r="Q447" s="771"/>
      <c r="R447" s="771"/>
      <c r="S447" s="771"/>
      <c r="T447" s="771"/>
      <c r="U447" s="771"/>
      <c r="V447" s="771"/>
      <c r="W447" s="771"/>
      <c r="X447" s="771"/>
      <c r="Y447" s="771"/>
      <c r="Z447" s="771"/>
    </row>
    <row r="448" ht="15.75" customHeight="1">
      <c r="A448" s="771"/>
      <c r="B448" s="771"/>
      <c r="C448" s="771"/>
      <c r="D448" s="771"/>
      <c r="E448" s="771"/>
      <c r="F448" s="771"/>
      <c r="G448" s="771"/>
      <c r="H448" s="771"/>
      <c r="I448" s="771"/>
      <c r="J448" s="771"/>
      <c r="K448" s="771"/>
      <c r="L448" s="771"/>
      <c r="M448" s="771"/>
      <c r="N448" s="771"/>
      <c r="O448" s="771"/>
      <c r="P448" s="771"/>
      <c r="Q448" s="771"/>
      <c r="R448" s="771"/>
      <c r="S448" s="771"/>
      <c r="T448" s="771"/>
      <c r="U448" s="771"/>
      <c r="V448" s="771"/>
      <c r="W448" s="771"/>
      <c r="X448" s="771"/>
      <c r="Y448" s="771"/>
      <c r="Z448" s="771"/>
    </row>
    <row r="449" ht="15.75" customHeight="1">
      <c r="A449" s="771"/>
      <c r="B449" s="771"/>
      <c r="C449" s="771"/>
      <c r="D449" s="771"/>
      <c r="E449" s="771"/>
      <c r="F449" s="771"/>
      <c r="G449" s="771"/>
      <c r="H449" s="771"/>
      <c r="I449" s="771"/>
      <c r="J449" s="771"/>
      <c r="K449" s="771"/>
      <c r="L449" s="771"/>
      <c r="M449" s="771"/>
      <c r="N449" s="771"/>
      <c r="O449" s="771"/>
      <c r="P449" s="771"/>
      <c r="Q449" s="771"/>
      <c r="R449" s="771"/>
      <c r="S449" s="771"/>
      <c r="T449" s="771"/>
      <c r="U449" s="771"/>
      <c r="V449" s="771"/>
      <c r="W449" s="771"/>
      <c r="X449" s="771"/>
      <c r="Y449" s="771"/>
      <c r="Z449" s="771"/>
    </row>
    <row r="450" ht="15.75" customHeight="1">
      <c r="A450" s="771"/>
      <c r="B450" s="771"/>
      <c r="C450" s="771"/>
      <c r="D450" s="771"/>
      <c r="E450" s="771"/>
      <c r="F450" s="771"/>
      <c r="G450" s="771"/>
      <c r="H450" s="771"/>
      <c r="I450" s="771"/>
      <c r="J450" s="771"/>
      <c r="K450" s="771"/>
      <c r="L450" s="771"/>
      <c r="M450" s="771"/>
      <c r="N450" s="771"/>
      <c r="O450" s="771"/>
      <c r="P450" s="771"/>
      <c r="Q450" s="771"/>
      <c r="R450" s="771"/>
      <c r="S450" s="771"/>
      <c r="T450" s="771"/>
      <c r="U450" s="771"/>
      <c r="V450" s="771"/>
      <c r="W450" s="771"/>
      <c r="X450" s="771"/>
      <c r="Y450" s="771"/>
      <c r="Z450" s="771"/>
    </row>
    <row r="451" ht="15.75" customHeight="1">
      <c r="A451" s="771"/>
      <c r="B451" s="771"/>
      <c r="C451" s="771"/>
      <c r="D451" s="771"/>
      <c r="E451" s="771"/>
      <c r="F451" s="771"/>
      <c r="G451" s="771"/>
      <c r="H451" s="771"/>
      <c r="I451" s="771"/>
      <c r="J451" s="771"/>
      <c r="K451" s="771"/>
      <c r="L451" s="771"/>
      <c r="M451" s="771"/>
      <c r="N451" s="771"/>
      <c r="O451" s="771"/>
      <c r="P451" s="771"/>
      <c r="Q451" s="771"/>
      <c r="R451" s="771"/>
      <c r="S451" s="771"/>
      <c r="T451" s="771"/>
      <c r="U451" s="771"/>
      <c r="V451" s="771"/>
      <c r="W451" s="771"/>
      <c r="X451" s="771"/>
      <c r="Y451" s="771"/>
      <c r="Z451" s="771"/>
    </row>
    <row r="452" ht="15.75" customHeight="1">
      <c r="A452" s="771"/>
      <c r="B452" s="771"/>
      <c r="C452" s="771"/>
      <c r="D452" s="771"/>
      <c r="E452" s="771"/>
      <c r="F452" s="771"/>
      <c r="G452" s="771"/>
      <c r="H452" s="771"/>
      <c r="I452" s="771"/>
      <c r="J452" s="771"/>
      <c r="K452" s="771"/>
      <c r="L452" s="771"/>
      <c r="M452" s="771"/>
      <c r="N452" s="771"/>
      <c r="O452" s="771"/>
      <c r="P452" s="771"/>
      <c r="Q452" s="771"/>
      <c r="R452" s="771"/>
      <c r="S452" s="771"/>
      <c r="T452" s="771"/>
      <c r="U452" s="771"/>
      <c r="V452" s="771"/>
      <c r="W452" s="771"/>
      <c r="X452" s="771"/>
      <c r="Y452" s="771"/>
      <c r="Z452" s="771"/>
    </row>
    <row r="453" ht="15.75" customHeight="1">
      <c r="A453" s="771"/>
      <c r="B453" s="771"/>
      <c r="C453" s="771"/>
      <c r="D453" s="771"/>
      <c r="E453" s="771"/>
      <c r="F453" s="771"/>
      <c r="G453" s="771"/>
      <c r="H453" s="771"/>
      <c r="I453" s="771"/>
      <c r="J453" s="771"/>
      <c r="K453" s="771"/>
      <c r="L453" s="771"/>
      <c r="M453" s="771"/>
      <c r="N453" s="771"/>
      <c r="O453" s="771"/>
      <c r="P453" s="771"/>
      <c r="Q453" s="771"/>
      <c r="R453" s="771"/>
      <c r="S453" s="771"/>
      <c r="T453" s="771"/>
      <c r="U453" s="771"/>
      <c r="V453" s="771"/>
      <c r="W453" s="771"/>
      <c r="X453" s="771"/>
      <c r="Y453" s="771"/>
      <c r="Z453" s="771"/>
    </row>
    <row r="454" ht="15.75" customHeight="1">
      <c r="A454" s="771"/>
      <c r="B454" s="771"/>
      <c r="C454" s="771"/>
      <c r="D454" s="771"/>
      <c r="E454" s="771"/>
      <c r="F454" s="771"/>
      <c r="G454" s="771"/>
      <c r="H454" s="771"/>
      <c r="I454" s="771"/>
      <c r="J454" s="771"/>
      <c r="K454" s="771"/>
      <c r="L454" s="771"/>
      <c r="M454" s="771"/>
      <c r="N454" s="771"/>
      <c r="O454" s="771"/>
      <c r="P454" s="771"/>
      <c r="Q454" s="771"/>
      <c r="R454" s="771"/>
      <c r="S454" s="771"/>
      <c r="T454" s="771"/>
      <c r="U454" s="771"/>
      <c r="V454" s="771"/>
      <c r="W454" s="771"/>
      <c r="X454" s="771"/>
      <c r="Y454" s="771"/>
      <c r="Z454" s="771"/>
    </row>
    <row r="455" ht="15.75" customHeight="1">
      <c r="A455" s="771"/>
      <c r="B455" s="771"/>
      <c r="C455" s="771"/>
      <c r="D455" s="771"/>
      <c r="E455" s="771"/>
      <c r="F455" s="771"/>
      <c r="G455" s="771"/>
      <c r="H455" s="771"/>
      <c r="I455" s="771"/>
      <c r="J455" s="771"/>
      <c r="K455" s="771"/>
      <c r="L455" s="771"/>
      <c r="M455" s="771"/>
      <c r="N455" s="771"/>
      <c r="O455" s="771"/>
      <c r="P455" s="771"/>
      <c r="Q455" s="771"/>
      <c r="R455" s="771"/>
      <c r="S455" s="771"/>
      <c r="T455" s="771"/>
      <c r="U455" s="771"/>
      <c r="V455" s="771"/>
      <c r="W455" s="771"/>
      <c r="X455" s="771"/>
      <c r="Y455" s="771"/>
      <c r="Z455" s="771"/>
    </row>
    <row r="456" ht="15.75" customHeight="1">
      <c r="A456" s="771"/>
      <c r="B456" s="771"/>
      <c r="C456" s="771"/>
      <c r="D456" s="771"/>
      <c r="E456" s="771"/>
      <c r="F456" s="771"/>
      <c r="G456" s="771"/>
      <c r="H456" s="771"/>
      <c r="I456" s="771"/>
      <c r="J456" s="771"/>
      <c r="K456" s="771"/>
      <c r="L456" s="771"/>
      <c r="M456" s="771"/>
      <c r="N456" s="771"/>
      <c r="O456" s="771"/>
      <c r="P456" s="771"/>
      <c r="Q456" s="771"/>
      <c r="R456" s="771"/>
      <c r="S456" s="771"/>
      <c r="T456" s="771"/>
      <c r="U456" s="771"/>
      <c r="V456" s="771"/>
      <c r="W456" s="771"/>
      <c r="X456" s="771"/>
      <c r="Y456" s="771"/>
      <c r="Z456" s="771"/>
    </row>
    <row r="457" ht="15.75" customHeight="1">
      <c r="A457" s="771"/>
      <c r="B457" s="771"/>
      <c r="C457" s="771"/>
      <c r="D457" s="771"/>
      <c r="E457" s="771"/>
      <c r="F457" s="771"/>
      <c r="G457" s="771"/>
      <c r="H457" s="771"/>
      <c r="I457" s="771"/>
      <c r="J457" s="771"/>
      <c r="K457" s="771"/>
      <c r="L457" s="771"/>
      <c r="M457" s="771"/>
      <c r="N457" s="771"/>
      <c r="O457" s="771"/>
      <c r="P457" s="771"/>
      <c r="Q457" s="771"/>
      <c r="R457" s="771"/>
      <c r="S457" s="771"/>
      <c r="T457" s="771"/>
      <c r="U457" s="771"/>
      <c r="V457" s="771"/>
      <c r="W457" s="771"/>
      <c r="X457" s="771"/>
      <c r="Y457" s="771"/>
      <c r="Z457" s="771"/>
    </row>
    <row r="458" ht="15.75" customHeight="1">
      <c r="A458" s="771"/>
      <c r="B458" s="771"/>
      <c r="C458" s="771"/>
      <c r="D458" s="771"/>
      <c r="E458" s="771"/>
      <c r="F458" s="771"/>
      <c r="G458" s="771"/>
      <c r="H458" s="771"/>
      <c r="I458" s="771"/>
      <c r="J458" s="771"/>
      <c r="K458" s="771"/>
      <c r="L458" s="771"/>
      <c r="M458" s="771"/>
      <c r="N458" s="771"/>
      <c r="O458" s="771"/>
      <c r="P458" s="771"/>
      <c r="Q458" s="771"/>
      <c r="R458" s="771"/>
      <c r="S458" s="771"/>
      <c r="T458" s="771"/>
      <c r="U458" s="771"/>
      <c r="V458" s="771"/>
      <c r="W458" s="771"/>
      <c r="X458" s="771"/>
      <c r="Y458" s="771"/>
      <c r="Z458" s="771"/>
    </row>
    <row r="459" ht="15.75" customHeight="1">
      <c r="A459" s="771"/>
      <c r="B459" s="771"/>
      <c r="C459" s="771"/>
      <c r="D459" s="771"/>
      <c r="E459" s="771"/>
      <c r="F459" s="771"/>
      <c r="G459" s="771"/>
      <c r="H459" s="771"/>
      <c r="I459" s="771"/>
      <c r="J459" s="771"/>
      <c r="K459" s="771"/>
      <c r="L459" s="771"/>
      <c r="M459" s="771"/>
      <c r="N459" s="771"/>
      <c r="O459" s="771"/>
      <c r="P459" s="771"/>
      <c r="Q459" s="771"/>
      <c r="R459" s="771"/>
      <c r="S459" s="771"/>
      <c r="T459" s="771"/>
      <c r="U459" s="771"/>
      <c r="V459" s="771"/>
      <c r="W459" s="771"/>
      <c r="X459" s="771"/>
      <c r="Y459" s="771"/>
      <c r="Z459" s="771"/>
    </row>
    <row r="460" ht="15.75" customHeight="1">
      <c r="A460" s="771"/>
      <c r="B460" s="771"/>
      <c r="C460" s="771"/>
      <c r="D460" s="771"/>
      <c r="E460" s="771"/>
      <c r="F460" s="771"/>
      <c r="G460" s="771"/>
      <c r="H460" s="771"/>
      <c r="I460" s="771"/>
      <c r="J460" s="771"/>
      <c r="K460" s="771"/>
      <c r="L460" s="771"/>
      <c r="M460" s="771"/>
      <c r="N460" s="771"/>
      <c r="O460" s="771"/>
      <c r="P460" s="771"/>
      <c r="Q460" s="771"/>
      <c r="R460" s="771"/>
      <c r="S460" s="771"/>
      <c r="T460" s="771"/>
      <c r="U460" s="771"/>
      <c r="V460" s="771"/>
      <c r="W460" s="771"/>
      <c r="X460" s="771"/>
      <c r="Y460" s="771"/>
      <c r="Z460" s="771"/>
    </row>
    <row r="461" ht="15.75" customHeight="1">
      <c r="A461" s="771"/>
      <c r="B461" s="771"/>
      <c r="C461" s="771"/>
      <c r="D461" s="771"/>
      <c r="E461" s="771"/>
      <c r="F461" s="771"/>
      <c r="G461" s="771"/>
      <c r="H461" s="771"/>
      <c r="I461" s="771"/>
      <c r="J461" s="771"/>
      <c r="K461" s="771"/>
      <c r="L461" s="771"/>
      <c r="M461" s="771"/>
      <c r="N461" s="771"/>
      <c r="O461" s="771"/>
      <c r="P461" s="771"/>
      <c r="Q461" s="771"/>
      <c r="R461" s="771"/>
      <c r="S461" s="771"/>
      <c r="T461" s="771"/>
      <c r="U461" s="771"/>
      <c r="V461" s="771"/>
      <c r="W461" s="771"/>
      <c r="X461" s="771"/>
      <c r="Y461" s="771"/>
      <c r="Z461" s="771"/>
    </row>
    <row r="462" ht="15.75" customHeight="1">
      <c r="A462" s="771"/>
      <c r="B462" s="771"/>
      <c r="C462" s="771"/>
      <c r="D462" s="771"/>
      <c r="E462" s="771"/>
      <c r="F462" s="771"/>
      <c r="G462" s="771"/>
      <c r="H462" s="771"/>
      <c r="I462" s="771"/>
      <c r="J462" s="771"/>
      <c r="K462" s="771"/>
      <c r="L462" s="771"/>
      <c r="M462" s="771"/>
      <c r="N462" s="771"/>
      <c r="O462" s="771"/>
      <c r="P462" s="771"/>
      <c r="Q462" s="771"/>
      <c r="R462" s="771"/>
      <c r="S462" s="771"/>
      <c r="T462" s="771"/>
      <c r="U462" s="771"/>
      <c r="V462" s="771"/>
      <c r="W462" s="771"/>
      <c r="X462" s="771"/>
      <c r="Y462" s="771"/>
      <c r="Z462" s="771"/>
    </row>
    <row r="463" ht="15.75" customHeight="1">
      <c r="A463" s="771"/>
      <c r="B463" s="771"/>
      <c r="C463" s="771"/>
      <c r="D463" s="771"/>
      <c r="E463" s="771"/>
      <c r="F463" s="771"/>
      <c r="G463" s="771"/>
      <c r="H463" s="771"/>
      <c r="I463" s="771"/>
      <c r="J463" s="771"/>
      <c r="K463" s="771"/>
      <c r="L463" s="771"/>
      <c r="M463" s="771"/>
      <c r="N463" s="771"/>
      <c r="O463" s="771"/>
      <c r="P463" s="771"/>
      <c r="Q463" s="771"/>
      <c r="R463" s="771"/>
      <c r="S463" s="771"/>
      <c r="T463" s="771"/>
      <c r="U463" s="771"/>
      <c r="V463" s="771"/>
      <c r="W463" s="771"/>
      <c r="X463" s="771"/>
      <c r="Y463" s="771"/>
      <c r="Z463" s="771"/>
    </row>
    <row r="464" ht="15.75" customHeight="1">
      <c r="A464" s="771"/>
      <c r="B464" s="771"/>
      <c r="C464" s="771"/>
      <c r="D464" s="771"/>
      <c r="E464" s="771"/>
      <c r="F464" s="771"/>
      <c r="G464" s="771"/>
      <c r="H464" s="771"/>
      <c r="I464" s="771"/>
      <c r="J464" s="771"/>
      <c r="K464" s="771"/>
      <c r="L464" s="771"/>
      <c r="M464" s="771"/>
      <c r="N464" s="771"/>
      <c r="O464" s="771"/>
      <c r="P464" s="771"/>
      <c r="Q464" s="771"/>
      <c r="R464" s="771"/>
      <c r="S464" s="771"/>
      <c r="T464" s="771"/>
      <c r="U464" s="771"/>
      <c r="V464" s="771"/>
      <c r="W464" s="771"/>
      <c r="X464" s="771"/>
      <c r="Y464" s="771"/>
      <c r="Z464" s="771"/>
    </row>
    <row r="465" ht="15.75" customHeight="1">
      <c r="A465" s="771"/>
      <c r="B465" s="771"/>
      <c r="C465" s="771"/>
      <c r="D465" s="771"/>
      <c r="E465" s="771"/>
      <c r="F465" s="771"/>
      <c r="G465" s="771"/>
      <c r="H465" s="771"/>
      <c r="I465" s="771"/>
      <c r="J465" s="771"/>
      <c r="K465" s="771"/>
      <c r="L465" s="771"/>
      <c r="M465" s="771"/>
      <c r="N465" s="771"/>
      <c r="O465" s="771"/>
      <c r="P465" s="771"/>
      <c r="Q465" s="771"/>
      <c r="R465" s="771"/>
      <c r="S465" s="771"/>
      <c r="T465" s="771"/>
      <c r="U465" s="771"/>
      <c r="V465" s="771"/>
      <c r="W465" s="771"/>
      <c r="X465" s="771"/>
      <c r="Y465" s="771"/>
      <c r="Z465" s="771"/>
    </row>
    <row r="466" ht="15.75" customHeight="1">
      <c r="A466" s="771"/>
      <c r="B466" s="771"/>
      <c r="C466" s="771"/>
      <c r="D466" s="771"/>
      <c r="E466" s="771"/>
      <c r="F466" s="771"/>
      <c r="G466" s="771"/>
      <c r="H466" s="771"/>
      <c r="I466" s="771"/>
      <c r="J466" s="771"/>
      <c r="K466" s="771"/>
      <c r="L466" s="771"/>
      <c r="M466" s="771"/>
      <c r="N466" s="771"/>
      <c r="O466" s="771"/>
      <c r="P466" s="771"/>
      <c r="Q466" s="771"/>
      <c r="R466" s="771"/>
      <c r="S466" s="771"/>
      <c r="T466" s="771"/>
      <c r="U466" s="771"/>
      <c r="V466" s="771"/>
      <c r="W466" s="771"/>
      <c r="X466" s="771"/>
      <c r="Y466" s="771"/>
      <c r="Z466" s="771"/>
    </row>
    <row r="467" ht="15.75" customHeight="1">
      <c r="A467" s="771"/>
      <c r="B467" s="771"/>
      <c r="C467" s="771"/>
      <c r="D467" s="771"/>
      <c r="E467" s="771"/>
      <c r="F467" s="771"/>
      <c r="G467" s="771"/>
      <c r="H467" s="771"/>
      <c r="I467" s="771"/>
      <c r="J467" s="771"/>
      <c r="K467" s="771"/>
      <c r="L467" s="771"/>
      <c r="M467" s="771"/>
      <c r="N467" s="771"/>
      <c r="O467" s="771"/>
      <c r="P467" s="771"/>
      <c r="Q467" s="771"/>
      <c r="R467" s="771"/>
      <c r="S467" s="771"/>
      <c r="T467" s="771"/>
      <c r="U467" s="771"/>
      <c r="V467" s="771"/>
      <c r="W467" s="771"/>
      <c r="X467" s="771"/>
      <c r="Y467" s="771"/>
      <c r="Z467" s="771"/>
    </row>
    <row r="468" ht="15.75" customHeight="1">
      <c r="A468" s="771"/>
      <c r="B468" s="771"/>
      <c r="C468" s="771"/>
      <c r="D468" s="771"/>
      <c r="E468" s="771"/>
      <c r="F468" s="771"/>
      <c r="G468" s="771"/>
      <c r="H468" s="771"/>
      <c r="I468" s="771"/>
      <c r="J468" s="771"/>
      <c r="K468" s="771"/>
      <c r="L468" s="771"/>
      <c r="M468" s="771"/>
      <c r="N468" s="771"/>
      <c r="O468" s="771"/>
      <c r="P468" s="771"/>
      <c r="Q468" s="771"/>
      <c r="R468" s="771"/>
      <c r="S468" s="771"/>
      <c r="T468" s="771"/>
      <c r="U468" s="771"/>
      <c r="V468" s="771"/>
      <c r="W468" s="771"/>
      <c r="X468" s="771"/>
      <c r="Y468" s="771"/>
      <c r="Z468" s="771"/>
    </row>
    <row r="469" ht="15.75" customHeight="1">
      <c r="A469" s="771"/>
      <c r="B469" s="771"/>
      <c r="C469" s="771"/>
      <c r="D469" s="771"/>
      <c r="E469" s="771"/>
      <c r="F469" s="771"/>
      <c r="G469" s="771"/>
      <c r="H469" s="771"/>
      <c r="I469" s="771"/>
      <c r="J469" s="771"/>
      <c r="K469" s="771"/>
      <c r="L469" s="771"/>
      <c r="M469" s="771"/>
      <c r="N469" s="771"/>
      <c r="O469" s="771"/>
      <c r="P469" s="771"/>
      <c r="Q469" s="771"/>
      <c r="R469" s="771"/>
      <c r="S469" s="771"/>
      <c r="T469" s="771"/>
      <c r="U469" s="771"/>
      <c r="V469" s="771"/>
      <c r="W469" s="771"/>
      <c r="X469" s="771"/>
      <c r="Y469" s="771"/>
      <c r="Z469" s="771"/>
    </row>
    <row r="470" ht="15.75" customHeight="1">
      <c r="A470" s="771"/>
      <c r="B470" s="771"/>
      <c r="C470" s="771"/>
      <c r="D470" s="771"/>
      <c r="E470" s="771"/>
      <c r="F470" s="771"/>
      <c r="G470" s="771"/>
      <c r="H470" s="771"/>
      <c r="I470" s="771"/>
      <c r="J470" s="771"/>
      <c r="K470" s="771"/>
      <c r="L470" s="771"/>
      <c r="M470" s="771"/>
      <c r="N470" s="771"/>
      <c r="O470" s="771"/>
      <c r="P470" s="771"/>
      <c r="Q470" s="771"/>
      <c r="R470" s="771"/>
      <c r="S470" s="771"/>
      <c r="T470" s="771"/>
      <c r="U470" s="771"/>
      <c r="V470" s="771"/>
      <c r="W470" s="771"/>
      <c r="X470" s="771"/>
      <c r="Y470" s="771"/>
      <c r="Z470" s="771"/>
    </row>
    <row r="471" ht="15.75" customHeight="1">
      <c r="A471" s="771"/>
      <c r="B471" s="771"/>
      <c r="C471" s="771"/>
      <c r="D471" s="771"/>
      <c r="E471" s="771"/>
      <c r="F471" s="771"/>
      <c r="G471" s="771"/>
      <c r="H471" s="771"/>
      <c r="I471" s="771"/>
      <c r="J471" s="771"/>
      <c r="K471" s="771"/>
      <c r="L471" s="771"/>
      <c r="M471" s="771"/>
      <c r="N471" s="771"/>
      <c r="O471" s="771"/>
      <c r="P471" s="771"/>
      <c r="Q471" s="771"/>
      <c r="R471" s="771"/>
      <c r="S471" s="771"/>
      <c r="T471" s="771"/>
      <c r="U471" s="771"/>
      <c r="V471" s="771"/>
      <c r="W471" s="771"/>
      <c r="X471" s="771"/>
      <c r="Y471" s="771"/>
      <c r="Z471" s="771"/>
    </row>
    <row r="472" ht="15.75" customHeight="1">
      <c r="A472" s="771"/>
      <c r="B472" s="771"/>
      <c r="C472" s="771"/>
      <c r="D472" s="771"/>
      <c r="E472" s="771"/>
      <c r="F472" s="771"/>
      <c r="G472" s="771"/>
      <c r="H472" s="771"/>
      <c r="I472" s="771"/>
      <c r="J472" s="771"/>
      <c r="K472" s="771"/>
      <c r="L472" s="771"/>
      <c r="M472" s="771"/>
      <c r="N472" s="771"/>
      <c r="O472" s="771"/>
      <c r="P472" s="771"/>
      <c r="Q472" s="771"/>
      <c r="R472" s="771"/>
      <c r="S472" s="771"/>
      <c r="T472" s="771"/>
      <c r="U472" s="771"/>
      <c r="V472" s="771"/>
      <c r="W472" s="771"/>
      <c r="X472" s="771"/>
      <c r="Y472" s="771"/>
      <c r="Z472" s="771"/>
    </row>
    <row r="473" ht="15.75" customHeight="1">
      <c r="A473" s="771"/>
      <c r="B473" s="771"/>
      <c r="C473" s="771"/>
      <c r="D473" s="771"/>
      <c r="E473" s="771"/>
      <c r="F473" s="771"/>
      <c r="G473" s="771"/>
      <c r="H473" s="771"/>
      <c r="I473" s="771"/>
      <c r="J473" s="771"/>
      <c r="K473" s="771"/>
      <c r="L473" s="771"/>
      <c r="M473" s="771"/>
      <c r="N473" s="771"/>
      <c r="O473" s="771"/>
      <c r="P473" s="771"/>
      <c r="Q473" s="771"/>
      <c r="R473" s="771"/>
      <c r="S473" s="771"/>
      <c r="T473" s="771"/>
      <c r="U473" s="771"/>
      <c r="V473" s="771"/>
      <c r="W473" s="771"/>
      <c r="X473" s="771"/>
      <c r="Y473" s="771"/>
      <c r="Z473" s="771"/>
    </row>
    <row r="474" ht="15.75" customHeight="1">
      <c r="A474" s="771"/>
      <c r="B474" s="771"/>
      <c r="C474" s="771"/>
      <c r="D474" s="771"/>
      <c r="E474" s="771"/>
      <c r="F474" s="771"/>
      <c r="G474" s="771"/>
      <c r="H474" s="771"/>
      <c r="I474" s="771"/>
      <c r="J474" s="771"/>
      <c r="K474" s="771"/>
      <c r="L474" s="771"/>
      <c r="M474" s="771"/>
      <c r="N474" s="771"/>
      <c r="O474" s="771"/>
      <c r="P474" s="771"/>
      <c r="Q474" s="771"/>
      <c r="R474" s="771"/>
      <c r="S474" s="771"/>
      <c r="T474" s="771"/>
      <c r="U474" s="771"/>
      <c r="V474" s="771"/>
      <c r="W474" s="771"/>
      <c r="X474" s="771"/>
      <c r="Y474" s="771"/>
      <c r="Z474" s="771"/>
    </row>
    <row r="475" ht="15.75" customHeight="1">
      <c r="A475" s="771"/>
      <c r="B475" s="771"/>
      <c r="C475" s="771"/>
      <c r="D475" s="771"/>
      <c r="E475" s="771"/>
      <c r="F475" s="771"/>
      <c r="G475" s="771"/>
      <c r="H475" s="771"/>
      <c r="I475" s="771"/>
      <c r="J475" s="771"/>
      <c r="K475" s="771"/>
      <c r="L475" s="771"/>
      <c r="M475" s="771"/>
      <c r="N475" s="771"/>
      <c r="O475" s="771"/>
      <c r="P475" s="771"/>
      <c r="Q475" s="771"/>
      <c r="R475" s="771"/>
      <c r="S475" s="771"/>
      <c r="T475" s="771"/>
      <c r="U475" s="771"/>
      <c r="V475" s="771"/>
      <c r="W475" s="771"/>
      <c r="X475" s="771"/>
      <c r="Y475" s="771"/>
      <c r="Z475" s="771"/>
    </row>
    <row r="476" ht="15.75" customHeight="1">
      <c r="A476" s="771"/>
      <c r="B476" s="771"/>
      <c r="C476" s="771"/>
      <c r="D476" s="771"/>
      <c r="E476" s="771"/>
      <c r="F476" s="771"/>
      <c r="G476" s="771"/>
      <c r="H476" s="771"/>
      <c r="I476" s="771"/>
      <c r="J476" s="771"/>
      <c r="K476" s="771"/>
      <c r="L476" s="771"/>
      <c r="M476" s="771"/>
      <c r="N476" s="771"/>
      <c r="O476" s="771"/>
      <c r="P476" s="771"/>
      <c r="Q476" s="771"/>
      <c r="R476" s="771"/>
      <c r="S476" s="771"/>
      <c r="T476" s="771"/>
      <c r="U476" s="771"/>
      <c r="V476" s="771"/>
      <c r="W476" s="771"/>
      <c r="X476" s="771"/>
      <c r="Y476" s="771"/>
      <c r="Z476" s="771"/>
    </row>
    <row r="477" ht="15.75" customHeight="1">
      <c r="A477" s="771"/>
      <c r="B477" s="771"/>
      <c r="C477" s="771"/>
      <c r="D477" s="771"/>
      <c r="E477" s="771"/>
      <c r="F477" s="771"/>
      <c r="G477" s="771"/>
      <c r="H477" s="771"/>
      <c r="I477" s="771"/>
      <c r="J477" s="771"/>
      <c r="K477" s="771"/>
      <c r="L477" s="771"/>
      <c r="M477" s="771"/>
      <c r="N477" s="771"/>
      <c r="O477" s="771"/>
      <c r="P477" s="771"/>
      <c r="Q477" s="771"/>
      <c r="R477" s="771"/>
      <c r="S477" s="771"/>
      <c r="T477" s="771"/>
      <c r="U477" s="771"/>
      <c r="V477" s="771"/>
      <c r="W477" s="771"/>
      <c r="X477" s="771"/>
      <c r="Y477" s="771"/>
      <c r="Z477" s="771"/>
    </row>
    <row r="478" ht="15.75" customHeight="1">
      <c r="A478" s="771"/>
      <c r="B478" s="771"/>
      <c r="C478" s="771"/>
      <c r="D478" s="771"/>
      <c r="E478" s="771"/>
      <c r="F478" s="771"/>
      <c r="G478" s="771"/>
      <c r="H478" s="771"/>
      <c r="I478" s="771"/>
      <c r="J478" s="771"/>
      <c r="K478" s="771"/>
      <c r="L478" s="771"/>
      <c r="M478" s="771"/>
      <c r="N478" s="771"/>
      <c r="O478" s="771"/>
      <c r="P478" s="771"/>
      <c r="Q478" s="771"/>
      <c r="R478" s="771"/>
      <c r="S478" s="771"/>
      <c r="T478" s="771"/>
      <c r="U478" s="771"/>
      <c r="V478" s="771"/>
      <c r="W478" s="771"/>
      <c r="X478" s="771"/>
      <c r="Y478" s="771"/>
      <c r="Z478" s="771"/>
    </row>
    <row r="479" ht="15.75" customHeight="1">
      <c r="A479" s="771"/>
      <c r="B479" s="771"/>
      <c r="C479" s="771"/>
      <c r="D479" s="771"/>
      <c r="E479" s="771"/>
      <c r="F479" s="771"/>
      <c r="G479" s="771"/>
      <c r="H479" s="771"/>
      <c r="I479" s="771"/>
      <c r="J479" s="771"/>
      <c r="K479" s="771"/>
      <c r="L479" s="771"/>
      <c r="M479" s="771"/>
      <c r="N479" s="771"/>
      <c r="O479" s="771"/>
      <c r="P479" s="771"/>
      <c r="Q479" s="771"/>
      <c r="R479" s="771"/>
      <c r="S479" s="771"/>
      <c r="T479" s="771"/>
      <c r="U479" s="771"/>
      <c r="V479" s="771"/>
      <c r="W479" s="771"/>
      <c r="X479" s="771"/>
      <c r="Y479" s="771"/>
      <c r="Z479" s="771"/>
    </row>
    <row r="480" ht="15.75" customHeight="1">
      <c r="A480" s="771"/>
      <c r="B480" s="771"/>
      <c r="C480" s="771"/>
      <c r="D480" s="771"/>
      <c r="E480" s="771"/>
      <c r="F480" s="771"/>
      <c r="G480" s="771"/>
      <c r="H480" s="771"/>
      <c r="I480" s="771"/>
      <c r="J480" s="771"/>
      <c r="K480" s="771"/>
      <c r="L480" s="771"/>
      <c r="M480" s="771"/>
      <c r="N480" s="771"/>
      <c r="O480" s="771"/>
      <c r="P480" s="771"/>
      <c r="Q480" s="771"/>
      <c r="R480" s="771"/>
      <c r="S480" s="771"/>
      <c r="T480" s="771"/>
      <c r="U480" s="771"/>
      <c r="V480" s="771"/>
      <c r="W480" s="771"/>
      <c r="X480" s="771"/>
      <c r="Y480" s="771"/>
      <c r="Z480" s="771"/>
    </row>
    <row r="481" ht="15.75" customHeight="1">
      <c r="A481" s="771"/>
      <c r="B481" s="771"/>
      <c r="C481" s="771"/>
      <c r="D481" s="771"/>
      <c r="E481" s="771"/>
      <c r="F481" s="771"/>
      <c r="G481" s="771"/>
      <c r="H481" s="771"/>
      <c r="I481" s="771"/>
      <c r="J481" s="771"/>
      <c r="K481" s="771"/>
      <c r="L481" s="771"/>
      <c r="M481" s="771"/>
      <c r="N481" s="771"/>
      <c r="O481" s="771"/>
      <c r="P481" s="771"/>
      <c r="Q481" s="771"/>
      <c r="R481" s="771"/>
      <c r="S481" s="771"/>
      <c r="T481" s="771"/>
      <c r="U481" s="771"/>
      <c r="V481" s="771"/>
      <c r="W481" s="771"/>
      <c r="X481" s="771"/>
      <c r="Y481" s="771"/>
      <c r="Z481" s="771"/>
    </row>
    <row r="482" ht="15.75" customHeight="1">
      <c r="A482" s="771"/>
      <c r="B482" s="771"/>
      <c r="C482" s="771"/>
      <c r="D482" s="771"/>
      <c r="E482" s="771"/>
      <c r="F482" s="771"/>
      <c r="G482" s="771"/>
      <c r="H482" s="771"/>
      <c r="I482" s="771"/>
      <c r="J482" s="771"/>
      <c r="K482" s="771"/>
      <c r="L482" s="771"/>
      <c r="M482" s="771"/>
      <c r="N482" s="771"/>
      <c r="O482" s="771"/>
      <c r="P482" s="771"/>
      <c r="Q482" s="771"/>
      <c r="R482" s="771"/>
      <c r="S482" s="771"/>
      <c r="T482" s="771"/>
      <c r="U482" s="771"/>
      <c r="V482" s="771"/>
      <c r="W482" s="771"/>
      <c r="X482" s="771"/>
      <c r="Y482" s="771"/>
      <c r="Z482" s="771"/>
    </row>
    <row r="483" ht="15.75" customHeight="1">
      <c r="A483" s="771"/>
      <c r="B483" s="771"/>
      <c r="C483" s="771"/>
      <c r="D483" s="771"/>
      <c r="E483" s="771"/>
      <c r="F483" s="771"/>
      <c r="G483" s="771"/>
      <c r="H483" s="771"/>
      <c r="I483" s="771"/>
      <c r="J483" s="771"/>
      <c r="K483" s="771"/>
      <c r="L483" s="771"/>
      <c r="M483" s="771"/>
      <c r="N483" s="771"/>
      <c r="O483" s="771"/>
      <c r="P483" s="771"/>
      <c r="Q483" s="771"/>
      <c r="R483" s="771"/>
      <c r="S483" s="771"/>
      <c r="T483" s="771"/>
      <c r="U483" s="771"/>
      <c r="V483" s="771"/>
      <c r="W483" s="771"/>
      <c r="X483" s="771"/>
      <c r="Y483" s="771"/>
      <c r="Z483" s="771"/>
    </row>
    <row r="484" ht="15.75" customHeight="1">
      <c r="A484" s="771"/>
      <c r="B484" s="771"/>
      <c r="C484" s="771"/>
      <c r="D484" s="771"/>
      <c r="E484" s="771"/>
      <c r="F484" s="771"/>
      <c r="G484" s="771"/>
      <c r="H484" s="771"/>
      <c r="I484" s="771"/>
      <c r="J484" s="771"/>
      <c r="K484" s="771"/>
      <c r="L484" s="771"/>
      <c r="M484" s="771"/>
      <c r="N484" s="771"/>
      <c r="O484" s="771"/>
      <c r="P484" s="771"/>
      <c r="Q484" s="771"/>
      <c r="R484" s="771"/>
      <c r="S484" s="771"/>
      <c r="T484" s="771"/>
      <c r="U484" s="771"/>
      <c r="V484" s="771"/>
      <c r="W484" s="771"/>
      <c r="X484" s="771"/>
      <c r="Y484" s="771"/>
      <c r="Z484" s="771"/>
    </row>
    <row r="485" ht="15.75" customHeight="1">
      <c r="A485" s="771"/>
      <c r="B485" s="771"/>
      <c r="C485" s="771"/>
      <c r="D485" s="771"/>
      <c r="E485" s="771"/>
      <c r="F485" s="771"/>
      <c r="G485" s="771"/>
      <c r="H485" s="771"/>
      <c r="I485" s="771"/>
      <c r="J485" s="771"/>
      <c r="K485" s="771"/>
      <c r="L485" s="771"/>
      <c r="M485" s="771"/>
      <c r="N485" s="771"/>
      <c r="O485" s="771"/>
      <c r="P485" s="771"/>
      <c r="Q485" s="771"/>
      <c r="R485" s="771"/>
      <c r="S485" s="771"/>
      <c r="T485" s="771"/>
      <c r="U485" s="771"/>
      <c r="V485" s="771"/>
      <c r="W485" s="771"/>
      <c r="X485" s="771"/>
      <c r="Y485" s="771"/>
      <c r="Z485" s="771"/>
    </row>
    <row r="486" ht="15.75" customHeight="1">
      <c r="A486" s="771"/>
      <c r="B486" s="771"/>
      <c r="C486" s="771"/>
      <c r="D486" s="771"/>
      <c r="E486" s="771"/>
      <c r="F486" s="771"/>
      <c r="G486" s="771"/>
      <c r="H486" s="771"/>
      <c r="I486" s="771"/>
      <c r="J486" s="771"/>
      <c r="K486" s="771"/>
      <c r="L486" s="771"/>
      <c r="M486" s="771"/>
      <c r="N486" s="771"/>
      <c r="O486" s="771"/>
      <c r="P486" s="771"/>
      <c r="Q486" s="771"/>
      <c r="R486" s="771"/>
      <c r="S486" s="771"/>
      <c r="T486" s="771"/>
      <c r="U486" s="771"/>
      <c r="V486" s="771"/>
      <c r="W486" s="771"/>
      <c r="X486" s="771"/>
      <c r="Y486" s="771"/>
      <c r="Z486" s="771"/>
    </row>
    <row r="487" ht="15.75" customHeight="1">
      <c r="A487" s="771"/>
      <c r="B487" s="771"/>
      <c r="C487" s="771"/>
      <c r="D487" s="771"/>
      <c r="E487" s="771"/>
      <c r="F487" s="771"/>
      <c r="G487" s="771"/>
      <c r="H487" s="771"/>
      <c r="I487" s="771"/>
      <c r="J487" s="771"/>
      <c r="K487" s="771"/>
      <c r="L487" s="771"/>
      <c r="M487" s="771"/>
      <c r="N487" s="771"/>
      <c r="O487" s="771"/>
      <c r="P487" s="771"/>
      <c r="Q487" s="771"/>
      <c r="R487" s="771"/>
      <c r="S487" s="771"/>
      <c r="T487" s="771"/>
      <c r="U487" s="771"/>
      <c r="V487" s="771"/>
      <c r="W487" s="771"/>
      <c r="X487" s="771"/>
      <c r="Y487" s="771"/>
      <c r="Z487" s="771"/>
    </row>
    <row r="488" ht="15.75" customHeight="1">
      <c r="A488" s="771"/>
      <c r="B488" s="771"/>
      <c r="C488" s="771"/>
      <c r="D488" s="771"/>
      <c r="E488" s="771"/>
      <c r="F488" s="771"/>
      <c r="G488" s="771"/>
      <c r="H488" s="771"/>
      <c r="I488" s="771"/>
      <c r="J488" s="771"/>
      <c r="K488" s="771"/>
      <c r="L488" s="771"/>
      <c r="M488" s="771"/>
      <c r="N488" s="771"/>
      <c r="O488" s="771"/>
      <c r="P488" s="771"/>
      <c r="Q488" s="771"/>
      <c r="R488" s="771"/>
      <c r="S488" s="771"/>
      <c r="T488" s="771"/>
      <c r="U488" s="771"/>
      <c r="V488" s="771"/>
      <c r="W488" s="771"/>
      <c r="X488" s="771"/>
      <c r="Y488" s="771"/>
      <c r="Z488" s="771"/>
    </row>
    <row r="489" ht="15.75" customHeight="1">
      <c r="A489" s="771"/>
      <c r="B489" s="771"/>
      <c r="C489" s="771"/>
      <c r="D489" s="771"/>
      <c r="E489" s="771"/>
      <c r="F489" s="771"/>
      <c r="G489" s="771"/>
      <c r="H489" s="771"/>
      <c r="I489" s="771"/>
      <c r="J489" s="771"/>
      <c r="K489" s="771"/>
      <c r="L489" s="771"/>
      <c r="M489" s="771"/>
      <c r="N489" s="771"/>
      <c r="O489" s="771"/>
      <c r="P489" s="771"/>
      <c r="Q489" s="771"/>
      <c r="R489" s="771"/>
      <c r="S489" s="771"/>
      <c r="T489" s="771"/>
      <c r="U489" s="771"/>
      <c r="V489" s="771"/>
      <c r="W489" s="771"/>
      <c r="X489" s="771"/>
      <c r="Y489" s="771"/>
      <c r="Z489" s="771"/>
    </row>
    <row r="490" ht="15.75" customHeight="1">
      <c r="A490" s="771"/>
      <c r="B490" s="771"/>
      <c r="C490" s="771"/>
      <c r="D490" s="771"/>
      <c r="E490" s="771"/>
      <c r="F490" s="771"/>
      <c r="G490" s="771"/>
      <c r="H490" s="771"/>
      <c r="I490" s="771"/>
      <c r="J490" s="771"/>
      <c r="K490" s="771"/>
      <c r="L490" s="771"/>
      <c r="M490" s="771"/>
      <c r="N490" s="771"/>
      <c r="O490" s="771"/>
      <c r="P490" s="771"/>
      <c r="Q490" s="771"/>
      <c r="R490" s="771"/>
      <c r="S490" s="771"/>
      <c r="T490" s="771"/>
      <c r="U490" s="771"/>
      <c r="V490" s="771"/>
      <c r="W490" s="771"/>
      <c r="X490" s="771"/>
      <c r="Y490" s="771"/>
      <c r="Z490" s="771"/>
    </row>
    <row r="491" ht="15.75" customHeight="1">
      <c r="A491" s="771"/>
      <c r="B491" s="771"/>
      <c r="C491" s="771"/>
      <c r="D491" s="771"/>
      <c r="E491" s="771"/>
      <c r="F491" s="771"/>
      <c r="G491" s="771"/>
      <c r="H491" s="771"/>
      <c r="I491" s="771"/>
      <c r="J491" s="771"/>
      <c r="K491" s="771"/>
      <c r="L491" s="771"/>
      <c r="M491" s="771"/>
      <c r="N491" s="771"/>
      <c r="O491" s="771"/>
      <c r="P491" s="771"/>
      <c r="Q491" s="771"/>
      <c r="R491" s="771"/>
      <c r="S491" s="771"/>
      <c r="T491" s="771"/>
      <c r="U491" s="771"/>
      <c r="V491" s="771"/>
      <c r="W491" s="771"/>
      <c r="X491" s="771"/>
      <c r="Y491" s="771"/>
      <c r="Z491" s="771"/>
    </row>
    <row r="492" ht="15.75" customHeight="1">
      <c r="A492" s="771"/>
      <c r="B492" s="771"/>
      <c r="C492" s="771"/>
      <c r="D492" s="771"/>
      <c r="E492" s="771"/>
      <c r="F492" s="771"/>
      <c r="G492" s="771"/>
      <c r="H492" s="771"/>
      <c r="I492" s="771"/>
      <c r="J492" s="771"/>
      <c r="K492" s="771"/>
      <c r="L492" s="771"/>
      <c r="M492" s="771"/>
      <c r="N492" s="771"/>
      <c r="O492" s="771"/>
      <c r="P492" s="771"/>
      <c r="Q492" s="771"/>
      <c r="R492" s="771"/>
      <c r="S492" s="771"/>
      <c r="T492" s="771"/>
      <c r="U492" s="771"/>
      <c r="V492" s="771"/>
      <c r="W492" s="771"/>
      <c r="X492" s="771"/>
      <c r="Y492" s="771"/>
      <c r="Z492" s="771"/>
    </row>
    <row r="493" ht="15.75" customHeight="1">
      <c r="A493" s="771"/>
      <c r="B493" s="771"/>
      <c r="C493" s="771"/>
      <c r="D493" s="771"/>
      <c r="E493" s="771"/>
      <c r="F493" s="771"/>
      <c r="G493" s="771"/>
      <c r="H493" s="771"/>
      <c r="I493" s="771"/>
      <c r="J493" s="771"/>
      <c r="K493" s="771"/>
      <c r="L493" s="771"/>
      <c r="M493" s="771"/>
      <c r="N493" s="771"/>
      <c r="O493" s="771"/>
      <c r="P493" s="771"/>
      <c r="Q493" s="771"/>
      <c r="R493" s="771"/>
      <c r="S493" s="771"/>
      <c r="T493" s="771"/>
      <c r="U493" s="771"/>
      <c r="V493" s="771"/>
      <c r="W493" s="771"/>
      <c r="X493" s="771"/>
      <c r="Y493" s="771"/>
      <c r="Z493" s="771"/>
    </row>
    <row r="494" ht="15.75" customHeight="1">
      <c r="A494" s="771"/>
      <c r="B494" s="771"/>
      <c r="C494" s="771"/>
      <c r="D494" s="771"/>
      <c r="E494" s="771"/>
      <c r="F494" s="771"/>
      <c r="G494" s="771"/>
      <c r="H494" s="771"/>
      <c r="I494" s="771"/>
      <c r="J494" s="771"/>
      <c r="K494" s="771"/>
      <c r="L494" s="771"/>
      <c r="M494" s="771"/>
      <c r="N494" s="771"/>
      <c r="O494" s="771"/>
      <c r="P494" s="771"/>
      <c r="Q494" s="771"/>
      <c r="R494" s="771"/>
      <c r="S494" s="771"/>
      <c r="T494" s="771"/>
      <c r="U494" s="771"/>
      <c r="V494" s="771"/>
      <c r="W494" s="771"/>
      <c r="X494" s="771"/>
      <c r="Y494" s="771"/>
      <c r="Z494" s="771"/>
    </row>
    <row r="495" ht="15.75" customHeight="1">
      <c r="A495" s="771"/>
      <c r="B495" s="771"/>
      <c r="C495" s="771"/>
      <c r="D495" s="771"/>
      <c r="E495" s="771"/>
      <c r="F495" s="771"/>
      <c r="G495" s="771"/>
      <c r="H495" s="771"/>
      <c r="I495" s="771"/>
      <c r="J495" s="771"/>
      <c r="K495" s="771"/>
      <c r="L495" s="771"/>
      <c r="M495" s="771"/>
      <c r="N495" s="771"/>
      <c r="O495" s="771"/>
      <c r="P495" s="771"/>
      <c r="Q495" s="771"/>
      <c r="R495" s="771"/>
      <c r="S495" s="771"/>
      <c r="T495" s="771"/>
      <c r="U495" s="771"/>
      <c r="V495" s="771"/>
      <c r="W495" s="771"/>
      <c r="X495" s="771"/>
      <c r="Y495" s="771"/>
      <c r="Z495" s="771"/>
    </row>
    <row r="496" ht="15.75" customHeight="1">
      <c r="A496" s="771"/>
      <c r="B496" s="771"/>
      <c r="C496" s="771"/>
      <c r="D496" s="771"/>
      <c r="E496" s="771"/>
      <c r="F496" s="771"/>
      <c r="G496" s="771"/>
      <c r="H496" s="771"/>
      <c r="I496" s="771"/>
      <c r="J496" s="771"/>
      <c r="K496" s="771"/>
      <c r="L496" s="771"/>
      <c r="M496" s="771"/>
      <c r="N496" s="771"/>
      <c r="O496" s="771"/>
      <c r="P496" s="771"/>
      <c r="Q496" s="771"/>
      <c r="R496" s="771"/>
      <c r="S496" s="771"/>
      <c r="T496" s="771"/>
      <c r="U496" s="771"/>
      <c r="V496" s="771"/>
      <c r="W496" s="771"/>
      <c r="X496" s="771"/>
      <c r="Y496" s="771"/>
      <c r="Z496" s="771"/>
    </row>
    <row r="497" ht="15.75" customHeight="1">
      <c r="A497" s="771"/>
      <c r="B497" s="771"/>
      <c r="C497" s="771"/>
      <c r="D497" s="771"/>
      <c r="E497" s="771"/>
      <c r="F497" s="771"/>
      <c r="G497" s="771"/>
      <c r="H497" s="771"/>
      <c r="I497" s="771"/>
      <c r="J497" s="771"/>
      <c r="K497" s="771"/>
      <c r="L497" s="771"/>
      <c r="M497" s="771"/>
      <c r="N497" s="771"/>
      <c r="O497" s="771"/>
      <c r="P497" s="771"/>
      <c r="Q497" s="771"/>
      <c r="R497" s="771"/>
      <c r="S497" s="771"/>
      <c r="T497" s="771"/>
      <c r="U497" s="771"/>
      <c r="V497" s="771"/>
      <c r="W497" s="771"/>
      <c r="X497" s="771"/>
      <c r="Y497" s="771"/>
      <c r="Z497" s="771"/>
    </row>
    <row r="498" ht="15.75" customHeight="1">
      <c r="A498" s="771"/>
      <c r="B498" s="771"/>
      <c r="C498" s="771"/>
      <c r="D498" s="771"/>
      <c r="E498" s="771"/>
      <c r="F498" s="771"/>
      <c r="G498" s="771"/>
      <c r="H498" s="771"/>
      <c r="I498" s="771"/>
      <c r="J498" s="771"/>
      <c r="K498" s="771"/>
      <c r="L498" s="771"/>
      <c r="M498" s="771"/>
      <c r="N498" s="771"/>
      <c r="O498" s="771"/>
      <c r="P498" s="771"/>
      <c r="Q498" s="771"/>
      <c r="R498" s="771"/>
      <c r="S498" s="771"/>
      <c r="T498" s="771"/>
      <c r="U498" s="771"/>
      <c r="V498" s="771"/>
      <c r="W498" s="771"/>
      <c r="X498" s="771"/>
      <c r="Y498" s="771"/>
      <c r="Z498" s="771"/>
    </row>
    <row r="499" ht="15.75" customHeight="1">
      <c r="A499" s="771"/>
      <c r="B499" s="771"/>
      <c r="C499" s="771"/>
      <c r="D499" s="771"/>
      <c r="E499" s="771"/>
      <c r="F499" s="771"/>
      <c r="G499" s="771"/>
      <c r="H499" s="771"/>
      <c r="I499" s="771"/>
      <c r="J499" s="771"/>
      <c r="K499" s="771"/>
      <c r="L499" s="771"/>
      <c r="M499" s="771"/>
      <c r="N499" s="771"/>
      <c r="O499" s="771"/>
      <c r="P499" s="771"/>
      <c r="Q499" s="771"/>
      <c r="R499" s="771"/>
      <c r="S499" s="771"/>
      <c r="T499" s="771"/>
      <c r="U499" s="771"/>
      <c r="V499" s="771"/>
      <c r="W499" s="771"/>
      <c r="X499" s="771"/>
      <c r="Y499" s="771"/>
      <c r="Z499" s="771"/>
    </row>
    <row r="500" ht="15.75" customHeight="1">
      <c r="A500" s="771"/>
      <c r="B500" s="771"/>
      <c r="C500" s="771"/>
      <c r="D500" s="771"/>
      <c r="E500" s="771"/>
      <c r="F500" s="771"/>
      <c r="G500" s="771"/>
      <c r="H500" s="771"/>
      <c r="I500" s="771"/>
      <c r="J500" s="771"/>
      <c r="K500" s="771"/>
      <c r="L500" s="771"/>
      <c r="M500" s="771"/>
      <c r="N500" s="771"/>
      <c r="O500" s="771"/>
      <c r="P500" s="771"/>
      <c r="Q500" s="771"/>
      <c r="R500" s="771"/>
      <c r="S500" s="771"/>
      <c r="T500" s="771"/>
      <c r="U500" s="771"/>
      <c r="V500" s="771"/>
      <c r="W500" s="771"/>
      <c r="X500" s="771"/>
      <c r="Y500" s="771"/>
      <c r="Z500" s="771"/>
    </row>
    <row r="501" ht="15.75" customHeight="1">
      <c r="A501" s="771"/>
      <c r="B501" s="771"/>
      <c r="C501" s="771"/>
      <c r="D501" s="771"/>
      <c r="E501" s="771"/>
      <c r="F501" s="771"/>
      <c r="G501" s="771"/>
      <c r="H501" s="771"/>
      <c r="I501" s="771"/>
      <c r="J501" s="771"/>
      <c r="K501" s="771"/>
      <c r="L501" s="771"/>
      <c r="M501" s="771"/>
      <c r="N501" s="771"/>
      <c r="O501" s="771"/>
      <c r="P501" s="771"/>
      <c r="Q501" s="771"/>
      <c r="R501" s="771"/>
      <c r="S501" s="771"/>
      <c r="T501" s="771"/>
      <c r="U501" s="771"/>
      <c r="V501" s="771"/>
      <c r="W501" s="771"/>
      <c r="X501" s="771"/>
      <c r="Y501" s="771"/>
      <c r="Z501" s="771"/>
    </row>
    <row r="502" ht="15.75" customHeight="1">
      <c r="A502" s="771"/>
      <c r="B502" s="771"/>
      <c r="C502" s="771"/>
      <c r="D502" s="771"/>
      <c r="E502" s="771"/>
      <c r="F502" s="771"/>
      <c r="G502" s="771"/>
      <c r="H502" s="771"/>
      <c r="I502" s="771"/>
      <c r="J502" s="771"/>
      <c r="K502" s="771"/>
      <c r="L502" s="771"/>
      <c r="M502" s="771"/>
      <c r="N502" s="771"/>
      <c r="O502" s="771"/>
      <c r="P502" s="771"/>
      <c r="Q502" s="771"/>
      <c r="R502" s="771"/>
      <c r="S502" s="771"/>
      <c r="T502" s="771"/>
      <c r="U502" s="771"/>
      <c r="V502" s="771"/>
      <c r="W502" s="771"/>
      <c r="X502" s="771"/>
      <c r="Y502" s="771"/>
      <c r="Z502" s="771"/>
    </row>
    <row r="503" ht="15.75" customHeight="1">
      <c r="A503" s="771"/>
      <c r="B503" s="771"/>
      <c r="C503" s="771"/>
      <c r="D503" s="771"/>
      <c r="E503" s="771"/>
      <c r="F503" s="771"/>
      <c r="G503" s="771"/>
      <c r="H503" s="771"/>
      <c r="I503" s="771"/>
      <c r="J503" s="771"/>
      <c r="K503" s="771"/>
      <c r="L503" s="771"/>
      <c r="M503" s="771"/>
      <c r="N503" s="771"/>
      <c r="O503" s="771"/>
      <c r="P503" s="771"/>
      <c r="Q503" s="771"/>
      <c r="R503" s="771"/>
      <c r="S503" s="771"/>
      <c r="T503" s="771"/>
      <c r="U503" s="771"/>
      <c r="V503" s="771"/>
      <c r="W503" s="771"/>
      <c r="X503" s="771"/>
      <c r="Y503" s="771"/>
      <c r="Z503" s="771"/>
    </row>
    <row r="504" ht="15.75" customHeight="1">
      <c r="A504" s="771"/>
      <c r="B504" s="771"/>
      <c r="C504" s="771"/>
      <c r="D504" s="771"/>
      <c r="E504" s="771"/>
      <c r="F504" s="771"/>
      <c r="G504" s="771"/>
      <c r="H504" s="771"/>
      <c r="I504" s="771"/>
      <c r="J504" s="771"/>
      <c r="K504" s="771"/>
      <c r="L504" s="771"/>
      <c r="M504" s="771"/>
      <c r="N504" s="771"/>
      <c r="O504" s="771"/>
      <c r="P504" s="771"/>
      <c r="Q504" s="771"/>
      <c r="R504" s="771"/>
      <c r="S504" s="771"/>
      <c r="T504" s="771"/>
      <c r="U504" s="771"/>
      <c r="V504" s="771"/>
      <c r="W504" s="771"/>
      <c r="X504" s="771"/>
      <c r="Y504" s="771"/>
      <c r="Z504" s="771"/>
    </row>
    <row r="505" ht="15.75" customHeight="1">
      <c r="A505" s="771"/>
      <c r="B505" s="771"/>
      <c r="C505" s="771"/>
      <c r="D505" s="771"/>
      <c r="E505" s="771"/>
      <c r="F505" s="771"/>
      <c r="G505" s="771"/>
      <c r="H505" s="771"/>
      <c r="I505" s="771"/>
      <c r="J505" s="771"/>
      <c r="K505" s="771"/>
      <c r="L505" s="771"/>
      <c r="M505" s="771"/>
      <c r="N505" s="771"/>
      <c r="O505" s="771"/>
      <c r="P505" s="771"/>
      <c r="Q505" s="771"/>
      <c r="R505" s="771"/>
      <c r="S505" s="771"/>
      <c r="T505" s="771"/>
      <c r="U505" s="771"/>
      <c r="V505" s="771"/>
      <c r="W505" s="771"/>
      <c r="X505" s="771"/>
      <c r="Y505" s="771"/>
      <c r="Z505" s="771"/>
    </row>
    <row r="506" ht="15.75" customHeight="1">
      <c r="A506" s="771"/>
      <c r="B506" s="771"/>
      <c r="C506" s="771"/>
      <c r="D506" s="771"/>
      <c r="E506" s="771"/>
      <c r="F506" s="771"/>
      <c r="G506" s="771"/>
      <c r="H506" s="771"/>
      <c r="I506" s="771"/>
      <c r="J506" s="771"/>
      <c r="K506" s="771"/>
      <c r="L506" s="771"/>
      <c r="M506" s="771"/>
      <c r="N506" s="771"/>
      <c r="O506" s="771"/>
      <c r="P506" s="771"/>
      <c r="Q506" s="771"/>
      <c r="R506" s="771"/>
      <c r="S506" s="771"/>
      <c r="T506" s="771"/>
      <c r="U506" s="771"/>
      <c r="V506" s="771"/>
      <c r="W506" s="771"/>
      <c r="X506" s="771"/>
      <c r="Y506" s="771"/>
      <c r="Z506" s="771"/>
    </row>
    <row r="507" ht="15.75" customHeight="1">
      <c r="A507" s="771"/>
      <c r="B507" s="771"/>
      <c r="C507" s="771"/>
      <c r="D507" s="771"/>
      <c r="E507" s="771"/>
      <c r="F507" s="771"/>
      <c r="G507" s="771"/>
      <c r="H507" s="771"/>
      <c r="I507" s="771"/>
      <c r="J507" s="771"/>
      <c r="K507" s="771"/>
      <c r="L507" s="771"/>
      <c r="M507" s="771"/>
      <c r="N507" s="771"/>
      <c r="O507" s="771"/>
      <c r="P507" s="771"/>
      <c r="Q507" s="771"/>
      <c r="R507" s="771"/>
      <c r="S507" s="771"/>
      <c r="T507" s="771"/>
      <c r="U507" s="771"/>
      <c r="V507" s="771"/>
      <c r="W507" s="771"/>
      <c r="X507" s="771"/>
      <c r="Y507" s="771"/>
      <c r="Z507" s="771"/>
    </row>
    <row r="508" ht="15.75" customHeight="1">
      <c r="A508" s="771"/>
      <c r="B508" s="771"/>
      <c r="C508" s="771"/>
      <c r="D508" s="771"/>
      <c r="E508" s="771"/>
      <c r="F508" s="771"/>
      <c r="G508" s="771"/>
      <c r="H508" s="771"/>
      <c r="I508" s="771"/>
      <c r="J508" s="771"/>
      <c r="K508" s="771"/>
      <c r="L508" s="771"/>
      <c r="M508" s="771"/>
      <c r="N508" s="771"/>
      <c r="O508" s="771"/>
      <c r="P508" s="771"/>
      <c r="Q508" s="771"/>
      <c r="R508" s="771"/>
      <c r="S508" s="771"/>
      <c r="T508" s="771"/>
      <c r="U508" s="771"/>
      <c r="V508" s="771"/>
      <c r="W508" s="771"/>
      <c r="X508" s="771"/>
      <c r="Y508" s="771"/>
      <c r="Z508" s="771"/>
    </row>
    <row r="509" ht="15.75" customHeight="1">
      <c r="A509" s="771"/>
      <c r="B509" s="771"/>
      <c r="C509" s="771"/>
      <c r="D509" s="771"/>
      <c r="E509" s="771"/>
      <c r="F509" s="771"/>
      <c r="G509" s="771"/>
      <c r="H509" s="771"/>
      <c r="I509" s="771"/>
      <c r="J509" s="771"/>
      <c r="K509" s="771"/>
      <c r="L509" s="771"/>
      <c r="M509" s="771"/>
      <c r="N509" s="771"/>
      <c r="O509" s="771"/>
      <c r="P509" s="771"/>
      <c r="Q509" s="771"/>
      <c r="R509" s="771"/>
      <c r="S509" s="771"/>
      <c r="T509" s="771"/>
      <c r="U509" s="771"/>
      <c r="V509" s="771"/>
      <c r="W509" s="771"/>
      <c r="X509" s="771"/>
      <c r="Y509" s="771"/>
      <c r="Z509" s="771"/>
    </row>
    <row r="510" ht="15.75" customHeight="1">
      <c r="A510" s="771"/>
      <c r="B510" s="771"/>
      <c r="C510" s="771"/>
      <c r="D510" s="771"/>
      <c r="E510" s="771"/>
      <c r="F510" s="771"/>
      <c r="G510" s="771"/>
      <c r="H510" s="771"/>
      <c r="I510" s="771"/>
      <c r="J510" s="771"/>
      <c r="K510" s="771"/>
      <c r="L510" s="771"/>
      <c r="M510" s="771"/>
      <c r="N510" s="771"/>
      <c r="O510" s="771"/>
      <c r="P510" s="771"/>
      <c r="Q510" s="771"/>
      <c r="R510" s="771"/>
      <c r="S510" s="771"/>
      <c r="T510" s="771"/>
      <c r="U510" s="771"/>
      <c r="V510" s="771"/>
      <c r="W510" s="771"/>
      <c r="X510" s="771"/>
      <c r="Y510" s="771"/>
      <c r="Z510" s="771"/>
    </row>
    <row r="511" ht="15.75" customHeight="1">
      <c r="A511" s="771"/>
      <c r="B511" s="771"/>
      <c r="C511" s="771"/>
      <c r="D511" s="771"/>
      <c r="E511" s="771"/>
      <c r="F511" s="771"/>
      <c r="G511" s="771"/>
      <c r="H511" s="771"/>
      <c r="I511" s="771"/>
      <c r="J511" s="771"/>
      <c r="K511" s="771"/>
      <c r="L511" s="771"/>
      <c r="M511" s="771"/>
      <c r="N511" s="771"/>
      <c r="O511" s="771"/>
      <c r="P511" s="771"/>
      <c r="Q511" s="771"/>
      <c r="R511" s="771"/>
      <c r="S511" s="771"/>
      <c r="T511" s="771"/>
      <c r="U511" s="771"/>
      <c r="V511" s="771"/>
      <c r="W511" s="771"/>
      <c r="X511" s="771"/>
      <c r="Y511" s="771"/>
      <c r="Z511" s="771"/>
    </row>
    <row r="512" ht="15.75" customHeight="1">
      <c r="A512" s="771"/>
      <c r="B512" s="771"/>
      <c r="C512" s="771"/>
      <c r="D512" s="771"/>
      <c r="E512" s="771"/>
      <c r="F512" s="771"/>
      <c r="G512" s="771"/>
      <c r="H512" s="771"/>
      <c r="I512" s="771"/>
      <c r="J512" s="771"/>
      <c r="K512" s="771"/>
      <c r="L512" s="771"/>
      <c r="M512" s="771"/>
      <c r="N512" s="771"/>
      <c r="O512" s="771"/>
      <c r="P512" s="771"/>
      <c r="Q512" s="771"/>
      <c r="R512" s="771"/>
      <c r="S512" s="771"/>
      <c r="T512" s="771"/>
      <c r="U512" s="771"/>
      <c r="V512" s="771"/>
      <c r="W512" s="771"/>
      <c r="X512" s="771"/>
      <c r="Y512" s="771"/>
      <c r="Z512" s="771"/>
    </row>
    <row r="513" ht="15.75" customHeight="1">
      <c r="A513" s="771"/>
      <c r="B513" s="771"/>
      <c r="C513" s="771"/>
      <c r="D513" s="771"/>
      <c r="E513" s="771"/>
      <c r="F513" s="771"/>
      <c r="G513" s="771"/>
      <c r="H513" s="771"/>
      <c r="I513" s="771"/>
      <c r="J513" s="771"/>
      <c r="K513" s="771"/>
      <c r="L513" s="771"/>
      <c r="M513" s="771"/>
      <c r="N513" s="771"/>
      <c r="O513" s="771"/>
      <c r="P513" s="771"/>
      <c r="Q513" s="771"/>
      <c r="R513" s="771"/>
      <c r="S513" s="771"/>
      <c r="T513" s="771"/>
      <c r="U513" s="771"/>
      <c r="V513" s="771"/>
      <c r="W513" s="771"/>
      <c r="X513" s="771"/>
      <c r="Y513" s="771"/>
      <c r="Z513" s="771"/>
    </row>
    <row r="514" ht="15.75" customHeight="1">
      <c r="A514" s="771"/>
      <c r="B514" s="771"/>
      <c r="C514" s="771"/>
      <c r="D514" s="771"/>
      <c r="E514" s="771"/>
      <c r="F514" s="771"/>
      <c r="G514" s="771"/>
      <c r="H514" s="771"/>
      <c r="I514" s="771"/>
      <c r="J514" s="771"/>
      <c r="K514" s="771"/>
      <c r="L514" s="771"/>
      <c r="M514" s="771"/>
      <c r="N514" s="771"/>
      <c r="O514" s="771"/>
      <c r="P514" s="771"/>
      <c r="Q514" s="771"/>
      <c r="R514" s="771"/>
      <c r="S514" s="771"/>
      <c r="T514" s="771"/>
      <c r="U514" s="771"/>
      <c r="V514" s="771"/>
      <c r="W514" s="771"/>
      <c r="X514" s="771"/>
      <c r="Y514" s="771"/>
      <c r="Z514" s="771"/>
    </row>
    <row r="515" ht="15.75" customHeight="1">
      <c r="A515" s="771"/>
      <c r="B515" s="771"/>
      <c r="C515" s="771"/>
      <c r="D515" s="771"/>
      <c r="E515" s="771"/>
      <c r="F515" s="771"/>
      <c r="G515" s="771"/>
      <c r="H515" s="771"/>
      <c r="I515" s="771"/>
      <c r="J515" s="771"/>
      <c r="K515" s="771"/>
      <c r="L515" s="771"/>
      <c r="M515" s="771"/>
      <c r="N515" s="771"/>
      <c r="O515" s="771"/>
      <c r="P515" s="771"/>
      <c r="Q515" s="771"/>
      <c r="R515" s="771"/>
      <c r="S515" s="771"/>
      <c r="T515" s="771"/>
      <c r="U515" s="771"/>
      <c r="V515" s="771"/>
      <c r="W515" s="771"/>
      <c r="X515" s="771"/>
      <c r="Y515" s="771"/>
      <c r="Z515" s="771"/>
    </row>
    <row r="516" ht="15.75" customHeight="1">
      <c r="A516" s="771"/>
      <c r="B516" s="771"/>
      <c r="C516" s="771"/>
      <c r="D516" s="771"/>
      <c r="E516" s="771"/>
      <c r="F516" s="771"/>
      <c r="G516" s="771"/>
      <c r="H516" s="771"/>
      <c r="I516" s="771"/>
      <c r="J516" s="771"/>
      <c r="K516" s="771"/>
      <c r="L516" s="771"/>
      <c r="M516" s="771"/>
      <c r="N516" s="771"/>
      <c r="O516" s="771"/>
      <c r="P516" s="771"/>
      <c r="Q516" s="771"/>
      <c r="R516" s="771"/>
      <c r="S516" s="771"/>
      <c r="T516" s="771"/>
      <c r="U516" s="771"/>
      <c r="V516" s="771"/>
      <c r="W516" s="771"/>
      <c r="X516" s="771"/>
      <c r="Y516" s="771"/>
      <c r="Z516" s="771"/>
    </row>
    <row r="517" ht="15.75" customHeight="1">
      <c r="A517" s="771"/>
      <c r="B517" s="771"/>
      <c r="C517" s="771"/>
      <c r="D517" s="771"/>
      <c r="E517" s="771"/>
      <c r="F517" s="771"/>
      <c r="G517" s="771"/>
      <c r="H517" s="771"/>
      <c r="I517" s="771"/>
      <c r="J517" s="771"/>
      <c r="K517" s="771"/>
      <c r="L517" s="771"/>
      <c r="M517" s="771"/>
      <c r="N517" s="771"/>
      <c r="O517" s="771"/>
      <c r="P517" s="771"/>
      <c r="Q517" s="771"/>
      <c r="R517" s="771"/>
      <c r="S517" s="771"/>
      <c r="T517" s="771"/>
      <c r="U517" s="771"/>
      <c r="V517" s="771"/>
      <c r="W517" s="771"/>
      <c r="X517" s="771"/>
      <c r="Y517" s="771"/>
      <c r="Z517" s="771"/>
    </row>
    <row r="518" ht="15.75" customHeight="1">
      <c r="A518" s="771"/>
      <c r="B518" s="771"/>
      <c r="C518" s="771"/>
      <c r="D518" s="771"/>
      <c r="E518" s="771"/>
      <c r="F518" s="771"/>
      <c r="G518" s="771"/>
      <c r="H518" s="771"/>
      <c r="I518" s="771"/>
      <c r="J518" s="771"/>
      <c r="K518" s="771"/>
      <c r="L518" s="771"/>
      <c r="M518" s="771"/>
      <c r="N518" s="771"/>
      <c r="O518" s="771"/>
      <c r="P518" s="771"/>
      <c r="Q518" s="771"/>
      <c r="R518" s="771"/>
      <c r="S518" s="771"/>
      <c r="T518" s="771"/>
      <c r="U518" s="771"/>
      <c r="V518" s="771"/>
      <c r="W518" s="771"/>
      <c r="X518" s="771"/>
      <c r="Y518" s="771"/>
      <c r="Z518" s="771"/>
    </row>
    <row r="519" ht="15.75" customHeight="1">
      <c r="A519" s="771"/>
      <c r="B519" s="771"/>
      <c r="C519" s="771"/>
      <c r="D519" s="771"/>
      <c r="E519" s="771"/>
      <c r="F519" s="771"/>
      <c r="G519" s="771"/>
      <c r="H519" s="771"/>
      <c r="I519" s="771"/>
      <c r="J519" s="771"/>
      <c r="K519" s="771"/>
      <c r="L519" s="771"/>
      <c r="M519" s="771"/>
      <c r="N519" s="771"/>
      <c r="O519" s="771"/>
      <c r="P519" s="771"/>
      <c r="Q519" s="771"/>
      <c r="R519" s="771"/>
      <c r="S519" s="771"/>
      <c r="T519" s="771"/>
      <c r="U519" s="771"/>
      <c r="V519" s="771"/>
      <c r="W519" s="771"/>
      <c r="X519" s="771"/>
      <c r="Y519" s="771"/>
      <c r="Z519" s="771"/>
    </row>
    <row r="520" ht="15.75" customHeight="1">
      <c r="A520" s="771"/>
      <c r="B520" s="771"/>
      <c r="C520" s="771"/>
      <c r="D520" s="771"/>
      <c r="E520" s="771"/>
      <c r="F520" s="771"/>
      <c r="G520" s="771"/>
      <c r="H520" s="771"/>
      <c r="I520" s="771"/>
      <c r="J520" s="771"/>
      <c r="K520" s="771"/>
      <c r="L520" s="771"/>
      <c r="M520" s="771"/>
      <c r="N520" s="771"/>
      <c r="O520" s="771"/>
      <c r="P520" s="771"/>
      <c r="Q520" s="771"/>
      <c r="R520" s="771"/>
      <c r="S520" s="771"/>
      <c r="T520" s="771"/>
      <c r="U520" s="771"/>
      <c r="V520" s="771"/>
      <c r="W520" s="771"/>
      <c r="X520" s="771"/>
      <c r="Y520" s="771"/>
      <c r="Z520" s="771"/>
    </row>
    <row r="521" ht="15.75" customHeight="1">
      <c r="A521" s="771"/>
      <c r="B521" s="771"/>
      <c r="C521" s="771"/>
      <c r="D521" s="771"/>
      <c r="E521" s="771"/>
      <c r="F521" s="771"/>
      <c r="G521" s="771"/>
      <c r="H521" s="771"/>
      <c r="I521" s="771"/>
      <c r="J521" s="771"/>
      <c r="K521" s="771"/>
      <c r="L521" s="771"/>
      <c r="M521" s="771"/>
      <c r="N521" s="771"/>
      <c r="O521" s="771"/>
      <c r="P521" s="771"/>
      <c r="Q521" s="771"/>
      <c r="R521" s="771"/>
      <c r="S521" s="771"/>
      <c r="T521" s="771"/>
      <c r="U521" s="771"/>
      <c r="V521" s="771"/>
      <c r="W521" s="771"/>
      <c r="X521" s="771"/>
      <c r="Y521" s="771"/>
      <c r="Z521" s="771"/>
    </row>
    <row r="522" ht="15.75" customHeight="1">
      <c r="A522" s="771"/>
      <c r="B522" s="771"/>
      <c r="C522" s="771"/>
      <c r="D522" s="771"/>
      <c r="E522" s="771"/>
      <c r="F522" s="771"/>
      <c r="G522" s="771"/>
      <c r="H522" s="771"/>
      <c r="I522" s="771"/>
      <c r="J522" s="771"/>
      <c r="K522" s="771"/>
      <c r="L522" s="771"/>
      <c r="M522" s="771"/>
      <c r="N522" s="771"/>
      <c r="O522" s="771"/>
      <c r="P522" s="771"/>
      <c r="Q522" s="771"/>
      <c r="R522" s="771"/>
      <c r="S522" s="771"/>
      <c r="T522" s="771"/>
      <c r="U522" s="771"/>
      <c r="V522" s="771"/>
      <c r="W522" s="771"/>
      <c r="X522" s="771"/>
      <c r="Y522" s="771"/>
      <c r="Z522" s="771"/>
    </row>
    <row r="523" ht="15.75" customHeight="1">
      <c r="A523" s="771"/>
      <c r="B523" s="771"/>
      <c r="C523" s="771"/>
      <c r="D523" s="771"/>
      <c r="E523" s="771"/>
      <c r="F523" s="771"/>
      <c r="G523" s="771"/>
      <c r="H523" s="771"/>
      <c r="I523" s="771"/>
      <c r="J523" s="771"/>
      <c r="K523" s="771"/>
      <c r="L523" s="771"/>
      <c r="M523" s="771"/>
      <c r="N523" s="771"/>
      <c r="O523" s="771"/>
      <c r="P523" s="771"/>
      <c r="Q523" s="771"/>
      <c r="R523" s="771"/>
      <c r="S523" s="771"/>
      <c r="T523" s="771"/>
      <c r="U523" s="771"/>
      <c r="V523" s="771"/>
      <c r="W523" s="771"/>
      <c r="X523" s="771"/>
      <c r="Y523" s="771"/>
      <c r="Z523" s="771"/>
    </row>
    <row r="524" ht="15.75" customHeight="1">
      <c r="A524" s="771"/>
      <c r="B524" s="771"/>
      <c r="C524" s="771"/>
      <c r="D524" s="771"/>
      <c r="E524" s="771"/>
      <c r="F524" s="771"/>
      <c r="G524" s="771"/>
      <c r="H524" s="771"/>
      <c r="I524" s="771"/>
      <c r="J524" s="771"/>
      <c r="K524" s="771"/>
      <c r="L524" s="771"/>
      <c r="M524" s="771"/>
      <c r="N524" s="771"/>
      <c r="O524" s="771"/>
      <c r="P524" s="771"/>
      <c r="Q524" s="771"/>
      <c r="R524" s="771"/>
      <c r="S524" s="771"/>
      <c r="T524" s="771"/>
      <c r="U524" s="771"/>
      <c r="V524" s="771"/>
      <c r="W524" s="771"/>
      <c r="X524" s="771"/>
      <c r="Y524" s="771"/>
      <c r="Z524" s="771"/>
    </row>
    <row r="525" ht="15.75" customHeight="1">
      <c r="A525" s="771"/>
      <c r="B525" s="771"/>
      <c r="C525" s="771"/>
      <c r="D525" s="771"/>
      <c r="E525" s="771"/>
      <c r="F525" s="771"/>
      <c r="G525" s="771"/>
      <c r="H525" s="771"/>
      <c r="I525" s="771"/>
      <c r="J525" s="771"/>
      <c r="K525" s="771"/>
      <c r="L525" s="771"/>
      <c r="M525" s="771"/>
      <c r="N525" s="771"/>
      <c r="O525" s="771"/>
      <c r="P525" s="771"/>
      <c r="Q525" s="771"/>
      <c r="R525" s="771"/>
      <c r="S525" s="771"/>
      <c r="T525" s="771"/>
      <c r="U525" s="771"/>
      <c r="V525" s="771"/>
      <c r="W525" s="771"/>
      <c r="X525" s="771"/>
      <c r="Y525" s="771"/>
      <c r="Z525" s="771"/>
    </row>
    <row r="526" ht="15.75" customHeight="1">
      <c r="A526" s="771"/>
      <c r="B526" s="771"/>
      <c r="C526" s="771"/>
      <c r="D526" s="771"/>
      <c r="E526" s="771"/>
      <c r="F526" s="771"/>
      <c r="G526" s="771"/>
      <c r="H526" s="771"/>
      <c r="I526" s="771"/>
      <c r="J526" s="771"/>
      <c r="K526" s="771"/>
      <c r="L526" s="771"/>
      <c r="M526" s="771"/>
      <c r="N526" s="771"/>
      <c r="O526" s="771"/>
      <c r="P526" s="771"/>
      <c r="Q526" s="771"/>
      <c r="R526" s="771"/>
      <c r="S526" s="771"/>
      <c r="T526" s="771"/>
      <c r="U526" s="771"/>
      <c r="V526" s="771"/>
      <c r="W526" s="771"/>
      <c r="X526" s="771"/>
      <c r="Y526" s="771"/>
      <c r="Z526" s="771"/>
    </row>
    <row r="527" ht="15.75" customHeight="1">
      <c r="A527" s="771"/>
      <c r="B527" s="771"/>
      <c r="C527" s="771"/>
      <c r="D527" s="771"/>
      <c r="E527" s="771"/>
      <c r="F527" s="771"/>
      <c r="G527" s="771"/>
      <c r="H527" s="771"/>
      <c r="I527" s="771"/>
      <c r="J527" s="771"/>
      <c r="K527" s="771"/>
      <c r="L527" s="771"/>
      <c r="M527" s="771"/>
      <c r="N527" s="771"/>
      <c r="O527" s="771"/>
      <c r="P527" s="771"/>
      <c r="Q527" s="771"/>
      <c r="R527" s="771"/>
      <c r="S527" s="771"/>
      <c r="T527" s="771"/>
      <c r="U527" s="771"/>
      <c r="V527" s="771"/>
      <c r="W527" s="771"/>
      <c r="X527" s="771"/>
      <c r="Y527" s="771"/>
      <c r="Z527" s="771"/>
    </row>
    <row r="528" ht="15.75" customHeight="1">
      <c r="A528" s="771"/>
      <c r="B528" s="771"/>
      <c r="C528" s="771"/>
      <c r="D528" s="771"/>
      <c r="E528" s="771"/>
      <c r="F528" s="771"/>
      <c r="G528" s="771"/>
      <c r="H528" s="771"/>
      <c r="I528" s="771"/>
      <c r="J528" s="771"/>
      <c r="K528" s="771"/>
      <c r="L528" s="771"/>
      <c r="M528" s="771"/>
      <c r="N528" s="771"/>
      <c r="O528" s="771"/>
      <c r="P528" s="771"/>
      <c r="Q528" s="771"/>
      <c r="R528" s="771"/>
      <c r="S528" s="771"/>
      <c r="T528" s="771"/>
      <c r="U528" s="771"/>
      <c r="V528" s="771"/>
      <c r="W528" s="771"/>
      <c r="X528" s="771"/>
      <c r="Y528" s="771"/>
      <c r="Z528" s="771"/>
    </row>
    <row r="529" ht="15.75" customHeight="1">
      <c r="A529" s="771"/>
      <c r="B529" s="771"/>
      <c r="C529" s="771"/>
      <c r="D529" s="771"/>
      <c r="E529" s="771"/>
      <c r="F529" s="771"/>
      <c r="G529" s="771"/>
      <c r="H529" s="771"/>
      <c r="I529" s="771"/>
      <c r="J529" s="771"/>
      <c r="K529" s="771"/>
      <c r="L529" s="771"/>
      <c r="M529" s="771"/>
      <c r="N529" s="771"/>
      <c r="O529" s="771"/>
      <c r="P529" s="771"/>
      <c r="Q529" s="771"/>
      <c r="R529" s="771"/>
      <c r="S529" s="771"/>
      <c r="T529" s="771"/>
      <c r="U529" s="771"/>
      <c r="V529" s="771"/>
      <c r="W529" s="771"/>
      <c r="X529" s="771"/>
      <c r="Y529" s="771"/>
      <c r="Z529" s="771"/>
    </row>
    <row r="530" ht="15.75" customHeight="1">
      <c r="A530" s="771"/>
      <c r="B530" s="771"/>
      <c r="C530" s="771"/>
      <c r="D530" s="771"/>
      <c r="E530" s="771"/>
      <c r="F530" s="771"/>
      <c r="G530" s="771"/>
      <c r="H530" s="771"/>
      <c r="I530" s="771"/>
      <c r="J530" s="771"/>
      <c r="K530" s="771"/>
      <c r="L530" s="771"/>
      <c r="M530" s="771"/>
      <c r="N530" s="771"/>
      <c r="O530" s="771"/>
      <c r="P530" s="771"/>
      <c r="Q530" s="771"/>
      <c r="R530" s="771"/>
      <c r="S530" s="771"/>
      <c r="T530" s="771"/>
      <c r="U530" s="771"/>
      <c r="V530" s="771"/>
      <c r="W530" s="771"/>
      <c r="X530" s="771"/>
      <c r="Y530" s="771"/>
      <c r="Z530" s="771"/>
    </row>
    <row r="531" ht="15.75" customHeight="1">
      <c r="A531" s="771"/>
      <c r="B531" s="771"/>
      <c r="C531" s="771"/>
      <c r="D531" s="771"/>
      <c r="E531" s="771"/>
      <c r="F531" s="771"/>
      <c r="G531" s="771"/>
      <c r="H531" s="771"/>
      <c r="I531" s="771"/>
      <c r="J531" s="771"/>
      <c r="K531" s="771"/>
      <c r="L531" s="771"/>
      <c r="M531" s="771"/>
      <c r="N531" s="771"/>
      <c r="O531" s="771"/>
      <c r="P531" s="771"/>
      <c r="Q531" s="771"/>
      <c r="R531" s="771"/>
      <c r="S531" s="771"/>
      <c r="T531" s="771"/>
      <c r="U531" s="771"/>
      <c r="V531" s="771"/>
      <c r="W531" s="771"/>
      <c r="X531" s="771"/>
      <c r="Y531" s="771"/>
      <c r="Z531" s="771"/>
    </row>
    <row r="532" ht="15.75" customHeight="1">
      <c r="A532" s="771"/>
      <c r="B532" s="771"/>
      <c r="C532" s="771"/>
      <c r="D532" s="771"/>
      <c r="E532" s="771"/>
      <c r="F532" s="771"/>
      <c r="G532" s="771"/>
      <c r="H532" s="771"/>
      <c r="I532" s="771"/>
      <c r="J532" s="771"/>
      <c r="K532" s="771"/>
      <c r="L532" s="771"/>
      <c r="M532" s="771"/>
      <c r="N532" s="771"/>
      <c r="O532" s="771"/>
      <c r="P532" s="771"/>
      <c r="Q532" s="771"/>
      <c r="R532" s="771"/>
      <c r="S532" s="771"/>
      <c r="T532" s="771"/>
      <c r="U532" s="771"/>
      <c r="V532" s="771"/>
      <c r="W532" s="771"/>
      <c r="X532" s="771"/>
      <c r="Y532" s="771"/>
      <c r="Z532" s="771"/>
    </row>
    <row r="533" ht="15.75" customHeight="1">
      <c r="A533" s="771"/>
      <c r="B533" s="771"/>
      <c r="C533" s="771"/>
      <c r="D533" s="771"/>
      <c r="E533" s="771"/>
      <c r="F533" s="771"/>
      <c r="G533" s="771"/>
      <c r="H533" s="771"/>
      <c r="I533" s="771"/>
      <c r="J533" s="771"/>
      <c r="K533" s="771"/>
      <c r="L533" s="771"/>
      <c r="M533" s="771"/>
      <c r="N533" s="771"/>
      <c r="O533" s="771"/>
      <c r="P533" s="771"/>
      <c r="Q533" s="771"/>
      <c r="R533" s="771"/>
      <c r="S533" s="771"/>
      <c r="T533" s="771"/>
      <c r="U533" s="771"/>
      <c r="V533" s="771"/>
      <c r="W533" s="771"/>
      <c r="X533" s="771"/>
      <c r="Y533" s="771"/>
      <c r="Z533" s="771"/>
    </row>
    <row r="534" ht="15.75" customHeight="1">
      <c r="A534" s="771"/>
      <c r="B534" s="771"/>
      <c r="C534" s="771"/>
      <c r="D534" s="771"/>
      <c r="E534" s="771"/>
      <c r="F534" s="771"/>
      <c r="G534" s="771"/>
      <c r="H534" s="771"/>
      <c r="I534" s="771"/>
      <c r="J534" s="771"/>
      <c r="K534" s="771"/>
      <c r="L534" s="771"/>
      <c r="M534" s="771"/>
      <c r="N534" s="771"/>
      <c r="O534" s="771"/>
      <c r="P534" s="771"/>
      <c r="Q534" s="771"/>
      <c r="R534" s="771"/>
      <c r="S534" s="771"/>
      <c r="T534" s="771"/>
      <c r="U534" s="771"/>
      <c r="V534" s="771"/>
      <c r="W534" s="771"/>
      <c r="X534" s="771"/>
      <c r="Y534" s="771"/>
      <c r="Z534" s="771"/>
    </row>
    <row r="535" ht="15.75" customHeight="1">
      <c r="A535" s="771"/>
      <c r="B535" s="771"/>
      <c r="C535" s="771"/>
      <c r="D535" s="771"/>
      <c r="E535" s="771"/>
      <c r="F535" s="771"/>
      <c r="G535" s="771"/>
      <c r="H535" s="771"/>
      <c r="I535" s="771"/>
      <c r="J535" s="771"/>
      <c r="K535" s="771"/>
      <c r="L535" s="771"/>
      <c r="M535" s="771"/>
      <c r="N535" s="771"/>
      <c r="O535" s="771"/>
      <c r="P535" s="771"/>
      <c r="Q535" s="771"/>
      <c r="R535" s="771"/>
      <c r="S535" s="771"/>
      <c r="T535" s="771"/>
      <c r="U535" s="771"/>
      <c r="V535" s="771"/>
      <c r="W535" s="771"/>
      <c r="X535" s="771"/>
      <c r="Y535" s="771"/>
      <c r="Z535" s="771"/>
    </row>
    <row r="536" ht="15.75" customHeight="1">
      <c r="A536" s="771"/>
      <c r="B536" s="771"/>
      <c r="C536" s="771"/>
      <c r="D536" s="771"/>
      <c r="E536" s="771"/>
      <c r="F536" s="771"/>
      <c r="G536" s="771"/>
      <c r="H536" s="771"/>
      <c r="I536" s="771"/>
      <c r="J536" s="771"/>
      <c r="K536" s="771"/>
      <c r="L536" s="771"/>
      <c r="M536" s="771"/>
      <c r="N536" s="771"/>
      <c r="O536" s="771"/>
      <c r="P536" s="771"/>
      <c r="Q536" s="771"/>
      <c r="R536" s="771"/>
      <c r="S536" s="771"/>
      <c r="T536" s="771"/>
      <c r="U536" s="771"/>
      <c r="V536" s="771"/>
      <c r="W536" s="771"/>
      <c r="X536" s="771"/>
      <c r="Y536" s="771"/>
      <c r="Z536" s="771"/>
    </row>
    <row r="537" ht="15.75" customHeight="1">
      <c r="A537" s="771"/>
      <c r="B537" s="771"/>
      <c r="C537" s="771"/>
      <c r="D537" s="771"/>
      <c r="E537" s="771"/>
      <c r="F537" s="771"/>
      <c r="G537" s="771"/>
      <c r="H537" s="771"/>
      <c r="I537" s="771"/>
      <c r="J537" s="771"/>
      <c r="K537" s="771"/>
      <c r="L537" s="771"/>
      <c r="M537" s="771"/>
      <c r="N537" s="771"/>
      <c r="O537" s="771"/>
      <c r="P537" s="771"/>
      <c r="Q537" s="771"/>
      <c r="R537" s="771"/>
      <c r="S537" s="771"/>
      <c r="T537" s="771"/>
      <c r="U537" s="771"/>
      <c r="V537" s="771"/>
      <c r="W537" s="771"/>
      <c r="X537" s="771"/>
      <c r="Y537" s="771"/>
      <c r="Z537" s="771"/>
    </row>
    <row r="538" ht="15.75" customHeight="1">
      <c r="A538" s="771"/>
      <c r="B538" s="771"/>
      <c r="C538" s="771"/>
      <c r="D538" s="771"/>
      <c r="E538" s="771"/>
      <c r="F538" s="771"/>
      <c r="G538" s="771"/>
      <c r="H538" s="771"/>
      <c r="I538" s="771"/>
      <c r="J538" s="771"/>
      <c r="K538" s="771"/>
      <c r="L538" s="771"/>
      <c r="M538" s="771"/>
      <c r="N538" s="771"/>
      <c r="O538" s="771"/>
      <c r="P538" s="771"/>
      <c r="Q538" s="771"/>
      <c r="R538" s="771"/>
      <c r="S538" s="771"/>
      <c r="T538" s="771"/>
      <c r="U538" s="771"/>
      <c r="V538" s="771"/>
      <c r="W538" s="771"/>
      <c r="X538" s="771"/>
      <c r="Y538" s="771"/>
      <c r="Z538" s="771"/>
    </row>
    <row r="539" ht="15.75" customHeight="1">
      <c r="A539" s="771"/>
      <c r="B539" s="771"/>
      <c r="C539" s="771"/>
      <c r="D539" s="771"/>
      <c r="E539" s="771"/>
      <c r="F539" s="771"/>
      <c r="G539" s="771"/>
      <c r="H539" s="771"/>
      <c r="I539" s="771"/>
      <c r="J539" s="771"/>
      <c r="K539" s="771"/>
      <c r="L539" s="771"/>
      <c r="M539" s="771"/>
      <c r="N539" s="771"/>
      <c r="O539" s="771"/>
      <c r="P539" s="771"/>
      <c r="Q539" s="771"/>
      <c r="R539" s="771"/>
      <c r="S539" s="771"/>
      <c r="T539" s="771"/>
      <c r="U539" s="771"/>
      <c r="V539" s="771"/>
      <c r="W539" s="771"/>
      <c r="X539" s="771"/>
      <c r="Y539" s="771"/>
      <c r="Z539" s="771"/>
    </row>
    <row r="540" ht="15.75" customHeight="1">
      <c r="A540" s="771"/>
      <c r="B540" s="771"/>
      <c r="C540" s="771"/>
      <c r="D540" s="771"/>
      <c r="E540" s="771"/>
      <c r="F540" s="771"/>
      <c r="G540" s="771"/>
      <c r="H540" s="771"/>
      <c r="I540" s="771"/>
      <c r="J540" s="771"/>
      <c r="K540" s="771"/>
      <c r="L540" s="771"/>
      <c r="M540" s="771"/>
      <c r="N540" s="771"/>
      <c r="O540" s="771"/>
      <c r="P540" s="771"/>
      <c r="Q540" s="771"/>
      <c r="R540" s="771"/>
      <c r="S540" s="771"/>
      <c r="T540" s="771"/>
      <c r="U540" s="771"/>
      <c r="V540" s="771"/>
      <c r="W540" s="771"/>
      <c r="X540" s="771"/>
      <c r="Y540" s="771"/>
      <c r="Z540" s="771"/>
    </row>
    <row r="541" ht="15.75" customHeight="1">
      <c r="A541" s="771"/>
      <c r="B541" s="771"/>
      <c r="C541" s="771"/>
      <c r="D541" s="771"/>
      <c r="E541" s="771"/>
      <c r="F541" s="771"/>
      <c r="G541" s="771"/>
      <c r="H541" s="771"/>
      <c r="I541" s="771"/>
      <c r="J541" s="771"/>
      <c r="K541" s="771"/>
      <c r="L541" s="771"/>
      <c r="M541" s="771"/>
      <c r="N541" s="771"/>
      <c r="O541" s="771"/>
      <c r="P541" s="771"/>
      <c r="Q541" s="771"/>
      <c r="R541" s="771"/>
      <c r="S541" s="771"/>
      <c r="T541" s="771"/>
      <c r="U541" s="771"/>
      <c r="V541" s="771"/>
      <c r="W541" s="771"/>
      <c r="X541" s="771"/>
      <c r="Y541" s="771"/>
      <c r="Z541" s="771"/>
    </row>
    <row r="542" ht="15.75" customHeight="1">
      <c r="A542" s="771"/>
      <c r="B542" s="771"/>
      <c r="C542" s="771"/>
      <c r="D542" s="771"/>
      <c r="E542" s="771"/>
      <c r="F542" s="771"/>
      <c r="G542" s="771"/>
      <c r="H542" s="771"/>
      <c r="I542" s="771"/>
      <c r="J542" s="771"/>
      <c r="K542" s="771"/>
      <c r="L542" s="771"/>
      <c r="M542" s="771"/>
      <c r="N542" s="771"/>
      <c r="O542" s="771"/>
      <c r="P542" s="771"/>
      <c r="Q542" s="771"/>
      <c r="R542" s="771"/>
      <c r="S542" s="771"/>
      <c r="T542" s="771"/>
      <c r="U542" s="771"/>
      <c r="V542" s="771"/>
      <c r="W542" s="771"/>
      <c r="X542" s="771"/>
      <c r="Y542" s="771"/>
      <c r="Z542" s="771"/>
    </row>
    <row r="543" ht="15.75" customHeight="1">
      <c r="A543" s="771"/>
      <c r="B543" s="771"/>
      <c r="C543" s="771"/>
      <c r="D543" s="771"/>
      <c r="E543" s="771"/>
      <c r="F543" s="771"/>
      <c r="G543" s="771"/>
      <c r="H543" s="771"/>
      <c r="I543" s="771"/>
      <c r="J543" s="771"/>
      <c r="K543" s="771"/>
      <c r="L543" s="771"/>
      <c r="M543" s="771"/>
      <c r="N543" s="771"/>
      <c r="O543" s="771"/>
      <c r="P543" s="771"/>
      <c r="Q543" s="771"/>
      <c r="R543" s="771"/>
      <c r="S543" s="771"/>
      <c r="T543" s="771"/>
      <c r="U543" s="771"/>
      <c r="V543" s="771"/>
      <c r="W543" s="771"/>
      <c r="X543" s="771"/>
      <c r="Y543" s="771"/>
      <c r="Z543" s="771"/>
    </row>
    <row r="544" ht="15.75" customHeight="1">
      <c r="A544" s="771"/>
      <c r="B544" s="771"/>
      <c r="C544" s="771"/>
      <c r="D544" s="771"/>
      <c r="E544" s="771"/>
      <c r="F544" s="771"/>
      <c r="G544" s="771"/>
      <c r="H544" s="771"/>
      <c r="I544" s="771"/>
      <c r="J544" s="771"/>
      <c r="K544" s="771"/>
      <c r="L544" s="771"/>
      <c r="M544" s="771"/>
      <c r="N544" s="771"/>
      <c r="O544" s="771"/>
      <c r="P544" s="771"/>
      <c r="Q544" s="771"/>
      <c r="R544" s="771"/>
      <c r="S544" s="771"/>
      <c r="T544" s="771"/>
      <c r="U544" s="771"/>
      <c r="V544" s="771"/>
      <c r="W544" s="771"/>
      <c r="X544" s="771"/>
      <c r="Y544" s="771"/>
      <c r="Z544" s="771"/>
    </row>
    <row r="545" ht="15.75" customHeight="1">
      <c r="A545" s="771"/>
      <c r="B545" s="771"/>
      <c r="C545" s="771"/>
      <c r="D545" s="771"/>
      <c r="E545" s="771"/>
      <c r="F545" s="771"/>
      <c r="G545" s="771"/>
      <c r="H545" s="771"/>
      <c r="I545" s="771"/>
      <c r="J545" s="771"/>
      <c r="K545" s="771"/>
      <c r="L545" s="771"/>
      <c r="M545" s="771"/>
      <c r="N545" s="771"/>
      <c r="O545" s="771"/>
      <c r="P545" s="771"/>
      <c r="Q545" s="771"/>
      <c r="R545" s="771"/>
      <c r="S545" s="771"/>
      <c r="T545" s="771"/>
      <c r="U545" s="771"/>
      <c r="V545" s="771"/>
      <c r="W545" s="771"/>
      <c r="X545" s="771"/>
      <c r="Y545" s="771"/>
      <c r="Z545" s="771"/>
    </row>
    <row r="546" ht="15.75" customHeight="1">
      <c r="A546" s="771"/>
      <c r="B546" s="771"/>
      <c r="C546" s="771"/>
      <c r="D546" s="771"/>
      <c r="E546" s="771"/>
      <c r="F546" s="771"/>
      <c r="G546" s="771"/>
      <c r="H546" s="771"/>
      <c r="I546" s="771"/>
      <c r="J546" s="771"/>
      <c r="K546" s="771"/>
      <c r="L546" s="771"/>
      <c r="M546" s="771"/>
      <c r="N546" s="771"/>
      <c r="O546" s="771"/>
      <c r="P546" s="771"/>
      <c r="Q546" s="771"/>
      <c r="R546" s="771"/>
      <c r="S546" s="771"/>
      <c r="T546" s="771"/>
      <c r="U546" s="771"/>
      <c r="V546" s="771"/>
      <c r="W546" s="771"/>
      <c r="X546" s="771"/>
      <c r="Y546" s="771"/>
      <c r="Z546" s="771"/>
    </row>
    <row r="547" ht="15.75" customHeight="1">
      <c r="A547" s="771"/>
      <c r="B547" s="771"/>
      <c r="C547" s="771"/>
      <c r="D547" s="771"/>
      <c r="E547" s="771"/>
      <c r="F547" s="771"/>
      <c r="G547" s="771"/>
      <c r="H547" s="771"/>
      <c r="I547" s="771"/>
      <c r="J547" s="771"/>
      <c r="K547" s="771"/>
      <c r="L547" s="771"/>
      <c r="M547" s="771"/>
      <c r="N547" s="771"/>
      <c r="O547" s="771"/>
      <c r="P547" s="771"/>
      <c r="Q547" s="771"/>
      <c r="R547" s="771"/>
      <c r="S547" s="771"/>
      <c r="T547" s="771"/>
      <c r="U547" s="771"/>
      <c r="V547" s="771"/>
      <c r="W547" s="771"/>
      <c r="X547" s="771"/>
      <c r="Y547" s="771"/>
      <c r="Z547" s="771"/>
    </row>
    <row r="548" ht="15.75" customHeight="1">
      <c r="A548" s="771"/>
      <c r="B548" s="771"/>
      <c r="C548" s="771"/>
      <c r="D548" s="771"/>
      <c r="E548" s="771"/>
      <c r="F548" s="771"/>
      <c r="G548" s="771"/>
      <c r="H548" s="771"/>
      <c r="I548" s="771"/>
      <c r="J548" s="771"/>
      <c r="K548" s="771"/>
      <c r="L548" s="771"/>
      <c r="M548" s="771"/>
      <c r="N548" s="771"/>
      <c r="O548" s="771"/>
      <c r="P548" s="771"/>
      <c r="Q548" s="771"/>
      <c r="R548" s="771"/>
      <c r="S548" s="771"/>
      <c r="T548" s="771"/>
      <c r="U548" s="771"/>
      <c r="V548" s="771"/>
      <c r="W548" s="771"/>
      <c r="X548" s="771"/>
      <c r="Y548" s="771"/>
      <c r="Z548" s="771"/>
    </row>
    <row r="549" ht="15.75" customHeight="1">
      <c r="A549" s="771"/>
      <c r="B549" s="771"/>
      <c r="C549" s="771"/>
      <c r="D549" s="771"/>
      <c r="E549" s="771"/>
      <c r="F549" s="771"/>
      <c r="G549" s="771"/>
      <c r="H549" s="771"/>
      <c r="I549" s="771"/>
      <c r="J549" s="771"/>
      <c r="K549" s="771"/>
      <c r="L549" s="771"/>
      <c r="M549" s="771"/>
      <c r="N549" s="771"/>
      <c r="O549" s="771"/>
      <c r="P549" s="771"/>
      <c r="Q549" s="771"/>
      <c r="R549" s="771"/>
      <c r="S549" s="771"/>
      <c r="T549" s="771"/>
      <c r="U549" s="771"/>
      <c r="V549" s="771"/>
      <c r="W549" s="771"/>
      <c r="X549" s="771"/>
      <c r="Y549" s="771"/>
      <c r="Z549" s="771"/>
    </row>
    <row r="550" ht="15.75" customHeight="1">
      <c r="A550" s="771"/>
      <c r="B550" s="771"/>
      <c r="C550" s="771"/>
      <c r="D550" s="771"/>
      <c r="E550" s="771"/>
      <c r="F550" s="771"/>
      <c r="G550" s="771"/>
      <c r="H550" s="771"/>
      <c r="I550" s="771"/>
      <c r="J550" s="771"/>
      <c r="K550" s="771"/>
      <c r="L550" s="771"/>
      <c r="M550" s="771"/>
      <c r="N550" s="771"/>
      <c r="O550" s="771"/>
      <c r="P550" s="771"/>
      <c r="Q550" s="771"/>
      <c r="R550" s="771"/>
      <c r="S550" s="771"/>
      <c r="T550" s="771"/>
      <c r="U550" s="771"/>
      <c r="V550" s="771"/>
      <c r="W550" s="771"/>
      <c r="X550" s="771"/>
      <c r="Y550" s="771"/>
      <c r="Z550" s="771"/>
    </row>
    <row r="551" ht="15.75" customHeight="1">
      <c r="A551" s="771"/>
      <c r="B551" s="771"/>
      <c r="C551" s="771"/>
      <c r="D551" s="771"/>
      <c r="E551" s="771"/>
      <c r="F551" s="771"/>
      <c r="G551" s="771"/>
      <c r="H551" s="771"/>
      <c r="I551" s="771"/>
      <c r="J551" s="771"/>
      <c r="K551" s="771"/>
      <c r="L551" s="771"/>
      <c r="M551" s="771"/>
      <c r="N551" s="771"/>
      <c r="O551" s="771"/>
      <c r="P551" s="771"/>
      <c r="Q551" s="771"/>
      <c r="R551" s="771"/>
      <c r="S551" s="771"/>
      <c r="T551" s="771"/>
      <c r="U551" s="771"/>
      <c r="V551" s="771"/>
      <c r="W551" s="771"/>
      <c r="X551" s="771"/>
      <c r="Y551" s="771"/>
      <c r="Z551" s="771"/>
    </row>
    <row r="552" ht="15.75" customHeight="1">
      <c r="A552" s="771"/>
      <c r="B552" s="771"/>
      <c r="C552" s="771"/>
      <c r="D552" s="771"/>
      <c r="E552" s="771"/>
      <c r="F552" s="771"/>
      <c r="G552" s="771"/>
      <c r="H552" s="771"/>
      <c r="I552" s="771"/>
      <c r="J552" s="771"/>
      <c r="K552" s="771"/>
      <c r="L552" s="771"/>
      <c r="M552" s="771"/>
      <c r="N552" s="771"/>
      <c r="O552" s="771"/>
      <c r="P552" s="771"/>
      <c r="Q552" s="771"/>
      <c r="R552" s="771"/>
      <c r="S552" s="771"/>
      <c r="T552" s="771"/>
      <c r="U552" s="771"/>
      <c r="V552" s="771"/>
      <c r="W552" s="771"/>
      <c r="X552" s="771"/>
      <c r="Y552" s="771"/>
      <c r="Z552" s="771"/>
    </row>
    <row r="553" ht="15.75" customHeight="1">
      <c r="A553" s="771"/>
      <c r="B553" s="771"/>
      <c r="C553" s="771"/>
      <c r="D553" s="771"/>
      <c r="E553" s="771"/>
      <c r="F553" s="771"/>
      <c r="G553" s="771"/>
      <c r="H553" s="771"/>
      <c r="I553" s="771"/>
      <c r="J553" s="771"/>
      <c r="K553" s="771"/>
      <c r="L553" s="771"/>
      <c r="M553" s="771"/>
      <c r="N553" s="771"/>
      <c r="O553" s="771"/>
      <c r="P553" s="771"/>
      <c r="Q553" s="771"/>
      <c r="R553" s="771"/>
      <c r="S553" s="771"/>
      <c r="T553" s="771"/>
      <c r="U553" s="771"/>
      <c r="V553" s="771"/>
      <c r="W553" s="771"/>
      <c r="X553" s="771"/>
      <c r="Y553" s="771"/>
      <c r="Z553" s="771"/>
    </row>
    <row r="554" ht="15.75" customHeight="1">
      <c r="A554" s="771"/>
      <c r="B554" s="771"/>
      <c r="C554" s="771"/>
      <c r="D554" s="771"/>
      <c r="E554" s="771"/>
      <c r="F554" s="771"/>
      <c r="G554" s="771"/>
      <c r="H554" s="771"/>
      <c r="I554" s="771"/>
      <c r="J554" s="771"/>
      <c r="K554" s="771"/>
      <c r="L554" s="771"/>
      <c r="M554" s="771"/>
      <c r="N554" s="771"/>
      <c r="O554" s="771"/>
      <c r="P554" s="771"/>
      <c r="Q554" s="771"/>
      <c r="R554" s="771"/>
      <c r="S554" s="771"/>
      <c r="T554" s="771"/>
      <c r="U554" s="771"/>
      <c r="V554" s="771"/>
      <c r="W554" s="771"/>
      <c r="X554" s="771"/>
      <c r="Y554" s="771"/>
      <c r="Z554" s="771"/>
    </row>
    <row r="555" ht="15.75" customHeight="1">
      <c r="A555" s="771"/>
      <c r="B555" s="771"/>
      <c r="C555" s="771"/>
      <c r="D555" s="771"/>
      <c r="E555" s="771"/>
      <c r="F555" s="771"/>
      <c r="G555" s="771"/>
      <c r="H555" s="771"/>
      <c r="I555" s="771"/>
      <c r="J555" s="771"/>
      <c r="K555" s="771"/>
      <c r="L555" s="771"/>
      <c r="M555" s="771"/>
      <c r="N555" s="771"/>
      <c r="O555" s="771"/>
      <c r="P555" s="771"/>
      <c r="Q555" s="771"/>
      <c r="R555" s="771"/>
      <c r="S555" s="771"/>
      <c r="T555" s="771"/>
      <c r="U555" s="771"/>
      <c r="V555" s="771"/>
      <c r="W555" s="771"/>
      <c r="X555" s="771"/>
      <c r="Y555" s="771"/>
      <c r="Z555" s="771"/>
    </row>
    <row r="556" ht="15.75" customHeight="1">
      <c r="A556" s="771"/>
      <c r="B556" s="771"/>
      <c r="C556" s="771"/>
      <c r="D556" s="771"/>
      <c r="E556" s="771"/>
      <c r="F556" s="771"/>
      <c r="G556" s="771"/>
      <c r="H556" s="771"/>
      <c r="I556" s="771"/>
      <c r="J556" s="771"/>
      <c r="K556" s="771"/>
      <c r="L556" s="771"/>
      <c r="M556" s="771"/>
      <c r="N556" s="771"/>
      <c r="O556" s="771"/>
      <c r="P556" s="771"/>
      <c r="Q556" s="771"/>
      <c r="R556" s="771"/>
      <c r="S556" s="771"/>
      <c r="T556" s="771"/>
      <c r="U556" s="771"/>
      <c r="V556" s="771"/>
      <c r="W556" s="771"/>
      <c r="X556" s="771"/>
      <c r="Y556" s="771"/>
      <c r="Z556" s="771"/>
    </row>
    <row r="557" ht="15.75" customHeight="1">
      <c r="A557" s="771"/>
      <c r="B557" s="771"/>
      <c r="C557" s="771"/>
      <c r="D557" s="771"/>
      <c r="E557" s="771"/>
      <c r="F557" s="771"/>
      <c r="G557" s="771"/>
      <c r="H557" s="771"/>
      <c r="I557" s="771"/>
      <c r="J557" s="771"/>
      <c r="K557" s="771"/>
      <c r="L557" s="771"/>
      <c r="M557" s="771"/>
      <c r="N557" s="771"/>
      <c r="O557" s="771"/>
      <c r="P557" s="771"/>
      <c r="Q557" s="771"/>
      <c r="R557" s="771"/>
      <c r="S557" s="771"/>
      <c r="T557" s="771"/>
      <c r="U557" s="771"/>
      <c r="V557" s="771"/>
      <c r="W557" s="771"/>
      <c r="X557" s="771"/>
      <c r="Y557" s="771"/>
      <c r="Z557" s="771"/>
    </row>
    <row r="558" ht="15.75" customHeight="1">
      <c r="A558" s="771"/>
      <c r="B558" s="771"/>
      <c r="C558" s="771"/>
      <c r="D558" s="771"/>
      <c r="E558" s="771"/>
      <c r="F558" s="771"/>
      <c r="G558" s="771"/>
      <c r="H558" s="771"/>
      <c r="I558" s="771"/>
      <c r="J558" s="771"/>
      <c r="K558" s="771"/>
      <c r="L558" s="771"/>
      <c r="M558" s="771"/>
      <c r="N558" s="771"/>
      <c r="O558" s="771"/>
      <c r="P558" s="771"/>
      <c r="Q558" s="771"/>
      <c r="R558" s="771"/>
      <c r="S558" s="771"/>
      <c r="T558" s="771"/>
      <c r="U558" s="771"/>
      <c r="V558" s="771"/>
      <c r="W558" s="771"/>
      <c r="X558" s="771"/>
      <c r="Y558" s="771"/>
      <c r="Z558" s="771"/>
    </row>
    <row r="559" ht="15.75" customHeight="1">
      <c r="A559" s="771"/>
      <c r="B559" s="771"/>
      <c r="C559" s="771"/>
      <c r="D559" s="771"/>
      <c r="E559" s="771"/>
      <c r="F559" s="771"/>
      <c r="G559" s="771"/>
      <c r="H559" s="771"/>
      <c r="I559" s="771"/>
      <c r="J559" s="771"/>
      <c r="K559" s="771"/>
      <c r="L559" s="771"/>
      <c r="M559" s="771"/>
      <c r="N559" s="771"/>
      <c r="O559" s="771"/>
      <c r="P559" s="771"/>
      <c r="Q559" s="771"/>
      <c r="R559" s="771"/>
      <c r="S559" s="771"/>
      <c r="T559" s="771"/>
      <c r="U559" s="771"/>
      <c r="V559" s="771"/>
      <c r="W559" s="771"/>
      <c r="X559" s="771"/>
      <c r="Y559" s="771"/>
      <c r="Z559" s="771"/>
    </row>
    <row r="560" ht="15.75" customHeight="1">
      <c r="A560" s="771"/>
      <c r="B560" s="771"/>
      <c r="C560" s="771"/>
      <c r="D560" s="771"/>
      <c r="E560" s="771"/>
      <c r="F560" s="771"/>
      <c r="G560" s="771"/>
      <c r="H560" s="771"/>
      <c r="I560" s="771"/>
      <c r="J560" s="771"/>
      <c r="K560" s="771"/>
      <c r="L560" s="771"/>
      <c r="M560" s="771"/>
      <c r="N560" s="771"/>
      <c r="O560" s="771"/>
      <c r="P560" s="771"/>
      <c r="Q560" s="771"/>
      <c r="R560" s="771"/>
      <c r="S560" s="771"/>
      <c r="T560" s="771"/>
      <c r="U560" s="771"/>
      <c r="V560" s="771"/>
      <c r="W560" s="771"/>
      <c r="X560" s="771"/>
      <c r="Y560" s="771"/>
      <c r="Z560" s="771"/>
    </row>
    <row r="561" ht="15.75" customHeight="1">
      <c r="A561" s="771"/>
      <c r="B561" s="771"/>
      <c r="C561" s="771"/>
      <c r="D561" s="771"/>
      <c r="E561" s="771"/>
      <c r="F561" s="771"/>
      <c r="G561" s="771"/>
      <c r="H561" s="771"/>
      <c r="I561" s="771"/>
      <c r="J561" s="771"/>
      <c r="K561" s="771"/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71"/>
      <c r="W561" s="771"/>
      <c r="X561" s="771"/>
      <c r="Y561" s="771"/>
      <c r="Z561" s="771"/>
    </row>
    <row r="562" ht="15.75" customHeight="1">
      <c r="A562" s="771"/>
      <c r="B562" s="771"/>
      <c r="C562" s="771"/>
      <c r="D562" s="771"/>
      <c r="E562" s="771"/>
      <c r="F562" s="771"/>
      <c r="G562" s="771"/>
      <c r="H562" s="771"/>
      <c r="I562" s="771"/>
      <c r="J562" s="771"/>
      <c r="K562" s="771"/>
      <c r="L562" s="771"/>
      <c r="M562" s="771"/>
      <c r="N562" s="771"/>
      <c r="O562" s="771"/>
      <c r="P562" s="771"/>
      <c r="Q562" s="771"/>
      <c r="R562" s="771"/>
      <c r="S562" s="771"/>
      <c r="T562" s="771"/>
      <c r="U562" s="771"/>
      <c r="V562" s="771"/>
      <c r="W562" s="771"/>
      <c r="X562" s="771"/>
      <c r="Y562" s="771"/>
      <c r="Z562" s="771"/>
    </row>
    <row r="563" ht="15.75" customHeight="1">
      <c r="A563" s="771"/>
      <c r="B563" s="771"/>
      <c r="C563" s="771"/>
      <c r="D563" s="771"/>
      <c r="E563" s="771"/>
      <c r="F563" s="771"/>
      <c r="G563" s="771"/>
      <c r="H563" s="771"/>
      <c r="I563" s="771"/>
      <c r="J563" s="771"/>
      <c r="K563" s="771"/>
      <c r="L563" s="771"/>
      <c r="M563" s="771"/>
      <c r="N563" s="771"/>
      <c r="O563" s="771"/>
      <c r="P563" s="771"/>
      <c r="Q563" s="771"/>
      <c r="R563" s="771"/>
      <c r="S563" s="771"/>
      <c r="T563" s="771"/>
      <c r="U563" s="771"/>
      <c r="V563" s="771"/>
      <c r="W563" s="771"/>
      <c r="X563" s="771"/>
      <c r="Y563" s="771"/>
      <c r="Z563" s="771"/>
    </row>
    <row r="564" ht="15.75" customHeight="1">
      <c r="A564" s="771"/>
      <c r="B564" s="771"/>
      <c r="C564" s="771"/>
      <c r="D564" s="771"/>
      <c r="E564" s="771"/>
      <c r="F564" s="771"/>
      <c r="G564" s="771"/>
      <c r="H564" s="771"/>
      <c r="I564" s="771"/>
      <c r="J564" s="771"/>
      <c r="K564" s="771"/>
      <c r="L564" s="771"/>
      <c r="M564" s="771"/>
      <c r="N564" s="771"/>
      <c r="O564" s="771"/>
      <c r="P564" s="771"/>
      <c r="Q564" s="771"/>
      <c r="R564" s="771"/>
      <c r="S564" s="771"/>
      <c r="T564" s="771"/>
      <c r="U564" s="771"/>
      <c r="V564" s="771"/>
      <c r="W564" s="771"/>
      <c r="X564" s="771"/>
      <c r="Y564" s="771"/>
      <c r="Z564" s="771"/>
    </row>
    <row r="565" ht="15.75" customHeight="1">
      <c r="A565" s="771"/>
      <c r="B565" s="771"/>
      <c r="C565" s="771"/>
      <c r="D565" s="771"/>
      <c r="E565" s="771"/>
      <c r="F565" s="771"/>
      <c r="G565" s="771"/>
      <c r="H565" s="771"/>
      <c r="I565" s="771"/>
      <c r="J565" s="771"/>
      <c r="K565" s="771"/>
      <c r="L565" s="771"/>
      <c r="M565" s="771"/>
      <c r="N565" s="771"/>
      <c r="O565" s="771"/>
      <c r="P565" s="771"/>
      <c r="Q565" s="771"/>
      <c r="R565" s="771"/>
      <c r="S565" s="771"/>
      <c r="T565" s="771"/>
      <c r="U565" s="771"/>
      <c r="V565" s="771"/>
      <c r="W565" s="771"/>
      <c r="X565" s="771"/>
      <c r="Y565" s="771"/>
      <c r="Z565" s="771"/>
    </row>
    <row r="566" ht="15.75" customHeight="1">
      <c r="A566" s="771"/>
      <c r="B566" s="771"/>
      <c r="C566" s="771"/>
      <c r="D566" s="771"/>
      <c r="E566" s="771"/>
      <c r="F566" s="771"/>
      <c r="G566" s="771"/>
      <c r="H566" s="771"/>
      <c r="I566" s="771"/>
      <c r="J566" s="771"/>
      <c r="K566" s="771"/>
      <c r="L566" s="771"/>
      <c r="M566" s="771"/>
      <c r="N566" s="771"/>
      <c r="O566" s="771"/>
      <c r="P566" s="771"/>
      <c r="Q566" s="771"/>
      <c r="R566" s="771"/>
      <c r="S566" s="771"/>
      <c r="T566" s="771"/>
      <c r="U566" s="771"/>
      <c r="V566" s="771"/>
      <c r="W566" s="771"/>
      <c r="X566" s="771"/>
      <c r="Y566" s="771"/>
      <c r="Z566" s="771"/>
    </row>
    <row r="567" ht="15.75" customHeight="1">
      <c r="A567" s="771"/>
      <c r="B567" s="771"/>
      <c r="C567" s="771"/>
      <c r="D567" s="771"/>
      <c r="E567" s="771"/>
      <c r="F567" s="771"/>
      <c r="G567" s="771"/>
      <c r="H567" s="771"/>
      <c r="I567" s="771"/>
      <c r="J567" s="771"/>
      <c r="K567" s="771"/>
      <c r="L567" s="771"/>
      <c r="M567" s="771"/>
      <c r="N567" s="771"/>
      <c r="O567" s="771"/>
      <c r="P567" s="771"/>
      <c r="Q567" s="771"/>
      <c r="R567" s="771"/>
      <c r="S567" s="771"/>
      <c r="T567" s="771"/>
      <c r="U567" s="771"/>
      <c r="V567" s="771"/>
      <c r="W567" s="771"/>
      <c r="X567" s="771"/>
      <c r="Y567" s="771"/>
      <c r="Z567" s="771"/>
    </row>
    <row r="568" ht="15.75" customHeight="1">
      <c r="A568" s="771"/>
      <c r="B568" s="771"/>
      <c r="C568" s="771"/>
      <c r="D568" s="771"/>
      <c r="E568" s="771"/>
      <c r="F568" s="771"/>
      <c r="G568" s="771"/>
      <c r="H568" s="771"/>
      <c r="I568" s="771"/>
      <c r="J568" s="771"/>
      <c r="K568" s="771"/>
      <c r="L568" s="771"/>
      <c r="M568" s="771"/>
      <c r="N568" s="771"/>
      <c r="O568" s="771"/>
      <c r="P568" s="771"/>
      <c r="Q568" s="771"/>
      <c r="R568" s="771"/>
      <c r="S568" s="771"/>
      <c r="T568" s="771"/>
      <c r="U568" s="771"/>
      <c r="V568" s="771"/>
      <c r="W568" s="771"/>
      <c r="X568" s="771"/>
      <c r="Y568" s="771"/>
      <c r="Z568" s="771"/>
    </row>
    <row r="569" ht="15.75" customHeight="1">
      <c r="A569" s="771"/>
      <c r="B569" s="771"/>
      <c r="C569" s="771"/>
      <c r="D569" s="771"/>
      <c r="E569" s="771"/>
      <c r="F569" s="771"/>
      <c r="G569" s="771"/>
      <c r="H569" s="771"/>
      <c r="I569" s="771"/>
      <c r="J569" s="771"/>
      <c r="K569" s="771"/>
      <c r="L569" s="771"/>
      <c r="M569" s="771"/>
      <c r="N569" s="771"/>
      <c r="O569" s="771"/>
      <c r="P569" s="771"/>
      <c r="Q569" s="771"/>
      <c r="R569" s="771"/>
      <c r="S569" s="771"/>
      <c r="T569" s="771"/>
      <c r="U569" s="771"/>
      <c r="V569" s="771"/>
      <c r="W569" s="771"/>
      <c r="X569" s="771"/>
      <c r="Y569" s="771"/>
      <c r="Z569" s="771"/>
    </row>
    <row r="570" ht="15.75" customHeight="1">
      <c r="A570" s="771"/>
      <c r="B570" s="771"/>
      <c r="C570" s="771"/>
      <c r="D570" s="771"/>
      <c r="E570" s="771"/>
      <c r="F570" s="771"/>
      <c r="G570" s="771"/>
      <c r="H570" s="771"/>
      <c r="I570" s="771"/>
      <c r="J570" s="771"/>
      <c r="K570" s="771"/>
      <c r="L570" s="771"/>
      <c r="M570" s="771"/>
      <c r="N570" s="771"/>
      <c r="O570" s="771"/>
      <c r="P570" s="771"/>
      <c r="Q570" s="771"/>
      <c r="R570" s="771"/>
      <c r="S570" s="771"/>
      <c r="T570" s="771"/>
      <c r="U570" s="771"/>
      <c r="V570" s="771"/>
      <c r="W570" s="771"/>
      <c r="X570" s="771"/>
      <c r="Y570" s="771"/>
      <c r="Z570" s="771"/>
    </row>
    <row r="571" ht="15.75" customHeight="1">
      <c r="A571" s="771"/>
      <c r="B571" s="771"/>
      <c r="C571" s="771"/>
      <c r="D571" s="771"/>
      <c r="E571" s="771"/>
      <c r="F571" s="771"/>
      <c r="G571" s="771"/>
      <c r="H571" s="771"/>
      <c r="I571" s="771"/>
      <c r="J571" s="771"/>
      <c r="K571" s="771"/>
      <c r="L571" s="771"/>
      <c r="M571" s="771"/>
      <c r="N571" s="771"/>
      <c r="O571" s="771"/>
      <c r="P571" s="771"/>
      <c r="Q571" s="771"/>
      <c r="R571" s="771"/>
      <c r="S571" s="771"/>
      <c r="T571" s="771"/>
      <c r="U571" s="771"/>
      <c r="V571" s="771"/>
      <c r="W571" s="771"/>
      <c r="X571" s="771"/>
      <c r="Y571" s="771"/>
      <c r="Z571" s="771"/>
    </row>
    <row r="572" ht="15.75" customHeight="1">
      <c r="A572" s="771"/>
      <c r="B572" s="771"/>
      <c r="C572" s="771"/>
      <c r="D572" s="771"/>
      <c r="E572" s="771"/>
      <c r="F572" s="771"/>
      <c r="G572" s="771"/>
      <c r="H572" s="771"/>
      <c r="I572" s="771"/>
      <c r="J572" s="771"/>
      <c r="K572" s="771"/>
      <c r="L572" s="771"/>
      <c r="M572" s="771"/>
      <c r="N572" s="771"/>
      <c r="O572" s="771"/>
      <c r="P572" s="771"/>
      <c r="Q572" s="771"/>
      <c r="R572" s="771"/>
      <c r="S572" s="771"/>
      <c r="T572" s="771"/>
      <c r="U572" s="771"/>
      <c r="V572" s="771"/>
      <c r="W572" s="771"/>
      <c r="X572" s="771"/>
      <c r="Y572" s="771"/>
      <c r="Z572" s="771"/>
    </row>
    <row r="573" ht="15.75" customHeight="1">
      <c r="A573" s="771"/>
      <c r="B573" s="771"/>
      <c r="C573" s="771"/>
      <c r="D573" s="771"/>
      <c r="E573" s="771"/>
      <c r="F573" s="771"/>
      <c r="G573" s="771"/>
      <c r="H573" s="771"/>
      <c r="I573" s="771"/>
      <c r="J573" s="771"/>
      <c r="K573" s="771"/>
      <c r="L573" s="771"/>
      <c r="M573" s="771"/>
      <c r="N573" s="771"/>
      <c r="O573" s="771"/>
      <c r="P573" s="771"/>
      <c r="Q573" s="771"/>
      <c r="R573" s="771"/>
      <c r="S573" s="771"/>
      <c r="T573" s="771"/>
      <c r="U573" s="771"/>
      <c r="V573" s="771"/>
      <c r="W573" s="771"/>
      <c r="X573" s="771"/>
      <c r="Y573" s="771"/>
      <c r="Z573" s="771"/>
    </row>
    <row r="574" ht="15.75" customHeight="1">
      <c r="A574" s="771"/>
      <c r="B574" s="771"/>
      <c r="C574" s="771"/>
      <c r="D574" s="771"/>
      <c r="E574" s="771"/>
      <c r="F574" s="771"/>
      <c r="G574" s="771"/>
      <c r="H574" s="771"/>
      <c r="I574" s="771"/>
      <c r="J574" s="771"/>
      <c r="K574" s="771"/>
      <c r="L574" s="771"/>
      <c r="M574" s="771"/>
      <c r="N574" s="771"/>
      <c r="O574" s="771"/>
      <c r="P574" s="771"/>
      <c r="Q574" s="771"/>
      <c r="R574" s="771"/>
      <c r="S574" s="771"/>
      <c r="T574" s="771"/>
      <c r="U574" s="771"/>
      <c r="V574" s="771"/>
      <c r="W574" s="771"/>
      <c r="X574" s="771"/>
      <c r="Y574" s="771"/>
      <c r="Z574" s="771"/>
    </row>
    <row r="575" ht="15.75" customHeight="1">
      <c r="A575" s="771"/>
      <c r="B575" s="771"/>
      <c r="C575" s="771"/>
      <c r="D575" s="771"/>
      <c r="E575" s="771"/>
      <c r="F575" s="771"/>
      <c r="G575" s="771"/>
      <c r="H575" s="771"/>
      <c r="I575" s="771"/>
      <c r="J575" s="771"/>
      <c r="K575" s="771"/>
      <c r="L575" s="771"/>
      <c r="M575" s="771"/>
      <c r="N575" s="771"/>
      <c r="O575" s="771"/>
      <c r="P575" s="771"/>
      <c r="Q575" s="771"/>
      <c r="R575" s="771"/>
      <c r="S575" s="771"/>
      <c r="T575" s="771"/>
      <c r="U575" s="771"/>
      <c r="V575" s="771"/>
      <c r="W575" s="771"/>
      <c r="X575" s="771"/>
      <c r="Y575" s="771"/>
      <c r="Z575" s="771"/>
    </row>
    <row r="576" ht="15.75" customHeight="1">
      <c r="A576" s="771"/>
      <c r="B576" s="771"/>
      <c r="C576" s="771"/>
      <c r="D576" s="771"/>
      <c r="E576" s="771"/>
      <c r="F576" s="771"/>
      <c r="G576" s="771"/>
      <c r="H576" s="771"/>
      <c r="I576" s="771"/>
      <c r="J576" s="771"/>
      <c r="K576" s="771"/>
      <c r="L576" s="771"/>
      <c r="M576" s="771"/>
      <c r="N576" s="771"/>
      <c r="O576" s="771"/>
      <c r="P576" s="771"/>
      <c r="Q576" s="771"/>
      <c r="R576" s="771"/>
      <c r="S576" s="771"/>
      <c r="T576" s="771"/>
      <c r="U576" s="771"/>
      <c r="V576" s="771"/>
      <c r="W576" s="771"/>
      <c r="X576" s="771"/>
      <c r="Y576" s="771"/>
      <c r="Z576" s="771"/>
    </row>
    <row r="577" ht="15.75" customHeight="1">
      <c r="A577" s="771"/>
      <c r="B577" s="771"/>
      <c r="C577" s="771"/>
      <c r="D577" s="771"/>
      <c r="E577" s="771"/>
      <c r="F577" s="771"/>
      <c r="G577" s="771"/>
      <c r="H577" s="771"/>
      <c r="I577" s="771"/>
      <c r="J577" s="771"/>
      <c r="K577" s="771"/>
      <c r="L577" s="771"/>
      <c r="M577" s="771"/>
      <c r="N577" s="771"/>
      <c r="O577" s="771"/>
      <c r="P577" s="771"/>
      <c r="Q577" s="771"/>
      <c r="R577" s="771"/>
      <c r="S577" s="771"/>
      <c r="T577" s="771"/>
      <c r="U577" s="771"/>
      <c r="V577" s="771"/>
      <c r="W577" s="771"/>
      <c r="X577" s="771"/>
      <c r="Y577" s="771"/>
      <c r="Z577" s="771"/>
    </row>
    <row r="578" ht="15.75" customHeight="1">
      <c r="A578" s="771"/>
      <c r="B578" s="771"/>
      <c r="C578" s="771"/>
      <c r="D578" s="771"/>
      <c r="E578" s="771"/>
      <c r="F578" s="771"/>
      <c r="G578" s="771"/>
      <c r="H578" s="771"/>
      <c r="I578" s="771"/>
      <c r="J578" s="771"/>
      <c r="K578" s="771"/>
      <c r="L578" s="771"/>
      <c r="M578" s="771"/>
      <c r="N578" s="771"/>
      <c r="O578" s="771"/>
      <c r="P578" s="771"/>
      <c r="Q578" s="771"/>
      <c r="R578" s="771"/>
      <c r="S578" s="771"/>
      <c r="T578" s="771"/>
      <c r="U578" s="771"/>
      <c r="V578" s="771"/>
      <c r="W578" s="771"/>
      <c r="X578" s="771"/>
      <c r="Y578" s="771"/>
      <c r="Z578" s="771"/>
    </row>
    <row r="579" ht="15.75" customHeight="1">
      <c r="A579" s="771"/>
      <c r="B579" s="771"/>
      <c r="C579" s="771"/>
      <c r="D579" s="771"/>
      <c r="E579" s="771"/>
      <c r="F579" s="771"/>
      <c r="G579" s="771"/>
      <c r="H579" s="771"/>
      <c r="I579" s="771"/>
      <c r="J579" s="771"/>
      <c r="K579" s="771"/>
      <c r="L579" s="771"/>
      <c r="M579" s="771"/>
      <c r="N579" s="771"/>
      <c r="O579" s="771"/>
      <c r="P579" s="771"/>
      <c r="Q579" s="771"/>
      <c r="R579" s="771"/>
      <c r="S579" s="771"/>
      <c r="T579" s="771"/>
      <c r="U579" s="771"/>
      <c r="V579" s="771"/>
      <c r="W579" s="771"/>
      <c r="X579" s="771"/>
      <c r="Y579" s="771"/>
      <c r="Z579" s="771"/>
    </row>
    <row r="580" ht="15.75" customHeight="1">
      <c r="A580" s="771"/>
      <c r="B580" s="771"/>
      <c r="C580" s="771"/>
      <c r="D580" s="771"/>
      <c r="E580" s="771"/>
      <c r="F580" s="771"/>
      <c r="G580" s="771"/>
      <c r="H580" s="771"/>
      <c r="I580" s="771"/>
      <c r="J580" s="771"/>
      <c r="K580" s="771"/>
      <c r="L580" s="771"/>
      <c r="M580" s="771"/>
      <c r="N580" s="771"/>
      <c r="O580" s="771"/>
      <c r="P580" s="771"/>
      <c r="Q580" s="771"/>
      <c r="R580" s="771"/>
      <c r="S580" s="771"/>
      <c r="T580" s="771"/>
      <c r="U580" s="771"/>
      <c r="V580" s="771"/>
      <c r="W580" s="771"/>
      <c r="X580" s="771"/>
      <c r="Y580" s="771"/>
      <c r="Z580" s="771"/>
    </row>
    <row r="581" ht="15.75" customHeight="1">
      <c r="A581" s="771"/>
      <c r="B581" s="771"/>
      <c r="C581" s="771"/>
      <c r="D581" s="771"/>
      <c r="E581" s="771"/>
      <c r="F581" s="771"/>
      <c r="G581" s="771"/>
      <c r="H581" s="771"/>
      <c r="I581" s="771"/>
      <c r="J581" s="771"/>
      <c r="K581" s="771"/>
      <c r="L581" s="771"/>
      <c r="M581" s="771"/>
      <c r="N581" s="771"/>
      <c r="O581" s="771"/>
      <c r="P581" s="771"/>
      <c r="Q581" s="771"/>
      <c r="R581" s="771"/>
      <c r="S581" s="771"/>
      <c r="T581" s="771"/>
      <c r="U581" s="771"/>
      <c r="V581" s="771"/>
      <c r="W581" s="771"/>
      <c r="X581" s="771"/>
      <c r="Y581" s="771"/>
      <c r="Z581" s="771"/>
    </row>
    <row r="582" ht="15.75" customHeight="1">
      <c r="A582" s="771"/>
      <c r="B582" s="771"/>
      <c r="C582" s="771"/>
      <c r="D582" s="771"/>
      <c r="E582" s="771"/>
      <c r="F582" s="771"/>
      <c r="G582" s="771"/>
      <c r="H582" s="771"/>
      <c r="I582" s="771"/>
      <c r="J582" s="771"/>
      <c r="K582" s="771"/>
      <c r="L582" s="771"/>
      <c r="M582" s="771"/>
      <c r="N582" s="771"/>
      <c r="O582" s="771"/>
      <c r="P582" s="771"/>
      <c r="Q582" s="771"/>
      <c r="R582" s="771"/>
      <c r="S582" s="771"/>
      <c r="T582" s="771"/>
      <c r="U582" s="771"/>
      <c r="V582" s="771"/>
      <c r="W582" s="771"/>
      <c r="X582" s="771"/>
      <c r="Y582" s="771"/>
      <c r="Z582" s="771"/>
    </row>
    <row r="583" ht="15.75" customHeight="1">
      <c r="A583" s="771"/>
      <c r="B583" s="771"/>
      <c r="C583" s="771"/>
      <c r="D583" s="771"/>
      <c r="E583" s="771"/>
      <c r="F583" s="771"/>
      <c r="G583" s="771"/>
      <c r="H583" s="771"/>
      <c r="I583" s="771"/>
      <c r="J583" s="771"/>
      <c r="K583" s="771"/>
      <c r="L583" s="771"/>
      <c r="M583" s="771"/>
      <c r="N583" s="771"/>
      <c r="O583" s="771"/>
      <c r="P583" s="771"/>
      <c r="Q583" s="771"/>
      <c r="R583" s="771"/>
      <c r="S583" s="771"/>
      <c r="T583" s="771"/>
      <c r="U583" s="771"/>
      <c r="V583" s="771"/>
      <c r="W583" s="771"/>
      <c r="X583" s="771"/>
      <c r="Y583" s="771"/>
      <c r="Z583" s="771"/>
    </row>
    <row r="584" ht="15.75" customHeight="1">
      <c r="A584" s="771"/>
      <c r="B584" s="771"/>
      <c r="C584" s="771"/>
      <c r="D584" s="771"/>
      <c r="E584" s="771"/>
      <c r="F584" s="771"/>
      <c r="G584" s="771"/>
      <c r="H584" s="771"/>
      <c r="I584" s="771"/>
      <c r="J584" s="771"/>
      <c r="K584" s="771"/>
      <c r="L584" s="771"/>
      <c r="M584" s="771"/>
      <c r="N584" s="771"/>
      <c r="O584" s="771"/>
      <c r="P584" s="771"/>
      <c r="Q584" s="771"/>
      <c r="R584" s="771"/>
      <c r="S584" s="771"/>
      <c r="T584" s="771"/>
      <c r="U584" s="771"/>
      <c r="V584" s="771"/>
      <c r="W584" s="771"/>
      <c r="X584" s="771"/>
      <c r="Y584" s="771"/>
      <c r="Z584" s="771"/>
    </row>
    <row r="585" ht="15.75" customHeight="1">
      <c r="A585" s="771"/>
      <c r="B585" s="771"/>
      <c r="C585" s="771"/>
      <c r="D585" s="771"/>
      <c r="E585" s="771"/>
      <c r="F585" s="771"/>
      <c r="G585" s="771"/>
      <c r="H585" s="771"/>
      <c r="I585" s="771"/>
      <c r="J585" s="771"/>
      <c r="K585" s="771"/>
      <c r="L585" s="771"/>
      <c r="M585" s="771"/>
      <c r="N585" s="771"/>
      <c r="O585" s="771"/>
      <c r="P585" s="771"/>
      <c r="Q585" s="771"/>
      <c r="R585" s="771"/>
      <c r="S585" s="771"/>
      <c r="T585" s="771"/>
      <c r="U585" s="771"/>
      <c r="V585" s="771"/>
      <c r="W585" s="771"/>
      <c r="X585" s="771"/>
      <c r="Y585" s="771"/>
      <c r="Z585" s="771"/>
    </row>
    <row r="586" ht="15.75" customHeight="1">
      <c r="A586" s="771"/>
      <c r="B586" s="771"/>
      <c r="C586" s="771"/>
      <c r="D586" s="771"/>
      <c r="E586" s="771"/>
      <c r="F586" s="771"/>
      <c r="G586" s="771"/>
      <c r="H586" s="771"/>
      <c r="I586" s="771"/>
      <c r="J586" s="771"/>
      <c r="K586" s="771"/>
      <c r="L586" s="771"/>
      <c r="M586" s="771"/>
      <c r="N586" s="771"/>
      <c r="O586" s="771"/>
      <c r="P586" s="771"/>
      <c r="Q586" s="771"/>
      <c r="R586" s="771"/>
      <c r="S586" s="771"/>
      <c r="T586" s="771"/>
      <c r="U586" s="771"/>
      <c r="V586" s="771"/>
      <c r="W586" s="771"/>
      <c r="X586" s="771"/>
      <c r="Y586" s="771"/>
      <c r="Z586" s="771"/>
    </row>
    <row r="587" ht="15.75" customHeight="1">
      <c r="A587" s="771"/>
      <c r="B587" s="771"/>
      <c r="C587" s="771"/>
      <c r="D587" s="771"/>
      <c r="E587" s="771"/>
      <c r="F587" s="771"/>
      <c r="G587" s="771"/>
      <c r="H587" s="771"/>
      <c r="I587" s="771"/>
      <c r="J587" s="771"/>
      <c r="K587" s="771"/>
      <c r="L587" s="771"/>
      <c r="M587" s="771"/>
      <c r="N587" s="771"/>
      <c r="O587" s="771"/>
      <c r="P587" s="771"/>
      <c r="Q587" s="771"/>
      <c r="R587" s="771"/>
      <c r="S587" s="771"/>
      <c r="T587" s="771"/>
      <c r="U587" s="771"/>
      <c r="V587" s="771"/>
      <c r="W587" s="771"/>
      <c r="X587" s="771"/>
      <c r="Y587" s="771"/>
      <c r="Z587" s="771"/>
    </row>
    <row r="588" ht="15.75" customHeight="1">
      <c r="A588" s="771"/>
      <c r="B588" s="771"/>
      <c r="C588" s="771"/>
      <c r="D588" s="771"/>
      <c r="E588" s="771"/>
      <c r="F588" s="771"/>
      <c r="G588" s="771"/>
      <c r="H588" s="771"/>
      <c r="I588" s="771"/>
      <c r="J588" s="771"/>
      <c r="K588" s="771"/>
      <c r="L588" s="771"/>
      <c r="M588" s="771"/>
      <c r="N588" s="771"/>
      <c r="O588" s="771"/>
      <c r="P588" s="771"/>
      <c r="Q588" s="771"/>
      <c r="R588" s="771"/>
      <c r="S588" s="771"/>
      <c r="T588" s="771"/>
      <c r="U588" s="771"/>
      <c r="V588" s="771"/>
      <c r="W588" s="771"/>
      <c r="X588" s="771"/>
      <c r="Y588" s="771"/>
      <c r="Z588" s="771"/>
    </row>
    <row r="589" ht="15.75" customHeight="1">
      <c r="A589" s="771"/>
      <c r="B589" s="771"/>
      <c r="C589" s="771"/>
      <c r="D589" s="771"/>
      <c r="E589" s="771"/>
      <c r="F589" s="771"/>
      <c r="G589" s="771"/>
      <c r="H589" s="771"/>
      <c r="I589" s="771"/>
      <c r="J589" s="771"/>
      <c r="K589" s="771"/>
      <c r="L589" s="771"/>
      <c r="M589" s="771"/>
      <c r="N589" s="771"/>
      <c r="O589" s="771"/>
      <c r="P589" s="771"/>
      <c r="Q589" s="771"/>
      <c r="R589" s="771"/>
      <c r="S589" s="771"/>
      <c r="T589" s="771"/>
      <c r="U589" s="771"/>
      <c r="V589" s="771"/>
      <c r="W589" s="771"/>
      <c r="X589" s="771"/>
      <c r="Y589" s="771"/>
      <c r="Z589" s="771"/>
    </row>
    <row r="590" ht="15.75" customHeight="1">
      <c r="A590" s="771"/>
      <c r="B590" s="771"/>
      <c r="C590" s="771"/>
      <c r="D590" s="771"/>
      <c r="E590" s="771"/>
      <c r="F590" s="771"/>
      <c r="G590" s="771"/>
      <c r="H590" s="771"/>
      <c r="I590" s="771"/>
      <c r="J590" s="771"/>
      <c r="K590" s="771"/>
      <c r="L590" s="771"/>
      <c r="M590" s="771"/>
      <c r="N590" s="771"/>
      <c r="O590" s="771"/>
      <c r="P590" s="771"/>
      <c r="Q590" s="771"/>
      <c r="R590" s="771"/>
      <c r="S590" s="771"/>
      <c r="T590" s="771"/>
      <c r="U590" s="771"/>
      <c r="V590" s="771"/>
      <c r="W590" s="771"/>
      <c r="X590" s="771"/>
      <c r="Y590" s="771"/>
      <c r="Z590" s="771"/>
    </row>
    <row r="591" ht="15.75" customHeight="1">
      <c r="A591" s="771"/>
      <c r="B591" s="771"/>
      <c r="C591" s="771"/>
      <c r="D591" s="771"/>
      <c r="E591" s="771"/>
      <c r="F591" s="771"/>
      <c r="G591" s="771"/>
      <c r="H591" s="771"/>
      <c r="I591" s="771"/>
      <c r="J591" s="771"/>
      <c r="K591" s="771"/>
      <c r="L591" s="771"/>
      <c r="M591" s="771"/>
      <c r="N591" s="771"/>
      <c r="O591" s="771"/>
      <c r="P591" s="771"/>
      <c r="Q591" s="771"/>
      <c r="R591" s="771"/>
      <c r="S591" s="771"/>
      <c r="T591" s="771"/>
      <c r="U591" s="771"/>
      <c r="V591" s="771"/>
      <c r="W591" s="771"/>
      <c r="X591" s="771"/>
      <c r="Y591" s="771"/>
      <c r="Z591" s="771"/>
    </row>
    <row r="592" ht="15.75" customHeight="1">
      <c r="A592" s="771"/>
      <c r="B592" s="771"/>
      <c r="C592" s="771"/>
      <c r="D592" s="771"/>
      <c r="E592" s="771"/>
      <c r="F592" s="771"/>
      <c r="G592" s="771"/>
      <c r="H592" s="771"/>
      <c r="I592" s="771"/>
      <c r="J592" s="771"/>
      <c r="K592" s="771"/>
      <c r="L592" s="771"/>
      <c r="M592" s="771"/>
      <c r="N592" s="771"/>
      <c r="O592" s="771"/>
      <c r="P592" s="771"/>
      <c r="Q592" s="771"/>
      <c r="R592" s="771"/>
      <c r="S592" s="771"/>
      <c r="T592" s="771"/>
      <c r="U592" s="771"/>
      <c r="V592" s="771"/>
      <c r="W592" s="771"/>
      <c r="X592" s="771"/>
      <c r="Y592" s="771"/>
      <c r="Z592" s="771"/>
    </row>
    <row r="593" ht="15.75" customHeight="1">
      <c r="A593" s="771"/>
      <c r="B593" s="771"/>
      <c r="C593" s="771"/>
      <c r="D593" s="771"/>
      <c r="E593" s="771"/>
      <c r="F593" s="771"/>
      <c r="G593" s="771"/>
      <c r="H593" s="771"/>
      <c r="I593" s="771"/>
      <c r="J593" s="771"/>
      <c r="K593" s="771"/>
      <c r="L593" s="771"/>
      <c r="M593" s="771"/>
      <c r="N593" s="771"/>
      <c r="O593" s="771"/>
      <c r="P593" s="771"/>
      <c r="Q593" s="771"/>
      <c r="R593" s="771"/>
      <c r="S593" s="771"/>
      <c r="T593" s="771"/>
      <c r="U593" s="771"/>
      <c r="V593" s="771"/>
      <c r="W593" s="771"/>
      <c r="X593" s="771"/>
      <c r="Y593" s="771"/>
      <c r="Z593" s="771"/>
    </row>
    <row r="594" ht="15.75" customHeight="1">
      <c r="A594" s="771"/>
      <c r="B594" s="771"/>
      <c r="C594" s="771"/>
      <c r="D594" s="771"/>
      <c r="E594" s="771"/>
      <c r="F594" s="771"/>
      <c r="G594" s="771"/>
      <c r="H594" s="771"/>
      <c r="I594" s="771"/>
      <c r="J594" s="771"/>
      <c r="K594" s="771"/>
      <c r="L594" s="771"/>
      <c r="M594" s="771"/>
      <c r="N594" s="771"/>
      <c r="O594" s="771"/>
      <c r="P594" s="771"/>
      <c r="Q594" s="771"/>
      <c r="R594" s="771"/>
      <c r="S594" s="771"/>
      <c r="T594" s="771"/>
      <c r="U594" s="771"/>
      <c r="V594" s="771"/>
      <c r="W594" s="771"/>
      <c r="X594" s="771"/>
      <c r="Y594" s="771"/>
      <c r="Z594" s="771"/>
    </row>
    <row r="595" ht="15.75" customHeight="1">
      <c r="A595" s="771"/>
      <c r="B595" s="771"/>
      <c r="C595" s="771"/>
      <c r="D595" s="771"/>
      <c r="E595" s="771"/>
      <c r="F595" s="771"/>
      <c r="G595" s="771"/>
      <c r="H595" s="771"/>
      <c r="I595" s="771"/>
      <c r="J595" s="771"/>
      <c r="K595" s="771"/>
      <c r="L595" s="771"/>
      <c r="M595" s="771"/>
      <c r="N595" s="771"/>
      <c r="O595" s="771"/>
      <c r="P595" s="771"/>
      <c r="Q595" s="771"/>
      <c r="R595" s="771"/>
      <c r="S595" s="771"/>
      <c r="T595" s="771"/>
      <c r="U595" s="771"/>
      <c r="V595" s="771"/>
      <c r="W595" s="771"/>
      <c r="X595" s="771"/>
      <c r="Y595" s="771"/>
      <c r="Z595" s="771"/>
    </row>
    <row r="596" ht="15.75" customHeight="1">
      <c r="A596" s="771"/>
      <c r="B596" s="771"/>
      <c r="C596" s="771"/>
      <c r="D596" s="771"/>
      <c r="E596" s="771"/>
      <c r="F596" s="771"/>
      <c r="G596" s="771"/>
      <c r="H596" s="771"/>
      <c r="I596" s="771"/>
      <c r="J596" s="771"/>
      <c r="K596" s="771"/>
      <c r="L596" s="771"/>
      <c r="M596" s="771"/>
      <c r="N596" s="771"/>
      <c r="O596" s="771"/>
      <c r="P596" s="771"/>
      <c r="Q596" s="771"/>
      <c r="R596" s="771"/>
      <c r="S596" s="771"/>
      <c r="T596" s="771"/>
      <c r="U596" s="771"/>
      <c r="V596" s="771"/>
      <c r="W596" s="771"/>
      <c r="X596" s="771"/>
      <c r="Y596" s="771"/>
      <c r="Z596" s="771"/>
    </row>
    <row r="597" ht="15.75" customHeight="1">
      <c r="A597" s="771"/>
      <c r="B597" s="771"/>
      <c r="C597" s="771"/>
      <c r="D597" s="771"/>
      <c r="E597" s="771"/>
      <c r="F597" s="771"/>
      <c r="G597" s="771"/>
      <c r="H597" s="771"/>
      <c r="I597" s="771"/>
      <c r="J597" s="771"/>
      <c r="K597" s="771"/>
      <c r="L597" s="771"/>
      <c r="M597" s="771"/>
      <c r="N597" s="771"/>
      <c r="O597" s="771"/>
      <c r="P597" s="771"/>
      <c r="Q597" s="771"/>
      <c r="R597" s="771"/>
      <c r="S597" s="771"/>
      <c r="T597" s="771"/>
      <c r="U597" s="771"/>
      <c r="V597" s="771"/>
      <c r="W597" s="771"/>
      <c r="X597" s="771"/>
      <c r="Y597" s="771"/>
      <c r="Z597" s="771"/>
    </row>
    <row r="598" ht="15.75" customHeight="1">
      <c r="A598" s="771"/>
      <c r="B598" s="771"/>
      <c r="C598" s="771"/>
      <c r="D598" s="771"/>
      <c r="E598" s="771"/>
      <c r="F598" s="771"/>
      <c r="G598" s="771"/>
      <c r="H598" s="771"/>
      <c r="I598" s="771"/>
      <c r="J598" s="771"/>
      <c r="K598" s="771"/>
      <c r="L598" s="771"/>
      <c r="M598" s="771"/>
      <c r="N598" s="771"/>
      <c r="O598" s="771"/>
      <c r="P598" s="771"/>
      <c r="Q598" s="771"/>
      <c r="R598" s="771"/>
      <c r="S598" s="771"/>
      <c r="T598" s="771"/>
      <c r="U598" s="771"/>
      <c r="V598" s="771"/>
      <c r="W598" s="771"/>
      <c r="X598" s="771"/>
      <c r="Y598" s="771"/>
      <c r="Z598" s="771"/>
    </row>
    <row r="599" ht="15.75" customHeight="1">
      <c r="A599" s="771"/>
      <c r="B599" s="771"/>
      <c r="C599" s="771"/>
      <c r="D599" s="771"/>
      <c r="E599" s="771"/>
      <c r="F599" s="771"/>
      <c r="G599" s="771"/>
      <c r="H599" s="771"/>
      <c r="I599" s="771"/>
      <c r="J599" s="771"/>
      <c r="K599" s="771"/>
      <c r="L599" s="771"/>
      <c r="M599" s="771"/>
      <c r="N599" s="771"/>
      <c r="O599" s="771"/>
      <c r="P599" s="771"/>
      <c r="Q599" s="771"/>
      <c r="R599" s="771"/>
      <c r="S599" s="771"/>
      <c r="T599" s="771"/>
      <c r="U599" s="771"/>
      <c r="V599" s="771"/>
      <c r="W599" s="771"/>
      <c r="X599" s="771"/>
      <c r="Y599" s="771"/>
      <c r="Z599" s="771"/>
    </row>
    <row r="600" ht="15.75" customHeight="1">
      <c r="A600" s="771"/>
      <c r="B600" s="771"/>
      <c r="C600" s="771"/>
      <c r="D600" s="771"/>
      <c r="E600" s="771"/>
      <c r="F600" s="771"/>
      <c r="G600" s="771"/>
      <c r="H600" s="771"/>
      <c r="I600" s="771"/>
      <c r="J600" s="771"/>
      <c r="K600" s="771"/>
      <c r="L600" s="771"/>
      <c r="M600" s="771"/>
      <c r="N600" s="771"/>
      <c r="O600" s="771"/>
      <c r="P600" s="771"/>
      <c r="Q600" s="771"/>
      <c r="R600" s="771"/>
      <c r="S600" s="771"/>
      <c r="T600" s="771"/>
      <c r="U600" s="771"/>
      <c r="V600" s="771"/>
      <c r="W600" s="771"/>
      <c r="X600" s="771"/>
      <c r="Y600" s="771"/>
      <c r="Z600" s="771"/>
    </row>
    <row r="601" ht="15.75" customHeight="1">
      <c r="A601" s="771"/>
      <c r="B601" s="771"/>
      <c r="C601" s="771"/>
      <c r="D601" s="771"/>
      <c r="E601" s="771"/>
      <c r="F601" s="771"/>
      <c r="G601" s="771"/>
      <c r="H601" s="771"/>
      <c r="I601" s="771"/>
      <c r="J601" s="771"/>
      <c r="K601" s="771"/>
      <c r="L601" s="771"/>
      <c r="M601" s="771"/>
      <c r="N601" s="771"/>
      <c r="O601" s="771"/>
      <c r="P601" s="771"/>
      <c r="Q601" s="771"/>
      <c r="R601" s="771"/>
      <c r="S601" s="771"/>
      <c r="T601" s="771"/>
      <c r="U601" s="771"/>
      <c r="V601" s="771"/>
      <c r="W601" s="771"/>
      <c r="X601" s="771"/>
      <c r="Y601" s="771"/>
      <c r="Z601" s="771"/>
    </row>
    <row r="602" ht="15.75" customHeight="1">
      <c r="A602" s="771"/>
      <c r="B602" s="771"/>
      <c r="C602" s="771"/>
      <c r="D602" s="771"/>
      <c r="E602" s="771"/>
      <c r="F602" s="771"/>
      <c r="G602" s="771"/>
      <c r="H602" s="771"/>
      <c r="I602" s="771"/>
      <c r="J602" s="771"/>
      <c r="K602" s="771"/>
      <c r="L602" s="771"/>
      <c r="M602" s="771"/>
      <c r="N602" s="771"/>
      <c r="O602" s="771"/>
      <c r="P602" s="771"/>
      <c r="Q602" s="771"/>
      <c r="R602" s="771"/>
      <c r="S602" s="771"/>
      <c r="T602" s="771"/>
      <c r="U602" s="771"/>
      <c r="V602" s="771"/>
      <c r="W602" s="771"/>
      <c r="X602" s="771"/>
      <c r="Y602" s="771"/>
      <c r="Z602" s="771"/>
    </row>
    <row r="603" ht="15.75" customHeight="1">
      <c r="A603" s="771"/>
      <c r="B603" s="771"/>
      <c r="C603" s="771"/>
      <c r="D603" s="771"/>
      <c r="E603" s="771"/>
      <c r="F603" s="771"/>
      <c r="G603" s="771"/>
      <c r="H603" s="771"/>
      <c r="I603" s="771"/>
      <c r="J603" s="771"/>
      <c r="K603" s="771"/>
      <c r="L603" s="771"/>
      <c r="M603" s="771"/>
      <c r="N603" s="771"/>
      <c r="O603" s="771"/>
      <c r="P603" s="771"/>
      <c r="Q603" s="771"/>
      <c r="R603" s="771"/>
      <c r="S603" s="771"/>
      <c r="T603" s="771"/>
      <c r="U603" s="771"/>
      <c r="V603" s="771"/>
      <c r="W603" s="771"/>
      <c r="X603" s="771"/>
      <c r="Y603" s="771"/>
      <c r="Z603" s="771"/>
    </row>
    <row r="604" ht="15.75" customHeight="1">
      <c r="A604" s="771"/>
      <c r="B604" s="771"/>
      <c r="C604" s="771"/>
      <c r="D604" s="771"/>
      <c r="E604" s="771"/>
      <c r="F604" s="771"/>
      <c r="G604" s="771"/>
      <c r="H604" s="771"/>
      <c r="I604" s="771"/>
      <c r="J604" s="771"/>
      <c r="K604" s="771"/>
      <c r="L604" s="771"/>
      <c r="M604" s="771"/>
      <c r="N604" s="771"/>
      <c r="O604" s="771"/>
      <c r="P604" s="771"/>
      <c r="Q604" s="771"/>
      <c r="R604" s="771"/>
      <c r="S604" s="771"/>
      <c r="T604" s="771"/>
      <c r="U604" s="771"/>
      <c r="V604" s="771"/>
      <c r="W604" s="771"/>
      <c r="X604" s="771"/>
      <c r="Y604" s="771"/>
      <c r="Z604" s="771"/>
    </row>
    <row r="605" ht="15.75" customHeight="1">
      <c r="A605" s="771"/>
      <c r="B605" s="771"/>
      <c r="C605" s="771"/>
      <c r="D605" s="771"/>
      <c r="E605" s="771"/>
      <c r="F605" s="771"/>
      <c r="G605" s="771"/>
      <c r="H605" s="771"/>
      <c r="I605" s="771"/>
      <c r="J605" s="771"/>
      <c r="K605" s="771"/>
      <c r="L605" s="771"/>
      <c r="M605" s="771"/>
      <c r="N605" s="771"/>
      <c r="O605" s="771"/>
      <c r="P605" s="771"/>
      <c r="Q605" s="771"/>
      <c r="R605" s="771"/>
      <c r="S605" s="771"/>
      <c r="T605" s="771"/>
      <c r="U605" s="771"/>
      <c r="V605" s="771"/>
      <c r="W605" s="771"/>
      <c r="X605" s="771"/>
      <c r="Y605" s="771"/>
      <c r="Z605" s="771"/>
    </row>
    <row r="606" ht="15.75" customHeight="1">
      <c r="A606" s="771"/>
      <c r="B606" s="771"/>
      <c r="C606" s="771"/>
      <c r="D606" s="771"/>
      <c r="E606" s="771"/>
      <c r="F606" s="771"/>
      <c r="G606" s="771"/>
      <c r="H606" s="771"/>
      <c r="I606" s="771"/>
      <c r="J606" s="771"/>
      <c r="K606" s="771"/>
      <c r="L606" s="771"/>
      <c r="M606" s="771"/>
      <c r="N606" s="771"/>
      <c r="O606" s="771"/>
      <c r="P606" s="771"/>
      <c r="Q606" s="771"/>
      <c r="R606" s="771"/>
      <c r="S606" s="771"/>
      <c r="T606" s="771"/>
      <c r="U606" s="771"/>
      <c r="V606" s="771"/>
      <c r="W606" s="771"/>
      <c r="X606" s="771"/>
      <c r="Y606" s="771"/>
      <c r="Z606" s="771"/>
    </row>
    <row r="607" ht="15.75" customHeight="1">
      <c r="A607" s="771"/>
      <c r="B607" s="771"/>
      <c r="C607" s="771"/>
      <c r="D607" s="771"/>
      <c r="E607" s="771"/>
      <c r="F607" s="771"/>
      <c r="G607" s="771"/>
      <c r="H607" s="771"/>
      <c r="I607" s="771"/>
      <c r="J607" s="771"/>
      <c r="K607" s="771"/>
      <c r="L607" s="771"/>
      <c r="M607" s="771"/>
      <c r="N607" s="771"/>
      <c r="O607" s="771"/>
      <c r="P607" s="771"/>
      <c r="Q607" s="771"/>
      <c r="R607" s="771"/>
      <c r="S607" s="771"/>
      <c r="T607" s="771"/>
      <c r="U607" s="771"/>
      <c r="V607" s="771"/>
      <c r="W607" s="771"/>
      <c r="X607" s="771"/>
      <c r="Y607" s="771"/>
      <c r="Z607" s="771"/>
    </row>
    <row r="608" ht="15.75" customHeight="1">
      <c r="A608" s="771"/>
      <c r="B608" s="771"/>
      <c r="C608" s="771"/>
      <c r="D608" s="771"/>
      <c r="E608" s="771"/>
      <c r="F608" s="771"/>
      <c r="G608" s="771"/>
      <c r="H608" s="771"/>
      <c r="I608" s="771"/>
      <c r="J608" s="771"/>
      <c r="K608" s="771"/>
      <c r="L608" s="771"/>
      <c r="M608" s="771"/>
      <c r="N608" s="771"/>
      <c r="O608" s="771"/>
      <c r="P608" s="771"/>
      <c r="Q608" s="771"/>
      <c r="R608" s="771"/>
      <c r="S608" s="771"/>
      <c r="T608" s="771"/>
      <c r="U608" s="771"/>
      <c r="V608" s="771"/>
      <c r="W608" s="771"/>
      <c r="X608" s="771"/>
      <c r="Y608" s="771"/>
      <c r="Z608" s="771"/>
    </row>
    <row r="609" ht="15.75" customHeight="1">
      <c r="A609" s="771"/>
      <c r="B609" s="771"/>
      <c r="C609" s="771"/>
      <c r="D609" s="771"/>
      <c r="E609" s="771"/>
      <c r="F609" s="771"/>
      <c r="G609" s="771"/>
      <c r="H609" s="771"/>
      <c r="I609" s="771"/>
      <c r="J609" s="771"/>
      <c r="K609" s="771"/>
      <c r="L609" s="771"/>
      <c r="M609" s="771"/>
      <c r="N609" s="771"/>
      <c r="O609" s="771"/>
      <c r="P609" s="771"/>
      <c r="Q609" s="771"/>
      <c r="R609" s="771"/>
      <c r="S609" s="771"/>
      <c r="T609" s="771"/>
      <c r="U609" s="771"/>
      <c r="V609" s="771"/>
      <c r="W609" s="771"/>
      <c r="X609" s="771"/>
      <c r="Y609" s="771"/>
      <c r="Z609" s="771"/>
    </row>
    <row r="610" ht="15.75" customHeight="1">
      <c r="A610" s="771"/>
      <c r="B610" s="771"/>
      <c r="C610" s="771"/>
      <c r="D610" s="771"/>
      <c r="E610" s="771"/>
      <c r="F610" s="771"/>
      <c r="G610" s="771"/>
      <c r="H610" s="771"/>
      <c r="I610" s="771"/>
      <c r="J610" s="771"/>
      <c r="K610" s="771"/>
      <c r="L610" s="771"/>
      <c r="M610" s="771"/>
      <c r="N610" s="771"/>
      <c r="O610" s="771"/>
      <c r="P610" s="771"/>
      <c r="Q610" s="771"/>
      <c r="R610" s="771"/>
      <c r="S610" s="771"/>
      <c r="T610" s="771"/>
      <c r="U610" s="771"/>
      <c r="V610" s="771"/>
      <c r="W610" s="771"/>
      <c r="X610" s="771"/>
      <c r="Y610" s="771"/>
      <c r="Z610" s="771"/>
    </row>
    <row r="611" ht="15.75" customHeight="1">
      <c r="A611" s="771"/>
      <c r="B611" s="771"/>
      <c r="C611" s="771"/>
      <c r="D611" s="771"/>
      <c r="E611" s="771"/>
      <c r="F611" s="771"/>
      <c r="G611" s="771"/>
      <c r="H611" s="771"/>
      <c r="I611" s="771"/>
      <c r="J611" s="771"/>
      <c r="K611" s="771"/>
      <c r="L611" s="771"/>
      <c r="M611" s="771"/>
      <c r="N611" s="771"/>
      <c r="O611" s="771"/>
      <c r="P611" s="771"/>
      <c r="Q611" s="771"/>
      <c r="R611" s="771"/>
      <c r="S611" s="771"/>
      <c r="T611" s="771"/>
      <c r="U611" s="771"/>
      <c r="V611" s="771"/>
      <c r="W611" s="771"/>
      <c r="X611" s="771"/>
      <c r="Y611" s="771"/>
      <c r="Z611" s="771"/>
    </row>
    <row r="612" ht="15.75" customHeight="1">
      <c r="A612" s="771"/>
      <c r="B612" s="771"/>
      <c r="C612" s="771"/>
      <c r="D612" s="771"/>
      <c r="E612" s="771"/>
      <c r="F612" s="771"/>
      <c r="G612" s="771"/>
      <c r="H612" s="771"/>
      <c r="I612" s="771"/>
      <c r="J612" s="771"/>
      <c r="K612" s="771"/>
      <c r="L612" s="771"/>
      <c r="M612" s="771"/>
      <c r="N612" s="771"/>
      <c r="O612" s="771"/>
      <c r="P612" s="771"/>
      <c r="Q612" s="771"/>
      <c r="R612" s="771"/>
      <c r="S612" s="771"/>
      <c r="T612" s="771"/>
      <c r="U612" s="771"/>
      <c r="V612" s="771"/>
      <c r="W612" s="771"/>
      <c r="X612" s="771"/>
      <c r="Y612" s="771"/>
      <c r="Z612" s="771"/>
    </row>
    <row r="613" ht="15.75" customHeight="1">
      <c r="A613" s="771"/>
      <c r="B613" s="771"/>
      <c r="C613" s="771"/>
      <c r="D613" s="771"/>
      <c r="E613" s="771"/>
      <c r="F613" s="771"/>
      <c r="G613" s="771"/>
      <c r="H613" s="771"/>
      <c r="I613" s="771"/>
      <c r="J613" s="771"/>
      <c r="K613" s="771"/>
      <c r="L613" s="771"/>
      <c r="M613" s="771"/>
      <c r="N613" s="771"/>
      <c r="O613" s="771"/>
      <c r="P613" s="771"/>
      <c r="Q613" s="771"/>
      <c r="R613" s="771"/>
      <c r="S613" s="771"/>
      <c r="T613" s="771"/>
      <c r="U613" s="771"/>
      <c r="V613" s="771"/>
      <c r="W613" s="771"/>
      <c r="X613" s="771"/>
      <c r="Y613" s="771"/>
      <c r="Z613" s="771"/>
    </row>
    <row r="614" ht="15.75" customHeight="1">
      <c r="A614" s="771"/>
      <c r="B614" s="771"/>
      <c r="C614" s="771"/>
      <c r="D614" s="771"/>
      <c r="E614" s="771"/>
      <c r="F614" s="771"/>
      <c r="G614" s="771"/>
      <c r="H614" s="771"/>
      <c r="I614" s="771"/>
      <c r="J614" s="771"/>
      <c r="K614" s="771"/>
      <c r="L614" s="771"/>
      <c r="M614" s="771"/>
      <c r="N614" s="771"/>
      <c r="O614" s="771"/>
      <c r="P614" s="771"/>
      <c r="Q614" s="771"/>
      <c r="R614" s="771"/>
      <c r="S614" s="771"/>
      <c r="T614" s="771"/>
      <c r="U614" s="771"/>
      <c r="V614" s="771"/>
      <c r="W614" s="771"/>
      <c r="X614" s="771"/>
      <c r="Y614" s="771"/>
      <c r="Z614" s="771"/>
    </row>
    <row r="615" ht="15.75" customHeight="1">
      <c r="A615" s="771"/>
      <c r="B615" s="771"/>
      <c r="C615" s="771"/>
      <c r="D615" s="771"/>
      <c r="E615" s="771"/>
      <c r="F615" s="771"/>
      <c r="G615" s="771"/>
      <c r="H615" s="771"/>
      <c r="I615" s="771"/>
      <c r="J615" s="771"/>
      <c r="K615" s="771"/>
      <c r="L615" s="771"/>
      <c r="M615" s="771"/>
      <c r="N615" s="771"/>
      <c r="O615" s="771"/>
      <c r="P615" s="771"/>
      <c r="Q615" s="771"/>
      <c r="R615" s="771"/>
      <c r="S615" s="771"/>
      <c r="T615" s="771"/>
      <c r="U615" s="771"/>
      <c r="V615" s="771"/>
      <c r="W615" s="771"/>
      <c r="X615" s="771"/>
      <c r="Y615" s="771"/>
      <c r="Z615" s="771"/>
    </row>
    <row r="616" ht="15.75" customHeight="1">
      <c r="A616" s="771"/>
      <c r="B616" s="771"/>
      <c r="C616" s="771"/>
      <c r="D616" s="771"/>
      <c r="E616" s="771"/>
      <c r="F616" s="771"/>
      <c r="G616" s="771"/>
      <c r="H616" s="771"/>
      <c r="I616" s="771"/>
      <c r="J616" s="771"/>
      <c r="K616" s="771"/>
      <c r="L616" s="771"/>
      <c r="M616" s="771"/>
      <c r="N616" s="771"/>
      <c r="O616" s="771"/>
      <c r="P616" s="771"/>
      <c r="Q616" s="771"/>
      <c r="R616" s="771"/>
      <c r="S616" s="771"/>
      <c r="T616" s="771"/>
      <c r="U616" s="771"/>
      <c r="V616" s="771"/>
      <c r="W616" s="771"/>
      <c r="X616" s="771"/>
      <c r="Y616" s="771"/>
      <c r="Z616" s="771"/>
    </row>
    <row r="617" ht="15.75" customHeight="1">
      <c r="A617" s="771"/>
      <c r="B617" s="771"/>
      <c r="C617" s="771"/>
      <c r="D617" s="771"/>
      <c r="E617" s="771"/>
      <c r="F617" s="771"/>
      <c r="G617" s="771"/>
      <c r="H617" s="771"/>
      <c r="I617" s="771"/>
      <c r="J617" s="771"/>
      <c r="K617" s="771"/>
      <c r="L617" s="771"/>
      <c r="M617" s="771"/>
      <c r="N617" s="771"/>
      <c r="O617" s="771"/>
      <c r="P617" s="771"/>
      <c r="Q617" s="771"/>
      <c r="R617" s="771"/>
      <c r="S617" s="771"/>
      <c r="T617" s="771"/>
      <c r="U617" s="771"/>
      <c r="V617" s="771"/>
      <c r="W617" s="771"/>
      <c r="X617" s="771"/>
      <c r="Y617" s="771"/>
      <c r="Z617" s="771"/>
    </row>
    <row r="618" ht="15.75" customHeight="1">
      <c r="A618" s="771"/>
      <c r="B618" s="771"/>
      <c r="C618" s="771"/>
      <c r="D618" s="771"/>
      <c r="E618" s="771"/>
      <c r="F618" s="771"/>
      <c r="G618" s="771"/>
      <c r="H618" s="771"/>
      <c r="I618" s="771"/>
      <c r="J618" s="771"/>
      <c r="K618" s="771"/>
      <c r="L618" s="771"/>
      <c r="M618" s="771"/>
      <c r="N618" s="771"/>
      <c r="O618" s="771"/>
      <c r="P618" s="771"/>
      <c r="Q618" s="771"/>
      <c r="R618" s="771"/>
      <c r="S618" s="771"/>
      <c r="T618" s="771"/>
      <c r="U618" s="771"/>
      <c r="V618" s="771"/>
      <c r="W618" s="771"/>
      <c r="X618" s="771"/>
      <c r="Y618" s="771"/>
      <c r="Z618" s="771"/>
    </row>
    <row r="619" ht="15.75" customHeight="1">
      <c r="A619" s="771"/>
      <c r="B619" s="771"/>
      <c r="C619" s="771"/>
      <c r="D619" s="771"/>
      <c r="E619" s="771"/>
      <c r="F619" s="771"/>
      <c r="G619" s="771"/>
      <c r="H619" s="771"/>
      <c r="I619" s="771"/>
      <c r="J619" s="771"/>
      <c r="K619" s="771"/>
      <c r="L619" s="771"/>
      <c r="M619" s="771"/>
      <c r="N619" s="771"/>
      <c r="O619" s="771"/>
      <c r="P619" s="771"/>
      <c r="Q619" s="771"/>
      <c r="R619" s="771"/>
      <c r="S619" s="771"/>
      <c r="T619" s="771"/>
      <c r="U619" s="771"/>
      <c r="V619" s="771"/>
      <c r="W619" s="771"/>
      <c r="X619" s="771"/>
      <c r="Y619" s="771"/>
      <c r="Z619" s="771"/>
    </row>
    <row r="620" ht="15.75" customHeight="1">
      <c r="A620" s="771"/>
      <c r="B620" s="771"/>
      <c r="C620" s="771"/>
      <c r="D620" s="771"/>
      <c r="E620" s="771"/>
      <c r="F620" s="771"/>
      <c r="G620" s="771"/>
      <c r="H620" s="771"/>
      <c r="I620" s="771"/>
      <c r="J620" s="771"/>
      <c r="K620" s="771"/>
      <c r="L620" s="771"/>
      <c r="M620" s="771"/>
      <c r="N620" s="771"/>
      <c r="O620" s="771"/>
      <c r="P620" s="771"/>
      <c r="Q620" s="771"/>
      <c r="R620" s="771"/>
      <c r="S620" s="771"/>
      <c r="T620" s="771"/>
      <c r="U620" s="771"/>
      <c r="V620" s="771"/>
      <c r="W620" s="771"/>
      <c r="X620" s="771"/>
      <c r="Y620" s="771"/>
      <c r="Z620" s="771"/>
    </row>
    <row r="621" ht="15.75" customHeight="1">
      <c r="A621" s="771"/>
      <c r="B621" s="771"/>
      <c r="C621" s="771"/>
      <c r="D621" s="771"/>
      <c r="E621" s="771"/>
      <c r="F621" s="771"/>
      <c r="G621" s="771"/>
      <c r="H621" s="771"/>
      <c r="I621" s="771"/>
      <c r="J621" s="771"/>
      <c r="K621" s="771"/>
      <c r="L621" s="771"/>
      <c r="M621" s="771"/>
      <c r="N621" s="771"/>
      <c r="O621" s="771"/>
      <c r="P621" s="771"/>
      <c r="Q621" s="771"/>
      <c r="R621" s="771"/>
      <c r="S621" s="771"/>
      <c r="T621" s="771"/>
      <c r="U621" s="771"/>
      <c r="V621" s="771"/>
      <c r="W621" s="771"/>
      <c r="X621" s="771"/>
      <c r="Y621" s="771"/>
      <c r="Z621" s="771"/>
    </row>
    <row r="622" ht="15.75" customHeight="1">
      <c r="A622" s="771"/>
      <c r="B622" s="771"/>
      <c r="C622" s="771"/>
      <c r="D622" s="771"/>
      <c r="E622" s="771"/>
      <c r="F622" s="771"/>
      <c r="G622" s="771"/>
      <c r="H622" s="771"/>
      <c r="I622" s="771"/>
      <c r="J622" s="771"/>
      <c r="K622" s="771"/>
      <c r="L622" s="771"/>
      <c r="M622" s="771"/>
      <c r="N622" s="771"/>
      <c r="O622" s="771"/>
      <c r="P622" s="771"/>
      <c r="Q622" s="771"/>
      <c r="R622" s="771"/>
      <c r="S622" s="771"/>
      <c r="T622" s="771"/>
      <c r="U622" s="771"/>
      <c r="V622" s="771"/>
      <c r="W622" s="771"/>
      <c r="X622" s="771"/>
      <c r="Y622" s="771"/>
      <c r="Z622" s="771"/>
    </row>
    <row r="623" ht="15.75" customHeight="1">
      <c r="A623" s="771"/>
      <c r="B623" s="771"/>
      <c r="C623" s="771"/>
      <c r="D623" s="771"/>
      <c r="E623" s="771"/>
      <c r="F623" s="771"/>
      <c r="G623" s="771"/>
      <c r="H623" s="771"/>
      <c r="I623" s="771"/>
      <c r="J623" s="771"/>
      <c r="K623" s="771"/>
      <c r="L623" s="771"/>
      <c r="M623" s="771"/>
      <c r="N623" s="771"/>
      <c r="O623" s="771"/>
      <c r="P623" s="771"/>
      <c r="Q623" s="771"/>
      <c r="R623" s="771"/>
      <c r="S623" s="771"/>
      <c r="T623" s="771"/>
      <c r="U623" s="771"/>
      <c r="V623" s="771"/>
      <c r="W623" s="771"/>
      <c r="X623" s="771"/>
      <c r="Y623" s="771"/>
      <c r="Z623" s="771"/>
    </row>
    <row r="624" ht="15.75" customHeight="1">
      <c r="A624" s="771"/>
      <c r="B624" s="771"/>
      <c r="C624" s="771"/>
      <c r="D624" s="771"/>
      <c r="E624" s="771"/>
      <c r="F624" s="771"/>
      <c r="G624" s="771"/>
      <c r="H624" s="771"/>
      <c r="I624" s="771"/>
      <c r="J624" s="771"/>
      <c r="K624" s="771"/>
      <c r="L624" s="771"/>
      <c r="M624" s="771"/>
      <c r="N624" s="771"/>
      <c r="O624" s="771"/>
      <c r="P624" s="771"/>
      <c r="Q624" s="771"/>
      <c r="R624" s="771"/>
      <c r="S624" s="771"/>
      <c r="T624" s="771"/>
      <c r="U624" s="771"/>
      <c r="V624" s="771"/>
      <c r="W624" s="771"/>
      <c r="X624" s="771"/>
      <c r="Y624" s="771"/>
      <c r="Z624" s="771"/>
    </row>
    <row r="625" ht="15.75" customHeight="1">
      <c r="A625" s="771"/>
      <c r="B625" s="771"/>
      <c r="C625" s="771"/>
      <c r="D625" s="771"/>
      <c r="E625" s="771"/>
      <c r="F625" s="771"/>
      <c r="G625" s="771"/>
      <c r="H625" s="771"/>
      <c r="I625" s="771"/>
      <c r="J625" s="771"/>
      <c r="K625" s="771"/>
      <c r="L625" s="771"/>
      <c r="M625" s="771"/>
      <c r="N625" s="771"/>
      <c r="O625" s="771"/>
      <c r="P625" s="771"/>
      <c r="Q625" s="771"/>
      <c r="R625" s="771"/>
      <c r="S625" s="771"/>
      <c r="T625" s="771"/>
      <c r="U625" s="771"/>
      <c r="V625" s="771"/>
      <c r="W625" s="771"/>
      <c r="X625" s="771"/>
      <c r="Y625" s="771"/>
      <c r="Z625" s="771"/>
    </row>
    <row r="626" ht="15.75" customHeight="1">
      <c r="A626" s="771"/>
      <c r="B626" s="771"/>
      <c r="C626" s="771"/>
      <c r="D626" s="771"/>
      <c r="E626" s="771"/>
      <c r="F626" s="771"/>
      <c r="G626" s="771"/>
      <c r="H626" s="771"/>
      <c r="I626" s="771"/>
      <c r="J626" s="771"/>
      <c r="K626" s="771"/>
      <c r="L626" s="771"/>
      <c r="M626" s="771"/>
      <c r="N626" s="771"/>
      <c r="O626" s="771"/>
      <c r="P626" s="771"/>
      <c r="Q626" s="771"/>
      <c r="R626" s="771"/>
      <c r="S626" s="771"/>
      <c r="T626" s="771"/>
      <c r="U626" s="771"/>
      <c r="V626" s="771"/>
      <c r="W626" s="771"/>
      <c r="X626" s="771"/>
      <c r="Y626" s="771"/>
      <c r="Z626" s="771"/>
    </row>
    <row r="627" ht="15.75" customHeight="1">
      <c r="A627" s="771"/>
      <c r="B627" s="771"/>
      <c r="C627" s="771"/>
      <c r="D627" s="771"/>
      <c r="E627" s="771"/>
      <c r="F627" s="771"/>
      <c r="G627" s="771"/>
      <c r="H627" s="771"/>
      <c r="I627" s="771"/>
      <c r="J627" s="771"/>
      <c r="K627" s="771"/>
      <c r="L627" s="771"/>
      <c r="M627" s="771"/>
      <c r="N627" s="771"/>
      <c r="O627" s="771"/>
      <c r="P627" s="771"/>
      <c r="Q627" s="771"/>
      <c r="R627" s="771"/>
      <c r="S627" s="771"/>
      <c r="T627" s="771"/>
      <c r="U627" s="771"/>
      <c r="V627" s="771"/>
      <c r="W627" s="771"/>
      <c r="X627" s="771"/>
      <c r="Y627" s="771"/>
      <c r="Z627" s="771"/>
    </row>
    <row r="628" ht="15.75" customHeight="1">
      <c r="A628" s="771"/>
      <c r="B628" s="771"/>
      <c r="C628" s="771"/>
      <c r="D628" s="771"/>
      <c r="E628" s="771"/>
      <c r="F628" s="771"/>
      <c r="G628" s="771"/>
      <c r="H628" s="771"/>
      <c r="I628" s="771"/>
      <c r="J628" s="771"/>
      <c r="K628" s="771"/>
      <c r="L628" s="771"/>
      <c r="M628" s="771"/>
      <c r="N628" s="771"/>
      <c r="O628" s="771"/>
      <c r="P628" s="771"/>
      <c r="Q628" s="771"/>
      <c r="R628" s="771"/>
      <c r="S628" s="771"/>
      <c r="T628" s="771"/>
      <c r="U628" s="771"/>
      <c r="V628" s="771"/>
      <c r="W628" s="771"/>
      <c r="X628" s="771"/>
      <c r="Y628" s="771"/>
      <c r="Z628" s="771"/>
    </row>
    <row r="629" ht="15.75" customHeight="1">
      <c r="A629" s="771"/>
      <c r="B629" s="771"/>
      <c r="C629" s="771"/>
      <c r="D629" s="771"/>
      <c r="E629" s="771"/>
      <c r="F629" s="771"/>
      <c r="G629" s="771"/>
      <c r="H629" s="771"/>
      <c r="I629" s="771"/>
      <c r="J629" s="771"/>
      <c r="K629" s="771"/>
      <c r="L629" s="771"/>
      <c r="M629" s="771"/>
      <c r="N629" s="771"/>
      <c r="O629" s="771"/>
      <c r="P629" s="771"/>
      <c r="Q629" s="771"/>
      <c r="R629" s="771"/>
      <c r="S629" s="771"/>
      <c r="T629" s="771"/>
      <c r="U629" s="771"/>
      <c r="V629" s="771"/>
      <c r="W629" s="771"/>
      <c r="X629" s="771"/>
      <c r="Y629" s="771"/>
      <c r="Z629" s="771"/>
    </row>
    <row r="630" ht="15.75" customHeight="1">
      <c r="A630" s="771"/>
      <c r="B630" s="771"/>
      <c r="C630" s="771"/>
      <c r="D630" s="771"/>
      <c r="E630" s="771"/>
      <c r="F630" s="771"/>
      <c r="G630" s="771"/>
      <c r="H630" s="771"/>
      <c r="I630" s="771"/>
      <c r="J630" s="771"/>
      <c r="K630" s="771"/>
      <c r="L630" s="771"/>
      <c r="M630" s="771"/>
      <c r="N630" s="771"/>
      <c r="O630" s="771"/>
      <c r="P630" s="771"/>
      <c r="Q630" s="771"/>
      <c r="R630" s="771"/>
      <c r="S630" s="771"/>
      <c r="T630" s="771"/>
      <c r="U630" s="771"/>
      <c r="V630" s="771"/>
      <c r="W630" s="771"/>
      <c r="X630" s="771"/>
      <c r="Y630" s="771"/>
      <c r="Z630" s="771"/>
    </row>
    <row r="631" ht="15.75" customHeight="1">
      <c r="A631" s="771"/>
      <c r="B631" s="771"/>
      <c r="C631" s="771"/>
      <c r="D631" s="771"/>
      <c r="E631" s="771"/>
      <c r="F631" s="771"/>
      <c r="G631" s="771"/>
      <c r="H631" s="771"/>
      <c r="I631" s="771"/>
      <c r="J631" s="771"/>
      <c r="K631" s="771"/>
      <c r="L631" s="771"/>
      <c r="M631" s="771"/>
      <c r="N631" s="771"/>
      <c r="O631" s="771"/>
      <c r="P631" s="771"/>
      <c r="Q631" s="771"/>
      <c r="R631" s="771"/>
      <c r="S631" s="771"/>
      <c r="T631" s="771"/>
      <c r="U631" s="771"/>
      <c r="V631" s="771"/>
      <c r="W631" s="771"/>
      <c r="X631" s="771"/>
      <c r="Y631" s="771"/>
      <c r="Z631" s="771"/>
    </row>
    <row r="632" ht="15.75" customHeight="1">
      <c r="A632" s="771"/>
      <c r="B632" s="771"/>
      <c r="C632" s="771"/>
      <c r="D632" s="771"/>
      <c r="E632" s="771"/>
      <c r="F632" s="771"/>
      <c r="G632" s="771"/>
      <c r="H632" s="771"/>
      <c r="I632" s="771"/>
      <c r="J632" s="771"/>
      <c r="K632" s="771"/>
      <c r="L632" s="771"/>
      <c r="M632" s="771"/>
      <c r="N632" s="771"/>
      <c r="O632" s="771"/>
      <c r="P632" s="771"/>
      <c r="Q632" s="771"/>
      <c r="R632" s="771"/>
      <c r="S632" s="771"/>
      <c r="T632" s="771"/>
      <c r="U632" s="771"/>
      <c r="V632" s="771"/>
      <c r="W632" s="771"/>
      <c r="X632" s="771"/>
      <c r="Y632" s="771"/>
      <c r="Z632" s="771"/>
    </row>
    <row r="633" ht="15.75" customHeight="1">
      <c r="A633" s="771"/>
      <c r="B633" s="771"/>
      <c r="C633" s="771"/>
      <c r="D633" s="771"/>
      <c r="E633" s="771"/>
      <c r="F633" s="771"/>
      <c r="G633" s="771"/>
      <c r="H633" s="771"/>
      <c r="I633" s="771"/>
      <c r="J633" s="771"/>
      <c r="K633" s="771"/>
      <c r="L633" s="771"/>
      <c r="M633" s="771"/>
      <c r="N633" s="771"/>
      <c r="O633" s="771"/>
      <c r="P633" s="771"/>
      <c r="Q633" s="771"/>
      <c r="R633" s="771"/>
      <c r="S633" s="771"/>
      <c r="T633" s="771"/>
      <c r="U633" s="771"/>
      <c r="V633" s="771"/>
      <c r="W633" s="771"/>
      <c r="X633" s="771"/>
      <c r="Y633" s="771"/>
      <c r="Z633" s="771"/>
    </row>
    <row r="634" ht="15.75" customHeight="1">
      <c r="A634" s="771"/>
      <c r="B634" s="771"/>
      <c r="C634" s="771"/>
      <c r="D634" s="771"/>
      <c r="E634" s="771"/>
      <c r="F634" s="771"/>
      <c r="G634" s="771"/>
      <c r="H634" s="771"/>
      <c r="I634" s="771"/>
      <c r="J634" s="771"/>
      <c r="K634" s="771"/>
      <c r="L634" s="771"/>
      <c r="M634" s="771"/>
      <c r="N634" s="771"/>
      <c r="O634" s="771"/>
      <c r="P634" s="771"/>
      <c r="Q634" s="771"/>
      <c r="R634" s="771"/>
      <c r="S634" s="771"/>
      <c r="T634" s="771"/>
      <c r="U634" s="771"/>
      <c r="V634" s="771"/>
      <c r="W634" s="771"/>
      <c r="X634" s="771"/>
      <c r="Y634" s="771"/>
      <c r="Z634" s="771"/>
    </row>
    <row r="635" ht="15.75" customHeight="1">
      <c r="A635" s="771"/>
      <c r="B635" s="771"/>
      <c r="C635" s="771"/>
      <c r="D635" s="771"/>
      <c r="E635" s="771"/>
      <c r="F635" s="771"/>
      <c r="G635" s="771"/>
      <c r="H635" s="771"/>
      <c r="I635" s="771"/>
      <c r="J635" s="771"/>
      <c r="K635" s="771"/>
      <c r="L635" s="771"/>
      <c r="M635" s="771"/>
      <c r="N635" s="771"/>
      <c r="O635" s="771"/>
      <c r="P635" s="771"/>
      <c r="Q635" s="771"/>
      <c r="R635" s="771"/>
      <c r="S635" s="771"/>
      <c r="T635" s="771"/>
      <c r="U635" s="771"/>
      <c r="V635" s="771"/>
      <c r="W635" s="771"/>
      <c r="X635" s="771"/>
      <c r="Y635" s="771"/>
      <c r="Z635" s="771"/>
    </row>
    <row r="636" ht="15.75" customHeight="1">
      <c r="A636" s="771"/>
      <c r="B636" s="771"/>
      <c r="C636" s="771"/>
      <c r="D636" s="771"/>
      <c r="E636" s="771"/>
      <c r="F636" s="771"/>
      <c r="G636" s="771"/>
      <c r="H636" s="771"/>
      <c r="I636" s="771"/>
      <c r="J636" s="771"/>
      <c r="K636" s="771"/>
      <c r="L636" s="771"/>
      <c r="M636" s="771"/>
      <c r="N636" s="771"/>
      <c r="O636" s="771"/>
      <c r="P636" s="771"/>
      <c r="Q636" s="771"/>
      <c r="R636" s="771"/>
      <c r="S636" s="771"/>
      <c r="T636" s="771"/>
      <c r="U636" s="771"/>
      <c r="V636" s="771"/>
      <c r="W636" s="771"/>
      <c r="X636" s="771"/>
      <c r="Y636" s="771"/>
      <c r="Z636" s="771"/>
    </row>
    <row r="637" ht="15.75" customHeight="1">
      <c r="A637" s="771"/>
      <c r="B637" s="771"/>
      <c r="C637" s="771"/>
      <c r="D637" s="771"/>
      <c r="E637" s="771"/>
      <c r="F637" s="771"/>
      <c r="G637" s="771"/>
      <c r="H637" s="771"/>
      <c r="I637" s="771"/>
      <c r="J637" s="771"/>
      <c r="K637" s="771"/>
      <c r="L637" s="771"/>
      <c r="M637" s="771"/>
      <c r="N637" s="771"/>
      <c r="O637" s="771"/>
      <c r="P637" s="771"/>
      <c r="Q637" s="771"/>
      <c r="R637" s="771"/>
      <c r="S637" s="771"/>
      <c r="T637" s="771"/>
      <c r="U637" s="771"/>
      <c r="V637" s="771"/>
      <c r="W637" s="771"/>
      <c r="X637" s="771"/>
      <c r="Y637" s="771"/>
      <c r="Z637" s="771"/>
    </row>
    <row r="638" ht="15.75" customHeight="1">
      <c r="A638" s="771"/>
      <c r="B638" s="771"/>
      <c r="C638" s="771"/>
      <c r="D638" s="771"/>
      <c r="E638" s="771"/>
      <c r="F638" s="771"/>
      <c r="G638" s="771"/>
      <c r="H638" s="771"/>
      <c r="I638" s="771"/>
      <c r="J638" s="771"/>
      <c r="K638" s="771"/>
      <c r="L638" s="771"/>
      <c r="M638" s="771"/>
      <c r="N638" s="771"/>
      <c r="O638" s="771"/>
      <c r="P638" s="771"/>
      <c r="Q638" s="771"/>
      <c r="R638" s="771"/>
      <c r="S638" s="771"/>
      <c r="T638" s="771"/>
      <c r="U638" s="771"/>
      <c r="V638" s="771"/>
      <c r="W638" s="771"/>
      <c r="X638" s="771"/>
      <c r="Y638" s="771"/>
      <c r="Z638" s="771"/>
    </row>
    <row r="639" ht="15.75" customHeight="1">
      <c r="A639" s="771"/>
      <c r="B639" s="771"/>
      <c r="C639" s="771"/>
      <c r="D639" s="771"/>
      <c r="E639" s="771"/>
      <c r="F639" s="771"/>
      <c r="G639" s="771"/>
      <c r="H639" s="771"/>
      <c r="I639" s="771"/>
      <c r="J639" s="771"/>
      <c r="K639" s="771"/>
      <c r="L639" s="771"/>
      <c r="M639" s="771"/>
      <c r="N639" s="771"/>
      <c r="O639" s="771"/>
      <c r="P639" s="771"/>
      <c r="Q639" s="771"/>
      <c r="R639" s="771"/>
      <c r="S639" s="771"/>
      <c r="T639" s="771"/>
      <c r="U639" s="771"/>
      <c r="V639" s="771"/>
      <c r="W639" s="771"/>
      <c r="X639" s="771"/>
      <c r="Y639" s="771"/>
      <c r="Z639" s="771"/>
    </row>
    <row r="640" ht="15.75" customHeight="1">
      <c r="A640" s="771"/>
      <c r="B640" s="771"/>
      <c r="C640" s="771"/>
      <c r="D640" s="771"/>
      <c r="E640" s="771"/>
      <c r="F640" s="771"/>
      <c r="G640" s="771"/>
      <c r="H640" s="771"/>
      <c r="I640" s="771"/>
      <c r="J640" s="771"/>
      <c r="K640" s="771"/>
      <c r="L640" s="771"/>
      <c r="M640" s="771"/>
      <c r="N640" s="771"/>
      <c r="O640" s="771"/>
      <c r="P640" s="771"/>
      <c r="Q640" s="771"/>
      <c r="R640" s="771"/>
      <c r="S640" s="771"/>
      <c r="T640" s="771"/>
      <c r="U640" s="771"/>
      <c r="V640" s="771"/>
      <c r="W640" s="771"/>
      <c r="X640" s="771"/>
      <c r="Y640" s="771"/>
      <c r="Z640" s="771"/>
    </row>
    <row r="641" ht="15.75" customHeight="1">
      <c r="A641" s="771"/>
      <c r="B641" s="771"/>
      <c r="C641" s="771"/>
      <c r="D641" s="771"/>
      <c r="E641" s="771"/>
      <c r="F641" s="771"/>
      <c r="G641" s="771"/>
      <c r="H641" s="771"/>
      <c r="I641" s="771"/>
      <c r="J641" s="771"/>
      <c r="K641" s="771"/>
      <c r="L641" s="771"/>
      <c r="M641" s="771"/>
      <c r="N641" s="771"/>
      <c r="O641" s="771"/>
      <c r="P641" s="771"/>
      <c r="Q641" s="771"/>
      <c r="R641" s="771"/>
      <c r="S641" s="771"/>
      <c r="T641" s="771"/>
      <c r="U641" s="771"/>
      <c r="V641" s="771"/>
      <c r="W641" s="771"/>
      <c r="X641" s="771"/>
      <c r="Y641" s="771"/>
      <c r="Z641" s="771"/>
    </row>
    <row r="642" ht="15.75" customHeight="1">
      <c r="A642" s="771"/>
      <c r="B642" s="771"/>
      <c r="C642" s="771"/>
      <c r="D642" s="771"/>
      <c r="E642" s="771"/>
      <c r="F642" s="771"/>
      <c r="G642" s="771"/>
      <c r="H642" s="771"/>
      <c r="I642" s="771"/>
      <c r="J642" s="771"/>
      <c r="K642" s="771"/>
      <c r="L642" s="771"/>
      <c r="M642" s="771"/>
      <c r="N642" s="771"/>
      <c r="O642" s="771"/>
      <c r="P642" s="771"/>
      <c r="Q642" s="771"/>
      <c r="R642" s="771"/>
      <c r="S642" s="771"/>
      <c r="T642" s="771"/>
      <c r="U642" s="771"/>
      <c r="V642" s="771"/>
      <c r="W642" s="771"/>
      <c r="X642" s="771"/>
      <c r="Y642" s="771"/>
      <c r="Z642" s="771"/>
    </row>
    <row r="643" ht="15.75" customHeight="1">
      <c r="A643" s="771"/>
      <c r="B643" s="771"/>
      <c r="C643" s="771"/>
      <c r="D643" s="771"/>
      <c r="E643" s="771"/>
      <c r="F643" s="771"/>
      <c r="G643" s="771"/>
      <c r="H643" s="771"/>
      <c r="I643" s="771"/>
      <c r="J643" s="771"/>
      <c r="K643" s="771"/>
      <c r="L643" s="771"/>
      <c r="M643" s="771"/>
      <c r="N643" s="771"/>
      <c r="O643" s="771"/>
      <c r="P643" s="771"/>
      <c r="Q643" s="771"/>
      <c r="R643" s="771"/>
      <c r="S643" s="771"/>
      <c r="T643" s="771"/>
      <c r="U643" s="771"/>
      <c r="V643" s="771"/>
      <c r="W643" s="771"/>
      <c r="X643" s="771"/>
      <c r="Y643" s="771"/>
      <c r="Z643" s="771"/>
    </row>
    <row r="644" ht="15.75" customHeight="1">
      <c r="A644" s="771"/>
      <c r="B644" s="771"/>
      <c r="C644" s="771"/>
      <c r="D644" s="771"/>
      <c r="E644" s="771"/>
      <c r="F644" s="771"/>
      <c r="G644" s="771"/>
      <c r="H644" s="771"/>
      <c r="I644" s="771"/>
      <c r="J644" s="771"/>
      <c r="K644" s="771"/>
      <c r="L644" s="771"/>
      <c r="M644" s="771"/>
      <c r="N644" s="771"/>
      <c r="O644" s="771"/>
      <c r="P644" s="771"/>
      <c r="Q644" s="771"/>
      <c r="R644" s="771"/>
      <c r="S644" s="771"/>
      <c r="T644" s="771"/>
      <c r="U644" s="771"/>
      <c r="V644" s="771"/>
      <c r="W644" s="771"/>
      <c r="X644" s="771"/>
      <c r="Y644" s="771"/>
      <c r="Z644" s="771"/>
    </row>
    <row r="645" ht="15.75" customHeight="1">
      <c r="A645" s="771"/>
      <c r="B645" s="771"/>
      <c r="C645" s="771"/>
      <c r="D645" s="771"/>
      <c r="E645" s="771"/>
      <c r="F645" s="771"/>
      <c r="G645" s="771"/>
      <c r="H645" s="771"/>
      <c r="I645" s="771"/>
      <c r="J645" s="771"/>
      <c r="K645" s="771"/>
      <c r="L645" s="771"/>
      <c r="M645" s="771"/>
      <c r="N645" s="771"/>
      <c r="O645" s="771"/>
      <c r="P645" s="771"/>
      <c r="Q645" s="771"/>
      <c r="R645" s="771"/>
      <c r="S645" s="771"/>
      <c r="T645" s="771"/>
      <c r="U645" s="771"/>
      <c r="V645" s="771"/>
      <c r="W645" s="771"/>
      <c r="X645" s="771"/>
      <c r="Y645" s="771"/>
      <c r="Z645" s="771"/>
    </row>
    <row r="646" ht="15.75" customHeight="1">
      <c r="A646" s="771"/>
      <c r="B646" s="771"/>
      <c r="C646" s="771"/>
      <c r="D646" s="771"/>
      <c r="E646" s="771"/>
      <c r="F646" s="771"/>
      <c r="G646" s="771"/>
      <c r="H646" s="771"/>
      <c r="I646" s="771"/>
      <c r="J646" s="771"/>
      <c r="K646" s="771"/>
      <c r="L646" s="771"/>
      <c r="M646" s="771"/>
      <c r="N646" s="771"/>
      <c r="O646" s="771"/>
      <c r="P646" s="771"/>
      <c r="Q646" s="771"/>
      <c r="R646" s="771"/>
      <c r="S646" s="771"/>
      <c r="T646" s="771"/>
      <c r="U646" s="771"/>
      <c r="V646" s="771"/>
      <c r="W646" s="771"/>
      <c r="X646" s="771"/>
      <c r="Y646" s="771"/>
      <c r="Z646" s="771"/>
    </row>
    <row r="647" ht="15.75" customHeight="1">
      <c r="A647" s="771"/>
      <c r="B647" s="771"/>
      <c r="C647" s="771"/>
      <c r="D647" s="771"/>
      <c r="E647" s="771"/>
      <c r="F647" s="771"/>
      <c r="G647" s="771"/>
      <c r="H647" s="771"/>
      <c r="I647" s="771"/>
      <c r="J647" s="771"/>
      <c r="K647" s="771"/>
      <c r="L647" s="771"/>
      <c r="M647" s="771"/>
      <c r="N647" s="771"/>
      <c r="O647" s="771"/>
      <c r="P647" s="771"/>
      <c r="Q647" s="771"/>
      <c r="R647" s="771"/>
      <c r="S647" s="771"/>
      <c r="T647" s="771"/>
      <c r="U647" s="771"/>
      <c r="V647" s="771"/>
      <c r="W647" s="771"/>
      <c r="X647" s="771"/>
      <c r="Y647" s="771"/>
      <c r="Z647" s="771"/>
    </row>
    <row r="648" ht="15.75" customHeight="1">
      <c r="A648" s="771"/>
      <c r="B648" s="771"/>
      <c r="C648" s="771"/>
      <c r="D648" s="771"/>
      <c r="E648" s="771"/>
      <c r="F648" s="771"/>
      <c r="G648" s="771"/>
      <c r="H648" s="771"/>
      <c r="I648" s="771"/>
      <c r="J648" s="771"/>
      <c r="K648" s="771"/>
      <c r="L648" s="771"/>
      <c r="M648" s="771"/>
      <c r="N648" s="771"/>
      <c r="O648" s="771"/>
      <c r="P648" s="771"/>
      <c r="Q648" s="771"/>
      <c r="R648" s="771"/>
      <c r="S648" s="771"/>
      <c r="T648" s="771"/>
      <c r="U648" s="771"/>
      <c r="V648" s="771"/>
      <c r="W648" s="771"/>
      <c r="X648" s="771"/>
      <c r="Y648" s="771"/>
      <c r="Z648" s="771"/>
    </row>
    <row r="649" ht="15.75" customHeight="1">
      <c r="A649" s="771"/>
      <c r="B649" s="771"/>
      <c r="C649" s="771"/>
      <c r="D649" s="771"/>
      <c r="E649" s="771"/>
      <c r="F649" s="771"/>
      <c r="G649" s="771"/>
      <c r="H649" s="771"/>
      <c r="I649" s="771"/>
      <c r="J649" s="771"/>
      <c r="K649" s="771"/>
      <c r="L649" s="771"/>
      <c r="M649" s="771"/>
      <c r="N649" s="771"/>
      <c r="O649" s="771"/>
      <c r="P649" s="771"/>
      <c r="Q649" s="771"/>
      <c r="R649" s="771"/>
      <c r="S649" s="771"/>
      <c r="T649" s="771"/>
      <c r="U649" s="771"/>
      <c r="V649" s="771"/>
      <c r="W649" s="771"/>
      <c r="X649" s="771"/>
      <c r="Y649" s="771"/>
      <c r="Z649" s="771"/>
    </row>
    <row r="650" ht="15.75" customHeight="1">
      <c r="A650" s="771"/>
      <c r="B650" s="771"/>
      <c r="C650" s="771"/>
      <c r="D650" s="771"/>
      <c r="E650" s="771"/>
      <c r="F650" s="771"/>
      <c r="G650" s="771"/>
      <c r="H650" s="771"/>
      <c r="I650" s="771"/>
      <c r="J650" s="771"/>
      <c r="K650" s="771"/>
      <c r="L650" s="771"/>
      <c r="M650" s="771"/>
      <c r="N650" s="771"/>
      <c r="O650" s="771"/>
      <c r="P650" s="771"/>
      <c r="Q650" s="771"/>
      <c r="R650" s="771"/>
      <c r="S650" s="771"/>
      <c r="T650" s="771"/>
      <c r="U650" s="771"/>
      <c r="V650" s="771"/>
      <c r="W650" s="771"/>
      <c r="X650" s="771"/>
      <c r="Y650" s="771"/>
      <c r="Z650" s="771"/>
    </row>
    <row r="651" ht="15.75" customHeight="1">
      <c r="A651" s="771"/>
      <c r="B651" s="771"/>
      <c r="C651" s="771"/>
      <c r="D651" s="771"/>
      <c r="E651" s="771"/>
      <c r="F651" s="771"/>
      <c r="G651" s="771"/>
      <c r="H651" s="771"/>
      <c r="I651" s="771"/>
      <c r="J651" s="771"/>
      <c r="K651" s="771"/>
      <c r="L651" s="771"/>
      <c r="M651" s="771"/>
      <c r="N651" s="771"/>
      <c r="O651" s="771"/>
      <c r="P651" s="771"/>
      <c r="Q651" s="771"/>
      <c r="R651" s="771"/>
      <c r="S651" s="771"/>
      <c r="T651" s="771"/>
      <c r="U651" s="771"/>
      <c r="V651" s="771"/>
      <c r="W651" s="771"/>
      <c r="X651" s="771"/>
      <c r="Y651" s="771"/>
      <c r="Z651" s="771"/>
    </row>
    <row r="652" ht="15.75" customHeight="1">
      <c r="A652" s="771"/>
      <c r="B652" s="771"/>
      <c r="C652" s="771"/>
      <c r="D652" s="771"/>
      <c r="E652" s="771"/>
      <c r="F652" s="771"/>
      <c r="G652" s="771"/>
      <c r="H652" s="771"/>
      <c r="I652" s="771"/>
      <c r="J652" s="771"/>
      <c r="K652" s="771"/>
      <c r="L652" s="771"/>
      <c r="M652" s="771"/>
      <c r="N652" s="771"/>
      <c r="O652" s="771"/>
      <c r="P652" s="771"/>
      <c r="Q652" s="771"/>
      <c r="R652" s="771"/>
      <c r="S652" s="771"/>
      <c r="T652" s="771"/>
      <c r="U652" s="771"/>
      <c r="V652" s="771"/>
      <c r="W652" s="771"/>
      <c r="X652" s="771"/>
      <c r="Y652" s="771"/>
      <c r="Z652" s="771"/>
    </row>
    <row r="653" ht="15.75" customHeight="1">
      <c r="A653" s="771"/>
      <c r="B653" s="771"/>
      <c r="C653" s="771"/>
      <c r="D653" s="771"/>
      <c r="E653" s="771"/>
      <c r="F653" s="771"/>
      <c r="G653" s="771"/>
      <c r="H653" s="771"/>
      <c r="I653" s="771"/>
      <c r="J653" s="771"/>
      <c r="K653" s="771"/>
      <c r="L653" s="771"/>
      <c r="M653" s="771"/>
      <c r="N653" s="771"/>
      <c r="O653" s="771"/>
      <c r="P653" s="771"/>
      <c r="Q653" s="771"/>
      <c r="R653" s="771"/>
      <c r="S653" s="771"/>
      <c r="T653" s="771"/>
      <c r="U653" s="771"/>
      <c r="V653" s="771"/>
      <c r="W653" s="771"/>
      <c r="X653" s="771"/>
      <c r="Y653" s="771"/>
      <c r="Z653" s="771"/>
    </row>
    <row r="654" ht="15.75" customHeight="1">
      <c r="A654" s="771"/>
      <c r="B654" s="771"/>
      <c r="C654" s="771"/>
      <c r="D654" s="771"/>
      <c r="E654" s="771"/>
      <c r="F654" s="771"/>
      <c r="G654" s="771"/>
      <c r="H654" s="771"/>
      <c r="I654" s="771"/>
      <c r="J654" s="771"/>
      <c r="K654" s="771"/>
      <c r="L654" s="771"/>
      <c r="M654" s="771"/>
      <c r="N654" s="771"/>
      <c r="O654" s="771"/>
      <c r="P654" s="771"/>
      <c r="Q654" s="771"/>
      <c r="R654" s="771"/>
      <c r="S654" s="771"/>
      <c r="T654" s="771"/>
      <c r="U654" s="771"/>
      <c r="V654" s="771"/>
      <c r="W654" s="771"/>
      <c r="X654" s="771"/>
      <c r="Y654" s="771"/>
      <c r="Z654" s="771"/>
    </row>
    <row r="655" ht="15.75" customHeight="1">
      <c r="A655" s="771"/>
      <c r="B655" s="771"/>
      <c r="C655" s="771"/>
      <c r="D655" s="771"/>
      <c r="E655" s="771"/>
      <c r="F655" s="771"/>
      <c r="G655" s="771"/>
      <c r="H655" s="771"/>
      <c r="I655" s="771"/>
      <c r="J655" s="771"/>
      <c r="K655" s="771"/>
      <c r="L655" s="771"/>
      <c r="M655" s="771"/>
      <c r="N655" s="771"/>
      <c r="O655" s="771"/>
      <c r="P655" s="771"/>
      <c r="Q655" s="771"/>
      <c r="R655" s="771"/>
      <c r="S655" s="771"/>
      <c r="T655" s="771"/>
      <c r="U655" s="771"/>
      <c r="V655" s="771"/>
      <c r="W655" s="771"/>
      <c r="X655" s="771"/>
      <c r="Y655" s="771"/>
      <c r="Z655" s="771"/>
    </row>
    <row r="656" ht="15.75" customHeight="1">
      <c r="A656" s="771"/>
      <c r="B656" s="771"/>
      <c r="C656" s="771"/>
      <c r="D656" s="771"/>
      <c r="E656" s="771"/>
      <c r="F656" s="771"/>
      <c r="G656" s="771"/>
      <c r="H656" s="771"/>
      <c r="I656" s="771"/>
      <c r="J656" s="771"/>
      <c r="K656" s="771"/>
      <c r="L656" s="771"/>
      <c r="M656" s="771"/>
      <c r="N656" s="771"/>
      <c r="O656" s="771"/>
      <c r="P656" s="771"/>
      <c r="Q656" s="771"/>
      <c r="R656" s="771"/>
      <c r="S656" s="771"/>
      <c r="T656" s="771"/>
      <c r="U656" s="771"/>
      <c r="V656" s="771"/>
      <c r="W656" s="771"/>
      <c r="X656" s="771"/>
      <c r="Y656" s="771"/>
      <c r="Z656" s="771"/>
    </row>
    <row r="657" ht="15.75" customHeight="1">
      <c r="A657" s="771"/>
      <c r="B657" s="771"/>
      <c r="C657" s="771"/>
      <c r="D657" s="771"/>
      <c r="E657" s="771"/>
      <c r="F657" s="771"/>
      <c r="G657" s="771"/>
      <c r="H657" s="771"/>
      <c r="I657" s="771"/>
      <c r="J657" s="771"/>
      <c r="K657" s="771"/>
      <c r="L657" s="771"/>
      <c r="M657" s="771"/>
      <c r="N657" s="771"/>
      <c r="O657" s="771"/>
      <c r="P657" s="771"/>
      <c r="Q657" s="771"/>
      <c r="R657" s="771"/>
      <c r="S657" s="771"/>
      <c r="T657" s="771"/>
      <c r="U657" s="771"/>
      <c r="V657" s="771"/>
      <c r="W657" s="771"/>
      <c r="X657" s="771"/>
      <c r="Y657" s="771"/>
      <c r="Z657" s="771"/>
    </row>
    <row r="658" ht="15.75" customHeight="1">
      <c r="A658" s="771"/>
      <c r="B658" s="771"/>
      <c r="C658" s="771"/>
      <c r="D658" s="771"/>
      <c r="E658" s="771"/>
      <c r="F658" s="771"/>
      <c r="G658" s="771"/>
      <c r="H658" s="771"/>
      <c r="I658" s="771"/>
      <c r="J658" s="771"/>
      <c r="K658" s="771"/>
      <c r="L658" s="771"/>
      <c r="M658" s="771"/>
      <c r="N658" s="771"/>
      <c r="O658" s="771"/>
      <c r="P658" s="771"/>
      <c r="Q658" s="771"/>
      <c r="R658" s="771"/>
      <c r="S658" s="771"/>
      <c r="T658" s="771"/>
      <c r="U658" s="771"/>
      <c r="V658" s="771"/>
      <c r="W658" s="771"/>
      <c r="X658" s="771"/>
      <c r="Y658" s="771"/>
      <c r="Z658" s="771"/>
    </row>
    <row r="659" ht="15.75" customHeight="1">
      <c r="A659" s="771"/>
      <c r="B659" s="771"/>
      <c r="C659" s="771"/>
      <c r="D659" s="771"/>
      <c r="E659" s="771"/>
      <c r="F659" s="771"/>
      <c r="G659" s="771"/>
      <c r="H659" s="771"/>
      <c r="I659" s="771"/>
      <c r="J659" s="771"/>
      <c r="K659" s="771"/>
      <c r="L659" s="771"/>
      <c r="M659" s="771"/>
      <c r="N659" s="771"/>
      <c r="O659" s="771"/>
      <c r="P659" s="771"/>
      <c r="Q659" s="771"/>
      <c r="R659" s="771"/>
      <c r="S659" s="771"/>
      <c r="T659" s="771"/>
      <c r="U659" s="771"/>
      <c r="V659" s="771"/>
      <c r="W659" s="771"/>
      <c r="X659" s="771"/>
      <c r="Y659" s="771"/>
      <c r="Z659" s="771"/>
    </row>
    <row r="660" ht="15.75" customHeight="1">
      <c r="A660" s="771"/>
      <c r="B660" s="771"/>
      <c r="C660" s="771"/>
      <c r="D660" s="771"/>
      <c r="E660" s="771"/>
      <c r="F660" s="771"/>
      <c r="G660" s="771"/>
      <c r="H660" s="771"/>
      <c r="I660" s="771"/>
      <c r="J660" s="771"/>
      <c r="K660" s="771"/>
      <c r="L660" s="771"/>
      <c r="M660" s="771"/>
      <c r="N660" s="771"/>
      <c r="O660" s="771"/>
      <c r="P660" s="771"/>
      <c r="Q660" s="771"/>
      <c r="R660" s="771"/>
      <c r="S660" s="771"/>
      <c r="T660" s="771"/>
      <c r="U660" s="771"/>
      <c r="V660" s="771"/>
      <c r="W660" s="771"/>
      <c r="X660" s="771"/>
      <c r="Y660" s="771"/>
      <c r="Z660" s="771"/>
    </row>
    <row r="661" ht="15.75" customHeight="1">
      <c r="A661" s="771"/>
      <c r="B661" s="771"/>
      <c r="C661" s="771"/>
      <c r="D661" s="771"/>
      <c r="E661" s="771"/>
      <c r="F661" s="771"/>
      <c r="G661" s="771"/>
      <c r="H661" s="771"/>
      <c r="I661" s="771"/>
      <c r="J661" s="771"/>
      <c r="K661" s="771"/>
      <c r="L661" s="771"/>
      <c r="M661" s="771"/>
      <c r="N661" s="771"/>
      <c r="O661" s="771"/>
      <c r="P661" s="771"/>
      <c r="Q661" s="771"/>
      <c r="R661" s="771"/>
      <c r="S661" s="771"/>
      <c r="T661" s="771"/>
      <c r="U661" s="771"/>
      <c r="V661" s="771"/>
      <c r="W661" s="771"/>
      <c r="X661" s="771"/>
      <c r="Y661" s="771"/>
      <c r="Z661" s="771"/>
    </row>
    <row r="662" ht="15.75" customHeight="1">
      <c r="A662" s="771"/>
      <c r="B662" s="771"/>
      <c r="C662" s="771"/>
      <c r="D662" s="771"/>
      <c r="E662" s="771"/>
      <c r="F662" s="771"/>
      <c r="G662" s="771"/>
      <c r="H662" s="771"/>
      <c r="I662" s="771"/>
      <c r="J662" s="771"/>
      <c r="K662" s="771"/>
      <c r="L662" s="771"/>
      <c r="M662" s="771"/>
      <c r="N662" s="771"/>
      <c r="O662" s="771"/>
      <c r="P662" s="771"/>
      <c r="Q662" s="771"/>
      <c r="R662" s="771"/>
      <c r="S662" s="771"/>
      <c r="T662" s="771"/>
      <c r="U662" s="771"/>
      <c r="V662" s="771"/>
      <c r="W662" s="771"/>
      <c r="X662" s="771"/>
      <c r="Y662" s="771"/>
      <c r="Z662" s="771"/>
    </row>
    <row r="663" ht="15.75" customHeight="1">
      <c r="A663" s="771"/>
      <c r="B663" s="771"/>
      <c r="C663" s="771"/>
      <c r="D663" s="771"/>
      <c r="E663" s="771"/>
      <c r="F663" s="771"/>
      <c r="G663" s="771"/>
      <c r="H663" s="771"/>
      <c r="I663" s="771"/>
      <c r="J663" s="771"/>
      <c r="K663" s="771"/>
      <c r="L663" s="771"/>
      <c r="M663" s="771"/>
      <c r="N663" s="771"/>
      <c r="O663" s="771"/>
      <c r="P663" s="771"/>
      <c r="Q663" s="771"/>
      <c r="R663" s="771"/>
      <c r="S663" s="771"/>
      <c r="T663" s="771"/>
      <c r="U663" s="771"/>
      <c r="V663" s="771"/>
      <c r="W663" s="771"/>
      <c r="X663" s="771"/>
      <c r="Y663" s="771"/>
      <c r="Z663" s="771"/>
    </row>
    <row r="664" ht="15.75" customHeight="1">
      <c r="A664" s="771"/>
      <c r="B664" s="771"/>
      <c r="C664" s="771"/>
      <c r="D664" s="771"/>
      <c r="E664" s="771"/>
      <c r="F664" s="771"/>
      <c r="G664" s="771"/>
      <c r="H664" s="771"/>
      <c r="I664" s="771"/>
      <c r="J664" s="771"/>
      <c r="K664" s="771"/>
      <c r="L664" s="771"/>
      <c r="M664" s="771"/>
      <c r="N664" s="771"/>
      <c r="O664" s="771"/>
      <c r="P664" s="771"/>
      <c r="Q664" s="771"/>
      <c r="R664" s="771"/>
      <c r="S664" s="771"/>
      <c r="T664" s="771"/>
      <c r="U664" s="771"/>
      <c r="V664" s="771"/>
      <c r="W664" s="771"/>
      <c r="X664" s="771"/>
      <c r="Y664" s="771"/>
      <c r="Z664" s="771"/>
    </row>
    <row r="665" ht="15.75" customHeight="1">
      <c r="A665" s="771"/>
      <c r="B665" s="771"/>
      <c r="C665" s="771"/>
      <c r="D665" s="771"/>
      <c r="E665" s="771"/>
      <c r="F665" s="771"/>
      <c r="G665" s="771"/>
      <c r="H665" s="771"/>
      <c r="I665" s="771"/>
      <c r="J665" s="771"/>
      <c r="K665" s="771"/>
      <c r="L665" s="771"/>
      <c r="M665" s="771"/>
      <c r="N665" s="771"/>
      <c r="O665" s="771"/>
      <c r="P665" s="771"/>
      <c r="Q665" s="771"/>
      <c r="R665" s="771"/>
      <c r="S665" s="771"/>
      <c r="T665" s="771"/>
      <c r="U665" s="771"/>
      <c r="V665" s="771"/>
      <c r="W665" s="771"/>
      <c r="X665" s="771"/>
      <c r="Y665" s="771"/>
      <c r="Z665" s="771"/>
    </row>
    <row r="666" ht="15.75" customHeight="1">
      <c r="A666" s="771"/>
      <c r="B666" s="771"/>
      <c r="C666" s="771"/>
      <c r="D666" s="771"/>
      <c r="E666" s="771"/>
      <c r="F666" s="771"/>
      <c r="G666" s="771"/>
      <c r="H666" s="771"/>
      <c r="I666" s="771"/>
      <c r="J666" s="771"/>
      <c r="K666" s="771"/>
      <c r="L666" s="771"/>
      <c r="M666" s="771"/>
      <c r="N666" s="771"/>
      <c r="O666" s="771"/>
      <c r="P666" s="771"/>
      <c r="Q666" s="771"/>
      <c r="R666" s="771"/>
      <c r="S666" s="771"/>
      <c r="T666" s="771"/>
      <c r="U666" s="771"/>
      <c r="V666" s="771"/>
      <c r="W666" s="771"/>
      <c r="X666" s="771"/>
      <c r="Y666" s="771"/>
      <c r="Z666" s="771"/>
    </row>
    <row r="667" ht="15.75" customHeight="1">
      <c r="A667" s="771"/>
      <c r="B667" s="771"/>
      <c r="C667" s="771"/>
      <c r="D667" s="771"/>
      <c r="E667" s="771"/>
      <c r="F667" s="771"/>
      <c r="G667" s="771"/>
      <c r="H667" s="771"/>
      <c r="I667" s="771"/>
      <c r="J667" s="771"/>
      <c r="K667" s="771"/>
      <c r="L667" s="771"/>
      <c r="M667" s="771"/>
      <c r="N667" s="771"/>
      <c r="O667" s="771"/>
      <c r="P667" s="771"/>
      <c r="Q667" s="771"/>
      <c r="R667" s="771"/>
      <c r="S667" s="771"/>
      <c r="T667" s="771"/>
      <c r="U667" s="771"/>
      <c r="V667" s="771"/>
      <c r="W667" s="771"/>
      <c r="X667" s="771"/>
      <c r="Y667" s="771"/>
      <c r="Z667" s="771"/>
    </row>
    <row r="668" ht="15.75" customHeight="1">
      <c r="A668" s="771"/>
      <c r="B668" s="771"/>
      <c r="C668" s="771"/>
      <c r="D668" s="771"/>
      <c r="E668" s="771"/>
      <c r="F668" s="771"/>
      <c r="G668" s="771"/>
      <c r="H668" s="771"/>
      <c r="I668" s="771"/>
      <c r="J668" s="771"/>
      <c r="K668" s="771"/>
      <c r="L668" s="771"/>
      <c r="M668" s="771"/>
      <c r="N668" s="771"/>
      <c r="O668" s="771"/>
      <c r="P668" s="771"/>
      <c r="Q668" s="771"/>
      <c r="R668" s="771"/>
      <c r="S668" s="771"/>
      <c r="T668" s="771"/>
      <c r="U668" s="771"/>
      <c r="V668" s="771"/>
      <c r="W668" s="771"/>
      <c r="X668" s="771"/>
      <c r="Y668" s="771"/>
      <c r="Z668" s="771"/>
    </row>
    <row r="669" ht="15.75" customHeight="1">
      <c r="A669" s="771"/>
      <c r="B669" s="771"/>
      <c r="C669" s="771"/>
      <c r="D669" s="771"/>
      <c r="E669" s="771"/>
      <c r="F669" s="771"/>
      <c r="G669" s="771"/>
      <c r="H669" s="771"/>
      <c r="I669" s="771"/>
      <c r="J669" s="771"/>
      <c r="K669" s="771"/>
      <c r="L669" s="771"/>
      <c r="M669" s="771"/>
      <c r="N669" s="771"/>
      <c r="O669" s="771"/>
      <c r="P669" s="771"/>
      <c r="Q669" s="771"/>
      <c r="R669" s="771"/>
      <c r="S669" s="771"/>
      <c r="T669" s="771"/>
      <c r="U669" s="771"/>
      <c r="V669" s="771"/>
      <c r="W669" s="771"/>
      <c r="X669" s="771"/>
      <c r="Y669" s="771"/>
      <c r="Z669" s="771"/>
    </row>
    <row r="670" ht="15.75" customHeight="1">
      <c r="A670" s="771"/>
      <c r="B670" s="771"/>
      <c r="C670" s="771"/>
      <c r="D670" s="771"/>
      <c r="E670" s="771"/>
      <c r="F670" s="771"/>
      <c r="G670" s="771"/>
      <c r="H670" s="771"/>
      <c r="I670" s="771"/>
      <c r="J670" s="771"/>
      <c r="K670" s="771"/>
      <c r="L670" s="771"/>
      <c r="M670" s="771"/>
      <c r="N670" s="771"/>
      <c r="O670" s="771"/>
      <c r="P670" s="771"/>
      <c r="Q670" s="771"/>
      <c r="R670" s="771"/>
      <c r="S670" s="771"/>
      <c r="T670" s="771"/>
      <c r="U670" s="771"/>
      <c r="V670" s="771"/>
      <c r="W670" s="771"/>
      <c r="X670" s="771"/>
      <c r="Y670" s="771"/>
      <c r="Z670" s="771"/>
    </row>
    <row r="671" ht="15.75" customHeight="1">
      <c r="A671" s="771"/>
      <c r="B671" s="771"/>
      <c r="C671" s="771"/>
      <c r="D671" s="771"/>
      <c r="E671" s="771"/>
      <c r="F671" s="771"/>
      <c r="G671" s="771"/>
      <c r="H671" s="771"/>
      <c r="I671" s="771"/>
      <c r="J671" s="771"/>
      <c r="K671" s="771"/>
      <c r="L671" s="771"/>
      <c r="M671" s="771"/>
      <c r="N671" s="771"/>
      <c r="O671" s="771"/>
      <c r="P671" s="771"/>
      <c r="Q671" s="771"/>
      <c r="R671" s="771"/>
      <c r="S671" s="771"/>
      <c r="T671" s="771"/>
      <c r="U671" s="771"/>
      <c r="V671" s="771"/>
      <c r="W671" s="771"/>
      <c r="X671" s="771"/>
      <c r="Y671" s="771"/>
      <c r="Z671" s="771"/>
    </row>
    <row r="672" ht="15.75" customHeight="1">
      <c r="A672" s="771"/>
      <c r="B672" s="771"/>
      <c r="C672" s="771"/>
      <c r="D672" s="771"/>
      <c r="E672" s="771"/>
      <c r="F672" s="771"/>
      <c r="G672" s="771"/>
      <c r="H672" s="771"/>
      <c r="I672" s="771"/>
      <c r="J672" s="771"/>
      <c r="K672" s="771"/>
      <c r="L672" s="771"/>
      <c r="M672" s="771"/>
      <c r="N672" s="771"/>
      <c r="O672" s="771"/>
      <c r="P672" s="771"/>
      <c r="Q672" s="771"/>
      <c r="R672" s="771"/>
      <c r="S672" s="771"/>
      <c r="T672" s="771"/>
      <c r="U672" s="771"/>
      <c r="V672" s="771"/>
      <c r="W672" s="771"/>
      <c r="X672" s="771"/>
      <c r="Y672" s="771"/>
      <c r="Z672" s="771"/>
    </row>
    <row r="673" ht="15.75" customHeight="1">
      <c r="A673" s="771"/>
      <c r="B673" s="771"/>
      <c r="C673" s="771"/>
      <c r="D673" s="771"/>
      <c r="E673" s="771"/>
      <c r="F673" s="771"/>
      <c r="G673" s="771"/>
      <c r="H673" s="771"/>
      <c r="I673" s="771"/>
      <c r="J673" s="771"/>
      <c r="K673" s="771"/>
      <c r="L673" s="771"/>
      <c r="M673" s="771"/>
      <c r="N673" s="771"/>
      <c r="O673" s="771"/>
      <c r="P673" s="771"/>
      <c r="Q673" s="771"/>
      <c r="R673" s="771"/>
      <c r="S673" s="771"/>
      <c r="T673" s="771"/>
      <c r="U673" s="771"/>
      <c r="V673" s="771"/>
      <c r="W673" s="771"/>
      <c r="X673" s="771"/>
      <c r="Y673" s="771"/>
      <c r="Z673" s="771"/>
    </row>
    <row r="674" ht="15.75" customHeight="1">
      <c r="A674" s="771"/>
      <c r="B674" s="771"/>
      <c r="C674" s="771"/>
      <c r="D674" s="771"/>
      <c r="E674" s="771"/>
      <c r="F674" s="771"/>
      <c r="G674" s="771"/>
      <c r="H674" s="771"/>
      <c r="I674" s="771"/>
      <c r="J674" s="771"/>
      <c r="K674" s="771"/>
      <c r="L674" s="771"/>
      <c r="M674" s="771"/>
      <c r="N674" s="771"/>
      <c r="O674" s="771"/>
      <c r="P674" s="771"/>
      <c r="Q674" s="771"/>
      <c r="R674" s="771"/>
      <c r="S674" s="771"/>
      <c r="T674" s="771"/>
      <c r="U674" s="771"/>
      <c r="V674" s="771"/>
      <c r="W674" s="771"/>
      <c r="X674" s="771"/>
      <c r="Y674" s="771"/>
      <c r="Z674" s="771"/>
    </row>
    <row r="675" ht="15.75" customHeight="1">
      <c r="A675" s="771"/>
      <c r="B675" s="771"/>
      <c r="C675" s="771"/>
      <c r="D675" s="771"/>
      <c r="E675" s="771"/>
      <c r="F675" s="771"/>
      <c r="G675" s="771"/>
      <c r="H675" s="771"/>
      <c r="I675" s="771"/>
      <c r="J675" s="771"/>
      <c r="K675" s="771"/>
      <c r="L675" s="771"/>
      <c r="M675" s="771"/>
      <c r="N675" s="771"/>
      <c r="O675" s="771"/>
      <c r="P675" s="771"/>
      <c r="Q675" s="771"/>
      <c r="R675" s="771"/>
      <c r="S675" s="771"/>
      <c r="T675" s="771"/>
      <c r="U675" s="771"/>
      <c r="V675" s="771"/>
      <c r="W675" s="771"/>
      <c r="X675" s="771"/>
      <c r="Y675" s="771"/>
      <c r="Z675" s="771"/>
    </row>
    <row r="676" ht="15.75" customHeight="1">
      <c r="A676" s="771"/>
      <c r="B676" s="771"/>
      <c r="C676" s="771"/>
      <c r="D676" s="771"/>
      <c r="E676" s="771"/>
      <c r="F676" s="771"/>
      <c r="G676" s="771"/>
      <c r="H676" s="771"/>
      <c r="I676" s="771"/>
      <c r="J676" s="771"/>
      <c r="K676" s="771"/>
      <c r="L676" s="771"/>
      <c r="M676" s="771"/>
      <c r="N676" s="771"/>
      <c r="O676" s="771"/>
      <c r="P676" s="771"/>
      <c r="Q676" s="771"/>
      <c r="R676" s="771"/>
      <c r="S676" s="771"/>
      <c r="T676" s="771"/>
      <c r="U676" s="771"/>
      <c r="V676" s="771"/>
      <c r="W676" s="771"/>
      <c r="X676" s="771"/>
      <c r="Y676" s="771"/>
      <c r="Z676" s="771"/>
    </row>
    <row r="677" ht="15.75" customHeight="1">
      <c r="A677" s="771"/>
      <c r="B677" s="771"/>
      <c r="C677" s="771"/>
      <c r="D677" s="771"/>
      <c r="E677" s="771"/>
      <c r="F677" s="771"/>
      <c r="G677" s="771"/>
      <c r="H677" s="771"/>
      <c r="I677" s="771"/>
      <c r="J677" s="771"/>
      <c r="K677" s="771"/>
      <c r="L677" s="771"/>
      <c r="M677" s="771"/>
      <c r="N677" s="771"/>
      <c r="O677" s="771"/>
      <c r="P677" s="771"/>
      <c r="Q677" s="771"/>
      <c r="R677" s="771"/>
      <c r="S677" s="771"/>
      <c r="T677" s="771"/>
      <c r="U677" s="771"/>
      <c r="V677" s="771"/>
      <c r="W677" s="771"/>
      <c r="X677" s="771"/>
      <c r="Y677" s="771"/>
      <c r="Z677" s="771"/>
    </row>
    <row r="678" ht="15.75" customHeight="1">
      <c r="A678" s="771"/>
      <c r="B678" s="771"/>
      <c r="C678" s="771"/>
      <c r="D678" s="771"/>
      <c r="E678" s="771"/>
      <c r="F678" s="771"/>
      <c r="G678" s="771"/>
      <c r="H678" s="771"/>
      <c r="I678" s="771"/>
      <c r="J678" s="771"/>
      <c r="K678" s="771"/>
      <c r="L678" s="771"/>
      <c r="M678" s="771"/>
      <c r="N678" s="771"/>
      <c r="O678" s="771"/>
      <c r="P678" s="771"/>
      <c r="Q678" s="771"/>
      <c r="R678" s="771"/>
      <c r="S678" s="771"/>
      <c r="T678" s="771"/>
      <c r="U678" s="771"/>
      <c r="V678" s="771"/>
      <c r="W678" s="771"/>
      <c r="X678" s="771"/>
      <c r="Y678" s="771"/>
      <c r="Z678" s="771"/>
    </row>
    <row r="679" ht="15.75" customHeight="1">
      <c r="A679" s="771"/>
      <c r="B679" s="771"/>
      <c r="C679" s="771"/>
      <c r="D679" s="771"/>
      <c r="E679" s="771"/>
      <c r="F679" s="771"/>
      <c r="G679" s="771"/>
      <c r="H679" s="771"/>
      <c r="I679" s="771"/>
      <c r="J679" s="771"/>
      <c r="K679" s="771"/>
      <c r="L679" s="771"/>
      <c r="M679" s="771"/>
      <c r="N679" s="771"/>
      <c r="O679" s="771"/>
      <c r="P679" s="771"/>
      <c r="Q679" s="771"/>
      <c r="R679" s="771"/>
      <c r="S679" s="771"/>
      <c r="T679" s="771"/>
      <c r="U679" s="771"/>
      <c r="V679" s="771"/>
      <c r="W679" s="771"/>
      <c r="X679" s="771"/>
      <c r="Y679" s="771"/>
      <c r="Z679" s="771"/>
    </row>
    <row r="680" ht="15.75" customHeight="1">
      <c r="A680" s="771"/>
      <c r="B680" s="771"/>
      <c r="C680" s="771"/>
      <c r="D680" s="771"/>
      <c r="E680" s="771"/>
      <c r="F680" s="771"/>
      <c r="G680" s="771"/>
      <c r="H680" s="771"/>
      <c r="I680" s="771"/>
      <c r="J680" s="771"/>
      <c r="K680" s="771"/>
      <c r="L680" s="771"/>
      <c r="M680" s="771"/>
      <c r="N680" s="771"/>
      <c r="O680" s="771"/>
      <c r="P680" s="771"/>
      <c r="Q680" s="771"/>
      <c r="R680" s="771"/>
      <c r="S680" s="771"/>
      <c r="T680" s="771"/>
      <c r="U680" s="771"/>
      <c r="V680" s="771"/>
      <c r="W680" s="771"/>
      <c r="X680" s="771"/>
      <c r="Y680" s="771"/>
      <c r="Z680" s="771"/>
    </row>
    <row r="681" ht="15.75" customHeight="1">
      <c r="A681" s="771"/>
      <c r="B681" s="771"/>
      <c r="C681" s="771"/>
      <c r="D681" s="771"/>
      <c r="E681" s="771"/>
      <c r="F681" s="771"/>
      <c r="G681" s="771"/>
      <c r="H681" s="771"/>
      <c r="I681" s="771"/>
      <c r="J681" s="771"/>
      <c r="K681" s="771"/>
      <c r="L681" s="771"/>
      <c r="M681" s="771"/>
      <c r="N681" s="771"/>
      <c r="O681" s="771"/>
      <c r="P681" s="771"/>
      <c r="Q681" s="771"/>
      <c r="R681" s="771"/>
      <c r="S681" s="771"/>
      <c r="T681" s="771"/>
      <c r="U681" s="771"/>
      <c r="V681" s="771"/>
      <c r="W681" s="771"/>
      <c r="X681" s="771"/>
      <c r="Y681" s="771"/>
      <c r="Z681" s="771"/>
    </row>
    <row r="682" ht="15.75" customHeight="1">
      <c r="A682" s="771"/>
      <c r="B682" s="771"/>
      <c r="C682" s="771"/>
      <c r="D682" s="771"/>
      <c r="E682" s="771"/>
      <c r="F682" s="771"/>
      <c r="G682" s="771"/>
      <c r="H682" s="771"/>
      <c r="I682" s="771"/>
      <c r="J682" s="771"/>
      <c r="K682" s="771"/>
      <c r="L682" s="771"/>
      <c r="M682" s="771"/>
      <c r="N682" s="771"/>
      <c r="O682" s="771"/>
      <c r="P682" s="771"/>
      <c r="Q682" s="771"/>
      <c r="R682" s="771"/>
      <c r="S682" s="771"/>
      <c r="T682" s="771"/>
      <c r="U682" s="771"/>
      <c r="V682" s="771"/>
      <c r="W682" s="771"/>
      <c r="X682" s="771"/>
      <c r="Y682" s="771"/>
      <c r="Z682" s="771"/>
    </row>
    <row r="683" ht="15.75" customHeight="1">
      <c r="A683" s="771"/>
      <c r="B683" s="771"/>
      <c r="C683" s="771"/>
      <c r="D683" s="771"/>
      <c r="E683" s="771"/>
      <c r="F683" s="771"/>
      <c r="G683" s="771"/>
      <c r="H683" s="771"/>
      <c r="I683" s="771"/>
      <c r="J683" s="771"/>
      <c r="K683" s="771"/>
      <c r="L683" s="771"/>
      <c r="M683" s="771"/>
      <c r="N683" s="771"/>
      <c r="O683" s="771"/>
      <c r="P683" s="771"/>
      <c r="Q683" s="771"/>
      <c r="R683" s="771"/>
      <c r="S683" s="771"/>
      <c r="T683" s="771"/>
      <c r="U683" s="771"/>
      <c r="V683" s="771"/>
      <c r="W683" s="771"/>
      <c r="X683" s="771"/>
      <c r="Y683" s="771"/>
      <c r="Z683" s="771"/>
    </row>
    <row r="684" ht="15.75" customHeight="1">
      <c r="A684" s="771"/>
      <c r="B684" s="771"/>
      <c r="C684" s="771"/>
      <c r="D684" s="771"/>
      <c r="E684" s="771"/>
      <c r="F684" s="771"/>
      <c r="G684" s="771"/>
      <c r="H684" s="771"/>
      <c r="I684" s="771"/>
      <c r="J684" s="771"/>
      <c r="K684" s="771"/>
      <c r="L684" s="771"/>
      <c r="M684" s="771"/>
      <c r="N684" s="771"/>
      <c r="O684" s="771"/>
      <c r="P684" s="771"/>
      <c r="Q684" s="771"/>
      <c r="R684" s="771"/>
      <c r="S684" s="771"/>
      <c r="T684" s="771"/>
      <c r="U684" s="771"/>
      <c r="V684" s="771"/>
      <c r="W684" s="771"/>
      <c r="X684" s="771"/>
      <c r="Y684" s="771"/>
      <c r="Z684" s="771"/>
    </row>
    <row r="685" ht="15.75" customHeight="1">
      <c r="A685" s="771"/>
      <c r="B685" s="771"/>
      <c r="C685" s="771"/>
      <c r="D685" s="771"/>
      <c r="E685" s="771"/>
      <c r="F685" s="771"/>
      <c r="G685" s="771"/>
      <c r="H685" s="771"/>
      <c r="I685" s="771"/>
      <c r="J685" s="771"/>
      <c r="K685" s="771"/>
      <c r="L685" s="771"/>
      <c r="M685" s="771"/>
      <c r="N685" s="771"/>
      <c r="O685" s="771"/>
      <c r="P685" s="771"/>
      <c r="Q685" s="771"/>
      <c r="R685" s="771"/>
      <c r="S685" s="771"/>
      <c r="T685" s="771"/>
      <c r="U685" s="771"/>
      <c r="V685" s="771"/>
      <c r="W685" s="771"/>
      <c r="X685" s="771"/>
      <c r="Y685" s="771"/>
      <c r="Z685" s="771"/>
    </row>
    <row r="686" ht="15.75" customHeight="1">
      <c r="A686" s="771"/>
      <c r="B686" s="771"/>
      <c r="C686" s="771"/>
      <c r="D686" s="771"/>
      <c r="E686" s="771"/>
      <c r="F686" s="771"/>
      <c r="G686" s="771"/>
      <c r="H686" s="771"/>
      <c r="I686" s="771"/>
      <c r="J686" s="771"/>
      <c r="K686" s="771"/>
      <c r="L686" s="771"/>
      <c r="M686" s="771"/>
      <c r="N686" s="771"/>
      <c r="O686" s="771"/>
      <c r="P686" s="771"/>
      <c r="Q686" s="771"/>
      <c r="R686" s="771"/>
      <c r="S686" s="771"/>
      <c r="T686" s="771"/>
      <c r="U686" s="771"/>
      <c r="V686" s="771"/>
      <c r="W686" s="771"/>
      <c r="X686" s="771"/>
      <c r="Y686" s="771"/>
      <c r="Z686" s="771"/>
    </row>
    <row r="687" ht="15.75" customHeight="1">
      <c r="A687" s="771"/>
      <c r="B687" s="771"/>
      <c r="C687" s="771"/>
      <c r="D687" s="771"/>
      <c r="E687" s="771"/>
      <c r="F687" s="771"/>
      <c r="G687" s="771"/>
      <c r="H687" s="771"/>
      <c r="I687" s="771"/>
      <c r="J687" s="771"/>
      <c r="K687" s="771"/>
      <c r="L687" s="771"/>
      <c r="M687" s="771"/>
      <c r="N687" s="771"/>
      <c r="O687" s="771"/>
      <c r="P687" s="771"/>
      <c r="Q687" s="771"/>
      <c r="R687" s="771"/>
      <c r="S687" s="771"/>
      <c r="T687" s="771"/>
      <c r="U687" s="771"/>
      <c r="V687" s="771"/>
      <c r="W687" s="771"/>
      <c r="X687" s="771"/>
      <c r="Y687" s="771"/>
      <c r="Z687" s="771"/>
    </row>
    <row r="688" ht="15.75" customHeight="1">
      <c r="A688" s="771"/>
      <c r="B688" s="771"/>
      <c r="C688" s="771"/>
      <c r="D688" s="771"/>
      <c r="E688" s="771"/>
      <c r="F688" s="771"/>
      <c r="G688" s="771"/>
      <c r="H688" s="771"/>
      <c r="I688" s="771"/>
      <c r="J688" s="771"/>
      <c r="K688" s="771"/>
      <c r="L688" s="771"/>
      <c r="M688" s="771"/>
      <c r="N688" s="771"/>
      <c r="O688" s="771"/>
      <c r="P688" s="771"/>
      <c r="Q688" s="771"/>
      <c r="R688" s="771"/>
      <c r="S688" s="771"/>
      <c r="T688" s="771"/>
      <c r="U688" s="771"/>
      <c r="V688" s="771"/>
      <c r="W688" s="771"/>
      <c r="X688" s="771"/>
      <c r="Y688" s="771"/>
      <c r="Z688" s="771"/>
    </row>
    <row r="689" ht="15.75" customHeight="1">
      <c r="A689" s="771"/>
      <c r="B689" s="771"/>
      <c r="C689" s="771"/>
      <c r="D689" s="771"/>
      <c r="E689" s="771"/>
      <c r="F689" s="771"/>
      <c r="G689" s="771"/>
      <c r="H689" s="771"/>
      <c r="I689" s="771"/>
      <c r="J689" s="771"/>
      <c r="K689" s="771"/>
      <c r="L689" s="771"/>
      <c r="M689" s="771"/>
      <c r="N689" s="771"/>
      <c r="O689" s="771"/>
      <c r="P689" s="771"/>
      <c r="Q689" s="771"/>
      <c r="R689" s="771"/>
      <c r="S689" s="771"/>
      <c r="T689" s="771"/>
      <c r="U689" s="771"/>
      <c r="V689" s="771"/>
      <c r="W689" s="771"/>
      <c r="X689" s="771"/>
      <c r="Y689" s="771"/>
      <c r="Z689" s="771"/>
    </row>
    <row r="690" ht="15.75" customHeight="1">
      <c r="A690" s="771"/>
      <c r="B690" s="771"/>
      <c r="C690" s="771"/>
      <c r="D690" s="771"/>
      <c r="E690" s="771"/>
      <c r="F690" s="771"/>
      <c r="G690" s="771"/>
      <c r="H690" s="771"/>
      <c r="I690" s="771"/>
      <c r="J690" s="771"/>
      <c r="K690" s="771"/>
      <c r="L690" s="771"/>
      <c r="M690" s="771"/>
      <c r="N690" s="771"/>
      <c r="O690" s="771"/>
      <c r="P690" s="771"/>
      <c r="Q690" s="771"/>
      <c r="R690" s="771"/>
      <c r="S690" s="771"/>
      <c r="T690" s="771"/>
      <c r="U690" s="771"/>
      <c r="V690" s="771"/>
      <c r="W690" s="771"/>
      <c r="X690" s="771"/>
      <c r="Y690" s="771"/>
      <c r="Z690" s="771"/>
    </row>
    <row r="691" ht="15.75" customHeight="1">
      <c r="A691" s="771"/>
      <c r="B691" s="771"/>
      <c r="C691" s="771"/>
      <c r="D691" s="771"/>
      <c r="E691" s="771"/>
      <c r="F691" s="771"/>
      <c r="G691" s="771"/>
      <c r="H691" s="771"/>
      <c r="I691" s="771"/>
      <c r="J691" s="771"/>
      <c r="K691" s="771"/>
      <c r="L691" s="771"/>
      <c r="M691" s="771"/>
      <c r="N691" s="771"/>
      <c r="O691" s="771"/>
      <c r="P691" s="771"/>
      <c r="Q691" s="771"/>
      <c r="R691" s="771"/>
      <c r="S691" s="771"/>
      <c r="T691" s="771"/>
      <c r="U691" s="771"/>
      <c r="V691" s="771"/>
      <c r="W691" s="771"/>
      <c r="X691" s="771"/>
      <c r="Y691" s="771"/>
      <c r="Z691" s="771"/>
    </row>
    <row r="692" ht="15.75" customHeight="1">
      <c r="A692" s="771"/>
      <c r="B692" s="771"/>
      <c r="C692" s="771"/>
      <c r="D692" s="771"/>
      <c r="E692" s="771"/>
      <c r="F692" s="771"/>
      <c r="G692" s="771"/>
      <c r="H692" s="771"/>
      <c r="I692" s="771"/>
      <c r="J692" s="771"/>
      <c r="K692" s="771"/>
      <c r="L692" s="771"/>
      <c r="M692" s="771"/>
      <c r="N692" s="771"/>
      <c r="O692" s="771"/>
      <c r="P692" s="771"/>
      <c r="Q692" s="771"/>
      <c r="R692" s="771"/>
      <c r="S692" s="771"/>
      <c r="T692" s="771"/>
      <c r="U692" s="771"/>
      <c r="V692" s="771"/>
      <c r="W692" s="771"/>
      <c r="X692" s="771"/>
      <c r="Y692" s="771"/>
      <c r="Z692" s="771"/>
    </row>
    <row r="693" ht="15.75" customHeight="1">
      <c r="A693" s="771"/>
      <c r="B693" s="771"/>
      <c r="C693" s="771"/>
      <c r="D693" s="771"/>
      <c r="E693" s="771"/>
      <c r="F693" s="771"/>
      <c r="G693" s="771"/>
      <c r="H693" s="771"/>
      <c r="I693" s="771"/>
      <c r="J693" s="771"/>
      <c r="K693" s="771"/>
      <c r="L693" s="771"/>
      <c r="M693" s="771"/>
      <c r="N693" s="771"/>
      <c r="O693" s="771"/>
      <c r="P693" s="771"/>
      <c r="Q693" s="771"/>
      <c r="R693" s="771"/>
      <c r="S693" s="771"/>
      <c r="T693" s="771"/>
      <c r="U693" s="771"/>
      <c r="V693" s="771"/>
      <c r="W693" s="771"/>
      <c r="X693" s="771"/>
      <c r="Y693" s="771"/>
      <c r="Z693" s="771"/>
    </row>
    <row r="694" ht="15.75" customHeight="1">
      <c r="A694" s="771"/>
      <c r="B694" s="771"/>
      <c r="C694" s="771"/>
      <c r="D694" s="771"/>
      <c r="E694" s="771"/>
      <c r="F694" s="771"/>
      <c r="G694" s="771"/>
      <c r="H694" s="771"/>
      <c r="I694" s="771"/>
      <c r="J694" s="771"/>
      <c r="K694" s="771"/>
      <c r="L694" s="771"/>
      <c r="M694" s="771"/>
      <c r="N694" s="771"/>
      <c r="O694" s="771"/>
      <c r="P694" s="771"/>
      <c r="Q694" s="771"/>
      <c r="R694" s="771"/>
      <c r="S694" s="771"/>
      <c r="T694" s="771"/>
      <c r="U694" s="771"/>
      <c r="V694" s="771"/>
      <c r="W694" s="771"/>
      <c r="X694" s="771"/>
      <c r="Y694" s="771"/>
      <c r="Z694" s="771"/>
    </row>
    <row r="695" ht="15.75" customHeight="1">
      <c r="A695" s="771"/>
      <c r="B695" s="771"/>
      <c r="C695" s="771"/>
      <c r="D695" s="771"/>
      <c r="E695" s="771"/>
      <c r="F695" s="771"/>
      <c r="G695" s="771"/>
      <c r="H695" s="771"/>
      <c r="I695" s="771"/>
      <c r="J695" s="771"/>
      <c r="K695" s="771"/>
      <c r="L695" s="771"/>
      <c r="M695" s="771"/>
      <c r="N695" s="771"/>
      <c r="O695" s="771"/>
      <c r="P695" s="771"/>
      <c r="Q695" s="771"/>
      <c r="R695" s="771"/>
      <c r="S695" s="771"/>
      <c r="T695" s="771"/>
      <c r="U695" s="771"/>
      <c r="V695" s="771"/>
      <c r="W695" s="771"/>
      <c r="X695" s="771"/>
      <c r="Y695" s="771"/>
      <c r="Z695" s="771"/>
    </row>
    <row r="696" ht="15.75" customHeight="1">
      <c r="A696" s="771"/>
      <c r="B696" s="771"/>
      <c r="C696" s="771"/>
      <c r="D696" s="771"/>
      <c r="E696" s="771"/>
      <c r="F696" s="771"/>
      <c r="G696" s="771"/>
      <c r="H696" s="771"/>
      <c r="I696" s="771"/>
      <c r="J696" s="771"/>
      <c r="K696" s="771"/>
      <c r="L696" s="771"/>
      <c r="M696" s="771"/>
      <c r="N696" s="771"/>
      <c r="O696" s="771"/>
      <c r="P696" s="771"/>
      <c r="Q696" s="771"/>
      <c r="R696" s="771"/>
      <c r="S696" s="771"/>
      <c r="T696" s="771"/>
      <c r="U696" s="771"/>
      <c r="V696" s="771"/>
      <c r="W696" s="771"/>
      <c r="X696" s="771"/>
      <c r="Y696" s="771"/>
      <c r="Z696" s="771"/>
    </row>
    <row r="697" ht="15.75" customHeight="1">
      <c r="A697" s="771"/>
      <c r="B697" s="771"/>
      <c r="C697" s="771"/>
      <c r="D697" s="771"/>
      <c r="E697" s="771"/>
      <c r="F697" s="771"/>
      <c r="G697" s="771"/>
      <c r="H697" s="771"/>
      <c r="I697" s="771"/>
      <c r="J697" s="771"/>
      <c r="K697" s="771"/>
      <c r="L697" s="771"/>
      <c r="M697" s="771"/>
      <c r="N697" s="771"/>
      <c r="O697" s="771"/>
      <c r="P697" s="771"/>
      <c r="Q697" s="771"/>
      <c r="R697" s="771"/>
      <c r="S697" s="771"/>
      <c r="T697" s="771"/>
      <c r="U697" s="771"/>
      <c r="V697" s="771"/>
      <c r="W697" s="771"/>
      <c r="X697" s="771"/>
      <c r="Y697" s="771"/>
      <c r="Z697" s="771"/>
    </row>
    <row r="698" ht="15.75" customHeight="1">
      <c r="A698" s="771"/>
      <c r="B698" s="771"/>
      <c r="C698" s="771"/>
      <c r="D698" s="771"/>
      <c r="E698" s="771"/>
      <c r="F698" s="771"/>
      <c r="G698" s="771"/>
      <c r="H698" s="771"/>
      <c r="I698" s="771"/>
      <c r="J698" s="771"/>
      <c r="K698" s="771"/>
      <c r="L698" s="771"/>
      <c r="M698" s="771"/>
      <c r="N698" s="771"/>
      <c r="O698" s="771"/>
      <c r="P698" s="771"/>
      <c r="Q698" s="771"/>
      <c r="R698" s="771"/>
      <c r="S698" s="771"/>
      <c r="T698" s="771"/>
      <c r="U698" s="771"/>
      <c r="V698" s="771"/>
      <c r="W698" s="771"/>
      <c r="X698" s="771"/>
      <c r="Y698" s="771"/>
      <c r="Z698" s="771"/>
    </row>
    <row r="699" ht="15.75" customHeight="1">
      <c r="A699" s="771"/>
      <c r="B699" s="771"/>
      <c r="C699" s="771"/>
      <c r="D699" s="771"/>
      <c r="E699" s="771"/>
      <c r="F699" s="771"/>
      <c r="G699" s="771"/>
      <c r="H699" s="771"/>
      <c r="I699" s="771"/>
      <c r="J699" s="771"/>
      <c r="K699" s="771"/>
      <c r="L699" s="771"/>
      <c r="M699" s="771"/>
      <c r="N699" s="771"/>
      <c r="O699" s="771"/>
      <c r="P699" s="771"/>
      <c r="Q699" s="771"/>
      <c r="R699" s="771"/>
      <c r="S699" s="771"/>
      <c r="T699" s="771"/>
      <c r="U699" s="771"/>
      <c r="V699" s="771"/>
      <c r="W699" s="771"/>
      <c r="X699" s="771"/>
      <c r="Y699" s="771"/>
      <c r="Z699" s="771"/>
    </row>
    <row r="700" ht="15.75" customHeight="1">
      <c r="A700" s="771"/>
      <c r="B700" s="771"/>
      <c r="C700" s="771"/>
      <c r="D700" s="771"/>
      <c r="E700" s="771"/>
      <c r="F700" s="771"/>
      <c r="G700" s="771"/>
      <c r="H700" s="771"/>
      <c r="I700" s="771"/>
      <c r="J700" s="771"/>
      <c r="K700" s="771"/>
      <c r="L700" s="771"/>
      <c r="M700" s="771"/>
      <c r="N700" s="771"/>
      <c r="O700" s="771"/>
      <c r="P700" s="771"/>
      <c r="Q700" s="771"/>
      <c r="R700" s="771"/>
      <c r="S700" s="771"/>
      <c r="T700" s="771"/>
      <c r="U700" s="771"/>
      <c r="V700" s="771"/>
      <c r="W700" s="771"/>
      <c r="X700" s="771"/>
      <c r="Y700" s="771"/>
      <c r="Z700" s="771"/>
    </row>
    <row r="701" ht="15.75" customHeight="1">
      <c r="A701" s="771"/>
      <c r="B701" s="771"/>
      <c r="C701" s="771"/>
      <c r="D701" s="771"/>
      <c r="E701" s="771"/>
      <c r="F701" s="771"/>
      <c r="G701" s="771"/>
      <c r="H701" s="771"/>
      <c r="I701" s="771"/>
      <c r="J701" s="771"/>
      <c r="K701" s="771"/>
      <c r="L701" s="771"/>
      <c r="M701" s="771"/>
      <c r="N701" s="771"/>
      <c r="O701" s="771"/>
      <c r="P701" s="771"/>
      <c r="Q701" s="771"/>
      <c r="R701" s="771"/>
      <c r="S701" s="771"/>
      <c r="T701" s="771"/>
      <c r="U701" s="771"/>
      <c r="V701" s="771"/>
      <c r="W701" s="771"/>
      <c r="X701" s="771"/>
      <c r="Y701" s="771"/>
      <c r="Z701" s="771"/>
    </row>
    <row r="702" ht="15.75" customHeight="1">
      <c r="A702" s="771"/>
      <c r="B702" s="771"/>
      <c r="C702" s="771"/>
      <c r="D702" s="771"/>
      <c r="E702" s="771"/>
      <c r="F702" s="771"/>
      <c r="G702" s="771"/>
      <c r="H702" s="771"/>
      <c r="I702" s="771"/>
      <c r="J702" s="771"/>
      <c r="K702" s="771"/>
      <c r="L702" s="771"/>
      <c r="M702" s="771"/>
      <c r="N702" s="771"/>
      <c r="O702" s="771"/>
      <c r="P702" s="771"/>
      <c r="Q702" s="771"/>
      <c r="R702" s="771"/>
      <c r="S702" s="771"/>
      <c r="T702" s="771"/>
      <c r="U702" s="771"/>
      <c r="V702" s="771"/>
      <c r="W702" s="771"/>
      <c r="X702" s="771"/>
      <c r="Y702" s="771"/>
      <c r="Z702" s="771"/>
    </row>
    <row r="703" ht="15.75" customHeight="1">
      <c r="A703" s="771"/>
      <c r="B703" s="771"/>
      <c r="C703" s="771"/>
      <c r="D703" s="771"/>
      <c r="E703" s="771"/>
      <c r="F703" s="771"/>
      <c r="G703" s="771"/>
      <c r="H703" s="771"/>
      <c r="I703" s="771"/>
      <c r="J703" s="771"/>
      <c r="K703" s="771"/>
      <c r="L703" s="771"/>
      <c r="M703" s="771"/>
      <c r="N703" s="771"/>
      <c r="O703" s="771"/>
      <c r="P703" s="771"/>
      <c r="Q703" s="771"/>
      <c r="R703" s="771"/>
      <c r="S703" s="771"/>
      <c r="T703" s="771"/>
      <c r="U703" s="771"/>
      <c r="V703" s="771"/>
      <c r="W703" s="771"/>
      <c r="X703" s="771"/>
      <c r="Y703" s="771"/>
      <c r="Z703" s="771"/>
    </row>
    <row r="704" ht="15.75" customHeight="1">
      <c r="A704" s="771"/>
      <c r="B704" s="771"/>
      <c r="C704" s="771"/>
      <c r="D704" s="771"/>
      <c r="E704" s="771"/>
      <c r="F704" s="771"/>
      <c r="G704" s="771"/>
      <c r="H704" s="771"/>
      <c r="I704" s="771"/>
      <c r="J704" s="771"/>
      <c r="K704" s="771"/>
      <c r="L704" s="771"/>
      <c r="M704" s="771"/>
      <c r="N704" s="771"/>
      <c r="O704" s="771"/>
      <c r="P704" s="771"/>
      <c r="Q704" s="771"/>
      <c r="R704" s="771"/>
      <c r="S704" s="771"/>
      <c r="T704" s="771"/>
      <c r="U704" s="771"/>
      <c r="V704" s="771"/>
      <c r="W704" s="771"/>
      <c r="X704" s="771"/>
      <c r="Y704" s="771"/>
      <c r="Z704" s="771"/>
    </row>
    <row r="705" ht="15.75" customHeight="1">
      <c r="A705" s="771"/>
      <c r="B705" s="771"/>
      <c r="C705" s="771"/>
      <c r="D705" s="771"/>
      <c r="E705" s="771"/>
      <c r="F705" s="771"/>
      <c r="G705" s="771"/>
      <c r="H705" s="771"/>
      <c r="I705" s="771"/>
      <c r="J705" s="771"/>
      <c r="K705" s="771"/>
      <c r="L705" s="771"/>
      <c r="M705" s="771"/>
      <c r="N705" s="771"/>
      <c r="O705" s="771"/>
      <c r="P705" s="771"/>
      <c r="Q705" s="771"/>
      <c r="R705" s="771"/>
      <c r="S705" s="771"/>
      <c r="T705" s="771"/>
      <c r="U705" s="771"/>
      <c r="V705" s="771"/>
      <c r="W705" s="771"/>
      <c r="X705" s="771"/>
      <c r="Y705" s="771"/>
      <c r="Z705" s="771"/>
    </row>
    <row r="706" ht="15.75" customHeight="1">
      <c r="A706" s="771"/>
      <c r="B706" s="771"/>
      <c r="C706" s="771"/>
      <c r="D706" s="771"/>
      <c r="E706" s="771"/>
      <c r="F706" s="771"/>
      <c r="G706" s="771"/>
      <c r="H706" s="771"/>
      <c r="I706" s="771"/>
      <c r="J706" s="771"/>
      <c r="K706" s="771"/>
      <c r="L706" s="771"/>
      <c r="M706" s="771"/>
      <c r="N706" s="771"/>
      <c r="O706" s="771"/>
      <c r="P706" s="771"/>
      <c r="Q706" s="771"/>
      <c r="R706" s="771"/>
      <c r="S706" s="771"/>
      <c r="T706" s="771"/>
      <c r="U706" s="771"/>
      <c r="V706" s="771"/>
      <c r="W706" s="771"/>
      <c r="X706" s="771"/>
      <c r="Y706" s="771"/>
      <c r="Z706" s="771"/>
    </row>
    <row r="707" ht="15.75" customHeight="1">
      <c r="A707" s="771"/>
      <c r="B707" s="771"/>
      <c r="C707" s="771"/>
      <c r="D707" s="771"/>
      <c r="E707" s="771"/>
      <c r="F707" s="771"/>
      <c r="G707" s="771"/>
      <c r="H707" s="771"/>
      <c r="I707" s="771"/>
      <c r="J707" s="771"/>
      <c r="K707" s="771"/>
      <c r="L707" s="771"/>
      <c r="M707" s="771"/>
      <c r="N707" s="771"/>
      <c r="O707" s="771"/>
      <c r="P707" s="771"/>
      <c r="Q707" s="771"/>
      <c r="R707" s="771"/>
      <c r="S707" s="771"/>
      <c r="T707" s="771"/>
      <c r="U707" s="771"/>
      <c r="V707" s="771"/>
      <c r="W707" s="771"/>
      <c r="X707" s="771"/>
      <c r="Y707" s="771"/>
      <c r="Z707" s="771"/>
    </row>
    <row r="708" ht="15.75" customHeight="1">
      <c r="A708" s="771"/>
      <c r="B708" s="771"/>
      <c r="C708" s="771"/>
      <c r="D708" s="771"/>
      <c r="E708" s="771"/>
      <c r="F708" s="771"/>
      <c r="G708" s="771"/>
      <c r="H708" s="771"/>
      <c r="I708" s="771"/>
      <c r="J708" s="771"/>
      <c r="K708" s="771"/>
      <c r="L708" s="771"/>
      <c r="M708" s="771"/>
      <c r="N708" s="771"/>
      <c r="O708" s="771"/>
      <c r="P708" s="771"/>
      <c r="Q708" s="771"/>
      <c r="R708" s="771"/>
      <c r="S708" s="771"/>
      <c r="T708" s="771"/>
      <c r="U708" s="771"/>
      <c r="V708" s="771"/>
      <c r="W708" s="771"/>
      <c r="X708" s="771"/>
      <c r="Y708" s="771"/>
      <c r="Z708" s="771"/>
    </row>
    <row r="709" ht="15.75" customHeight="1">
      <c r="A709" s="771"/>
      <c r="B709" s="771"/>
      <c r="C709" s="771"/>
      <c r="D709" s="771"/>
      <c r="E709" s="771"/>
      <c r="F709" s="771"/>
      <c r="G709" s="771"/>
      <c r="H709" s="771"/>
      <c r="I709" s="771"/>
      <c r="J709" s="771"/>
      <c r="K709" s="771"/>
      <c r="L709" s="771"/>
      <c r="M709" s="771"/>
      <c r="N709" s="771"/>
      <c r="O709" s="771"/>
      <c r="P709" s="771"/>
      <c r="Q709" s="771"/>
      <c r="R709" s="771"/>
      <c r="S709" s="771"/>
      <c r="T709" s="771"/>
      <c r="U709" s="771"/>
      <c r="V709" s="771"/>
      <c r="W709" s="771"/>
      <c r="X709" s="771"/>
      <c r="Y709" s="771"/>
      <c r="Z709" s="771"/>
    </row>
    <row r="710" ht="15.75" customHeight="1">
      <c r="A710" s="771"/>
      <c r="B710" s="771"/>
      <c r="C710" s="771"/>
      <c r="D710" s="771"/>
      <c r="E710" s="771"/>
      <c r="F710" s="771"/>
      <c r="G710" s="771"/>
      <c r="H710" s="771"/>
      <c r="I710" s="771"/>
      <c r="J710" s="771"/>
      <c r="K710" s="771"/>
      <c r="L710" s="771"/>
      <c r="M710" s="771"/>
      <c r="N710" s="771"/>
      <c r="O710" s="771"/>
      <c r="P710" s="771"/>
      <c r="Q710" s="771"/>
      <c r="R710" s="771"/>
      <c r="S710" s="771"/>
      <c r="T710" s="771"/>
      <c r="U710" s="771"/>
      <c r="V710" s="771"/>
      <c r="W710" s="771"/>
      <c r="X710" s="771"/>
      <c r="Y710" s="771"/>
      <c r="Z710" s="771"/>
    </row>
    <row r="711" ht="15.75" customHeight="1">
      <c r="A711" s="771"/>
      <c r="B711" s="771"/>
      <c r="C711" s="771"/>
      <c r="D711" s="771"/>
      <c r="E711" s="771"/>
      <c r="F711" s="771"/>
      <c r="G711" s="771"/>
      <c r="H711" s="771"/>
      <c r="I711" s="771"/>
      <c r="J711" s="771"/>
      <c r="K711" s="771"/>
      <c r="L711" s="771"/>
      <c r="M711" s="771"/>
      <c r="N711" s="771"/>
      <c r="O711" s="771"/>
      <c r="P711" s="771"/>
      <c r="Q711" s="771"/>
      <c r="R711" s="771"/>
      <c r="S711" s="771"/>
      <c r="T711" s="771"/>
      <c r="U711" s="771"/>
      <c r="V711" s="771"/>
      <c r="W711" s="771"/>
      <c r="X711" s="771"/>
      <c r="Y711" s="771"/>
      <c r="Z711" s="771"/>
    </row>
    <row r="712" ht="15.75" customHeight="1">
      <c r="A712" s="771"/>
      <c r="B712" s="771"/>
      <c r="C712" s="771"/>
      <c r="D712" s="771"/>
      <c r="E712" s="771"/>
      <c r="F712" s="771"/>
      <c r="G712" s="771"/>
      <c r="H712" s="771"/>
      <c r="I712" s="771"/>
      <c r="J712" s="771"/>
      <c r="K712" s="771"/>
      <c r="L712" s="771"/>
      <c r="M712" s="771"/>
      <c r="N712" s="771"/>
      <c r="O712" s="771"/>
      <c r="P712" s="771"/>
      <c r="Q712" s="771"/>
      <c r="R712" s="771"/>
      <c r="S712" s="771"/>
      <c r="T712" s="771"/>
      <c r="U712" s="771"/>
      <c r="V712" s="771"/>
      <c r="W712" s="771"/>
      <c r="X712" s="771"/>
      <c r="Y712" s="771"/>
      <c r="Z712" s="771"/>
    </row>
    <row r="713" ht="15.75" customHeight="1">
      <c r="A713" s="771"/>
      <c r="B713" s="771"/>
      <c r="C713" s="771"/>
      <c r="D713" s="771"/>
      <c r="E713" s="771"/>
      <c r="F713" s="771"/>
      <c r="G713" s="771"/>
      <c r="H713" s="771"/>
      <c r="I713" s="771"/>
      <c r="J713" s="771"/>
      <c r="K713" s="771"/>
      <c r="L713" s="771"/>
      <c r="M713" s="771"/>
      <c r="N713" s="771"/>
      <c r="O713" s="771"/>
      <c r="P713" s="771"/>
      <c r="Q713" s="771"/>
      <c r="R713" s="771"/>
      <c r="S713" s="771"/>
      <c r="T713" s="771"/>
      <c r="U713" s="771"/>
      <c r="V713" s="771"/>
      <c r="W713" s="771"/>
      <c r="X713" s="771"/>
      <c r="Y713" s="771"/>
      <c r="Z713" s="771"/>
    </row>
    <row r="714" ht="15.75" customHeight="1">
      <c r="A714" s="771"/>
      <c r="B714" s="771"/>
      <c r="C714" s="771"/>
      <c r="D714" s="771"/>
      <c r="E714" s="771"/>
      <c r="F714" s="771"/>
      <c r="G714" s="771"/>
      <c r="H714" s="771"/>
      <c r="I714" s="771"/>
      <c r="J714" s="771"/>
      <c r="K714" s="771"/>
      <c r="L714" s="771"/>
      <c r="M714" s="771"/>
      <c r="N714" s="771"/>
      <c r="O714" s="771"/>
      <c r="P714" s="771"/>
      <c r="Q714" s="771"/>
      <c r="R714" s="771"/>
      <c r="S714" s="771"/>
      <c r="T714" s="771"/>
      <c r="U714" s="771"/>
      <c r="V714" s="771"/>
      <c r="W714" s="771"/>
      <c r="X714" s="771"/>
      <c r="Y714" s="771"/>
      <c r="Z714" s="771"/>
    </row>
    <row r="715" ht="15.75" customHeight="1">
      <c r="A715" s="771"/>
      <c r="B715" s="771"/>
      <c r="C715" s="771"/>
      <c r="D715" s="771"/>
      <c r="E715" s="771"/>
      <c r="F715" s="771"/>
      <c r="G715" s="771"/>
      <c r="H715" s="771"/>
      <c r="I715" s="771"/>
      <c r="J715" s="771"/>
      <c r="K715" s="771"/>
      <c r="L715" s="771"/>
      <c r="M715" s="771"/>
      <c r="N715" s="771"/>
      <c r="O715" s="771"/>
      <c r="P715" s="771"/>
      <c r="Q715" s="771"/>
      <c r="R715" s="771"/>
      <c r="S715" s="771"/>
      <c r="T715" s="771"/>
      <c r="U715" s="771"/>
      <c r="V715" s="771"/>
      <c r="W715" s="771"/>
      <c r="X715" s="771"/>
      <c r="Y715" s="771"/>
      <c r="Z715" s="771"/>
    </row>
    <row r="716" ht="15.75" customHeight="1">
      <c r="A716" s="771"/>
      <c r="B716" s="771"/>
      <c r="C716" s="771"/>
      <c r="D716" s="771"/>
      <c r="E716" s="771"/>
      <c r="F716" s="771"/>
      <c r="G716" s="771"/>
      <c r="H716" s="771"/>
      <c r="I716" s="771"/>
      <c r="J716" s="771"/>
      <c r="K716" s="771"/>
      <c r="L716" s="771"/>
      <c r="M716" s="771"/>
      <c r="N716" s="771"/>
      <c r="O716" s="771"/>
      <c r="P716" s="771"/>
      <c r="Q716" s="771"/>
      <c r="R716" s="771"/>
      <c r="S716" s="771"/>
      <c r="T716" s="771"/>
      <c r="U716" s="771"/>
      <c r="V716" s="771"/>
      <c r="W716" s="771"/>
      <c r="X716" s="771"/>
      <c r="Y716" s="771"/>
      <c r="Z716" s="771"/>
    </row>
    <row r="717" ht="15.75" customHeight="1">
      <c r="A717" s="771"/>
      <c r="B717" s="771"/>
      <c r="C717" s="771"/>
      <c r="D717" s="771"/>
      <c r="E717" s="771"/>
      <c r="F717" s="771"/>
      <c r="G717" s="771"/>
      <c r="H717" s="771"/>
      <c r="I717" s="771"/>
      <c r="J717" s="771"/>
      <c r="K717" s="771"/>
      <c r="L717" s="771"/>
      <c r="M717" s="771"/>
      <c r="N717" s="771"/>
      <c r="O717" s="771"/>
      <c r="P717" s="771"/>
      <c r="Q717" s="771"/>
      <c r="R717" s="771"/>
      <c r="S717" s="771"/>
      <c r="T717" s="771"/>
      <c r="U717" s="771"/>
      <c r="V717" s="771"/>
      <c r="W717" s="771"/>
      <c r="X717" s="771"/>
      <c r="Y717" s="771"/>
      <c r="Z717" s="771"/>
    </row>
    <row r="718" ht="15.75" customHeight="1">
      <c r="A718" s="771"/>
      <c r="B718" s="771"/>
      <c r="C718" s="771"/>
      <c r="D718" s="771"/>
      <c r="E718" s="771"/>
      <c r="F718" s="771"/>
      <c r="G718" s="771"/>
      <c r="H718" s="771"/>
      <c r="I718" s="771"/>
      <c r="J718" s="771"/>
      <c r="K718" s="771"/>
      <c r="L718" s="771"/>
      <c r="M718" s="771"/>
      <c r="N718" s="771"/>
      <c r="O718" s="771"/>
      <c r="P718" s="771"/>
      <c r="Q718" s="771"/>
      <c r="R718" s="771"/>
      <c r="S718" s="771"/>
      <c r="T718" s="771"/>
      <c r="U718" s="771"/>
      <c r="V718" s="771"/>
      <c r="W718" s="771"/>
      <c r="X718" s="771"/>
      <c r="Y718" s="771"/>
      <c r="Z718" s="771"/>
    </row>
    <row r="719" ht="15.75" customHeight="1">
      <c r="A719" s="771"/>
      <c r="B719" s="771"/>
      <c r="C719" s="771"/>
      <c r="D719" s="771"/>
      <c r="E719" s="771"/>
      <c r="F719" s="771"/>
      <c r="G719" s="771"/>
      <c r="H719" s="771"/>
      <c r="I719" s="771"/>
      <c r="J719" s="771"/>
      <c r="K719" s="771"/>
      <c r="L719" s="771"/>
      <c r="M719" s="771"/>
      <c r="N719" s="771"/>
      <c r="O719" s="771"/>
      <c r="P719" s="771"/>
      <c r="Q719" s="771"/>
      <c r="R719" s="771"/>
      <c r="S719" s="771"/>
      <c r="T719" s="771"/>
      <c r="U719" s="771"/>
      <c r="V719" s="771"/>
      <c r="W719" s="771"/>
      <c r="X719" s="771"/>
      <c r="Y719" s="771"/>
      <c r="Z719" s="771"/>
    </row>
    <row r="720" ht="15.75" customHeight="1">
      <c r="A720" s="771"/>
      <c r="B720" s="771"/>
      <c r="C720" s="771"/>
      <c r="D720" s="771"/>
      <c r="E720" s="771"/>
      <c r="F720" s="771"/>
      <c r="G720" s="771"/>
      <c r="H720" s="771"/>
      <c r="I720" s="771"/>
      <c r="J720" s="771"/>
      <c r="K720" s="771"/>
      <c r="L720" s="771"/>
      <c r="M720" s="771"/>
      <c r="N720" s="771"/>
      <c r="O720" s="771"/>
      <c r="P720" s="771"/>
      <c r="Q720" s="771"/>
      <c r="R720" s="771"/>
      <c r="S720" s="771"/>
      <c r="T720" s="771"/>
      <c r="U720" s="771"/>
      <c r="V720" s="771"/>
      <c r="W720" s="771"/>
      <c r="X720" s="771"/>
      <c r="Y720" s="771"/>
      <c r="Z720" s="771"/>
    </row>
    <row r="721" ht="15.75" customHeight="1">
      <c r="A721" s="771"/>
      <c r="B721" s="771"/>
      <c r="C721" s="771"/>
      <c r="D721" s="771"/>
      <c r="E721" s="771"/>
      <c r="F721" s="771"/>
      <c r="G721" s="771"/>
      <c r="H721" s="771"/>
      <c r="I721" s="771"/>
      <c r="J721" s="771"/>
      <c r="K721" s="771"/>
      <c r="L721" s="771"/>
      <c r="M721" s="771"/>
      <c r="N721" s="771"/>
      <c r="O721" s="771"/>
      <c r="P721" s="771"/>
      <c r="Q721" s="771"/>
      <c r="R721" s="771"/>
      <c r="S721" s="771"/>
      <c r="T721" s="771"/>
      <c r="U721" s="771"/>
      <c r="V721" s="771"/>
      <c r="W721" s="771"/>
      <c r="X721" s="771"/>
      <c r="Y721" s="771"/>
      <c r="Z721" s="771"/>
    </row>
    <row r="722" ht="15.75" customHeight="1">
      <c r="A722" s="771"/>
      <c r="B722" s="771"/>
      <c r="C722" s="771"/>
      <c r="D722" s="771"/>
      <c r="E722" s="771"/>
      <c r="F722" s="771"/>
      <c r="G722" s="771"/>
      <c r="H722" s="771"/>
      <c r="I722" s="771"/>
      <c r="J722" s="771"/>
      <c r="K722" s="771"/>
      <c r="L722" s="771"/>
      <c r="M722" s="771"/>
      <c r="N722" s="771"/>
      <c r="O722" s="771"/>
      <c r="P722" s="771"/>
      <c r="Q722" s="771"/>
      <c r="R722" s="771"/>
      <c r="S722" s="771"/>
      <c r="T722" s="771"/>
      <c r="U722" s="771"/>
      <c r="V722" s="771"/>
      <c r="W722" s="771"/>
      <c r="X722" s="771"/>
      <c r="Y722" s="771"/>
      <c r="Z722" s="771"/>
    </row>
    <row r="723" ht="15.75" customHeight="1">
      <c r="A723" s="771"/>
      <c r="B723" s="771"/>
      <c r="C723" s="771"/>
      <c r="D723" s="771"/>
      <c r="E723" s="771"/>
      <c r="F723" s="771"/>
      <c r="G723" s="771"/>
      <c r="H723" s="771"/>
      <c r="I723" s="771"/>
      <c r="J723" s="771"/>
      <c r="K723" s="771"/>
      <c r="L723" s="771"/>
      <c r="M723" s="771"/>
      <c r="N723" s="771"/>
      <c r="O723" s="771"/>
      <c r="P723" s="771"/>
      <c r="Q723" s="771"/>
      <c r="R723" s="771"/>
      <c r="S723" s="771"/>
      <c r="T723" s="771"/>
      <c r="U723" s="771"/>
      <c r="V723" s="771"/>
      <c r="W723" s="771"/>
      <c r="X723" s="771"/>
      <c r="Y723" s="771"/>
      <c r="Z723" s="771"/>
    </row>
    <row r="724" ht="15.75" customHeight="1">
      <c r="A724" s="771"/>
      <c r="B724" s="771"/>
      <c r="C724" s="771"/>
      <c r="D724" s="771"/>
      <c r="E724" s="771"/>
      <c r="F724" s="771"/>
      <c r="G724" s="771"/>
      <c r="H724" s="771"/>
      <c r="I724" s="771"/>
      <c r="J724" s="771"/>
      <c r="K724" s="771"/>
      <c r="L724" s="771"/>
      <c r="M724" s="771"/>
      <c r="N724" s="771"/>
      <c r="O724" s="771"/>
      <c r="P724" s="771"/>
      <c r="Q724" s="771"/>
      <c r="R724" s="771"/>
      <c r="S724" s="771"/>
      <c r="T724" s="771"/>
      <c r="U724" s="771"/>
      <c r="V724" s="771"/>
      <c r="W724" s="771"/>
      <c r="X724" s="771"/>
      <c r="Y724" s="771"/>
      <c r="Z724" s="771"/>
    </row>
    <row r="725" ht="15.75" customHeight="1">
      <c r="A725" s="771"/>
      <c r="B725" s="771"/>
      <c r="C725" s="771"/>
      <c r="D725" s="771"/>
      <c r="E725" s="771"/>
      <c r="F725" s="771"/>
      <c r="G725" s="771"/>
      <c r="H725" s="771"/>
      <c r="I725" s="771"/>
      <c r="J725" s="771"/>
      <c r="K725" s="771"/>
      <c r="L725" s="771"/>
      <c r="M725" s="771"/>
      <c r="N725" s="771"/>
      <c r="O725" s="771"/>
      <c r="P725" s="771"/>
      <c r="Q725" s="771"/>
      <c r="R725" s="771"/>
      <c r="S725" s="771"/>
      <c r="T725" s="771"/>
      <c r="U725" s="771"/>
      <c r="V725" s="771"/>
      <c r="W725" s="771"/>
      <c r="X725" s="771"/>
      <c r="Y725" s="771"/>
      <c r="Z725" s="771"/>
    </row>
    <row r="726" ht="15.75" customHeight="1">
      <c r="A726" s="771"/>
      <c r="B726" s="771"/>
      <c r="C726" s="771"/>
      <c r="D726" s="771"/>
      <c r="E726" s="771"/>
      <c r="F726" s="771"/>
      <c r="G726" s="771"/>
      <c r="H726" s="771"/>
      <c r="I726" s="771"/>
      <c r="J726" s="771"/>
      <c r="K726" s="771"/>
      <c r="L726" s="771"/>
      <c r="M726" s="771"/>
      <c r="N726" s="771"/>
      <c r="O726" s="771"/>
      <c r="P726" s="771"/>
      <c r="Q726" s="771"/>
      <c r="R726" s="771"/>
      <c r="S726" s="771"/>
      <c r="T726" s="771"/>
      <c r="U726" s="771"/>
      <c r="V726" s="771"/>
      <c r="W726" s="771"/>
      <c r="X726" s="771"/>
      <c r="Y726" s="771"/>
      <c r="Z726" s="771"/>
    </row>
    <row r="727" ht="15.75" customHeight="1">
      <c r="A727" s="771"/>
      <c r="B727" s="771"/>
      <c r="C727" s="771"/>
      <c r="D727" s="771"/>
      <c r="E727" s="771"/>
      <c r="F727" s="771"/>
      <c r="G727" s="771"/>
      <c r="H727" s="771"/>
      <c r="I727" s="771"/>
      <c r="J727" s="771"/>
      <c r="K727" s="771"/>
      <c r="L727" s="771"/>
      <c r="M727" s="771"/>
      <c r="N727" s="771"/>
      <c r="O727" s="771"/>
      <c r="P727" s="771"/>
      <c r="Q727" s="771"/>
      <c r="R727" s="771"/>
      <c r="S727" s="771"/>
      <c r="T727" s="771"/>
      <c r="U727" s="771"/>
      <c r="V727" s="771"/>
      <c r="W727" s="771"/>
      <c r="X727" s="771"/>
      <c r="Y727" s="771"/>
      <c r="Z727" s="771"/>
    </row>
    <row r="728" ht="15.75" customHeight="1">
      <c r="A728" s="771"/>
      <c r="B728" s="771"/>
      <c r="C728" s="771"/>
      <c r="D728" s="771"/>
      <c r="E728" s="771"/>
      <c r="F728" s="771"/>
      <c r="G728" s="771"/>
      <c r="H728" s="771"/>
      <c r="I728" s="771"/>
      <c r="J728" s="771"/>
      <c r="K728" s="771"/>
      <c r="L728" s="771"/>
      <c r="M728" s="771"/>
      <c r="N728" s="771"/>
      <c r="O728" s="771"/>
      <c r="P728" s="771"/>
      <c r="Q728" s="771"/>
      <c r="R728" s="771"/>
      <c r="S728" s="771"/>
      <c r="T728" s="771"/>
      <c r="U728" s="771"/>
      <c r="V728" s="771"/>
      <c r="W728" s="771"/>
      <c r="X728" s="771"/>
      <c r="Y728" s="771"/>
      <c r="Z728" s="771"/>
    </row>
    <row r="729" ht="15.75" customHeight="1">
      <c r="A729" s="771"/>
      <c r="B729" s="771"/>
      <c r="C729" s="771"/>
      <c r="D729" s="771"/>
      <c r="E729" s="771"/>
      <c r="F729" s="771"/>
      <c r="G729" s="771"/>
      <c r="H729" s="771"/>
      <c r="I729" s="771"/>
      <c r="J729" s="771"/>
      <c r="K729" s="771"/>
      <c r="L729" s="771"/>
      <c r="M729" s="771"/>
      <c r="N729" s="771"/>
      <c r="O729" s="771"/>
      <c r="P729" s="771"/>
      <c r="Q729" s="771"/>
      <c r="R729" s="771"/>
      <c r="S729" s="771"/>
      <c r="T729" s="771"/>
      <c r="U729" s="771"/>
      <c r="V729" s="771"/>
      <c r="W729" s="771"/>
      <c r="X729" s="771"/>
      <c r="Y729" s="771"/>
      <c r="Z729" s="771"/>
    </row>
    <row r="730" ht="15.75" customHeight="1">
      <c r="A730" s="771"/>
      <c r="B730" s="771"/>
      <c r="C730" s="771"/>
      <c r="D730" s="771"/>
      <c r="E730" s="771"/>
      <c r="F730" s="771"/>
      <c r="G730" s="771"/>
      <c r="H730" s="771"/>
      <c r="I730" s="771"/>
      <c r="J730" s="771"/>
      <c r="K730" s="771"/>
      <c r="L730" s="771"/>
      <c r="M730" s="771"/>
      <c r="N730" s="771"/>
      <c r="O730" s="771"/>
      <c r="P730" s="771"/>
      <c r="Q730" s="771"/>
      <c r="R730" s="771"/>
      <c r="S730" s="771"/>
      <c r="T730" s="771"/>
      <c r="U730" s="771"/>
      <c r="V730" s="771"/>
      <c r="W730" s="771"/>
      <c r="X730" s="771"/>
      <c r="Y730" s="771"/>
      <c r="Z730" s="771"/>
    </row>
    <row r="731" ht="15.75" customHeight="1">
      <c r="A731" s="771"/>
      <c r="B731" s="771"/>
      <c r="C731" s="771"/>
      <c r="D731" s="771"/>
      <c r="E731" s="771"/>
      <c r="F731" s="771"/>
      <c r="G731" s="771"/>
      <c r="H731" s="771"/>
      <c r="I731" s="771"/>
      <c r="J731" s="771"/>
      <c r="K731" s="771"/>
      <c r="L731" s="771"/>
      <c r="M731" s="771"/>
      <c r="N731" s="771"/>
      <c r="O731" s="771"/>
      <c r="P731" s="771"/>
      <c r="Q731" s="771"/>
      <c r="R731" s="771"/>
      <c r="S731" s="771"/>
      <c r="T731" s="771"/>
      <c r="U731" s="771"/>
      <c r="V731" s="771"/>
      <c r="W731" s="771"/>
      <c r="X731" s="771"/>
      <c r="Y731" s="771"/>
      <c r="Z731" s="771"/>
    </row>
    <row r="732" ht="15.75" customHeight="1">
      <c r="A732" s="771"/>
      <c r="B732" s="771"/>
      <c r="C732" s="771"/>
      <c r="D732" s="771"/>
      <c r="E732" s="771"/>
      <c r="F732" s="771"/>
      <c r="G732" s="771"/>
      <c r="H732" s="771"/>
      <c r="I732" s="771"/>
      <c r="J732" s="771"/>
      <c r="K732" s="771"/>
      <c r="L732" s="771"/>
      <c r="M732" s="771"/>
      <c r="N732" s="771"/>
      <c r="O732" s="771"/>
      <c r="P732" s="771"/>
      <c r="Q732" s="771"/>
      <c r="R732" s="771"/>
      <c r="S732" s="771"/>
      <c r="T732" s="771"/>
      <c r="U732" s="771"/>
      <c r="V732" s="771"/>
      <c r="W732" s="771"/>
      <c r="X732" s="771"/>
      <c r="Y732" s="771"/>
      <c r="Z732" s="771"/>
    </row>
    <row r="733" ht="15.75" customHeight="1">
      <c r="A733" s="771"/>
      <c r="B733" s="771"/>
      <c r="C733" s="771"/>
      <c r="D733" s="771"/>
      <c r="E733" s="771"/>
      <c r="F733" s="771"/>
      <c r="G733" s="771"/>
      <c r="H733" s="771"/>
      <c r="I733" s="771"/>
      <c r="J733" s="771"/>
      <c r="K733" s="771"/>
      <c r="L733" s="771"/>
      <c r="M733" s="771"/>
      <c r="N733" s="771"/>
      <c r="O733" s="771"/>
      <c r="P733" s="771"/>
      <c r="Q733" s="771"/>
      <c r="R733" s="771"/>
      <c r="S733" s="771"/>
      <c r="T733" s="771"/>
      <c r="U733" s="771"/>
      <c r="V733" s="771"/>
      <c r="W733" s="771"/>
      <c r="X733" s="771"/>
      <c r="Y733" s="771"/>
      <c r="Z733" s="771"/>
    </row>
    <row r="734" ht="15.75" customHeight="1">
      <c r="A734" s="771"/>
      <c r="B734" s="771"/>
      <c r="C734" s="771"/>
      <c r="D734" s="771"/>
      <c r="E734" s="771"/>
      <c r="F734" s="771"/>
      <c r="G734" s="771"/>
      <c r="H734" s="771"/>
      <c r="I734" s="771"/>
      <c r="J734" s="771"/>
      <c r="K734" s="771"/>
      <c r="L734" s="771"/>
      <c r="M734" s="771"/>
      <c r="N734" s="771"/>
      <c r="O734" s="771"/>
      <c r="P734" s="771"/>
      <c r="Q734" s="771"/>
      <c r="R734" s="771"/>
      <c r="S734" s="771"/>
      <c r="T734" s="771"/>
      <c r="U734" s="771"/>
      <c r="V734" s="771"/>
      <c r="W734" s="771"/>
      <c r="X734" s="771"/>
      <c r="Y734" s="771"/>
      <c r="Z734" s="771"/>
    </row>
    <row r="735" ht="15.75" customHeight="1">
      <c r="A735" s="771"/>
      <c r="B735" s="771"/>
      <c r="C735" s="771"/>
      <c r="D735" s="771"/>
      <c r="E735" s="771"/>
      <c r="F735" s="771"/>
      <c r="G735" s="771"/>
      <c r="H735" s="771"/>
      <c r="I735" s="771"/>
      <c r="J735" s="771"/>
      <c r="K735" s="771"/>
      <c r="L735" s="771"/>
      <c r="M735" s="771"/>
      <c r="N735" s="771"/>
      <c r="O735" s="771"/>
      <c r="P735" s="771"/>
      <c r="Q735" s="771"/>
      <c r="R735" s="771"/>
      <c r="S735" s="771"/>
      <c r="T735" s="771"/>
      <c r="U735" s="771"/>
      <c r="V735" s="771"/>
      <c r="W735" s="771"/>
      <c r="X735" s="771"/>
      <c r="Y735" s="771"/>
      <c r="Z735" s="771"/>
    </row>
    <row r="736" ht="15.75" customHeight="1">
      <c r="A736" s="771"/>
      <c r="B736" s="771"/>
      <c r="C736" s="771"/>
      <c r="D736" s="771"/>
      <c r="E736" s="771"/>
      <c r="F736" s="771"/>
      <c r="G736" s="771"/>
      <c r="H736" s="771"/>
      <c r="I736" s="771"/>
      <c r="J736" s="771"/>
      <c r="K736" s="771"/>
      <c r="L736" s="771"/>
      <c r="M736" s="771"/>
      <c r="N736" s="771"/>
      <c r="O736" s="771"/>
      <c r="P736" s="771"/>
      <c r="Q736" s="771"/>
      <c r="R736" s="771"/>
      <c r="S736" s="771"/>
      <c r="T736" s="771"/>
      <c r="U736" s="771"/>
      <c r="V736" s="771"/>
      <c r="W736" s="771"/>
      <c r="X736" s="771"/>
      <c r="Y736" s="771"/>
      <c r="Z736" s="771"/>
    </row>
    <row r="737" ht="15.75" customHeight="1">
      <c r="A737" s="771"/>
      <c r="B737" s="771"/>
      <c r="C737" s="771"/>
      <c r="D737" s="771"/>
      <c r="E737" s="771"/>
      <c r="F737" s="771"/>
      <c r="G737" s="771"/>
      <c r="H737" s="771"/>
      <c r="I737" s="771"/>
      <c r="J737" s="771"/>
      <c r="K737" s="771"/>
      <c r="L737" s="771"/>
      <c r="M737" s="771"/>
      <c r="N737" s="771"/>
      <c r="O737" s="771"/>
      <c r="P737" s="771"/>
      <c r="Q737" s="771"/>
      <c r="R737" s="771"/>
      <c r="S737" s="771"/>
      <c r="T737" s="771"/>
      <c r="U737" s="771"/>
      <c r="V737" s="771"/>
      <c r="W737" s="771"/>
      <c r="X737" s="771"/>
      <c r="Y737" s="771"/>
      <c r="Z737" s="771"/>
    </row>
    <row r="738" ht="15.75" customHeight="1">
      <c r="A738" s="771"/>
      <c r="B738" s="771"/>
      <c r="C738" s="771"/>
      <c r="D738" s="771"/>
      <c r="E738" s="771"/>
      <c r="F738" s="771"/>
      <c r="G738" s="771"/>
      <c r="H738" s="771"/>
      <c r="I738" s="771"/>
      <c r="J738" s="771"/>
      <c r="K738" s="771"/>
      <c r="L738" s="771"/>
      <c r="M738" s="771"/>
      <c r="N738" s="771"/>
      <c r="O738" s="771"/>
      <c r="P738" s="771"/>
      <c r="Q738" s="771"/>
      <c r="R738" s="771"/>
      <c r="S738" s="771"/>
      <c r="T738" s="771"/>
      <c r="U738" s="771"/>
      <c r="V738" s="771"/>
      <c r="W738" s="771"/>
      <c r="X738" s="771"/>
      <c r="Y738" s="771"/>
      <c r="Z738" s="771"/>
    </row>
    <row r="739" ht="15.75" customHeight="1">
      <c r="A739" s="771"/>
      <c r="B739" s="771"/>
      <c r="C739" s="771"/>
      <c r="D739" s="771"/>
      <c r="E739" s="771"/>
      <c r="F739" s="771"/>
      <c r="G739" s="771"/>
      <c r="H739" s="771"/>
      <c r="I739" s="771"/>
      <c r="J739" s="771"/>
      <c r="K739" s="771"/>
      <c r="L739" s="771"/>
      <c r="M739" s="771"/>
      <c r="N739" s="771"/>
      <c r="O739" s="771"/>
      <c r="P739" s="771"/>
      <c r="Q739" s="771"/>
      <c r="R739" s="771"/>
      <c r="S739" s="771"/>
      <c r="T739" s="771"/>
      <c r="U739" s="771"/>
      <c r="V739" s="771"/>
      <c r="W739" s="771"/>
      <c r="X739" s="771"/>
      <c r="Y739" s="771"/>
      <c r="Z739" s="771"/>
    </row>
    <row r="740" ht="15.75" customHeight="1">
      <c r="A740" s="771"/>
      <c r="B740" s="771"/>
      <c r="C740" s="771"/>
      <c r="D740" s="771"/>
      <c r="E740" s="771"/>
      <c r="F740" s="771"/>
      <c r="G740" s="771"/>
      <c r="H740" s="771"/>
      <c r="I740" s="771"/>
      <c r="J740" s="771"/>
      <c r="K740" s="771"/>
      <c r="L740" s="771"/>
      <c r="M740" s="771"/>
      <c r="N740" s="771"/>
      <c r="O740" s="771"/>
      <c r="P740" s="771"/>
      <c r="Q740" s="771"/>
      <c r="R740" s="771"/>
      <c r="S740" s="771"/>
      <c r="T740" s="771"/>
      <c r="U740" s="771"/>
      <c r="V740" s="771"/>
      <c r="W740" s="771"/>
      <c r="X740" s="771"/>
      <c r="Y740" s="771"/>
      <c r="Z740" s="771"/>
    </row>
    <row r="741" ht="15.75" customHeight="1">
      <c r="A741" s="771"/>
      <c r="B741" s="771"/>
      <c r="C741" s="771"/>
      <c r="D741" s="771"/>
      <c r="E741" s="771"/>
      <c r="F741" s="771"/>
      <c r="G741" s="771"/>
      <c r="H741" s="771"/>
      <c r="I741" s="771"/>
      <c r="J741" s="771"/>
      <c r="K741" s="771"/>
      <c r="L741" s="771"/>
      <c r="M741" s="771"/>
      <c r="N741" s="771"/>
      <c r="O741" s="771"/>
      <c r="P741" s="771"/>
      <c r="Q741" s="771"/>
      <c r="R741" s="771"/>
      <c r="S741" s="771"/>
      <c r="T741" s="771"/>
      <c r="U741" s="771"/>
      <c r="V741" s="771"/>
      <c r="W741" s="771"/>
      <c r="X741" s="771"/>
      <c r="Y741" s="771"/>
      <c r="Z741" s="771"/>
    </row>
    <row r="742" ht="15.75" customHeight="1">
      <c r="A742" s="771"/>
      <c r="B742" s="771"/>
      <c r="C742" s="771"/>
      <c r="D742" s="771"/>
      <c r="E742" s="771"/>
      <c r="F742" s="771"/>
      <c r="G742" s="771"/>
      <c r="H742" s="771"/>
      <c r="I742" s="771"/>
      <c r="J742" s="771"/>
      <c r="K742" s="771"/>
      <c r="L742" s="771"/>
      <c r="M742" s="771"/>
      <c r="N742" s="771"/>
      <c r="O742" s="771"/>
      <c r="P742" s="771"/>
      <c r="Q742" s="771"/>
      <c r="R742" s="771"/>
      <c r="S742" s="771"/>
      <c r="T742" s="771"/>
      <c r="U742" s="771"/>
      <c r="V742" s="771"/>
      <c r="W742" s="771"/>
      <c r="X742" s="771"/>
      <c r="Y742" s="771"/>
      <c r="Z742" s="771"/>
    </row>
    <row r="743" ht="15.75" customHeight="1">
      <c r="A743" s="771"/>
      <c r="B743" s="771"/>
      <c r="C743" s="771"/>
      <c r="D743" s="771"/>
      <c r="E743" s="771"/>
      <c r="F743" s="771"/>
      <c r="G743" s="771"/>
      <c r="H743" s="771"/>
      <c r="I743" s="771"/>
      <c r="J743" s="771"/>
      <c r="K743" s="771"/>
      <c r="L743" s="771"/>
      <c r="M743" s="771"/>
      <c r="N743" s="771"/>
      <c r="O743" s="771"/>
      <c r="P743" s="771"/>
      <c r="Q743" s="771"/>
      <c r="R743" s="771"/>
      <c r="S743" s="771"/>
      <c r="T743" s="771"/>
      <c r="U743" s="771"/>
      <c r="V743" s="771"/>
      <c r="W743" s="771"/>
      <c r="X743" s="771"/>
      <c r="Y743" s="771"/>
      <c r="Z743" s="771"/>
    </row>
    <row r="744" ht="15.75" customHeight="1">
      <c r="A744" s="771"/>
      <c r="B744" s="771"/>
      <c r="C744" s="771"/>
      <c r="D744" s="771"/>
      <c r="E744" s="771"/>
      <c r="F744" s="771"/>
      <c r="G744" s="771"/>
      <c r="H744" s="771"/>
      <c r="I744" s="771"/>
      <c r="J744" s="771"/>
      <c r="K744" s="771"/>
      <c r="L744" s="771"/>
      <c r="M744" s="771"/>
      <c r="N744" s="771"/>
      <c r="O744" s="771"/>
      <c r="P744" s="771"/>
      <c r="Q744" s="771"/>
      <c r="R744" s="771"/>
      <c r="S744" s="771"/>
      <c r="T744" s="771"/>
      <c r="U744" s="771"/>
      <c r="V744" s="771"/>
      <c r="W744" s="771"/>
      <c r="X744" s="771"/>
      <c r="Y744" s="771"/>
      <c r="Z744" s="771"/>
    </row>
    <row r="745" ht="15.75" customHeight="1">
      <c r="A745" s="771"/>
      <c r="B745" s="771"/>
      <c r="C745" s="771"/>
      <c r="D745" s="771"/>
      <c r="E745" s="771"/>
      <c r="F745" s="771"/>
      <c r="G745" s="771"/>
      <c r="H745" s="771"/>
      <c r="I745" s="771"/>
      <c r="J745" s="771"/>
      <c r="K745" s="771"/>
      <c r="L745" s="771"/>
      <c r="M745" s="771"/>
      <c r="N745" s="771"/>
      <c r="O745" s="771"/>
      <c r="P745" s="771"/>
      <c r="Q745" s="771"/>
      <c r="R745" s="771"/>
      <c r="S745" s="771"/>
      <c r="T745" s="771"/>
      <c r="U745" s="771"/>
      <c r="V745" s="771"/>
      <c r="W745" s="771"/>
      <c r="X745" s="771"/>
      <c r="Y745" s="771"/>
      <c r="Z745" s="771"/>
    </row>
    <row r="746" ht="15.75" customHeight="1">
      <c r="A746" s="771"/>
      <c r="B746" s="771"/>
      <c r="C746" s="771"/>
      <c r="D746" s="771"/>
      <c r="E746" s="771"/>
      <c r="F746" s="771"/>
      <c r="G746" s="771"/>
      <c r="H746" s="771"/>
      <c r="I746" s="771"/>
      <c r="J746" s="771"/>
      <c r="K746" s="771"/>
      <c r="L746" s="771"/>
      <c r="M746" s="771"/>
      <c r="N746" s="771"/>
      <c r="O746" s="771"/>
      <c r="P746" s="771"/>
      <c r="Q746" s="771"/>
      <c r="R746" s="771"/>
      <c r="S746" s="771"/>
      <c r="T746" s="771"/>
      <c r="U746" s="771"/>
      <c r="V746" s="771"/>
      <c r="W746" s="771"/>
      <c r="X746" s="771"/>
      <c r="Y746" s="771"/>
      <c r="Z746" s="771"/>
    </row>
    <row r="747" ht="15.75" customHeight="1">
      <c r="A747" s="771"/>
      <c r="B747" s="771"/>
      <c r="C747" s="771"/>
      <c r="D747" s="771"/>
      <c r="E747" s="771"/>
      <c r="F747" s="771"/>
      <c r="G747" s="771"/>
      <c r="H747" s="771"/>
      <c r="I747" s="771"/>
      <c r="J747" s="771"/>
      <c r="K747" s="771"/>
      <c r="L747" s="771"/>
      <c r="M747" s="771"/>
      <c r="N747" s="771"/>
      <c r="O747" s="771"/>
      <c r="P747" s="771"/>
      <c r="Q747" s="771"/>
      <c r="R747" s="771"/>
      <c r="S747" s="771"/>
      <c r="T747" s="771"/>
      <c r="U747" s="771"/>
      <c r="V747" s="771"/>
      <c r="W747" s="771"/>
      <c r="X747" s="771"/>
      <c r="Y747" s="771"/>
      <c r="Z747" s="771"/>
    </row>
    <row r="748" ht="15.75" customHeight="1">
      <c r="A748" s="771"/>
      <c r="B748" s="771"/>
      <c r="C748" s="771"/>
      <c r="D748" s="771"/>
      <c r="E748" s="771"/>
      <c r="F748" s="771"/>
      <c r="G748" s="771"/>
      <c r="H748" s="771"/>
      <c r="I748" s="771"/>
      <c r="J748" s="771"/>
      <c r="K748" s="771"/>
      <c r="L748" s="771"/>
      <c r="M748" s="771"/>
      <c r="N748" s="771"/>
      <c r="O748" s="771"/>
      <c r="P748" s="771"/>
      <c r="Q748" s="771"/>
      <c r="R748" s="771"/>
      <c r="S748" s="771"/>
      <c r="T748" s="771"/>
      <c r="U748" s="771"/>
      <c r="V748" s="771"/>
      <c r="W748" s="771"/>
      <c r="X748" s="771"/>
      <c r="Y748" s="771"/>
      <c r="Z748" s="771"/>
    </row>
    <row r="749" ht="15.75" customHeight="1">
      <c r="A749" s="771"/>
      <c r="B749" s="771"/>
      <c r="C749" s="771"/>
      <c r="D749" s="771"/>
      <c r="E749" s="771"/>
      <c r="F749" s="771"/>
      <c r="G749" s="771"/>
      <c r="H749" s="771"/>
      <c r="I749" s="771"/>
      <c r="J749" s="771"/>
      <c r="K749" s="771"/>
      <c r="L749" s="771"/>
      <c r="M749" s="771"/>
      <c r="N749" s="771"/>
      <c r="O749" s="771"/>
      <c r="P749" s="771"/>
      <c r="Q749" s="771"/>
      <c r="R749" s="771"/>
      <c r="S749" s="771"/>
      <c r="T749" s="771"/>
      <c r="U749" s="771"/>
      <c r="V749" s="771"/>
      <c r="W749" s="771"/>
      <c r="X749" s="771"/>
      <c r="Y749" s="771"/>
      <c r="Z749" s="771"/>
    </row>
    <row r="750" ht="15.75" customHeight="1">
      <c r="A750" s="771"/>
      <c r="B750" s="771"/>
      <c r="C750" s="771"/>
      <c r="D750" s="771"/>
      <c r="E750" s="771"/>
      <c r="F750" s="771"/>
      <c r="G750" s="771"/>
      <c r="H750" s="771"/>
      <c r="I750" s="771"/>
      <c r="J750" s="771"/>
      <c r="K750" s="771"/>
      <c r="L750" s="771"/>
      <c r="M750" s="771"/>
      <c r="N750" s="771"/>
      <c r="O750" s="771"/>
      <c r="P750" s="771"/>
      <c r="Q750" s="771"/>
      <c r="R750" s="771"/>
      <c r="S750" s="771"/>
      <c r="T750" s="771"/>
      <c r="U750" s="771"/>
      <c r="V750" s="771"/>
      <c r="W750" s="771"/>
      <c r="X750" s="771"/>
      <c r="Y750" s="771"/>
      <c r="Z750" s="771"/>
    </row>
    <row r="751" ht="15.75" customHeight="1">
      <c r="A751" s="771"/>
      <c r="B751" s="771"/>
      <c r="C751" s="771"/>
      <c r="D751" s="771"/>
      <c r="E751" s="771"/>
      <c r="F751" s="771"/>
      <c r="G751" s="771"/>
      <c r="H751" s="771"/>
      <c r="I751" s="771"/>
      <c r="J751" s="771"/>
      <c r="K751" s="771"/>
      <c r="L751" s="771"/>
      <c r="M751" s="771"/>
      <c r="N751" s="771"/>
      <c r="O751" s="771"/>
      <c r="P751" s="771"/>
      <c r="Q751" s="771"/>
      <c r="R751" s="771"/>
      <c r="S751" s="771"/>
      <c r="T751" s="771"/>
      <c r="U751" s="771"/>
      <c r="V751" s="771"/>
      <c r="W751" s="771"/>
      <c r="X751" s="771"/>
      <c r="Y751" s="771"/>
      <c r="Z751" s="771"/>
    </row>
    <row r="752" ht="15.75" customHeight="1">
      <c r="A752" s="771"/>
      <c r="B752" s="771"/>
      <c r="C752" s="771"/>
      <c r="D752" s="771"/>
      <c r="E752" s="771"/>
      <c r="F752" s="771"/>
      <c r="G752" s="771"/>
      <c r="H752" s="771"/>
      <c r="I752" s="771"/>
      <c r="J752" s="771"/>
      <c r="K752" s="771"/>
      <c r="L752" s="771"/>
      <c r="M752" s="771"/>
      <c r="N752" s="771"/>
      <c r="O752" s="771"/>
      <c r="P752" s="771"/>
      <c r="Q752" s="771"/>
      <c r="R752" s="771"/>
      <c r="S752" s="771"/>
      <c r="T752" s="771"/>
      <c r="U752" s="771"/>
      <c r="V752" s="771"/>
      <c r="W752" s="771"/>
      <c r="X752" s="771"/>
      <c r="Y752" s="771"/>
      <c r="Z752" s="771"/>
    </row>
    <row r="753" ht="15.75" customHeight="1">
      <c r="A753" s="771"/>
      <c r="B753" s="771"/>
      <c r="C753" s="771"/>
      <c r="D753" s="771"/>
      <c r="E753" s="771"/>
      <c r="F753" s="771"/>
      <c r="G753" s="771"/>
      <c r="H753" s="771"/>
      <c r="I753" s="771"/>
      <c r="J753" s="771"/>
      <c r="K753" s="771"/>
      <c r="L753" s="771"/>
      <c r="M753" s="771"/>
      <c r="N753" s="771"/>
      <c r="O753" s="771"/>
      <c r="P753" s="771"/>
      <c r="Q753" s="771"/>
      <c r="R753" s="771"/>
      <c r="S753" s="771"/>
      <c r="T753" s="771"/>
      <c r="U753" s="771"/>
      <c r="V753" s="771"/>
      <c r="W753" s="771"/>
      <c r="X753" s="771"/>
      <c r="Y753" s="771"/>
      <c r="Z753" s="771"/>
    </row>
    <row r="754" ht="15.75" customHeight="1">
      <c r="A754" s="771"/>
      <c r="B754" s="771"/>
      <c r="C754" s="771"/>
      <c r="D754" s="771"/>
      <c r="E754" s="771"/>
      <c r="F754" s="771"/>
      <c r="G754" s="771"/>
      <c r="H754" s="771"/>
      <c r="I754" s="771"/>
      <c r="J754" s="771"/>
      <c r="K754" s="771"/>
      <c r="L754" s="771"/>
      <c r="M754" s="771"/>
      <c r="N754" s="771"/>
      <c r="O754" s="771"/>
      <c r="P754" s="771"/>
      <c r="Q754" s="771"/>
      <c r="R754" s="771"/>
      <c r="S754" s="771"/>
      <c r="T754" s="771"/>
      <c r="U754" s="771"/>
      <c r="V754" s="771"/>
      <c r="W754" s="771"/>
      <c r="X754" s="771"/>
      <c r="Y754" s="771"/>
      <c r="Z754" s="771"/>
    </row>
    <row r="755" ht="15.75" customHeight="1">
      <c r="A755" s="771"/>
      <c r="B755" s="771"/>
      <c r="C755" s="771"/>
      <c r="D755" s="771"/>
      <c r="E755" s="771"/>
      <c r="F755" s="771"/>
      <c r="G755" s="771"/>
      <c r="H755" s="771"/>
      <c r="I755" s="771"/>
      <c r="J755" s="771"/>
      <c r="K755" s="771"/>
      <c r="L755" s="771"/>
      <c r="M755" s="771"/>
      <c r="N755" s="771"/>
      <c r="O755" s="771"/>
      <c r="P755" s="771"/>
      <c r="Q755" s="771"/>
      <c r="R755" s="771"/>
      <c r="S755" s="771"/>
      <c r="T755" s="771"/>
      <c r="U755" s="771"/>
      <c r="V755" s="771"/>
      <c r="W755" s="771"/>
      <c r="X755" s="771"/>
      <c r="Y755" s="771"/>
      <c r="Z755" s="771"/>
    </row>
    <row r="756" ht="15.75" customHeight="1">
      <c r="A756" s="771"/>
      <c r="B756" s="771"/>
      <c r="C756" s="771"/>
      <c r="D756" s="771"/>
      <c r="E756" s="771"/>
      <c r="F756" s="771"/>
      <c r="G756" s="771"/>
      <c r="H756" s="771"/>
      <c r="I756" s="771"/>
      <c r="J756" s="771"/>
      <c r="K756" s="771"/>
      <c r="L756" s="771"/>
      <c r="M756" s="771"/>
      <c r="N756" s="771"/>
      <c r="O756" s="771"/>
      <c r="P756" s="771"/>
      <c r="Q756" s="771"/>
      <c r="R756" s="771"/>
      <c r="S756" s="771"/>
      <c r="T756" s="771"/>
      <c r="U756" s="771"/>
      <c r="V756" s="771"/>
      <c r="W756" s="771"/>
      <c r="X756" s="771"/>
      <c r="Y756" s="771"/>
      <c r="Z756" s="771"/>
    </row>
    <row r="757" ht="15.75" customHeight="1">
      <c r="A757" s="771"/>
      <c r="B757" s="771"/>
      <c r="C757" s="771"/>
      <c r="D757" s="771"/>
      <c r="E757" s="771"/>
      <c r="F757" s="771"/>
      <c r="G757" s="771"/>
      <c r="H757" s="771"/>
      <c r="I757" s="771"/>
      <c r="J757" s="771"/>
      <c r="K757" s="771"/>
      <c r="L757" s="771"/>
      <c r="M757" s="771"/>
      <c r="N757" s="771"/>
      <c r="O757" s="771"/>
      <c r="P757" s="771"/>
      <c r="Q757" s="771"/>
      <c r="R757" s="771"/>
      <c r="S757" s="771"/>
      <c r="T757" s="771"/>
      <c r="U757" s="771"/>
      <c r="V757" s="771"/>
      <c r="W757" s="771"/>
      <c r="X757" s="771"/>
      <c r="Y757" s="771"/>
      <c r="Z757" s="771"/>
    </row>
    <row r="758" ht="15.75" customHeight="1">
      <c r="A758" s="771"/>
      <c r="B758" s="771"/>
      <c r="C758" s="771"/>
      <c r="D758" s="771"/>
      <c r="E758" s="771"/>
      <c r="F758" s="771"/>
      <c r="G758" s="771"/>
      <c r="H758" s="771"/>
      <c r="I758" s="771"/>
      <c r="J758" s="771"/>
      <c r="K758" s="771"/>
      <c r="L758" s="771"/>
      <c r="M758" s="771"/>
      <c r="N758" s="771"/>
      <c r="O758" s="771"/>
      <c r="P758" s="771"/>
      <c r="Q758" s="771"/>
      <c r="R758" s="771"/>
      <c r="S758" s="771"/>
      <c r="T758" s="771"/>
      <c r="U758" s="771"/>
      <c r="V758" s="771"/>
      <c r="W758" s="771"/>
      <c r="X758" s="771"/>
      <c r="Y758" s="771"/>
      <c r="Z758" s="771"/>
    </row>
    <row r="759" ht="15.75" customHeight="1">
      <c r="A759" s="771"/>
      <c r="B759" s="771"/>
      <c r="C759" s="771"/>
      <c r="D759" s="771"/>
      <c r="E759" s="771"/>
      <c r="F759" s="771"/>
      <c r="G759" s="771"/>
      <c r="H759" s="771"/>
      <c r="I759" s="771"/>
      <c r="J759" s="771"/>
      <c r="K759" s="771"/>
      <c r="L759" s="771"/>
      <c r="M759" s="771"/>
      <c r="N759" s="771"/>
      <c r="O759" s="771"/>
      <c r="P759" s="771"/>
      <c r="Q759" s="771"/>
      <c r="R759" s="771"/>
      <c r="S759" s="771"/>
      <c r="T759" s="771"/>
      <c r="U759" s="771"/>
      <c r="V759" s="771"/>
      <c r="W759" s="771"/>
      <c r="X759" s="771"/>
      <c r="Y759" s="771"/>
      <c r="Z759" s="771"/>
    </row>
    <row r="760" ht="15.75" customHeight="1">
      <c r="A760" s="771"/>
      <c r="B760" s="771"/>
      <c r="C760" s="771"/>
      <c r="D760" s="771"/>
      <c r="E760" s="771"/>
      <c r="F760" s="771"/>
      <c r="G760" s="771"/>
      <c r="H760" s="771"/>
      <c r="I760" s="771"/>
      <c r="J760" s="771"/>
      <c r="K760" s="771"/>
      <c r="L760" s="771"/>
      <c r="M760" s="771"/>
      <c r="N760" s="771"/>
      <c r="O760" s="771"/>
      <c r="P760" s="771"/>
      <c r="Q760" s="771"/>
      <c r="R760" s="771"/>
      <c r="S760" s="771"/>
      <c r="T760" s="771"/>
      <c r="U760" s="771"/>
      <c r="V760" s="771"/>
      <c r="W760" s="771"/>
      <c r="X760" s="771"/>
      <c r="Y760" s="771"/>
      <c r="Z760" s="771"/>
    </row>
    <row r="761" ht="15.75" customHeight="1">
      <c r="A761" s="771"/>
      <c r="B761" s="771"/>
      <c r="C761" s="771"/>
      <c r="D761" s="771"/>
      <c r="E761" s="771"/>
      <c r="F761" s="771"/>
      <c r="G761" s="771"/>
      <c r="H761" s="771"/>
      <c r="I761" s="771"/>
      <c r="J761" s="771"/>
      <c r="K761" s="771"/>
      <c r="L761" s="771"/>
      <c r="M761" s="771"/>
      <c r="N761" s="771"/>
      <c r="O761" s="771"/>
      <c r="P761" s="771"/>
      <c r="Q761" s="771"/>
      <c r="R761" s="771"/>
      <c r="S761" s="771"/>
      <c r="T761" s="771"/>
      <c r="U761" s="771"/>
      <c r="V761" s="771"/>
      <c r="W761" s="771"/>
      <c r="X761" s="771"/>
      <c r="Y761" s="771"/>
      <c r="Z761" s="771"/>
    </row>
    <row r="762" ht="15.75" customHeight="1">
      <c r="A762" s="771"/>
      <c r="B762" s="771"/>
      <c r="C762" s="771"/>
      <c r="D762" s="771"/>
      <c r="E762" s="771"/>
      <c r="F762" s="771"/>
      <c r="G762" s="771"/>
      <c r="H762" s="771"/>
      <c r="I762" s="771"/>
      <c r="J762" s="771"/>
      <c r="K762" s="771"/>
      <c r="L762" s="771"/>
      <c r="M762" s="771"/>
      <c r="N762" s="771"/>
      <c r="O762" s="771"/>
      <c r="P762" s="771"/>
      <c r="Q762" s="771"/>
      <c r="R762" s="771"/>
      <c r="S762" s="771"/>
      <c r="T762" s="771"/>
      <c r="U762" s="771"/>
      <c r="V762" s="771"/>
      <c r="W762" s="771"/>
      <c r="X762" s="771"/>
      <c r="Y762" s="771"/>
      <c r="Z762" s="771"/>
    </row>
    <row r="763" ht="15.75" customHeight="1">
      <c r="A763" s="771"/>
      <c r="B763" s="771"/>
      <c r="C763" s="771"/>
      <c r="D763" s="771"/>
      <c r="E763" s="771"/>
      <c r="F763" s="771"/>
      <c r="G763" s="771"/>
      <c r="H763" s="771"/>
      <c r="I763" s="771"/>
      <c r="J763" s="771"/>
      <c r="K763" s="771"/>
      <c r="L763" s="771"/>
      <c r="M763" s="771"/>
      <c r="N763" s="771"/>
      <c r="O763" s="771"/>
      <c r="P763" s="771"/>
      <c r="Q763" s="771"/>
      <c r="R763" s="771"/>
      <c r="S763" s="771"/>
      <c r="T763" s="771"/>
      <c r="U763" s="771"/>
      <c r="V763" s="771"/>
      <c r="W763" s="771"/>
      <c r="X763" s="771"/>
      <c r="Y763" s="771"/>
      <c r="Z763" s="771"/>
    </row>
    <row r="764" ht="15.75" customHeight="1">
      <c r="A764" s="771"/>
      <c r="B764" s="771"/>
      <c r="C764" s="771"/>
      <c r="D764" s="771"/>
      <c r="E764" s="771"/>
      <c r="F764" s="771"/>
      <c r="G764" s="771"/>
      <c r="H764" s="771"/>
      <c r="I764" s="771"/>
      <c r="J764" s="771"/>
      <c r="K764" s="771"/>
      <c r="L764" s="771"/>
      <c r="M764" s="771"/>
      <c r="N764" s="771"/>
      <c r="O764" s="771"/>
      <c r="P764" s="771"/>
      <c r="Q764" s="771"/>
      <c r="R764" s="771"/>
      <c r="S764" s="771"/>
      <c r="T764" s="771"/>
      <c r="U764" s="771"/>
      <c r="V764" s="771"/>
      <c r="W764" s="771"/>
      <c r="X764" s="771"/>
      <c r="Y764" s="771"/>
      <c r="Z764" s="771"/>
    </row>
    <row r="765" ht="15.75" customHeight="1">
      <c r="A765" s="771"/>
      <c r="B765" s="771"/>
      <c r="C765" s="771"/>
      <c r="D765" s="771"/>
      <c r="E765" s="771"/>
      <c r="F765" s="771"/>
      <c r="G765" s="771"/>
      <c r="H765" s="771"/>
      <c r="I765" s="771"/>
      <c r="J765" s="771"/>
      <c r="K765" s="771"/>
      <c r="L765" s="771"/>
      <c r="M765" s="771"/>
      <c r="N765" s="771"/>
      <c r="O765" s="771"/>
      <c r="P765" s="771"/>
      <c r="Q765" s="771"/>
      <c r="R765" s="771"/>
      <c r="S765" s="771"/>
      <c r="T765" s="771"/>
      <c r="U765" s="771"/>
      <c r="V765" s="771"/>
      <c r="W765" s="771"/>
      <c r="X765" s="771"/>
      <c r="Y765" s="771"/>
      <c r="Z765" s="771"/>
    </row>
    <row r="766" ht="15.75" customHeight="1">
      <c r="A766" s="771"/>
      <c r="B766" s="771"/>
      <c r="C766" s="771"/>
      <c r="D766" s="771"/>
      <c r="E766" s="771"/>
      <c r="F766" s="771"/>
      <c r="G766" s="771"/>
      <c r="H766" s="771"/>
      <c r="I766" s="771"/>
      <c r="J766" s="771"/>
      <c r="K766" s="771"/>
      <c r="L766" s="771"/>
      <c r="M766" s="771"/>
      <c r="N766" s="771"/>
      <c r="O766" s="771"/>
      <c r="P766" s="771"/>
      <c r="Q766" s="771"/>
      <c r="R766" s="771"/>
      <c r="S766" s="771"/>
      <c r="T766" s="771"/>
      <c r="U766" s="771"/>
      <c r="V766" s="771"/>
      <c r="W766" s="771"/>
      <c r="X766" s="771"/>
      <c r="Y766" s="771"/>
      <c r="Z766" s="771"/>
    </row>
    <row r="767" ht="15.75" customHeight="1">
      <c r="A767" s="771"/>
      <c r="B767" s="771"/>
      <c r="C767" s="771"/>
      <c r="D767" s="771"/>
      <c r="E767" s="771"/>
      <c r="F767" s="771"/>
      <c r="G767" s="771"/>
      <c r="H767" s="771"/>
      <c r="I767" s="771"/>
      <c r="J767" s="771"/>
      <c r="K767" s="771"/>
      <c r="L767" s="771"/>
      <c r="M767" s="771"/>
      <c r="N767" s="771"/>
      <c r="O767" s="771"/>
      <c r="P767" s="771"/>
      <c r="Q767" s="771"/>
      <c r="R767" s="771"/>
      <c r="S767" s="771"/>
      <c r="T767" s="771"/>
      <c r="U767" s="771"/>
      <c r="V767" s="771"/>
      <c r="W767" s="771"/>
      <c r="X767" s="771"/>
      <c r="Y767" s="771"/>
      <c r="Z767" s="771"/>
    </row>
    <row r="768" ht="15.75" customHeight="1">
      <c r="A768" s="771"/>
      <c r="B768" s="771"/>
      <c r="C768" s="771"/>
      <c r="D768" s="771"/>
      <c r="E768" s="771"/>
      <c r="F768" s="771"/>
      <c r="G768" s="771"/>
      <c r="H768" s="771"/>
      <c r="I768" s="771"/>
      <c r="J768" s="771"/>
      <c r="K768" s="771"/>
      <c r="L768" s="771"/>
      <c r="M768" s="771"/>
      <c r="N768" s="771"/>
      <c r="O768" s="771"/>
      <c r="P768" s="771"/>
      <c r="Q768" s="771"/>
      <c r="R768" s="771"/>
      <c r="S768" s="771"/>
      <c r="T768" s="771"/>
      <c r="U768" s="771"/>
      <c r="V768" s="771"/>
      <c r="W768" s="771"/>
      <c r="X768" s="771"/>
      <c r="Y768" s="771"/>
      <c r="Z768" s="771"/>
    </row>
    <row r="769" ht="15.75" customHeight="1">
      <c r="A769" s="771"/>
      <c r="B769" s="771"/>
      <c r="C769" s="771"/>
      <c r="D769" s="771"/>
      <c r="E769" s="771"/>
      <c r="F769" s="771"/>
      <c r="G769" s="771"/>
      <c r="H769" s="771"/>
      <c r="I769" s="771"/>
      <c r="J769" s="771"/>
      <c r="K769" s="771"/>
      <c r="L769" s="771"/>
      <c r="M769" s="771"/>
      <c r="N769" s="771"/>
      <c r="O769" s="771"/>
      <c r="P769" s="771"/>
      <c r="Q769" s="771"/>
      <c r="R769" s="771"/>
      <c r="S769" s="771"/>
      <c r="T769" s="771"/>
      <c r="U769" s="771"/>
      <c r="V769" s="771"/>
      <c r="W769" s="771"/>
      <c r="X769" s="771"/>
      <c r="Y769" s="771"/>
      <c r="Z769" s="771"/>
    </row>
    <row r="770" ht="15.75" customHeight="1">
      <c r="A770" s="771"/>
      <c r="B770" s="771"/>
      <c r="C770" s="771"/>
      <c r="D770" s="771"/>
      <c r="E770" s="771"/>
      <c r="F770" s="771"/>
      <c r="G770" s="771"/>
      <c r="H770" s="771"/>
      <c r="I770" s="771"/>
      <c r="J770" s="771"/>
      <c r="K770" s="771"/>
      <c r="L770" s="771"/>
      <c r="M770" s="771"/>
      <c r="N770" s="771"/>
      <c r="O770" s="771"/>
      <c r="P770" s="771"/>
      <c r="Q770" s="771"/>
      <c r="R770" s="771"/>
      <c r="S770" s="771"/>
      <c r="T770" s="771"/>
      <c r="U770" s="771"/>
      <c r="V770" s="771"/>
      <c r="W770" s="771"/>
      <c r="X770" s="771"/>
      <c r="Y770" s="771"/>
      <c r="Z770" s="771"/>
    </row>
    <row r="771" ht="15.75" customHeight="1">
      <c r="A771" s="771"/>
      <c r="B771" s="771"/>
      <c r="C771" s="771"/>
      <c r="D771" s="771"/>
      <c r="E771" s="771"/>
      <c r="F771" s="771"/>
      <c r="G771" s="771"/>
      <c r="H771" s="771"/>
      <c r="I771" s="771"/>
      <c r="J771" s="771"/>
      <c r="K771" s="771"/>
      <c r="L771" s="771"/>
      <c r="M771" s="771"/>
      <c r="N771" s="771"/>
      <c r="O771" s="771"/>
      <c r="P771" s="771"/>
      <c r="Q771" s="771"/>
      <c r="R771" s="771"/>
      <c r="S771" s="771"/>
      <c r="T771" s="771"/>
      <c r="U771" s="771"/>
      <c r="V771" s="771"/>
      <c r="W771" s="771"/>
      <c r="X771" s="771"/>
      <c r="Y771" s="771"/>
      <c r="Z771" s="771"/>
    </row>
    <row r="772" ht="15.75" customHeight="1">
      <c r="A772" s="771"/>
      <c r="B772" s="771"/>
      <c r="C772" s="771"/>
      <c r="D772" s="771"/>
      <c r="E772" s="771"/>
      <c r="F772" s="771"/>
      <c r="G772" s="771"/>
      <c r="H772" s="771"/>
      <c r="I772" s="771"/>
      <c r="J772" s="771"/>
      <c r="K772" s="771"/>
      <c r="L772" s="771"/>
      <c r="M772" s="771"/>
      <c r="N772" s="771"/>
      <c r="O772" s="771"/>
      <c r="P772" s="771"/>
      <c r="Q772" s="771"/>
      <c r="R772" s="771"/>
      <c r="S772" s="771"/>
      <c r="T772" s="771"/>
      <c r="U772" s="771"/>
      <c r="V772" s="771"/>
      <c r="W772" s="771"/>
      <c r="X772" s="771"/>
      <c r="Y772" s="771"/>
      <c r="Z772" s="771"/>
    </row>
    <row r="773" ht="15.75" customHeight="1">
      <c r="A773" s="771"/>
      <c r="B773" s="771"/>
      <c r="C773" s="771"/>
      <c r="D773" s="771"/>
      <c r="E773" s="771"/>
      <c r="F773" s="771"/>
      <c r="G773" s="771"/>
      <c r="H773" s="771"/>
      <c r="I773" s="771"/>
      <c r="J773" s="771"/>
      <c r="K773" s="771"/>
      <c r="L773" s="771"/>
      <c r="M773" s="771"/>
      <c r="N773" s="771"/>
      <c r="O773" s="771"/>
      <c r="P773" s="771"/>
      <c r="Q773" s="771"/>
      <c r="R773" s="771"/>
      <c r="S773" s="771"/>
      <c r="T773" s="771"/>
      <c r="U773" s="771"/>
      <c r="V773" s="771"/>
      <c r="W773" s="771"/>
      <c r="X773" s="771"/>
      <c r="Y773" s="771"/>
      <c r="Z773" s="771"/>
    </row>
    <row r="774" ht="15.75" customHeight="1">
      <c r="A774" s="771"/>
      <c r="B774" s="771"/>
      <c r="C774" s="771"/>
      <c r="D774" s="771"/>
      <c r="E774" s="771"/>
      <c r="F774" s="771"/>
      <c r="G774" s="771"/>
      <c r="H774" s="771"/>
      <c r="I774" s="771"/>
      <c r="J774" s="771"/>
      <c r="K774" s="771"/>
      <c r="L774" s="771"/>
      <c r="M774" s="771"/>
      <c r="N774" s="771"/>
      <c r="O774" s="771"/>
      <c r="P774" s="771"/>
      <c r="Q774" s="771"/>
      <c r="R774" s="771"/>
      <c r="S774" s="771"/>
      <c r="T774" s="771"/>
      <c r="U774" s="771"/>
      <c r="V774" s="771"/>
      <c r="W774" s="771"/>
      <c r="X774" s="771"/>
      <c r="Y774" s="771"/>
      <c r="Z774" s="771"/>
    </row>
    <row r="775" ht="15.75" customHeight="1">
      <c r="A775" s="771"/>
      <c r="B775" s="771"/>
      <c r="C775" s="771"/>
      <c r="D775" s="771"/>
      <c r="E775" s="771"/>
      <c r="F775" s="771"/>
      <c r="G775" s="771"/>
      <c r="H775" s="771"/>
      <c r="I775" s="771"/>
      <c r="J775" s="771"/>
      <c r="K775" s="771"/>
      <c r="L775" s="771"/>
      <c r="M775" s="771"/>
      <c r="N775" s="771"/>
      <c r="O775" s="771"/>
      <c r="P775" s="771"/>
      <c r="Q775" s="771"/>
      <c r="R775" s="771"/>
      <c r="S775" s="771"/>
      <c r="T775" s="771"/>
      <c r="U775" s="771"/>
      <c r="V775" s="771"/>
      <c r="W775" s="771"/>
      <c r="X775" s="771"/>
      <c r="Y775" s="771"/>
      <c r="Z775" s="771"/>
    </row>
    <row r="776" ht="15.75" customHeight="1">
      <c r="A776" s="771"/>
      <c r="B776" s="771"/>
      <c r="C776" s="771"/>
      <c r="D776" s="771"/>
      <c r="E776" s="771"/>
      <c r="F776" s="771"/>
      <c r="G776" s="771"/>
      <c r="H776" s="771"/>
      <c r="I776" s="771"/>
      <c r="J776" s="771"/>
      <c r="K776" s="771"/>
      <c r="L776" s="771"/>
      <c r="M776" s="771"/>
      <c r="N776" s="771"/>
      <c r="O776" s="771"/>
      <c r="P776" s="771"/>
      <c r="Q776" s="771"/>
      <c r="R776" s="771"/>
      <c r="S776" s="771"/>
      <c r="T776" s="771"/>
      <c r="U776" s="771"/>
      <c r="V776" s="771"/>
      <c r="W776" s="771"/>
      <c r="X776" s="771"/>
      <c r="Y776" s="771"/>
      <c r="Z776" s="771"/>
    </row>
    <row r="777" ht="15.75" customHeight="1">
      <c r="A777" s="771"/>
      <c r="B777" s="771"/>
      <c r="C777" s="771"/>
      <c r="D777" s="771"/>
      <c r="E777" s="771"/>
      <c r="F777" s="771"/>
      <c r="G777" s="771"/>
      <c r="H777" s="771"/>
      <c r="I777" s="771"/>
      <c r="J777" s="771"/>
      <c r="K777" s="771"/>
      <c r="L777" s="771"/>
      <c r="M777" s="771"/>
      <c r="N777" s="771"/>
      <c r="O777" s="771"/>
      <c r="P777" s="771"/>
      <c r="Q777" s="771"/>
      <c r="R777" s="771"/>
      <c r="S777" s="771"/>
      <c r="T777" s="771"/>
      <c r="U777" s="771"/>
      <c r="V777" s="771"/>
      <c r="W777" s="771"/>
      <c r="X777" s="771"/>
      <c r="Y777" s="771"/>
      <c r="Z777" s="771"/>
    </row>
    <row r="778" ht="15.75" customHeight="1">
      <c r="A778" s="771"/>
      <c r="B778" s="771"/>
      <c r="C778" s="771"/>
      <c r="D778" s="771"/>
      <c r="E778" s="771"/>
      <c r="F778" s="771"/>
      <c r="G778" s="771"/>
      <c r="H778" s="771"/>
      <c r="I778" s="771"/>
      <c r="J778" s="771"/>
      <c r="K778" s="771"/>
      <c r="L778" s="771"/>
      <c r="M778" s="771"/>
      <c r="N778" s="771"/>
      <c r="O778" s="771"/>
      <c r="P778" s="771"/>
      <c r="Q778" s="771"/>
      <c r="R778" s="771"/>
      <c r="S778" s="771"/>
      <c r="T778" s="771"/>
      <c r="U778" s="771"/>
      <c r="V778" s="771"/>
      <c r="W778" s="771"/>
      <c r="X778" s="771"/>
      <c r="Y778" s="771"/>
      <c r="Z778" s="771"/>
    </row>
    <row r="779" ht="15.75" customHeight="1">
      <c r="A779" s="771"/>
      <c r="B779" s="771"/>
      <c r="C779" s="771"/>
      <c r="D779" s="771"/>
      <c r="E779" s="771"/>
      <c r="F779" s="771"/>
      <c r="G779" s="771"/>
      <c r="H779" s="771"/>
      <c r="I779" s="771"/>
      <c r="J779" s="771"/>
      <c r="K779" s="771"/>
      <c r="L779" s="771"/>
      <c r="M779" s="771"/>
      <c r="N779" s="771"/>
      <c r="O779" s="771"/>
      <c r="P779" s="771"/>
      <c r="Q779" s="771"/>
      <c r="R779" s="771"/>
      <c r="S779" s="771"/>
      <c r="T779" s="771"/>
      <c r="U779" s="771"/>
      <c r="V779" s="771"/>
      <c r="W779" s="771"/>
      <c r="X779" s="771"/>
      <c r="Y779" s="771"/>
      <c r="Z779" s="771"/>
    </row>
    <row r="780" ht="15.75" customHeight="1">
      <c r="A780" s="771"/>
      <c r="B780" s="771"/>
      <c r="C780" s="771"/>
      <c r="D780" s="771"/>
      <c r="E780" s="771"/>
      <c r="F780" s="771"/>
      <c r="G780" s="771"/>
      <c r="H780" s="771"/>
      <c r="I780" s="771"/>
      <c r="J780" s="771"/>
      <c r="K780" s="771"/>
      <c r="L780" s="771"/>
      <c r="M780" s="771"/>
      <c r="N780" s="771"/>
      <c r="O780" s="771"/>
      <c r="P780" s="771"/>
      <c r="Q780" s="771"/>
      <c r="R780" s="771"/>
      <c r="S780" s="771"/>
      <c r="T780" s="771"/>
      <c r="U780" s="771"/>
      <c r="V780" s="771"/>
      <c r="W780" s="771"/>
      <c r="X780" s="771"/>
      <c r="Y780" s="771"/>
      <c r="Z780" s="771"/>
    </row>
    <row r="781" ht="15.75" customHeight="1">
      <c r="A781" s="771"/>
      <c r="B781" s="771"/>
      <c r="C781" s="771"/>
      <c r="D781" s="771"/>
      <c r="E781" s="771"/>
      <c r="F781" s="771"/>
      <c r="G781" s="771"/>
      <c r="H781" s="771"/>
      <c r="I781" s="771"/>
      <c r="J781" s="771"/>
      <c r="K781" s="771"/>
      <c r="L781" s="771"/>
      <c r="M781" s="771"/>
      <c r="N781" s="771"/>
      <c r="O781" s="771"/>
      <c r="P781" s="771"/>
      <c r="Q781" s="771"/>
      <c r="R781" s="771"/>
      <c r="S781" s="771"/>
      <c r="T781" s="771"/>
      <c r="U781" s="771"/>
      <c r="V781" s="771"/>
      <c r="W781" s="771"/>
      <c r="X781" s="771"/>
      <c r="Y781" s="771"/>
      <c r="Z781" s="771"/>
    </row>
    <row r="782" ht="15.75" customHeight="1">
      <c r="A782" s="771"/>
      <c r="B782" s="771"/>
      <c r="C782" s="771"/>
      <c r="D782" s="771"/>
      <c r="E782" s="771"/>
      <c r="F782" s="771"/>
      <c r="G782" s="771"/>
      <c r="H782" s="771"/>
      <c r="I782" s="771"/>
      <c r="J782" s="771"/>
      <c r="K782" s="771"/>
      <c r="L782" s="771"/>
      <c r="M782" s="771"/>
      <c r="N782" s="771"/>
      <c r="O782" s="771"/>
      <c r="P782" s="771"/>
      <c r="Q782" s="771"/>
      <c r="R782" s="771"/>
      <c r="S782" s="771"/>
      <c r="T782" s="771"/>
      <c r="U782" s="771"/>
      <c r="V782" s="771"/>
      <c r="W782" s="771"/>
      <c r="X782" s="771"/>
      <c r="Y782" s="771"/>
      <c r="Z782" s="771"/>
    </row>
    <row r="783" ht="15.75" customHeight="1">
      <c r="A783" s="771"/>
      <c r="B783" s="771"/>
      <c r="C783" s="771"/>
      <c r="D783" s="771"/>
      <c r="E783" s="771"/>
      <c r="F783" s="771"/>
      <c r="G783" s="771"/>
      <c r="H783" s="771"/>
      <c r="I783" s="771"/>
      <c r="J783" s="771"/>
      <c r="K783" s="771"/>
      <c r="L783" s="771"/>
      <c r="M783" s="771"/>
      <c r="N783" s="771"/>
      <c r="O783" s="771"/>
      <c r="P783" s="771"/>
      <c r="Q783" s="771"/>
      <c r="R783" s="771"/>
      <c r="S783" s="771"/>
      <c r="T783" s="771"/>
      <c r="U783" s="771"/>
      <c r="V783" s="771"/>
      <c r="W783" s="771"/>
      <c r="X783" s="771"/>
      <c r="Y783" s="771"/>
      <c r="Z783" s="771"/>
    </row>
    <row r="784" ht="15.75" customHeight="1">
      <c r="A784" s="771"/>
      <c r="B784" s="771"/>
      <c r="C784" s="771"/>
      <c r="D784" s="771"/>
      <c r="E784" s="771"/>
      <c r="F784" s="771"/>
      <c r="G784" s="771"/>
      <c r="H784" s="771"/>
      <c r="I784" s="771"/>
      <c r="J784" s="771"/>
      <c r="K784" s="771"/>
      <c r="L784" s="771"/>
      <c r="M784" s="771"/>
      <c r="N784" s="771"/>
      <c r="O784" s="771"/>
      <c r="P784" s="771"/>
      <c r="Q784" s="771"/>
      <c r="R784" s="771"/>
      <c r="S784" s="771"/>
      <c r="T784" s="771"/>
      <c r="U784" s="771"/>
      <c r="V784" s="771"/>
      <c r="W784" s="771"/>
      <c r="X784" s="771"/>
      <c r="Y784" s="771"/>
      <c r="Z784" s="771"/>
    </row>
    <row r="785" ht="15.75" customHeight="1">
      <c r="A785" s="771"/>
      <c r="B785" s="771"/>
      <c r="C785" s="771"/>
      <c r="D785" s="771"/>
      <c r="E785" s="771"/>
      <c r="F785" s="771"/>
      <c r="G785" s="771"/>
      <c r="H785" s="771"/>
      <c r="I785" s="771"/>
      <c r="J785" s="771"/>
      <c r="K785" s="771"/>
      <c r="L785" s="771"/>
      <c r="M785" s="771"/>
      <c r="N785" s="771"/>
      <c r="O785" s="771"/>
      <c r="P785" s="771"/>
      <c r="Q785" s="771"/>
      <c r="R785" s="771"/>
      <c r="S785" s="771"/>
      <c r="T785" s="771"/>
      <c r="U785" s="771"/>
      <c r="V785" s="771"/>
      <c r="W785" s="771"/>
      <c r="X785" s="771"/>
      <c r="Y785" s="771"/>
      <c r="Z785" s="771"/>
    </row>
    <row r="786" ht="15.75" customHeight="1">
      <c r="A786" s="771"/>
      <c r="B786" s="771"/>
      <c r="C786" s="771"/>
      <c r="D786" s="771"/>
      <c r="E786" s="771"/>
      <c r="F786" s="771"/>
      <c r="G786" s="771"/>
      <c r="H786" s="771"/>
      <c r="I786" s="771"/>
      <c r="J786" s="771"/>
      <c r="K786" s="771"/>
      <c r="L786" s="771"/>
      <c r="M786" s="771"/>
      <c r="N786" s="771"/>
      <c r="O786" s="771"/>
      <c r="P786" s="771"/>
      <c r="Q786" s="771"/>
      <c r="R786" s="771"/>
      <c r="S786" s="771"/>
      <c r="T786" s="771"/>
      <c r="U786" s="771"/>
      <c r="V786" s="771"/>
      <c r="W786" s="771"/>
      <c r="X786" s="771"/>
      <c r="Y786" s="771"/>
      <c r="Z786" s="771"/>
    </row>
    <row r="787" ht="15.75" customHeight="1">
      <c r="A787" s="771"/>
      <c r="B787" s="771"/>
      <c r="C787" s="771"/>
      <c r="D787" s="771"/>
      <c r="E787" s="771"/>
      <c r="F787" s="771"/>
      <c r="G787" s="771"/>
      <c r="H787" s="771"/>
      <c r="I787" s="771"/>
      <c r="J787" s="771"/>
      <c r="K787" s="771"/>
      <c r="L787" s="771"/>
      <c r="M787" s="771"/>
      <c r="N787" s="771"/>
      <c r="O787" s="771"/>
      <c r="P787" s="771"/>
      <c r="Q787" s="771"/>
      <c r="R787" s="771"/>
      <c r="S787" s="771"/>
      <c r="T787" s="771"/>
      <c r="U787" s="771"/>
      <c r="V787" s="771"/>
      <c r="W787" s="771"/>
      <c r="X787" s="771"/>
      <c r="Y787" s="771"/>
      <c r="Z787" s="771"/>
    </row>
    <row r="788" ht="15.75" customHeight="1">
      <c r="A788" s="771"/>
      <c r="B788" s="771"/>
      <c r="C788" s="771"/>
      <c r="D788" s="771"/>
      <c r="E788" s="771"/>
      <c r="F788" s="771"/>
      <c r="G788" s="771"/>
      <c r="H788" s="771"/>
      <c r="I788" s="771"/>
      <c r="J788" s="771"/>
      <c r="K788" s="771"/>
      <c r="L788" s="771"/>
      <c r="M788" s="771"/>
      <c r="N788" s="771"/>
      <c r="O788" s="771"/>
      <c r="P788" s="771"/>
      <c r="Q788" s="771"/>
      <c r="R788" s="771"/>
      <c r="S788" s="771"/>
      <c r="T788" s="771"/>
      <c r="U788" s="771"/>
      <c r="V788" s="771"/>
      <c r="W788" s="771"/>
      <c r="X788" s="771"/>
      <c r="Y788" s="771"/>
      <c r="Z788" s="771"/>
    </row>
    <row r="789" ht="15.75" customHeight="1">
      <c r="A789" s="771"/>
      <c r="B789" s="771"/>
      <c r="C789" s="771"/>
      <c r="D789" s="771"/>
      <c r="E789" s="771"/>
      <c r="F789" s="771"/>
      <c r="G789" s="771"/>
      <c r="H789" s="771"/>
      <c r="I789" s="771"/>
      <c r="J789" s="771"/>
      <c r="K789" s="771"/>
      <c r="L789" s="771"/>
      <c r="M789" s="771"/>
      <c r="N789" s="771"/>
      <c r="O789" s="771"/>
      <c r="P789" s="771"/>
      <c r="Q789" s="771"/>
      <c r="R789" s="771"/>
      <c r="S789" s="771"/>
      <c r="T789" s="771"/>
      <c r="U789" s="771"/>
      <c r="V789" s="771"/>
      <c r="W789" s="771"/>
      <c r="X789" s="771"/>
      <c r="Y789" s="771"/>
      <c r="Z789" s="771"/>
    </row>
    <row r="790" ht="15.75" customHeight="1">
      <c r="A790" s="771"/>
      <c r="B790" s="771"/>
      <c r="C790" s="771"/>
      <c r="D790" s="771"/>
      <c r="E790" s="771"/>
      <c r="F790" s="771"/>
      <c r="G790" s="771"/>
      <c r="H790" s="771"/>
      <c r="I790" s="771"/>
      <c r="J790" s="771"/>
      <c r="K790" s="771"/>
      <c r="L790" s="771"/>
      <c r="M790" s="771"/>
      <c r="N790" s="771"/>
      <c r="O790" s="771"/>
      <c r="P790" s="771"/>
      <c r="Q790" s="771"/>
      <c r="R790" s="771"/>
      <c r="S790" s="771"/>
      <c r="T790" s="771"/>
      <c r="U790" s="771"/>
      <c r="V790" s="771"/>
      <c r="W790" s="771"/>
      <c r="X790" s="771"/>
      <c r="Y790" s="771"/>
      <c r="Z790" s="771"/>
    </row>
    <row r="791" ht="15.75" customHeight="1">
      <c r="A791" s="771"/>
      <c r="B791" s="771"/>
      <c r="C791" s="771"/>
      <c r="D791" s="771"/>
      <c r="E791" s="771"/>
      <c r="F791" s="771"/>
      <c r="G791" s="771"/>
      <c r="H791" s="771"/>
      <c r="I791" s="771"/>
      <c r="J791" s="771"/>
      <c r="K791" s="771"/>
      <c r="L791" s="771"/>
      <c r="M791" s="771"/>
      <c r="N791" s="771"/>
      <c r="O791" s="771"/>
      <c r="P791" s="771"/>
      <c r="Q791" s="771"/>
      <c r="R791" s="771"/>
      <c r="S791" s="771"/>
      <c r="T791" s="771"/>
      <c r="U791" s="771"/>
      <c r="V791" s="771"/>
      <c r="W791" s="771"/>
      <c r="X791" s="771"/>
      <c r="Y791" s="771"/>
      <c r="Z791" s="771"/>
    </row>
    <row r="792" ht="15.75" customHeight="1">
      <c r="A792" s="771"/>
      <c r="B792" s="771"/>
      <c r="C792" s="771"/>
      <c r="D792" s="771"/>
      <c r="E792" s="771"/>
      <c r="F792" s="771"/>
      <c r="G792" s="771"/>
      <c r="H792" s="771"/>
      <c r="I792" s="771"/>
      <c r="J792" s="771"/>
      <c r="K792" s="771"/>
      <c r="L792" s="771"/>
      <c r="M792" s="771"/>
      <c r="N792" s="771"/>
      <c r="O792" s="771"/>
      <c r="P792" s="771"/>
      <c r="Q792" s="771"/>
      <c r="R792" s="771"/>
      <c r="S792" s="771"/>
      <c r="T792" s="771"/>
      <c r="U792" s="771"/>
      <c r="V792" s="771"/>
      <c r="W792" s="771"/>
      <c r="X792" s="771"/>
      <c r="Y792" s="771"/>
      <c r="Z792" s="771"/>
    </row>
    <row r="793" ht="15.75" customHeight="1">
      <c r="A793" s="771"/>
      <c r="B793" s="771"/>
      <c r="C793" s="771"/>
      <c r="D793" s="771"/>
      <c r="E793" s="771"/>
      <c r="F793" s="771"/>
      <c r="G793" s="771"/>
      <c r="H793" s="771"/>
      <c r="I793" s="771"/>
      <c r="J793" s="771"/>
      <c r="K793" s="771"/>
      <c r="L793" s="771"/>
      <c r="M793" s="771"/>
      <c r="N793" s="771"/>
      <c r="O793" s="771"/>
      <c r="P793" s="771"/>
      <c r="Q793" s="771"/>
      <c r="R793" s="771"/>
      <c r="S793" s="771"/>
      <c r="T793" s="771"/>
      <c r="U793" s="771"/>
      <c r="V793" s="771"/>
      <c r="W793" s="771"/>
      <c r="X793" s="771"/>
      <c r="Y793" s="771"/>
      <c r="Z793" s="771"/>
    </row>
    <row r="794" ht="15.75" customHeight="1">
      <c r="A794" s="771"/>
      <c r="B794" s="771"/>
      <c r="C794" s="771"/>
      <c r="D794" s="771"/>
      <c r="E794" s="771"/>
      <c r="F794" s="771"/>
      <c r="G794" s="771"/>
      <c r="H794" s="771"/>
      <c r="I794" s="771"/>
      <c r="J794" s="771"/>
      <c r="K794" s="771"/>
      <c r="L794" s="771"/>
      <c r="M794" s="771"/>
      <c r="N794" s="771"/>
      <c r="O794" s="771"/>
      <c r="P794" s="771"/>
      <c r="Q794" s="771"/>
      <c r="R794" s="771"/>
      <c r="S794" s="771"/>
      <c r="T794" s="771"/>
      <c r="U794" s="771"/>
      <c r="V794" s="771"/>
      <c r="W794" s="771"/>
      <c r="X794" s="771"/>
      <c r="Y794" s="771"/>
      <c r="Z794" s="771"/>
    </row>
    <row r="795" ht="15.75" customHeight="1">
      <c r="A795" s="771"/>
      <c r="B795" s="771"/>
      <c r="C795" s="771"/>
      <c r="D795" s="771"/>
      <c r="E795" s="771"/>
      <c r="F795" s="771"/>
      <c r="G795" s="771"/>
      <c r="H795" s="771"/>
      <c r="I795" s="771"/>
      <c r="J795" s="771"/>
      <c r="K795" s="771"/>
      <c r="L795" s="771"/>
      <c r="M795" s="771"/>
      <c r="N795" s="771"/>
      <c r="O795" s="771"/>
      <c r="P795" s="771"/>
      <c r="Q795" s="771"/>
      <c r="R795" s="771"/>
      <c r="S795" s="771"/>
      <c r="T795" s="771"/>
      <c r="U795" s="771"/>
      <c r="V795" s="771"/>
      <c r="W795" s="771"/>
      <c r="X795" s="771"/>
      <c r="Y795" s="771"/>
      <c r="Z795" s="771"/>
    </row>
    <row r="796" ht="15.75" customHeight="1">
      <c r="A796" s="771"/>
      <c r="B796" s="771"/>
      <c r="C796" s="771"/>
      <c r="D796" s="771"/>
      <c r="E796" s="771"/>
      <c r="F796" s="771"/>
      <c r="G796" s="771"/>
      <c r="H796" s="771"/>
      <c r="I796" s="771"/>
      <c r="J796" s="771"/>
      <c r="K796" s="771"/>
      <c r="L796" s="771"/>
      <c r="M796" s="771"/>
      <c r="N796" s="771"/>
      <c r="O796" s="771"/>
      <c r="P796" s="771"/>
      <c r="Q796" s="771"/>
      <c r="R796" s="771"/>
      <c r="S796" s="771"/>
      <c r="T796" s="771"/>
      <c r="U796" s="771"/>
      <c r="V796" s="771"/>
      <c r="W796" s="771"/>
      <c r="X796" s="771"/>
      <c r="Y796" s="771"/>
      <c r="Z796" s="771"/>
    </row>
    <row r="797" ht="15.75" customHeight="1">
      <c r="A797" s="771"/>
      <c r="B797" s="771"/>
      <c r="C797" s="771"/>
      <c r="D797" s="771"/>
      <c r="E797" s="771"/>
      <c r="F797" s="771"/>
      <c r="G797" s="771"/>
      <c r="H797" s="771"/>
      <c r="I797" s="771"/>
      <c r="J797" s="771"/>
      <c r="K797" s="771"/>
      <c r="L797" s="771"/>
      <c r="M797" s="771"/>
      <c r="N797" s="771"/>
      <c r="O797" s="771"/>
      <c r="P797" s="771"/>
      <c r="Q797" s="771"/>
      <c r="R797" s="771"/>
      <c r="S797" s="771"/>
      <c r="T797" s="771"/>
      <c r="U797" s="771"/>
      <c r="V797" s="771"/>
      <c r="W797" s="771"/>
      <c r="X797" s="771"/>
      <c r="Y797" s="771"/>
      <c r="Z797" s="771"/>
    </row>
    <row r="798" ht="15.75" customHeight="1">
      <c r="A798" s="771"/>
      <c r="B798" s="771"/>
      <c r="C798" s="771"/>
      <c r="D798" s="771"/>
      <c r="E798" s="771"/>
      <c r="F798" s="771"/>
      <c r="G798" s="771"/>
      <c r="H798" s="771"/>
      <c r="I798" s="771"/>
      <c r="J798" s="771"/>
      <c r="K798" s="771"/>
      <c r="L798" s="771"/>
      <c r="M798" s="771"/>
      <c r="N798" s="771"/>
      <c r="O798" s="771"/>
      <c r="P798" s="771"/>
      <c r="Q798" s="771"/>
      <c r="R798" s="771"/>
      <c r="S798" s="771"/>
      <c r="T798" s="771"/>
      <c r="U798" s="771"/>
      <c r="V798" s="771"/>
      <c r="W798" s="771"/>
      <c r="X798" s="771"/>
      <c r="Y798" s="771"/>
      <c r="Z798" s="771"/>
    </row>
    <row r="799" ht="15.75" customHeight="1">
      <c r="A799" s="771"/>
      <c r="B799" s="771"/>
      <c r="C799" s="771"/>
      <c r="D799" s="771"/>
      <c r="E799" s="771"/>
      <c r="F799" s="771"/>
      <c r="G799" s="771"/>
      <c r="H799" s="771"/>
      <c r="I799" s="771"/>
      <c r="J799" s="771"/>
      <c r="K799" s="771"/>
      <c r="L799" s="771"/>
      <c r="M799" s="771"/>
      <c r="N799" s="771"/>
      <c r="O799" s="771"/>
      <c r="P799" s="771"/>
      <c r="Q799" s="771"/>
      <c r="R799" s="771"/>
      <c r="S799" s="771"/>
      <c r="T799" s="771"/>
      <c r="U799" s="771"/>
      <c r="V799" s="771"/>
      <c r="W799" s="771"/>
      <c r="X799" s="771"/>
      <c r="Y799" s="771"/>
      <c r="Z799" s="771"/>
    </row>
    <row r="800" ht="15.75" customHeight="1">
      <c r="A800" s="771"/>
      <c r="B800" s="771"/>
      <c r="C800" s="771"/>
      <c r="D800" s="771"/>
      <c r="E800" s="771"/>
      <c r="F800" s="771"/>
      <c r="G800" s="771"/>
      <c r="H800" s="771"/>
      <c r="I800" s="771"/>
      <c r="J800" s="771"/>
      <c r="K800" s="771"/>
      <c r="L800" s="771"/>
      <c r="M800" s="771"/>
      <c r="N800" s="771"/>
      <c r="O800" s="771"/>
      <c r="P800" s="771"/>
      <c r="Q800" s="771"/>
      <c r="R800" s="771"/>
      <c r="S800" s="771"/>
      <c r="T800" s="771"/>
      <c r="U800" s="771"/>
      <c r="V800" s="771"/>
      <c r="W800" s="771"/>
      <c r="X800" s="771"/>
      <c r="Y800" s="771"/>
      <c r="Z800" s="771"/>
    </row>
    <row r="801" ht="15.75" customHeight="1">
      <c r="A801" s="771"/>
      <c r="B801" s="771"/>
      <c r="C801" s="771"/>
      <c r="D801" s="771"/>
      <c r="E801" s="771"/>
      <c r="F801" s="771"/>
      <c r="G801" s="771"/>
      <c r="H801" s="771"/>
      <c r="I801" s="771"/>
      <c r="J801" s="771"/>
      <c r="K801" s="771"/>
      <c r="L801" s="771"/>
      <c r="M801" s="771"/>
      <c r="N801" s="771"/>
      <c r="O801" s="771"/>
      <c r="P801" s="771"/>
      <c r="Q801" s="771"/>
      <c r="R801" s="771"/>
      <c r="S801" s="771"/>
      <c r="T801" s="771"/>
      <c r="U801" s="771"/>
      <c r="V801" s="771"/>
      <c r="W801" s="771"/>
      <c r="X801" s="771"/>
      <c r="Y801" s="771"/>
      <c r="Z801" s="771"/>
    </row>
    <row r="802" ht="15.75" customHeight="1">
      <c r="A802" s="771"/>
      <c r="B802" s="771"/>
      <c r="C802" s="771"/>
      <c r="D802" s="771"/>
      <c r="E802" s="771"/>
      <c r="F802" s="771"/>
      <c r="G802" s="771"/>
      <c r="H802" s="771"/>
      <c r="I802" s="771"/>
      <c r="J802" s="771"/>
      <c r="K802" s="771"/>
      <c r="L802" s="771"/>
      <c r="M802" s="771"/>
      <c r="N802" s="771"/>
      <c r="O802" s="771"/>
      <c r="P802" s="771"/>
      <c r="Q802" s="771"/>
      <c r="R802" s="771"/>
      <c r="S802" s="771"/>
      <c r="T802" s="771"/>
      <c r="U802" s="771"/>
      <c r="V802" s="771"/>
      <c r="W802" s="771"/>
      <c r="X802" s="771"/>
      <c r="Y802" s="771"/>
      <c r="Z802" s="771"/>
    </row>
    <row r="803" ht="15.75" customHeight="1">
      <c r="A803" s="771"/>
      <c r="B803" s="771"/>
      <c r="C803" s="771"/>
      <c r="D803" s="771"/>
      <c r="E803" s="771"/>
      <c r="F803" s="771"/>
      <c r="G803" s="771"/>
      <c r="H803" s="771"/>
      <c r="I803" s="771"/>
      <c r="J803" s="771"/>
      <c r="K803" s="771"/>
      <c r="L803" s="771"/>
      <c r="M803" s="771"/>
      <c r="N803" s="771"/>
      <c r="O803" s="771"/>
      <c r="P803" s="771"/>
      <c r="Q803" s="771"/>
      <c r="R803" s="771"/>
      <c r="S803" s="771"/>
      <c r="T803" s="771"/>
      <c r="U803" s="771"/>
      <c r="V803" s="771"/>
      <c r="W803" s="771"/>
      <c r="X803" s="771"/>
      <c r="Y803" s="771"/>
      <c r="Z803" s="771"/>
    </row>
    <row r="804" ht="15.75" customHeight="1">
      <c r="A804" s="771"/>
      <c r="B804" s="771"/>
      <c r="C804" s="771"/>
      <c r="D804" s="771"/>
      <c r="E804" s="771"/>
      <c r="F804" s="771"/>
      <c r="G804" s="771"/>
      <c r="H804" s="771"/>
      <c r="I804" s="771"/>
      <c r="J804" s="771"/>
      <c r="K804" s="771"/>
      <c r="L804" s="771"/>
      <c r="M804" s="771"/>
      <c r="N804" s="771"/>
      <c r="O804" s="771"/>
      <c r="P804" s="771"/>
      <c r="Q804" s="771"/>
      <c r="R804" s="771"/>
      <c r="S804" s="771"/>
      <c r="T804" s="771"/>
      <c r="U804" s="771"/>
      <c r="V804" s="771"/>
      <c r="W804" s="771"/>
      <c r="X804" s="771"/>
      <c r="Y804" s="771"/>
      <c r="Z804" s="771"/>
    </row>
    <row r="805" ht="15.75" customHeight="1">
      <c r="A805" s="771"/>
      <c r="B805" s="771"/>
      <c r="C805" s="771"/>
      <c r="D805" s="771"/>
      <c r="E805" s="771"/>
      <c r="F805" s="771"/>
      <c r="G805" s="771"/>
      <c r="H805" s="771"/>
      <c r="I805" s="771"/>
      <c r="J805" s="771"/>
      <c r="K805" s="771"/>
      <c r="L805" s="771"/>
      <c r="M805" s="771"/>
      <c r="N805" s="771"/>
      <c r="O805" s="771"/>
      <c r="P805" s="771"/>
      <c r="Q805" s="771"/>
      <c r="R805" s="771"/>
      <c r="S805" s="771"/>
      <c r="T805" s="771"/>
      <c r="U805" s="771"/>
      <c r="V805" s="771"/>
      <c r="W805" s="771"/>
      <c r="X805" s="771"/>
      <c r="Y805" s="771"/>
      <c r="Z805" s="771"/>
    </row>
    <row r="806" ht="15.75" customHeight="1">
      <c r="A806" s="771"/>
      <c r="B806" s="771"/>
      <c r="C806" s="771"/>
      <c r="D806" s="771"/>
      <c r="E806" s="771"/>
      <c r="F806" s="771"/>
      <c r="G806" s="771"/>
      <c r="H806" s="771"/>
      <c r="I806" s="771"/>
      <c r="J806" s="771"/>
      <c r="K806" s="771"/>
      <c r="L806" s="771"/>
      <c r="M806" s="771"/>
      <c r="N806" s="771"/>
      <c r="O806" s="771"/>
      <c r="P806" s="771"/>
      <c r="Q806" s="771"/>
      <c r="R806" s="771"/>
      <c r="S806" s="771"/>
      <c r="T806" s="771"/>
      <c r="U806" s="771"/>
      <c r="V806" s="771"/>
      <c r="W806" s="771"/>
      <c r="X806" s="771"/>
      <c r="Y806" s="771"/>
      <c r="Z806" s="771"/>
    </row>
    <row r="807" ht="15.75" customHeight="1">
      <c r="A807" s="771"/>
      <c r="B807" s="771"/>
      <c r="C807" s="771"/>
      <c r="D807" s="771"/>
      <c r="E807" s="771"/>
      <c r="F807" s="771"/>
      <c r="G807" s="771"/>
      <c r="H807" s="771"/>
      <c r="I807" s="771"/>
      <c r="J807" s="771"/>
      <c r="K807" s="771"/>
      <c r="L807" s="771"/>
      <c r="M807" s="771"/>
      <c r="N807" s="771"/>
      <c r="O807" s="771"/>
      <c r="P807" s="771"/>
      <c r="Q807" s="771"/>
      <c r="R807" s="771"/>
      <c r="S807" s="771"/>
      <c r="T807" s="771"/>
      <c r="U807" s="771"/>
      <c r="V807" s="771"/>
      <c r="W807" s="771"/>
      <c r="X807" s="771"/>
      <c r="Y807" s="771"/>
      <c r="Z807" s="771"/>
    </row>
    <row r="808" ht="15.75" customHeight="1">
      <c r="A808" s="771"/>
      <c r="B808" s="771"/>
      <c r="C808" s="771"/>
      <c r="D808" s="771"/>
      <c r="E808" s="771"/>
      <c r="F808" s="771"/>
      <c r="G808" s="771"/>
      <c r="H808" s="771"/>
      <c r="I808" s="771"/>
      <c r="J808" s="771"/>
      <c r="K808" s="771"/>
      <c r="L808" s="771"/>
      <c r="M808" s="771"/>
      <c r="N808" s="771"/>
      <c r="O808" s="771"/>
      <c r="P808" s="771"/>
      <c r="Q808" s="771"/>
      <c r="R808" s="771"/>
      <c r="S808" s="771"/>
      <c r="T808" s="771"/>
      <c r="U808" s="771"/>
      <c r="V808" s="771"/>
      <c r="W808" s="771"/>
      <c r="X808" s="771"/>
      <c r="Y808" s="771"/>
      <c r="Z808" s="771"/>
    </row>
    <row r="809" ht="15.75" customHeight="1">
      <c r="A809" s="771"/>
      <c r="B809" s="771"/>
      <c r="C809" s="771"/>
      <c r="D809" s="771"/>
      <c r="E809" s="771"/>
      <c r="F809" s="771"/>
      <c r="G809" s="771"/>
      <c r="H809" s="771"/>
      <c r="I809" s="771"/>
      <c r="J809" s="771"/>
      <c r="K809" s="771"/>
      <c r="L809" s="771"/>
      <c r="M809" s="771"/>
      <c r="N809" s="771"/>
      <c r="O809" s="771"/>
      <c r="P809" s="771"/>
      <c r="Q809" s="771"/>
      <c r="R809" s="771"/>
      <c r="S809" s="771"/>
      <c r="T809" s="771"/>
      <c r="U809" s="771"/>
      <c r="V809" s="771"/>
      <c r="W809" s="771"/>
      <c r="X809" s="771"/>
      <c r="Y809" s="771"/>
      <c r="Z809" s="771"/>
    </row>
    <row r="810" ht="15.75" customHeight="1">
      <c r="A810" s="771"/>
      <c r="B810" s="771"/>
      <c r="C810" s="771"/>
      <c r="D810" s="771"/>
      <c r="E810" s="771"/>
      <c r="F810" s="771"/>
      <c r="G810" s="771"/>
      <c r="H810" s="771"/>
      <c r="I810" s="771"/>
      <c r="J810" s="771"/>
      <c r="K810" s="771"/>
      <c r="L810" s="771"/>
      <c r="M810" s="771"/>
      <c r="N810" s="771"/>
      <c r="O810" s="771"/>
      <c r="P810" s="771"/>
      <c r="Q810" s="771"/>
      <c r="R810" s="771"/>
      <c r="S810" s="771"/>
      <c r="T810" s="771"/>
      <c r="U810" s="771"/>
      <c r="V810" s="771"/>
      <c r="W810" s="771"/>
      <c r="X810" s="771"/>
      <c r="Y810" s="771"/>
      <c r="Z810" s="771"/>
    </row>
    <row r="811" ht="15.75" customHeight="1">
      <c r="A811" s="771"/>
      <c r="B811" s="771"/>
      <c r="C811" s="771"/>
      <c r="D811" s="771"/>
      <c r="E811" s="771"/>
      <c r="F811" s="771"/>
      <c r="G811" s="771"/>
      <c r="H811" s="771"/>
      <c r="I811" s="771"/>
      <c r="J811" s="771"/>
      <c r="K811" s="771"/>
      <c r="L811" s="771"/>
      <c r="M811" s="771"/>
      <c r="N811" s="771"/>
      <c r="O811" s="771"/>
      <c r="P811" s="771"/>
      <c r="Q811" s="771"/>
      <c r="R811" s="771"/>
      <c r="S811" s="771"/>
      <c r="T811" s="771"/>
      <c r="U811" s="771"/>
      <c r="V811" s="771"/>
      <c r="W811" s="771"/>
      <c r="X811" s="771"/>
      <c r="Y811" s="771"/>
      <c r="Z811" s="771"/>
    </row>
    <row r="812" ht="15.75" customHeight="1">
      <c r="A812" s="771"/>
      <c r="B812" s="771"/>
      <c r="C812" s="771"/>
      <c r="D812" s="771"/>
      <c r="E812" s="771"/>
      <c r="F812" s="771"/>
      <c r="G812" s="771"/>
      <c r="H812" s="771"/>
      <c r="I812" s="771"/>
      <c r="J812" s="771"/>
      <c r="K812" s="771"/>
      <c r="L812" s="771"/>
      <c r="M812" s="771"/>
      <c r="N812" s="771"/>
      <c r="O812" s="771"/>
      <c r="P812" s="771"/>
      <c r="Q812" s="771"/>
      <c r="R812" s="771"/>
      <c r="S812" s="771"/>
      <c r="T812" s="771"/>
      <c r="U812" s="771"/>
      <c r="V812" s="771"/>
      <c r="W812" s="771"/>
      <c r="X812" s="771"/>
      <c r="Y812" s="771"/>
      <c r="Z812" s="771"/>
    </row>
    <row r="813" ht="15.75" customHeight="1">
      <c r="A813" s="771"/>
      <c r="B813" s="771"/>
      <c r="C813" s="771"/>
      <c r="D813" s="771"/>
      <c r="E813" s="771"/>
      <c r="F813" s="771"/>
      <c r="G813" s="771"/>
      <c r="H813" s="771"/>
      <c r="I813" s="771"/>
      <c r="J813" s="771"/>
      <c r="K813" s="771"/>
      <c r="L813" s="771"/>
      <c r="M813" s="771"/>
      <c r="N813" s="771"/>
      <c r="O813" s="771"/>
      <c r="P813" s="771"/>
      <c r="Q813" s="771"/>
      <c r="R813" s="771"/>
      <c r="S813" s="771"/>
      <c r="T813" s="771"/>
      <c r="U813" s="771"/>
      <c r="V813" s="771"/>
      <c r="W813" s="771"/>
      <c r="X813" s="771"/>
      <c r="Y813" s="771"/>
      <c r="Z813" s="771"/>
    </row>
    <row r="814" ht="15.75" customHeight="1">
      <c r="A814" s="771"/>
      <c r="B814" s="771"/>
      <c r="C814" s="771"/>
      <c r="D814" s="771"/>
      <c r="E814" s="771"/>
      <c r="F814" s="771"/>
      <c r="G814" s="771"/>
      <c r="H814" s="771"/>
      <c r="I814" s="771"/>
      <c r="J814" s="771"/>
      <c r="K814" s="771"/>
      <c r="L814" s="771"/>
      <c r="M814" s="771"/>
      <c r="N814" s="771"/>
      <c r="O814" s="771"/>
      <c r="P814" s="771"/>
      <c r="Q814" s="771"/>
      <c r="R814" s="771"/>
      <c r="S814" s="771"/>
      <c r="T814" s="771"/>
      <c r="U814" s="771"/>
      <c r="V814" s="771"/>
      <c r="W814" s="771"/>
      <c r="X814" s="771"/>
      <c r="Y814" s="771"/>
      <c r="Z814" s="771"/>
    </row>
    <row r="815" ht="15.75" customHeight="1">
      <c r="A815" s="771"/>
      <c r="B815" s="771"/>
      <c r="C815" s="771"/>
      <c r="D815" s="771"/>
      <c r="E815" s="771"/>
      <c r="F815" s="771"/>
      <c r="G815" s="771"/>
      <c r="H815" s="771"/>
      <c r="I815" s="771"/>
      <c r="J815" s="771"/>
      <c r="K815" s="771"/>
      <c r="L815" s="771"/>
      <c r="M815" s="771"/>
      <c r="N815" s="771"/>
      <c r="O815" s="771"/>
      <c r="P815" s="771"/>
      <c r="Q815" s="771"/>
      <c r="R815" s="771"/>
      <c r="S815" s="771"/>
      <c r="T815" s="771"/>
      <c r="U815" s="771"/>
      <c r="V815" s="771"/>
      <c r="W815" s="771"/>
      <c r="X815" s="771"/>
      <c r="Y815" s="771"/>
      <c r="Z815" s="771"/>
    </row>
    <row r="816" ht="15.75" customHeight="1">
      <c r="A816" s="771"/>
      <c r="B816" s="771"/>
      <c r="C816" s="771"/>
      <c r="D816" s="771"/>
      <c r="E816" s="771"/>
      <c r="F816" s="771"/>
      <c r="G816" s="771"/>
      <c r="H816" s="771"/>
      <c r="I816" s="771"/>
      <c r="J816" s="771"/>
      <c r="K816" s="771"/>
      <c r="L816" s="771"/>
      <c r="M816" s="771"/>
      <c r="N816" s="771"/>
      <c r="O816" s="771"/>
      <c r="P816" s="771"/>
      <c r="Q816" s="771"/>
      <c r="R816" s="771"/>
      <c r="S816" s="771"/>
      <c r="T816" s="771"/>
      <c r="U816" s="771"/>
      <c r="V816" s="771"/>
      <c r="W816" s="771"/>
      <c r="X816" s="771"/>
      <c r="Y816" s="771"/>
      <c r="Z816" s="771"/>
    </row>
    <row r="817" ht="15.75" customHeight="1">
      <c r="A817" s="771"/>
      <c r="B817" s="771"/>
      <c r="C817" s="771"/>
      <c r="D817" s="771"/>
      <c r="E817" s="771"/>
      <c r="F817" s="771"/>
      <c r="G817" s="771"/>
      <c r="H817" s="771"/>
      <c r="I817" s="771"/>
      <c r="J817" s="771"/>
      <c r="K817" s="771"/>
      <c r="L817" s="771"/>
      <c r="M817" s="771"/>
      <c r="N817" s="771"/>
      <c r="O817" s="771"/>
      <c r="P817" s="771"/>
      <c r="Q817" s="771"/>
      <c r="R817" s="771"/>
      <c r="S817" s="771"/>
      <c r="T817" s="771"/>
      <c r="U817" s="771"/>
      <c r="V817" s="771"/>
      <c r="W817" s="771"/>
      <c r="X817" s="771"/>
      <c r="Y817" s="771"/>
      <c r="Z817" s="771"/>
    </row>
    <row r="818" ht="15.75" customHeight="1">
      <c r="A818" s="771"/>
      <c r="B818" s="771"/>
      <c r="C818" s="771"/>
      <c r="D818" s="771"/>
      <c r="E818" s="771"/>
      <c r="F818" s="771"/>
      <c r="G818" s="771"/>
      <c r="H818" s="771"/>
      <c r="I818" s="771"/>
      <c r="J818" s="771"/>
      <c r="K818" s="771"/>
      <c r="L818" s="771"/>
      <c r="M818" s="771"/>
      <c r="N818" s="771"/>
      <c r="O818" s="771"/>
      <c r="P818" s="771"/>
      <c r="Q818" s="771"/>
      <c r="R818" s="771"/>
      <c r="S818" s="771"/>
      <c r="T818" s="771"/>
      <c r="U818" s="771"/>
      <c r="V818" s="771"/>
      <c r="W818" s="771"/>
      <c r="X818" s="771"/>
      <c r="Y818" s="771"/>
      <c r="Z818" s="771"/>
    </row>
    <row r="819" ht="15.75" customHeight="1">
      <c r="A819" s="771"/>
      <c r="B819" s="771"/>
      <c r="C819" s="771"/>
      <c r="D819" s="771"/>
      <c r="E819" s="771"/>
      <c r="F819" s="771"/>
      <c r="G819" s="771"/>
      <c r="H819" s="771"/>
      <c r="I819" s="771"/>
      <c r="J819" s="771"/>
      <c r="K819" s="771"/>
      <c r="L819" s="771"/>
      <c r="M819" s="771"/>
      <c r="N819" s="771"/>
      <c r="O819" s="771"/>
      <c r="P819" s="771"/>
      <c r="Q819" s="771"/>
      <c r="R819" s="771"/>
      <c r="S819" s="771"/>
      <c r="T819" s="771"/>
      <c r="U819" s="771"/>
      <c r="V819" s="771"/>
      <c r="W819" s="771"/>
      <c r="X819" s="771"/>
      <c r="Y819" s="771"/>
      <c r="Z819" s="771"/>
    </row>
    <row r="820" ht="15.75" customHeight="1">
      <c r="A820" s="771"/>
      <c r="B820" s="771"/>
      <c r="C820" s="771"/>
      <c r="D820" s="771"/>
      <c r="E820" s="771"/>
      <c r="F820" s="771"/>
      <c r="G820" s="771"/>
      <c r="H820" s="771"/>
      <c r="I820" s="771"/>
      <c r="J820" s="771"/>
      <c r="K820" s="771"/>
      <c r="L820" s="771"/>
      <c r="M820" s="771"/>
      <c r="N820" s="771"/>
      <c r="O820" s="771"/>
      <c r="P820" s="771"/>
      <c r="Q820" s="771"/>
      <c r="R820" s="771"/>
      <c r="S820" s="771"/>
      <c r="T820" s="771"/>
      <c r="U820" s="771"/>
      <c r="V820" s="771"/>
      <c r="W820" s="771"/>
      <c r="X820" s="771"/>
      <c r="Y820" s="771"/>
      <c r="Z820" s="771"/>
    </row>
    <row r="821" ht="15.75" customHeight="1">
      <c r="A821" s="771"/>
      <c r="B821" s="771"/>
      <c r="C821" s="771"/>
      <c r="D821" s="771"/>
      <c r="E821" s="771"/>
      <c r="F821" s="771"/>
      <c r="G821" s="771"/>
      <c r="H821" s="771"/>
      <c r="I821" s="771"/>
      <c r="J821" s="771"/>
      <c r="K821" s="771"/>
      <c r="L821" s="771"/>
      <c r="M821" s="771"/>
      <c r="N821" s="771"/>
      <c r="O821" s="771"/>
      <c r="P821" s="771"/>
      <c r="Q821" s="771"/>
      <c r="R821" s="771"/>
      <c r="S821" s="771"/>
      <c r="T821" s="771"/>
      <c r="U821" s="771"/>
      <c r="V821" s="771"/>
      <c r="W821" s="771"/>
      <c r="X821" s="771"/>
      <c r="Y821" s="771"/>
      <c r="Z821" s="771"/>
    </row>
    <row r="822" ht="15.75" customHeight="1">
      <c r="A822" s="771"/>
      <c r="B822" s="771"/>
      <c r="C822" s="771"/>
      <c r="D822" s="771"/>
      <c r="E822" s="771"/>
      <c r="F822" s="771"/>
      <c r="G822" s="771"/>
      <c r="H822" s="771"/>
      <c r="I822" s="771"/>
      <c r="J822" s="771"/>
      <c r="K822" s="771"/>
      <c r="L822" s="771"/>
      <c r="M822" s="771"/>
      <c r="N822" s="771"/>
      <c r="O822" s="771"/>
      <c r="P822" s="771"/>
      <c r="Q822" s="771"/>
      <c r="R822" s="771"/>
      <c r="S822" s="771"/>
      <c r="T822" s="771"/>
      <c r="U822" s="771"/>
      <c r="V822" s="771"/>
      <c r="W822" s="771"/>
      <c r="X822" s="771"/>
      <c r="Y822" s="771"/>
      <c r="Z822" s="771"/>
    </row>
    <row r="823" ht="15.75" customHeight="1">
      <c r="A823" s="771"/>
      <c r="B823" s="771"/>
      <c r="C823" s="771"/>
      <c r="D823" s="771"/>
      <c r="E823" s="771"/>
      <c r="F823" s="771"/>
      <c r="G823" s="771"/>
      <c r="H823" s="771"/>
      <c r="I823" s="771"/>
      <c r="J823" s="771"/>
      <c r="K823" s="771"/>
      <c r="L823" s="771"/>
      <c r="M823" s="771"/>
      <c r="N823" s="771"/>
      <c r="O823" s="771"/>
      <c r="P823" s="771"/>
      <c r="Q823" s="771"/>
      <c r="R823" s="771"/>
      <c r="S823" s="771"/>
      <c r="T823" s="771"/>
      <c r="U823" s="771"/>
      <c r="V823" s="771"/>
      <c r="W823" s="771"/>
      <c r="X823" s="771"/>
      <c r="Y823" s="771"/>
      <c r="Z823" s="771"/>
    </row>
    <row r="824" ht="15.75" customHeight="1">
      <c r="A824" s="771"/>
      <c r="B824" s="771"/>
      <c r="C824" s="771"/>
      <c r="D824" s="771"/>
      <c r="E824" s="771"/>
      <c r="F824" s="771"/>
      <c r="G824" s="771"/>
      <c r="H824" s="771"/>
      <c r="I824" s="771"/>
      <c r="J824" s="771"/>
      <c r="K824" s="771"/>
      <c r="L824" s="771"/>
      <c r="M824" s="771"/>
      <c r="N824" s="771"/>
      <c r="O824" s="771"/>
      <c r="P824" s="771"/>
      <c r="Q824" s="771"/>
      <c r="R824" s="771"/>
      <c r="S824" s="771"/>
      <c r="T824" s="771"/>
      <c r="U824" s="771"/>
      <c r="V824" s="771"/>
      <c r="W824" s="771"/>
      <c r="X824" s="771"/>
      <c r="Y824" s="771"/>
      <c r="Z824" s="771"/>
    </row>
    <row r="825" ht="15.75" customHeight="1">
      <c r="A825" s="771"/>
      <c r="B825" s="771"/>
      <c r="C825" s="771"/>
      <c r="D825" s="771"/>
      <c r="E825" s="771"/>
      <c r="F825" s="771"/>
      <c r="G825" s="771"/>
      <c r="H825" s="771"/>
      <c r="I825" s="771"/>
      <c r="J825" s="771"/>
      <c r="K825" s="771"/>
      <c r="L825" s="771"/>
      <c r="M825" s="771"/>
      <c r="N825" s="771"/>
      <c r="O825" s="771"/>
      <c r="P825" s="771"/>
      <c r="Q825" s="771"/>
      <c r="R825" s="771"/>
      <c r="S825" s="771"/>
      <c r="T825" s="771"/>
      <c r="U825" s="771"/>
      <c r="V825" s="771"/>
      <c r="W825" s="771"/>
      <c r="X825" s="771"/>
      <c r="Y825" s="771"/>
      <c r="Z825" s="771"/>
    </row>
    <row r="826" ht="15.75" customHeight="1">
      <c r="A826" s="771"/>
      <c r="B826" s="771"/>
      <c r="C826" s="771"/>
      <c r="D826" s="771"/>
      <c r="E826" s="771"/>
      <c r="F826" s="771"/>
      <c r="G826" s="771"/>
      <c r="H826" s="771"/>
      <c r="I826" s="771"/>
      <c r="J826" s="771"/>
      <c r="K826" s="771"/>
      <c r="L826" s="771"/>
      <c r="M826" s="771"/>
      <c r="N826" s="771"/>
      <c r="O826" s="771"/>
      <c r="P826" s="771"/>
      <c r="Q826" s="771"/>
      <c r="R826" s="771"/>
      <c r="S826" s="771"/>
      <c r="T826" s="771"/>
      <c r="U826" s="771"/>
      <c r="V826" s="771"/>
      <c r="W826" s="771"/>
      <c r="X826" s="771"/>
      <c r="Y826" s="771"/>
      <c r="Z826" s="771"/>
    </row>
    <row r="827" ht="15.75" customHeight="1">
      <c r="A827" s="771"/>
      <c r="B827" s="771"/>
      <c r="C827" s="771"/>
      <c r="D827" s="771"/>
      <c r="E827" s="771"/>
      <c r="F827" s="771"/>
      <c r="G827" s="771"/>
      <c r="H827" s="771"/>
      <c r="I827" s="771"/>
      <c r="J827" s="771"/>
      <c r="K827" s="771"/>
      <c r="L827" s="771"/>
      <c r="M827" s="771"/>
      <c r="N827" s="771"/>
      <c r="O827" s="771"/>
      <c r="P827" s="771"/>
      <c r="Q827" s="771"/>
      <c r="R827" s="771"/>
      <c r="S827" s="771"/>
      <c r="T827" s="771"/>
      <c r="U827" s="771"/>
      <c r="V827" s="771"/>
      <c r="W827" s="771"/>
      <c r="X827" s="771"/>
      <c r="Y827" s="771"/>
      <c r="Z827" s="771"/>
    </row>
    <row r="828" ht="15.75" customHeight="1">
      <c r="A828" s="771"/>
      <c r="B828" s="771"/>
      <c r="C828" s="771"/>
      <c r="D828" s="771"/>
      <c r="E828" s="771"/>
      <c r="F828" s="771"/>
      <c r="G828" s="771"/>
      <c r="H828" s="771"/>
      <c r="I828" s="771"/>
      <c r="J828" s="771"/>
      <c r="K828" s="771"/>
      <c r="L828" s="771"/>
      <c r="M828" s="771"/>
      <c r="N828" s="771"/>
      <c r="O828" s="771"/>
      <c r="P828" s="771"/>
      <c r="Q828" s="771"/>
      <c r="R828" s="771"/>
      <c r="S828" s="771"/>
      <c r="T828" s="771"/>
      <c r="U828" s="771"/>
      <c r="V828" s="771"/>
      <c r="W828" s="771"/>
      <c r="X828" s="771"/>
      <c r="Y828" s="771"/>
      <c r="Z828" s="771"/>
    </row>
    <row r="829" ht="15.75" customHeight="1">
      <c r="A829" s="771"/>
      <c r="B829" s="771"/>
      <c r="C829" s="771"/>
      <c r="D829" s="771"/>
      <c r="E829" s="771"/>
      <c r="F829" s="771"/>
      <c r="G829" s="771"/>
      <c r="H829" s="771"/>
      <c r="I829" s="771"/>
      <c r="J829" s="771"/>
      <c r="K829" s="771"/>
      <c r="L829" s="771"/>
      <c r="M829" s="771"/>
      <c r="N829" s="771"/>
      <c r="O829" s="771"/>
      <c r="P829" s="771"/>
      <c r="Q829" s="771"/>
      <c r="R829" s="771"/>
      <c r="S829" s="771"/>
      <c r="T829" s="771"/>
      <c r="U829" s="771"/>
      <c r="V829" s="771"/>
      <c r="W829" s="771"/>
      <c r="X829" s="771"/>
      <c r="Y829" s="771"/>
      <c r="Z829" s="771"/>
    </row>
    <row r="830" ht="15.75" customHeight="1">
      <c r="A830" s="771"/>
      <c r="B830" s="771"/>
      <c r="C830" s="771"/>
      <c r="D830" s="771"/>
      <c r="E830" s="771"/>
      <c r="F830" s="771"/>
      <c r="G830" s="771"/>
      <c r="H830" s="771"/>
      <c r="I830" s="771"/>
      <c r="J830" s="771"/>
      <c r="K830" s="771"/>
      <c r="L830" s="771"/>
      <c r="M830" s="771"/>
      <c r="N830" s="771"/>
      <c r="O830" s="771"/>
      <c r="P830" s="771"/>
      <c r="Q830" s="771"/>
      <c r="R830" s="771"/>
      <c r="S830" s="771"/>
      <c r="T830" s="771"/>
      <c r="U830" s="771"/>
      <c r="V830" s="771"/>
      <c r="W830" s="771"/>
      <c r="X830" s="771"/>
      <c r="Y830" s="771"/>
      <c r="Z830" s="771"/>
    </row>
    <row r="831" ht="15.75" customHeight="1">
      <c r="A831" s="771"/>
      <c r="B831" s="771"/>
      <c r="C831" s="771"/>
      <c r="D831" s="771"/>
      <c r="E831" s="771"/>
      <c r="F831" s="771"/>
      <c r="G831" s="771"/>
      <c r="H831" s="771"/>
      <c r="I831" s="771"/>
      <c r="J831" s="771"/>
      <c r="K831" s="771"/>
      <c r="L831" s="771"/>
      <c r="M831" s="771"/>
      <c r="N831" s="771"/>
      <c r="O831" s="771"/>
      <c r="P831" s="771"/>
      <c r="Q831" s="771"/>
      <c r="R831" s="771"/>
      <c r="S831" s="771"/>
      <c r="T831" s="771"/>
      <c r="U831" s="771"/>
      <c r="V831" s="771"/>
      <c r="W831" s="771"/>
      <c r="X831" s="771"/>
      <c r="Y831" s="771"/>
      <c r="Z831" s="771"/>
    </row>
    <row r="832" ht="15.75" customHeight="1">
      <c r="A832" s="771"/>
      <c r="B832" s="771"/>
      <c r="C832" s="771"/>
      <c r="D832" s="771"/>
      <c r="E832" s="771"/>
      <c r="F832" s="771"/>
      <c r="G832" s="771"/>
      <c r="H832" s="771"/>
      <c r="I832" s="771"/>
      <c r="J832" s="771"/>
      <c r="K832" s="771"/>
      <c r="L832" s="771"/>
      <c r="M832" s="771"/>
      <c r="N832" s="771"/>
      <c r="O832" s="771"/>
      <c r="P832" s="771"/>
      <c r="Q832" s="771"/>
      <c r="R832" s="771"/>
      <c r="S832" s="771"/>
      <c r="T832" s="771"/>
      <c r="U832" s="771"/>
      <c r="V832" s="771"/>
      <c r="W832" s="771"/>
      <c r="X832" s="771"/>
      <c r="Y832" s="771"/>
      <c r="Z832" s="771"/>
    </row>
    <row r="833" ht="15.75" customHeight="1">
      <c r="A833" s="771"/>
      <c r="B833" s="771"/>
      <c r="C833" s="771"/>
      <c r="D833" s="771"/>
      <c r="E833" s="771"/>
      <c r="F833" s="771"/>
      <c r="G833" s="771"/>
      <c r="H833" s="771"/>
      <c r="I833" s="771"/>
      <c r="J833" s="771"/>
      <c r="K833" s="771"/>
      <c r="L833" s="771"/>
      <c r="M833" s="771"/>
      <c r="N833" s="771"/>
      <c r="O833" s="771"/>
      <c r="P833" s="771"/>
      <c r="Q833" s="771"/>
      <c r="R833" s="771"/>
      <c r="S833" s="771"/>
      <c r="T833" s="771"/>
      <c r="U833" s="771"/>
      <c r="V833" s="771"/>
      <c r="W833" s="771"/>
      <c r="X833" s="771"/>
      <c r="Y833" s="771"/>
      <c r="Z833" s="771"/>
    </row>
    <row r="834" ht="15.75" customHeight="1">
      <c r="A834" s="771"/>
      <c r="B834" s="771"/>
      <c r="C834" s="771"/>
      <c r="D834" s="771"/>
      <c r="E834" s="771"/>
      <c r="F834" s="771"/>
      <c r="G834" s="771"/>
      <c r="H834" s="771"/>
      <c r="I834" s="771"/>
      <c r="J834" s="771"/>
      <c r="K834" s="771"/>
      <c r="L834" s="771"/>
      <c r="M834" s="771"/>
      <c r="N834" s="771"/>
      <c r="O834" s="771"/>
      <c r="P834" s="771"/>
      <c r="Q834" s="771"/>
      <c r="R834" s="771"/>
      <c r="S834" s="771"/>
      <c r="T834" s="771"/>
      <c r="U834" s="771"/>
      <c r="V834" s="771"/>
      <c r="W834" s="771"/>
      <c r="X834" s="771"/>
      <c r="Y834" s="771"/>
      <c r="Z834" s="771"/>
    </row>
    <row r="835" ht="15.75" customHeight="1">
      <c r="A835" s="771"/>
      <c r="B835" s="771"/>
      <c r="C835" s="771"/>
      <c r="D835" s="771"/>
      <c r="E835" s="771"/>
      <c r="F835" s="771"/>
      <c r="G835" s="771"/>
      <c r="H835" s="771"/>
      <c r="I835" s="771"/>
      <c r="J835" s="771"/>
      <c r="K835" s="771"/>
      <c r="L835" s="771"/>
      <c r="M835" s="771"/>
      <c r="N835" s="771"/>
      <c r="O835" s="771"/>
      <c r="P835" s="771"/>
      <c r="Q835" s="771"/>
      <c r="R835" s="771"/>
      <c r="S835" s="771"/>
      <c r="T835" s="771"/>
      <c r="U835" s="771"/>
      <c r="V835" s="771"/>
      <c r="W835" s="771"/>
      <c r="X835" s="771"/>
      <c r="Y835" s="771"/>
      <c r="Z835" s="771"/>
    </row>
    <row r="836" ht="15.75" customHeight="1">
      <c r="A836" s="771"/>
      <c r="B836" s="771"/>
      <c r="C836" s="771"/>
      <c r="D836" s="771"/>
      <c r="E836" s="771"/>
      <c r="F836" s="771"/>
      <c r="G836" s="771"/>
      <c r="H836" s="771"/>
      <c r="I836" s="771"/>
      <c r="J836" s="771"/>
      <c r="K836" s="771"/>
      <c r="L836" s="771"/>
      <c r="M836" s="771"/>
      <c r="N836" s="771"/>
      <c r="O836" s="771"/>
      <c r="P836" s="771"/>
      <c r="Q836" s="771"/>
      <c r="R836" s="771"/>
      <c r="S836" s="771"/>
      <c r="T836" s="771"/>
      <c r="U836" s="771"/>
      <c r="V836" s="771"/>
      <c r="W836" s="771"/>
      <c r="X836" s="771"/>
      <c r="Y836" s="771"/>
      <c r="Z836" s="771"/>
    </row>
    <row r="837" ht="15.75" customHeight="1">
      <c r="A837" s="771"/>
      <c r="B837" s="771"/>
      <c r="C837" s="771"/>
      <c r="D837" s="771"/>
      <c r="E837" s="771"/>
      <c r="F837" s="771"/>
      <c r="G837" s="771"/>
      <c r="H837" s="771"/>
      <c r="I837" s="771"/>
      <c r="J837" s="771"/>
      <c r="K837" s="771"/>
      <c r="L837" s="771"/>
      <c r="M837" s="771"/>
      <c r="N837" s="771"/>
      <c r="O837" s="771"/>
      <c r="P837" s="771"/>
      <c r="Q837" s="771"/>
      <c r="R837" s="771"/>
      <c r="S837" s="771"/>
      <c r="T837" s="771"/>
      <c r="U837" s="771"/>
      <c r="V837" s="771"/>
      <c r="W837" s="771"/>
      <c r="X837" s="771"/>
      <c r="Y837" s="771"/>
      <c r="Z837" s="771"/>
    </row>
    <row r="838" ht="15.75" customHeight="1">
      <c r="A838" s="771"/>
      <c r="B838" s="771"/>
      <c r="C838" s="771"/>
      <c r="D838" s="771"/>
      <c r="E838" s="771"/>
      <c r="F838" s="771"/>
      <c r="G838" s="771"/>
      <c r="H838" s="771"/>
      <c r="I838" s="771"/>
      <c r="J838" s="771"/>
      <c r="K838" s="771"/>
      <c r="L838" s="771"/>
      <c r="M838" s="771"/>
      <c r="N838" s="771"/>
      <c r="O838" s="771"/>
      <c r="P838" s="771"/>
      <c r="Q838" s="771"/>
      <c r="R838" s="771"/>
      <c r="S838" s="771"/>
      <c r="T838" s="771"/>
      <c r="U838" s="771"/>
      <c r="V838" s="771"/>
      <c r="W838" s="771"/>
      <c r="X838" s="771"/>
      <c r="Y838" s="771"/>
      <c r="Z838" s="771"/>
    </row>
    <row r="839" ht="15.75" customHeight="1">
      <c r="A839" s="771"/>
      <c r="B839" s="771"/>
      <c r="C839" s="771"/>
      <c r="D839" s="771"/>
      <c r="E839" s="771"/>
      <c r="F839" s="771"/>
      <c r="G839" s="771"/>
      <c r="H839" s="771"/>
      <c r="I839" s="771"/>
      <c r="J839" s="771"/>
      <c r="K839" s="771"/>
      <c r="L839" s="771"/>
      <c r="M839" s="771"/>
      <c r="N839" s="771"/>
      <c r="O839" s="771"/>
      <c r="P839" s="771"/>
      <c r="Q839" s="771"/>
      <c r="R839" s="771"/>
      <c r="S839" s="771"/>
      <c r="T839" s="771"/>
      <c r="U839" s="771"/>
      <c r="V839" s="771"/>
      <c r="W839" s="771"/>
      <c r="X839" s="771"/>
      <c r="Y839" s="771"/>
      <c r="Z839" s="771"/>
    </row>
    <row r="840" ht="15.75" customHeight="1">
      <c r="A840" s="771"/>
      <c r="B840" s="771"/>
      <c r="C840" s="771"/>
      <c r="D840" s="771"/>
      <c r="E840" s="771"/>
      <c r="F840" s="771"/>
      <c r="G840" s="771"/>
      <c r="H840" s="771"/>
      <c r="I840" s="771"/>
      <c r="J840" s="771"/>
      <c r="K840" s="771"/>
      <c r="L840" s="771"/>
      <c r="M840" s="771"/>
      <c r="N840" s="771"/>
      <c r="O840" s="771"/>
      <c r="P840" s="771"/>
      <c r="Q840" s="771"/>
      <c r="R840" s="771"/>
      <c r="S840" s="771"/>
      <c r="T840" s="771"/>
      <c r="U840" s="771"/>
      <c r="V840" s="771"/>
      <c r="W840" s="771"/>
      <c r="X840" s="771"/>
      <c r="Y840" s="771"/>
      <c r="Z840" s="771"/>
    </row>
    <row r="841" ht="15.75" customHeight="1">
      <c r="A841" s="771"/>
      <c r="B841" s="771"/>
      <c r="C841" s="771"/>
      <c r="D841" s="771"/>
      <c r="E841" s="771"/>
      <c r="F841" s="771"/>
      <c r="G841" s="771"/>
      <c r="H841" s="771"/>
      <c r="I841" s="771"/>
      <c r="J841" s="771"/>
      <c r="K841" s="771"/>
      <c r="L841" s="771"/>
      <c r="M841" s="771"/>
      <c r="N841" s="771"/>
      <c r="O841" s="771"/>
      <c r="P841" s="771"/>
      <c r="Q841" s="771"/>
      <c r="R841" s="771"/>
      <c r="S841" s="771"/>
      <c r="T841" s="771"/>
      <c r="U841" s="771"/>
      <c r="V841" s="771"/>
      <c r="W841" s="771"/>
      <c r="X841" s="771"/>
      <c r="Y841" s="771"/>
      <c r="Z841" s="771"/>
    </row>
    <row r="842" ht="15.75" customHeight="1">
      <c r="A842" s="771"/>
      <c r="B842" s="771"/>
      <c r="C842" s="771"/>
      <c r="D842" s="771"/>
      <c r="E842" s="771"/>
      <c r="F842" s="771"/>
      <c r="G842" s="771"/>
      <c r="H842" s="771"/>
      <c r="I842" s="771"/>
      <c r="J842" s="771"/>
      <c r="K842" s="771"/>
      <c r="L842" s="771"/>
      <c r="M842" s="771"/>
      <c r="N842" s="771"/>
      <c r="O842" s="771"/>
      <c r="P842" s="771"/>
      <c r="Q842" s="771"/>
      <c r="R842" s="771"/>
      <c r="S842" s="771"/>
      <c r="T842" s="771"/>
      <c r="U842" s="771"/>
      <c r="V842" s="771"/>
      <c r="W842" s="771"/>
      <c r="X842" s="771"/>
      <c r="Y842" s="771"/>
      <c r="Z842" s="771"/>
    </row>
    <row r="843" ht="15.75" customHeight="1">
      <c r="A843" s="771"/>
      <c r="B843" s="771"/>
      <c r="C843" s="771"/>
      <c r="D843" s="771"/>
      <c r="E843" s="771"/>
      <c r="F843" s="771"/>
      <c r="G843" s="771"/>
      <c r="H843" s="771"/>
      <c r="I843" s="771"/>
      <c r="J843" s="771"/>
      <c r="K843" s="771"/>
      <c r="L843" s="771"/>
      <c r="M843" s="771"/>
      <c r="N843" s="771"/>
      <c r="O843" s="771"/>
      <c r="P843" s="771"/>
      <c r="Q843" s="771"/>
      <c r="R843" s="771"/>
      <c r="S843" s="771"/>
      <c r="T843" s="771"/>
      <c r="U843" s="771"/>
      <c r="V843" s="771"/>
      <c r="W843" s="771"/>
      <c r="X843" s="771"/>
      <c r="Y843" s="771"/>
      <c r="Z843" s="771"/>
    </row>
    <row r="844" ht="15.75" customHeight="1">
      <c r="A844" s="771"/>
      <c r="B844" s="771"/>
      <c r="C844" s="771"/>
      <c r="D844" s="771"/>
      <c r="E844" s="771"/>
      <c r="F844" s="771"/>
      <c r="G844" s="771"/>
      <c r="H844" s="771"/>
      <c r="I844" s="771"/>
      <c r="J844" s="771"/>
      <c r="K844" s="771"/>
      <c r="L844" s="771"/>
      <c r="M844" s="771"/>
      <c r="N844" s="771"/>
      <c r="O844" s="771"/>
      <c r="P844" s="771"/>
      <c r="Q844" s="771"/>
      <c r="R844" s="771"/>
      <c r="S844" s="771"/>
      <c r="T844" s="771"/>
      <c r="U844" s="771"/>
      <c r="V844" s="771"/>
      <c r="W844" s="771"/>
      <c r="X844" s="771"/>
      <c r="Y844" s="771"/>
      <c r="Z844" s="771"/>
    </row>
    <row r="845" ht="15.75" customHeight="1">
      <c r="A845" s="771"/>
      <c r="B845" s="771"/>
      <c r="C845" s="771"/>
      <c r="D845" s="771"/>
      <c r="E845" s="771"/>
      <c r="F845" s="771"/>
      <c r="G845" s="771"/>
      <c r="H845" s="771"/>
      <c r="I845" s="771"/>
      <c r="J845" s="771"/>
      <c r="K845" s="771"/>
      <c r="L845" s="771"/>
      <c r="M845" s="771"/>
      <c r="N845" s="771"/>
      <c r="O845" s="771"/>
      <c r="P845" s="771"/>
      <c r="Q845" s="771"/>
      <c r="R845" s="771"/>
      <c r="S845" s="771"/>
      <c r="T845" s="771"/>
      <c r="U845" s="771"/>
      <c r="V845" s="771"/>
      <c r="W845" s="771"/>
      <c r="X845" s="771"/>
      <c r="Y845" s="771"/>
      <c r="Z845" s="771"/>
    </row>
    <row r="846" ht="15.75" customHeight="1">
      <c r="A846" s="771"/>
      <c r="B846" s="771"/>
      <c r="C846" s="771"/>
      <c r="D846" s="771"/>
      <c r="E846" s="771"/>
      <c r="F846" s="771"/>
      <c r="G846" s="771"/>
      <c r="H846" s="771"/>
      <c r="I846" s="771"/>
      <c r="J846" s="771"/>
      <c r="K846" s="771"/>
      <c r="L846" s="771"/>
      <c r="M846" s="771"/>
      <c r="N846" s="771"/>
      <c r="O846" s="771"/>
      <c r="P846" s="771"/>
      <c r="Q846" s="771"/>
      <c r="R846" s="771"/>
      <c r="S846" s="771"/>
      <c r="T846" s="771"/>
      <c r="U846" s="771"/>
      <c r="V846" s="771"/>
      <c r="W846" s="771"/>
      <c r="X846" s="771"/>
      <c r="Y846" s="771"/>
      <c r="Z846" s="771"/>
    </row>
    <row r="847" ht="15.75" customHeight="1">
      <c r="A847" s="771"/>
      <c r="B847" s="771"/>
      <c r="C847" s="771"/>
      <c r="D847" s="771"/>
      <c r="E847" s="771"/>
      <c r="F847" s="771"/>
      <c r="G847" s="771"/>
      <c r="H847" s="771"/>
      <c r="I847" s="771"/>
      <c r="J847" s="771"/>
      <c r="K847" s="771"/>
      <c r="L847" s="771"/>
      <c r="M847" s="771"/>
      <c r="N847" s="771"/>
      <c r="O847" s="771"/>
      <c r="P847" s="771"/>
      <c r="Q847" s="771"/>
      <c r="R847" s="771"/>
      <c r="S847" s="771"/>
      <c r="T847" s="771"/>
      <c r="U847" s="771"/>
      <c r="V847" s="771"/>
      <c r="W847" s="771"/>
      <c r="X847" s="771"/>
      <c r="Y847" s="771"/>
      <c r="Z847" s="771"/>
    </row>
    <row r="848" ht="15.75" customHeight="1">
      <c r="A848" s="771"/>
      <c r="B848" s="771"/>
      <c r="C848" s="771"/>
      <c r="D848" s="771"/>
      <c r="E848" s="771"/>
      <c r="F848" s="771"/>
      <c r="G848" s="771"/>
      <c r="H848" s="771"/>
      <c r="I848" s="771"/>
      <c r="J848" s="771"/>
      <c r="K848" s="771"/>
      <c r="L848" s="771"/>
      <c r="M848" s="771"/>
      <c r="N848" s="771"/>
      <c r="O848" s="771"/>
      <c r="P848" s="771"/>
      <c r="Q848" s="771"/>
      <c r="R848" s="771"/>
      <c r="S848" s="771"/>
      <c r="T848" s="771"/>
      <c r="U848" s="771"/>
      <c r="V848" s="771"/>
      <c r="W848" s="771"/>
      <c r="X848" s="771"/>
      <c r="Y848" s="771"/>
      <c r="Z848" s="771"/>
    </row>
    <row r="849" ht="15.75" customHeight="1">
      <c r="A849" s="771"/>
      <c r="B849" s="771"/>
      <c r="C849" s="771"/>
      <c r="D849" s="771"/>
      <c r="E849" s="771"/>
      <c r="F849" s="771"/>
      <c r="G849" s="771"/>
      <c r="H849" s="771"/>
      <c r="I849" s="771"/>
      <c r="J849" s="771"/>
      <c r="K849" s="771"/>
      <c r="L849" s="771"/>
      <c r="M849" s="771"/>
      <c r="N849" s="771"/>
      <c r="O849" s="771"/>
      <c r="P849" s="771"/>
      <c r="Q849" s="771"/>
      <c r="R849" s="771"/>
      <c r="S849" s="771"/>
      <c r="T849" s="771"/>
      <c r="U849" s="771"/>
      <c r="V849" s="771"/>
      <c r="W849" s="771"/>
      <c r="X849" s="771"/>
      <c r="Y849" s="771"/>
      <c r="Z849" s="771"/>
    </row>
    <row r="850" ht="15.75" customHeight="1">
      <c r="A850" s="771"/>
      <c r="B850" s="771"/>
      <c r="C850" s="771"/>
      <c r="D850" s="771"/>
      <c r="E850" s="771"/>
      <c r="F850" s="771"/>
      <c r="G850" s="771"/>
      <c r="H850" s="771"/>
      <c r="I850" s="771"/>
      <c r="J850" s="771"/>
      <c r="K850" s="771"/>
      <c r="L850" s="771"/>
      <c r="M850" s="771"/>
      <c r="N850" s="771"/>
      <c r="O850" s="771"/>
      <c r="P850" s="771"/>
      <c r="Q850" s="771"/>
      <c r="R850" s="771"/>
      <c r="S850" s="771"/>
      <c r="T850" s="771"/>
      <c r="U850" s="771"/>
      <c r="V850" s="771"/>
      <c r="W850" s="771"/>
      <c r="X850" s="771"/>
      <c r="Y850" s="771"/>
      <c r="Z850" s="771"/>
    </row>
    <row r="851" ht="15.75" customHeight="1">
      <c r="A851" s="771"/>
      <c r="B851" s="771"/>
      <c r="C851" s="771"/>
      <c r="D851" s="771"/>
      <c r="E851" s="771"/>
      <c r="F851" s="771"/>
      <c r="G851" s="771"/>
      <c r="H851" s="771"/>
      <c r="I851" s="771"/>
      <c r="J851" s="771"/>
      <c r="K851" s="771"/>
      <c r="L851" s="771"/>
      <c r="M851" s="771"/>
      <c r="N851" s="771"/>
      <c r="O851" s="771"/>
      <c r="P851" s="771"/>
      <c r="Q851" s="771"/>
      <c r="R851" s="771"/>
      <c r="S851" s="771"/>
      <c r="T851" s="771"/>
      <c r="U851" s="771"/>
      <c r="V851" s="771"/>
      <c r="W851" s="771"/>
      <c r="X851" s="771"/>
      <c r="Y851" s="771"/>
      <c r="Z851" s="771"/>
    </row>
    <row r="852" ht="15.75" customHeight="1">
      <c r="A852" s="771"/>
      <c r="B852" s="771"/>
      <c r="C852" s="771"/>
      <c r="D852" s="771"/>
      <c r="E852" s="771"/>
      <c r="F852" s="771"/>
      <c r="G852" s="771"/>
      <c r="H852" s="771"/>
      <c r="I852" s="771"/>
      <c r="J852" s="771"/>
      <c r="K852" s="771"/>
      <c r="L852" s="771"/>
      <c r="M852" s="771"/>
      <c r="N852" s="771"/>
      <c r="O852" s="771"/>
      <c r="P852" s="771"/>
      <c r="Q852" s="771"/>
      <c r="R852" s="771"/>
      <c r="S852" s="771"/>
      <c r="T852" s="771"/>
      <c r="U852" s="771"/>
      <c r="V852" s="771"/>
      <c r="W852" s="771"/>
      <c r="X852" s="771"/>
      <c r="Y852" s="771"/>
      <c r="Z852" s="771"/>
    </row>
    <row r="853" ht="15.75" customHeight="1">
      <c r="A853" s="771"/>
      <c r="B853" s="771"/>
      <c r="C853" s="771"/>
      <c r="D853" s="771"/>
      <c r="E853" s="771"/>
      <c r="F853" s="771"/>
      <c r="G853" s="771"/>
      <c r="H853" s="771"/>
      <c r="I853" s="771"/>
      <c r="J853" s="771"/>
      <c r="K853" s="771"/>
      <c r="L853" s="771"/>
      <c r="M853" s="771"/>
      <c r="N853" s="771"/>
      <c r="O853" s="771"/>
      <c r="P853" s="771"/>
      <c r="Q853" s="771"/>
      <c r="R853" s="771"/>
      <c r="S853" s="771"/>
      <c r="T853" s="771"/>
      <c r="U853" s="771"/>
      <c r="V853" s="771"/>
      <c r="W853" s="771"/>
      <c r="X853" s="771"/>
      <c r="Y853" s="771"/>
      <c r="Z853" s="771"/>
    </row>
    <row r="854" ht="15.75" customHeight="1">
      <c r="A854" s="771"/>
      <c r="B854" s="771"/>
      <c r="C854" s="771"/>
      <c r="D854" s="771"/>
      <c r="E854" s="771"/>
      <c r="F854" s="771"/>
      <c r="G854" s="771"/>
      <c r="H854" s="771"/>
      <c r="I854" s="771"/>
      <c r="J854" s="771"/>
      <c r="K854" s="771"/>
      <c r="L854" s="771"/>
      <c r="M854" s="771"/>
      <c r="N854" s="771"/>
      <c r="O854" s="771"/>
      <c r="P854" s="771"/>
      <c r="Q854" s="771"/>
      <c r="R854" s="771"/>
      <c r="S854" s="771"/>
      <c r="T854" s="771"/>
      <c r="U854" s="771"/>
      <c r="V854" s="771"/>
      <c r="W854" s="771"/>
      <c r="X854" s="771"/>
      <c r="Y854" s="771"/>
      <c r="Z854" s="771"/>
    </row>
    <row r="855" ht="15.75" customHeight="1">
      <c r="A855" s="771"/>
      <c r="B855" s="771"/>
      <c r="C855" s="771"/>
      <c r="D855" s="771"/>
      <c r="E855" s="771"/>
      <c r="F855" s="771"/>
      <c r="G855" s="771"/>
      <c r="H855" s="771"/>
      <c r="I855" s="771"/>
      <c r="J855" s="771"/>
      <c r="K855" s="771"/>
      <c r="L855" s="771"/>
      <c r="M855" s="771"/>
      <c r="N855" s="771"/>
      <c r="O855" s="771"/>
      <c r="P855" s="771"/>
      <c r="Q855" s="771"/>
      <c r="R855" s="771"/>
      <c r="S855" s="771"/>
      <c r="T855" s="771"/>
      <c r="U855" s="771"/>
      <c r="V855" s="771"/>
      <c r="W855" s="771"/>
      <c r="X855" s="771"/>
      <c r="Y855" s="771"/>
      <c r="Z855" s="771"/>
    </row>
    <row r="856" ht="15.75" customHeight="1">
      <c r="A856" s="771"/>
      <c r="B856" s="771"/>
      <c r="C856" s="771"/>
      <c r="D856" s="771"/>
      <c r="E856" s="771"/>
      <c r="F856" s="771"/>
      <c r="G856" s="771"/>
      <c r="H856" s="771"/>
      <c r="I856" s="771"/>
      <c r="J856" s="771"/>
      <c r="K856" s="771"/>
      <c r="L856" s="771"/>
      <c r="M856" s="771"/>
      <c r="N856" s="771"/>
      <c r="O856" s="771"/>
      <c r="P856" s="771"/>
      <c r="Q856" s="771"/>
      <c r="R856" s="771"/>
      <c r="S856" s="771"/>
      <c r="T856" s="771"/>
      <c r="U856" s="771"/>
      <c r="V856" s="771"/>
      <c r="W856" s="771"/>
      <c r="X856" s="771"/>
      <c r="Y856" s="771"/>
      <c r="Z856" s="771"/>
    </row>
    <row r="857" ht="15.75" customHeight="1">
      <c r="A857" s="771"/>
      <c r="B857" s="771"/>
      <c r="C857" s="771"/>
      <c r="D857" s="771"/>
      <c r="E857" s="771"/>
      <c r="F857" s="771"/>
      <c r="G857" s="771"/>
      <c r="H857" s="771"/>
      <c r="I857" s="771"/>
      <c r="J857" s="771"/>
      <c r="K857" s="771"/>
      <c r="L857" s="771"/>
      <c r="M857" s="771"/>
      <c r="N857" s="771"/>
      <c r="O857" s="771"/>
      <c r="P857" s="771"/>
      <c r="Q857" s="771"/>
      <c r="R857" s="771"/>
      <c r="S857" s="771"/>
      <c r="T857" s="771"/>
      <c r="U857" s="771"/>
      <c r="V857" s="771"/>
      <c r="W857" s="771"/>
      <c r="X857" s="771"/>
      <c r="Y857" s="771"/>
      <c r="Z857" s="771"/>
    </row>
    <row r="858" ht="15.75" customHeight="1">
      <c r="A858" s="771"/>
      <c r="B858" s="771"/>
      <c r="C858" s="771"/>
      <c r="D858" s="771"/>
      <c r="E858" s="771"/>
      <c r="F858" s="771"/>
      <c r="G858" s="771"/>
      <c r="H858" s="771"/>
      <c r="I858" s="771"/>
      <c r="J858" s="771"/>
      <c r="K858" s="771"/>
      <c r="L858" s="771"/>
      <c r="M858" s="771"/>
      <c r="N858" s="771"/>
      <c r="O858" s="771"/>
      <c r="P858" s="771"/>
      <c r="Q858" s="771"/>
      <c r="R858" s="771"/>
      <c r="S858" s="771"/>
      <c r="T858" s="771"/>
      <c r="U858" s="771"/>
      <c r="V858" s="771"/>
      <c r="W858" s="771"/>
      <c r="X858" s="771"/>
      <c r="Y858" s="771"/>
      <c r="Z858" s="771"/>
    </row>
    <row r="859" ht="15.75" customHeight="1">
      <c r="A859" s="771"/>
      <c r="B859" s="771"/>
      <c r="C859" s="771"/>
      <c r="D859" s="771"/>
      <c r="E859" s="771"/>
      <c r="F859" s="771"/>
      <c r="G859" s="771"/>
      <c r="H859" s="771"/>
      <c r="I859" s="771"/>
      <c r="J859" s="771"/>
      <c r="K859" s="771"/>
      <c r="L859" s="771"/>
      <c r="M859" s="771"/>
      <c r="N859" s="771"/>
      <c r="O859" s="771"/>
      <c r="P859" s="771"/>
      <c r="Q859" s="771"/>
      <c r="R859" s="771"/>
      <c r="S859" s="771"/>
      <c r="T859" s="771"/>
      <c r="U859" s="771"/>
      <c r="V859" s="771"/>
      <c r="W859" s="771"/>
      <c r="X859" s="771"/>
      <c r="Y859" s="771"/>
      <c r="Z859" s="771"/>
    </row>
    <row r="860" ht="15.75" customHeight="1">
      <c r="A860" s="771"/>
      <c r="B860" s="771"/>
      <c r="C860" s="771"/>
      <c r="D860" s="771"/>
      <c r="E860" s="771"/>
      <c r="F860" s="771"/>
      <c r="G860" s="771"/>
      <c r="H860" s="771"/>
      <c r="I860" s="771"/>
      <c r="J860" s="771"/>
      <c r="K860" s="771"/>
      <c r="L860" s="771"/>
      <c r="M860" s="771"/>
      <c r="N860" s="771"/>
      <c r="O860" s="771"/>
      <c r="P860" s="771"/>
      <c r="Q860" s="771"/>
      <c r="R860" s="771"/>
      <c r="S860" s="771"/>
      <c r="T860" s="771"/>
      <c r="U860" s="771"/>
      <c r="V860" s="771"/>
      <c r="W860" s="771"/>
      <c r="X860" s="771"/>
      <c r="Y860" s="771"/>
      <c r="Z860" s="771"/>
    </row>
    <row r="861" ht="15.75" customHeight="1">
      <c r="A861" s="771"/>
      <c r="B861" s="771"/>
      <c r="C861" s="771"/>
      <c r="D861" s="771"/>
      <c r="E861" s="771"/>
      <c r="F861" s="771"/>
      <c r="G861" s="771"/>
      <c r="H861" s="771"/>
      <c r="I861" s="771"/>
      <c r="J861" s="771"/>
      <c r="K861" s="771"/>
      <c r="L861" s="771"/>
      <c r="M861" s="771"/>
      <c r="N861" s="771"/>
      <c r="O861" s="771"/>
      <c r="P861" s="771"/>
      <c r="Q861" s="771"/>
      <c r="R861" s="771"/>
      <c r="S861" s="771"/>
      <c r="T861" s="771"/>
      <c r="U861" s="771"/>
      <c r="V861" s="771"/>
      <c r="W861" s="771"/>
      <c r="X861" s="771"/>
      <c r="Y861" s="771"/>
      <c r="Z861" s="771"/>
    </row>
    <row r="862" ht="15.75" customHeight="1">
      <c r="A862" s="771"/>
      <c r="B862" s="771"/>
      <c r="C862" s="771"/>
      <c r="D862" s="771"/>
      <c r="E862" s="771"/>
      <c r="F862" s="771"/>
      <c r="G862" s="771"/>
      <c r="H862" s="771"/>
      <c r="I862" s="771"/>
      <c r="J862" s="771"/>
      <c r="K862" s="771"/>
      <c r="L862" s="771"/>
      <c r="M862" s="771"/>
      <c r="N862" s="771"/>
      <c r="O862" s="771"/>
      <c r="P862" s="771"/>
      <c r="Q862" s="771"/>
      <c r="R862" s="771"/>
      <c r="S862" s="771"/>
      <c r="T862" s="771"/>
      <c r="U862" s="771"/>
      <c r="V862" s="771"/>
      <c r="W862" s="771"/>
      <c r="X862" s="771"/>
      <c r="Y862" s="771"/>
      <c r="Z862" s="771"/>
    </row>
    <row r="863" ht="15.75" customHeight="1">
      <c r="A863" s="771"/>
      <c r="B863" s="771"/>
      <c r="C863" s="771"/>
      <c r="D863" s="771"/>
      <c r="E863" s="771"/>
      <c r="F863" s="771"/>
      <c r="G863" s="771"/>
      <c r="H863" s="771"/>
      <c r="I863" s="771"/>
      <c r="J863" s="771"/>
      <c r="K863" s="771"/>
      <c r="L863" s="771"/>
      <c r="M863" s="771"/>
      <c r="N863" s="771"/>
      <c r="O863" s="771"/>
      <c r="P863" s="771"/>
      <c r="Q863" s="771"/>
      <c r="R863" s="771"/>
      <c r="S863" s="771"/>
      <c r="T863" s="771"/>
      <c r="U863" s="771"/>
      <c r="V863" s="771"/>
      <c r="W863" s="771"/>
      <c r="X863" s="771"/>
      <c r="Y863" s="771"/>
      <c r="Z863" s="771"/>
    </row>
    <row r="864" ht="15.75" customHeight="1">
      <c r="A864" s="771"/>
      <c r="B864" s="771"/>
      <c r="C864" s="771"/>
      <c r="D864" s="771"/>
      <c r="E864" s="771"/>
      <c r="F864" s="771"/>
      <c r="G864" s="771"/>
      <c r="H864" s="771"/>
      <c r="I864" s="771"/>
      <c r="J864" s="771"/>
      <c r="K864" s="771"/>
      <c r="L864" s="771"/>
      <c r="M864" s="771"/>
      <c r="N864" s="771"/>
      <c r="O864" s="771"/>
      <c r="P864" s="771"/>
      <c r="Q864" s="771"/>
      <c r="R864" s="771"/>
      <c r="S864" s="771"/>
      <c r="T864" s="771"/>
      <c r="U864" s="771"/>
      <c r="V864" s="771"/>
      <c r="W864" s="771"/>
      <c r="X864" s="771"/>
      <c r="Y864" s="771"/>
      <c r="Z864" s="771"/>
    </row>
    <row r="865" ht="15.75" customHeight="1">
      <c r="A865" s="771"/>
      <c r="B865" s="771"/>
      <c r="C865" s="771"/>
      <c r="D865" s="771"/>
      <c r="E865" s="771"/>
      <c r="F865" s="771"/>
      <c r="G865" s="771"/>
      <c r="H865" s="771"/>
      <c r="I865" s="771"/>
      <c r="J865" s="771"/>
      <c r="K865" s="771"/>
      <c r="L865" s="771"/>
      <c r="M865" s="771"/>
      <c r="N865" s="771"/>
      <c r="O865" s="771"/>
      <c r="P865" s="771"/>
      <c r="Q865" s="771"/>
      <c r="R865" s="771"/>
      <c r="S865" s="771"/>
      <c r="T865" s="771"/>
      <c r="U865" s="771"/>
      <c r="V865" s="771"/>
      <c r="W865" s="771"/>
      <c r="X865" s="771"/>
      <c r="Y865" s="771"/>
      <c r="Z865" s="771"/>
    </row>
    <row r="866" ht="15.75" customHeight="1">
      <c r="A866" s="771"/>
      <c r="B866" s="771"/>
      <c r="C866" s="771"/>
      <c r="D866" s="771"/>
      <c r="E866" s="771"/>
      <c r="F866" s="771"/>
      <c r="G866" s="771"/>
      <c r="H866" s="771"/>
      <c r="I866" s="771"/>
      <c r="J866" s="771"/>
      <c r="K866" s="771"/>
      <c r="L866" s="771"/>
      <c r="M866" s="771"/>
      <c r="N866" s="771"/>
      <c r="O866" s="771"/>
      <c r="P866" s="771"/>
      <c r="Q866" s="771"/>
      <c r="R866" s="771"/>
      <c r="S866" s="771"/>
      <c r="T866" s="771"/>
      <c r="U866" s="771"/>
      <c r="V866" s="771"/>
      <c r="W866" s="771"/>
      <c r="X866" s="771"/>
      <c r="Y866" s="771"/>
      <c r="Z866" s="771"/>
    </row>
    <row r="867" ht="15.75" customHeight="1">
      <c r="A867" s="771"/>
      <c r="B867" s="771"/>
      <c r="C867" s="771"/>
      <c r="D867" s="771"/>
      <c r="E867" s="771"/>
      <c r="F867" s="771"/>
      <c r="G867" s="771"/>
      <c r="H867" s="771"/>
      <c r="I867" s="771"/>
      <c r="J867" s="771"/>
      <c r="K867" s="771"/>
      <c r="L867" s="771"/>
      <c r="M867" s="771"/>
      <c r="N867" s="771"/>
      <c r="O867" s="771"/>
      <c r="P867" s="771"/>
      <c r="Q867" s="771"/>
      <c r="R867" s="771"/>
      <c r="S867" s="771"/>
      <c r="T867" s="771"/>
      <c r="U867" s="771"/>
      <c r="V867" s="771"/>
      <c r="W867" s="771"/>
      <c r="X867" s="771"/>
      <c r="Y867" s="771"/>
      <c r="Z867" s="771"/>
    </row>
    <row r="868" ht="15.75" customHeight="1">
      <c r="A868" s="771"/>
      <c r="B868" s="771"/>
      <c r="C868" s="771"/>
      <c r="D868" s="771"/>
      <c r="E868" s="771"/>
      <c r="F868" s="771"/>
      <c r="G868" s="771"/>
      <c r="H868" s="771"/>
      <c r="I868" s="771"/>
      <c r="J868" s="771"/>
      <c r="K868" s="771"/>
      <c r="L868" s="771"/>
      <c r="M868" s="771"/>
      <c r="N868" s="771"/>
      <c r="O868" s="771"/>
      <c r="P868" s="771"/>
      <c r="Q868" s="771"/>
      <c r="R868" s="771"/>
      <c r="S868" s="771"/>
      <c r="T868" s="771"/>
      <c r="U868" s="771"/>
      <c r="V868" s="771"/>
      <c r="W868" s="771"/>
      <c r="X868" s="771"/>
      <c r="Y868" s="771"/>
      <c r="Z868" s="771"/>
    </row>
    <row r="869" ht="15.75" customHeight="1">
      <c r="A869" s="771"/>
      <c r="B869" s="771"/>
      <c r="C869" s="771"/>
      <c r="D869" s="771"/>
      <c r="E869" s="771"/>
      <c r="F869" s="771"/>
      <c r="G869" s="771"/>
      <c r="H869" s="771"/>
      <c r="I869" s="771"/>
      <c r="J869" s="771"/>
      <c r="K869" s="771"/>
      <c r="L869" s="771"/>
      <c r="M869" s="771"/>
      <c r="N869" s="771"/>
      <c r="O869" s="771"/>
      <c r="P869" s="771"/>
      <c r="Q869" s="771"/>
      <c r="R869" s="771"/>
      <c r="S869" s="771"/>
      <c r="T869" s="771"/>
      <c r="U869" s="771"/>
      <c r="V869" s="771"/>
      <c r="W869" s="771"/>
      <c r="X869" s="771"/>
      <c r="Y869" s="771"/>
      <c r="Z869" s="771"/>
    </row>
    <row r="870" ht="15.75" customHeight="1">
      <c r="A870" s="771"/>
      <c r="B870" s="771"/>
      <c r="C870" s="771"/>
      <c r="D870" s="771"/>
      <c r="E870" s="771"/>
      <c r="F870" s="771"/>
      <c r="G870" s="771"/>
      <c r="H870" s="771"/>
      <c r="I870" s="771"/>
      <c r="J870" s="771"/>
      <c r="K870" s="771"/>
      <c r="L870" s="771"/>
      <c r="M870" s="771"/>
      <c r="N870" s="771"/>
      <c r="O870" s="771"/>
      <c r="P870" s="771"/>
      <c r="Q870" s="771"/>
      <c r="R870" s="771"/>
      <c r="S870" s="771"/>
      <c r="T870" s="771"/>
      <c r="U870" s="771"/>
      <c r="V870" s="771"/>
      <c r="W870" s="771"/>
      <c r="X870" s="771"/>
      <c r="Y870" s="771"/>
      <c r="Z870" s="771"/>
    </row>
    <row r="871" ht="15.75" customHeight="1">
      <c r="A871" s="771"/>
      <c r="B871" s="771"/>
      <c r="C871" s="771"/>
      <c r="D871" s="771"/>
      <c r="E871" s="771"/>
      <c r="F871" s="771"/>
      <c r="G871" s="771"/>
      <c r="H871" s="771"/>
      <c r="I871" s="771"/>
      <c r="J871" s="771"/>
      <c r="K871" s="771"/>
      <c r="L871" s="771"/>
      <c r="M871" s="771"/>
      <c r="N871" s="771"/>
      <c r="O871" s="771"/>
      <c r="P871" s="771"/>
      <c r="Q871" s="771"/>
      <c r="R871" s="771"/>
      <c r="S871" s="771"/>
      <c r="T871" s="771"/>
      <c r="U871" s="771"/>
      <c r="V871" s="771"/>
      <c r="W871" s="771"/>
      <c r="X871" s="771"/>
      <c r="Y871" s="771"/>
      <c r="Z871" s="771"/>
    </row>
    <row r="872" ht="15.75" customHeight="1">
      <c r="A872" s="771"/>
      <c r="B872" s="771"/>
      <c r="C872" s="771"/>
      <c r="D872" s="771"/>
      <c r="E872" s="771"/>
      <c r="F872" s="771"/>
      <c r="G872" s="771"/>
      <c r="H872" s="771"/>
      <c r="I872" s="771"/>
      <c r="J872" s="771"/>
      <c r="K872" s="771"/>
      <c r="L872" s="771"/>
      <c r="M872" s="771"/>
      <c r="N872" s="771"/>
      <c r="O872" s="771"/>
      <c r="P872" s="771"/>
      <c r="Q872" s="771"/>
      <c r="R872" s="771"/>
      <c r="S872" s="771"/>
      <c r="T872" s="771"/>
      <c r="U872" s="771"/>
      <c r="V872" s="771"/>
      <c r="W872" s="771"/>
      <c r="X872" s="771"/>
      <c r="Y872" s="771"/>
      <c r="Z872" s="771"/>
    </row>
    <row r="873" ht="15.75" customHeight="1">
      <c r="A873" s="771"/>
      <c r="B873" s="771"/>
      <c r="C873" s="771"/>
      <c r="D873" s="771"/>
      <c r="E873" s="771"/>
      <c r="F873" s="771"/>
      <c r="G873" s="771"/>
      <c r="H873" s="771"/>
      <c r="I873" s="771"/>
      <c r="J873" s="771"/>
      <c r="K873" s="771"/>
      <c r="L873" s="771"/>
      <c r="M873" s="771"/>
      <c r="N873" s="771"/>
      <c r="O873" s="771"/>
      <c r="P873" s="771"/>
      <c r="Q873" s="771"/>
      <c r="R873" s="771"/>
      <c r="S873" s="771"/>
      <c r="T873" s="771"/>
      <c r="U873" s="771"/>
      <c r="V873" s="771"/>
      <c r="W873" s="771"/>
      <c r="X873" s="771"/>
      <c r="Y873" s="771"/>
      <c r="Z873" s="771"/>
    </row>
    <row r="874" ht="15.75" customHeight="1">
      <c r="A874" s="771"/>
      <c r="B874" s="771"/>
      <c r="C874" s="771"/>
      <c r="D874" s="771"/>
      <c r="E874" s="771"/>
      <c r="F874" s="771"/>
      <c r="G874" s="771"/>
      <c r="H874" s="771"/>
      <c r="I874" s="771"/>
      <c r="J874" s="771"/>
      <c r="K874" s="771"/>
      <c r="L874" s="771"/>
      <c r="M874" s="771"/>
      <c r="N874" s="771"/>
      <c r="O874" s="771"/>
      <c r="P874" s="771"/>
      <c r="Q874" s="771"/>
      <c r="R874" s="771"/>
      <c r="S874" s="771"/>
      <c r="T874" s="771"/>
      <c r="U874" s="771"/>
      <c r="V874" s="771"/>
      <c r="W874" s="771"/>
      <c r="X874" s="771"/>
      <c r="Y874" s="771"/>
      <c r="Z874" s="771"/>
    </row>
    <row r="875" ht="15.75" customHeight="1">
      <c r="A875" s="771"/>
      <c r="B875" s="771"/>
      <c r="C875" s="771"/>
      <c r="D875" s="771"/>
      <c r="E875" s="771"/>
      <c r="F875" s="771"/>
      <c r="G875" s="771"/>
      <c r="H875" s="771"/>
      <c r="I875" s="771"/>
      <c r="J875" s="771"/>
      <c r="K875" s="771"/>
      <c r="L875" s="771"/>
      <c r="M875" s="771"/>
      <c r="N875" s="771"/>
      <c r="O875" s="771"/>
      <c r="P875" s="771"/>
      <c r="Q875" s="771"/>
      <c r="R875" s="771"/>
      <c r="S875" s="771"/>
      <c r="T875" s="771"/>
      <c r="U875" s="771"/>
      <c r="V875" s="771"/>
      <c r="W875" s="771"/>
      <c r="X875" s="771"/>
      <c r="Y875" s="771"/>
      <c r="Z875" s="771"/>
    </row>
    <row r="876" ht="15.75" customHeight="1">
      <c r="A876" s="771"/>
      <c r="B876" s="771"/>
      <c r="C876" s="771"/>
      <c r="D876" s="771"/>
      <c r="E876" s="771"/>
      <c r="F876" s="771"/>
      <c r="G876" s="771"/>
      <c r="H876" s="771"/>
      <c r="I876" s="771"/>
      <c r="J876" s="771"/>
      <c r="K876" s="771"/>
      <c r="L876" s="771"/>
      <c r="M876" s="771"/>
      <c r="N876" s="771"/>
      <c r="O876" s="771"/>
      <c r="P876" s="771"/>
      <c r="Q876" s="771"/>
      <c r="R876" s="771"/>
      <c r="S876" s="771"/>
      <c r="T876" s="771"/>
      <c r="U876" s="771"/>
      <c r="V876" s="771"/>
      <c r="W876" s="771"/>
      <c r="X876" s="771"/>
      <c r="Y876" s="771"/>
      <c r="Z876" s="771"/>
    </row>
    <row r="877" ht="15.75" customHeight="1">
      <c r="A877" s="771"/>
      <c r="B877" s="771"/>
      <c r="C877" s="771"/>
      <c r="D877" s="771"/>
      <c r="E877" s="771"/>
      <c r="F877" s="771"/>
      <c r="G877" s="771"/>
      <c r="H877" s="771"/>
      <c r="I877" s="771"/>
      <c r="J877" s="771"/>
      <c r="K877" s="771"/>
      <c r="L877" s="771"/>
      <c r="M877" s="771"/>
      <c r="N877" s="771"/>
      <c r="O877" s="771"/>
      <c r="P877" s="771"/>
      <c r="Q877" s="771"/>
      <c r="R877" s="771"/>
      <c r="S877" s="771"/>
      <c r="T877" s="771"/>
      <c r="U877" s="771"/>
      <c r="V877" s="771"/>
      <c r="W877" s="771"/>
      <c r="X877" s="771"/>
      <c r="Y877" s="771"/>
      <c r="Z877" s="771"/>
    </row>
    <row r="878" ht="15.75" customHeight="1">
      <c r="A878" s="771"/>
      <c r="B878" s="771"/>
      <c r="C878" s="771"/>
      <c r="D878" s="771"/>
      <c r="E878" s="771"/>
      <c r="F878" s="771"/>
      <c r="G878" s="771"/>
      <c r="H878" s="771"/>
      <c r="I878" s="771"/>
      <c r="J878" s="771"/>
      <c r="K878" s="771"/>
      <c r="L878" s="771"/>
      <c r="M878" s="771"/>
      <c r="N878" s="771"/>
      <c r="O878" s="771"/>
      <c r="P878" s="771"/>
      <c r="Q878" s="771"/>
      <c r="R878" s="771"/>
      <c r="S878" s="771"/>
      <c r="T878" s="771"/>
      <c r="U878" s="771"/>
      <c r="V878" s="771"/>
      <c r="W878" s="771"/>
      <c r="X878" s="771"/>
      <c r="Y878" s="771"/>
      <c r="Z878" s="771"/>
    </row>
    <row r="879" ht="15.75" customHeight="1">
      <c r="A879" s="771"/>
      <c r="B879" s="771"/>
      <c r="C879" s="771"/>
      <c r="D879" s="771"/>
      <c r="E879" s="771"/>
      <c r="F879" s="771"/>
      <c r="G879" s="771"/>
      <c r="H879" s="771"/>
      <c r="I879" s="771"/>
      <c r="J879" s="771"/>
      <c r="K879" s="771"/>
      <c r="L879" s="771"/>
      <c r="M879" s="771"/>
      <c r="N879" s="771"/>
      <c r="O879" s="771"/>
      <c r="P879" s="771"/>
      <c r="Q879" s="771"/>
      <c r="R879" s="771"/>
      <c r="S879" s="771"/>
      <c r="T879" s="771"/>
      <c r="U879" s="771"/>
      <c r="V879" s="771"/>
      <c r="W879" s="771"/>
      <c r="X879" s="771"/>
      <c r="Y879" s="771"/>
      <c r="Z879" s="771"/>
    </row>
    <row r="880" ht="15.75" customHeight="1">
      <c r="A880" s="771"/>
      <c r="B880" s="771"/>
      <c r="C880" s="771"/>
      <c r="D880" s="771"/>
      <c r="E880" s="771"/>
      <c r="F880" s="771"/>
      <c r="G880" s="771"/>
      <c r="H880" s="771"/>
      <c r="I880" s="771"/>
      <c r="J880" s="771"/>
      <c r="K880" s="771"/>
      <c r="L880" s="771"/>
      <c r="M880" s="771"/>
      <c r="N880" s="771"/>
      <c r="O880" s="771"/>
      <c r="P880" s="771"/>
      <c r="Q880" s="771"/>
      <c r="R880" s="771"/>
      <c r="S880" s="771"/>
      <c r="T880" s="771"/>
      <c r="U880" s="771"/>
      <c r="V880" s="771"/>
      <c r="W880" s="771"/>
      <c r="X880" s="771"/>
      <c r="Y880" s="771"/>
      <c r="Z880" s="771"/>
    </row>
    <row r="881" ht="15.75" customHeight="1">
      <c r="A881" s="771"/>
      <c r="B881" s="771"/>
      <c r="C881" s="771"/>
      <c r="D881" s="771"/>
      <c r="E881" s="771"/>
      <c r="F881" s="771"/>
      <c r="G881" s="771"/>
      <c r="H881" s="771"/>
      <c r="I881" s="771"/>
      <c r="J881" s="771"/>
      <c r="K881" s="771"/>
      <c r="L881" s="771"/>
      <c r="M881" s="771"/>
      <c r="N881" s="771"/>
      <c r="O881" s="771"/>
      <c r="P881" s="771"/>
      <c r="Q881" s="771"/>
      <c r="R881" s="771"/>
      <c r="S881" s="771"/>
      <c r="T881" s="771"/>
      <c r="U881" s="771"/>
      <c r="V881" s="771"/>
      <c r="W881" s="771"/>
      <c r="X881" s="771"/>
      <c r="Y881" s="771"/>
      <c r="Z881" s="771"/>
    </row>
    <row r="882" ht="15.75" customHeight="1">
      <c r="A882" s="771"/>
      <c r="B882" s="771"/>
      <c r="C882" s="771"/>
      <c r="D882" s="771"/>
      <c r="E882" s="771"/>
      <c r="F882" s="771"/>
      <c r="G882" s="771"/>
      <c r="H882" s="771"/>
      <c r="I882" s="771"/>
      <c r="J882" s="771"/>
      <c r="K882" s="771"/>
      <c r="L882" s="771"/>
      <c r="M882" s="771"/>
      <c r="N882" s="771"/>
      <c r="O882" s="771"/>
      <c r="P882" s="771"/>
      <c r="Q882" s="771"/>
      <c r="R882" s="771"/>
      <c r="S882" s="771"/>
      <c r="T882" s="771"/>
      <c r="U882" s="771"/>
      <c r="V882" s="771"/>
      <c r="W882" s="771"/>
      <c r="X882" s="771"/>
      <c r="Y882" s="771"/>
      <c r="Z882" s="771"/>
    </row>
    <row r="883" ht="15.75" customHeight="1">
      <c r="A883" s="771"/>
      <c r="B883" s="771"/>
      <c r="C883" s="771"/>
      <c r="D883" s="771"/>
      <c r="E883" s="771"/>
      <c r="F883" s="771"/>
      <c r="G883" s="771"/>
      <c r="H883" s="771"/>
      <c r="I883" s="771"/>
      <c r="J883" s="771"/>
      <c r="K883" s="771"/>
      <c r="L883" s="771"/>
      <c r="M883" s="771"/>
      <c r="N883" s="771"/>
      <c r="O883" s="771"/>
      <c r="P883" s="771"/>
      <c r="Q883" s="771"/>
      <c r="R883" s="771"/>
      <c r="S883" s="771"/>
      <c r="T883" s="771"/>
      <c r="U883" s="771"/>
      <c r="V883" s="771"/>
      <c r="W883" s="771"/>
      <c r="X883" s="771"/>
      <c r="Y883" s="771"/>
      <c r="Z883" s="771"/>
    </row>
    <row r="884" ht="15.75" customHeight="1">
      <c r="A884" s="771"/>
      <c r="B884" s="771"/>
      <c r="C884" s="771"/>
      <c r="D884" s="771"/>
      <c r="E884" s="771"/>
      <c r="F884" s="771"/>
      <c r="G884" s="771"/>
      <c r="H884" s="771"/>
      <c r="I884" s="771"/>
      <c r="J884" s="771"/>
      <c r="K884" s="771"/>
      <c r="L884" s="771"/>
      <c r="M884" s="771"/>
      <c r="N884" s="771"/>
      <c r="O884" s="771"/>
      <c r="P884" s="771"/>
      <c r="Q884" s="771"/>
      <c r="R884" s="771"/>
      <c r="S884" s="771"/>
      <c r="T884" s="771"/>
      <c r="U884" s="771"/>
      <c r="V884" s="771"/>
      <c r="W884" s="771"/>
      <c r="X884" s="771"/>
      <c r="Y884" s="771"/>
      <c r="Z884" s="771"/>
    </row>
    <row r="885" ht="15.75" customHeight="1">
      <c r="A885" s="771"/>
      <c r="B885" s="771"/>
      <c r="C885" s="771"/>
      <c r="D885" s="771"/>
      <c r="E885" s="771"/>
      <c r="F885" s="771"/>
      <c r="G885" s="771"/>
      <c r="H885" s="771"/>
      <c r="I885" s="771"/>
      <c r="J885" s="771"/>
      <c r="K885" s="771"/>
      <c r="L885" s="771"/>
      <c r="M885" s="771"/>
      <c r="N885" s="771"/>
      <c r="O885" s="771"/>
      <c r="P885" s="771"/>
      <c r="Q885" s="771"/>
      <c r="R885" s="771"/>
      <c r="S885" s="771"/>
      <c r="T885" s="771"/>
      <c r="U885" s="771"/>
      <c r="V885" s="771"/>
      <c r="W885" s="771"/>
      <c r="X885" s="771"/>
      <c r="Y885" s="771"/>
      <c r="Z885" s="771"/>
    </row>
    <row r="886" ht="15.75" customHeight="1">
      <c r="A886" s="771"/>
      <c r="B886" s="771"/>
      <c r="C886" s="771"/>
      <c r="D886" s="771"/>
      <c r="E886" s="771"/>
      <c r="F886" s="771"/>
      <c r="G886" s="771"/>
      <c r="H886" s="771"/>
      <c r="I886" s="771"/>
      <c r="J886" s="771"/>
      <c r="K886" s="771"/>
      <c r="L886" s="771"/>
      <c r="M886" s="771"/>
      <c r="N886" s="771"/>
      <c r="O886" s="771"/>
      <c r="P886" s="771"/>
      <c r="Q886" s="771"/>
      <c r="R886" s="771"/>
      <c r="S886" s="771"/>
      <c r="T886" s="771"/>
      <c r="U886" s="771"/>
      <c r="V886" s="771"/>
      <c r="W886" s="771"/>
      <c r="X886" s="771"/>
      <c r="Y886" s="771"/>
      <c r="Z886" s="771"/>
    </row>
    <row r="887" ht="15.75" customHeight="1">
      <c r="A887" s="771"/>
      <c r="B887" s="771"/>
      <c r="C887" s="771"/>
      <c r="D887" s="771"/>
      <c r="E887" s="771"/>
      <c r="F887" s="771"/>
      <c r="G887" s="771"/>
      <c r="H887" s="771"/>
      <c r="I887" s="771"/>
      <c r="J887" s="771"/>
      <c r="K887" s="771"/>
      <c r="L887" s="771"/>
      <c r="M887" s="771"/>
      <c r="N887" s="771"/>
      <c r="O887" s="771"/>
      <c r="P887" s="771"/>
      <c r="Q887" s="771"/>
      <c r="R887" s="771"/>
      <c r="S887" s="771"/>
      <c r="T887" s="771"/>
      <c r="U887" s="771"/>
      <c r="V887" s="771"/>
      <c r="W887" s="771"/>
      <c r="X887" s="771"/>
      <c r="Y887" s="771"/>
      <c r="Z887" s="771"/>
    </row>
    <row r="888" ht="15.75" customHeight="1">
      <c r="A888" s="771"/>
      <c r="B888" s="771"/>
      <c r="C888" s="771"/>
      <c r="D888" s="771"/>
      <c r="E888" s="771"/>
      <c r="F888" s="771"/>
      <c r="G888" s="771"/>
      <c r="H888" s="771"/>
      <c r="I888" s="771"/>
      <c r="J888" s="771"/>
      <c r="K888" s="771"/>
      <c r="L888" s="771"/>
      <c r="M888" s="771"/>
      <c r="N888" s="771"/>
      <c r="O888" s="771"/>
      <c r="P888" s="771"/>
      <c r="Q888" s="771"/>
      <c r="R888" s="771"/>
      <c r="S888" s="771"/>
      <c r="T888" s="771"/>
      <c r="U888" s="771"/>
      <c r="V888" s="771"/>
      <c r="W888" s="771"/>
      <c r="X888" s="771"/>
      <c r="Y888" s="771"/>
      <c r="Z888" s="771"/>
    </row>
    <row r="889" ht="15.75" customHeight="1">
      <c r="A889" s="771"/>
      <c r="B889" s="771"/>
      <c r="C889" s="771"/>
      <c r="D889" s="771"/>
      <c r="E889" s="771"/>
      <c r="F889" s="771"/>
      <c r="G889" s="771"/>
      <c r="H889" s="771"/>
      <c r="I889" s="771"/>
      <c r="J889" s="771"/>
      <c r="K889" s="771"/>
      <c r="L889" s="771"/>
      <c r="M889" s="771"/>
      <c r="N889" s="771"/>
      <c r="O889" s="771"/>
      <c r="P889" s="771"/>
      <c r="Q889" s="771"/>
      <c r="R889" s="771"/>
      <c r="S889" s="771"/>
      <c r="T889" s="771"/>
      <c r="U889" s="771"/>
      <c r="V889" s="771"/>
      <c r="W889" s="771"/>
      <c r="X889" s="771"/>
      <c r="Y889" s="771"/>
      <c r="Z889" s="771"/>
    </row>
    <row r="890" ht="15.75" customHeight="1">
      <c r="A890" s="771"/>
      <c r="B890" s="771"/>
      <c r="C890" s="771"/>
      <c r="D890" s="771"/>
      <c r="E890" s="771"/>
      <c r="F890" s="771"/>
      <c r="G890" s="771"/>
      <c r="H890" s="771"/>
      <c r="I890" s="771"/>
      <c r="J890" s="771"/>
      <c r="K890" s="771"/>
      <c r="L890" s="771"/>
      <c r="M890" s="771"/>
      <c r="N890" s="771"/>
      <c r="O890" s="771"/>
      <c r="P890" s="771"/>
      <c r="Q890" s="771"/>
      <c r="R890" s="771"/>
      <c r="S890" s="771"/>
      <c r="T890" s="771"/>
      <c r="U890" s="771"/>
      <c r="V890" s="771"/>
      <c r="W890" s="771"/>
      <c r="X890" s="771"/>
      <c r="Y890" s="771"/>
      <c r="Z890" s="771"/>
    </row>
    <row r="891" ht="15.75" customHeight="1">
      <c r="A891" s="771"/>
      <c r="B891" s="771"/>
      <c r="C891" s="771"/>
      <c r="D891" s="771"/>
      <c r="E891" s="771"/>
      <c r="F891" s="771"/>
      <c r="G891" s="771"/>
      <c r="H891" s="771"/>
      <c r="I891" s="771"/>
      <c r="J891" s="771"/>
      <c r="K891" s="771"/>
      <c r="L891" s="771"/>
      <c r="M891" s="771"/>
      <c r="N891" s="771"/>
      <c r="O891" s="771"/>
      <c r="P891" s="771"/>
      <c r="Q891" s="771"/>
      <c r="R891" s="771"/>
      <c r="S891" s="771"/>
      <c r="T891" s="771"/>
      <c r="U891" s="771"/>
      <c r="V891" s="771"/>
      <c r="W891" s="771"/>
      <c r="X891" s="771"/>
      <c r="Y891" s="771"/>
      <c r="Z891" s="771"/>
    </row>
    <row r="892" ht="15.75" customHeight="1">
      <c r="A892" s="771"/>
      <c r="B892" s="771"/>
      <c r="C892" s="771"/>
      <c r="D892" s="771"/>
      <c r="E892" s="771"/>
      <c r="F892" s="771"/>
      <c r="G892" s="771"/>
      <c r="H892" s="771"/>
      <c r="I892" s="771"/>
      <c r="J892" s="771"/>
      <c r="K892" s="771"/>
      <c r="L892" s="771"/>
      <c r="M892" s="771"/>
      <c r="N892" s="771"/>
      <c r="O892" s="771"/>
      <c r="P892" s="771"/>
      <c r="Q892" s="771"/>
      <c r="R892" s="771"/>
      <c r="S892" s="771"/>
      <c r="T892" s="771"/>
      <c r="U892" s="771"/>
      <c r="V892" s="771"/>
      <c r="W892" s="771"/>
      <c r="X892" s="771"/>
      <c r="Y892" s="771"/>
      <c r="Z892" s="771"/>
    </row>
    <row r="893" ht="15.75" customHeight="1">
      <c r="A893" s="771"/>
      <c r="B893" s="771"/>
      <c r="C893" s="771"/>
      <c r="D893" s="771"/>
      <c r="E893" s="771"/>
      <c r="F893" s="771"/>
      <c r="G893" s="771"/>
      <c r="H893" s="771"/>
      <c r="I893" s="771"/>
      <c r="J893" s="771"/>
      <c r="K893" s="771"/>
      <c r="L893" s="771"/>
      <c r="M893" s="771"/>
      <c r="N893" s="771"/>
      <c r="O893" s="771"/>
      <c r="P893" s="771"/>
      <c r="Q893" s="771"/>
      <c r="R893" s="771"/>
      <c r="S893" s="771"/>
      <c r="T893" s="771"/>
      <c r="U893" s="771"/>
      <c r="V893" s="771"/>
      <c r="W893" s="771"/>
      <c r="X893" s="771"/>
      <c r="Y893" s="771"/>
      <c r="Z893" s="771"/>
    </row>
    <row r="894" ht="15.75" customHeight="1">
      <c r="A894" s="771"/>
      <c r="B894" s="771"/>
      <c r="C894" s="771"/>
      <c r="D894" s="771"/>
      <c r="E894" s="771"/>
      <c r="F894" s="771"/>
      <c r="G894" s="771"/>
      <c r="H894" s="771"/>
      <c r="I894" s="771"/>
      <c r="J894" s="771"/>
      <c r="K894" s="771"/>
      <c r="L894" s="771"/>
      <c r="M894" s="771"/>
      <c r="N894" s="771"/>
      <c r="O894" s="771"/>
      <c r="P894" s="771"/>
      <c r="Q894" s="771"/>
      <c r="R894" s="771"/>
      <c r="S894" s="771"/>
      <c r="T894" s="771"/>
      <c r="U894" s="771"/>
      <c r="V894" s="771"/>
      <c r="W894" s="771"/>
      <c r="X894" s="771"/>
      <c r="Y894" s="771"/>
      <c r="Z894" s="771"/>
    </row>
    <row r="895" ht="15.75" customHeight="1">
      <c r="A895" s="771"/>
      <c r="B895" s="771"/>
      <c r="C895" s="771"/>
      <c r="D895" s="771"/>
      <c r="E895" s="771"/>
      <c r="F895" s="771"/>
      <c r="G895" s="771"/>
      <c r="H895" s="771"/>
      <c r="I895" s="771"/>
      <c r="J895" s="771"/>
      <c r="K895" s="771"/>
      <c r="L895" s="771"/>
      <c r="M895" s="771"/>
      <c r="N895" s="771"/>
      <c r="O895" s="771"/>
      <c r="P895" s="771"/>
      <c r="Q895" s="771"/>
      <c r="R895" s="771"/>
      <c r="S895" s="771"/>
      <c r="T895" s="771"/>
      <c r="U895" s="771"/>
      <c r="V895" s="771"/>
      <c r="W895" s="771"/>
      <c r="X895" s="771"/>
      <c r="Y895" s="771"/>
      <c r="Z895" s="771"/>
    </row>
    <row r="896" ht="15.75" customHeight="1">
      <c r="A896" s="771"/>
      <c r="B896" s="771"/>
      <c r="C896" s="771"/>
      <c r="D896" s="771"/>
      <c r="E896" s="771"/>
      <c r="F896" s="771"/>
      <c r="G896" s="771"/>
      <c r="H896" s="771"/>
      <c r="I896" s="771"/>
      <c r="J896" s="771"/>
      <c r="K896" s="771"/>
      <c r="L896" s="771"/>
      <c r="M896" s="771"/>
      <c r="N896" s="771"/>
      <c r="O896" s="771"/>
      <c r="P896" s="771"/>
      <c r="Q896" s="771"/>
      <c r="R896" s="771"/>
      <c r="S896" s="771"/>
      <c r="T896" s="771"/>
      <c r="U896" s="771"/>
      <c r="V896" s="771"/>
      <c r="W896" s="771"/>
      <c r="X896" s="771"/>
      <c r="Y896" s="771"/>
      <c r="Z896" s="771"/>
    </row>
    <row r="897" ht="15.75" customHeight="1">
      <c r="A897" s="771"/>
      <c r="B897" s="771"/>
      <c r="C897" s="771"/>
      <c r="D897" s="771"/>
      <c r="E897" s="771"/>
      <c r="F897" s="771"/>
      <c r="G897" s="771"/>
      <c r="H897" s="771"/>
      <c r="I897" s="771"/>
      <c r="J897" s="771"/>
      <c r="K897" s="771"/>
      <c r="L897" s="771"/>
      <c r="M897" s="771"/>
      <c r="N897" s="771"/>
      <c r="O897" s="771"/>
      <c r="P897" s="771"/>
      <c r="Q897" s="771"/>
      <c r="R897" s="771"/>
      <c r="S897" s="771"/>
      <c r="T897" s="771"/>
      <c r="U897" s="771"/>
      <c r="V897" s="771"/>
      <c r="W897" s="771"/>
      <c r="X897" s="771"/>
      <c r="Y897" s="771"/>
      <c r="Z897" s="771"/>
    </row>
    <row r="898" ht="15.75" customHeight="1">
      <c r="A898" s="771"/>
      <c r="B898" s="771"/>
      <c r="C898" s="771"/>
      <c r="D898" s="771"/>
      <c r="E898" s="771"/>
      <c r="F898" s="771"/>
      <c r="G898" s="771"/>
      <c r="H898" s="771"/>
      <c r="I898" s="771"/>
      <c r="J898" s="771"/>
      <c r="K898" s="771"/>
      <c r="L898" s="771"/>
      <c r="M898" s="771"/>
      <c r="N898" s="771"/>
      <c r="O898" s="771"/>
      <c r="P898" s="771"/>
      <c r="Q898" s="771"/>
      <c r="R898" s="771"/>
      <c r="S898" s="771"/>
      <c r="T898" s="771"/>
      <c r="U898" s="771"/>
      <c r="V898" s="771"/>
      <c r="W898" s="771"/>
      <c r="X898" s="771"/>
      <c r="Y898" s="771"/>
      <c r="Z898" s="771"/>
    </row>
    <row r="899" ht="15.75" customHeight="1">
      <c r="A899" s="771"/>
      <c r="B899" s="771"/>
      <c r="C899" s="771"/>
      <c r="D899" s="771"/>
      <c r="E899" s="771"/>
      <c r="F899" s="771"/>
      <c r="G899" s="771"/>
      <c r="H899" s="771"/>
      <c r="I899" s="771"/>
      <c r="J899" s="771"/>
      <c r="K899" s="771"/>
      <c r="L899" s="771"/>
      <c r="M899" s="771"/>
      <c r="N899" s="771"/>
      <c r="O899" s="771"/>
      <c r="P899" s="771"/>
      <c r="Q899" s="771"/>
      <c r="R899" s="771"/>
      <c r="S899" s="771"/>
      <c r="T899" s="771"/>
      <c r="U899" s="771"/>
      <c r="V899" s="771"/>
      <c r="W899" s="771"/>
      <c r="X899" s="771"/>
      <c r="Y899" s="771"/>
      <c r="Z899" s="771"/>
    </row>
    <row r="900" ht="15.75" customHeight="1">
      <c r="A900" s="771"/>
      <c r="B900" s="771"/>
      <c r="C900" s="771"/>
      <c r="D900" s="771"/>
      <c r="E900" s="771"/>
      <c r="F900" s="771"/>
      <c r="G900" s="771"/>
      <c r="H900" s="771"/>
      <c r="I900" s="771"/>
      <c r="J900" s="771"/>
      <c r="K900" s="771"/>
      <c r="L900" s="771"/>
      <c r="M900" s="771"/>
      <c r="N900" s="771"/>
      <c r="O900" s="771"/>
      <c r="P900" s="771"/>
      <c r="Q900" s="771"/>
      <c r="R900" s="771"/>
      <c r="S900" s="771"/>
      <c r="T900" s="771"/>
      <c r="U900" s="771"/>
      <c r="V900" s="771"/>
      <c r="W900" s="771"/>
      <c r="X900" s="771"/>
      <c r="Y900" s="771"/>
      <c r="Z900" s="771"/>
    </row>
    <row r="901" ht="15.75" customHeight="1">
      <c r="A901" s="771"/>
      <c r="B901" s="771"/>
      <c r="C901" s="771"/>
      <c r="D901" s="771"/>
      <c r="E901" s="771"/>
      <c r="F901" s="771"/>
      <c r="G901" s="771"/>
      <c r="H901" s="771"/>
      <c r="I901" s="771"/>
      <c r="J901" s="771"/>
      <c r="K901" s="771"/>
      <c r="L901" s="771"/>
      <c r="M901" s="771"/>
      <c r="N901" s="771"/>
      <c r="O901" s="771"/>
      <c r="P901" s="771"/>
      <c r="Q901" s="771"/>
      <c r="R901" s="771"/>
      <c r="S901" s="771"/>
      <c r="T901" s="771"/>
      <c r="U901" s="771"/>
      <c r="V901" s="771"/>
      <c r="W901" s="771"/>
      <c r="X901" s="771"/>
      <c r="Y901" s="771"/>
      <c r="Z901" s="771"/>
    </row>
    <row r="902" ht="15.75" customHeight="1">
      <c r="A902" s="771"/>
      <c r="B902" s="771"/>
      <c r="C902" s="771"/>
      <c r="D902" s="771"/>
      <c r="E902" s="771"/>
      <c r="F902" s="771"/>
      <c r="G902" s="771"/>
      <c r="H902" s="771"/>
      <c r="I902" s="771"/>
      <c r="J902" s="771"/>
      <c r="K902" s="771"/>
      <c r="L902" s="771"/>
      <c r="M902" s="771"/>
      <c r="N902" s="771"/>
      <c r="O902" s="771"/>
      <c r="P902" s="771"/>
      <c r="Q902" s="771"/>
      <c r="R902" s="771"/>
      <c r="S902" s="771"/>
      <c r="T902" s="771"/>
      <c r="U902" s="771"/>
      <c r="V902" s="771"/>
      <c r="W902" s="771"/>
      <c r="X902" s="771"/>
      <c r="Y902" s="771"/>
      <c r="Z902" s="771"/>
    </row>
    <row r="903" ht="15.75" customHeight="1">
      <c r="A903" s="771"/>
      <c r="B903" s="771"/>
      <c r="C903" s="771"/>
      <c r="D903" s="771"/>
      <c r="E903" s="771"/>
      <c r="F903" s="771"/>
      <c r="G903" s="771"/>
      <c r="H903" s="771"/>
      <c r="I903" s="771"/>
      <c r="J903" s="771"/>
      <c r="K903" s="771"/>
      <c r="L903" s="771"/>
      <c r="M903" s="771"/>
      <c r="N903" s="771"/>
      <c r="O903" s="771"/>
      <c r="P903" s="771"/>
      <c r="Q903" s="771"/>
      <c r="R903" s="771"/>
      <c r="S903" s="771"/>
      <c r="T903" s="771"/>
      <c r="U903" s="771"/>
      <c r="V903" s="771"/>
      <c r="W903" s="771"/>
      <c r="X903" s="771"/>
      <c r="Y903" s="771"/>
      <c r="Z903" s="771"/>
    </row>
    <row r="904" ht="15.75" customHeight="1">
      <c r="A904" s="771"/>
      <c r="B904" s="771"/>
      <c r="C904" s="771"/>
      <c r="D904" s="771"/>
      <c r="E904" s="771"/>
      <c r="F904" s="771"/>
      <c r="G904" s="771"/>
      <c r="H904" s="771"/>
      <c r="I904" s="771"/>
      <c r="J904" s="771"/>
      <c r="K904" s="771"/>
      <c r="L904" s="771"/>
      <c r="M904" s="771"/>
      <c r="N904" s="771"/>
      <c r="O904" s="771"/>
      <c r="P904" s="771"/>
      <c r="Q904" s="771"/>
      <c r="R904" s="771"/>
      <c r="S904" s="771"/>
      <c r="T904" s="771"/>
      <c r="U904" s="771"/>
      <c r="V904" s="771"/>
      <c r="W904" s="771"/>
      <c r="X904" s="771"/>
      <c r="Y904" s="771"/>
      <c r="Z904" s="771"/>
    </row>
    <row r="905" ht="15.75" customHeight="1">
      <c r="A905" s="771"/>
      <c r="B905" s="771"/>
      <c r="C905" s="771"/>
      <c r="D905" s="771"/>
      <c r="E905" s="771"/>
      <c r="F905" s="771"/>
      <c r="G905" s="771"/>
      <c r="H905" s="771"/>
      <c r="I905" s="771"/>
      <c r="J905" s="771"/>
      <c r="K905" s="771"/>
      <c r="L905" s="771"/>
      <c r="M905" s="771"/>
      <c r="N905" s="771"/>
      <c r="O905" s="771"/>
      <c r="P905" s="771"/>
      <c r="Q905" s="771"/>
      <c r="R905" s="771"/>
      <c r="S905" s="771"/>
      <c r="T905" s="771"/>
      <c r="U905" s="771"/>
      <c r="V905" s="771"/>
      <c r="W905" s="771"/>
      <c r="X905" s="771"/>
      <c r="Y905" s="771"/>
      <c r="Z905" s="771"/>
    </row>
    <row r="906" ht="15.75" customHeight="1">
      <c r="A906" s="771"/>
      <c r="B906" s="771"/>
      <c r="C906" s="771"/>
      <c r="D906" s="771"/>
      <c r="E906" s="771"/>
      <c r="F906" s="771"/>
      <c r="G906" s="771"/>
      <c r="H906" s="771"/>
      <c r="I906" s="771"/>
      <c r="J906" s="771"/>
      <c r="K906" s="771"/>
      <c r="L906" s="771"/>
      <c r="M906" s="771"/>
      <c r="N906" s="771"/>
      <c r="O906" s="771"/>
      <c r="P906" s="771"/>
      <c r="Q906" s="771"/>
      <c r="R906" s="771"/>
      <c r="S906" s="771"/>
      <c r="T906" s="771"/>
      <c r="U906" s="771"/>
      <c r="V906" s="771"/>
      <c r="W906" s="771"/>
      <c r="X906" s="771"/>
      <c r="Y906" s="771"/>
      <c r="Z906" s="771"/>
    </row>
    <row r="907" ht="15.75" customHeight="1">
      <c r="A907" s="771"/>
      <c r="B907" s="771"/>
      <c r="C907" s="771"/>
      <c r="D907" s="771"/>
      <c r="E907" s="771"/>
      <c r="F907" s="771"/>
      <c r="G907" s="771"/>
      <c r="H907" s="771"/>
      <c r="I907" s="771"/>
      <c r="J907" s="771"/>
      <c r="K907" s="771"/>
      <c r="L907" s="771"/>
      <c r="M907" s="771"/>
      <c r="N907" s="771"/>
      <c r="O907" s="771"/>
      <c r="P907" s="771"/>
      <c r="Q907" s="771"/>
      <c r="R907" s="771"/>
      <c r="S907" s="771"/>
      <c r="T907" s="771"/>
      <c r="U907" s="771"/>
      <c r="V907" s="771"/>
      <c r="W907" s="771"/>
      <c r="X907" s="771"/>
      <c r="Y907" s="771"/>
      <c r="Z907" s="771"/>
    </row>
    <row r="908" ht="15.75" customHeight="1">
      <c r="A908" s="771"/>
      <c r="B908" s="771"/>
      <c r="C908" s="771"/>
      <c r="D908" s="771"/>
      <c r="E908" s="771"/>
      <c r="F908" s="771"/>
      <c r="G908" s="771"/>
      <c r="H908" s="771"/>
      <c r="I908" s="771"/>
      <c r="J908" s="771"/>
      <c r="K908" s="771"/>
      <c r="L908" s="771"/>
      <c r="M908" s="771"/>
      <c r="N908" s="771"/>
      <c r="O908" s="771"/>
      <c r="P908" s="771"/>
      <c r="Q908" s="771"/>
      <c r="R908" s="771"/>
      <c r="S908" s="771"/>
      <c r="T908" s="771"/>
      <c r="U908" s="771"/>
      <c r="V908" s="771"/>
      <c r="W908" s="771"/>
      <c r="X908" s="771"/>
      <c r="Y908" s="771"/>
      <c r="Z908" s="771"/>
    </row>
    <row r="909" ht="15.75" customHeight="1">
      <c r="A909" s="771"/>
      <c r="B909" s="771"/>
      <c r="C909" s="771"/>
      <c r="D909" s="771"/>
      <c r="E909" s="771"/>
      <c r="F909" s="771"/>
      <c r="G909" s="771"/>
      <c r="H909" s="771"/>
      <c r="I909" s="771"/>
      <c r="J909" s="771"/>
      <c r="K909" s="771"/>
      <c r="L909" s="771"/>
      <c r="M909" s="771"/>
      <c r="N909" s="771"/>
      <c r="O909" s="771"/>
      <c r="P909" s="771"/>
      <c r="Q909" s="771"/>
      <c r="R909" s="771"/>
      <c r="S909" s="771"/>
      <c r="T909" s="771"/>
      <c r="U909" s="771"/>
      <c r="V909" s="771"/>
      <c r="W909" s="771"/>
      <c r="X909" s="771"/>
      <c r="Y909" s="771"/>
      <c r="Z909" s="771"/>
    </row>
    <row r="910" ht="15.75" customHeight="1">
      <c r="A910" s="771"/>
      <c r="B910" s="771"/>
      <c r="C910" s="771"/>
      <c r="D910" s="771"/>
      <c r="E910" s="771"/>
      <c r="F910" s="771"/>
      <c r="G910" s="771"/>
      <c r="H910" s="771"/>
      <c r="I910" s="771"/>
      <c r="J910" s="771"/>
      <c r="K910" s="771"/>
      <c r="L910" s="771"/>
      <c r="M910" s="771"/>
      <c r="N910" s="771"/>
      <c r="O910" s="771"/>
      <c r="P910" s="771"/>
      <c r="Q910" s="771"/>
      <c r="R910" s="771"/>
      <c r="S910" s="771"/>
      <c r="T910" s="771"/>
      <c r="U910" s="771"/>
      <c r="V910" s="771"/>
      <c r="W910" s="771"/>
      <c r="X910" s="771"/>
      <c r="Y910" s="771"/>
      <c r="Z910" s="771"/>
    </row>
    <row r="911" ht="15.75" customHeight="1">
      <c r="A911" s="771"/>
      <c r="B911" s="771"/>
      <c r="C911" s="771"/>
      <c r="D911" s="771"/>
      <c r="E911" s="771"/>
      <c r="F911" s="771"/>
      <c r="G911" s="771"/>
      <c r="H911" s="771"/>
      <c r="I911" s="771"/>
      <c r="J911" s="771"/>
      <c r="K911" s="771"/>
      <c r="L911" s="771"/>
      <c r="M911" s="771"/>
      <c r="N911" s="771"/>
      <c r="O911" s="771"/>
      <c r="P911" s="771"/>
      <c r="Q911" s="771"/>
      <c r="R911" s="771"/>
      <c r="S911" s="771"/>
      <c r="T911" s="771"/>
      <c r="U911" s="771"/>
      <c r="V911" s="771"/>
      <c r="W911" s="771"/>
      <c r="X911" s="771"/>
      <c r="Y911" s="771"/>
      <c r="Z911" s="771"/>
    </row>
    <row r="912" ht="15.75" customHeight="1">
      <c r="A912" s="771"/>
      <c r="B912" s="771"/>
      <c r="C912" s="771"/>
      <c r="D912" s="771"/>
      <c r="E912" s="771"/>
      <c r="F912" s="771"/>
      <c r="G912" s="771"/>
      <c r="H912" s="771"/>
      <c r="I912" s="771"/>
      <c r="J912" s="771"/>
      <c r="K912" s="771"/>
      <c r="L912" s="771"/>
      <c r="M912" s="771"/>
      <c r="N912" s="771"/>
      <c r="O912" s="771"/>
      <c r="P912" s="771"/>
      <c r="Q912" s="771"/>
      <c r="R912" s="771"/>
      <c r="S912" s="771"/>
      <c r="T912" s="771"/>
      <c r="U912" s="771"/>
      <c r="V912" s="771"/>
      <c r="W912" s="771"/>
      <c r="X912" s="771"/>
      <c r="Y912" s="771"/>
      <c r="Z912" s="771"/>
    </row>
    <row r="913" ht="15.75" customHeight="1">
      <c r="A913" s="771"/>
      <c r="B913" s="771"/>
      <c r="C913" s="771"/>
      <c r="D913" s="771"/>
      <c r="E913" s="771"/>
      <c r="F913" s="771"/>
      <c r="G913" s="771"/>
      <c r="H913" s="771"/>
      <c r="I913" s="771"/>
      <c r="J913" s="771"/>
      <c r="K913" s="771"/>
      <c r="L913" s="771"/>
      <c r="M913" s="771"/>
      <c r="N913" s="771"/>
      <c r="O913" s="771"/>
      <c r="P913" s="771"/>
      <c r="Q913" s="771"/>
      <c r="R913" s="771"/>
      <c r="S913" s="771"/>
      <c r="T913" s="771"/>
      <c r="U913" s="771"/>
      <c r="V913" s="771"/>
      <c r="W913" s="771"/>
      <c r="X913" s="771"/>
      <c r="Y913" s="771"/>
      <c r="Z913" s="771"/>
    </row>
    <row r="914" ht="15.75" customHeight="1">
      <c r="A914" s="771"/>
      <c r="B914" s="771"/>
      <c r="C914" s="771"/>
      <c r="D914" s="771"/>
      <c r="E914" s="771"/>
      <c r="F914" s="771"/>
      <c r="G914" s="771"/>
      <c r="H914" s="771"/>
      <c r="I914" s="771"/>
      <c r="J914" s="771"/>
      <c r="K914" s="771"/>
      <c r="L914" s="771"/>
      <c r="M914" s="771"/>
      <c r="N914" s="771"/>
      <c r="O914" s="771"/>
      <c r="P914" s="771"/>
      <c r="Q914" s="771"/>
      <c r="R914" s="771"/>
      <c r="S914" s="771"/>
      <c r="T914" s="771"/>
      <c r="U914" s="771"/>
      <c r="V914" s="771"/>
      <c r="W914" s="771"/>
      <c r="X914" s="771"/>
      <c r="Y914" s="771"/>
      <c r="Z914" s="771"/>
    </row>
    <row r="915" ht="15.75" customHeight="1">
      <c r="A915" s="771"/>
      <c r="B915" s="771"/>
      <c r="C915" s="771"/>
      <c r="D915" s="771"/>
      <c r="E915" s="771"/>
      <c r="F915" s="771"/>
      <c r="G915" s="771"/>
      <c r="H915" s="771"/>
      <c r="I915" s="771"/>
      <c r="J915" s="771"/>
      <c r="K915" s="771"/>
      <c r="L915" s="771"/>
      <c r="M915" s="771"/>
      <c r="N915" s="771"/>
      <c r="O915" s="771"/>
      <c r="P915" s="771"/>
      <c r="Q915" s="771"/>
      <c r="R915" s="771"/>
      <c r="S915" s="771"/>
      <c r="T915" s="771"/>
      <c r="U915" s="771"/>
      <c r="V915" s="771"/>
      <c r="W915" s="771"/>
      <c r="X915" s="771"/>
      <c r="Y915" s="771"/>
      <c r="Z915" s="771"/>
    </row>
    <row r="916" ht="15.75" customHeight="1">
      <c r="A916" s="771"/>
      <c r="B916" s="771"/>
      <c r="C916" s="771"/>
      <c r="D916" s="771"/>
      <c r="E916" s="771"/>
      <c r="F916" s="771"/>
      <c r="G916" s="771"/>
      <c r="H916" s="771"/>
      <c r="I916" s="771"/>
      <c r="J916" s="771"/>
      <c r="K916" s="771"/>
      <c r="L916" s="771"/>
      <c r="M916" s="771"/>
      <c r="N916" s="771"/>
      <c r="O916" s="771"/>
      <c r="P916" s="771"/>
      <c r="Q916" s="771"/>
      <c r="R916" s="771"/>
      <c r="S916" s="771"/>
      <c r="T916" s="771"/>
      <c r="U916" s="771"/>
      <c r="V916" s="771"/>
      <c r="W916" s="771"/>
      <c r="X916" s="771"/>
      <c r="Y916" s="771"/>
      <c r="Z916" s="771"/>
    </row>
    <row r="917" ht="15.75" customHeight="1">
      <c r="A917" s="771"/>
      <c r="B917" s="771"/>
      <c r="C917" s="771"/>
      <c r="D917" s="771"/>
      <c r="E917" s="771"/>
      <c r="F917" s="771"/>
      <c r="G917" s="771"/>
      <c r="H917" s="771"/>
      <c r="I917" s="771"/>
      <c r="J917" s="771"/>
      <c r="K917" s="771"/>
      <c r="L917" s="771"/>
      <c r="M917" s="771"/>
      <c r="N917" s="771"/>
      <c r="O917" s="771"/>
      <c r="P917" s="771"/>
      <c r="Q917" s="771"/>
      <c r="R917" s="771"/>
      <c r="S917" s="771"/>
      <c r="T917" s="771"/>
      <c r="U917" s="771"/>
      <c r="V917" s="771"/>
      <c r="W917" s="771"/>
      <c r="X917" s="771"/>
      <c r="Y917" s="771"/>
      <c r="Z917" s="771"/>
    </row>
    <row r="918" ht="15.75" customHeight="1">
      <c r="A918" s="771"/>
      <c r="B918" s="771"/>
      <c r="C918" s="771"/>
      <c r="D918" s="771"/>
      <c r="E918" s="771"/>
      <c r="F918" s="771"/>
      <c r="G918" s="771"/>
      <c r="H918" s="771"/>
      <c r="I918" s="771"/>
      <c r="J918" s="771"/>
      <c r="K918" s="771"/>
      <c r="L918" s="771"/>
      <c r="M918" s="771"/>
      <c r="N918" s="771"/>
      <c r="O918" s="771"/>
      <c r="P918" s="771"/>
      <c r="Q918" s="771"/>
      <c r="R918" s="771"/>
      <c r="S918" s="771"/>
      <c r="T918" s="771"/>
      <c r="U918" s="771"/>
      <c r="V918" s="771"/>
      <c r="W918" s="771"/>
      <c r="X918" s="771"/>
      <c r="Y918" s="771"/>
      <c r="Z918" s="771"/>
    </row>
    <row r="919" ht="15.75" customHeight="1">
      <c r="A919" s="771"/>
      <c r="B919" s="771"/>
      <c r="C919" s="771"/>
      <c r="D919" s="771"/>
      <c r="E919" s="771"/>
      <c r="F919" s="771"/>
      <c r="G919" s="771"/>
      <c r="H919" s="771"/>
      <c r="I919" s="771"/>
      <c r="J919" s="771"/>
      <c r="K919" s="771"/>
      <c r="L919" s="771"/>
      <c r="M919" s="771"/>
      <c r="N919" s="771"/>
      <c r="O919" s="771"/>
      <c r="P919" s="771"/>
      <c r="Q919" s="771"/>
      <c r="R919" s="771"/>
      <c r="S919" s="771"/>
      <c r="T919" s="771"/>
      <c r="U919" s="771"/>
      <c r="V919" s="771"/>
      <c r="W919" s="771"/>
      <c r="X919" s="771"/>
      <c r="Y919" s="771"/>
      <c r="Z919" s="771"/>
    </row>
    <row r="920" ht="15.75" customHeight="1">
      <c r="A920" s="771"/>
      <c r="B920" s="771"/>
      <c r="C920" s="771"/>
      <c r="D920" s="771"/>
      <c r="E920" s="771"/>
      <c r="F920" s="771"/>
      <c r="G920" s="771"/>
      <c r="H920" s="771"/>
      <c r="I920" s="771"/>
      <c r="J920" s="771"/>
      <c r="K920" s="771"/>
      <c r="L920" s="771"/>
      <c r="M920" s="771"/>
      <c r="N920" s="771"/>
      <c r="O920" s="771"/>
      <c r="P920" s="771"/>
      <c r="Q920" s="771"/>
      <c r="R920" s="771"/>
      <c r="S920" s="771"/>
      <c r="T920" s="771"/>
      <c r="U920" s="771"/>
      <c r="V920" s="771"/>
      <c r="W920" s="771"/>
      <c r="X920" s="771"/>
      <c r="Y920" s="771"/>
      <c r="Z920" s="771"/>
    </row>
    <row r="921" ht="15.75" customHeight="1">
      <c r="A921" s="771"/>
      <c r="B921" s="771"/>
      <c r="C921" s="771"/>
      <c r="D921" s="771"/>
      <c r="E921" s="771"/>
      <c r="F921" s="771"/>
      <c r="G921" s="771"/>
      <c r="H921" s="771"/>
      <c r="I921" s="771"/>
      <c r="J921" s="771"/>
      <c r="K921" s="771"/>
      <c r="L921" s="771"/>
      <c r="M921" s="771"/>
      <c r="N921" s="771"/>
      <c r="O921" s="771"/>
      <c r="P921" s="771"/>
      <c r="Q921" s="771"/>
      <c r="R921" s="771"/>
      <c r="S921" s="771"/>
      <c r="T921" s="771"/>
      <c r="U921" s="771"/>
      <c r="V921" s="771"/>
      <c r="W921" s="771"/>
      <c r="X921" s="771"/>
      <c r="Y921" s="771"/>
      <c r="Z921" s="771"/>
    </row>
    <row r="922" ht="15.75" customHeight="1">
      <c r="A922" s="771"/>
      <c r="B922" s="771"/>
      <c r="C922" s="771"/>
      <c r="D922" s="771"/>
      <c r="E922" s="771"/>
      <c r="F922" s="771"/>
      <c r="G922" s="771"/>
      <c r="H922" s="771"/>
      <c r="I922" s="771"/>
      <c r="J922" s="771"/>
      <c r="K922" s="771"/>
      <c r="L922" s="771"/>
      <c r="M922" s="771"/>
      <c r="N922" s="771"/>
      <c r="O922" s="771"/>
      <c r="P922" s="771"/>
      <c r="Q922" s="771"/>
      <c r="R922" s="771"/>
      <c r="S922" s="771"/>
      <c r="T922" s="771"/>
      <c r="U922" s="771"/>
      <c r="V922" s="771"/>
      <c r="W922" s="771"/>
      <c r="X922" s="771"/>
      <c r="Y922" s="771"/>
      <c r="Z922" s="771"/>
    </row>
    <row r="923" ht="15.75" customHeight="1">
      <c r="A923" s="771"/>
      <c r="B923" s="771"/>
      <c r="C923" s="771"/>
      <c r="D923" s="771"/>
      <c r="E923" s="771"/>
      <c r="F923" s="771"/>
      <c r="G923" s="771"/>
      <c r="H923" s="771"/>
      <c r="I923" s="771"/>
      <c r="J923" s="771"/>
      <c r="K923" s="771"/>
      <c r="L923" s="771"/>
      <c r="M923" s="771"/>
      <c r="N923" s="771"/>
      <c r="O923" s="771"/>
      <c r="P923" s="771"/>
      <c r="Q923" s="771"/>
      <c r="R923" s="771"/>
      <c r="S923" s="771"/>
      <c r="T923" s="771"/>
      <c r="U923" s="771"/>
      <c r="V923" s="771"/>
      <c r="W923" s="771"/>
      <c r="X923" s="771"/>
      <c r="Y923" s="771"/>
      <c r="Z923" s="771"/>
    </row>
    <row r="924" ht="15.75" customHeight="1">
      <c r="A924" s="771"/>
      <c r="B924" s="771"/>
      <c r="C924" s="771"/>
      <c r="D924" s="771"/>
      <c r="E924" s="771"/>
      <c r="F924" s="771"/>
      <c r="G924" s="771"/>
      <c r="H924" s="771"/>
      <c r="I924" s="771"/>
      <c r="J924" s="771"/>
      <c r="K924" s="771"/>
      <c r="L924" s="771"/>
      <c r="M924" s="771"/>
      <c r="N924" s="771"/>
      <c r="O924" s="771"/>
      <c r="P924" s="771"/>
      <c r="Q924" s="771"/>
      <c r="R924" s="771"/>
      <c r="S924" s="771"/>
      <c r="T924" s="771"/>
      <c r="U924" s="771"/>
      <c r="V924" s="771"/>
      <c r="W924" s="771"/>
      <c r="X924" s="771"/>
      <c r="Y924" s="771"/>
      <c r="Z924" s="771"/>
    </row>
    <row r="925" ht="15.75" customHeight="1">
      <c r="A925" s="771"/>
      <c r="B925" s="771"/>
      <c r="C925" s="771"/>
      <c r="D925" s="771"/>
      <c r="E925" s="771"/>
      <c r="F925" s="771"/>
      <c r="G925" s="771"/>
      <c r="H925" s="771"/>
      <c r="I925" s="771"/>
      <c r="J925" s="771"/>
      <c r="K925" s="771"/>
      <c r="L925" s="771"/>
      <c r="M925" s="771"/>
      <c r="N925" s="771"/>
      <c r="O925" s="771"/>
      <c r="P925" s="771"/>
      <c r="Q925" s="771"/>
      <c r="R925" s="771"/>
      <c r="S925" s="771"/>
      <c r="T925" s="771"/>
      <c r="U925" s="771"/>
      <c r="V925" s="771"/>
      <c r="W925" s="771"/>
      <c r="X925" s="771"/>
      <c r="Y925" s="771"/>
      <c r="Z925" s="771"/>
    </row>
    <row r="926" ht="15.75" customHeight="1">
      <c r="A926" s="771"/>
      <c r="B926" s="771"/>
      <c r="C926" s="771"/>
      <c r="D926" s="771"/>
      <c r="E926" s="771"/>
      <c r="F926" s="771"/>
      <c r="G926" s="771"/>
      <c r="H926" s="771"/>
      <c r="I926" s="771"/>
      <c r="J926" s="771"/>
      <c r="K926" s="771"/>
      <c r="L926" s="771"/>
      <c r="M926" s="771"/>
      <c r="N926" s="771"/>
      <c r="O926" s="771"/>
      <c r="P926" s="771"/>
      <c r="Q926" s="771"/>
      <c r="R926" s="771"/>
      <c r="S926" s="771"/>
      <c r="T926" s="771"/>
      <c r="U926" s="771"/>
      <c r="V926" s="771"/>
      <c r="W926" s="771"/>
      <c r="X926" s="771"/>
      <c r="Y926" s="771"/>
      <c r="Z926" s="771"/>
    </row>
    <row r="927" ht="15.75" customHeight="1">
      <c r="A927" s="771"/>
      <c r="B927" s="771"/>
      <c r="C927" s="771"/>
      <c r="D927" s="771"/>
      <c r="E927" s="771"/>
      <c r="F927" s="771"/>
      <c r="G927" s="771"/>
      <c r="H927" s="771"/>
      <c r="I927" s="771"/>
      <c r="J927" s="771"/>
      <c r="K927" s="771"/>
      <c r="L927" s="771"/>
      <c r="M927" s="771"/>
      <c r="N927" s="771"/>
      <c r="O927" s="771"/>
      <c r="P927" s="771"/>
      <c r="Q927" s="771"/>
      <c r="R927" s="771"/>
      <c r="S927" s="771"/>
      <c r="T927" s="771"/>
      <c r="U927" s="771"/>
      <c r="V927" s="771"/>
      <c r="W927" s="771"/>
      <c r="X927" s="771"/>
      <c r="Y927" s="771"/>
      <c r="Z927" s="771"/>
    </row>
    <row r="928" ht="15.75" customHeight="1">
      <c r="A928" s="771"/>
      <c r="B928" s="771"/>
      <c r="C928" s="771"/>
      <c r="D928" s="771"/>
      <c r="E928" s="771"/>
      <c r="F928" s="771"/>
      <c r="G928" s="771"/>
      <c r="H928" s="771"/>
      <c r="I928" s="771"/>
      <c r="J928" s="771"/>
      <c r="K928" s="771"/>
      <c r="L928" s="771"/>
      <c r="M928" s="771"/>
      <c r="N928" s="771"/>
      <c r="O928" s="771"/>
      <c r="P928" s="771"/>
      <c r="Q928" s="771"/>
      <c r="R928" s="771"/>
      <c r="S928" s="771"/>
      <c r="T928" s="771"/>
      <c r="U928" s="771"/>
      <c r="V928" s="771"/>
      <c r="W928" s="771"/>
      <c r="X928" s="771"/>
      <c r="Y928" s="771"/>
      <c r="Z928" s="771"/>
    </row>
    <row r="929" ht="15.75" customHeight="1">
      <c r="A929" s="771"/>
      <c r="B929" s="771"/>
      <c r="C929" s="771"/>
      <c r="D929" s="771"/>
      <c r="E929" s="771"/>
      <c r="F929" s="771"/>
      <c r="G929" s="771"/>
      <c r="H929" s="771"/>
      <c r="I929" s="771"/>
      <c r="J929" s="771"/>
      <c r="K929" s="771"/>
      <c r="L929" s="771"/>
      <c r="M929" s="771"/>
      <c r="N929" s="771"/>
      <c r="O929" s="771"/>
      <c r="P929" s="771"/>
      <c r="Q929" s="771"/>
      <c r="R929" s="771"/>
      <c r="S929" s="771"/>
      <c r="T929" s="771"/>
      <c r="U929" s="771"/>
      <c r="V929" s="771"/>
      <c r="W929" s="771"/>
      <c r="X929" s="771"/>
      <c r="Y929" s="771"/>
      <c r="Z929" s="771"/>
    </row>
    <row r="930" ht="15.75" customHeight="1">
      <c r="A930" s="771"/>
      <c r="B930" s="771"/>
      <c r="C930" s="771"/>
      <c r="D930" s="771"/>
      <c r="E930" s="771"/>
      <c r="F930" s="771"/>
      <c r="G930" s="771"/>
      <c r="H930" s="771"/>
      <c r="I930" s="771"/>
      <c r="J930" s="771"/>
      <c r="K930" s="771"/>
      <c r="L930" s="771"/>
      <c r="M930" s="771"/>
      <c r="N930" s="771"/>
      <c r="O930" s="771"/>
      <c r="P930" s="771"/>
      <c r="Q930" s="771"/>
      <c r="R930" s="771"/>
      <c r="S930" s="771"/>
      <c r="T930" s="771"/>
      <c r="U930" s="771"/>
      <c r="V930" s="771"/>
      <c r="W930" s="771"/>
      <c r="X930" s="771"/>
      <c r="Y930" s="771"/>
      <c r="Z930" s="771"/>
    </row>
    <row r="931" ht="15.75" customHeight="1">
      <c r="A931" s="771"/>
      <c r="B931" s="771"/>
      <c r="C931" s="771"/>
      <c r="D931" s="771"/>
      <c r="E931" s="771"/>
      <c r="F931" s="771"/>
      <c r="G931" s="771"/>
      <c r="H931" s="771"/>
      <c r="I931" s="771"/>
      <c r="J931" s="771"/>
      <c r="K931" s="771"/>
      <c r="L931" s="771"/>
      <c r="M931" s="771"/>
      <c r="N931" s="771"/>
      <c r="O931" s="771"/>
      <c r="P931" s="771"/>
      <c r="Q931" s="771"/>
      <c r="R931" s="771"/>
      <c r="S931" s="771"/>
      <c r="T931" s="771"/>
      <c r="U931" s="771"/>
      <c r="V931" s="771"/>
      <c r="W931" s="771"/>
      <c r="X931" s="771"/>
      <c r="Y931" s="771"/>
      <c r="Z931" s="771"/>
    </row>
    <row r="932" ht="15.75" customHeight="1">
      <c r="A932" s="771"/>
      <c r="B932" s="771"/>
      <c r="C932" s="771"/>
      <c r="D932" s="771"/>
      <c r="E932" s="771"/>
      <c r="F932" s="771"/>
      <c r="G932" s="771"/>
      <c r="H932" s="771"/>
      <c r="I932" s="771"/>
      <c r="J932" s="771"/>
      <c r="K932" s="771"/>
      <c r="L932" s="771"/>
      <c r="M932" s="771"/>
      <c r="N932" s="771"/>
      <c r="O932" s="771"/>
      <c r="P932" s="771"/>
      <c r="Q932" s="771"/>
      <c r="R932" s="771"/>
      <c r="S932" s="771"/>
      <c r="T932" s="771"/>
      <c r="U932" s="771"/>
      <c r="V932" s="771"/>
      <c r="W932" s="771"/>
      <c r="X932" s="771"/>
      <c r="Y932" s="771"/>
      <c r="Z932" s="771"/>
    </row>
    <row r="933" ht="15.75" customHeight="1">
      <c r="A933" s="771"/>
      <c r="B933" s="771"/>
      <c r="C933" s="771"/>
      <c r="D933" s="771"/>
      <c r="E933" s="771"/>
      <c r="F933" s="771"/>
      <c r="G933" s="771"/>
      <c r="H933" s="771"/>
      <c r="I933" s="771"/>
      <c r="J933" s="771"/>
      <c r="K933" s="771"/>
      <c r="L933" s="771"/>
      <c r="M933" s="771"/>
      <c r="N933" s="771"/>
      <c r="O933" s="771"/>
      <c r="P933" s="771"/>
      <c r="Q933" s="771"/>
      <c r="R933" s="771"/>
      <c r="S933" s="771"/>
      <c r="T933" s="771"/>
      <c r="U933" s="771"/>
      <c r="V933" s="771"/>
      <c r="W933" s="771"/>
      <c r="X933" s="771"/>
      <c r="Y933" s="771"/>
      <c r="Z933" s="771"/>
    </row>
    <row r="934" ht="15.75" customHeight="1">
      <c r="A934" s="771"/>
      <c r="B934" s="771"/>
      <c r="C934" s="771"/>
      <c r="D934" s="771"/>
      <c r="E934" s="771"/>
      <c r="F934" s="771"/>
      <c r="G934" s="771"/>
      <c r="H934" s="771"/>
      <c r="I934" s="771"/>
      <c r="J934" s="771"/>
      <c r="K934" s="771"/>
      <c r="L934" s="771"/>
      <c r="M934" s="771"/>
      <c r="N934" s="771"/>
      <c r="O934" s="771"/>
      <c r="P934" s="771"/>
      <c r="Q934" s="771"/>
      <c r="R934" s="771"/>
      <c r="S934" s="771"/>
      <c r="T934" s="771"/>
      <c r="U934" s="771"/>
      <c r="V934" s="771"/>
      <c r="W934" s="771"/>
      <c r="X934" s="771"/>
      <c r="Y934" s="771"/>
      <c r="Z934" s="771"/>
    </row>
    <row r="935" ht="15.75" customHeight="1">
      <c r="A935" s="771"/>
      <c r="B935" s="771"/>
      <c r="C935" s="771"/>
      <c r="D935" s="771"/>
      <c r="E935" s="771"/>
      <c r="F935" s="771"/>
      <c r="G935" s="771"/>
      <c r="H935" s="771"/>
      <c r="I935" s="771"/>
      <c r="J935" s="771"/>
      <c r="K935" s="771"/>
      <c r="L935" s="771"/>
      <c r="M935" s="771"/>
      <c r="N935" s="771"/>
      <c r="O935" s="771"/>
      <c r="P935" s="771"/>
      <c r="Q935" s="771"/>
      <c r="R935" s="771"/>
      <c r="S935" s="771"/>
      <c r="T935" s="771"/>
      <c r="U935" s="771"/>
      <c r="V935" s="771"/>
      <c r="W935" s="771"/>
      <c r="X935" s="771"/>
      <c r="Y935" s="771"/>
      <c r="Z935" s="771"/>
    </row>
    <row r="936" ht="15.75" customHeight="1">
      <c r="A936" s="771"/>
      <c r="B936" s="771"/>
      <c r="C936" s="771"/>
      <c r="D936" s="771"/>
      <c r="E936" s="771"/>
      <c r="F936" s="771"/>
      <c r="G936" s="771"/>
      <c r="H936" s="771"/>
      <c r="I936" s="771"/>
      <c r="J936" s="771"/>
      <c r="K936" s="771"/>
      <c r="L936" s="771"/>
      <c r="M936" s="771"/>
      <c r="N936" s="771"/>
      <c r="O936" s="771"/>
      <c r="P936" s="771"/>
      <c r="Q936" s="771"/>
      <c r="R936" s="771"/>
      <c r="S936" s="771"/>
      <c r="T936" s="771"/>
      <c r="U936" s="771"/>
      <c r="V936" s="771"/>
      <c r="W936" s="771"/>
      <c r="X936" s="771"/>
      <c r="Y936" s="771"/>
      <c r="Z936" s="771"/>
    </row>
    <row r="937" ht="15.75" customHeight="1">
      <c r="A937" s="771"/>
      <c r="B937" s="771"/>
      <c r="C937" s="771"/>
      <c r="D937" s="771"/>
      <c r="E937" s="771"/>
      <c r="F937" s="771"/>
      <c r="G937" s="771"/>
      <c r="H937" s="771"/>
      <c r="I937" s="771"/>
      <c r="J937" s="771"/>
      <c r="K937" s="771"/>
      <c r="L937" s="771"/>
      <c r="M937" s="771"/>
      <c r="N937" s="771"/>
      <c r="O937" s="771"/>
      <c r="P937" s="771"/>
      <c r="Q937" s="771"/>
      <c r="R937" s="771"/>
      <c r="S937" s="771"/>
      <c r="T937" s="771"/>
      <c r="U937" s="771"/>
      <c r="V937" s="771"/>
      <c r="W937" s="771"/>
      <c r="X937" s="771"/>
      <c r="Y937" s="771"/>
      <c r="Z937" s="771"/>
    </row>
    <row r="938" ht="15.75" customHeight="1">
      <c r="A938" s="771"/>
      <c r="B938" s="771"/>
      <c r="C938" s="771"/>
      <c r="D938" s="771"/>
      <c r="E938" s="771"/>
      <c r="F938" s="771"/>
      <c r="G938" s="771"/>
      <c r="H938" s="771"/>
      <c r="I938" s="771"/>
      <c r="J938" s="771"/>
      <c r="K938" s="771"/>
      <c r="L938" s="771"/>
      <c r="M938" s="771"/>
      <c r="N938" s="771"/>
      <c r="O938" s="771"/>
      <c r="P938" s="771"/>
      <c r="Q938" s="771"/>
      <c r="R938" s="771"/>
      <c r="S938" s="771"/>
      <c r="T938" s="771"/>
      <c r="U938" s="771"/>
      <c r="V938" s="771"/>
      <c r="W938" s="771"/>
      <c r="X938" s="771"/>
      <c r="Y938" s="771"/>
      <c r="Z938" s="771"/>
    </row>
    <row r="939" ht="15.75" customHeight="1">
      <c r="A939" s="771"/>
      <c r="B939" s="771"/>
      <c r="C939" s="771"/>
      <c r="D939" s="771"/>
      <c r="E939" s="771"/>
      <c r="F939" s="771"/>
      <c r="G939" s="771"/>
      <c r="H939" s="771"/>
      <c r="I939" s="771"/>
      <c r="J939" s="771"/>
      <c r="K939" s="771"/>
      <c r="L939" s="771"/>
      <c r="M939" s="771"/>
      <c r="N939" s="771"/>
      <c r="O939" s="771"/>
      <c r="P939" s="771"/>
      <c r="Q939" s="771"/>
      <c r="R939" s="771"/>
      <c r="S939" s="771"/>
      <c r="T939" s="771"/>
      <c r="U939" s="771"/>
      <c r="V939" s="771"/>
      <c r="W939" s="771"/>
      <c r="X939" s="771"/>
      <c r="Y939" s="771"/>
      <c r="Z939" s="771"/>
    </row>
    <row r="940" ht="15.75" customHeight="1">
      <c r="A940" s="771"/>
      <c r="B940" s="771"/>
      <c r="C940" s="771"/>
      <c r="D940" s="771"/>
      <c r="E940" s="771"/>
      <c r="F940" s="771"/>
      <c r="G940" s="771"/>
      <c r="H940" s="771"/>
      <c r="I940" s="771"/>
      <c r="J940" s="771"/>
      <c r="K940" s="771"/>
      <c r="L940" s="771"/>
      <c r="M940" s="771"/>
      <c r="N940" s="771"/>
      <c r="O940" s="771"/>
      <c r="P940" s="771"/>
      <c r="Q940" s="771"/>
      <c r="R940" s="771"/>
      <c r="S940" s="771"/>
      <c r="T940" s="771"/>
      <c r="U940" s="771"/>
      <c r="V940" s="771"/>
      <c r="W940" s="771"/>
      <c r="X940" s="771"/>
      <c r="Y940" s="771"/>
      <c r="Z940" s="771"/>
    </row>
    <row r="941" ht="15.75" customHeight="1">
      <c r="A941" s="771"/>
      <c r="B941" s="771"/>
      <c r="C941" s="771"/>
      <c r="D941" s="771"/>
      <c r="E941" s="771"/>
      <c r="F941" s="771"/>
      <c r="G941" s="771"/>
      <c r="H941" s="771"/>
      <c r="I941" s="771"/>
      <c r="J941" s="771"/>
      <c r="K941" s="771"/>
      <c r="L941" s="771"/>
      <c r="M941" s="771"/>
      <c r="N941" s="771"/>
      <c r="O941" s="771"/>
      <c r="P941" s="771"/>
      <c r="Q941" s="771"/>
      <c r="R941" s="771"/>
      <c r="S941" s="771"/>
      <c r="T941" s="771"/>
      <c r="U941" s="771"/>
      <c r="V941" s="771"/>
      <c r="W941" s="771"/>
      <c r="X941" s="771"/>
      <c r="Y941" s="771"/>
      <c r="Z941" s="771"/>
    </row>
    <row r="942" ht="15.75" customHeight="1">
      <c r="A942" s="771"/>
      <c r="B942" s="771"/>
      <c r="C942" s="771"/>
      <c r="D942" s="771"/>
      <c r="E942" s="771"/>
      <c r="F942" s="771"/>
      <c r="G942" s="771"/>
      <c r="H942" s="771"/>
      <c r="I942" s="771"/>
      <c r="J942" s="771"/>
      <c r="K942" s="771"/>
      <c r="L942" s="771"/>
      <c r="M942" s="771"/>
      <c r="N942" s="771"/>
      <c r="O942" s="771"/>
      <c r="P942" s="771"/>
      <c r="Q942" s="771"/>
      <c r="R942" s="771"/>
      <c r="S942" s="771"/>
      <c r="T942" s="771"/>
      <c r="U942" s="771"/>
      <c r="V942" s="771"/>
      <c r="W942" s="771"/>
      <c r="X942" s="771"/>
      <c r="Y942" s="771"/>
      <c r="Z942" s="771"/>
    </row>
    <row r="943" ht="15.75" customHeight="1">
      <c r="A943" s="771"/>
      <c r="B943" s="771"/>
      <c r="C943" s="771"/>
      <c r="D943" s="771"/>
      <c r="E943" s="771"/>
      <c r="F943" s="771"/>
      <c r="G943" s="771"/>
      <c r="H943" s="771"/>
      <c r="I943" s="771"/>
      <c r="J943" s="771"/>
      <c r="K943" s="771"/>
      <c r="L943" s="771"/>
      <c r="M943" s="771"/>
      <c r="N943" s="771"/>
      <c r="O943" s="771"/>
      <c r="P943" s="771"/>
      <c r="Q943" s="771"/>
      <c r="R943" s="771"/>
      <c r="S943" s="771"/>
      <c r="T943" s="771"/>
      <c r="U943" s="771"/>
      <c r="V943" s="771"/>
      <c r="W943" s="771"/>
      <c r="X943" s="771"/>
      <c r="Y943" s="771"/>
      <c r="Z943" s="771"/>
    </row>
    <row r="944" ht="15.75" customHeight="1">
      <c r="A944" s="771"/>
      <c r="B944" s="771"/>
      <c r="C944" s="771"/>
      <c r="D944" s="771"/>
      <c r="E944" s="771"/>
      <c r="F944" s="771"/>
      <c r="G944" s="771"/>
      <c r="H944" s="771"/>
      <c r="I944" s="771"/>
      <c r="J944" s="771"/>
      <c r="K944" s="771"/>
      <c r="L944" s="771"/>
      <c r="M944" s="771"/>
      <c r="N944" s="771"/>
      <c r="O944" s="771"/>
      <c r="P944" s="771"/>
      <c r="Q944" s="771"/>
      <c r="R944" s="771"/>
      <c r="S944" s="771"/>
      <c r="T944" s="771"/>
      <c r="U944" s="771"/>
      <c r="V944" s="771"/>
      <c r="W944" s="771"/>
      <c r="X944" s="771"/>
      <c r="Y944" s="771"/>
      <c r="Z944" s="771"/>
    </row>
    <row r="945" ht="15.75" customHeight="1">
      <c r="A945" s="771"/>
      <c r="B945" s="771"/>
      <c r="C945" s="771"/>
      <c r="D945" s="771"/>
      <c r="E945" s="771"/>
      <c r="F945" s="771"/>
      <c r="G945" s="771"/>
      <c r="H945" s="771"/>
      <c r="I945" s="771"/>
      <c r="J945" s="771"/>
      <c r="K945" s="771"/>
      <c r="L945" s="771"/>
      <c r="M945" s="771"/>
      <c r="N945" s="771"/>
      <c r="O945" s="771"/>
      <c r="P945" s="771"/>
      <c r="Q945" s="771"/>
      <c r="R945" s="771"/>
      <c r="S945" s="771"/>
      <c r="T945" s="771"/>
      <c r="U945" s="771"/>
      <c r="V945" s="771"/>
      <c r="W945" s="771"/>
      <c r="X945" s="771"/>
      <c r="Y945" s="771"/>
      <c r="Z945" s="771"/>
    </row>
    <row r="946" ht="15.75" customHeight="1">
      <c r="A946" s="771"/>
      <c r="B946" s="771"/>
      <c r="C946" s="771"/>
      <c r="D946" s="771"/>
      <c r="E946" s="771"/>
      <c r="F946" s="771"/>
      <c r="G946" s="771"/>
      <c r="H946" s="771"/>
      <c r="I946" s="771"/>
      <c r="J946" s="771"/>
      <c r="K946" s="771"/>
      <c r="L946" s="771"/>
      <c r="M946" s="771"/>
      <c r="N946" s="771"/>
      <c r="O946" s="771"/>
      <c r="P946" s="771"/>
      <c r="Q946" s="771"/>
      <c r="R946" s="771"/>
      <c r="S946" s="771"/>
      <c r="T946" s="771"/>
      <c r="U946" s="771"/>
      <c r="V946" s="771"/>
      <c r="W946" s="771"/>
      <c r="X946" s="771"/>
      <c r="Y946" s="771"/>
      <c r="Z946" s="771"/>
    </row>
    <row r="947" ht="15.75" customHeight="1">
      <c r="A947" s="771"/>
      <c r="B947" s="771"/>
      <c r="C947" s="771"/>
      <c r="D947" s="771"/>
      <c r="E947" s="771"/>
      <c r="F947" s="771"/>
      <c r="G947" s="771"/>
      <c r="H947" s="771"/>
      <c r="I947" s="771"/>
      <c r="J947" s="771"/>
      <c r="K947" s="771"/>
      <c r="L947" s="771"/>
      <c r="M947" s="771"/>
      <c r="N947" s="771"/>
      <c r="O947" s="771"/>
      <c r="P947" s="771"/>
      <c r="Q947" s="771"/>
      <c r="R947" s="771"/>
      <c r="S947" s="771"/>
      <c r="T947" s="771"/>
      <c r="U947" s="771"/>
      <c r="V947" s="771"/>
      <c r="W947" s="771"/>
      <c r="X947" s="771"/>
      <c r="Y947" s="771"/>
      <c r="Z947" s="771"/>
    </row>
    <row r="948" ht="15.75" customHeight="1">
      <c r="A948" s="771"/>
      <c r="B948" s="771"/>
      <c r="C948" s="771"/>
      <c r="D948" s="771"/>
      <c r="E948" s="771"/>
      <c r="F948" s="771"/>
      <c r="G948" s="771"/>
      <c r="H948" s="771"/>
      <c r="I948" s="771"/>
      <c r="J948" s="771"/>
      <c r="K948" s="771"/>
      <c r="L948" s="771"/>
      <c r="M948" s="771"/>
      <c r="N948" s="771"/>
      <c r="O948" s="771"/>
      <c r="P948" s="771"/>
      <c r="Q948" s="771"/>
      <c r="R948" s="771"/>
      <c r="S948" s="771"/>
      <c r="T948" s="771"/>
      <c r="U948" s="771"/>
      <c r="V948" s="771"/>
      <c r="W948" s="771"/>
      <c r="X948" s="771"/>
      <c r="Y948" s="771"/>
      <c r="Z948" s="771"/>
    </row>
    <row r="949" ht="15.75" customHeight="1">
      <c r="A949" s="771"/>
      <c r="B949" s="771"/>
      <c r="C949" s="771"/>
      <c r="D949" s="771"/>
      <c r="E949" s="771"/>
      <c r="F949" s="771"/>
      <c r="G949" s="771"/>
      <c r="H949" s="771"/>
      <c r="I949" s="771"/>
      <c r="J949" s="771"/>
      <c r="K949" s="771"/>
      <c r="L949" s="771"/>
      <c r="M949" s="771"/>
      <c r="N949" s="771"/>
      <c r="O949" s="771"/>
      <c r="P949" s="771"/>
      <c r="Q949" s="771"/>
      <c r="R949" s="771"/>
      <c r="S949" s="771"/>
      <c r="T949" s="771"/>
      <c r="U949" s="771"/>
      <c r="V949" s="771"/>
      <c r="W949" s="771"/>
      <c r="X949" s="771"/>
      <c r="Y949" s="771"/>
      <c r="Z949" s="771"/>
    </row>
    <row r="950" ht="15.75" customHeight="1">
      <c r="A950" s="771"/>
      <c r="B950" s="771"/>
      <c r="C950" s="771"/>
      <c r="D950" s="771"/>
      <c r="E950" s="771"/>
      <c r="F950" s="771"/>
      <c r="G950" s="771"/>
      <c r="H950" s="771"/>
      <c r="I950" s="771"/>
      <c r="J950" s="771"/>
      <c r="K950" s="771"/>
      <c r="L950" s="771"/>
      <c r="M950" s="771"/>
      <c r="N950" s="771"/>
      <c r="O950" s="771"/>
      <c r="P950" s="771"/>
      <c r="Q950" s="771"/>
      <c r="R950" s="771"/>
      <c r="S950" s="771"/>
      <c r="T950" s="771"/>
      <c r="U950" s="771"/>
      <c r="V950" s="771"/>
      <c r="W950" s="771"/>
      <c r="X950" s="771"/>
      <c r="Y950" s="771"/>
      <c r="Z950" s="771"/>
    </row>
    <row r="951" ht="15.75" customHeight="1">
      <c r="A951" s="771"/>
      <c r="B951" s="771"/>
      <c r="C951" s="771"/>
      <c r="D951" s="771"/>
      <c r="E951" s="771"/>
      <c r="F951" s="771"/>
      <c r="G951" s="771"/>
      <c r="H951" s="771"/>
      <c r="I951" s="771"/>
      <c r="J951" s="771"/>
      <c r="K951" s="771"/>
      <c r="L951" s="771"/>
      <c r="M951" s="771"/>
      <c r="N951" s="771"/>
      <c r="O951" s="771"/>
      <c r="P951" s="771"/>
      <c r="Q951" s="771"/>
      <c r="R951" s="771"/>
      <c r="S951" s="771"/>
      <c r="T951" s="771"/>
      <c r="U951" s="771"/>
      <c r="V951" s="771"/>
      <c r="W951" s="771"/>
      <c r="X951" s="771"/>
      <c r="Y951" s="771"/>
      <c r="Z951" s="771"/>
    </row>
    <row r="952" ht="15.75" customHeight="1">
      <c r="A952" s="771"/>
      <c r="B952" s="771"/>
      <c r="C952" s="771"/>
      <c r="D952" s="771"/>
      <c r="E952" s="771"/>
      <c r="F952" s="771"/>
      <c r="G952" s="771"/>
      <c r="H952" s="771"/>
      <c r="I952" s="771"/>
      <c r="J952" s="771"/>
      <c r="K952" s="771"/>
      <c r="L952" s="771"/>
      <c r="M952" s="771"/>
      <c r="N952" s="771"/>
      <c r="O952" s="771"/>
      <c r="P952" s="771"/>
      <c r="Q952" s="771"/>
      <c r="R952" s="771"/>
      <c r="S952" s="771"/>
      <c r="T952" s="771"/>
      <c r="U952" s="771"/>
      <c r="V952" s="771"/>
      <c r="W952" s="771"/>
      <c r="X952" s="771"/>
      <c r="Y952" s="771"/>
      <c r="Z952" s="771"/>
    </row>
    <row r="953" ht="15.75" customHeight="1">
      <c r="A953" s="771"/>
      <c r="B953" s="771"/>
      <c r="C953" s="771"/>
      <c r="D953" s="771"/>
      <c r="E953" s="771"/>
      <c r="F953" s="771"/>
      <c r="G953" s="771"/>
      <c r="H953" s="771"/>
      <c r="I953" s="771"/>
      <c r="J953" s="771"/>
      <c r="K953" s="771"/>
      <c r="L953" s="771"/>
      <c r="M953" s="771"/>
      <c r="N953" s="771"/>
      <c r="O953" s="771"/>
      <c r="P953" s="771"/>
      <c r="Q953" s="771"/>
      <c r="R953" s="771"/>
      <c r="S953" s="771"/>
      <c r="T953" s="771"/>
      <c r="U953" s="771"/>
      <c r="V953" s="771"/>
      <c r="W953" s="771"/>
      <c r="X953" s="771"/>
      <c r="Y953" s="771"/>
      <c r="Z953" s="771"/>
    </row>
    <row r="954" ht="15.75" customHeight="1">
      <c r="A954" s="771"/>
      <c r="B954" s="771"/>
      <c r="C954" s="771"/>
      <c r="D954" s="771"/>
      <c r="E954" s="771"/>
      <c r="F954" s="771"/>
      <c r="G954" s="771"/>
      <c r="H954" s="771"/>
      <c r="I954" s="771"/>
      <c r="J954" s="771"/>
      <c r="K954" s="771"/>
      <c r="L954" s="771"/>
      <c r="M954" s="771"/>
      <c r="N954" s="771"/>
      <c r="O954" s="771"/>
      <c r="P954" s="771"/>
      <c r="Q954" s="771"/>
      <c r="R954" s="771"/>
      <c r="S954" s="771"/>
      <c r="T954" s="771"/>
      <c r="U954" s="771"/>
      <c r="V954" s="771"/>
      <c r="W954" s="771"/>
      <c r="X954" s="771"/>
      <c r="Y954" s="771"/>
      <c r="Z954" s="771"/>
    </row>
    <row r="955" ht="15.75" customHeight="1">
      <c r="A955" s="771"/>
      <c r="B955" s="771"/>
      <c r="C955" s="771"/>
      <c r="D955" s="771"/>
      <c r="E955" s="771"/>
      <c r="F955" s="771"/>
      <c r="G955" s="771"/>
      <c r="H955" s="771"/>
      <c r="I955" s="771"/>
      <c r="J955" s="771"/>
      <c r="K955" s="771"/>
      <c r="L955" s="771"/>
      <c r="M955" s="771"/>
      <c r="N955" s="771"/>
      <c r="O955" s="771"/>
      <c r="P955" s="771"/>
      <c r="Q955" s="771"/>
      <c r="R955" s="771"/>
      <c r="S955" s="771"/>
      <c r="T955" s="771"/>
      <c r="U955" s="771"/>
      <c r="V955" s="771"/>
      <c r="W955" s="771"/>
      <c r="X955" s="771"/>
      <c r="Y955" s="771"/>
      <c r="Z955" s="771"/>
    </row>
    <row r="956" ht="15.75" customHeight="1">
      <c r="A956" s="771"/>
      <c r="B956" s="771"/>
      <c r="C956" s="771"/>
      <c r="D956" s="771"/>
      <c r="E956" s="771"/>
      <c r="F956" s="771"/>
      <c r="G956" s="771"/>
      <c r="H956" s="771"/>
      <c r="I956" s="771"/>
      <c r="J956" s="771"/>
      <c r="K956" s="771"/>
      <c r="L956" s="771"/>
      <c r="M956" s="771"/>
      <c r="N956" s="771"/>
      <c r="O956" s="771"/>
      <c r="P956" s="771"/>
      <c r="Q956" s="771"/>
      <c r="R956" s="771"/>
      <c r="S956" s="771"/>
      <c r="T956" s="771"/>
      <c r="U956" s="771"/>
      <c r="V956" s="771"/>
      <c r="W956" s="771"/>
      <c r="X956" s="771"/>
      <c r="Y956" s="771"/>
      <c r="Z956" s="771"/>
    </row>
    <row r="957" ht="15.75" customHeight="1">
      <c r="A957" s="771"/>
      <c r="B957" s="771"/>
      <c r="C957" s="771"/>
      <c r="D957" s="771"/>
      <c r="E957" s="771"/>
      <c r="F957" s="771"/>
      <c r="G957" s="771"/>
      <c r="H957" s="771"/>
      <c r="I957" s="771"/>
      <c r="J957" s="771"/>
      <c r="K957" s="771"/>
      <c r="L957" s="771"/>
      <c r="M957" s="771"/>
      <c r="N957" s="771"/>
      <c r="O957" s="771"/>
      <c r="P957" s="771"/>
      <c r="Q957" s="771"/>
      <c r="R957" s="771"/>
      <c r="S957" s="771"/>
      <c r="T957" s="771"/>
      <c r="U957" s="771"/>
      <c r="V957" s="771"/>
      <c r="W957" s="771"/>
      <c r="X957" s="771"/>
      <c r="Y957" s="771"/>
      <c r="Z957" s="771"/>
    </row>
    <row r="958" ht="15.75" customHeight="1">
      <c r="A958" s="771"/>
      <c r="B958" s="771"/>
      <c r="C958" s="771"/>
      <c r="D958" s="771"/>
      <c r="E958" s="771"/>
      <c r="F958" s="771"/>
      <c r="G958" s="771"/>
      <c r="H958" s="771"/>
      <c r="I958" s="771"/>
      <c r="J958" s="771"/>
      <c r="K958" s="771"/>
      <c r="L958" s="771"/>
      <c r="M958" s="771"/>
      <c r="N958" s="771"/>
      <c r="O958" s="771"/>
      <c r="P958" s="771"/>
      <c r="Q958" s="771"/>
      <c r="R958" s="771"/>
      <c r="S958" s="771"/>
      <c r="T958" s="771"/>
      <c r="U958" s="771"/>
      <c r="V958" s="771"/>
      <c r="W958" s="771"/>
      <c r="X958" s="771"/>
      <c r="Y958" s="771"/>
      <c r="Z958" s="771"/>
    </row>
    <row r="959" ht="15.75" customHeight="1">
      <c r="A959" s="771"/>
      <c r="B959" s="771"/>
      <c r="C959" s="771"/>
      <c r="D959" s="771"/>
      <c r="E959" s="771"/>
      <c r="F959" s="771"/>
      <c r="G959" s="771"/>
      <c r="H959" s="771"/>
      <c r="I959" s="771"/>
      <c r="J959" s="771"/>
      <c r="K959" s="771"/>
      <c r="L959" s="771"/>
      <c r="M959" s="771"/>
      <c r="N959" s="771"/>
      <c r="O959" s="771"/>
      <c r="P959" s="771"/>
      <c r="Q959" s="771"/>
      <c r="R959" s="771"/>
      <c r="S959" s="771"/>
      <c r="T959" s="771"/>
      <c r="U959" s="771"/>
      <c r="V959" s="771"/>
      <c r="W959" s="771"/>
      <c r="X959" s="771"/>
      <c r="Y959" s="771"/>
      <c r="Z959" s="771"/>
    </row>
    <row r="960" ht="15.75" customHeight="1">
      <c r="A960" s="771"/>
      <c r="B960" s="771"/>
      <c r="C960" s="771"/>
      <c r="D960" s="771"/>
      <c r="E960" s="771"/>
      <c r="F960" s="771"/>
      <c r="G960" s="771"/>
      <c r="H960" s="771"/>
      <c r="I960" s="771"/>
      <c r="J960" s="771"/>
      <c r="K960" s="771"/>
      <c r="L960" s="771"/>
      <c r="M960" s="771"/>
      <c r="N960" s="771"/>
      <c r="O960" s="771"/>
      <c r="P960" s="771"/>
      <c r="Q960" s="771"/>
      <c r="R960" s="771"/>
      <c r="S960" s="771"/>
      <c r="T960" s="771"/>
      <c r="U960" s="771"/>
      <c r="V960" s="771"/>
      <c r="W960" s="771"/>
      <c r="X960" s="771"/>
      <c r="Y960" s="771"/>
      <c r="Z960" s="771"/>
    </row>
    <row r="961" ht="15.75" customHeight="1">
      <c r="A961" s="771"/>
      <c r="B961" s="771"/>
      <c r="C961" s="771"/>
      <c r="D961" s="771"/>
      <c r="E961" s="771"/>
      <c r="F961" s="771"/>
      <c r="G961" s="771"/>
      <c r="H961" s="771"/>
      <c r="I961" s="771"/>
      <c r="J961" s="771"/>
      <c r="K961" s="771"/>
      <c r="L961" s="771"/>
      <c r="M961" s="771"/>
      <c r="N961" s="771"/>
      <c r="O961" s="771"/>
      <c r="P961" s="771"/>
      <c r="Q961" s="771"/>
      <c r="R961" s="771"/>
      <c r="S961" s="771"/>
      <c r="T961" s="771"/>
      <c r="U961" s="771"/>
      <c r="V961" s="771"/>
      <c r="W961" s="771"/>
      <c r="X961" s="771"/>
      <c r="Y961" s="771"/>
      <c r="Z961" s="771"/>
    </row>
    <row r="962" ht="15.75" customHeight="1">
      <c r="A962" s="771"/>
      <c r="B962" s="771"/>
      <c r="C962" s="771"/>
      <c r="D962" s="771"/>
      <c r="E962" s="771"/>
      <c r="F962" s="771"/>
      <c r="G962" s="771"/>
      <c r="H962" s="771"/>
      <c r="I962" s="771"/>
      <c r="J962" s="771"/>
      <c r="K962" s="771"/>
      <c r="L962" s="771"/>
      <c r="M962" s="771"/>
      <c r="N962" s="771"/>
      <c r="O962" s="771"/>
      <c r="P962" s="771"/>
      <c r="Q962" s="771"/>
      <c r="R962" s="771"/>
      <c r="S962" s="771"/>
      <c r="T962" s="771"/>
      <c r="U962" s="771"/>
      <c r="V962" s="771"/>
      <c r="W962" s="771"/>
      <c r="X962" s="771"/>
      <c r="Y962" s="771"/>
      <c r="Z962" s="771"/>
    </row>
    <row r="963" ht="15.75" customHeight="1">
      <c r="A963" s="771"/>
      <c r="B963" s="771"/>
      <c r="C963" s="771"/>
      <c r="D963" s="771"/>
      <c r="E963" s="771"/>
      <c r="F963" s="771"/>
      <c r="G963" s="771"/>
      <c r="H963" s="771"/>
      <c r="I963" s="771"/>
      <c r="J963" s="771"/>
      <c r="K963" s="771"/>
      <c r="L963" s="771"/>
      <c r="M963" s="771"/>
      <c r="N963" s="771"/>
      <c r="O963" s="771"/>
      <c r="P963" s="771"/>
      <c r="Q963" s="771"/>
      <c r="R963" s="771"/>
      <c r="S963" s="771"/>
      <c r="T963" s="771"/>
      <c r="U963" s="771"/>
      <c r="V963" s="771"/>
      <c r="W963" s="771"/>
      <c r="X963" s="771"/>
      <c r="Y963" s="771"/>
      <c r="Z963" s="771"/>
    </row>
    <row r="964" ht="15.75" customHeight="1">
      <c r="A964" s="771"/>
      <c r="B964" s="771"/>
      <c r="C964" s="771"/>
      <c r="D964" s="771"/>
      <c r="E964" s="771"/>
      <c r="F964" s="771"/>
      <c r="G964" s="771"/>
      <c r="H964" s="771"/>
      <c r="I964" s="771"/>
      <c r="J964" s="771"/>
      <c r="K964" s="771"/>
      <c r="L964" s="771"/>
      <c r="M964" s="771"/>
      <c r="N964" s="771"/>
      <c r="O964" s="771"/>
      <c r="P964" s="771"/>
      <c r="Q964" s="771"/>
      <c r="R964" s="771"/>
      <c r="S964" s="771"/>
      <c r="T964" s="771"/>
      <c r="U964" s="771"/>
      <c r="V964" s="771"/>
      <c r="W964" s="771"/>
      <c r="X964" s="771"/>
      <c r="Y964" s="771"/>
      <c r="Z964" s="771"/>
    </row>
    <row r="965" ht="15.75" customHeight="1">
      <c r="A965" s="771"/>
      <c r="B965" s="771"/>
      <c r="C965" s="771"/>
      <c r="D965" s="771"/>
      <c r="E965" s="771"/>
      <c r="F965" s="771"/>
      <c r="G965" s="771"/>
      <c r="H965" s="771"/>
      <c r="I965" s="771"/>
      <c r="J965" s="771"/>
      <c r="K965" s="771"/>
      <c r="L965" s="771"/>
      <c r="M965" s="771"/>
      <c r="N965" s="771"/>
      <c r="O965" s="771"/>
      <c r="P965" s="771"/>
      <c r="Q965" s="771"/>
      <c r="R965" s="771"/>
      <c r="S965" s="771"/>
      <c r="T965" s="771"/>
      <c r="U965" s="771"/>
      <c r="V965" s="771"/>
      <c r="W965" s="771"/>
      <c r="X965" s="771"/>
      <c r="Y965" s="771"/>
      <c r="Z965" s="771"/>
    </row>
    <row r="966" ht="15.75" customHeight="1">
      <c r="A966" s="771"/>
      <c r="B966" s="771"/>
      <c r="C966" s="771"/>
      <c r="D966" s="771"/>
      <c r="E966" s="771"/>
      <c r="F966" s="771"/>
      <c r="G966" s="771"/>
      <c r="H966" s="771"/>
      <c r="I966" s="771"/>
      <c r="J966" s="771"/>
      <c r="K966" s="771"/>
      <c r="L966" s="771"/>
      <c r="M966" s="771"/>
      <c r="N966" s="771"/>
      <c r="O966" s="771"/>
      <c r="P966" s="771"/>
      <c r="Q966" s="771"/>
      <c r="R966" s="771"/>
      <c r="S966" s="771"/>
      <c r="T966" s="771"/>
      <c r="U966" s="771"/>
      <c r="V966" s="771"/>
      <c r="W966" s="771"/>
      <c r="X966" s="771"/>
      <c r="Y966" s="771"/>
      <c r="Z966" s="771"/>
    </row>
    <row r="967" ht="15.75" customHeight="1">
      <c r="A967" s="771"/>
      <c r="B967" s="771"/>
      <c r="C967" s="771"/>
      <c r="D967" s="771"/>
      <c r="E967" s="771"/>
      <c r="F967" s="771"/>
      <c r="G967" s="771"/>
      <c r="H967" s="771"/>
      <c r="I967" s="771"/>
      <c r="J967" s="771"/>
      <c r="K967" s="771"/>
      <c r="L967" s="771"/>
      <c r="M967" s="771"/>
      <c r="N967" s="771"/>
      <c r="O967" s="771"/>
      <c r="P967" s="771"/>
      <c r="Q967" s="771"/>
      <c r="R967" s="771"/>
      <c r="S967" s="771"/>
      <c r="T967" s="771"/>
      <c r="U967" s="771"/>
      <c r="V967" s="771"/>
      <c r="W967" s="771"/>
      <c r="X967" s="771"/>
      <c r="Y967" s="771"/>
      <c r="Z967" s="771"/>
    </row>
    <row r="968" ht="15.75" customHeight="1">
      <c r="A968" s="771"/>
      <c r="B968" s="771"/>
      <c r="C968" s="771"/>
      <c r="D968" s="771"/>
      <c r="E968" s="771"/>
      <c r="F968" s="771"/>
      <c r="G968" s="771"/>
      <c r="H968" s="771"/>
      <c r="I968" s="771"/>
      <c r="J968" s="771"/>
      <c r="K968" s="771"/>
      <c r="L968" s="771"/>
      <c r="M968" s="771"/>
      <c r="N968" s="771"/>
      <c r="O968" s="771"/>
      <c r="P968" s="771"/>
      <c r="Q968" s="771"/>
      <c r="R968" s="771"/>
      <c r="S968" s="771"/>
      <c r="T968" s="771"/>
      <c r="U968" s="771"/>
      <c r="V968" s="771"/>
      <c r="W968" s="771"/>
      <c r="X968" s="771"/>
      <c r="Y968" s="771"/>
      <c r="Z968" s="771"/>
    </row>
    <row r="969" ht="15.75" customHeight="1">
      <c r="A969" s="771"/>
      <c r="B969" s="771"/>
      <c r="C969" s="771"/>
      <c r="D969" s="771"/>
      <c r="E969" s="771"/>
      <c r="F969" s="771"/>
      <c r="G969" s="771"/>
      <c r="H969" s="771"/>
      <c r="I969" s="771"/>
      <c r="J969" s="771"/>
      <c r="K969" s="771"/>
      <c r="L969" s="771"/>
      <c r="M969" s="771"/>
      <c r="N969" s="771"/>
      <c r="O969" s="771"/>
      <c r="P969" s="771"/>
      <c r="Q969" s="771"/>
      <c r="R969" s="771"/>
      <c r="S969" s="771"/>
      <c r="T969" s="771"/>
      <c r="U969" s="771"/>
      <c r="V969" s="771"/>
      <c r="W969" s="771"/>
      <c r="X969" s="771"/>
      <c r="Y969" s="771"/>
      <c r="Z969" s="771"/>
    </row>
    <row r="970" ht="15.75" customHeight="1">
      <c r="A970" s="771"/>
      <c r="B970" s="771"/>
      <c r="C970" s="771"/>
      <c r="D970" s="771"/>
      <c r="E970" s="771"/>
      <c r="F970" s="771"/>
      <c r="G970" s="771"/>
      <c r="H970" s="771"/>
      <c r="I970" s="771"/>
      <c r="J970" s="771"/>
      <c r="K970" s="771"/>
      <c r="L970" s="771"/>
      <c r="M970" s="771"/>
      <c r="N970" s="771"/>
      <c r="O970" s="771"/>
      <c r="P970" s="771"/>
      <c r="Q970" s="771"/>
      <c r="R970" s="771"/>
      <c r="S970" s="771"/>
      <c r="T970" s="771"/>
      <c r="U970" s="771"/>
      <c r="V970" s="771"/>
      <c r="W970" s="771"/>
      <c r="X970" s="771"/>
      <c r="Y970" s="771"/>
      <c r="Z970" s="771"/>
    </row>
    <row r="971" ht="15.75" customHeight="1">
      <c r="A971" s="771"/>
      <c r="B971" s="771"/>
      <c r="C971" s="771"/>
      <c r="D971" s="771"/>
      <c r="E971" s="771"/>
      <c r="F971" s="771"/>
      <c r="G971" s="771"/>
      <c r="H971" s="771"/>
      <c r="I971" s="771"/>
      <c r="J971" s="771"/>
      <c r="K971" s="771"/>
      <c r="L971" s="771"/>
      <c r="M971" s="771"/>
      <c r="N971" s="771"/>
      <c r="O971" s="771"/>
      <c r="P971" s="771"/>
      <c r="Q971" s="771"/>
      <c r="R971" s="771"/>
      <c r="S971" s="771"/>
      <c r="T971" s="771"/>
      <c r="U971" s="771"/>
      <c r="V971" s="771"/>
      <c r="W971" s="771"/>
      <c r="X971" s="771"/>
      <c r="Y971" s="771"/>
      <c r="Z971" s="771"/>
    </row>
    <row r="972" ht="15.75" customHeight="1">
      <c r="A972" s="771"/>
      <c r="B972" s="771"/>
      <c r="C972" s="771"/>
      <c r="D972" s="771"/>
      <c r="E972" s="771"/>
      <c r="F972" s="771"/>
      <c r="G972" s="771"/>
      <c r="H972" s="771"/>
      <c r="I972" s="771"/>
      <c r="J972" s="771"/>
      <c r="K972" s="771"/>
      <c r="L972" s="771"/>
      <c r="M972" s="771"/>
      <c r="N972" s="771"/>
      <c r="O972" s="771"/>
      <c r="P972" s="771"/>
      <c r="Q972" s="771"/>
      <c r="R972" s="771"/>
      <c r="S972" s="771"/>
      <c r="T972" s="771"/>
      <c r="U972" s="771"/>
      <c r="V972" s="771"/>
      <c r="W972" s="771"/>
      <c r="X972" s="771"/>
      <c r="Y972" s="771"/>
      <c r="Z972" s="771"/>
    </row>
    <row r="973" ht="15.75" customHeight="1">
      <c r="A973" s="771"/>
      <c r="B973" s="771"/>
      <c r="C973" s="771"/>
      <c r="D973" s="771"/>
      <c r="E973" s="771"/>
      <c r="F973" s="771"/>
      <c r="G973" s="771"/>
      <c r="H973" s="771"/>
      <c r="I973" s="771"/>
      <c r="J973" s="771"/>
      <c r="K973" s="771"/>
      <c r="L973" s="771"/>
      <c r="M973" s="771"/>
      <c r="N973" s="771"/>
      <c r="O973" s="771"/>
      <c r="P973" s="771"/>
      <c r="Q973" s="771"/>
      <c r="R973" s="771"/>
      <c r="S973" s="771"/>
      <c r="T973" s="771"/>
      <c r="U973" s="771"/>
      <c r="V973" s="771"/>
      <c r="W973" s="771"/>
      <c r="X973" s="771"/>
      <c r="Y973" s="771"/>
      <c r="Z973" s="771"/>
    </row>
    <row r="974" ht="15.75" customHeight="1">
      <c r="A974" s="771"/>
      <c r="B974" s="771"/>
      <c r="C974" s="771"/>
      <c r="D974" s="771"/>
      <c r="E974" s="771"/>
      <c r="F974" s="771"/>
      <c r="G974" s="771"/>
      <c r="H974" s="771"/>
      <c r="I974" s="771"/>
      <c r="J974" s="771"/>
      <c r="K974" s="771"/>
      <c r="L974" s="771"/>
      <c r="M974" s="771"/>
      <c r="N974" s="771"/>
      <c r="O974" s="771"/>
      <c r="P974" s="771"/>
      <c r="Q974" s="771"/>
      <c r="R974" s="771"/>
      <c r="S974" s="771"/>
      <c r="T974" s="771"/>
      <c r="U974" s="771"/>
      <c r="V974" s="771"/>
      <c r="W974" s="771"/>
      <c r="X974" s="771"/>
      <c r="Y974" s="771"/>
      <c r="Z974" s="771"/>
    </row>
    <row r="975" ht="15.75" customHeight="1">
      <c r="A975" s="771"/>
      <c r="B975" s="771"/>
      <c r="C975" s="771"/>
      <c r="D975" s="771"/>
      <c r="E975" s="771"/>
      <c r="F975" s="771"/>
      <c r="G975" s="771"/>
      <c r="H975" s="771"/>
      <c r="I975" s="771"/>
      <c r="J975" s="771"/>
      <c r="K975" s="771"/>
      <c r="L975" s="771"/>
      <c r="M975" s="771"/>
      <c r="N975" s="771"/>
      <c r="O975" s="771"/>
      <c r="P975" s="771"/>
      <c r="Q975" s="771"/>
      <c r="R975" s="771"/>
      <c r="S975" s="771"/>
      <c r="T975" s="771"/>
      <c r="U975" s="771"/>
      <c r="V975" s="771"/>
      <c r="W975" s="771"/>
      <c r="X975" s="771"/>
      <c r="Y975" s="771"/>
      <c r="Z975" s="771"/>
    </row>
    <row r="976" ht="15.75" customHeight="1">
      <c r="A976" s="771"/>
      <c r="B976" s="771"/>
      <c r="C976" s="771"/>
      <c r="D976" s="771"/>
      <c r="E976" s="771"/>
      <c r="F976" s="771"/>
      <c r="G976" s="771"/>
      <c r="H976" s="771"/>
      <c r="I976" s="771"/>
      <c r="J976" s="771"/>
      <c r="K976" s="771"/>
      <c r="L976" s="771"/>
      <c r="M976" s="771"/>
      <c r="N976" s="771"/>
      <c r="O976" s="771"/>
      <c r="P976" s="771"/>
      <c r="Q976" s="771"/>
      <c r="R976" s="771"/>
      <c r="S976" s="771"/>
      <c r="T976" s="771"/>
      <c r="U976" s="771"/>
      <c r="V976" s="771"/>
      <c r="W976" s="771"/>
      <c r="X976" s="771"/>
      <c r="Y976" s="771"/>
      <c r="Z976" s="771"/>
    </row>
    <row r="977" ht="15.75" customHeight="1">
      <c r="A977" s="771"/>
      <c r="B977" s="771"/>
      <c r="C977" s="771"/>
      <c r="D977" s="771"/>
      <c r="E977" s="771"/>
      <c r="F977" s="771"/>
      <c r="G977" s="771"/>
      <c r="H977" s="771"/>
      <c r="I977" s="771"/>
      <c r="J977" s="771"/>
      <c r="K977" s="771"/>
      <c r="L977" s="771"/>
      <c r="M977" s="771"/>
      <c r="N977" s="771"/>
      <c r="O977" s="771"/>
      <c r="P977" s="771"/>
      <c r="Q977" s="771"/>
      <c r="R977" s="771"/>
      <c r="S977" s="771"/>
      <c r="T977" s="771"/>
      <c r="U977" s="771"/>
      <c r="V977" s="771"/>
      <c r="W977" s="771"/>
      <c r="X977" s="771"/>
      <c r="Y977" s="771"/>
      <c r="Z977" s="771"/>
    </row>
    <row r="978" ht="15.75" customHeight="1">
      <c r="A978" s="771"/>
      <c r="B978" s="771"/>
      <c r="C978" s="771"/>
      <c r="D978" s="771"/>
      <c r="E978" s="771"/>
      <c r="F978" s="771"/>
      <c r="G978" s="771"/>
      <c r="H978" s="771"/>
      <c r="I978" s="771"/>
      <c r="J978" s="771"/>
      <c r="K978" s="771"/>
      <c r="L978" s="771"/>
      <c r="M978" s="771"/>
      <c r="N978" s="771"/>
      <c r="O978" s="771"/>
      <c r="P978" s="771"/>
      <c r="Q978" s="771"/>
      <c r="R978" s="771"/>
      <c r="S978" s="771"/>
      <c r="T978" s="771"/>
      <c r="U978" s="771"/>
      <c r="V978" s="771"/>
      <c r="W978" s="771"/>
      <c r="X978" s="771"/>
      <c r="Y978" s="771"/>
      <c r="Z978" s="771"/>
    </row>
    <row r="979" ht="15.75" customHeight="1">
      <c r="A979" s="771"/>
      <c r="B979" s="771"/>
      <c r="C979" s="771"/>
      <c r="D979" s="771"/>
      <c r="E979" s="771"/>
      <c r="F979" s="771"/>
      <c r="G979" s="771"/>
      <c r="H979" s="771"/>
      <c r="I979" s="771"/>
      <c r="J979" s="771"/>
      <c r="K979" s="771"/>
      <c r="L979" s="771"/>
      <c r="M979" s="771"/>
      <c r="N979" s="771"/>
      <c r="O979" s="771"/>
      <c r="P979" s="771"/>
      <c r="Q979" s="771"/>
      <c r="R979" s="771"/>
      <c r="S979" s="771"/>
      <c r="T979" s="771"/>
      <c r="U979" s="771"/>
      <c r="V979" s="771"/>
      <c r="W979" s="771"/>
      <c r="X979" s="771"/>
      <c r="Y979" s="771"/>
      <c r="Z979" s="771"/>
    </row>
    <row r="980" ht="15.75" customHeight="1">
      <c r="A980" s="771"/>
      <c r="B980" s="771"/>
      <c r="C980" s="771"/>
      <c r="D980" s="771"/>
      <c r="E980" s="771"/>
      <c r="F980" s="771"/>
      <c r="G980" s="771"/>
      <c r="H980" s="771"/>
      <c r="I980" s="771"/>
      <c r="J980" s="771"/>
      <c r="K980" s="771"/>
      <c r="L980" s="771"/>
      <c r="M980" s="771"/>
      <c r="N980" s="771"/>
      <c r="O980" s="771"/>
      <c r="P980" s="771"/>
      <c r="Q980" s="771"/>
      <c r="R980" s="771"/>
      <c r="S980" s="771"/>
      <c r="T980" s="771"/>
      <c r="U980" s="771"/>
      <c r="V980" s="771"/>
      <c r="W980" s="771"/>
      <c r="X980" s="771"/>
      <c r="Y980" s="771"/>
      <c r="Z980" s="771"/>
    </row>
    <row r="981" ht="15.75" customHeight="1">
      <c r="A981" s="771"/>
      <c r="B981" s="771"/>
      <c r="C981" s="771"/>
      <c r="D981" s="771"/>
      <c r="E981" s="771"/>
      <c r="F981" s="771"/>
      <c r="G981" s="771"/>
      <c r="H981" s="771"/>
      <c r="I981" s="771"/>
      <c r="J981" s="771"/>
      <c r="K981" s="771"/>
      <c r="L981" s="771"/>
      <c r="M981" s="771"/>
      <c r="N981" s="771"/>
      <c r="O981" s="771"/>
      <c r="P981" s="771"/>
      <c r="Q981" s="771"/>
      <c r="R981" s="771"/>
      <c r="S981" s="771"/>
      <c r="T981" s="771"/>
      <c r="U981" s="771"/>
      <c r="V981" s="771"/>
      <c r="W981" s="771"/>
      <c r="X981" s="771"/>
      <c r="Y981" s="771"/>
      <c r="Z981" s="771"/>
    </row>
    <row r="982" ht="15.75" customHeight="1">
      <c r="A982" s="771"/>
      <c r="B982" s="771"/>
      <c r="C982" s="771"/>
      <c r="D982" s="771"/>
      <c r="E982" s="771"/>
      <c r="F982" s="771"/>
      <c r="G982" s="771"/>
      <c r="H982" s="771"/>
      <c r="I982" s="771"/>
      <c r="J982" s="771"/>
      <c r="K982" s="771"/>
      <c r="L982" s="771"/>
      <c r="M982" s="771"/>
      <c r="N982" s="771"/>
      <c r="O982" s="771"/>
      <c r="P982" s="771"/>
      <c r="Q982" s="771"/>
      <c r="R982" s="771"/>
      <c r="S982" s="771"/>
      <c r="T982" s="771"/>
      <c r="U982" s="771"/>
      <c r="V982" s="771"/>
      <c r="W982" s="771"/>
      <c r="X982" s="771"/>
      <c r="Y982" s="771"/>
      <c r="Z982" s="771"/>
    </row>
    <row r="983" ht="15.75" customHeight="1">
      <c r="A983" s="771"/>
      <c r="B983" s="771"/>
      <c r="C983" s="771"/>
      <c r="D983" s="771"/>
      <c r="E983" s="771"/>
      <c r="F983" s="771"/>
      <c r="G983" s="771"/>
      <c r="H983" s="771"/>
      <c r="I983" s="771"/>
      <c r="J983" s="771"/>
      <c r="K983" s="771"/>
      <c r="L983" s="771"/>
      <c r="M983" s="771"/>
      <c r="N983" s="771"/>
      <c r="O983" s="771"/>
      <c r="P983" s="771"/>
      <c r="Q983" s="771"/>
      <c r="R983" s="771"/>
      <c r="S983" s="771"/>
      <c r="T983" s="771"/>
      <c r="U983" s="771"/>
      <c r="V983" s="771"/>
      <c r="W983" s="771"/>
      <c r="X983" s="771"/>
      <c r="Y983" s="771"/>
      <c r="Z983" s="771"/>
    </row>
    <row r="984" ht="15.75" customHeight="1">
      <c r="A984" s="771"/>
      <c r="B984" s="771"/>
      <c r="C984" s="771"/>
      <c r="D984" s="771"/>
      <c r="E984" s="771"/>
      <c r="F984" s="771"/>
      <c r="G984" s="771"/>
      <c r="H984" s="771"/>
      <c r="I984" s="771"/>
      <c r="J984" s="771"/>
      <c r="K984" s="771"/>
      <c r="L984" s="771"/>
      <c r="M984" s="771"/>
      <c r="N984" s="771"/>
      <c r="O984" s="771"/>
      <c r="P984" s="771"/>
      <c r="Q984" s="771"/>
      <c r="R984" s="771"/>
      <c r="S984" s="771"/>
      <c r="T984" s="771"/>
      <c r="U984" s="771"/>
      <c r="V984" s="771"/>
      <c r="W984" s="771"/>
      <c r="X984" s="771"/>
      <c r="Y984" s="771"/>
      <c r="Z984" s="771"/>
    </row>
    <row r="985" ht="15.75" customHeight="1">
      <c r="A985" s="771"/>
      <c r="B985" s="771"/>
      <c r="C985" s="771"/>
      <c r="D985" s="771"/>
      <c r="E985" s="771"/>
      <c r="F985" s="771"/>
      <c r="G985" s="771"/>
      <c r="H985" s="771"/>
      <c r="I985" s="771"/>
      <c r="J985" s="771"/>
      <c r="K985" s="771"/>
      <c r="L985" s="771"/>
      <c r="M985" s="771"/>
      <c r="N985" s="771"/>
      <c r="O985" s="771"/>
      <c r="P985" s="771"/>
      <c r="Q985" s="771"/>
      <c r="R985" s="771"/>
      <c r="S985" s="771"/>
      <c r="T985" s="771"/>
      <c r="U985" s="771"/>
      <c r="V985" s="771"/>
      <c r="W985" s="771"/>
      <c r="X985" s="771"/>
      <c r="Y985" s="771"/>
      <c r="Z985" s="771"/>
    </row>
    <row r="986" ht="15.75" customHeight="1">
      <c r="A986" s="771"/>
      <c r="B986" s="771"/>
      <c r="C986" s="771"/>
      <c r="D986" s="771"/>
      <c r="E986" s="771"/>
      <c r="F986" s="771"/>
      <c r="G986" s="771"/>
      <c r="H986" s="771"/>
      <c r="I986" s="771"/>
      <c r="J986" s="771"/>
      <c r="K986" s="771"/>
      <c r="L986" s="771"/>
      <c r="M986" s="771"/>
      <c r="N986" s="771"/>
      <c r="O986" s="771"/>
      <c r="P986" s="771"/>
      <c r="Q986" s="771"/>
      <c r="R986" s="771"/>
      <c r="S986" s="771"/>
      <c r="T986" s="771"/>
      <c r="U986" s="771"/>
      <c r="V986" s="771"/>
      <c r="W986" s="771"/>
      <c r="X986" s="771"/>
      <c r="Y986" s="771"/>
      <c r="Z986" s="771"/>
    </row>
    <row r="987" ht="15.75" customHeight="1">
      <c r="A987" s="771"/>
      <c r="B987" s="771"/>
      <c r="C987" s="771"/>
      <c r="D987" s="771"/>
      <c r="E987" s="771"/>
      <c r="F987" s="771"/>
      <c r="G987" s="771"/>
      <c r="H987" s="771"/>
      <c r="I987" s="771"/>
      <c r="J987" s="771"/>
      <c r="K987" s="771"/>
      <c r="L987" s="771"/>
      <c r="M987" s="771"/>
      <c r="N987" s="771"/>
      <c r="O987" s="771"/>
      <c r="P987" s="771"/>
      <c r="Q987" s="771"/>
      <c r="R987" s="771"/>
      <c r="S987" s="771"/>
      <c r="T987" s="771"/>
      <c r="U987" s="771"/>
      <c r="V987" s="771"/>
      <c r="W987" s="771"/>
      <c r="X987" s="771"/>
      <c r="Y987" s="771"/>
      <c r="Z987" s="771"/>
    </row>
    <row r="988" ht="15.75" customHeight="1">
      <c r="A988" s="771"/>
      <c r="B988" s="771"/>
      <c r="C988" s="771"/>
      <c r="D988" s="771"/>
      <c r="E988" s="771"/>
      <c r="F988" s="771"/>
      <c r="G988" s="771"/>
      <c r="H988" s="771"/>
      <c r="I988" s="771"/>
      <c r="J988" s="771"/>
      <c r="K988" s="771"/>
      <c r="L988" s="771"/>
      <c r="M988" s="771"/>
      <c r="N988" s="771"/>
      <c r="O988" s="771"/>
      <c r="P988" s="771"/>
      <c r="Q988" s="771"/>
      <c r="R988" s="771"/>
      <c r="S988" s="771"/>
      <c r="T988" s="771"/>
      <c r="U988" s="771"/>
      <c r="V988" s="771"/>
      <c r="W988" s="771"/>
      <c r="X988" s="771"/>
      <c r="Y988" s="771"/>
      <c r="Z988" s="771"/>
    </row>
    <row r="989" ht="15.75" customHeight="1">
      <c r="A989" s="771"/>
      <c r="B989" s="771"/>
      <c r="C989" s="771"/>
      <c r="D989" s="771"/>
      <c r="E989" s="771"/>
      <c r="F989" s="771"/>
      <c r="G989" s="771"/>
      <c r="H989" s="771"/>
      <c r="I989" s="771"/>
      <c r="J989" s="771"/>
      <c r="K989" s="771"/>
      <c r="L989" s="771"/>
      <c r="M989" s="771"/>
      <c r="N989" s="771"/>
      <c r="O989" s="771"/>
      <c r="P989" s="771"/>
      <c r="Q989" s="771"/>
      <c r="R989" s="771"/>
      <c r="S989" s="771"/>
      <c r="T989" s="771"/>
      <c r="U989" s="771"/>
      <c r="V989" s="771"/>
      <c r="W989" s="771"/>
      <c r="X989" s="771"/>
      <c r="Y989" s="771"/>
      <c r="Z989" s="771"/>
    </row>
    <row r="990" ht="15.75" customHeight="1">
      <c r="A990" s="771"/>
      <c r="B990" s="771"/>
      <c r="C990" s="771"/>
      <c r="D990" s="771"/>
      <c r="E990" s="771"/>
      <c r="F990" s="771"/>
      <c r="G990" s="771"/>
      <c r="H990" s="771"/>
      <c r="I990" s="771"/>
      <c r="J990" s="771"/>
      <c r="K990" s="771"/>
      <c r="L990" s="771"/>
      <c r="M990" s="771"/>
      <c r="N990" s="771"/>
      <c r="O990" s="771"/>
      <c r="P990" s="771"/>
      <c r="Q990" s="771"/>
      <c r="R990" s="771"/>
      <c r="S990" s="771"/>
      <c r="T990" s="771"/>
      <c r="U990" s="771"/>
      <c r="V990" s="771"/>
      <c r="W990" s="771"/>
      <c r="X990" s="771"/>
      <c r="Y990" s="771"/>
      <c r="Z990" s="771"/>
    </row>
    <row r="991" ht="15.75" customHeight="1">
      <c r="A991" s="771"/>
      <c r="B991" s="771"/>
      <c r="C991" s="771"/>
      <c r="D991" s="771"/>
      <c r="E991" s="771"/>
      <c r="F991" s="771"/>
      <c r="G991" s="771"/>
      <c r="H991" s="771"/>
      <c r="I991" s="771"/>
      <c r="J991" s="771"/>
      <c r="K991" s="771"/>
      <c r="L991" s="771"/>
      <c r="M991" s="771"/>
      <c r="N991" s="771"/>
      <c r="O991" s="771"/>
      <c r="P991" s="771"/>
      <c r="Q991" s="771"/>
      <c r="R991" s="771"/>
      <c r="S991" s="771"/>
      <c r="T991" s="771"/>
      <c r="U991" s="771"/>
      <c r="V991" s="771"/>
      <c r="W991" s="771"/>
      <c r="X991" s="771"/>
      <c r="Y991" s="771"/>
      <c r="Z991" s="771"/>
    </row>
    <row r="992" ht="15.75" customHeight="1">
      <c r="A992" s="771"/>
      <c r="B992" s="771"/>
      <c r="C992" s="771"/>
      <c r="D992" s="771"/>
      <c r="E992" s="771"/>
      <c r="F992" s="771"/>
      <c r="G992" s="771"/>
      <c r="H992" s="771"/>
      <c r="I992" s="771"/>
      <c r="J992" s="771"/>
      <c r="K992" s="771"/>
      <c r="L992" s="771"/>
      <c r="M992" s="771"/>
      <c r="N992" s="771"/>
      <c r="O992" s="771"/>
      <c r="P992" s="771"/>
      <c r="Q992" s="771"/>
      <c r="R992" s="771"/>
      <c r="S992" s="771"/>
      <c r="T992" s="771"/>
      <c r="U992" s="771"/>
      <c r="V992" s="771"/>
      <c r="W992" s="771"/>
      <c r="X992" s="771"/>
      <c r="Y992" s="771"/>
      <c r="Z992" s="771"/>
    </row>
    <row r="993" ht="15.75" customHeight="1">
      <c r="A993" s="771"/>
      <c r="B993" s="771"/>
      <c r="C993" s="771"/>
      <c r="D993" s="771"/>
      <c r="E993" s="771"/>
      <c r="F993" s="771"/>
      <c r="G993" s="771"/>
      <c r="H993" s="771"/>
      <c r="I993" s="771"/>
      <c r="J993" s="771"/>
      <c r="K993" s="771"/>
      <c r="L993" s="771"/>
      <c r="M993" s="771"/>
      <c r="N993" s="771"/>
      <c r="O993" s="771"/>
      <c r="P993" s="771"/>
      <c r="Q993" s="771"/>
      <c r="R993" s="771"/>
      <c r="S993" s="771"/>
      <c r="T993" s="771"/>
      <c r="U993" s="771"/>
      <c r="V993" s="771"/>
      <c r="W993" s="771"/>
      <c r="X993" s="771"/>
      <c r="Y993" s="771"/>
      <c r="Z993" s="771"/>
    </row>
    <row r="994" ht="15.75" customHeight="1">
      <c r="A994" s="771"/>
      <c r="B994" s="771"/>
      <c r="C994" s="771"/>
      <c r="D994" s="771"/>
      <c r="E994" s="771"/>
      <c r="F994" s="771"/>
      <c r="G994" s="771"/>
      <c r="H994" s="771"/>
      <c r="I994" s="771"/>
      <c r="J994" s="771"/>
      <c r="K994" s="771"/>
      <c r="L994" s="771"/>
      <c r="M994" s="771"/>
      <c r="N994" s="771"/>
      <c r="O994" s="771"/>
      <c r="P994" s="771"/>
      <c r="Q994" s="771"/>
      <c r="R994" s="771"/>
      <c r="S994" s="771"/>
      <c r="T994" s="771"/>
      <c r="U994" s="771"/>
      <c r="V994" s="771"/>
      <c r="W994" s="771"/>
      <c r="X994" s="771"/>
      <c r="Y994" s="771"/>
      <c r="Z994" s="771"/>
    </row>
    <row r="995" ht="15.75" customHeight="1">
      <c r="A995" s="771"/>
      <c r="B995" s="771"/>
      <c r="C995" s="771"/>
      <c r="D995" s="771"/>
      <c r="E995" s="771"/>
      <c r="F995" s="771"/>
      <c r="G995" s="771"/>
      <c r="H995" s="771"/>
      <c r="I995" s="771"/>
      <c r="J995" s="771"/>
      <c r="K995" s="771"/>
      <c r="L995" s="771"/>
      <c r="M995" s="771"/>
      <c r="N995" s="771"/>
      <c r="O995" s="771"/>
      <c r="P995" s="771"/>
      <c r="Q995" s="771"/>
      <c r="R995" s="771"/>
      <c r="S995" s="771"/>
      <c r="T995" s="771"/>
      <c r="U995" s="771"/>
      <c r="V995" s="771"/>
      <c r="W995" s="771"/>
      <c r="X995" s="771"/>
      <c r="Y995" s="771"/>
      <c r="Z995" s="771"/>
    </row>
    <row r="996" ht="15.75" customHeight="1">
      <c r="A996" s="771"/>
      <c r="B996" s="771"/>
      <c r="C996" s="771"/>
      <c r="D996" s="771"/>
      <c r="E996" s="771"/>
      <c r="F996" s="771"/>
      <c r="G996" s="771"/>
      <c r="H996" s="771"/>
      <c r="I996" s="771"/>
      <c r="J996" s="771"/>
      <c r="K996" s="771"/>
      <c r="L996" s="771"/>
      <c r="M996" s="771"/>
      <c r="N996" s="771"/>
      <c r="O996" s="771"/>
      <c r="P996" s="771"/>
      <c r="Q996" s="771"/>
      <c r="R996" s="771"/>
      <c r="S996" s="771"/>
      <c r="T996" s="771"/>
      <c r="U996" s="771"/>
      <c r="V996" s="771"/>
      <c r="W996" s="771"/>
      <c r="X996" s="771"/>
      <c r="Y996" s="771"/>
      <c r="Z996" s="771"/>
    </row>
    <row r="997" ht="15.75" customHeight="1">
      <c r="A997" s="771"/>
      <c r="B997" s="771"/>
      <c r="C997" s="771"/>
      <c r="D997" s="771"/>
      <c r="E997" s="771"/>
      <c r="F997" s="771"/>
      <c r="G997" s="771"/>
      <c r="H997" s="771"/>
      <c r="I997" s="771"/>
      <c r="J997" s="771"/>
      <c r="K997" s="771"/>
      <c r="L997" s="771"/>
      <c r="M997" s="771"/>
      <c r="N997" s="771"/>
      <c r="O997" s="771"/>
      <c r="P997" s="771"/>
      <c r="Q997" s="771"/>
      <c r="R997" s="771"/>
      <c r="S997" s="771"/>
      <c r="T997" s="771"/>
      <c r="U997" s="771"/>
      <c r="V997" s="771"/>
      <c r="W997" s="771"/>
      <c r="X997" s="771"/>
      <c r="Y997" s="771"/>
      <c r="Z997" s="771"/>
    </row>
    <row r="998" ht="15.75" customHeight="1">
      <c r="A998" s="771"/>
      <c r="B998" s="771"/>
      <c r="C998" s="771"/>
      <c r="D998" s="771"/>
      <c r="E998" s="771"/>
      <c r="F998" s="771"/>
      <c r="G998" s="771"/>
      <c r="H998" s="771"/>
      <c r="I998" s="771"/>
      <c r="J998" s="771"/>
      <c r="K998" s="771"/>
      <c r="L998" s="771"/>
      <c r="M998" s="771"/>
      <c r="N998" s="771"/>
      <c r="O998" s="771"/>
      <c r="P998" s="771"/>
      <c r="Q998" s="771"/>
      <c r="R998" s="771"/>
      <c r="S998" s="771"/>
      <c r="T998" s="771"/>
      <c r="U998" s="771"/>
      <c r="V998" s="771"/>
      <c r="W998" s="771"/>
      <c r="X998" s="771"/>
      <c r="Y998" s="771"/>
      <c r="Z998" s="771"/>
    </row>
    <row r="999" ht="15.75" customHeight="1">
      <c r="A999" s="771"/>
      <c r="B999" s="771"/>
      <c r="C999" s="771"/>
      <c r="D999" s="771"/>
      <c r="E999" s="771"/>
      <c r="F999" s="771"/>
      <c r="G999" s="771"/>
      <c r="H999" s="771"/>
      <c r="I999" s="771"/>
      <c r="J999" s="771"/>
      <c r="K999" s="771"/>
      <c r="L999" s="771"/>
      <c r="M999" s="771"/>
      <c r="N999" s="771"/>
      <c r="O999" s="771"/>
      <c r="P999" s="771"/>
      <c r="Q999" s="771"/>
      <c r="R999" s="771"/>
      <c r="S999" s="771"/>
      <c r="T999" s="771"/>
      <c r="U999" s="771"/>
      <c r="V999" s="771"/>
      <c r="W999" s="771"/>
      <c r="X999" s="771"/>
      <c r="Y999" s="771"/>
      <c r="Z999" s="771"/>
    </row>
    <row r="1000" ht="15.75" customHeight="1">
      <c r="A1000" s="771"/>
      <c r="B1000" s="771"/>
      <c r="C1000" s="771"/>
      <c r="D1000" s="771"/>
      <c r="E1000" s="771"/>
      <c r="F1000" s="771"/>
      <c r="G1000" s="771"/>
      <c r="H1000" s="771"/>
      <c r="I1000" s="771"/>
      <c r="J1000" s="771"/>
      <c r="K1000" s="771"/>
      <c r="L1000" s="771"/>
      <c r="M1000" s="771"/>
      <c r="N1000" s="771"/>
      <c r="O1000" s="771"/>
      <c r="P1000" s="771"/>
      <c r="Q1000" s="771"/>
      <c r="R1000" s="771"/>
      <c r="S1000" s="771"/>
      <c r="T1000" s="771"/>
      <c r="U1000" s="771"/>
      <c r="V1000" s="771"/>
      <c r="W1000" s="771"/>
      <c r="X1000" s="771"/>
      <c r="Y1000" s="771"/>
      <c r="Z1000" s="771"/>
    </row>
  </sheetData>
  <conditionalFormatting sqref="C2:C7">
    <cfRule type="containsBlanks" dxfId="0" priority="1">
      <formula>LEN(TRIM(C2))=0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hidden="1" min="3" max="6" width="8.71"/>
    <col customWidth="1" hidden="1" min="7" max="7" width="52.43"/>
    <col customWidth="1" min="8" max="8" width="17.71"/>
    <col customWidth="1" min="9" max="9" width="17.29"/>
    <col customWidth="1" min="10" max="26" width="8.71"/>
  </cols>
  <sheetData>
    <row r="1" ht="20.25" customHeight="1">
      <c r="A1" s="666" t="s">
        <v>2566</v>
      </c>
      <c r="B1" s="667" t="s">
        <v>2567</v>
      </c>
      <c r="C1" s="668">
        <v>1.0</v>
      </c>
      <c r="D1" s="668"/>
      <c r="E1" s="668"/>
      <c r="F1" s="666" t="s">
        <v>2568</v>
      </c>
      <c r="G1" s="666" t="s">
        <v>2569</v>
      </c>
      <c r="H1" s="774" t="str">
        <f>IMAGE("https://encrypted-tbn0.gstatic.com/=IMAGEs?q=tbn:ANd9GcRya_wsgLj2EYRpKnBiKCbfEgC9ARea6AJbH_dSdZ1X0a2gNXiaKWfdrYggTXUxy4M3Oyw&amp;usqp=CAU",1)</f>
        <v/>
      </c>
      <c r="I1" s="670" t="s">
        <v>2570</v>
      </c>
    </row>
    <row r="2" ht="20.25" customHeight="1">
      <c r="A2" s="666" t="s">
        <v>2571</v>
      </c>
      <c r="B2" s="667" t="s">
        <v>2572</v>
      </c>
      <c r="C2" s="668">
        <v>1.0</v>
      </c>
      <c r="D2" s="668"/>
      <c r="E2" s="668"/>
      <c r="F2" s="666" t="s">
        <v>2568</v>
      </c>
      <c r="G2" s="666" t="s">
        <v>2569</v>
      </c>
      <c r="H2" s="774" t="str">
        <f>IMAGE("https://www.labkafe.com/storage/nice/a11329-potassium-alum-99-aluminium-potassium-sulphate-500gm.jpg",1)</f>
        <v/>
      </c>
      <c r="I2" s="670" t="s">
        <v>2570</v>
      </c>
    </row>
    <row r="3" ht="20.25" customHeight="1">
      <c r="A3" s="666" t="s">
        <v>2573</v>
      </c>
      <c r="B3" s="667" t="s">
        <v>2574</v>
      </c>
      <c r="C3" s="668">
        <v>1.0</v>
      </c>
      <c r="D3" s="668"/>
      <c r="E3" s="668"/>
      <c r="F3" s="666" t="s">
        <v>2568</v>
      </c>
      <c r="G3" s="666" t="s">
        <v>2575</v>
      </c>
      <c r="H3" s="774" t="str">
        <f>IMAGE("https://www.sigmaaldrich.com/deepweb/content/dam/sigma-aldrich/product6/132/204005-100g_0005829_btl.tif/_jcr_content/renditions/204005-100g_0005829_btl-medium.jpg",1)</f>
        <v/>
      </c>
      <c r="I3" s="670" t="s">
        <v>2570</v>
      </c>
    </row>
    <row r="4" ht="20.25" customHeight="1">
      <c r="A4" s="666" t="s">
        <v>2576</v>
      </c>
      <c r="B4" s="667" t="s">
        <v>2577</v>
      </c>
      <c r="C4" s="668">
        <v>1.0</v>
      </c>
      <c r="D4" s="668"/>
      <c r="E4" s="668"/>
      <c r="F4" s="666" t="s">
        <v>2568</v>
      </c>
      <c r="G4" s="666" t="s">
        <v>2575</v>
      </c>
      <c r="H4" s="774" t="str">
        <f>IMAGE("https://cpimg.tistatic.com/06869653/b/4/1-kg-Bleaching-Powder.jpg",1)</f>
        <v/>
      </c>
      <c r="I4" s="670" t="s">
        <v>2570</v>
      </c>
    </row>
    <row r="5" ht="20.25" customHeight="1">
      <c r="A5" s="666" t="s">
        <v>2578</v>
      </c>
      <c r="B5" s="667" t="s">
        <v>2579</v>
      </c>
      <c r="C5" s="668">
        <v>1.0</v>
      </c>
      <c r="D5" s="668"/>
      <c r="E5" s="668"/>
      <c r="F5" s="666" t="s">
        <v>2568</v>
      </c>
      <c r="G5" s="666" t="s">
        <v>2569</v>
      </c>
      <c r="H5" s="774" t="str">
        <f>IMAGE("https://www.labkafe.com/storage/nice/b11829-borax-di-sodium-tetraborate-99-500gm.jpg",1)</f>
        <v/>
      </c>
      <c r="I5" s="670" t="s">
        <v>2570</v>
      </c>
    </row>
    <row r="6" ht="20.25" customHeight="1">
      <c r="A6" s="666" t="s">
        <v>2580</v>
      </c>
      <c r="B6" s="667" t="s">
        <v>2581</v>
      </c>
      <c r="C6" s="668">
        <v>1.0</v>
      </c>
      <c r="D6" s="668"/>
      <c r="E6" s="668"/>
      <c r="F6" s="666" t="s">
        <v>2568</v>
      </c>
      <c r="G6" s="666" t="s">
        <v>2569</v>
      </c>
      <c r="H6" s="774" t="str">
        <f>IMAGE("https://www.ibuychemikals.com/prdimg/full/IBCLABQ6NB6S8.jpg",1)</f>
        <v/>
      </c>
      <c r="I6" s="670" t="s">
        <v>2570</v>
      </c>
    </row>
    <row r="7" ht="20.25" customHeight="1">
      <c r="A7" s="666" t="s">
        <v>2582</v>
      </c>
      <c r="B7" s="667" t="s">
        <v>2583</v>
      </c>
      <c r="C7" s="668">
        <v>1.0</v>
      </c>
      <c r="D7" s="668"/>
      <c r="E7" s="668"/>
      <c r="F7" s="666" t="s">
        <v>2568</v>
      </c>
      <c r="G7" s="666" t="s">
        <v>2584</v>
      </c>
      <c r="H7" s="774" t="str">
        <f>IMAGE("https://www.sigmaaldrich.com/deepweb/content/dam/sigma-aldrich/product7/165/791725-100g_0008016_btl.tif/_jcr_content/renditions/791725-100g_0008016_btl-medium.jpg",1)</f>
        <v/>
      </c>
      <c r="I7" s="670" t="s">
        <v>2570</v>
      </c>
    </row>
    <row r="8" ht="20.25" customHeight="1">
      <c r="A8" s="666" t="s">
        <v>2585</v>
      </c>
      <c r="B8" s="667" t="s">
        <v>2586</v>
      </c>
      <c r="C8" s="668">
        <v>1.0</v>
      </c>
      <c r="D8" s="668"/>
      <c r="E8" s="668"/>
      <c r="F8" s="666" t="s">
        <v>2568</v>
      </c>
      <c r="G8" s="666" t="s">
        <v>2584</v>
      </c>
      <c r="H8" s="774" t="str">
        <f>IMAGE("https://static.grainger.com/rp/s/is/image/Grainger/39G361_AS01?hei=536&amp;wid=536&amp;$adapimg$=",1)</f>
        <v/>
      </c>
      <c r="I8" s="670" t="s">
        <v>2570</v>
      </c>
    </row>
    <row r="9" ht="20.25" customHeight="1">
      <c r="A9" s="666" t="s">
        <v>2587</v>
      </c>
      <c r="B9" s="667" t="s">
        <v>2588</v>
      </c>
      <c r="C9" s="668">
        <v>1.0</v>
      </c>
      <c r="D9" s="668"/>
      <c r="E9" s="668"/>
      <c r="F9" s="666" t="s">
        <v>2568</v>
      </c>
      <c r="G9" s="666" t="s">
        <v>2589</v>
      </c>
      <c r="H9" s="774" t="str">
        <f>IMAGE("https://blog-images-1.pharmeasy.in/blog/production/wp-content/uploads/2022/10/06133417/2-4-741x452.jpg",1)</f>
        <v/>
      </c>
      <c r="I9" s="670" t="s">
        <v>2570</v>
      </c>
    </row>
    <row r="10" ht="20.25" customHeight="1">
      <c r="A10" s="666" t="s">
        <v>2590</v>
      </c>
      <c r="B10" s="667" t="s">
        <v>2591</v>
      </c>
      <c r="C10" s="668">
        <v>5.0</v>
      </c>
      <c r="D10" s="668"/>
      <c r="E10" s="668"/>
      <c r="F10" s="666" t="s">
        <v>2568</v>
      </c>
      <c r="G10" s="666" t="s">
        <v>2592</v>
      </c>
      <c r="H10" s="774" t="str">
        <f>IMAGE("https://m.media-amazon.com/images/I/5179jsOM4aL._AC_SL1000_.jpg",1)</f>
        <v/>
      </c>
      <c r="I10" s="670" t="s">
        <v>2570</v>
      </c>
    </row>
    <row r="11" ht="20.25" customHeight="1">
      <c r="A11" s="666" t="s">
        <v>2593</v>
      </c>
      <c r="B11" s="667" t="s">
        <v>2594</v>
      </c>
      <c r="C11" s="668">
        <v>1.0</v>
      </c>
      <c r="D11" s="668"/>
      <c r="E11" s="668"/>
      <c r="F11" s="666" t="s">
        <v>2568</v>
      </c>
      <c r="G11" s="666" t="s">
        <v>2595</v>
      </c>
      <c r="H11" s="774" t="str">
        <f>IMAGE("https://5.imimg.com/data5/BX/CJ/ZA/SELLER-2409410/dm-water-500x500.jpg",1)</f>
        <v/>
      </c>
      <c r="I11" s="670" t="s">
        <v>2570</v>
      </c>
    </row>
    <row r="12" ht="20.25" customHeight="1">
      <c r="A12" s="666" t="s">
        <v>2596</v>
      </c>
      <c r="B12" s="667" t="s">
        <v>2597</v>
      </c>
      <c r="C12" s="668">
        <v>1.0</v>
      </c>
      <c r="D12" s="668"/>
      <c r="E12" s="668"/>
      <c r="F12" s="666" t="s">
        <v>2568</v>
      </c>
      <c r="G12" s="666" t="s">
        <v>2584</v>
      </c>
      <c r="H12" s="774" t="str">
        <f>IMAGE("https://www.sigmaaldrich.com/deepweb/content/dam/sigma-aldrich/product2/122/g1890-100g_0010234_btl.tif/_jcr_content/renditions/g1890-100g_0010234_btl-medium.jpg",1)</f>
        <v/>
      </c>
      <c r="I12" s="670" t="s">
        <v>2570</v>
      </c>
    </row>
    <row r="13" ht="20.25" customHeight="1">
      <c r="A13" s="666" t="s">
        <v>2598</v>
      </c>
      <c r="B13" s="667" t="s">
        <v>2599</v>
      </c>
      <c r="C13" s="668">
        <v>1.0</v>
      </c>
      <c r="D13" s="668"/>
      <c r="E13" s="668"/>
      <c r="F13" s="666" t="s">
        <v>2568</v>
      </c>
      <c r="G13" s="666" t="s">
        <v>2584</v>
      </c>
      <c r="H13" s="774" t="str">
        <f>IMAGE("https://www.labkafe.com/storage/nice/g11029-glycerine-glycerol-98-500-ml.jpg",1)</f>
        <v/>
      </c>
      <c r="I13" s="670" t="s">
        <v>2570</v>
      </c>
    </row>
    <row r="14" ht="20.25" customHeight="1">
      <c r="A14" s="666" t="s">
        <v>2600</v>
      </c>
      <c r="B14" s="667" t="s">
        <v>2601</v>
      </c>
      <c r="C14" s="668">
        <v>5.0</v>
      </c>
      <c r="D14" s="668"/>
      <c r="E14" s="668"/>
      <c r="F14" s="666" t="s">
        <v>2568</v>
      </c>
      <c r="G14" s="666" t="s">
        <v>2602</v>
      </c>
      <c r="H14" s="774" t="str">
        <f>IMAGE("https://m.media-amazon.com/images/I/5179jsOM4aL._AC_SL1000_.jpg",1)</f>
        <v/>
      </c>
      <c r="I14" s="670" t="s">
        <v>2570</v>
      </c>
    </row>
    <row r="15" ht="20.25" customHeight="1">
      <c r="A15" s="666" t="s">
        <v>2603</v>
      </c>
      <c r="B15" s="667" t="s">
        <v>2604</v>
      </c>
      <c r="C15" s="668">
        <v>1.0</v>
      </c>
      <c r="D15" s="668"/>
      <c r="E15" s="668"/>
      <c r="F15" s="666" t="s">
        <v>2568</v>
      </c>
      <c r="G15" s="666" t="s">
        <v>481</v>
      </c>
      <c r="H15" s="774" t="str">
        <f>IMAGE("https://www.medicalsupplies.com.sg/934-medium_default/isopropyl-alcohol-70-v-v-500ml-per-bottle.jpg",1)</f>
        <v/>
      </c>
      <c r="I15" s="670" t="s">
        <v>2570</v>
      </c>
    </row>
    <row r="16" ht="20.25" customHeight="1">
      <c r="A16" s="666" t="s">
        <v>2605</v>
      </c>
      <c r="B16" s="667" t="s">
        <v>2606</v>
      </c>
      <c r="C16" s="668">
        <v>1.0</v>
      </c>
      <c r="D16" s="668"/>
      <c r="E16" s="668"/>
      <c r="F16" s="666" t="s">
        <v>2568</v>
      </c>
      <c r="G16" s="666" t="s">
        <v>2607</v>
      </c>
      <c r="H16" s="774" t="str">
        <f>IMAGE("https://5.imimg.com/data5/TG/TW/MY-39953160/5-litre-liquid-hand-wash-500x500.jpg",1)</f>
        <v/>
      </c>
      <c r="I16" s="670" t="s">
        <v>2570</v>
      </c>
    </row>
    <row r="17" ht="20.25" customHeight="1">
      <c r="A17" s="666" t="s">
        <v>2608</v>
      </c>
      <c r="B17" s="667" t="s">
        <v>2609</v>
      </c>
      <c r="C17" s="668">
        <v>1.0</v>
      </c>
      <c r="D17" s="668"/>
      <c r="E17" s="668"/>
      <c r="F17" s="666" t="s">
        <v>2568</v>
      </c>
      <c r="G17" s="666" t="s">
        <v>2610</v>
      </c>
      <c r="H17" s="774" t="str">
        <f>IMAGE("https://m.media-amazon.com/images/I/71rFQr-jOES._SL1500_.jpg",1)</f>
        <v/>
      </c>
      <c r="I17" s="670" t="s">
        <v>2570</v>
      </c>
    </row>
    <row r="18" ht="20.25" customHeight="1">
      <c r="A18" s="666" t="s">
        <v>2611</v>
      </c>
      <c r="B18" s="667" t="s">
        <v>2612</v>
      </c>
      <c r="C18" s="668">
        <v>1.0</v>
      </c>
      <c r="D18" s="668"/>
      <c r="E18" s="668"/>
      <c r="F18" s="666" t="s">
        <v>2568</v>
      </c>
      <c r="G18" s="666" t="s">
        <v>2569</v>
      </c>
      <c r="H18" s="774" t="str">
        <f>IMAGE("https://4.imimg.com/data4/HR/GT/MY-2102132/plaster-of-paris-500x500.png",1)</f>
        <v/>
      </c>
      <c r="I18" s="670" t="s">
        <v>2570</v>
      </c>
    </row>
    <row r="19" ht="20.25" customHeight="1">
      <c r="A19" s="666" t="s">
        <v>2613</v>
      </c>
      <c r="B19" s="667" t="s">
        <v>2614</v>
      </c>
      <c r="C19" s="668">
        <v>1.0</v>
      </c>
      <c r="D19" s="668"/>
      <c r="E19" s="668"/>
      <c r="F19" s="666" t="s">
        <v>2568</v>
      </c>
      <c r="G19" s="666" t="s">
        <v>2610</v>
      </c>
      <c r="H19" s="774" t="str">
        <f>IMAGE("https://5.imimg.com/data5/SELLER/Default/2021/8/RY/MV/EF/30727806/s30271-safranin-stain-solution-125-ml-500x500-500x500.png",1)</f>
        <v/>
      </c>
      <c r="I19" s="670" t="s">
        <v>2570</v>
      </c>
    </row>
    <row r="20" ht="20.25" customHeight="1">
      <c r="A20" s="666" t="s">
        <v>2615</v>
      </c>
      <c r="B20" s="667" t="s">
        <v>2616</v>
      </c>
      <c r="C20" s="668">
        <v>1.0</v>
      </c>
      <c r="D20" s="668"/>
      <c r="E20" s="668"/>
      <c r="F20" s="666" t="s">
        <v>2568</v>
      </c>
      <c r="G20" s="666" t="s">
        <v>2617</v>
      </c>
      <c r="H20" s="774" t="str">
        <f>IMAGE("https://img3.exportersindia.com/product_images/bc-full/dir_18/517868/white-silica-gel-1520234808-3694252.jpg",1)</f>
        <v/>
      </c>
      <c r="I20" s="670" t="s">
        <v>2570</v>
      </c>
    </row>
    <row r="21" ht="20.25" customHeight="1">
      <c r="A21" s="666" t="s">
        <v>2618</v>
      </c>
      <c r="B21" s="667" t="s">
        <v>2619</v>
      </c>
      <c r="C21" s="668">
        <v>5.0</v>
      </c>
      <c r="D21" s="668"/>
      <c r="E21" s="668"/>
      <c r="F21" s="666" t="s">
        <v>2568</v>
      </c>
      <c r="G21" s="666" t="s">
        <v>2620</v>
      </c>
      <c r="H21" s="774" t="str">
        <f>IMAGE("https://m.media-amazon.com/images/I/5179jsOM4aL._AC_SL1000_.jpg",1)</f>
        <v/>
      </c>
      <c r="I21" s="670" t="s">
        <v>2570</v>
      </c>
    </row>
    <row r="22" ht="20.25" customHeight="1">
      <c r="A22" s="666" t="s">
        <v>2621</v>
      </c>
      <c r="B22" s="667" t="s">
        <v>2622</v>
      </c>
      <c r="C22" s="668">
        <v>1.0</v>
      </c>
      <c r="D22" s="668"/>
      <c r="E22" s="668"/>
      <c r="F22" s="666" t="s">
        <v>2568</v>
      </c>
      <c r="G22" s="666" t="s">
        <v>2569</v>
      </c>
      <c r="H22" s="774" t="str">
        <f>IMAGE("https://cdn11.bigcommerce.com/s-ufhcuzfxw9/images/stencil/1280x1280/products/13840/15665/20160513-20160513-_mg_5832__41083.1503517934.jpg?c=2",1)</f>
        <v/>
      </c>
      <c r="I22" s="670" t="s">
        <v>2570</v>
      </c>
    </row>
    <row r="23" ht="20.25" customHeight="1">
      <c r="A23" s="666" t="s">
        <v>2623</v>
      </c>
      <c r="B23" s="667" t="s">
        <v>2624</v>
      </c>
      <c r="C23" s="668">
        <v>1.0</v>
      </c>
      <c r="D23" s="668"/>
      <c r="E23" s="668"/>
      <c r="F23" s="666" t="s">
        <v>2568</v>
      </c>
      <c r="G23" s="666" t="s">
        <v>2575</v>
      </c>
      <c r="H23" s="774" t="str">
        <f>IMAGE("https://5.imimg.com/data5/OB/PM/MY-2127918/sodium-hydroxide-pellets-lr-500gm-500x500.jpg",1)</f>
        <v/>
      </c>
      <c r="I23" s="670" t="s">
        <v>2570</v>
      </c>
    </row>
    <row r="24" ht="20.25" customHeight="1">
      <c r="A24" s="666" t="s">
        <v>2625</v>
      </c>
      <c r="B24" s="667" t="s">
        <v>2626</v>
      </c>
      <c r="C24" s="668">
        <v>1.0</v>
      </c>
      <c r="D24" s="668"/>
      <c r="E24" s="668"/>
      <c r="F24" s="666" t="s">
        <v>2568</v>
      </c>
      <c r="G24" s="666" t="s">
        <v>2627</v>
      </c>
      <c r="H24" s="774" t="str">
        <f>IMAGE("https://hannainst.in/media/catalog/product/cache/b34a0869c7a50f2130c030e033b2bf22/h/i/hi3895_2.jpg",1)</f>
        <v/>
      </c>
      <c r="I24" s="670" t="s">
        <v>2570</v>
      </c>
    </row>
    <row r="25" ht="20.25" customHeight="1">
      <c r="A25" s="666" t="s">
        <v>2628</v>
      </c>
      <c r="B25" s="667" t="s">
        <v>2629</v>
      </c>
      <c r="C25" s="668">
        <v>1.0</v>
      </c>
      <c r="D25" s="668"/>
      <c r="E25" s="668"/>
      <c r="F25" s="666" t="s">
        <v>2568</v>
      </c>
      <c r="G25" s="666" t="s">
        <v>2589</v>
      </c>
      <c r="H25" s="774" t="str">
        <f>IMAGE("https://5.imimg.com/data5/EH/RO/MY-10901605/salt-bags-500x500.jpg",1)</f>
        <v/>
      </c>
      <c r="I25" s="670" t="s">
        <v>2570</v>
      </c>
    </row>
    <row r="26" ht="20.25" customHeight="1">
      <c r="A26" s="666" t="s">
        <v>2630</v>
      </c>
      <c r="B26" s="667" t="s">
        <v>2631</v>
      </c>
      <c r="C26" s="668">
        <v>1.0</v>
      </c>
      <c r="D26" s="668"/>
      <c r="E26" s="668"/>
      <c r="F26" s="666" t="s">
        <v>2568</v>
      </c>
      <c r="G26" s="666" t="s">
        <v>2632</v>
      </c>
      <c r="H26" s="774" t="str">
        <f>IMAGE("https://www.labkafe.com/storage/nice/u40171-universal-indicator-solution-125-ml-300x300.jpg",1)</f>
        <v/>
      </c>
      <c r="I26" s="670" t="s">
        <v>2570</v>
      </c>
    </row>
    <row r="27" ht="20.25" customHeight="1">
      <c r="A27" s="666" t="s">
        <v>2633</v>
      </c>
      <c r="B27" s="667" t="s">
        <v>2634</v>
      </c>
      <c r="C27" s="668">
        <v>2.0</v>
      </c>
      <c r="D27" s="668"/>
      <c r="E27" s="668"/>
      <c r="F27" s="666" t="s">
        <v>2568</v>
      </c>
      <c r="G27" s="666" t="s">
        <v>2635</v>
      </c>
      <c r="H27" s="774" t="str">
        <f>IMAGE("https://encrypted-tbn0.gstatic.com/shopping?q=tbn:ANd9GcTh82PvoM2wDp2FgxzXyWSNNjf5t-Zha_8G9VRl8SEntR-Ciq5s-_N22-emk3oVyUkUaxRT1qxth5AsiF2gqSNdGjWXp6KyamSJx93apK5g0q8zALtCf0eBCg&amp;usqp=CAE",1)</f>
        <v/>
      </c>
      <c r="I27" s="670" t="s">
        <v>2570</v>
      </c>
    </row>
    <row r="28" ht="20.25" customHeight="1">
      <c r="A28" s="666" t="s">
        <v>2636</v>
      </c>
      <c r="B28" s="667" t="s">
        <v>2637</v>
      </c>
      <c r="C28" s="668">
        <v>1.0</v>
      </c>
      <c r="D28" s="668"/>
      <c r="E28" s="668"/>
      <c r="F28" s="666" t="s">
        <v>2568</v>
      </c>
      <c r="G28" s="666" t="s">
        <v>2638</v>
      </c>
      <c r="H28" s="774" t="str">
        <f>IMAGE("https://static1.industrybuying.com/products/lab-supplies/laboratory-equipments/water-soil-analysis-kit/LAB.WAT.720346407_1690174465295.webp",1)</f>
        <v/>
      </c>
      <c r="I28" s="670" t="s">
        <v>2570</v>
      </c>
    </row>
    <row r="29" ht="20.25" customHeight="1">
      <c r="A29" s="671" t="s">
        <v>2639</v>
      </c>
      <c r="B29" s="671" t="s">
        <v>2640</v>
      </c>
      <c r="C29" s="672">
        <v>50.0</v>
      </c>
      <c r="D29" s="672">
        <v>1.0</v>
      </c>
      <c r="E29" s="672">
        <v>50.0</v>
      </c>
      <c r="F29" s="671" t="s">
        <v>2641</v>
      </c>
      <c r="G29" s="673" t="s">
        <v>2642</v>
      </c>
      <c r="H29" s="775" t="str">
        <f t="shared" ref="H29:H30" si="1">IMAGE("https://rukminim1.flixcart.com/image/416/416/kgmla4w0/clip/w/f/s/multipurpose-food-snack-plastic-bag-clip-sealer-packet-sealer-original-imafwtxh8nwsujzp.jpeg?q=70",1)</f>
        <v/>
      </c>
      <c r="I29" s="675" t="s">
        <v>20</v>
      </c>
      <c r="J29" s="776"/>
      <c r="K29" s="776"/>
      <c r="L29" s="776"/>
      <c r="M29" s="776"/>
      <c r="N29" s="776"/>
      <c r="O29" s="776"/>
      <c r="P29" s="776"/>
      <c r="Q29" s="776"/>
      <c r="R29" s="776"/>
      <c r="S29" s="776"/>
      <c r="T29" s="776"/>
      <c r="U29" s="776"/>
      <c r="V29" s="776"/>
      <c r="W29" s="776"/>
      <c r="X29" s="776"/>
      <c r="Y29" s="776"/>
      <c r="Z29" s="776"/>
    </row>
    <row r="30" ht="20.25" customHeight="1">
      <c r="A30" s="671" t="s">
        <v>2643</v>
      </c>
      <c r="B30" s="671" t="s">
        <v>2644</v>
      </c>
      <c r="C30" s="672">
        <v>50.0</v>
      </c>
      <c r="D30" s="672">
        <v>1.5</v>
      </c>
      <c r="E30" s="672">
        <v>75.0</v>
      </c>
      <c r="F30" s="671" t="s">
        <v>2641</v>
      </c>
      <c r="G30" s="673" t="s">
        <v>2645</v>
      </c>
      <c r="H30" s="775" t="str">
        <f t="shared" si="1"/>
        <v/>
      </c>
      <c r="I30" s="675" t="s">
        <v>20</v>
      </c>
      <c r="J30" s="776"/>
      <c r="K30" s="776"/>
      <c r="L30" s="776"/>
      <c r="M30" s="776"/>
      <c r="N30" s="776"/>
      <c r="O30" s="776"/>
      <c r="P30" s="776"/>
      <c r="Q30" s="776"/>
      <c r="R30" s="776"/>
      <c r="S30" s="776"/>
      <c r="T30" s="776"/>
      <c r="U30" s="776"/>
      <c r="V30" s="776"/>
      <c r="W30" s="776"/>
      <c r="X30" s="776"/>
      <c r="Y30" s="776"/>
      <c r="Z30" s="776"/>
    </row>
    <row r="31" ht="20.25" customHeight="1">
      <c r="A31" s="677" t="s">
        <v>2646</v>
      </c>
      <c r="B31" s="671" t="s">
        <v>2647</v>
      </c>
      <c r="C31" s="672">
        <v>1.0</v>
      </c>
      <c r="D31" s="672"/>
      <c r="E31" s="672"/>
      <c r="F31" s="677" t="s">
        <v>2641</v>
      </c>
      <c r="G31" s="678" t="s">
        <v>2648</v>
      </c>
      <c r="H31" s="777" t="str">
        <f>IMAGE("https://5.imimg.com/data5/MB/UU/MY-13521802/notice-board-pin-500x500.jpg",1)</f>
        <v/>
      </c>
      <c r="I31" s="679" t="s">
        <v>20</v>
      </c>
      <c r="J31" s="776"/>
      <c r="K31" s="776"/>
      <c r="L31" s="776"/>
      <c r="M31" s="776"/>
      <c r="N31" s="776"/>
      <c r="O31" s="776"/>
      <c r="P31" s="776"/>
      <c r="Q31" s="776"/>
      <c r="R31" s="776"/>
      <c r="S31" s="776"/>
      <c r="T31" s="776"/>
      <c r="U31" s="776"/>
      <c r="V31" s="776"/>
      <c r="W31" s="776"/>
      <c r="X31" s="776"/>
      <c r="Y31" s="776"/>
      <c r="Z31" s="776"/>
    </row>
    <row r="32" ht="20.25" customHeight="1">
      <c r="A32" s="671" t="s">
        <v>2649</v>
      </c>
      <c r="B32" s="671" t="s">
        <v>2650</v>
      </c>
      <c r="C32" s="672">
        <v>1.0</v>
      </c>
      <c r="D32" s="672"/>
      <c r="E32" s="672"/>
      <c r="F32" s="671" t="s">
        <v>2641</v>
      </c>
      <c r="G32" s="673" t="s">
        <v>2651</v>
      </c>
      <c r="H32" s="775" t="str">
        <f>IMAGE("https://m.media-amazon.com/images/I/71KYAOo+zlL._SY355_.jpg",1)</f>
        <v/>
      </c>
      <c r="I32" s="675" t="s">
        <v>20</v>
      </c>
      <c r="J32" s="778"/>
      <c r="K32" s="778"/>
      <c r="L32" s="778"/>
      <c r="M32" s="778"/>
      <c r="N32" s="778"/>
      <c r="O32" s="778"/>
      <c r="P32" s="778"/>
      <c r="Q32" s="778"/>
      <c r="R32" s="778"/>
      <c r="S32" s="778"/>
      <c r="T32" s="778"/>
      <c r="U32" s="778"/>
      <c r="V32" s="778"/>
      <c r="W32" s="778"/>
      <c r="X32" s="778"/>
      <c r="Y32" s="778"/>
      <c r="Z32" s="778"/>
    </row>
    <row r="33" ht="20.25" customHeight="1">
      <c r="A33" s="680" t="s">
        <v>2652</v>
      </c>
      <c r="B33" s="680" t="s">
        <v>2653</v>
      </c>
      <c r="C33" s="681">
        <v>10.0</v>
      </c>
      <c r="D33" s="681"/>
      <c r="E33" s="681"/>
      <c r="F33" s="680" t="s">
        <v>1697</v>
      </c>
      <c r="G33" s="680" t="s">
        <v>2654</v>
      </c>
      <c r="H33" s="779" t="str">
        <f t="shared" ref="H33:H35" si="2">IMAGE("https://www.electronicscomp.com/image/cache/catalog/lm7805-ic-5v-positive-voltage-regulator-ic-800x800.JPG",1)</f>
        <v/>
      </c>
      <c r="I33" s="683" t="s">
        <v>2655</v>
      </c>
      <c r="J33" s="776"/>
      <c r="K33" s="776"/>
      <c r="L33" s="776"/>
      <c r="M33" s="776"/>
      <c r="N33" s="776"/>
      <c r="O33" s="776"/>
      <c r="P33" s="776"/>
      <c r="Q33" s="776"/>
      <c r="R33" s="776"/>
      <c r="S33" s="776"/>
      <c r="T33" s="776"/>
      <c r="U33" s="776"/>
      <c r="V33" s="776"/>
      <c r="W33" s="776"/>
      <c r="X33" s="776"/>
      <c r="Y33" s="776"/>
      <c r="Z33" s="776"/>
    </row>
    <row r="34" ht="20.25" customHeight="1">
      <c r="A34" s="680" t="s">
        <v>2656</v>
      </c>
      <c r="B34" s="680" t="s">
        <v>2657</v>
      </c>
      <c r="C34" s="681">
        <v>10.0</v>
      </c>
      <c r="D34" s="681"/>
      <c r="E34" s="681"/>
      <c r="F34" s="680" t="s">
        <v>1697</v>
      </c>
      <c r="G34" s="680" t="s">
        <v>2658</v>
      </c>
      <c r="H34" s="779" t="str">
        <f t="shared" si="2"/>
        <v/>
      </c>
      <c r="I34" s="683" t="s">
        <v>2655</v>
      </c>
      <c r="J34" s="776"/>
      <c r="K34" s="776"/>
      <c r="L34" s="776"/>
      <c r="M34" s="776"/>
      <c r="N34" s="776"/>
      <c r="O34" s="776"/>
      <c r="P34" s="776"/>
      <c r="Q34" s="776"/>
      <c r="R34" s="776"/>
      <c r="S34" s="776"/>
      <c r="T34" s="776"/>
      <c r="U34" s="776"/>
      <c r="V34" s="776"/>
      <c r="W34" s="776"/>
      <c r="X34" s="776"/>
      <c r="Y34" s="776"/>
      <c r="Z34" s="776"/>
    </row>
    <row r="35" ht="20.25" customHeight="1">
      <c r="A35" s="680" t="s">
        <v>2659</v>
      </c>
      <c r="B35" s="680" t="s">
        <v>2660</v>
      </c>
      <c r="C35" s="681">
        <v>10.0</v>
      </c>
      <c r="D35" s="681"/>
      <c r="E35" s="681"/>
      <c r="F35" s="680" t="s">
        <v>1697</v>
      </c>
      <c r="G35" s="680" t="s">
        <v>2661</v>
      </c>
      <c r="H35" s="779" t="str">
        <f t="shared" si="2"/>
        <v/>
      </c>
      <c r="I35" s="683" t="s">
        <v>2655</v>
      </c>
      <c r="J35" s="776"/>
      <c r="K35" s="776"/>
      <c r="L35" s="776"/>
      <c r="M35" s="776"/>
      <c r="N35" s="776"/>
      <c r="O35" s="776"/>
      <c r="P35" s="776"/>
      <c r="Q35" s="776"/>
      <c r="R35" s="776"/>
      <c r="S35" s="776"/>
      <c r="T35" s="776"/>
      <c r="U35" s="776"/>
      <c r="V35" s="776"/>
      <c r="W35" s="776"/>
      <c r="X35" s="776"/>
      <c r="Y35" s="776"/>
      <c r="Z35" s="776"/>
    </row>
    <row r="36" ht="20.25" customHeight="1">
      <c r="A36" s="684" t="s">
        <v>2662</v>
      </c>
      <c r="B36" s="684" t="s">
        <v>2663</v>
      </c>
      <c r="C36" s="685">
        <v>20.0</v>
      </c>
      <c r="D36" s="685"/>
      <c r="E36" s="685"/>
      <c r="F36" s="684" t="s">
        <v>1697</v>
      </c>
      <c r="G36" s="684" t="s">
        <v>2664</v>
      </c>
      <c r="H36" s="780" t="str">
        <f>IMAGE("https://m.media-amazon.com/images/I/41Araxi2mwL._SX342_.jpg",1)</f>
        <v/>
      </c>
      <c r="I36" s="687" t="s">
        <v>184</v>
      </c>
      <c r="J36" s="778"/>
      <c r="K36" s="778"/>
      <c r="L36" s="778"/>
      <c r="M36" s="778"/>
      <c r="N36" s="778"/>
      <c r="O36" s="778"/>
      <c r="P36" s="778"/>
      <c r="Q36" s="778"/>
      <c r="R36" s="778"/>
      <c r="S36" s="778"/>
      <c r="T36" s="778"/>
      <c r="U36" s="778"/>
      <c r="V36" s="778"/>
      <c r="W36" s="778"/>
      <c r="X36" s="778"/>
      <c r="Y36" s="778"/>
      <c r="Z36" s="778"/>
    </row>
    <row r="37" ht="20.25" customHeight="1">
      <c r="A37" s="684" t="s">
        <v>2665</v>
      </c>
      <c r="B37" s="684" t="s">
        <v>2666</v>
      </c>
      <c r="C37" s="685">
        <v>10.0</v>
      </c>
      <c r="D37" s="685"/>
      <c r="E37" s="685"/>
      <c r="F37" s="684" t="s">
        <v>1697</v>
      </c>
      <c r="G37" s="684" t="s">
        <v>2667</v>
      </c>
      <c r="H37" s="780" t="str">
        <f>IMAGE("https://rukminim2.flixcart.com/image/832/832/jjelq4w0/worldwide-adaptor/w/t/t/power-adaptor-12-volt-2-amp-charger-ac-input-100-270v-dc-12v-2a-original-imaf6zf2sghnvg3s.jpeg?q=70",1)</f>
        <v/>
      </c>
      <c r="I37" s="687" t="s">
        <v>184</v>
      </c>
      <c r="J37" s="776"/>
      <c r="K37" s="776"/>
      <c r="L37" s="776"/>
      <c r="M37" s="776"/>
      <c r="N37" s="776"/>
      <c r="O37" s="776"/>
      <c r="P37" s="776"/>
      <c r="Q37" s="776"/>
      <c r="R37" s="776"/>
      <c r="S37" s="776"/>
      <c r="T37" s="776"/>
      <c r="U37" s="776"/>
      <c r="V37" s="776"/>
      <c r="W37" s="776"/>
      <c r="X37" s="776"/>
      <c r="Y37" s="776"/>
      <c r="Z37" s="776"/>
    </row>
    <row r="38" ht="20.25" customHeight="1">
      <c r="A38" s="684" t="s">
        <v>2668</v>
      </c>
      <c r="B38" s="684" t="s">
        <v>2669</v>
      </c>
      <c r="C38" s="685">
        <v>10.0</v>
      </c>
      <c r="D38" s="685"/>
      <c r="E38" s="685"/>
      <c r="F38" s="684" t="s">
        <v>1697</v>
      </c>
      <c r="G38" s="684" t="s">
        <v>2670</v>
      </c>
      <c r="H38" s="780" t="str">
        <f>IMAGE("https://robu.in/wp-content/uploads/2016/03/XL6009-DC-DC-Step-up-converter-1.jpg",1)</f>
        <v/>
      </c>
      <c r="I38" s="687" t="s">
        <v>184</v>
      </c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</row>
    <row r="39" ht="20.25" customHeight="1">
      <c r="A39" s="684" t="s">
        <v>2671</v>
      </c>
      <c r="B39" s="684" t="s">
        <v>2672</v>
      </c>
      <c r="C39" s="685">
        <v>15.0</v>
      </c>
      <c r="D39" s="685"/>
      <c r="E39" s="685"/>
      <c r="F39" s="684" t="s">
        <v>1697</v>
      </c>
      <c r="G39" s="684" t="s">
        <v>2673</v>
      </c>
      <c r="H39" s="780" t="str">
        <f>IMAGE("https://m.media-amazon.com/images/I/51+XW7eiTBL._SX342_.jpg",1)</f>
        <v/>
      </c>
      <c r="I39" s="687" t="s">
        <v>184</v>
      </c>
      <c r="J39" s="776"/>
      <c r="K39" s="776"/>
      <c r="L39" s="776"/>
      <c r="M39" s="776"/>
      <c r="N39" s="776"/>
      <c r="O39" s="776"/>
      <c r="P39" s="776"/>
      <c r="Q39" s="776"/>
      <c r="R39" s="776"/>
      <c r="S39" s="776"/>
      <c r="T39" s="776"/>
      <c r="U39" s="776"/>
      <c r="V39" s="776"/>
      <c r="W39" s="776"/>
      <c r="X39" s="776"/>
      <c r="Y39" s="776"/>
      <c r="Z39" s="776"/>
    </row>
    <row r="40" ht="20.25" customHeight="1">
      <c r="A40" s="684" t="s">
        <v>2674</v>
      </c>
      <c r="B40" s="684" t="s">
        <v>2675</v>
      </c>
      <c r="C40" s="685">
        <v>10.0</v>
      </c>
      <c r="D40" s="685"/>
      <c r="E40" s="685"/>
      <c r="F40" s="684" t="s">
        <v>1697</v>
      </c>
      <c r="G40" s="684" t="s">
        <v>2676</v>
      </c>
      <c r="H40" s="780" t="str">
        <f>IMAGE("https://www.integralmemory.com/wp-content/uploads/2022/03/INCRUSB3-0MSDA2_P2.jpg",1)</f>
        <v/>
      </c>
      <c r="I40" s="687" t="s">
        <v>184</v>
      </c>
      <c r="J40" s="776"/>
      <c r="K40" s="776"/>
      <c r="L40" s="776"/>
      <c r="M40" s="776"/>
      <c r="N40" s="776"/>
      <c r="O40" s="776"/>
      <c r="P40" s="776"/>
      <c r="Q40" s="776"/>
      <c r="R40" s="776"/>
      <c r="S40" s="776"/>
      <c r="T40" s="776"/>
      <c r="U40" s="776"/>
      <c r="V40" s="776"/>
      <c r="W40" s="776"/>
      <c r="X40" s="776"/>
      <c r="Y40" s="776"/>
      <c r="Z40" s="776"/>
    </row>
    <row r="41" ht="20.25" customHeight="1">
      <c r="A41" s="678" t="s">
        <v>2677</v>
      </c>
      <c r="B41" s="678" t="s">
        <v>2678</v>
      </c>
      <c r="C41" s="781">
        <v>2.0</v>
      </c>
      <c r="D41" s="781">
        <v>50.0</v>
      </c>
      <c r="E41" s="781">
        <v>100.0</v>
      </c>
      <c r="F41" s="678" t="s">
        <v>2679</v>
      </c>
      <c r="G41" s="678" t="s">
        <v>2680</v>
      </c>
      <c r="H41" s="782" t="str">
        <f>IMAGE("https://img2.exportersindia.com/product_images/bc-full/2021/11/9602516/a4-paper-1638164837-6096238.jpeg",1)</f>
        <v/>
      </c>
      <c r="I41" s="783"/>
      <c r="J41" s="776"/>
      <c r="K41" s="776"/>
      <c r="L41" s="776"/>
      <c r="M41" s="776"/>
      <c r="N41" s="776"/>
      <c r="O41" s="776"/>
      <c r="P41" s="776"/>
      <c r="Q41" s="776"/>
      <c r="R41" s="776"/>
      <c r="S41" s="776"/>
      <c r="T41" s="776"/>
      <c r="U41" s="776"/>
      <c r="V41" s="776"/>
      <c r="W41" s="776"/>
      <c r="X41" s="776"/>
      <c r="Y41" s="776"/>
      <c r="Z41" s="776"/>
    </row>
    <row r="42" ht="20.25" customHeight="1">
      <c r="A42" s="671" t="s">
        <v>2681</v>
      </c>
      <c r="B42" s="671" t="s">
        <v>2682</v>
      </c>
      <c r="C42" s="672">
        <v>20.0</v>
      </c>
      <c r="D42" s="672"/>
      <c r="E42" s="672"/>
      <c r="F42" s="671" t="s">
        <v>2641</v>
      </c>
      <c r="G42" s="691" t="s">
        <v>2683</v>
      </c>
      <c r="H42" s="777" t="str">
        <f>IMAGE("https://www.adhesivespecialities.co.in/wp-content/uploads/AS-056-ColourMaskingTape-scaled.jpg",1)</f>
        <v/>
      </c>
      <c r="I42" s="679" t="s">
        <v>20</v>
      </c>
      <c r="J42" s="776"/>
      <c r="K42" s="776"/>
      <c r="L42" s="776"/>
      <c r="M42" s="776"/>
      <c r="N42" s="776"/>
      <c r="O42" s="776"/>
      <c r="P42" s="776"/>
      <c r="Q42" s="776"/>
      <c r="R42" s="776"/>
      <c r="S42" s="776"/>
      <c r="T42" s="776"/>
      <c r="U42" s="776"/>
      <c r="V42" s="776"/>
      <c r="W42" s="776"/>
      <c r="X42" s="776"/>
      <c r="Y42" s="776"/>
      <c r="Z42" s="776"/>
    </row>
    <row r="43" ht="20.25" customHeight="1">
      <c r="A43" s="684" t="s">
        <v>2684</v>
      </c>
      <c r="B43" s="684" t="s">
        <v>2685</v>
      </c>
      <c r="C43" s="685">
        <v>10.0</v>
      </c>
      <c r="D43" s="685"/>
      <c r="E43" s="685"/>
      <c r="F43" s="684" t="s">
        <v>1697</v>
      </c>
      <c r="G43" s="684" t="s">
        <v>2686</v>
      </c>
      <c r="H43" s="780" t="str">
        <f>IMAGE("https://cpimg.tistatic.com/07450268/b/4/24W-300MA-4KV-LED-Driver.jpg", 1)</f>
        <v/>
      </c>
      <c r="I43" s="687" t="s">
        <v>184</v>
      </c>
      <c r="J43" s="776"/>
      <c r="K43" s="776"/>
      <c r="L43" s="776"/>
      <c r="M43" s="776"/>
      <c r="N43" s="776"/>
      <c r="O43" s="776"/>
      <c r="P43" s="776"/>
      <c r="Q43" s="776"/>
      <c r="R43" s="776"/>
      <c r="S43" s="776"/>
      <c r="T43" s="776"/>
      <c r="U43" s="776"/>
      <c r="V43" s="776"/>
      <c r="W43" s="776"/>
      <c r="X43" s="776"/>
      <c r="Y43" s="776"/>
      <c r="Z43" s="776"/>
    </row>
    <row r="44" ht="20.25" customHeight="1">
      <c r="A44" s="684" t="s">
        <v>2687</v>
      </c>
      <c r="B44" s="684" t="s">
        <v>2688</v>
      </c>
      <c r="C44" s="685">
        <v>2.0</v>
      </c>
      <c r="D44" s="685"/>
      <c r="E44" s="685"/>
      <c r="F44" s="684" t="s">
        <v>1697</v>
      </c>
      <c r="G44" s="684" t="s">
        <v>2689</v>
      </c>
      <c r="H44" s="780" t="str">
        <f>IMAGE("https://5.imimg.com/data5/GB/ZO/LS/SELLER-11058997/led-strip-light-smd5050-ip20-500x500.png", 1)</f>
        <v/>
      </c>
      <c r="I44" s="687" t="s">
        <v>184</v>
      </c>
      <c r="J44" s="776"/>
      <c r="K44" s="776"/>
      <c r="L44" s="776"/>
      <c r="M44" s="776"/>
      <c r="N44" s="776"/>
      <c r="O44" s="776"/>
      <c r="P44" s="776"/>
      <c r="Q44" s="776"/>
      <c r="R44" s="776"/>
      <c r="S44" s="776"/>
      <c r="T44" s="776"/>
      <c r="U44" s="776"/>
      <c r="V44" s="776"/>
      <c r="W44" s="776"/>
      <c r="X44" s="776"/>
      <c r="Y44" s="776"/>
      <c r="Z44" s="776"/>
    </row>
    <row r="45" ht="20.25" customHeight="1">
      <c r="A45" s="692" t="s">
        <v>2690</v>
      </c>
      <c r="B45" s="692" t="s">
        <v>2691</v>
      </c>
      <c r="C45" s="693">
        <v>10.0</v>
      </c>
      <c r="D45" s="784"/>
      <c r="E45" s="693"/>
      <c r="F45" s="692" t="s">
        <v>1697</v>
      </c>
      <c r="G45" s="692" t="s">
        <v>2692</v>
      </c>
      <c r="H45" s="703" t="str">
        <f>IMAGE("https://robu.in/wp-content/uploads/2017/06/sku_265936_1.jpg",1)</f>
        <v/>
      </c>
      <c r="I45" s="694" t="s">
        <v>184</v>
      </c>
      <c r="J45" s="776"/>
      <c r="K45" s="776"/>
      <c r="L45" s="776"/>
      <c r="M45" s="776"/>
      <c r="N45" s="776"/>
      <c r="O45" s="776"/>
      <c r="P45" s="776"/>
      <c r="Q45" s="776"/>
      <c r="R45" s="776"/>
      <c r="S45" s="776"/>
      <c r="T45" s="776"/>
      <c r="U45" s="776"/>
      <c r="V45" s="776"/>
      <c r="W45" s="776"/>
      <c r="X45" s="776"/>
      <c r="Y45" s="776"/>
      <c r="Z45" s="776"/>
    </row>
    <row r="46" ht="20.25" customHeight="1">
      <c r="A46" s="785" t="s">
        <v>2693</v>
      </c>
      <c r="B46" s="786" t="s">
        <v>2694</v>
      </c>
      <c r="C46" s="785">
        <v>10.0</v>
      </c>
      <c r="D46" s="785">
        <v>50.0</v>
      </c>
      <c r="E46" s="787">
        <f t="shared" ref="E46:E53" si="3">D46*C46</f>
        <v>500</v>
      </c>
      <c r="F46" s="785" t="s">
        <v>1697</v>
      </c>
      <c r="G46" s="786" t="s">
        <v>2695</v>
      </c>
      <c r="H46" s="787" t="str">
        <f>IMAGE("https://rukminim2.flixcart.com/image/832/832/xif0q/shopsy-electronic-hobby-kit/h/f/k/3-9-volt-dc-toy-motor-with-fan-blade-9v-battery-snapper-original-imagsksg7jpy8fyf.jpeg?q=70",1)</f>
        <v/>
      </c>
      <c r="I46" s="788" t="s">
        <v>2696</v>
      </c>
      <c r="J46" s="789"/>
      <c r="K46" s="789"/>
      <c r="L46" s="789"/>
      <c r="M46" s="789"/>
      <c r="N46" s="789"/>
      <c r="O46" s="789"/>
      <c r="P46" s="789"/>
      <c r="Q46" s="789"/>
      <c r="R46" s="789"/>
      <c r="S46" s="789"/>
      <c r="T46" s="789"/>
      <c r="U46" s="789"/>
      <c r="V46" s="789"/>
      <c r="W46" s="789"/>
      <c r="X46" s="789"/>
      <c r="Y46" s="789"/>
      <c r="Z46" s="789"/>
    </row>
    <row r="47" ht="20.25" customHeight="1">
      <c r="A47" s="693" t="s">
        <v>2697</v>
      </c>
      <c r="B47" s="790" t="s">
        <v>2698</v>
      </c>
      <c r="C47" s="693">
        <v>5.0</v>
      </c>
      <c r="D47" s="693">
        <v>100.0</v>
      </c>
      <c r="E47" s="703">
        <f t="shared" si="3"/>
        <v>500</v>
      </c>
      <c r="F47" s="693" t="s">
        <v>2679</v>
      </c>
      <c r="G47" s="790" t="s">
        <v>2699</v>
      </c>
      <c r="H47" s="703" t="str">
        <f>IMAGE("https://m.media-amazon.com/images/I/51W0ZrtkMsL._SX679_.jpg",1)</f>
        <v/>
      </c>
      <c r="I47" s="693" t="s">
        <v>20</v>
      </c>
      <c r="J47" s="791"/>
      <c r="K47" s="792"/>
      <c r="L47" s="792"/>
      <c r="M47" s="792"/>
      <c r="N47" s="792"/>
      <c r="O47" s="792"/>
      <c r="P47" s="792"/>
      <c r="Q47" s="792"/>
      <c r="R47" s="792"/>
      <c r="S47" s="792"/>
      <c r="T47" s="792"/>
      <c r="U47" s="792"/>
      <c r="V47" s="792"/>
      <c r="W47" s="792"/>
      <c r="X47" s="792"/>
      <c r="Y47" s="792"/>
      <c r="Z47" s="792"/>
    </row>
    <row r="48" ht="20.25" customHeight="1">
      <c r="A48" s="693" t="s">
        <v>2700</v>
      </c>
      <c r="B48" s="793" t="s">
        <v>2701</v>
      </c>
      <c r="C48" s="693">
        <v>5.0</v>
      </c>
      <c r="D48" s="794">
        <v>20.0</v>
      </c>
      <c r="E48" s="703">
        <f t="shared" si="3"/>
        <v>100</v>
      </c>
      <c r="F48" s="693" t="s">
        <v>2679</v>
      </c>
      <c r="G48" s="790" t="s">
        <v>2702</v>
      </c>
      <c r="H48" s="703" t="str">
        <f>IMAGE("https://empire-s3-production.bobvila.com/articles/wp-content/uploads/2021/03/The-Best-Paper-Straws-Option-HIWARE-Extra-Wide-Paper-Smoothie-Boba-Straws-300x300.jpg",1)</f>
        <v/>
      </c>
      <c r="I48" s="693" t="s">
        <v>20</v>
      </c>
      <c r="J48" s="791"/>
      <c r="K48" s="792"/>
      <c r="L48" s="792"/>
      <c r="M48" s="792"/>
      <c r="N48" s="792"/>
      <c r="O48" s="792"/>
      <c r="P48" s="792"/>
      <c r="Q48" s="792"/>
      <c r="R48" s="792"/>
      <c r="S48" s="792"/>
      <c r="T48" s="792"/>
      <c r="U48" s="792"/>
      <c r="V48" s="792"/>
      <c r="W48" s="792"/>
      <c r="X48" s="792"/>
      <c r="Y48" s="792"/>
      <c r="Z48" s="792"/>
    </row>
    <row r="49" ht="20.25" customHeight="1">
      <c r="A49" s="693" t="s">
        <v>2703</v>
      </c>
      <c r="B49" s="790" t="s">
        <v>2704</v>
      </c>
      <c r="C49" s="693">
        <v>1.0</v>
      </c>
      <c r="D49" s="693">
        <v>200.0</v>
      </c>
      <c r="E49" s="703">
        <f t="shared" si="3"/>
        <v>200</v>
      </c>
      <c r="F49" s="693" t="s">
        <v>2641</v>
      </c>
      <c r="G49" s="790" t="s">
        <v>2705</v>
      </c>
      <c r="H49" s="703" t="str">
        <f>IMAGE("https://cdn11.bigcommerce.com/s-4wnn7v3yyu/images/stencil/1280x1280/products/493/1433/Velcro-Brand-Adhesive-Tape-on-a-Roll__20148.1608230554.1280.1280__85763.1620829229.jpg?c=1",1)</f>
        <v/>
      </c>
      <c r="I49" s="693" t="s">
        <v>20</v>
      </c>
      <c r="J49" s="791"/>
      <c r="K49" s="792"/>
      <c r="L49" s="792"/>
      <c r="M49" s="792"/>
      <c r="N49" s="792"/>
      <c r="O49" s="792"/>
      <c r="P49" s="792"/>
      <c r="Q49" s="792"/>
      <c r="R49" s="792"/>
      <c r="S49" s="792"/>
      <c r="T49" s="792"/>
      <c r="U49" s="792"/>
      <c r="V49" s="792"/>
      <c r="W49" s="792"/>
      <c r="X49" s="792"/>
      <c r="Y49" s="792"/>
      <c r="Z49" s="792"/>
    </row>
    <row r="50" ht="20.25" customHeight="1">
      <c r="A50" s="693" t="s">
        <v>2706</v>
      </c>
      <c r="B50" s="790" t="s">
        <v>2707</v>
      </c>
      <c r="C50" s="693">
        <v>10.0</v>
      </c>
      <c r="D50" s="693">
        <v>15.0</v>
      </c>
      <c r="E50" s="703">
        <f t="shared" si="3"/>
        <v>150</v>
      </c>
      <c r="F50" s="693" t="s">
        <v>2641</v>
      </c>
      <c r="G50" s="790" t="s">
        <v>2708</v>
      </c>
      <c r="H50" s="703" t="str">
        <f>IMAGE("https://m.media-amazon.com/images/I/91UgeU77qnL._AC_UF894,1000_QL80_.jpg",1)</f>
        <v/>
      </c>
      <c r="I50" s="693" t="s">
        <v>20</v>
      </c>
      <c r="J50" s="791"/>
      <c r="K50" s="792"/>
      <c r="L50" s="792"/>
      <c r="M50" s="792"/>
      <c r="N50" s="792"/>
      <c r="O50" s="792"/>
      <c r="P50" s="792"/>
      <c r="Q50" s="792"/>
      <c r="R50" s="792"/>
      <c r="S50" s="792"/>
      <c r="T50" s="792"/>
      <c r="U50" s="792"/>
      <c r="V50" s="792"/>
      <c r="W50" s="792"/>
      <c r="X50" s="792"/>
      <c r="Y50" s="792"/>
      <c r="Z50" s="792"/>
    </row>
    <row r="51" ht="20.25" customHeight="1">
      <c r="A51" s="693"/>
      <c r="B51" s="790" t="s">
        <v>2709</v>
      </c>
      <c r="C51" s="703">
        <v>10.0</v>
      </c>
      <c r="D51" s="703">
        <v>50.0</v>
      </c>
      <c r="E51" s="703">
        <f t="shared" si="3"/>
        <v>500</v>
      </c>
      <c r="F51" s="703"/>
      <c r="G51" s="790"/>
      <c r="H51" s="703" t="str">
        <f>IMAGE("https://www.sitaramstationers.com/wp-content/uploads/2022/01/Faber-Castell-Textile-Marker-5pcs.jpg",1)</f>
        <v/>
      </c>
      <c r="I51" s="693" t="s">
        <v>20</v>
      </c>
      <c r="J51" s="791"/>
      <c r="K51" s="792"/>
      <c r="L51" s="792"/>
      <c r="M51" s="792"/>
      <c r="N51" s="792"/>
      <c r="O51" s="792"/>
      <c r="P51" s="792"/>
      <c r="Q51" s="792"/>
      <c r="R51" s="792"/>
      <c r="S51" s="792"/>
      <c r="T51" s="792"/>
      <c r="U51" s="792"/>
      <c r="V51" s="792"/>
      <c r="W51" s="792"/>
      <c r="X51" s="792"/>
      <c r="Y51" s="792"/>
      <c r="Z51" s="792"/>
    </row>
    <row r="52" ht="20.25" customHeight="1">
      <c r="A52" s="705"/>
      <c r="B52" s="795" t="s">
        <v>2710</v>
      </c>
      <c r="C52" s="705">
        <v>1.0</v>
      </c>
      <c r="D52" s="705">
        <v>20000.0</v>
      </c>
      <c r="E52" s="796">
        <f t="shared" si="3"/>
        <v>20000</v>
      </c>
      <c r="F52" s="706" t="s">
        <v>2711</v>
      </c>
      <c r="G52" s="797"/>
      <c r="H52" s="706" t="str">
        <f>IMAGE("https://robu.in/wp-content/uploads/2023/10/1709922-04.jpeg",1)</f>
        <v/>
      </c>
      <c r="I52" s="705" t="s">
        <v>2712</v>
      </c>
      <c r="J52" s="708" t="s">
        <v>1684</v>
      </c>
      <c r="K52" s="798"/>
      <c r="L52" s="798"/>
      <c r="M52" s="798"/>
      <c r="N52" s="798"/>
      <c r="O52" s="798"/>
      <c r="P52" s="798"/>
      <c r="Q52" s="798"/>
      <c r="R52" s="798"/>
      <c r="S52" s="798"/>
      <c r="T52" s="798"/>
      <c r="U52" s="798"/>
      <c r="V52" s="798"/>
      <c r="W52" s="798"/>
      <c r="X52" s="798"/>
      <c r="Y52" s="798"/>
      <c r="Z52" s="798"/>
    </row>
    <row r="53" ht="20.25" customHeight="1">
      <c r="A53" s="705"/>
      <c r="B53" s="795" t="s">
        <v>2793</v>
      </c>
      <c r="C53" s="705">
        <v>1.0</v>
      </c>
      <c r="D53" s="705">
        <v>10000.0</v>
      </c>
      <c r="E53" s="796">
        <f t="shared" si="3"/>
        <v>10000</v>
      </c>
      <c r="F53" s="706" t="s">
        <v>2711</v>
      </c>
      <c r="G53" s="797"/>
      <c r="H53" s="706" t="str">
        <f>IMAGE("https://encrypted-tbn0.gstatic.com/images?q=tbn:ANd9GcSw4ZKYTILzMTBPTewgHq0FqjkLIvxbvC5JnmGROET_l9xXSJIMgzcOEBoEumI6ki1Y2LQ&amp;usqp=CAU")</f>
        <v/>
      </c>
      <c r="I53" s="705" t="s">
        <v>2712</v>
      </c>
      <c r="J53" s="708" t="s">
        <v>1684</v>
      </c>
      <c r="K53" s="798"/>
      <c r="L53" s="798"/>
      <c r="M53" s="798"/>
      <c r="N53" s="798"/>
      <c r="O53" s="798"/>
      <c r="P53" s="798"/>
      <c r="Q53" s="798"/>
      <c r="R53" s="798"/>
      <c r="S53" s="798"/>
      <c r="T53" s="798"/>
      <c r="U53" s="798"/>
      <c r="V53" s="798"/>
      <c r="W53" s="798"/>
      <c r="X53" s="798"/>
      <c r="Y53" s="798"/>
      <c r="Z53" s="798"/>
    </row>
    <row r="54" ht="20.25" customHeight="1">
      <c r="A54" s="799"/>
      <c r="B54" s="799"/>
    </row>
    <row r="55" ht="20.25" customHeight="1">
      <c r="A55" s="705"/>
      <c r="B55" s="795" t="s">
        <v>2713</v>
      </c>
      <c r="C55" s="706">
        <v>10.0</v>
      </c>
      <c r="D55" s="706">
        <v>1000.0</v>
      </c>
      <c r="E55" s="796">
        <f t="shared" ref="E55:E67" si="4">D55*C55</f>
        <v>10000</v>
      </c>
      <c r="F55" s="706"/>
      <c r="G55" s="797"/>
      <c r="H55" s="706" t="str">
        <f>IMAGE("https://images.squarespace-cdn.com/content/v1/55de7b84e4b05b5cc8c23805/1466384541753-6ZUAWSHXQVOA62A7JBT7/check_and_true_patterns_2",1)</f>
        <v/>
      </c>
      <c r="I55" s="705" t="s">
        <v>2712</v>
      </c>
      <c r="J55" s="791"/>
      <c r="K55" s="792"/>
      <c r="L55" s="792"/>
      <c r="M55" s="792"/>
      <c r="N55" s="792"/>
      <c r="O55" s="792"/>
      <c r="P55" s="792"/>
      <c r="Q55" s="792"/>
      <c r="R55" s="792"/>
      <c r="S55" s="792"/>
      <c r="T55" s="792"/>
      <c r="U55" s="792"/>
      <c r="V55" s="792"/>
      <c r="W55" s="792"/>
      <c r="X55" s="792"/>
      <c r="Y55" s="792"/>
      <c r="Z55" s="792"/>
    </row>
    <row r="56" ht="20.25" customHeight="1">
      <c r="A56" s="712"/>
      <c r="B56" s="800" t="s">
        <v>2714</v>
      </c>
      <c r="C56" s="710">
        <v>1.0</v>
      </c>
      <c r="D56" s="710">
        <v>50000.0</v>
      </c>
      <c r="E56" s="710">
        <f t="shared" si="4"/>
        <v>50000</v>
      </c>
      <c r="F56" s="710" t="s">
        <v>2715</v>
      </c>
      <c r="G56" s="800"/>
      <c r="H56" s="710" t="str">
        <f>IMAGE("https://www.scimetricsinc.com/images/detailed/2/ss-324-dch2.jpg",1)</f>
        <v/>
      </c>
      <c r="I56" s="712" t="s">
        <v>2716</v>
      </c>
      <c r="J56" s="708" t="s">
        <v>1684</v>
      </c>
      <c r="K56" s="792"/>
      <c r="L56" s="792"/>
      <c r="M56" s="792"/>
      <c r="N56" s="792"/>
      <c r="O56" s="792"/>
      <c r="P56" s="792"/>
      <c r="Q56" s="792"/>
      <c r="R56" s="792"/>
      <c r="S56" s="792"/>
      <c r="T56" s="792"/>
      <c r="U56" s="792"/>
      <c r="V56" s="792"/>
      <c r="W56" s="792"/>
      <c r="X56" s="792"/>
      <c r="Y56" s="792"/>
      <c r="Z56" s="792"/>
    </row>
    <row r="57" ht="21.0" customHeight="1">
      <c r="A57" s="712"/>
      <c r="B57" s="800" t="s">
        <v>2717</v>
      </c>
      <c r="C57" s="710">
        <v>1.0</v>
      </c>
      <c r="D57" s="710">
        <v>50000.0</v>
      </c>
      <c r="E57" s="710">
        <f t="shared" si="4"/>
        <v>50000</v>
      </c>
      <c r="F57" s="710" t="s">
        <v>2715</v>
      </c>
      <c r="G57" s="800"/>
      <c r="H57" s="710" t="str">
        <f>IMAGE("https://www.cei.washington.edu/wp-content/uploads/2014/06/PS2600_inUse_ENLRG_168287.jpg",1)</f>
        <v/>
      </c>
      <c r="I57" s="712" t="s">
        <v>2716</v>
      </c>
      <c r="J57" s="708" t="s">
        <v>1684</v>
      </c>
      <c r="K57" s="792"/>
      <c r="L57" s="792"/>
      <c r="M57" s="792"/>
      <c r="N57" s="792"/>
      <c r="O57" s="792"/>
      <c r="P57" s="792"/>
      <c r="Q57" s="792"/>
      <c r="R57" s="792"/>
      <c r="S57" s="792"/>
      <c r="T57" s="792"/>
      <c r="U57" s="792"/>
      <c r="V57" s="792"/>
      <c r="W57" s="792"/>
      <c r="X57" s="792"/>
      <c r="Y57" s="792"/>
      <c r="Z57" s="792"/>
    </row>
    <row r="58" ht="20.25" customHeight="1">
      <c r="A58" s="713" t="s">
        <v>2718</v>
      </c>
      <c r="B58" s="801" t="s">
        <v>2719</v>
      </c>
      <c r="C58" s="713">
        <v>1.0</v>
      </c>
      <c r="D58" s="713">
        <v>300.0</v>
      </c>
      <c r="E58" s="717">
        <f t="shared" si="4"/>
        <v>300</v>
      </c>
      <c r="F58" s="713" t="s">
        <v>2464</v>
      </c>
      <c r="G58" s="801" t="s">
        <v>2720</v>
      </c>
      <c r="H58" s="717" t="str">
        <f>IMAGE("https://res.cloudinary.com/tacoma-screw-products/image/upload/f_auto,t_product-large/Images/519-103_prt.jpg",1)</f>
        <v/>
      </c>
      <c r="I58" s="713" t="s">
        <v>2721</v>
      </c>
      <c r="J58" s="791" t="s">
        <v>2722</v>
      </c>
      <c r="K58" s="792"/>
      <c r="L58" s="792"/>
      <c r="M58" s="792"/>
      <c r="N58" s="792"/>
      <c r="O58" s="792"/>
      <c r="P58" s="792"/>
      <c r="Q58" s="792"/>
      <c r="R58" s="792"/>
      <c r="S58" s="792"/>
      <c r="T58" s="792"/>
      <c r="U58" s="792"/>
      <c r="V58" s="792"/>
      <c r="W58" s="792"/>
      <c r="X58" s="792"/>
      <c r="Y58" s="792"/>
      <c r="Z58" s="792"/>
    </row>
    <row r="59" ht="20.25" customHeight="1">
      <c r="A59" s="713"/>
      <c r="B59" s="801" t="s">
        <v>2723</v>
      </c>
      <c r="C59" s="717">
        <v>1.0</v>
      </c>
      <c r="D59" s="717">
        <v>200.0</v>
      </c>
      <c r="E59" s="717">
        <f t="shared" si="4"/>
        <v>200</v>
      </c>
      <c r="F59" s="717" t="s">
        <v>2464</v>
      </c>
      <c r="G59" s="801"/>
      <c r="H59" s="717" t="str">
        <f>IMAGE("https://m.media-amazon.com/images/I/71Ivg-yxQSL.jpg",1)</f>
        <v/>
      </c>
      <c r="I59" s="713" t="s">
        <v>2721</v>
      </c>
      <c r="J59" s="791" t="s">
        <v>2722</v>
      </c>
      <c r="K59" s="792"/>
      <c r="L59" s="792"/>
      <c r="M59" s="792"/>
      <c r="N59" s="792"/>
      <c r="O59" s="792"/>
      <c r="P59" s="792"/>
      <c r="Q59" s="792"/>
      <c r="R59" s="792"/>
      <c r="S59" s="792"/>
      <c r="T59" s="792"/>
      <c r="U59" s="792"/>
      <c r="V59" s="792"/>
      <c r="W59" s="792"/>
      <c r="X59" s="792"/>
      <c r="Y59" s="792"/>
      <c r="Z59" s="792"/>
    </row>
    <row r="60" ht="20.25" customHeight="1">
      <c r="A60" s="713" t="s">
        <v>2724</v>
      </c>
      <c r="B60" s="802" t="s">
        <v>2725</v>
      </c>
      <c r="C60" s="713">
        <v>1.0</v>
      </c>
      <c r="D60" s="713">
        <v>100.0</v>
      </c>
      <c r="E60" s="717">
        <f t="shared" si="4"/>
        <v>100</v>
      </c>
      <c r="F60" s="713" t="s">
        <v>2464</v>
      </c>
      <c r="G60" s="801" t="s">
        <v>2726</v>
      </c>
      <c r="H60" s="717" t="str">
        <f>IMAGE("https://m.media-amazon.com/images/I/41o7y9ztHcL._SX466_.jpg",1)</f>
        <v/>
      </c>
      <c r="I60" s="713" t="s">
        <v>2721</v>
      </c>
      <c r="J60" s="791"/>
      <c r="K60" s="792"/>
      <c r="L60" s="792"/>
      <c r="M60" s="792"/>
      <c r="N60" s="792"/>
      <c r="O60" s="792"/>
      <c r="P60" s="792"/>
      <c r="Q60" s="792"/>
      <c r="R60" s="792"/>
      <c r="S60" s="792"/>
      <c r="T60" s="792"/>
      <c r="U60" s="792"/>
      <c r="V60" s="792"/>
      <c r="W60" s="792"/>
      <c r="X60" s="792"/>
      <c r="Y60" s="792"/>
      <c r="Z60" s="792"/>
    </row>
    <row r="61" ht="20.25" customHeight="1">
      <c r="A61" s="719" t="s">
        <v>2727</v>
      </c>
      <c r="B61" s="803" t="s">
        <v>2728</v>
      </c>
      <c r="C61" s="719">
        <v>1.0</v>
      </c>
      <c r="D61" s="719">
        <v>500.0</v>
      </c>
      <c r="E61" s="804">
        <f t="shared" si="4"/>
        <v>500</v>
      </c>
      <c r="F61" s="719" t="s">
        <v>2715</v>
      </c>
      <c r="G61" s="803" t="s">
        <v>2729</v>
      </c>
      <c r="H61" s="805" t="str">
        <f>IMAGE("https://images.jdmagicbox.com/quickquotes/images_main/Digital-Microcontroller-pH-meter-310486837-bbbxy.jpg", 1)</f>
        <v/>
      </c>
      <c r="I61" s="719" t="s">
        <v>2730</v>
      </c>
      <c r="J61" s="791" t="s">
        <v>1686</v>
      </c>
      <c r="K61" s="792"/>
      <c r="L61" s="792"/>
      <c r="M61" s="792"/>
      <c r="N61" s="792"/>
      <c r="O61" s="792"/>
      <c r="P61" s="792"/>
      <c r="Q61" s="792"/>
      <c r="R61" s="792"/>
      <c r="S61" s="792"/>
      <c r="T61" s="792"/>
      <c r="U61" s="792"/>
      <c r="V61" s="792"/>
      <c r="W61" s="792"/>
      <c r="X61" s="792"/>
      <c r="Y61" s="792"/>
      <c r="Z61" s="792"/>
    </row>
    <row r="62" ht="20.25" customHeight="1">
      <c r="A62" s="722" t="s">
        <v>2731</v>
      </c>
      <c r="B62" s="806" t="s">
        <v>2732</v>
      </c>
      <c r="C62" s="722">
        <v>1.0</v>
      </c>
      <c r="D62" s="722">
        <v>10000.0</v>
      </c>
      <c r="E62" s="807">
        <f t="shared" si="4"/>
        <v>10000</v>
      </c>
      <c r="F62" s="722" t="s">
        <v>2711</v>
      </c>
      <c r="G62" s="806" t="s">
        <v>2733</v>
      </c>
      <c r="H62" s="808" t="str">
        <f>IMAGE("https://5.imimg.com/data5/EQ/UF/HC/SELLER-78563426/laser-printers-500x500.jpg", 1)</f>
        <v/>
      </c>
      <c r="I62" s="725" t="s">
        <v>142</v>
      </c>
      <c r="J62" s="726" t="s">
        <v>1684</v>
      </c>
      <c r="K62" s="792"/>
      <c r="L62" s="792"/>
      <c r="M62" s="792"/>
      <c r="N62" s="792"/>
      <c r="O62" s="792"/>
      <c r="P62" s="792"/>
      <c r="Q62" s="792"/>
      <c r="R62" s="792"/>
      <c r="S62" s="792"/>
      <c r="T62" s="792"/>
      <c r="U62" s="792"/>
      <c r="V62" s="792"/>
      <c r="W62" s="792"/>
      <c r="X62" s="792"/>
      <c r="Y62" s="792"/>
      <c r="Z62" s="792"/>
    </row>
    <row r="63" ht="25.5" customHeight="1">
      <c r="A63" s="727" t="s">
        <v>2734</v>
      </c>
      <c r="B63" s="809" t="s">
        <v>2735</v>
      </c>
      <c r="C63" s="727">
        <v>2.0</v>
      </c>
      <c r="D63" s="727">
        <v>2500.0</v>
      </c>
      <c r="E63" s="810">
        <f t="shared" si="4"/>
        <v>5000</v>
      </c>
      <c r="F63" s="727" t="s">
        <v>2711</v>
      </c>
      <c r="G63" s="809" t="s">
        <v>2736</v>
      </c>
      <c r="H63" s="811" t="str">
        <f>IMAGE("https://shopmakerq.com/wp-content/uploads/2021/01/flower-land-ready-to-post-68.jpg",1)</f>
        <v/>
      </c>
      <c r="I63" s="727" t="s">
        <v>2737</v>
      </c>
      <c r="J63" s="726"/>
      <c r="K63" s="792"/>
      <c r="L63" s="792"/>
      <c r="M63" s="792"/>
      <c r="N63" s="792"/>
      <c r="O63" s="792"/>
      <c r="P63" s="792"/>
      <c r="Q63" s="792"/>
      <c r="R63" s="792"/>
      <c r="S63" s="792"/>
      <c r="T63" s="792"/>
      <c r="U63" s="792"/>
      <c r="V63" s="792"/>
      <c r="W63" s="792"/>
      <c r="X63" s="792"/>
      <c r="Y63" s="792"/>
      <c r="Z63" s="792"/>
    </row>
    <row r="64" ht="45.0" customHeight="1">
      <c r="A64" s="731" t="s">
        <v>2738</v>
      </c>
      <c r="B64" s="812" t="s">
        <v>2739</v>
      </c>
      <c r="C64" s="731">
        <v>1.0</v>
      </c>
      <c r="D64" s="731">
        <v>350.0</v>
      </c>
      <c r="E64" s="813">
        <f t="shared" si="4"/>
        <v>350</v>
      </c>
      <c r="F64" s="731" t="s">
        <v>2641</v>
      </c>
      <c r="G64" s="812" t="s">
        <v>2740</v>
      </c>
      <c r="H64" s="814" t="str">
        <f t="shared" ref="H64:H65" si="5">IMAGE("https://images-eu.ssl-images-amazon.com/images/I/41imfiqCBDL._AC_UL600_SR600,600_.jpg",1)</f>
        <v/>
      </c>
      <c r="I64" s="731" t="s">
        <v>20</v>
      </c>
      <c r="J64" s="815"/>
      <c r="K64" s="792"/>
      <c r="L64" s="792"/>
      <c r="M64" s="792"/>
      <c r="N64" s="792"/>
      <c r="O64" s="792"/>
      <c r="P64" s="792"/>
      <c r="Q64" s="792"/>
      <c r="R64" s="792"/>
      <c r="S64" s="792"/>
      <c r="T64" s="792"/>
      <c r="U64" s="792"/>
      <c r="V64" s="792"/>
      <c r="W64" s="792"/>
      <c r="X64" s="792"/>
      <c r="Y64" s="792"/>
      <c r="Z64" s="792"/>
    </row>
    <row r="65" ht="45.0" customHeight="1">
      <c r="A65" s="731" t="s">
        <v>2741</v>
      </c>
      <c r="B65" s="812" t="s">
        <v>2742</v>
      </c>
      <c r="C65" s="731">
        <v>1.0</v>
      </c>
      <c r="D65" s="731">
        <v>100.0</v>
      </c>
      <c r="E65" s="813">
        <f t="shared" si="4"/>
        <v>100</v>
      </c>
      <c r="F65" s="731" t="s">
        <v>2641</v>
      </c>
      <c r="G65" s="812" t="s">
        <v>2743</v>
      </c>
      <c r="H65" s="814" t="str">
        <f t="shared" si="5"/>
        <v/>
      </c>
      <c r="I65" s="731" t="s">
        <v>20</v>
      </c>
      <c r="J65" s="815"/>
      <c r="K65" s="792"/>
      <c r="L65" s="792"/>
      <c r="M65" s="792"/>
      <c r="N65" s="792"/>
      <c r="O65" s="792"/>
      <c r="P65" s="792"/>
      <c r="Q65" s="792"/>
      <c r="R65" s="792"/>
      <c r="S65" s="792"/>
      <c r="T65" s="792"/>
      <c r="U65" s="792"/>
      <c r="V65" s="792"/>
      <c r="W65" s="792"/>
      <c r="X65" s="792"/>
      <c r="Y65" s="792"/>
      <c r="Z65" s="792"/>
    </row>
    <row r="66" ht="45.0" customHeight="1">
      <c r="A66" s="735" t="s">
        <v>2794</v>
      </c>
      <c r="B66" s="816" t="s">
        <v>2745</v>
      </c>
      <c r="C66" s="735">
        <v>2.0</v>
      </c>
      <c r="D66" s="735">
        <v>400.0</v>
      </c>
      <c r="E66" s="817">
        <f t="shared" si="4"/>
        <v>800</v>
      </c>
      <c r="F66" s="735" t="s">
        <v>2464</v>
      </c>
      <c r="G66" s="816" t="s">
        <v>2746</v>
      </c>
      <c r="H66" s="818" t="str">
        <f>IMAGE("https://www.dewalt.com/NAG/PRODUCT/IMAGES/HIRES/DWHT83193/DWHT83193_2.jpg",1)</f>
        <v/>
      </c>
      <c r="I66" s="735" t="s">
        <v>2747</v>
      </c>
      <c r="J66" s="735"/>
      <c r="K66" s="819" t="s">
        <v>1689</v>
      </c>
      <c r="L66" s="792"/>
      <c r="M66" s="792"/>
      <c r="N66" s="792"/>
      <c r="O66" s="792"/>
      <c r="P66" s="792"/>
      <c r="Q66" s="792"/>
      <c r="R66" s="792"/>
      <c r="S66" s="792"/>
      <c r="T66" s="792"/>
      <c r="U66" s="792"/>
      <c r="V66" s="792"/>
      <c r="W66" s="792"/>
      <c r="X66" s="792"/>
      <c r="Y66" s="792"/>
      <c r="Z66" s="792"/>
    </row>
    <row r="67" ht="45.0" customHeight="1">
      <c r="A67" s="820" t="s">
        <v>2795</v>
      </c>
      <c r="B67" s="821" t="s">
        <v>2796</v>
      </c>
      <c r="C67" s="820">
        <v>1.0</v>
      </c>
      <c r="D67" s="820">
        <v>400.0</v>
      </c>
      <c r="E67" s="822">
        <f t="shared" si="4"/>
        <v>400</v>
      </c>
      <c r="F67" s="820" t="s">
        <v>1697</v>
      </c>
      <c r="G67" s="821" t="s">
        <v>2797</v>
      </c>
      <c r="H67" s="823" t="str">
        <f>IMAGE("https://rukminim2.flixcart.com/image/832/832/jwfa5jk0/pendrive/pendrive/z/f/p/sandisk-sdcz50-128g-i35-original-imafh3xkevktvq4w.jpeg?q=70",1)</f>
        <v/>
      </c>
      <c r="I67" s="820" t="s">
        <v>2798</v>
      </c>
      <c r="J67" s="820"/>
      <c r="K67" s="815" t="s">
        <v>1688</v>
      </c>
      <c r="L67" s="815"/>
      <c r="M67" s="792"/>
      <c r="N67" s="792"/>
      <c r="O67" s="792"/>
      <c r="P67" s="792"/>
      <c r="Q67" s="792"/>
      <c r="R67" s="792"/>
      <c r="S67" s="792"/>
      <c r="T67" s="792"/>
      <c r="U67" s="792"/>
      <c r="V67" s="792"/>
      <c r="W67" s="792"/>
      <c r="X67" s="792"/>
      <c r="Y67" s="792"/>
      <c r="Z67" s="792"/>
    </row>
    <row r="68" ht="45.0" customHeight="1">
      <c r="A68" s="824"/>
      <c r="B68" s="824" t="s">
        <v>2799</v>
      </c>
      <c r="C68" s="824"/>
      <c r="D68" s="824"/>
      <c r="E68" s="825" t="s">
        <v>2800</v>
      </c>
      <c r="F68" s="826"/>
      <c r="G68" s="827">
        <v>24.0</v>
      </c>
      <c r="H68" s="824"/>
      <c r="I68" s="824"/>
      <c r="J68" s="824" t="s">
        <v>178</v>
      </c>
      <c r="K68" s="825" t="s">
        <v>65</v>
      </c>
      <c r="L68" s="828" t="s">
        <v>249</v>
      </c>
      <c r="M68" s="828"/>
      <c r="N68" s="829" t="s">
        <v>2801</v>
      </c>
      <c r="O68" s="824" t="str">
        <f>IMAGE("https://www.tradeindia.com/_next/image/?url=https%3A%2F%2Fcpimg.tistatic.com%2F07619079%2Fb%2F4%2FLinear-Shaft.jpg&amp;w=750&amp;q=15",1)</f>
        <v/>
      </c>
      <c r="P68" s="830"/>
      <c r="Q68" s="831"/>
      <c r="R68" s="832"/>
      <c r="S68" s="12"/>
      <c r="T68" s="12"/>
      <c r="U68" s="12"/>
      <c r="V68" s="12"/>
      <c r="W68" s="12"/>
      <c r="X68" s="12"/>
      <c r="Y68" s="12"/>
      <c r="Z68" s="12"/>
    </row>
    <row r="69" ht="45.0" customHeight="1">
      <c r="A69" s="824"/>
      <c r="B69" s="824" t="s">
        <v>2799</v>
      </c>
      <c r="C69" s="824"/>
      <c r="D69" s="824"/>
      <c r="E69" s="825" t="s">
        <v>2800</v>
      </c>
      <c r="F69" s="826"/>
      <c r="G69" s="827">
        <v>24.0</v>
      </c>
      <c r="H69" s="824"/>
      <c r="I69" s="824"/>
      <c r="J69" s="824" t="s">
        <v>178</v>
      </c>
      <c r="K69" s="825" t="s">
        <v>65</v>
      </c>
      <c r="L69" s="828" t="s">
        <v>249</v>
      </c>
      <c r="M69" s="828"/>
      <c r="N69" s="829" t="s">
        <v>2802</v>
      </c>
      <c r="O69" s="824" t="str">
        <f>IMAGE("https://m.media-amazon.com/images/I/51CSTnK7WXL._SL1001_.jpg",1)</f>
        <v/>
      </c>
      <c r="P69" s="830"/>
      <c r="Q69" s="831"/>
      <c r="R69" s="832"/>
      <c r="S69" s="12"/>
      <c r="T69" s="12"/>
      <c r="U69" s="12"/>
      <c r="V69" s="12"/>
      <c r="W69" s="12"/>
      <c r="X69" s="12"/>
      <c r="Y69" s="12"/>
      <c r="Z69" s="12"/>
    </row>
    <row r="70" ht="45.0" customHeight="1">
      <c r="A70" s="833"/>
      <c r="B70" s="833" t="s">
        <v>2799</v>
      </c>
      <c r="C70" s="833"/>
      <c r="D70" s="833"/>
      <c r="E70" s="834" t="s">
        <v>2803</v>
      </c>
      <c r="F70" s="835"/>
      <c r="G70" s="836">
        <v>96.0</v>
      </c>
      <c r="H70" s="833"/>
      <c r="I70" s="833"/>
      <c r="J70" s="833" t="s">
        <v>178</v>
      </c>
      <c r="K70" s="834" t="s">
        <v>65</v>
      </c>
      <c r="L70" s="837" t="s">
        <v>249</v>
      </c>
      <c r="M70" s="837"/>
      <c r="N70" s="838" t="s">
        <v>2804</v>
      </c>
      <c r="O70" s="833" t="str">
        <f>IMAGE("https://robu.in/wp-content/uploads/2017/12/LM8UU-8-MM-Linear-Motion-Bearing-ROBU.IN_.jpg",1)</f>
        <v/>
      </c>
      <c r="P70" s="839"/>
      <c r="Q70" s="840"/>
      <c r="R70" s="841"/>
      <c r="S70" s="12"/>
      <c r="T70" s="12"/>
      <c r="U70" s="12"/>
      <c r="V70" s="12"/>
      <c r="W70" s="12"/>
      <c r="X70" s="12"/>
      <c r="Y70" s="12"/>
      <c r="Z70" s="12"/>
    </row>
    <row r="71" ht="45.0" customHeight="1">
      <c r="A71" s="833"/>
      <c r="B71" s="833" t="s">
        <v>2799</v>
      </c>
      <c r="C71" s="833"/>
      <c r="D71" s="833"/>
      <c r="E71" s="834" t="s">
        <v>2805</v>
      </c>
      <c r="F71" s="835"/>
      <c r="G71" s="836">
        <v>24.0</v>
      </c>
      <c r="H71" s="833"/>
      <c r="I71" s="833"/>
      <c r="J71" s="833" t="s">
        <v>178</v>
      </c>
      <c r="K71" s="834" t="s">
        <v>65</v>
      </c>
      <c r="L71" s="837" t="s">
        <v>249</v>
      </c>
      <c r="M71" s="837"/>
      <c r="N71" s="842" t="s">
        <v>2806</v>
      </c>
      <c r="O71" s="833" t="str">
        <f>IMAGE("https://images-na.ssl-images-amazon.com/images/I/61%2BjnWFROKL._SS400_.jpg",1)</f>
        <v/>
      </c>
      <c r="P71" s="839"/>
      <c r="Q71" s="840"/>
      <c r="R71" s="841"/>
      <c r="S71" s="12"/>
      <c r="T71" s="12"/>
      <c r="U71" s="12"/>
      <c r="V71" s="12"/>
      <c r="W71" s="12"/>
      <c r="X71" s="12"/>
      <c r="Y71" s="12"/>
      <c r="Z71" s="12"/>
    </row>
    <row r="72" ht="45.0" customHeight="1">
      <c r="A72" s="833"/>
      <c r="B72" s="833" t="s">
        <v>2799</v>
      </c>
      <c r="C72" s="833"/>
      <c r="D72" s="833"/>
      <c r="E72" s="834" t="s">
        <v>2807</v>
      </c>
      <c r="F72" s="835"/>
      <c r="G72" s="836">
        <v>12.0</v>
      </c>
      <c r="H72" s="833"/>
      <c r="I72" s="833"/>
      <c r="J72" s="833" t="s">
        <v>178</v>
      </c>
      <c r="K72" s="834" t="s">
        <v>65</v>
      </c>
      <c r="L72" s="837" t="s">
        <v>249</v>
      </c>
      <c r="M72" s="837"/>
      <c r="N72" s="842"/>
      <c r="O72" s="833" t="str">
        <f>IMAGE("https://omrook.com/images/detailed/10/_aluminum-threaded-rod-55966-_144680.Aluminum_Threaded_Rod_b9ia-pj_yzwy-mq_utvp-k2_bo9p-em.jpg",1)</f>
        <v/>
      </c>
      <c r="P72" s="843"/>
      <c r="Q72" s="840"/>
      <c r="R72" s="841"/>
      <c r="S72" s="12"/>
      <c r="T72" s="12"/>
      <c r="U72" s="12"/>
      <c r="V72" s="12"/>
      <c r="W72" s="12"/>
      <c r="X72" s="12"/>
      <c r="Y72" s="12"/>
      <c r="Z72" s="12"/>
    </row>
    <row r="73" ht="45.0" customHeight="1">
      <c r="A73" s="844"/>
      <c r="B73" s="844" t="s">
        <v>2799</v>
      </c>
      <c r="C73" s="844"/>
      <c r="D73" s="844"/>
      <c r="E73" s="845" t="s">
        <v>2808</v>
      </c>
      <c r="F73" s="846"/>
      <c r="G73" s="847">
        <v>12.0</v>
      </c>
      <c r="H73" s="844"/>
      <c r="I73" s="844"/>
      <c r="J73" s="844" t="s">
        <v>178</v>
      </c>
      <c r="K73" s="845"/>
      <c r="L73" s="848"/>
      <c r="M73" s="848"/>
      <c r="N73" s="849" t="s">
        <v>2809</v>
      </c>
      <c r="O73" s="844" t="str">
        <f>IMAGE("https://robu.in/wp-content/uploads/2016/03/12-43.jpg",1)</f>
        <v/>
      </c>
      <c r="P73" s="832"/>
      <c r="Q73" s="831"/>
      <c r="R73" s="832"/>
      <c r="S73" s="12"/>
      <c r="T73" s="12"/>
      <c r="U73" s="12"/>
      <c r="V73" s="12"/>
      <c r="W73" s="12"/>
      <c r="X73" s="12"/>
      <c r="Y73" s="12"/>
      <c r="Z73" s="12"/>
    </row>
    <row r="74" ht="45.0" customHeight="1">
      <c r="A74" s="841"/>
      <c r="B74" s="841" t="s">
        <v>2799</v>
      </c>
      <c r="C74" s="841"/>
      <c r="D74" s="841"/>
      <c r="E74" s="850" t="s">
        <v>2810</v>
      </c>
      <c r="F74" s="851"/>
      <c r="G74" s="852">
        <v>48.0</v>
      </c>
      <c r="H74" s="841"/>
      <c r="I74" s="841"/>
      <c r="J74" s="841" t="s">
        <v>178</v>
      </c>
      <c r="K74" s="850"/>
      <c r="L74" s="853"/>
      <c r="M74" s="853"/>
      <c r="N74" s="854" t="s">
        <v>2811</v>
      </c>
      <c r="O74" s="841" t="str">
        <f>IMAGE("https://m.media-amazon.com/images/I/41vo381vTmL.jpg",1)</f>
        <v/>
      </c>
      <c r="P74" s="841"/>
      <c r="Q74" s="840"/>
      <c r="R74" s="841"/>
      <c r="S74" s="12"/>
      <c r="T74" s="12"/>
      <c r="U74" s="12"/>
      <c r="V74" s="12"/>
      <c r="W74" s="12"/>
      <c r="X74" s="12"/>
      <c r="Y74" s="12"/>
      <c r="Z74" s="12"/>
    </row>
    <row r="75" ht="45.0" customHeight="1">
      <c r="A75" s="841"/>
      <c r="B75" s="841" t="s">
        <v>2799</v>
      </c>
      <c r="C75" s="841"/>
      <c r="D75" s="841"/>
      <c r="E75" s="850" t="s">
        <v>2812</v>
      </c>
      <c r="F75" s="851"/>
      <c r="G75" s="852">
        <v>24.0</v>
      </c>
      <c r="H75" s="841"/>
      <c r="I75" s="841"/>
      <c r="J75" s="841" t="s">
        <v>178</v>
      </c>
      <c r="K75" s="850"/>
      <c r="L75" s="853"/>
      <c r="M75" s="853"/>
      <c r="N75" s="854" t="s">
        <v>2813</v>
      </c>
      <c r="O75" s="841" t="str">
        <f>IMAGE("https://robu.in/wp-content/uploads/2020/02/4-9.jpg",1)</f>
        <v/>
      </c>
      <c r="P75" s="841"/>
      <c r="Q75" s="840"/>
      <c r="R75" s="841"/>
      <c r="S75" s="12"/>
      <c r="T75" s="12"/>
      <c r="U75" s="12"/>
      <c r="V75" s="12"/>
      <c r="W75" s="12"/>
      <c r="X75" s="12"/>
      <c r="Y75" s="12"/>
      <c r="Z75" s="1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68:A72 D68:D72">
    <cfRule type="containsBlanks" dxfId="0" priority="1">
      <formula>LEN(TRIM(A68))=0</formula>
    </cfRule>
  </conditionalFormatting>
  <conditionalFormatting sqref="A46:I53">
    <cfRule type="containsBlanks" dxfId="0" priority="2">
      <formula>LEN(TRIM(A46))=0</formula>
    </cfRule>
  </conditionalFormatting>
  <conditionalFormatting sqref="A55:I65">
    <cfRule type="containsBlanks" dxfId="0" priority="3">
      <formula>LEN(TRIM(A55))=0</formula>
    </cfRule>
  </conditionalFormatting>
  <conditionalFormatting sqref="A67:J67">
    <cfRule type="containsBlanks" dxfId="0" priority="4">
      <formula>LEN(TRIM(A67))=0</formula>
    </cfRule>
  </conditionalFormatting>
  <conditionalFormatting sqref="G68:J75 N68:O75">
    <cfRule type="containsBlanks" dxfId="0" priority="5">
      <formula>LEN(TRIM(G68))=0</formula>
    </cfRule>
  </conditionalFormatting>
  <conditionalFormatting sqref="H66:I66">
    <cfRule type="containsBlanks" dxfId="0" priority="6">
      <formula>LEN(TRIM(H66))=0</formula>
    </cfRule>
  </conditionalFormatting>
  <dataValidations>
    <dataValidation type="list" allowBlank="1" showErrorMessage="1" sqref="J68:J75">
      <formula1>Sheet1!$C$1:$C$8</formula1>
    </dataValidation>
    <dataValidation type="list" allowBlank="1" showErrorMessage="1" sqref="F68:F75">
      <formula1>Sheet1!$A$1:$A$24</formula1>
    </dataValidation>
  </dataValidations>
  <printOptions/>
  <pageMargins bottom="0.75" footer="0.0" header="0.0" left="0.7" right="0.7" top="0.75"/>
  <pageSetup fitToHeight="0"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hidden="1" min="2" max="2" width="8.71"/>
    <col customWidth="1" min="3" max="3" width="40.29"/>
    <col customWidth="1" min="4" max="4" width="8.71"/>
    <col customWidth="1" hidden="1" min="5" max="8" width="8.71"/>
    <col customWidth="1" hidden="1" min="9" max="9" width="15.71"/>
    <col customWidth="1" hidden="1" min="10" max="11" width="8.71"/>
    <col customWidth="1" hidden="1" min="12" max="12" width="10.29"/>
    <col customWidth="1" min="13" max="21" width="8.71"/>
    <col customWidth="1" min="22" max="23" width="9.71"/>
    <col customWidth="1" min="24" max="26" width="8.71"/>
  </cols>
  <sheetData>
    <row r="1" ht="19.5" customHeight="1">
      <c r="A1" s="855" t="s">
        <v>2814</v>
      </c>
      <c r="B1" s="856" t="s">
        <v>1</v>
      </c>
      <c r="C1" s="857" t="s">
        <v>2815</v>
      </c>
      <c r="D1" s="856" t="s">
        <v>4</v>
      </c>
      <c r="E1" s="856" t="s">
        <v>6</v>
      </c>
      <c r="F1" s="856" t="s">
        <v>7</v>
      </c>
      <c r="G1" s="856" t="s">
        <v>3</v>
      </c>
      <c r="H1" s="856" t="s">
        <v>12</v>
      </c>
      <c r="I1" s="856" t="s">
        <v>13</v>
      </c>
      <c r="J1" s="858" t="s">
        <v>2816</v>
      </c>
      <c r="K1" s="858" t="s">
        <v>2817</v>
      </c>
      <c r="L1" s="858" t="s">
        <v>2818</v>
      </c>
      <c r="M1" s="857" t="s">
        <v>2819</v>
      </c>
      <c r="N1" s="857" t="s">
        <v>2820</v>
      </c>
      <c r="O1" s="857" t="s">
        <v>2821</v>
      </c>
      <c r="P1" s="857" t="s">
        <v>2822</v>
      </c>
      <c r="Q1" s="857" t="s">
        <v>2823</v>
      </c>
      <c r="R1" s="857" t="s">
        <v>2824</v>
      </c>
      <c r="S1" s="857" t="s">
        <v>2825</v>
      </c>
      <c r="T1" s="857" t="s">
        <v>2826</v>
      </c>
      <c r="U1" s="857" t="s">
        <v>2827</v>
      </c>
      <c r="V1" s="857" t="s">
        <v>2828</v>
      </c>
      <c r="W1" s="859" t="s">
        <v>2829</v>
      </c>
      <c r="X1" s="90"/>
      <c r="Y1" s="90"/>
      <c r="Z1" s="90"/>
    </row>
    <row r="2" ht="19.5" customHeight="1">
      <c r="A2" s="860">
        <v>1.0</v>
      </c>
      <c r="B2" s="861" t="s">
        <v>2830</v>
      </c>
      <c r="C2" s="862" t="s">
        <v>176</v>
      </c>
      <c r="D2" s="861">
        <v>5.0</v>
      </c>
      <c r="E2" s="861">
        <v>250.0</v>
      </c>
      <c r="F2" s="861">
        <v>1250.0</v>
      </c>
      <c r="G2" s="861" t="s">
        <v>1697</v>
      </c>
      <c r="H2" s="861" t="s">
        <v>180</v>
      </c>
      <c r="I2" s="861" t="e">
        <v>#VALUE!</v>
      </c>
      <c r="J2" s="858" t="s">
        <v>2798</v>
      </c>
      <c r="K2" s="858" t="s">
        <v>2831</v>
      </c>
      <c r="L2" s="858" t="s">
        <v>1688</v>
      </c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3"/>
      <c r="X2" s="90"/>
      <c r="Y2" s="90"/>
      <c r="Z2" s="90"/>
    </row>
    <row r="3" ht="19.5" customHeight="1">
      <c r="A3" s="860">
        <v>2.0</v>
      </c>
      <c r="B3" s="861" t="s">
        <v>2832</v>
      </c>
      <c r="C3" s="862" t="s">
        <v>2833</v>
      </c>
      <c r="D3" s="861">
        <v>15.0</v>
      </c>
      <c r="E3" s="861">
        <v>250.0</v>
      </c>
      <c r="F3" s="861">
        <v>3750.0</v>
      </c>
      <c r="G3" s="861" t="s">
        <v>1697</v>
      </c>
      <c r="H3" s="861" t="s">
        <v>1360</v>
      </c>
      <c r="I3" s="861" t="e">
        <v>#VALUE!</v>
      </c>
      <c r="J3" s="858" t="s">
        <v>2798</v>
      </c>
      <c r="K3" s="858" t="s">
        <v>2831</v>
      </c>
      <c r="L3" s="858" t="s">
        <v>1688</v>
      </c>
      <c r="M3" s="862"/>
      <c r="N3" s="862"/>
      <c r="O3" s="862"/>
      <c r="P3" s="862"/>
      <c r="Q3" s="862"/>
      <c r="R3" s="862"/>
      <c r="S3" s="862"/>
      <c r="T3" s="862"/>
      <c r="U3" s="862"/>
      <c r="V3" s="862"/>
      <c r="W3" s="863"/>
      <c r="X3" s="90"/>
      <c r="Y3" s="90"/>
      <c r="Z3" s="90"/>
    </row>
    <row r="4" ht="19.5" customHeight="1">
      <c r="A4" s="860">
        <v>3.0</v>
      </c>
      <c r="B4" s="861" t="s">
        <v>2834</v>
      </c>
      <c r="C4" s="862" t="s">
        <v>2835</v>
      </c>
      <c r="D4" s="861">
        <v>20.0</v>
      </c>
      <c r="E4" s="861">
        <v>40.0</v>
      </c>
      <c r="F4" s="861">
        <v>800.0</v>
      </c>
      <c r="G4" s="861" t="s">
        <v>1697</v>
      </c>
      <c r="H4" s="861" t="s">
        <v>1422</v>
      </c>
      <c r="I4" s="861" t="e">
        <v>#VALUE!</v>
      </c>
      <c r="J4" s="858" t="s">
        <v>2696</v>
      </c>
      <c r="K4" s="858">
        <v>0.0</v>
      </c>
      <c r="L4" s="858" t="s">
        <v>1688</v>
      </c>
      <c r="M4" s="862"/>
      <c r="N4" s="862"/>
      <c r="O4" s="862"/>
      <c r="P4" s="862"/>
      <c r="Q4" s="862"/>
      <c r="R4" s="862"/>
      <c r="S4" s="862"/>
      <c r="T4" s="862"/>
      <c r="U4" s="862"/>
      <c r="V4" s="862"/>
      <c r="W4" s="863"/>
      <c r="X4" s="90"/>
      <c r="Y4" s="90"/>
      <c r="Z4" s="90"/>
    </row>
    <row r="5" ht="19.5" customHeight="1">
      <c r="A5" s="860">
        <v>4.0</v>
      </c>
      <c r="B5" s="861" t="s">
        <v>2836</v>
      </c>
      <c r="C5" s="862" t="s">
        <v>183</v>
      </c>
      <c r="D5" s="861">
        <v>5.0</v>
      </c>
      <c r="E5" s="861">
        <v>100.0</v>
      </c>
      <c r="F5" s="861">
        <v>500.0</v>
      </c>
      <c r="G5" s="861" t="s">
        <v>1697</v>
      </c>
      <c r="H5" s="861" t="s">
        <v>490</v>
      </c>
      <c r="I5" s="861" t="e">
        <v>#VALUE!</v>
      </c>
      <c r="J5" s="858" t="s">
        <v>2798</v>
      </c>
      <c r="K5" s="858" t="s">
        <v>2831</v>
      </c>
      <c r="L5" s="858" t="s">
        <v>1688</v>
      </c>
      <c r="M5" s="862"/>
      <c r="N5" s="862"/>
      <c r="O5" s="862"/>
      <c r="P5" s="862"/>
      <c r="Q5" s="862"/>
      <c r="R5" s="862"/>
      <c r="S5" s="862"/>
      <c r="T5" s="862"/>
      <c r="U5" s="862"/>
      <c r="V5" s="862"/>
      <c r="W5" s="863"/>
      <c r="X5" s="90"/>
      <c r="Y5" s="90"/>
      <c r="Z5" s="90"/>
    </row>
    <row r="6" ht="19.5" customHeight="1">
      <c r="A6" s="860">
        <v>5.0</v>
      </c>
      <c r="B6" s="861" t="s">
        <v>2837</v>
      </c>
      <c r="C6" s="862" t="s">
        <v>2838</v>
      </c>
      <c r="D6" s="861">
        <v>10.0</v>
      </c>
      <c r="E6" s="861">
        <v>300.0</v>
      </c>
      <c r="F6" s="861">
        <v>3000.0</v>
      </c>
      <c r="G6" s="861" t="s">
        <v>1697</v>
      </c>
      <c r="H6" s="861" t="s">
        <v>1427</v>
      </c>
      <c r="I6" s="861" t="e">
        <v>#VALUE!</v>
      </c>
      <c r="J6" s="858" t="s">
        <v>2839</v>
      </c>
      <c r="K6" s="858" t="s">
        <v>2831</v>
      </c>
      <c r="L6" s="858" t="s">
        <v>1688</v>
      </c>
      <c r="M6" s="862"/>
      <c r="N6" s="862"/>
      <c r="O6" s="862"/>
      <c r="P6" s="862"/>
      <c r="Q6" s="862"/>
      <c r="R6" s="862"/>
      <c r="S6" s="862"/>
      <c r="T6" s="862"/>
      <c r="U6" s="862"/>
      <c r="V6" s="862"/>
      <c r="W6" s="863"/>
      <c r="X6" s="90"/>
      <c r="Y6" s="90"/>
      <c r="Z6" s="90"/>
    </row>
    <row r="7" ht="19.5" customHeight="1">
      <c r="A7" s="860">
        <v>6.0</v>
      </c>
      <c r="B7" s="861" t="s">
        <v>2840</v>
      </c>
      <c r="C7" s="862" t="s">
        <v>2841</v>
      </c>
      <c r="D7" s="861">
        <v>20.0</v>
      </c>
      <c r="E7" s="861">
        <v>7.5</v>
      </c>
      <c r="F7" s="861">
        <v>150.0</v>
      </c>
      <c r="G7" s="861" t="s">
        <v>1697</v>
      </c>
      <c r="H7" s="861" t="s">
        <v>1515</v>
      </c>
      <c r="I7" s="861" t="e">
        <v>#VALUE!</v>
      </c>
      <c r="J7" s="858" t="s">
        <v>2798</v>
      </c>
      <c r="K7" s="858" t="s">
        <v>2831</v>
      </c>
      <c r="L7" s="858" t="s">
        <v>1688</v>
      </c>
      <c r="M7" s="862"/>
      <c r="N7" s="862"/>
      <c r="O7" s="862"/>
      <c r="P7" s="862"/>
      <c r="Q7" s="862"/>
      <c r="R7" s="862"/>
      <c r="S7" s="862"/>
      <c r="T7" s="862"/>
      <c r="U7" s="862"/>
      <c r="V7" s="862"/>
      <c r="W7" s="863"/>
      <c r="X7" s="90"/>
      <c r="Y7" s="90"/>
      <c r="Z7" s="90"/>
    </row>
    <row r="8" ht="19.5" customHeight="1">
      <c r="A8" s="860">
        <v>7.0</v>
      </c>
      <c r="B8" s="861" t="s">
        <v>2842</v>
      </c>
      <c r="C8" s="862" t="s">
        <v>890</v>
      </c>
      <c r="D8" s="861">
        <v>10.0</v>
      </c>
      <c r="E8" s="861">
        <v>300.0</v>
      </c>
      <c r="F8" s="861">
        <v>3000.0</v>
      </c>
      <c r="G8" s="861" t="s">
        <v>1697</v>
      </c>
      <c r="H8" s="861" t="s">
        <v>1440</v>
      </c>
      <c r="I8" s="861" t="e">
        <v>#VALUE!</v>
      </c>
      <c r="J8" s="858" t="s">
        <v>2839</v>
      </c>
      <c r="K8" s="858" t="s">
        <v>2831</v>
      </c>
      <c r="L8" s="858" t="s">
        <v>1688</v>
      </c>
      <c r="M8" s="862"/>
      <c r="N8" s="862"/>
      <c r="O8" s="862"/>
      <c r="P8" s="862"/>
      <c r="Q8" s="862"/>
      <c r="R8" s="862"/>
      <c r="S8" s="862"/>
      <c r="T8" s="862"/>
      <c r="U8" s="862"/>
      <c r="V8" s="862"/>
      <c r="W8" s="863"/>
      <c r="X8" s="90"/>
      <c r="Y8" s="90"/>
      <c r="Z8" s="90"/>
    </row>
    <row r="9" ht="19.5" customHeight="1">
      <c r="A9" s="860">
        <v>8.0</v>
      </c>
      <c r="B9" s="861" t="s">
        <v>2843</v>
      </c>
      <c r="C9" s="862" t="s">
        <v>2844</v>
      </c>
      <c r="D9" s="861">
        <v>15.0</v>
      </c>
      <c r="E9" s="861">
        <v>400.0</v>
      </c>
      <c r="F9" s="861">
        <v>6000.0</v>
      </c>
      <c r="G9" s="861" t="s">
        <v>1697</v>
      </c>
      <c r="H9" s="861" t="s">
        <v>892</v>
      </c>
      <c r="I9" s="861" t="e">
        <v>#VALUE!</v>
      </c>
      <c r="J9" s="858" t="s">
        <v>2798</v>
      </c>
      <c r="K9" s="858" t="s">
        <v>2831</v>
      </c>
      <c r="L9" s="858" t="s">
        <v>1688</v>
      </c>
      <c r="M9" s="862"/>
      <c r="N9" s="862"/>
      <c r="O9" s="862"/>
      <c r="P9" s="862"/>
      <c r="Q9" s="862"/>
      <c r="R9" s="862"/>
      <c r="S9" s="862"/>
      <c r="T9" s="862"/>
      <c r="U9" s="862"/>
      <c r="V9" s="862"/>
      <c r="W9" s="863"/>
      <c r="X9" s="90"/>
      <c r="Y9" s="90"/>
      <c r="Z9" s="90"/>
    </row>
    <row r="10" ht="19.5" customHeight="1">
      <c r="A10" s="860">
        <v>9.0</v>
      </c>
      <c r="B10" s="861" t="s">
        <v>2845</v>
      </c>
      <c r="C10" s="862" t="s">
        <v>2846</v>
      </c>
      <c r="D10" s="861">
        <v>10.0</v>
      </c>
      <c r="E10" s="861">
        <v>500.0</v>
      </c>
      <c r="F10" s="861">
        <v>5000.0</v>
      </c>
      <c r="G10" s="861" t="s">
        <v>1697</v>
      </c>
      <c r="H10" s="861" t="s">
        <v>422</v>
      </c>
      <c r="I10" s="861" t="e">
        <v>#VALUE!</v>
      </c>
      <c r="J10" s="858" t="s">
        <v>2798</v>
      </c>
      <c r="K10" s="858" t="s">
        <v>2831</v>
      </c>
      <c r="L10" s="858" t="s">
        <v>1688</v>
      </c>
      <c r="M10" s="862"/>
      <c r="N10" s="862"/>
      <c r="O10" s="862"/>
      <c r="P10" s="862"/>
      <c r="Q10" s="862"/>
      <c r="R10" s="862"/>
      <c r="S10" s="862"/>
      <c r="T10" s="862"/>
      <c r="U10" s="862"/>
      <c r="V10" s="862"/>
      <c r="W10" s="863"/>
      <c r="X10" s="90"/>
      <c r="Y10" s="90"/>
      <c r="Z10" s="90"/>
    </row>
    <row r="11" ht="19.5" customHeight="1">
      <c r="A11" s="860">
        <v>10.0</v>
      </c>
      <c r="B11" s="861" t="s">
        <v>2847</v>
      </c>
      <c r="C11" s="862" t="s">
        <v>2848</v>
      </c>
      <c r="D11" s="861">
        <v>15.0</v>
      </c>
      <c r="E11" s="861">
        <v>450.0</v>
      </c>
      <c r="F11" s="861">
        <v>6750.0</v>
      </c>
      <c r="G11" s="861" t="s">
        <v>1697</v>
      </c>
      <c r="H11" s="861" t="s">
        <v>426</v>
      </c>
      <c r="I11" s="861" t="e">
        <v>#VALUE!</v>
      </c>
      <c r="J11" s="858" t="s">
        <v>2798</v>
      </c>
      <c r="K11" s="858" t="s">
        <v>2831</v>
      </c>
      <c r="L11" s="858" t="s">
        <v>1688</v>
      </c>
      <c r="M11" s="862"/>
      <c r="N11" s="862"/>
      <c r="O11" s="862"/>
      <c r="P11" s="862"/>
      <c r="Q11" s="862"/>
      <c r="R11" s="862"/>
      <c r="S11" s="862"/>
      <c r="T11" s="862"/>
      <c r="U11" s="862"/>
      <c r="V11" s="862"/>
      <c r="W11" s="863"/>
      <c r="X11" s="90"/>
      <c r="Y11" s="90"/>
      <c r="Z11" s="90"/>
    </row>
    <row r="12" ht="19.5" customHeight="1">
      <c r="A12" s="860">
        <v>11.0</v>
      </c>
      <c r="B12" s="861" t="s">
        <v>2849</v>
      </c>
      <c r="C12" s="862" t="s">
        <v>2850</v>
      </c>
      <c r="D12" s="861">
        <v>10.0</v>
      </c>
      <c r="E12" s="861">
        <v>700.0</v>
      </c>
      <c r="F12" s="861">
        <v>7000.0</v>
      </c>
      <c r="G12" s="861" t="s">
        <v>1697</v>
      </c>
      <c r="H12" s="861" t="s">
        <v>431</v>
      </c>
      <c r="I12" s="861" t="e">
        <v>#VALUE!</v>
      </c>
      <c r="J12" s="858" t="s">
        <v>2798</v>
      </c>
      <c r="K12" s="858" t="s">
        <v>2831</v>
      </c>
      <c r="L12" s="858" t="s">
        <v>1688</v>
      </c>
      <c r="M12" s="862"/>
      <c r="N12" s="862"/>
      <c r="O12" s="862"/>
      <c r="P12" s="862"/>
      <c r="Q12" s="862"/>
      <c r="R12" s="862"/>
      <c r="S12" s="862"/>
      <c r="T12" s="862"/>
      <c r="U12" s="862"/>
      <c r="V12" s="862"/>
      <c r="W12" s="863"/>
      <c r="X12" s="90"/>
      <c r="Y12" s="90"/>
      <c r="Z12" s="90"/>
    </row>
    <row r="13" ht="19.5" customHeight="1">
      <c r="A13" s="860">
        <v>12.0</v>
      </c>
      <c r="B13" s="861" t="s">
        <v>2851</v>
      </c>
      <c r="C13" s="862" t="s">
        <v>188</v>
      </c>
      <c r="D13" s="861">
        <v>5.0</v>
      </c>
      <c r="E13" s="861">
        <v>300.0</v>
      </c>
      <c r="F13" s="861">
        <v>1500.0</v>
      </c>
      <c r="G13" s="861" t="s">
        <v>1697</v>
      </c>
      <c r="H13" s="861" t="s">
        <v>937</v>
      </c>
      <c r="I13" s="861" t="e">
        <v>#VALUE!</v>
      </c>
      <c r="J13" s="858" t="s">
        <v>2798</v>
      </c>
      <c r="K13" s="858" t="s">
        <v>2831</v>
      </c>
      <c r="L13" s="858" t="s">
        <v>1688</v>
      </c>
      <c r="M13" s="862"/>
      <c r="N13" s="862"/>
      <c r="O13" s="862"/>
      <c r="P13" s="862"/>
      <c r="Q13" s="862"/>
      <c r="R13" s="862"/>
      <c r="S13" s="862"/>
      <c r="T13" s="862"/>
      <c r="U13" s="862"/>
      <c r="V13" s="862"/>
      <c r="W13" s="863"/>
      <c r="X13" s="90"/>
      <c r="Y13" s="90"/>
      <c r="Z13" s="90"/>
    </row>
    <row r="14" ht="19.5" customHeight="1">
      <c r="A14" s="860">
        <v>13.0</v>
      </c>
      <c r="B14" s="861" t="s">
        <v>2852</v>
      </c>
      <c r="C14" s="862" t="s">
        <v>192</v>
      </c>
      <c r="D14" s="861">
        <v>20.0</v>
      </c>
      <c r="E14" s="861">
        <v>6.0</v>
      </c>
      <c r="F14" s="861">
        <v>120.0</v>
      </c>
      <c r="G14" s="861" t="s">
        <v>1697</v>
      </c>
      <c r="H14" s="861" t="s">
        <v>189</v>
      </c>
      <c r="I14" s="861" t="e">
        <v>#VALUE!</v>
      </c>
      <c r="J14" s="858" t="s">
        <v>2696</v>
      </c>
      <c r="K14" s="858">
        <v>0.0</v>
      </c>
      <c r="L14" s="858" t="s">
        <v>1688</v>
      </c>
      <c r="M14" s="862"/>
      <c r="N14" s="862"/>
      <c r="O14" s="862"/>
      <c r="P14" s="862"/>
      <c r="Q14" s="862"/>
      <c r="R14" s="862"/>
      <c r="S14" s="862"/>
      <c r="T14" s="862"/>
      <c r="U14" s="862"/>
      <c r="V14" s="862"/>
      <c r="W14" s="863"/>
      <c r="X14" s="90"/>
      <c r="Y14" s="90"/>
      <c r="Z14" s="90"/>
    </row>
    <row r="15" ht="19.5" customHeight="1">
      <c r="A15" s="860">
        <v>14.0</v>
      </c>
      <c r="B15" s="861" t="s">
        <v>2853</v>
      </c>
      <c r="C15" s="862" t="s">
        <v>198</v>
      </c>
      <c r="D15" s="861">
        <v>15.0</v>
      </c>
      <c r="E15" s="861">
        <v>20.0</v>
      </c>
      <c r="F15" s="861">
        <v>300.0</v>
      </c>
      <c r="G15" s="861" t="s">
        <v>1697</v>
      </c>
      <c r="H15" s="861" t="s">
        <v>195</v>
      </c>
      <c r="I15" s="861" t="e">
        <v>#VALUE!</v>
      </c>
      <c r="J15" s="858" t="s">
        <v>2696</v>
      </c>
      <c r="K15" s="858">
        <v>0.0</v>
      </c>
      <c r="L15" s="858" t="s">
        <v>1688</v>
      </c>
      <c r="M15" s="862"/>
      <c r="N15" s="862"/>
      <c r="O15" s="862"/>
      <c r="P15" s="862"/>
      <c r="Q15" s="862"/>
      <c r="R15" s="862"/>
      <c r="S15" s="862"/>
      <c r="T15" s="862"/>
      <c r="U15" s="862"/>
      <c r="V15" s="862"/>
      <c r="W15" s="863"/>
      <c r="X15" s="90"/>
      <c r="Y15" s="90"/>
      <c r="Z15" s="90"/>
    </row>
    <row r="16" ht="19.5" customHeight="1">
      <c r="A16" s="860">
        <v>15.0</v>
      </c>
      <c r="B16" s="861" t="s">
        <v>2854</v>
      </c>
      <c r="C16" s="862" t="s">
        <v>202</v>
      </c>
      <c r="D16" s="861">
        <v>10.0</v>
      </c>
      <c r="E16" s="861">
        <v>50.0</v>
      </c>
      <c r="F16" s="861">
        <v>500.0</v>
      </c>
      <c r="G16" s="861" t="s">
        <v>1697</v>
      </c>
      <c r="H16" s="861" t="s">
        <v>199</v>
      </c>
      <c r="I16" s="861" t="e">
        <v>#VALUE!</v>
      </c>
      <c r="J16" s="858" t="s">
        <v>2798</v>
      </c>
      <c r="K16" s="858" t="s">
        <v>2831</v>
      </c>
      <c r="L16" s="858" t="s">
        <v>1688</v>
      </c>
      <c r="M16" s="862"/>
      <c r="N16" s="862"/>
      <c r="O16" s="862"/>
      <c r="P16" s="862"/>
      <c r="Q16" s="862"/>
      <c r="R16" s="862"/>
      <c r="S16" s="862"/>
      <c r="T16" s="862"/>
      <c r="U16" s="862"/>
      <c r="V16" s="862"/>
      <c r="W16" s="863"/>
      <c r="X16" s="90"/>
      <c r="Y16" s="90"/>
      <c r="Z16" s="90"/>
    </row>
    <row r="17" ht="19.5" customHeight="1">
      <c r="A17" s="860">
        <v>16.0</v>
      </c>
      <c r="B17" s="861" t="s">
        <v>2855</v>
      </c>
      <c r="C17" s="862" t="s">
        <v>207</v>
      </c>
      <c r="D17" s="861">
        <v>30.0</v>
      </c>
      <c r="E17" s="861">
        <v>20.0</v>
      </c>
      <c r="F17" s="861">
        <v>600.0</v>
      </c>
      <c r="G17" s="861" t="s">
        <v>1697</v>
      </c>
      <c r="H17" s="861" t="s">
        <v>204</v>
      </c>
      <c r="I17" s="861" t="e">
        <v>#VALUE!</v>
      </c>
      <c r="J17" s="858" t="s">
        <v>2798</v>
      </c>
      <c r="K17" s="858" t="s">
        <v>2831</v>
      </c>
      <c r="L17" s="858" t="s">
        <v>1688</v>
      </c>
      <c r="M17" s="862"/>
      <c r="N17" s="862"/>
      <c r="O17" s="862"/>
      <c r="P17" s="862"/>
      <c r="Q17" s="862"/>
      <c r="R17" s="862"/>
      <c r="S17" s="862"/>
      <c r="T17" s="862"/>
      <c r="U17" s="862"/>
      <c r="V17" s="862"/>
      <c r="W17" s="863"/>
      <c r="X17" s="90"/>
      <c r="Y17" s="90"/>
      <c r="Z17" s="90"/>
    </row>
    <row r="18" ht="19.5" customHeight="1">
      <c r="A18" s="860">
        <v>17.0</v>
      </c>
      <c r="B18" s="861" t="s">
        <v>2856</v>
      </c>
      <c r="C18" s="862" t="s">
        <v>211</v>
      </c>
      <c r="D18" s="861">
        <v>20.0</v>
      </c>
      <c r="E18" s="861">
        <v>40.0</v>
      </c>
      <c r="F18" s="861">
        <v>800.0</v>
      </c>
      <c r="G18" s="861" t="s">
        <v>1697</v>
      </c>
      <c r="H18" s="861" t="s">
        <v>208</v>
      </c>
      <c r="I18" s="861" t="e">
        <v>#VALUE!</v>
      </c>
      <c r="J18" s="858" t="s">
        <v>2798</v>
      </c>
      <c r="K18" s="858" t="s">
        <v>2831</v>
      </c>
      <c r="L18" s="858" t="s">
        <v>1688</v>
      </c>
      <c r="M18" s="862"/>
      <c r="N18" s="862"/>
      <c r="O18" s="862"/>
      <c r="P18" s="862"/>
      <c r="Q18" s="862"/>
      <c r="R18" s="862"/>
      <c r="S18" s="862"/>
      <c r="T18" s="862"/>
      <c r="U18" s="862"/>
      <c r="V18" s="862"/>
      <c r="W18" s="863"/>
      <c r="X18" s="90"/>
      <c r="Y18" s="90"/>
      <c r="Z18" s="90"/>
    </row>
    <row r="19" ht="19.5" customHeight="1">
      <c r="A19" s="860">
        <v>18.0</v>
      </c>
      <c r="B19" s="861" t="s">
        <v>2857</v>
      </c>
      <c r="C19" s="862" t="s">
        <v>895</v>
      </c>
      <c r="D19" s="861">
        <v>10.0</v>
      </c>
      <c r="E19" s="861">
        <v>200.0</v>
      </c>
      <c r="F19" s="861">
        <v>2000.0</v>
      </c>
      <c r="G19" s="861" t="s">
        <v>1697</v>
      </c>
      <c r="H19" s="861" t="s">
        <v>990</v>
      </c>
      <c r="I19" s="861" t="e">
        <v>#VALUE!</v>
      </c>
      <c r="J19" s="858" t="s">
        <v>2839</v>
      </c>
      <c r="K19" s="858" t="s">
        <v>2831</v>
      </c>
      <c r="L19" s="858" t="s">
        <v>1688</v>
      </c>
      <c r="M19" s="862"/>
      <c r="N19" s="862"/>
      <c r="O19" s="862"/>
      <c r="P19" s="862"/>
      <c r="Q19" s="862"/>
      <c r="R19" s="862"/>
      <c r="S19" s="862"/>
      <c r="T19" s="862"/>
      <c r="U19" s="862"/>
      <c r="V19" s="862"/>
      <c r="W19" s="863"/>
      <c r="X19" s="90"/>
      <c r="Y19" s="90"/>
      <c r="Z19" s="90"/>
    </row>
    <row r="20" ht="19.5" customHeight="1">
      <c r="A20" s="860">
        <v>19.0</v>
      </c>
      <c r="B20" s="861" t="s">
        <v>2858</v>
      </c>
      <c r="C20" s="862" t="s">
        <v>1363</v>
      </c>
      <c r="D20" s="861">
        <v>30.0</v>
      </c>
      <c r="E20" s="861">
        <v>55.0</v>
      </c>
      <c r="F20" s="861">
        <v>1650.0</v>
      </c>
      <c r="G20" s="861" t="s">
        <v>1697</v>
      </c>
      <c r="H20" s="861" t="s">
        <v>896</v>
      </c>
      <c r="I20" s="861" t="e">
        <v>#VALUE!</v>
      </c>
      <c r="J20" s="858" t="s">
        <v>2798</v>
      </c>
      <c r="K20" s="858" t="s">
        <v>2831</v>
      </c>
      <c r="L20" s="858" t="s">
        <v>1688</v>
      </c>
      <c r="M20" s="862"/>
      <c r="N20" s="862"/>
      <c r="O20" s="862"/>
      <c r="P20" s="862"/>
      <c r="Q20" s="862"/>
      <c r="R20" s="862"/>
      <c r="S20" s="862"/>
      <c r="T20" s="862"/>
      <c r="U20" s="862"/>
      <c r="V20" s="862"/>
      <c r="W20" s="863"/>
      <c r="X20" s="90"/>
      <c r="Y20" s="90"/>
      <c r="Z20" s="90"/>
    </row>
    <row r="21" ht="19.5" customHeight="1">
      <c r="A21" s="860">
        <v>20.0</v>
      </c>
      <c r="B21" s="861" t="s">
        <v>2859</v>
      </c>
      <c r="C21" s="862" t="s">
        <v>1367</v>
      </c>
      <c r="D21" s="861">
        <v>30.0</v>
      </c>
      <c r="E21" s="861">
        <v>55.0</v>
      </c>
      <c r="F21" s="861">
        <v>1650.0</v>
      </c>
      <c r="G21" s="861" t="s">
        <v>1697</v>
      </c>
      <c r="H21" s="861" t="s">
        <v>1364</v>
      </c>
      <c r="I21" s="861" t="e">
        <v>#VALUE!</v>
      </c>
      <c r="J21" s="858" t="s">
        <v>2798</v>
      </c>
      <c r="K21" s="858" t="s">
        <v>2831</v>
      </c>
      <c r="L21" s="858" t="s">
        <v>1688</v>
      </c>
      <c r="M21" s="862"/>
      <c r="N21" s="862"/>
      <c r="O21" s="862"/>
      <c r="P21" s="862"/>
      <c r="Q21" s="862"/>
      <c r="R21" s="862"/>
      <c r="S21" s="862"/>
      <c r="T21" s="862"/>
      <c r="U21" s="862"/>
      <c r="V21" s="862"/>
      <c r="W21" s="863"/>
      <c r="X21" s="90"/>
      <c r="Y21" s="90"/>
      <c r="Z21" s="90"/>
    </row>
    <row r="22" ht="19.5" customHeight="1">
      <c r="A22" s="860">
        <v>21.0</v>
      </c>
      <c r="B22" s="861" t="s">
        <v>2860</v>
      </c>
      <c r="C22" s="862" t="s">
        <v>2861</v>
      </c>
      <c r="D22" s="861">
        <v>30.0</v>
      </c>
      <c r="E22" s="861">
        <v>30.0</v>
      </c>
      <c r="F22" s="861">
        <v>900.0</v>
      </c>
      <c r="G22" s="861" t="s">
        <v>1697</v>
      </c>
      <c r="H22" s="861" t="s">
        <v>1369</v>
      </c>
      <c r="I22" s="861" t="e">
        <v>#VALUE!</v>
      </c>
      <c r="J22" s="858" t="s">
        <v>2798</v>
      </c>
      <c r="K22" s="858">
        <v>0.0</v>
      </c>
      <c r="L22" s="858" t="s">
        <v>1688</v>
      </c>
      <c r="M22" s="862"/>
      <c r="N22" s="862"/>
      <c r="O22" s="862"/>
      <c r="P22" s="862"/>
      <c r="Q22" s="862"/>
      <c r="R22" s="862"/>
      <c r="S22" s="862"/>
      <c r="T22" s="862"/>
      <c r="U22" s="862"/>
      <c r="V22" s="862"/>
      <c r="W22" s="863"/>
      <c r="X22" s="90"/>
      <c r="Y22" s="90"/>
      <c r="Z22" s="90"/>
    </row>
    <row r="23" ht="19.5" customHeight="1">
      <c r="A23" s="860">
        <v>22.0</v>
      </c>
      <c r="B23" s="861" t="s">
        <v>2862</v>
      </c>
      <c r="C23" s="862" t="s">
        <v>493</v>
      </c>
      <c r="D23" s="861">
        <v>10.0</v>
      </c>
      <c r="E23" s="861">
        <v>60.0</v>
      </c>
      <c r="F23" s="861">
        <v>600.0</v>
      </c>
      <c r="G23" s="861" t="s">
        <v>1697</v>
      </c>
      <c r="H23" s="861" t="s">
        <v>2863</v>
      </c>
      <c r="I23" s="861" t="e">
        <v>#VALUE!</v>
      </c>
      <c r="J23" s="858" t="s">
        <v>2798</v>
      </c>
      <c r="K23" s="858" t="s">
        <v>2831</v>
      </c>
      <c r="L23" s="858" t="s">
        <v>1688</v>
      </c>
      <c r="M23" s="862"/>
      <c r="N23" s="862"/>
      <c r="O23" s="862"/>
      <c r="P23" s="862"/>
      <c r="Q23" s="862"/>
      <c r="R23" s="862"/>
      <c r="S23" s="862"/>
      <c r="T23" s="862"/>
      <c r="U23" s="862"/>
      <c r="V23" s="862"/>
      <c r="W23" s="863"/>
      <c r="X23" s="90"/>
      <c r="Y23" s="90"/>
      <c r="Z23" s="90"/>
    </row>
    <row r="24" ht="19.5" customHeight="1">
      <c r="A24" s="860">
        <v>23.0</v>
      </c>
      <c r="B24" s="861" t="s">
        <v>2864</v>
      </c>
      <c r="C24" s="862" t="s">
        <v>497</v>
      </c>
      <c r="D24" s="861">
        <v>10.0</v>
      </c>
      <c r="E24" s="861">
        <v>40.0</v>
      </c>
      <c r="F24" s="861">
        <v>400.0</v>
      </c>
      <c r="G24" s="861" t="s">
        <v>1697</v>
      </c>
      <c r="H24" s="861" t="s">
        <v>494</v>
      </c>
      <c r="I24" s="861" t="e">
        <v>#VALUE!</v>
      </c>
      <c r="J24" s="858" t="s">
        <v>2798</v>
      </c>
      <c r="K24" s="858" t="s">
        <v>2831</v>
      </c>
      <c r="L24" s="858" t="s">
        <v>1688</v>
      </c>
      <c r="M24" s="862"/>
      <c r="N24" s="862"/>
      <c r="O24" s="862"/>
      <c r="P24" s="862"/>
      <c r="Q24" s="862"/>
      <c r="R24" s="862"/>
      <c r="S24" s="862"/>
      <c r="T24" s="862"/>
      <c r="U24" s="862"/>
      <c r="V24" s="862"/>
      <c r="W24" s="863"/>
      <c r="X24" s="90"/>
      <c r="Y24" s="90"/>
      <c r="Z24" s="90"/>
    </row>
    <row r="25" ht="19.5" customHeight="1">
      <c r="A25" s="860">
        <v>24.0</v>
      </c>
      <c r="B25" s="861" t="s">
        <v>2865</v>
      </c>
      <c r="C25" s="862" t="s">
        <v>501</v>
      </c>
      <c r="D25" s="861">
        <v>10.0</v>
      </c>
      <c r="E25" s="861">
        <v>200.0</v>
      </c>
      <c r="F25" s="861">
        <v>2000.0</v>
      </c>
      <c r="G25" s="861" t="s">
        <v>1697</v>
      </c>
      <c r="H25" s="861" t="s">
        <v>498</v>
      </c>
      <c r="I25" s="861" t="e">
        <v>#VALUE!</v>
      </c>
      <c r="J25" s="858" t="s">
        <v>2798</v>
      </c>
      <c r="K25" s="858" t="s">
        <v>2831</v>
      </c>
      <c r="L25" s="858" t="s">
        <v>1688</v>
      </c>
      <c r="M25" s="862"/>
      <c r="N25" s="862"/>
      <c r="O25" s="862"/>
      <c r="P25" s="862"/>
      <c r="Q25" s="862"/>
      <c r="R25" s="862"/>
      <c r="S25" s="862"/>
      <c r="T25" s="862"/>
      <c r="U25" s="862"/>
      <c r="V25" s="862"/>
      <c r="W25" s="863"/>
      <c r="X25" s="90"/>
      <c r="Y25" s="90"/>
      <c r="Z25" s="90"/>
    </row>
    <row r="26" ht="19.5" customHeight="1">
      <c r="A26" s="860">
        <v>25.0</v>
      </c>
      <c r="B26" s="861" t="s">
        <v>2866</v>
      </c>
      <c r="C26" s="862" t="s">
        <v>505</v>
      </c>
      <c r="D26" s="861">
        <v>100.0</v>
      </c>
      <c r="E26" s="861">
        <v>10.0</v>
      </c>
      <c r="F26" s="861">
        <v>1000.0</v>
      </c>
      <c r="G26" s="861" t="s">
        <v>1697</v>
      </c>
      <c r="H26" s="861" t="s">
        <v>24</v>
      </c>
      <c r="I26" s="861" t="e">
        <v>#VALUE!</v>
      </c>
      <c r="J26" s="858" t="s">
        <v>2696</v>
      </c>
      <c r="K26" s="858">
        <v>0.0</v>
      </c>
      <c r="L26" s="858" t="s">
        <v>1688</v>
      </c>
      <c r="M26" s="862"/>
      <c r="N26" s="862"/>
      <c r="O26" s="862"/>
      <c r="P26" s="862"/>
      <c r="Q26" s="862"/>
      <c r="R26" s="862"/>
      <c r="S26" s="862"/>
      <c r="T26" s="862"/>
      <c r="U26" s="862"/>
      <c r="V26" s="862"/>
      <c r="W26" s="863"/>
      <c r="X26" s="90"/>
      <c r="Y26" s="90"/>
      <c r="Z26" s="90"/>
    </row>
    <row r="27" ht="19.5" customHeight="1">
      <c r="A27" s="860">
        <v>26.0</v>
      </c>
      <c r="B27" s="861" t="s">
        <v>2867</v>
      </c>
      <c r="C27" s="862" t="s">
        <v>509</v>
      </c>
      <c r="D27" s="861">
        <v>50.0</v>
      </c>
      <c r="E27" s="861">
        <v>15.0</v>
      </c>
      <c r="F27" s="861">
        <v>750.0</v>
      </c>
      <c r="G27" s="861" t="s">
        <v>1697</v>
      </c>
      <c r="H27" s="861" t="s">
        <v>506</v>
      </c>
      <c r="I27" s="861" t="e">
        <v>#VALUE!</v>
      </c>
      <c r="J27" s="858" t="s">
        <v>2696</v>
      </c>
      <c r="K27" s="858">
        <v>0.0</v>
      </c>
      <c r="L27" s="858" t="s">
        <v>1688</v>
      </c>
      <c r="M27" s="862"/>
      <c r="N27" s="862"/>
      <c r="O27" s="862"/>
      <c r="P27" s="862"/>
      <c r="Q27" s="862"/>
      <c r="R27" s="862"/>
      <c r="S27" s="862"/>
      <c r="T27" s="862"/>
      <c r="U27" s="862"/>
      <c r="V27" s="862"/>
      <c r="W27" s="863"/>
      <c r="X27" s="90"/>
      <c r="Y27" s="90"/>
      <c r="Z27" s="90"/>
    </row>
    <row r="28" ht="19.5" customHeight="1">
      <c r="A28" s="860">
        <v>27.0</v>
      </c>
      <c r="B28" s="861" t="s">
        <v>2868</v>
      </c>
      <c r="C28" s="862" t="s">
        <v>513</v>
      </c>
      <c r="D28" s="861">
        <v>50.0</v>
      </c>
      <c r="E28" s="861">
        <v>20.0</v>
      </c>
      <c r="F28" s="861">
        <v>1000.0</v>
      </c>
      <c r="G28" s="861" t="s">
        <v>1697</v>
      </c>
      <c r="H28" s="861" t="s">
        <v>510</v>
      </c>
      <c r="I28" s="861" t="e">
        <v>#VALUE!</v>
      </c>
      <c r="J28" s="858" t="s">
        <v>2696</v>
      </c>
      <c r="K28" s="858">
        <v>0.0</v>
      </c>
      <c r="L28" s="858" t="s">
        <v>1688</v>
      </c>
      <c r="M28" s="862"/>
      <c r="N28" s="862"/>
      <c r="O28" s="862"/>
      <c r="P28" s="862"/>
      <c r="Q28" s="862"/>
      <c r="R28" s="862"/>
      <c r="S28" s="862"/>
      <c r="T28" s="862"/>
      <c r="U28" s="862"/>
      <c r="V28" s="862"/>
      <c r="W28" s="863"/>
      <c r="X28" s="90"/>
      <c r="Y28" s="90"/>
      <c r="Z28" s="90"/>
    </row>
    <row r="29" ht="19.5" customHeight="1">
      <c r="A29" s="860">
        <v>28.0</v>
      </c>
      <c r="B29" s="861" t="s">
        <v>2869</v>
      </c>
      <c r="C29" s="862" t="s">
        <v>216</v>
      </c>
      <c r="D29" s="861">
        <v>20.0</v>
      </c>
      <c r="E29" s="861">
        <v>30.0</v>
      </c>
      <c r="F29" s="861">
        <v>600.0</v>
      </c>
      <c r="G29" s="861" t="s">
        <v>1697</v>
      </c>
      <c r="H29" s="861" t="s">
        <v>514</v>
      </c>
      <c r="I29" s="861" t="e">
        <v>#VALUE!</v>
      </c>
      <c r="J29" s="858" t="s">
        <v>2696</v>
      </c>
      <c r="K29" s="858">
        <v>0.0</v>
      </c>
      <c r="L29" s="858" t="s">
        <v>1688</v>
      </c>
      <c r="M29" s="862"/>
      <c r="N29" s="862"/>
      <c r="O29" s="862"/>
      <c r="P29" s="862"/>
      <c r="Q29" s="862"/>
      <c r="R29" s="862"/>
      <c r="S29" s="862"/>
      <c r="T29" s="862"/>
      <c r="U29" s="862"/>
      <c r="V29" s="862"/>
      <c r="W29" s="863"/>
      <c r="X29" s="90"/>
      <c r="Y29" s="90"/>
      <c r="Z29" s="90"/>
    </row>
    <row r="30" ht="19.5" customHeight="1">
      <c r="A30" s="860">
        <v>29.0</v>
      </c>
      <c r="B30" s="861" t="s">
        <v>2870</v>
      </c>
      <c r="C30" s="862" t="s">
        <v>517</v>
      </c>
      <c r="D30" s="861">
        <v>100.0</v>
      </c>
      <c r="E30" s="861">
        <v>5.0</v>
      </c>
      <c r="F30" s="861">
        <v>500.0</v>
      </c>
      <c r="G30" s="861" t="s">
        <v>1697</v>
      </c>
      <c r="H30" s="861" t="s">
        <v>1519</v>
      </c>
      <c r="I30" s="861" t="e">
        <v>#VALUE!</v>
      </c>
      <c r="J30" s="858" t="s">
        <v>2655</v>
      </c>
      <c r="K30" s="858">
        <v>0.0</v>
      </c>
      <c r="L30" s="858" t="s">
        <v>1688</v>
      </c>
      <c r="M30" s="862"/>
      <c r="N30" s="862"/>
      <c r="O30" s="862"/>
      <c r="P30" s="862"/>
      <c r="Q30" s="862"/>
      <c r="R30" s="862"/>
      <c r="S30" s="862"/>
      <c r="T30" s="862"/>
      <c r="U30" s="862"/>
      <c r="V30" s="862"/>
      <c r="W30" s="863"/>
      <c r="X30" s="90"/>
      <c r="Y30" s="90"/>
      <c r="Z30" s="90"/>
    </row>
    <row r="31" ht="19.5" customHeight="1">
      <c r="A31" s="860">
        <v>30.0</v>
      </c>
      <c r="B31" s="861" t="s">
        <v>2871</v>
      </c>
      <c r="C31" s="862" t="s">
        <v>522</v>
      </c>
      <c r="D31" s="861">
        <v>100.0</v>
      </c>
      <c r="E31" s="861">
        <v>5.0</v>
      </c>
      <c r="F31" s="861">
        <v>500.0</v>
      </c>
      <c r="G31" s="861" t="s">
        <v>1697</v>
      </c>
      <c r="H31" s="861" t="s">
        <v>519</v>
      </c>
      <c r="I31" s="861" t="e">
        <v>#VALUE!</v>
      </c>
      <c r="J31" s="858" t="s">
        <v>2655</v>
      </c>
      <c r="K31" s="858">
        <v>0.0</v>
      </c>
      <c r="L31" s="858" t="s">
        <v>1688</v>
      </c>
      <c r="M31" s="862"/>
      <c r="N31" s="862"/>
      <c r="O31" s="862"/>
      <c r="P31" s="862"/>
      <c r="Q31" s="862"/>
      <c r="R31" s="862"/>
      <c r="S31" s="862"/>
      <c r="T31" s="862"/>
      <c r="U31" s="862"/>
      <c r="V31" s="862"/>
      <c r="W31" s="863"/>
      <c r="X31" s="90"/>
      <c r="Y31" s="90"/>
      <c r="Z31" s="90"/>
    </row>
    <row r="32" ht="19.5" customHeight="1">
      <c r="A32" s="860">
        <v>31.0</v>
      </c>
      <c r="B32" s="861" t="s">
        <v>2872</v>
      </c>
      <c r="C32" s="862" t="s">
        <v>526</v>
      </c>
      <c r="D32" s="861">
        <v>100.0</v>
      </c>
      <c r="E32" s="861">
        <v>5.0</v>
      </c>
      <c r="F32" s="861">
        <v>500.0</v>
      </c>
      <c r="G32" s="861" t="s">
        <v>1697</v>
      </c>
      <c r="H32" s="861" t="s">
        <v>523</v>
      </c>
      <c r="I32" s="861" t="e">
        <v>#VALUE!</v>
      </c>
      <c r="J32" s="858" t="s">
        <v>2655</v>
      </c>
      <c r="K32" s="858">
        <v>0.0</v>
      </c>
      <c r="L32" s="858" t="s">
        <v>1688</v>
      </c>
      <c r="M32" s="862"/>
      <c r="N32" s="862"/>
      <c r="O32" s="862"/>
      <c r="P32" s="862"/>
      <c r="Q32" s="862"/>
      <c r="R32" s="862"/>
      <c r="S32" s="862"/>
      <c r="T32" s="862"/>
      <c r="U32" s="862"/>
      <c r="V32" s="862"/>
      <c r="W32" s="863"/>
      <c r="X32" s="90"/>
      <c r="Y32" s="90"/>
      <c r="Z32" s="90"/>
    </row>
    <row r="33" ht="19.5" customHeight="1">
      <c r="A33" s="860">
        <v>32.0</v>
      </c>
      <c r="B33" s="861" t="s">
        <v>2873</v>
      </c>
      <c r="C33" s="862" t="s">
        <v>530</v>
      </c>
      <c r="D33" s="861">
        <v>100.0</v>
      </c>
      <c r="E33" s="861">
        <v>5.0</v>
      </c>
      <c r="F33" s="861">
        <v>500.0</v>
      </c>
      <c r="G33" s="861" t="s">
        <v>1697</v>
      </c>
      <c r="H33" s="861" t="s">
        <v>527</v>
      </c>
      <c r="I33" s="861" t="e">
        <v>#VALUE!</v>
      </c>
      <c r="J33" s="858" t="s">
        <v>2655</v>
      </c>
      <c r="K33" s="858">
        <v>0.0</v>
      </c>
      <c r="L33" s="858" t="s">
        <v>1688</v>
      </c>
      <c r="M33" s="862"/>
      <c r="N33" s="862"/>
      <c r="O33" s="862"/>
      <c r="P33" s="862"/>
      <c r="Q33" s="862"/>
      <c r="R33" s="862"/>
      <c r="S33" s="862"/>
      <c r="T33" s="862"/>
      <c r="U33" s="862"/>
      <c r="V33" s="862"/>
      <c r="W33" s="863"/>
      <c r="X33" s="90"/>
      <c r="Y33" s="90"/>
      <c r="Z33" s="90"/>
    </row>
    <row r="34" ht="19.5" customHeight="1">
      <c r="A34" s="860">
        <v>33.0</v>
      </c>
      <c r="B34" s="861" t="s">
        <v>2874</v>
      </c>
      <c r="C34" s="862" t="s">
        <v>534</v>
      </c>
      <c r="D34" s="861">
        <v>50.0</v>
      </c>
      <c r="E34" s="861">
        <v>10.0</v>
      </c>
      <c r="F34" s="861">
        <v>500.0</v>
      </c>
      <c r="G34" s="861" t="s">
        <v>1697</v>
      </c>
      <c r="H34" s="861" t="s">
        <v>531</v>
      </c>
      <c r="I34" s="861" t="e">
        <v>#VALUE!</v>
      </c>
      <c r="J34" s="858" t="s">
        <v>2655</v>
      </c>
      <c r="K34" s="858">
        <v>0.0</v>
      </c>
      <c r="L34" s="858" t="s">
        <v>1688</v>
      </c>
      <c r="M34" s="862"/>
      <c r="N34" s="862"/>
      <c r="O34" s="862"/>
      <c r="P34" s="862"/>
      <c r="Q34" s="862"/>
      <c r="R34" s="862"/>
      <c r="S34" s="862"/>
      <c r="T34" s="862"/>
      <c r="U34" s="862"/>
      <c r="V34" s="862"/>
      <c r="W34" s="863"/>
      <c r="X34" s="90"/>
      <c r="Y34" s="90"/>
      <c r="Z34" s="90"/>
    </row>
    <row r="35" ht="19.5" customHeight="1">
      <c r="A35" s="860">
        <v>34.0</v>
      </c>
      <c r="B35" s="861" t="s">
        <v>2875</v>
      </c>
      <c r="C35" s="862" t="s">
        <v>538</v>
      </c>
      <c r="D35" s="861">
        <v>50.0</v>
      </c>
      <c r="E35" s="861">
        <v>15.0</v>
      </c>
      <c r="F35" s="861">
        <v>750.0</v>
      </c>
      <c r="G35" s="861" t="s">
        <v>1697</v>
      </c>
      <c r="H35" s="861" t="s">
        <v>535</v>
      </c>
      <c r="I35" s="861" t="e">
        <v>#VALUE!</v>
      </c>
      <c r="J35" s="858" t="s">
        <v>2655</v>
      </c>
      <c r="K35" s="858">
        <v>0.0</v>
      </c>
      <c r="L35" s="858" t="s">
        <v>1688</v>
      </c>
      <c r="M35" s="862"/>
      <c r="N35" s="862"/>
      <c r="O35" s="862"/>
      <c r="P35" s="862"/>
      <c r="Q35" s="862"/>
      <c r="R35" s="862"/>
      <c r="S35" s="862"/>
      <c r="T35" s="862"/>
      <c r="U35" s="862"/>
      <c r="V35" s="862"/>
      <c r="W35" s="863"/>
      <c r="X35" s="90"/>
      <c r="Y35" s="90"/>
      <c r="Z35" s="90"/>
    </row>
    <row r="36" ht="19.5" customHeight="1">
      <c r="A36" s="860">
        <v>35.0</v>
      </c>
      <c r="B36" s="861" t="s">
        <v>2876</v>
      </c>
      <c r="C36" s="862" t="s">
        <v>542</v>
      </c>
      <c r="D36" s="861">
        <v>20.0</v>
      </c>
      <c r="E36" s="861">
        <v>20.0</v>
      </c>
      <c r="F36" s="861">
        <v>400.0</v>
      </c>
      <c r="G36" s="861" t="s">
        <v>1697</v>
      </c>
      <c r="H36" s="861" t="s">
        <v>539</v>
      </c>
      <c r="I36" s="861" t="e">
        <v>#VALUE!</v>
      </c>
      <c r="J36" s="858" t="s">
        <v>2655</v>
      </c>
      <c r="K36" s="858">
        <v>0.0</v>
      </c>
      <c r="L36" s="858" t="s">
        <v>1688</v>
      </c>
      <c r="M36" s="862"/>
      <c r="N36" s="862"/>
      <c r="O36" s="862"/>
      <c r="P36" s="862"/>
      <c r="Q36" s="862"/>
      <c r="R36" s="862"/>
      <c r="S36" s="862"/>
      <c r="T36" s="862"/>
      <c r="U36" s="862"/>
      <c r="V36" s="862"/>
      <c r="W36" s="863"/>
      <c r="X36" s="90"/>
      <c r="Y36" s="90"/>
      <c r="Z36" s="90"/>
    </row>
    <row r="37" ht="19.5" customHeight="1">
      <c r="A37" s="860">
        <v>36.0</v>
      </c>
      <c r="B37" s="861" t="s">
        <v>2877</v>
      </c>
      <c r="C37" s="862" t="s">
        <v>546</v>
      </c>
      <c r="D37" s="861">
        <v>20.0</v>
      </c>
      <c r="E37" s="861">
        <v>30.0</v>
      </c>
      <c r="F37" s="861">
        <v>600.0</v>
      </c>
      <c r="G37" s="861" t="s">
        <v>1697</v>
      </c>
      <c r="H37" s="861" t="s">
        <v>543</v>
      </c>
      <c r="I37" s="861" t="e">
        <v>#VALUE!</v>
      </c>
      <c r="J37" s="858" t="s">
        <v>2655</v>
      </c>
      <c r="K37" s="858">
        <v>0.0</v>
      </c>
      <c r="L37" s="858" t="s">
        <v>1688</v>
      </c>
      <c r="M37" s="862"/>
      <c r="N37" s="862"/>
      <c r="O37" s="862"/>
      <c r="P37" s="862"/>
      <c r="Q37" s="862"/>
      <c r="R37" s="862"/>
      <c r="S37" s="862"/>
      <c r="T37" s="862"/>
      <c r="U37" s="862"/>
      <c r="V37" s="862"/>
      <c r="W37" s="863"/>
      <c r="X37" s="90"/>
      <c r="Y37" s="90"/>
      <c r="Z37" s="90"/>
    </row>
    <row r="38" ht="19.5" customHeight="1">
      <c r="A38" s="860">
        <v>37.0</v>
      </c>
      <c r="B38" s="861" t="s">
        <v>2878</v>
      </c>
      <c r="C38" s="862" t="s">
        <v>550</v>
      </c>
      <c r="D38" s="861">
        <v>50.0</v>
      </c>
      <c r="E38" s="861">
        <v>10.0</v>
      </c>
      <c r="F38" s="861">
        <v>500.0</v>
      </c>
      <c r="G38" s="861" t="s">
        <v>1697</v>
      </c>
      <c r="H38" s="861" t="s">
        <v>547</v>
      </c>
      <c r="I38" s="861" t="e">
        <v>#VALUE!</v>
      </c>
      <c r="J38" s="858" t="s">
        <v>2655</v>
      </c>
      <c r="K38" s="858">
        <v>0.0</v>
      </c>
      <c r="L38" s="858" t="s">
        <v>1688</v>
      </c>
      <c r="M38" s="862"/>
      <c r="N38" s="862"/>
      <c r="O38" s="862"/>
      <c r="P38" s="862"/>
      <c r="Q38" s="862"/>
      <c r="R38" s="862"/>
      <c r="S38" s="862"/>
      <c r="T38" s="862"/>
      <c r="U38" s="862"/>
      <c r="V38" s="862"/>
      <c r="W38" s="863"/>
      <c r="X38" s="90"/>
      <c r="Y38" s="90"/>
      <c r="Z38" s="90"/>
    </row>
    <row r="39" ht="19.5" customHeight="1">
      <c r="A39" s="860">
        <v>38.0</v>
      </c>
      <c r="B39" s="861" t="s">
        <v>2879</v>
      </c>
      <c r="C39" s="862" t="s">
        <v>554</v>
      </c>
      <c r="D39" s="861">
        <v>50.0</v>
      </c>
      <c r="E39" s="861">
        <v>15.0</v>
      </c>
      <c r="F39" s="861">
        <v>750.0</v>
      </c>
      <c r="G39" s="861" t="s">
        <v>1697</v>
      </c>
      <c r="H39" s="861" t="s">
        <v>551</v>
      </c>
      <c r="I39" s="861" t="e">
        <v>#VALUE!</v>
      </c>
      <c r="J39" s="858" t="s">
        <v>2655</v>
      </c>
      <c r="K39" s="858">
        <v>0.0</v>
      </c>
      <c r="L39" s="858" t="s">
        <v>1688</v>
      </c>
      <c r="M39" s="862"/>
      <c r="N39" s="862"/>
      <c r="O39" s="862"/>
      <c r="P39" s="862"/>
      <c r="Q39" s="862"/>
      <c r="R39" s="862"/>
      <c r="S39" s="862"/>
      <c r="T39" s="862"/>
      <c r="U39" s="862"/>
      <c r="V39" s="862"/>
      <c r="W39" s="863"/>
      <c r="X39" s="90"/>
      <c r="Y39" s="90"/>
      <c r="Z39" s="90"/>
    </row>
    <row r="40" ht="19.5" customHeight="1">
      <c r="A40" s="860">
        <v>39.0</v>
      </c>
      <c r="B40" s="861" t="s">
        <v>2880</v>
      </c>
      <c r="C40" s="862" t="s">
        <v>558</v>
      </c>
      <c r="D40" s="861">
        <v>20.0</v>
      </c>
      <c r="E40" s="861">
        <v>20.0</v>
      </c>
      <c r="F40" s="861">
        <v>400.0</v>
      </c>
      <c r="G40" s="861" t="s">
        <v>1697</v>
      </c>
      <c r="H40" s="861" t="s">
        <v>555</v>
      </c>
      <c r="I40" s="861" t="e">
        <v>#VALUE!</v>
      </c>
      <c r="J40" s="858" t="s">
        <v>2655</v>
      </c>
      <c r="K40" s="858">
        <v>0.0</v>
      </c>
      <c r="L40" s="858" t="s">
        <v>1688</v>
      </c>
      <c r="M40" s="862"/>
      <c r="N40" s="862"/>
      <c r="O40" s="862"/>
      <c r="P40" s="862"/>
      <c r="Q40" s="862"/>
      <c r="R40" s="862"/>
      <c r="S40" s="862"/>
      <c r="T40" s="862"/>
      <c r="U40" s="862"/>
      <c r="V40" s="862"/>
      <c r="W40" s="863"/>
      <c r="X40" s="90"/>
      <c r="Y40" s="90"/>
      <c r="Z40" s="90"/>
    </row>
    <row r="41" ht="19.5" customHeight="1">
      <c r="A41" s="860">
        <v>40.0</v>
      </c>
      <c r="B41" s="861" t="s">
        <v>2881</v>
      </c>
      <c r="C41" s="862" t="s">
        <v>562</v>
      </c>
      <c r="D41" s="861">
        <v>20.0</v>
      </c>
      <c r="E41" s="861">
        <v>30.0</v>
      </c>
      <c r="F41" s="861">
        <v>600.0</v>
      </c>
      <c r="G41" s="861" t="s">
        <v>1697</v>
      </c>
      <c r="H41" s="861" t="s">
        <v>559</v>
      </c>
      <c r="I41" s="861" t="e">
        <v>#VALUE!</v>
      </c>
      <c r="J41" s="858" t="s">
        <v>2655</v>
      </c>
      <c r="K41" s="858">
        <v>0.0</v>
      </c>
      <c r="L41" s="858" t="s">
        <v>1688</v>
      </c>
      <c r="M41" s="862"/>
      <c r="N41" s="862"/>
      <c r="O41" s="862"/>
      <c r="P41" s="862"/>
      <c r="Q41" s="862"/>
      <c r="R41" s="862"/>
      <c r="S41" s="862"/>
      <c r="T41" s="862"/>
      <c r="U41" s="862"/>
      <c r="V41" s="862"/>
      <c r="W41" s="863"/>
      <c r="X41" s="90"/>
      <c r="Y41" s="90"/>
      <c r="Z41" s="90"/>
    </row>
    <row r="42" ht="19.5" customHeight="1">
      <c r="A42" s="860">
        <v>41.0</v>
      </c>
      <c r="B42" s="861" t="s">
        <v>2882</v>
      </c>
      <c r="C42" s="862" t="s">
        <v>566</v>
      </c>
      <c r="D42" s="861">
        <v>100.0</v>
      </c>
      <c r="E42" s="861">
        <v>5.0</v>
      </c>
      <c r="F42" s="861">
        <v>500.0</v>
      </c>
      <c r="G42" s="861" t="s">
        <v>1697</v>
      </c>
      <c r="H42" s="861" t="s">
        <v>563</v>
      </c>
      <c r="I42" s="861" t="e">
        <v>#VALUE!</v>
      </c>
      <c r="J42" s="858" t="s">
        <v>2655</v>
      </c>
      <c r="K42" s="858">
        <v>0.0</v>
      </c>
      <c r="L42" s="858" t="s">
        <v>1688</v>
      </c>
      <c r="M42" s="862"/>
      <c r="N42" s="862"/>
      <c r="O42" s="862"/>
      <c r="P42" s="862"/>
      <c r="Q42" s="862"/>
      <c r="R42" s="862"/>
      <c r="S42" s="862"/>
      <c r="T42" s="862"/>
      <c r="U42" s="862"/>
      <c r="V42" s="862"/>
      <c r="W42" s="863"/>
      <c r="X42" s="90"/>
      <c r="Y42" s="90"/>
      <c r="Z42" s="90"/>
    </row>
    <row r="43" ht="19.5" customHeight="1">
      <c r="A43" s="860">
        <v>42.0</v>
      </c>
      <c r="B43" s="861" t="s">
        <v>2883</v>
      </c>
      <c r="C43" s="862" t="s">
        <v>570</v>
      </c>
      <c r="D43" s="861">
        <v>50.0</v>
      </c>
      <c r="E43" s="861">
        <v>10.0</v>
      </c>
      <c r="F43" s="861">
        <v>500.0</v>
      </c>
      <c r="G43" s="861" t="s">
        <v>1697</v>
      </c>
      <c r="H43" s="861" t="s">
        <v>567</v>
      </c>
      <c r="I43" s="861" t="e">
        <v>#VALUE!</v>
      </c>
      <c r="J43" s="858" t="s">
        <v>2655</v>
      </c>
      <c r="K43" s="858">
        <v>0.0</v>
      </c>
      <c r="L43" s="858" t="s">
        <v>1688</v>
      </c>
      <c r="M43" s="862"/>
      <c r="N43" s="862"/>
      <c r="O43" s="862"/>
      <c r="P43" s="862"/>
      <c r="Q43" s="862"/>
      <c r="R43" s="862"/>
      <c r="S43" s="862"/>
      <c r="T43" s="862"/>
      <c r="U43" s="862"/>
      <c r="V43" s="862"/>
      <c r="W43" s="863"/>
      <c r="X43" s="90"/>
      <c r="Y43" s="90"/>
      <c r="Z43" s="90"/>
    </row>
    <row r="44" ht="19.5" customHeight="1">
      <c r="A44" s="860">
        <v>43.0</v>
      </c>
      <c r="B44" s="861" t="s">
        <v>2884</v>
      </c>
      <c r="C44" s="862" t="s">
        <v>574</v>
      </c>
      <c r="D44" s="861">
        <v>100.0</v>
      </c>
      <c r="E44" s="861">
        <v>5.0</v>
      </c>
      <c r="F44" s="861">
        <v>500.0</v>
      </c>
      <c r="G44" s="861" t="s">
        <v>1697</v>
      </c>
      <c r="H44" s="861" t="s">
        <v>575</v>
      </c>
      <c r="I44" s="861" t="e">
        <v>#VALUE!</v>
      </c>
      <c r="J44" s="858" t="s">
        <v>2655</v>
      </c>
      <c r="K44" s="858">
        <v>0.0</v>
      </c>
      <c r="L44" s="858" t="s">
        <v>1688</v>
      </c>
      <c r="M44" s="862"/>
      <c r="N44" s="862"/>
      <c r="O44" s="862"/>
      <c r="P44" s="862"/>
      <c r="Q44" s="862"/>
      <c r="R44" s="862"/>
      <c r="S44" s="862"/>
      <c r="T44" s="862"/>
      <c r="U44" s="862"/>
      <c r="V44" s="862"/>
      <c r="W44" s="863"/>
      <c r="X44" s="90"/>
      <c r="Y44" s="90"/>
      <c r="Z44" s="90"/>
    </row>
    <row r="45" ht="19.5" customHeight="1">
      <c r="A45" s="860">
        <v>44.0</v>
      </c>
      <c r="B45" s="861" t="s">
        <v>2885</v>
      </c>
      <c r="C45" s="862" t="s">
        <v>578</v>
      </c>
      <c r="D45" s="861">
        <v>50.0</v>
      </c>
      <c r="E45" s="861">
        <v>15.0</v>
      </c>
      <c r="F45" s="861">
        <v>750.0</v>
      </c>
      <c r="G45" s="861" t="s">
        <v>1697</v>
      </c>
      <c r="H45" s="861" t="s">
        <v>571</v>
      </c>
      <c r="I45" s="861" t="e">
        <v>#VALUE!</v>
      </c>
      <c r="J45" s="858" t="s">
        <v>2655</v>
      </c>
      <c r="K45" s="858">
        <v>0.0</v>
      </c>
      <c r="L45" s="858" t="s">
        <v>1688</v>
      </c>
      <c r="M45" s="862"/>
      <c r="N45" s="862"/>
      <c r="O45" s="862"/>
      <c r="P45" s="862"/>
      <c r="Q45" s="862"/>
      <c r="R45" s="862"/>
      <c r="S45" s="862"/>
      <c r="T45" s="862"/>
      <c r="U45" s="862"/>
      <c r="V45" s="862"/>
      <c r="W45" s="863"/>
      <c r="X45" s="90"/>
      <c r="Y45" s="90"/>
      <c r="Z45" s="90"/>
    </row>
    <row r="46" ht="19.5" customHeight="1">
      <c r="A46" s="860">
        <v>45.0</v>
      </c>
      <c r="B46" s="861" t="s">
        <v>2886</v>
      </c>
      <c r="C46" s="862" t="s">
        <v>582</v>
      </c>
      <c r="D46" s="861">
        <v>20.0</v>
      </c>
      <c r="E46" s="861">
        <v>20.0</v>
      </c>
      <c r="F46" s="861">
        <v>400.0</v>
      </c>
      <c r="G46" s="861" t="s">
        <v>1697</v>
      </c>
      <c r="H46" s="861" t="s">
        <v>579</v>
      </c>
      <c r="I46" s="861" t="e">
        <v>#VALUE!</v>
      </c>
      <c r="J46" s="858" t="s">
        <v>2655</v>
      </c>
      <c r="K46" s="858">
        <v>0.0</v>
      </c>
      <c r="L46" s="858" t="s">
        <v>1688</v>
      </c>
      <c r="M46" s="862"/>
      <c r="N46" s="862"/>
      <c r="O46" s="862"/>
      <c r="P46" s="862"/>
      <c r="Q46" s="862"/>
      <c r="R46" s="862"/>
      <c r="S46" s="862"/>
      <c r="T46" s="862"/>
      <c r="U46" s="862"/>
      <c r="V46" s="862"/>
      <c r="W46" s="863"/>
      <c r="X46" s="90"/>
      <c r="Y46" s="90"/>
      <c r="Z46" s="90"/>
    </row>
    <row r="47" ht="19.5" customHeight="1">
      <c r="A47" s="860">
        <v>46.0</v>
      </c>
      <c r="B47" s="861" t="s">
        <v>2887</v>
      </c>
      <c r="C47" s="862" t="s">
        <v>2888</v>
      </c>
      <c r="D47" s="861">
        <v>20.0</v>
      </c>
      <c r="E47" s="861">
        <v>50.0</v>
      </c>
      <c r="F47" s="861">
        <v>1000.0</v>
      </c>
      <c r="G47" s="861" t="s">
        <v>1697</v>
      </c>
      <c r="H47" s="861" t="s">
        <v>583</v>
      </c>
      <c r="I47" s="861" t="e">
        <v>#VALUE!</v>
      </c>
      <c r="J47" s="858" t="s">
        <v>2696</v>
      </c>
      <c r="K47" s="858">
        <v>0.0</v>
      </c>
      <c r="L47" s="858" t="s">
        <v>1688</v>
      </c>
      <c r="M47" s="862"/>
      <c r="N47" s="862"/>
      <c r="O47" s="862"/>
      <c r="P47" s="862"/>
      <c r="Q47" s="862"/>
      <c r="R47" s="862"/>
      <c r="S47" s="862"/>
      <c r="T47" s="862"/>
      <c r="U47" s="862"/>
      <c r="V47" s="862"/>
      <c r="W47" s="863"/>
      <c r="X47" s="90"/>
      <c r="Y47" s="90"/>
      <c r="Z47" s="90"/>
    </row>
    <row r="48" ht="19.5" customHeight="1">
      <c r="A48" s="860">
        <v>47.0</v>
      </c>
      <c r="B48" s="861" t="s">
        <v>2889</v>
      </c>
      <c r="C48" s="862" t="s">
        <v>2890</v>
      </c>
      <c r="D48" s="861">
        <v>20.0</v>
      </c>
      <c r="E48" s="861">
        <v>25.0</v>
      </c>
      <c r="F48" s="861">
        <v>500.0</v>
      </c>
      <c r="G48" s="861" t="s">
        <v>1697</v>
      </c>
      <c r="H48" s="861" t="s">
        <v>1455</v>
      </c>
      <c r="I48" s="861" t="e">
        <v>#VALUE!</v>
      </c>
      <c r="J48" s="858" t="s">
        <v>2696</v>
      </c>
      <c r="K48" s="858">
        <v>0.0</v>
      </c>
      <c r="L48" s="858" t="s">
        <v>1688</v>
      </c>
      <c r="M48" s="862"/>
      <c r="N48" s="862"/>
      <c r="O48" s="862"/>
      <c r="P48" s="862"/>
      <c r="Q48" s="862"/>
      <c r="R48" s="862"/>
      <c r="S48" s="862"/>
      <c r="T48" s="862"/>
      <c r="U48" s="862"/>
      <c r="V48" s="862"/>
      <c r="W48" s="863"/>
      <c r="X48" s="90"/>
      <c r="Y48" s="90"/>
      <c r="Z48" s="90"/>
    </row>
    <row r="49" ht="19.5" customHeight="1">
      <c r="A49" s="860">
        <v>48.0</v>
      </c>
      <c r="B49" s="861" t="s">
        <v>2891</v>
      </c>
      <c r="C49" s="862" t="s">
        <v>903</v>
      </c>
      <c r="D49" s="861">
        <v>5.0</v>
      </c>
      <c r="E49" s="861">
        <v>150.0</v>
      </c>
      <c r="F49" s="861">
        <v>750.0</v>
      </c>
      <c r="G49" s="861" t="s">
        <v>1697</v>
      </c>
      <c r="H49" s="861" t="s">
        <v>1056</v>
      </c>
      <c r="I49" s="861" t="e">
        <v>#VALUE!</v>
      </c>
      <c r="J49" s="858" t="s">
        <v>2798</v>
      </c>
      <c r="K49" s="858" t="s">
        <v>2831</v>
      </c>
      <c r="L49" s="858" t="s">
        <v>1688</v>
      </c>
      <c r="M49" s="862"/>
      <c r="N49" s="862"/>
      <c r="O49" s="862"/>
      <c r="P49" s="862"/>
      <c r="Q49" s="862"/>
      <c r="R49" s="862"/>
      <c r="S49" s="862"/>
      <c r="T49" s="862"/>
      <c r="U49" s="862"/>
      <c r="V49" s="862"/>
      <c r="W49" s="863"/>
      <c r="X49" s="90"/>
      <c r="Y49" s="90"/>
      <c r="Z49" s="90"/>
    </row>
    <row r="50" ht="19.5" customHeight="1">
      <c r="A50" s="860">
        <v>49.0</v>
      </c>
      <c r="B50" s="861" t="s">
        <v>2892</v>
      </c>
      <c r="C50" s="862" t="s">
        <v>2893</v>
      </c>
      <c r="D50" s="861">
        <v>20.0</v>
      </c>
      <c r="E50" s="861">
        <v>20.0</v>
      </c>
      <c r="F50" s="861">
        <v>400.0</v>
      </c>
      <c r="G50" s="861" t="s">
        <v>1697</v>
      </c>
      <c r="H50" s="861" t="s">
        <v>904</v>
      </c>
      <c r="I50" s="861" t="e">
        <v>#VALUE!</v>
      </c>
      <c r="J50" s="858" t="s">
        <v>2696</v>
      </c>
      <c r="K50" s="858">
        <v>0.0</v>
      </c>
      <c r="L50" s="858" t="s">
        <v>1688</v>
      </c>
      <c r="M50" s="862"/>
      <c r="N50" s="862"/>
      <c r="O50" s="862"/>
      <c r="P50" s="862"/>
      <c r="Q50" s="862"/>
      <c r="R50" s="862"/>
      <c r="S50" s="862"/>
      <c r="T50" s="862"/>
      <c r="U50" s="862"/>
      <c r="V50" s="862"/>
      <c r="W50" s="863"/>
      <c r="X50" s="90"/>
      <c r="Y50" s="90"/>
      <c r="Z50" s="90"/>
    </row>
    <row r="51" ht="19.5" customHeight="1">
      <c r="A51" s="860">
        <v>50.0</v>
      </c>
      <c r="B51" s="861" t="s">
        <v>2894</v>
      </c>
      <c r="C51" s="862" t="s">
        <v>2895</v>
      </c>
      <c r="D51" s="861">
        <v>10.0</v>
      </c>
      <c r="E51" s="861">
        <v>20.0</v>
      </c>
      <c r="F51" s="861">
        <v>200.0</v>
      </c>
      <c r="G51" s="861" t="s">
        <v>1697</v>
      </c>
      <c r="H51" s="861" t="s">
        <v>242</v>
      </c>
      <c r="I51" s="861" t="e">
        <v>#VALUE!</v>
      </c>
      <c r="J51" s="858" t="s">
        <v>2696</v>
      </c>
      <c r="K51" s="858">
        <v>0.0</v>
      </c>
      <c r="L51" s="858" t="s">
        <v>1688</v>
      </c>
      <c r="M51" s="862"/>
      <c r="N51" s="862"/>
      <c r="O51" s="862"/>
      <c r="P51" s="862"/>
      <c r="Q51" s="862"/>
      <c r="R51" s="862"/>
      <c r="S51" s="862"/>
      <c r="T51" s="862"/>
      <c r="U51" s="862"/>
      <c r="V51" s="862"/>
      <c r="W51" s="863"/>
      <c r="X51" s="90"/>
      <c r="Y51" s="90"/>
      <c r="Z51" s="90"/>
    </row>
    <row r="52" ht="19.5" customHeight="1">
      <c r="A52" s="860">
        <v>51.0</v>
      </c>
      <c r="B52" s="861" t="s">
        <v>2896</v>
      </c>
      <c r="C52" s="862" t="s">
        <v>1627</v>
      </c>
      <c r="D52" s="861">
        <v>10.0</v>
      </c>
      <c r="E52" s="861">
        <v>20.0</v>
      </c>
      <c r="F52" s="861">
        <v>200.0</v>
      </c>
      <c r="G52" s="861" t="s">
        <v>1697</v>
      </c>
      <c r="H52" s="861" t="s">
        <v>1381</v>
      </c>
      <c r="I52" s="861" t="e">
        <v>#VALUE!</v>
      </c>
      <c r="J52" s="858" t="s">
        <v>2897</v>
      </c>
      <c r="K52" s="858" t="s">
        <v>2831</v>
      </c>
      <c r="L52" s="858" t="s">
        <v>1688</v>
      </c>
      <c r="M52" s="862"/>
      <c r="N52" s="862"/>
      <c r="O52" s="862"/>
      <c r="P52" s="862"/>
      <c r="Q52" s="862"/>
      <c r="R52" s="862"/>
      <c r="S52" s="862"/>
      <c r="T52" s="862"/>
      <c r="U52" s="862"/>
      <c r="V52" s="862"/>
      <c r="W52" s="863"/>
      <c r="X52" s="90"/>
      <c r="Y52" s="90"/>
      <c r="Z52" s="90"/>
    </row>
    <row r="53" ht="19.5" customHeight="1">
      <c r="A53" s="860">
        <v>52.0</v>
      </c>
      <c r="B53" s="861" t="s">
        <v>2898</v>
      </c>
      <c r="C53" s="862" t="s">
        <v>1633</v>
      </c>
      <c r="D53" s="861">
        <v>10.0</v>
      </c>
      <c r="E53" s="861">
        <v>100.0</v>
      </c>
      <c r="F53" s="861">
        <v>1000.0</v>
      </c>
      <c r="G53" s="861" t="s">
        <v>1697</v>
      </c>
      <c r="H53" s="861" t="s">
        <v>1630</v>
      </c>
      <c r="I53" s="861" t="e">
        <v>#VALUE!</v>
      </c>
      <c r="J53" s="858" t="s">
        <v>2897</v>
      </c>
      <c r="K53" s="858">
        <v>0.0</v>
      </c>
      <c r="L53" s="858" t="s">
        <v>1688</v>
      </c>
      <c r="M53" s="862"/>
      <c r="N53" s="862"/>
      <c r="O53" s="862"/>
      <c r="P53" s="862"/>
      <c r="Q53" s="862"/>
      <c r="R53" s="862"/>
      <c r="S53" s="862"/>
      <c r="T53" s="862"/>
      <c r="U53" s="862"/>
      <c r="V53" s="862"/>
      <c r="W53" s="863"/>
      <c r="X53" s="90"/>
      <c r="Y53" s="90"/>
      <c r="Z53" s="90"/>
    </row>
    <row r="54" ht="19.5" customHeight="1">
      <c r="A54" s="860">
        <v>53.0</v>
      </c>
      <c r="B54" s="861" t="s">
        <v>2899</v>
      </c>
      <c r="C54" s="862" t="s">
        <v>590</v>
      </c>
      <c r="D54" s="861">
        <v>20.0</v>
      </c>
      <c r="E54" s="861">
        <v>5.0</v>
      </c>
      <c r="F54" s="861">
        <v>100.0</v>
      </c>
      <c r="G54" s="861" t="s">
        <v>1697</v>
      </c>
      <c r="H54" s="861" t="s">
        <v>1326</v>
      </c>
      <c r="I54" s="861" t="e">
        <v>#VALUE!</v>
      </c>
      <c r="J54" s="858" t="s">
        <v>2655</v>
      </c>
      <c r="K54" s="858">
        <v>0.0</v>
      </c>
      <c r="L54" s="858" t="s">
        <v>1688</v>
      </c>
      <c r="M54" s="862"/>
      <c r="N54" s="862"/>
      <c r="O54" s="862"/>
      <c r="P54" s="862"/>
      <c r="Q54" s="862"/>
      <c r="R54" s="862"/>
      <c r="S54" s="862"/>
      <c r="T54" s="862"/>
      <c r="U54" s="862"/>
      <c r="V54" s="862"/>
      <c r="W54" s="863"/>
      <c r="X54" s="90"/>
      <c r="Y54" s="90"/>
      <c r="Z54" s="90"/>
    </row>
    <row r="55" ht="19.5" customHeight="1">
      <c r="A55" s="860">
        <v>54.0</v>
      </c>
      <c r="B55" s="861" t="s">
        <v>2900</v>
      </c>
      <c r="C55" s="862" t="s">
        <v>594</v>
      </c>
      <c r="D55" s="861">
        <v>20.0</v>
      </c>
      <c r="E55" s="861">
        <v>5.0</v>
      </c>
      <c r="F55" s="861">
        <v>100.0</v>
      </c>
      <c r="G55" s="861" t="s">
        <v>1697</v>
      </c>
      <c r="H55" s="861" t="s">
        <v>591</v>
      </c>
      <c r="I55" s="861" t="e">
        <v>#VALUE!</v>
      </c>
      <c r="J55" s="858" t="s">
        <v>2655</v>
      </c>
      <c r="K55" s="858">
        <v>0.0</v>
      </c>
      <c r="L55" s="858" t="s">
        <v>1688</v>
      </c>
      <c r="M55" s="862"/>
      <c r="N55" s="862"/>
      <c r="O55" s="862"/>
      <c r="P55" s="862"/>
      <c r="Q55" s="862"/>
      <c r="R55" s="862"/>
      <c r="S55" s="862"/>
      <c r="T55" s="862"/>
      <c r="U55" s="862"/>
      <c r="V55" s="862"/>
      <c r="W55" s="863"/>
      <c r="X55" s="90"/>
      <c r="Y55" s="90"/>
      <c r="Z55" s="90"/>
    </row>
    <row r="56" ht="19.5" customHeight="1">
      <c r="A56" s="860">
        <v>55.0</v>
      </c>
      <c r="B56" s="861" t="s">
        <v>2901</v>
      </c>
      <c r="C56" s="862" t="s">
        <v>438</v>
      </c>
      <c r="D56" s="861">
        <v>10.0</v>
      </c>
      <c r="E56" s="861">
        <v>150.0</v>
      </c>
      <c r="F56" s="861">
        <v>1500.0</v>
      </c>
      <c r="G56" s="861" t="s">
        <v>1697</v>
      </c>
      <c r="H56" s="861" t="s">
        <v>92</v>
      </c>
      <c r="I56" s="861" t="e">
        <v>#VALUE!</v>
      </c>
      <c r="J56" s="858" t="s">
        <v>2798</v>
      </c>
      <c r="K56" s="858" t="s">
        <v>2831</v>
      </c>
      <c r="L56" s="858" t="s">
        <v>1688</v>
      </c>
      <c r="M56" s="862"/>
      <c r="N56" s="862"/>
      <c r="O56" s="862"/>
      <c r="P56" s="862"/>
      <c r="Q56" s="862"/>
      <c r="R56" s="862"/>
      <c r="S56" s="862"/>
      <c r="T56" s="862"/>
      <c r="U56" s="862"/>
      <c r="V56" s="862"/>
      <c r="W56" s="863"/>
      <c r="X56" s="90"/>
      <c r="Y56" s="90"/>
      <c r="Z56" s="90"/>
    </row>
    <row r="57" ht="19.5" customHeight="1">
      <c r="A57" s="860">
        <v>56.0</v>
      </c>
      <c r="B57" s="861" t="s">
        <v>2902</v>
      </c>
      <c r="C57" s="862" t="s">
        <v>441</v>
      </c>
      <c r="D57" s="861">
        <v>10.0</v>
      </c>
      <c r="E57" s="861">
        <v>300.0</v>
      </c>
      <c r="F57" s="861">
        <v>3000.0</v>
      </c>
      <c r="G57" s="861" t="s">
        <v>1697</v>
      </c>
      <c r="H57" s="861" t="s">
        <v>439</v>
      </c>
      <c r="I57" s="861" t="e">
        <v>#VALUE!</v>
      </c>
      <c r="J57" s="858" t="s">
        <v>2798</v>
      </c>
      <c r="K57" s="858" t="s">
        <v>2831</v>
      </c>
      <c r="L57" s="858" t="s">
        <v>1688</v>
      </c>
      <c r="M57" s="862"/>
      <c r="N57" s="862"/>
      <c r="O57" s="862"/>
      <c r="P57" s="862"/>
      <c r="Q57" s="862"/>
      <c r="R57" s="862"/>
      <c r="S57" s="862"/>
      <c r="T57" s="862"/>
      <c r="U57" s="862"/>
      <c r="V57" s="862"/>
      <c r="W57" s="863"/>
      <c r="X57" s="90"/>
      <c r="Y57" s="90"/>
      <c r="Z57" s="90"/>
    </row>
    <row r="58" ht="19.5" customHeight="1">
      <c r="A58" s="860">
        <v>57.0</v>
      </c>
      <c r="B58" s="861" t="s">
        <v>2903</v>
      </c>
      <c r="C58" s="862" t="s">
        <v>446</v>
      </c>
      <c r="D58" s="861">
        <v>10.0</v>
      </c>
      <c r="E58" s="861">
        <v>200.0</v>
      </c>
      <c r="F58" s="861">
        <v>2000.0</v>
      </c>
      <c r="G58" s="861" t="s">
        <v>1697</v>
      </c>
      <c r="H58" s="861" t="s">
        <v>443</v>
      </c>
      <c r="I58" s="861" t="e">
        <v>#VALUE!</v>
      </c>
      <c r="J58" s="858" t="s">
        <v>2798</v>
      </c>
      <c r="K58" s="858" t="s">
        <v>2831</v>
      </c>
      <c r="L58" s="858" t="s">
        <v>1688</v>
      </c>
      <c r="M58" s="862"/>
      <c r="N58" s="862"/>
      <c r="O58" s="862"/>
      <c r="P58" s="862"/>
      <c r="Q58" s="862"/>
      <c r="R58" s="862"/>
      <c r="S58" s="862"/>
      <c r="T58" s="862"/>
      <c r="U58" s="862"/>
      <c r="V58" s="862"/>
      <c r="W58" s="863"/>
      <c r="X58" s="90"/>
      <c r="Y58" s="90"/>
      <c r="Z58" s="90"/>
    </row>
    <row r="59" ht="19.5" customHeight="1">
      <c r="A59" s="860">
        <v>58.0</v>
      </c>
      <c r="B59" s="861" t="s">
        <v>2904</v>
      </c>
      <c r="C59" s="862" t="s">
        <v>450</v>
      </c>
      <c r="D59" s="861">
        <v>15.0</v>
      </c>
      <c r="E59" s="861">
        <v>250.0</v>
      </c>
      <c r="F59" s="861">
        <v>3750.0</v>
      </c>
      <c r="G59" s="861" t="s">
        <v>1697</v>
      </c>
      <c r="H59" s="861" t="s">
        <v>447</v>
      </c>
      <c r="I59" s="861" t="e">
        <v>#VALUE!</v>
      </c>
      <c r="J59" s="858" t="s">
        <v>2798</v>
      </c>
      <c r="K59" s="858" t="s">
        <v>2831</v>
      </c>
      <c r="L59" s="858" t="s">
        <v>1688</v>
      </c>
      <c r="M59" s="862"/>
      <c r="N59" s="862"/>
      <c r="O59" s="862"/>
      <c r="P59" s="862"/>
      <c r="Q59" s="862"/>
      <c r="R59" s="862"/>
      <c r="S59" s="862"/>
      <c r="T59" s="862"/>
      <c r="U59" s="862"/>
      <c r="V59" s="862"/>
      <c r="W59" s="863"/>
      <c r="X59" s="90"/>
      <c r="Y59" s="90"/>
      <c r="Z59" s="90"/>
    </row>
    <row r="60" ht="19.5" customHeight="1">
      <c r="A60" s="860">
        <v>59.0</v>
      </c>
      <c r="B60" s="861" t="s">
        <v>2905</v>
      </c>
      <c r="C60" s="862" t="s">
        <v>248</v>
      </c>
      <c r="D60" s="861">
        <v>1.0</v>
      </c>
      <c r="E60" s="861">
        <v>150.0</v>
      </c>
      <c r="F60" s="861">
        <v>150.0</v>
      </c>
      <c r="G60" s="861" t="s">
        <v>1697</v>
      </c>
      <c r="H60" s="861" t="s">
        <v>1341</v>
      </c>
      <c r="I60" s="861" t="e">
        <v>#VALUE!</v>
      </c>
      <c r="J60" s="858" t="s">
        <v>2798</v>
      </c>
      <c r="K60" s="858">
        <v>0.0</v>
      </c>
      <c r="L60" s="858" t="s">
        <v>1688</v>
      </c>
      <c r="M60" s="862"/>
      <c r="N60" s="862"/>
      <c r="O60" s="862"/>
      <c r="P60" s="862"/>
      <c r="Q60" s="862"/>
      <c r="R60" s="862"/>
      <c r="S60" s="862"/>
      <c r="T60" s="862"/>
      <c r="U60" s="862"/>
      <c r="V60" s="862"/>
      <c r="W60" s="863"/>
      <c r="X60" s="90"/>
      <c r="Y60" s="90"/>
      <c r="Z60" s="90"/>
    </row>
    <row r="61" ht="19.5" customHeight="1">
      <c r="A61" s="860">
        <v>60.0</v>
      </c>
      <c r="B61" s="861" t="s">
        <v>2906</v>
      </c>
      <c r="C61" s="862" t="s">
        <v>254</v>
      </c>
      <c r="D61" s="861">
        <v>1.0</v>
      </c>
      <c r="E61" s="861">
        <v>150.0</v>
      </c>
      <c r="F61" s="861">
        <v>150.0</v>
      </c>
      <c r="G61" s="861" t="s">
        <v>1697</v>
      </c>
      <c r="H61" s="861" t="s">
        <v>251</v>
      </c>
      <c r="I61" s="861" t="e">
        <v>#VALUE!</v>
      </c>
      <c r="J61" s="858" t="s">
        <v>2798</v>
      </c>
      <c r="K61" s="858">
        <v>0.0</v>
      </c>
      <c r="L61" s="858" t="s">
        <v>1688</v>
      </c>
      <c r="M61" s="862"/>
      <c r="N61" s="862"/>
      <c r="O61" s="862"/>
      <c r="P61" s="862"/>
      <c r="Q61" s="862"/>
      <c r="R61" s="862"/>
      <c r="S61" s="862"/>
      <c r="T61" s="862"/>
      <c r="U61" s="862"/>
      <c r="V61" s="862"/>
      <c r="W61" s="863"/>
      <c r="X61" s="90"/>
      <c r="Y61" s="90"/>
      <c r="Z61" s="90"/>
    </row>
    <row r="62" ht="19.5" customHeight="1">
      <c r="A62" s="860">
        <v>61.0</v>
      </c>
      <c r="B62" s="861" t="s">
        <v>2907</v>
      </c>
      <c r="C62" s="862" t="s">
        <v>258</v>
      </c>
      <c r="D62" s="861">
        <v>1.0</v>
      </c>
      <c r="E62" s="861">
        <v>150.0</v>
      </c>
      <c r="F62" s="861">
        <v>150.0</v>
      </c>
      <c r="G62" s="861" t="s">
        <v>1697</v>
      </c>
      <c r="H62" s="861" t="s">
        <v>255</v>
      </c>
      <c r="I62" s="861" t="e">
        <v>#VALUE!</v>
      </c>
      <c r="J62" s="858" t="s">
        <v>2798</v>
      </c>
      <c r="K62" s="858">
        <v>0.0</v>
      </c>
      <c r="L62" s="858" t="s">
        <v>1688</v>
      </c>
      <c r="M62" s="862"/>
      <c r="N62" s="862"/>
      <c r="O62" s="862"/>
      <c r="P62" s="862"/>
      <c r="Q62" s="862"/>
      <c r="R62" s="862"/>
      <c r="S62" s="862"/>
      <c r="T62" s="862"/>
      <c r="U62" s="862"/>
      <c r="V62" s="862"/>
      <c r="W62" s="863"/>
      <c r="X62" s="90"/>
      <c r="Y62" s="90"/>
      <c r="Z62" s="90"/>
    </row>
    <row r="63" ht="19.5" customHeight="1">
      <c r="A63" s="860">
        <v>62.0</v>
      </c>
      <c r="B63" s="861" t="s">
        <v>2908</v>
      </c>
      <c r="C63" s="862" t="s">
        <v>262</v>
      </c>
      <c r="D63" s="861">
        <v>1.0</v>
      </c>
      <c r="E63" s="861">
        <v>150.0</v>
      </c>
      <c r="F63" s="861">
        <v>150.0</v>
      </c>
      <c r="G63" s="861" t="s">
        <v>1697</v>
      </c>
      <c r="H63" s="861" t="s">
        <v>259</v>
      </c>
      <c r="I63" s="861" t="e">
        <v>#VALUE!</v>
      </c>
      <c r="J63" s="858" t="s">
        <v>2798</v>
      </c>
      <c r="K63" s="858">
        <v>0.0</v>
      </c>
      <c r="L63" s="858" t="s">
        <v>1688</v>
      </c>
      <c r="M63" s="862"/>
      <c r="N63" s="862"/>
      <c r="O63" s="862"/>
      <c r="P63" s="862"/>
      <c r="Q63" s="862"/>
      <c r="R63" s="862"/>
      <c r="S63" s="862"/>
      <c r="T63" s="862"/>
      <c r="U63" s="862"/>
      <c r="V63" s="862"/>
      <c r="W63" s="863"/>
      <c r="X63" s="90"/>
      <c r="Y63" s="90"/>
      <c r="Z63" s="90"/>
    </row>
    <row r="64" ht="19.5" customHeight="1">
      <c r="A64" s="860">
        <v>63.0</v>
      </c>
      <c r="B64" s="861" t="s">
        <v>2909</v>
      </c>
      <c r="C64" s="862" t="s">
        <v>598</v>
      </c>
      <c r="D64" s="861">
        <v>20.0</v>
      </c>
      <c r="E64" s="861">
        <v>30.0</v>
      </c>
      <c r="F64" s="861">
        <v>600.0</v>
      </c>
      <c r="G64" s="861" t="s">
        <v>1697</v>
      </c>
      <c r="H64" s="861" t="s">
        <v>263</v>
      </c>
      <c r="I64" s="861" t="e">
        <v>#VALUE!</v>
      </c>
      <c r="J64" s="858" t="s">
        <v>2839</v>
      </c>
      <c r="K64" s="858" t="s">
        <v>2831</v>
      </c>
      <c r="L64" s="858" t="s">
        <v>1688</v>
      </c>
      <c r="M64" s="862"/>
      <c r="N64" s="862"/>
      <c r="O64" s="862"/>
      <c r="P64" s="862"/>
      <c r="Q64" s="862"/>
      <c r="R64" s="862"/>
      <c r="S64" s="862"/>
      <c r="T64" s="862"/>
      <c r="U64" s="862"/>
      <c r="V64" s="862"/>
      <c r="W64" s="863"/>
      <c r="X64" s="90"/>
      <c r="Y64" s="90"/>
      <c r="Z64" s="90"/>
    </row>
    <row r="65" ht="19.5" customHeight="1">
      <c r="A65" s="860">
        <v>64.0</v>
      </c>
      <c r="B65" s="861" t="s">
        <v>2910</v>
      </c>
      <c r="C65" s="862" t="s">
        <v>266</v>
      </c>
      <c r="D65" s="861">
        <v>20.0</v>
      </c>
      <c r="E65" s="861">
        <v>20.0</v>
      </c>
      <c r="F65" s="861">
        <v>400.0</v>
      </c>
      <c r="G65" s="861" t="s">
        <v>1697</v>
      </c>
      <c r="H65" s="861" t="s">
        <v>600</v>
      </c>
      <c r="I65" s="861" t="e">
        <v>#VALUE!</v>
      </c>
      <c r="J65" s="858" t="s">
        <v>2798</v>
      </c>
      <c r="K65" s="858">
        <v>0.0</v>
      </c>
      <c r="L65" s="858" t="s">
        <v>1688</v>
      </c>
      <c r="M65" s="862"/>
      <c r="N65" s="862"/>
      <c r="O65" s="862"/>
      <c r="P65" s="862"/>
      <c r="Q65" s="862"/>
      <c r="R65" s="862"/>
      <c r="S65" s="862"/>
      <c r="T65" s="862"/>
      <c r="U65" s="862"/>
      <c r="V65" s="862"/>
      <c r="W65" s="863"/>
      <c r="X65" s="90"/>
      <c r="Y65" s="90"/>
      <c r="Z65" s="90"/>
    </row>
    <row r="66" ht="19.5" customHeight="1">
      <c r="A66" s="860">
        <v>65.0</v>
      </c>
      <c r="B66" s="861" t="s">
        <v>2911</v>
      </c>
      <c r="C66" s="862" t="s">
        <v>271</v>
      </c>
      <c r="D66" s="861">
        <v>20.0</v>
      </c>
      <c r="E66" s="861">
        <v>20.0</v>
      </c>
      <c r="F66" s="861">
        <v>400.0</v>
      </c>
      <c r="G66" s="861" t="s">
        <v>1697</v>
      </c>
      <c r="H66" s="861" t="s">
        <v>268</v>
      </c>
      <c r="I66" s="861" t="e">
        <v>#VALUE!</v>
      </c>
      <c r="J66" s="858" t="s">
        <v>2798</v>
      </c>
      <c r="K66" s="858">
        <v>0.0</v>
      </c>
      <c r="L66" s="858" t="s">
        <v>1688</v>
      </c>
      <c r="M66" s="862"/>
      <c r="N66" s="862"/>
      <c r="O66" s="862"/>
      <c r="P66" s="862"/>
      <c r="Q66" s="862"/>
      <c r="R66" s="862"/>
      <c r="S66" s="862"/>
      <c r="T66" s="862"/>
      <c r="U66" s="862"/>
      <c r="V66" s="862"/>
      <c r="W66" s="863"/>
      <c r="X66" s="90"/>
      <c r="Y66" s="90"/>
      <c r="Z66" s="90"/>
    </row>
    <row r="67" ht="19.5" customHeight="1">
      <c r="A67" s="860">
        <v>66.0</v>
      </c>
      <c r="B67" s="861" t="s">
        <v>2912</v>
      </c>
      <c r="C67" s="862" t="s">
        <v>275</v>
      </c>
      <c r="D67" s="861">
        <v>20.0</v>
      </c>
      <c r="E67" s="861">
        <v>20.0</v>
      </c>
      <c r="F67" s="861">
        <v>400.0</v>
      </c>
      <c r="G67" s="861" t="s">
        <v>1697</v>
      </c>
      <c r="H67" s="861" t="s">
        <v>272</v>
      </c>
      <c r="I67" s="861" t="e">
        <v>#VALUE!</v>
      </c>
      <c r="J67" s="858" t="s">
        <v>2798</v>
      </c>
      <c r="K67" s="858">
        <v>0.0</v>
      </c>
      <c r="L67" s="858" t="s">
        <v>1688</v>
      </c>
      <c r="M67" s="862"/>
      <c r="N67" s="862"/>
      <c r="O67" s="862"/>
      <c r="P67" s="862"/>
      <c r="Q67" s="862"/>
      <c r="R67" s="862"/>
      <c r="S67" s="862"/>
      <c r="T67" s="862"/>
      <c r="U67" s="862"/>
      <c r="V67" s="862"/>
      <c r="W67" s="863"/>
      <c r="X67" s="90"/>
      <c r="Y67" s="90"/>
      <c r="Z67" s="90"/>
    </row>
    <row r="68" ht="19.5" customHeight="1">
      <c r="A68" s="860">
        <v>67.0</v>
      </c>
      <c r="B68" s="861" t="s">
        <v>2913</v>
      </c>
      <c r="C68" s="862" t="s">
        <v>279</v>
      </c>
      <c r="D68" s="861">
        <v>20.0</v>
      </c>
      <c r="E68" s="861">
        <v>20.0</v>
      </c>
      <c r="F68" s="861">
        <v>400.0</v>
      </c>
      <c r="G68" s="861" t="s">
        <v>1697</v>
      </c>
      <c r="H68" s="861" t="s">
        <v>276</v>
      </c>
      <c r="I68" s="861" t="e">
        <v>#VALUE!</v>
      </c>
      <c r="J68" s="858" t="s">
        <v>2798</v>
      </c>
      <c r="K68" s="858">
        <v>0.0</v>
      </c>
      <c r="L68" s="858" t="s">
        <v>1688</v>
      </c>
      <c r="M68" s="862"/>
      <c r="N68" s="862"/>
      <c r="O68" s="862"/>
      <c r="P68" s="862"/>
      <c r="Q68" s="862"/>
      <c r="R68" s="862"/>
      <c r="S68" s="862"/>
      <c r="T68" s="862"/>
      <c r="U68" s="862"/>
      <c r="V68" s="862"/>
      <c r="W68" s="863"/>
      <c r="X68" s="90"/>
      <c r="Y68" s="90"/>
      <c r="Z68" s="90"/>
    </row>
    <row r="69" ht="19.5" customHeight="1">
      <c r="A69" s="860">
        <v>68.0</v>
      </c>
      <c r="B69" s="861" t="s">
        <v>2914</v>
      </c>
      <c r="C69" s="862" t="s">
        <v>283</v>
      </c>
      <c r="D69" s="861">
        <v>20.0</v>
      </c>
      <c r="E69" s="861">
        <v>20.0</v>
      </c>
      <c r="F69" s="861">
        <v>400.0</v>
      </c>
      <c r="G69" s="861" t="s">
        <v>1697</v>
      </c>
      <c r="H69" s="861" t="s">
        <v>280</v>
      </c>
      <c r="I69" s="861" t="e">
        <v>#VALUE!</v>
      </c>
      <c r="J69" s="858" t="s">
        <v>2798</v>
      </c>
      <c r="K69" s="858">
        <v>0.0</v>
      </c>
      <c r="L69" s="858" t="s">
        <v>1688</v>
      </c>
      <c r="M69" s="862"/>
      <c r="N69" s="862"/>
      <c r="O69" s="862"/>
      <c r="P69" s="862"/>
      <c r="Q69" s="862"/>
      <c r="R69" s="862"/>
      <c r="S69" s="862"/>
      <c r="T69" s="862"/>
      <c r="U69" s="862"/>
      <c r="V69" s="862"/>
      <c r="W69" s="863"/>
      <c r="X69" s="90"/>
      <c r="Y69" s="90"/>
      <c r="Z69" s="90"/>
    </row>
    <row r="70" ht="19.5" customHeight="1">
      <c r="A70" s="860">
        <v>69.0</v>
      </c>
      <c r="B70" s="861" t="s">
        <v>2915</v>
      </c>
      <c r="C70" s="862" t="s">
        <v>2916</v>
      </c>
      <c r="D70" s="861">
        <v>10.0</v>
      </c>
      <c r="E70" s="861">
        <v>300.0</v>
      </c>
      <c r="F70" s="861">
        <v>3000.0</v>
      </c>
      <c r="G70" s="861" t="s">
        <v>1697</v>
      </c>
      <c r="H70" s="861" t="s">
        <v>2917</v>
      </c>
      <c r="I70" s="861" t="e">
        <v>#VALUE!</v>
      </c>
      <c r="J70" s="858" t="s">
        <v>2839</v>
      </c>
      <c r="K70" s="858" t="s">
        <v>2831</v>
      </c>
      <c r="L70" s="858" t="s">
        <v>1688</v>
      </c>
      <c r="M70" s="862"/>
      <c r="N70" s="862"/>
      <c r="O70" s="862"/>
      <c r="P70" s="862"/>
      <c r="Q70" s="862"/>
      <c r="R70" s="862"/>
      <c r="S70" s="862"/>
      <c r="T70" s="862"/>
      <c r="U70" s="862"/>
      <c r="V70" s="862"/>
      <c r="W70" s="863"/>
      <c r="X70" s="90"/>
      <c r="Y70" s="90"/>
      <c r="Z70" s="90"/>
    </row>
    <row r="71" ht="19.5" customHeight="1">
      <c r="A71" s="860">
        <v>70.0</v>
      </c>
      <c r="B71" s="861" t="s">
        <v>2918</v>
      </c>
      <c r="C71" s="862" t="s">
        <v>287</v>
      </c>
      <c r="D71" s="861">
        <v>20.0</v>
      </c>
      <c r="E71" s="861">
        <v>40.0</v>
      </c>
      <c r="F71" s="861">
        <v>800.0</v>
      </c>
      <c r="G71" s="861" t="s">
        <v>1697</v>
      </c>
      <c r="H71" s="861" t="s">
        <v>944</v>
      </c>
      <c r="I71" s="861" t="e">
        <v>#VALUE!</v>
      </c>
      <c r="J71" s="858" t="s">
        <v>2798</v>
      </c>
      <c r="K71" s="858" t="s">
        <v>2831</v>
      </c>
      <c r="L71" s="858" t="s">
        <v>1688</v>
      </c>
      <c r="M71" s="862"/>
      <c r="N71" s="862"/>
      <c r="O71" s="862"/>
      <c r="P71" s="862"/>
      <c r="Q71" s="862"/>
      <c r="R71" s="862"/>
      <c r="S71" s="862"/>
      <c r="T71" s="862"/>
      <c r="U71" s="862"/>
      <c r="V71" s="862"/>
      <c r="W71" s="863"/>
      <c r="X71" s="90"/>
      <c r="Y71" s="90"/>
      <c r="Z71" s="90"/>
    </row>
    <row r="72" ht="19.5" customHeight="1">
      <c r="A72" s="860">
        <v>71.0</v>
      </c>
      <c r="B72" s="861" t="s">
        <v>2919</v>
      </c>
      <c r="C72" s="862" t="s">
        <v>292</v>
      </c>
      <c r="D72" s="861">
        <v>20.0</v>
      </c>
      <c r="E72" s="861">
        <v>40.0</v>
      </c>
      <c r="F72" s="861">
        <v>800.0</v>
      </c>
      <c r="G72" s="861" t="s">
        <v>1697</v>
      </c>
      <c r="H72" s="861" t="s">
        <v>289</v>
      </c>
      <c r="I72" s="861" t="e">
        <v>#VALUE!</v>
      </c>
      <c r="J72" s="858" t="s">
        <v>2798</v>
      </c>
      <c r="K72" s="858" t="s">
        <v>2831</v>
      </c>
      <c r="L72" s="858" t="s">
        <v>1688</v>
      </c>
      <c r="M72" s="862"/>
      <c r="N72" s="862"/>
      <c r="O72" s="862"/>
      <c r="P72" s="862"/>
      <c r="Q72" s="862"/>
      <c r="R72" s="862"/>
      <c r="S72" s="862"/>
      <c r="T72" s="862"/>
      <c r="U72" s="862"/>
      <c r="V72" s="862"/>
      <c r="W72" s="863"/>
      <c r="X72" s="90"/>
      <c r="Y72" s="90"/>
      <c r="Z72" s="90"/>
    </row>
    <row r="73" ht="19.5" customHeight="1">
      <c r="A73" s="860">
        <v>72.0</v>
      </c>
      <c r="B73" s="861" t="s">
        <v>2920</v>
      </c>
      <c r="C73" s="862" t="s">
        <v>296</v>
      </c>
      <c r="D73" s="861">
        <v>20.0</v>
      </c>
      <c r="E73" s="861">
        <v>40.0</v>
      </c>
      <c r="F73" s="861">
        <v>800.0</v>
      </c>
      <c r="G73" s="861" t="s">
        <v>1697</v>
      </c>
      <c r="H73" s="861" t="s">
        <v>293</v>
      </c>
      <c r="I73" s="861" t="e">
        <v>#VALUE!</v>
      </c>
      <c r="J73" s="858" t="s">
        <v>2798</v>
      </c>
      <c r="K73" s="858" t="s">
        <v>2831</v>
      </c>
      <c r="L73" s="858" t="s">
        <v>1688</v>
      </c>
      <c r="M73" s="862"/>
      <c r="N73" s="862"/>
      <c r="O73" s="862"/>
      <c r="P73" s="862"/>
      <c r="Q73" s="862"/>
      <c r="R73" s="862"/>
      <c r="S73" s="862"/>
      <c r="T73" s="862"/>
      <c r="U73" s="862"/>
      <c r="V73" s="862"/>
      <c r="W73" s="863"/>
      <c r="X73" s="90"/>
      <c r="Y73" s="90"/>
      <c r="Z73" s="90"/>
    </row>
    <row r="74" ht="19.5" customHeight="1">
      <c r="A74" s="860">
        <v>73.0</v>
      </c>
      <c r="B74" s="861" t="s">
        <v>2921</v>
      </c>
      <c r="C74" s="862" t="s">
        <v>1955</v>
      </c>
      <c r="D74" s="861">
        <v>10.0</v>
      </c>
      <c r="E74" s="861">
        <v>200.0</v>
      </c>
      <c r="F74" s="861">
        <v>2000.0</v>
      </c>
      <c r="G74" s="861" t="s">
        <v>1697</v>
      </c>
      <c r="H74" s="861" t="s">
        <v>152</v>
      </c>
      <c r="I74" s="861" t="e">
        <v>#VALUE!</v>
      </c>
      <c r="J74" s="858" t="s">
        <v>2798</v>
      </c>
      <c r="K74" s="858" t="s">
        <v>2831</v>
      </c>
      <c r="L74" s="858" t="s">
        <v>1688</v>
      </c>
      <c r="M74" s="862"/>
      <c r="N74" s="862"/>
      <c r="O74" s="862"/>
      <c r="P74" s="862"/>
      <c r="Q74" s="862"/>
      <c r="R74" s="862"/>
      <c r="S74" s="862"/>
      <c r="T74" s="862"/>
      <c r="U74" s="862"/>
      <c r="V74" s="862"/>
      <c r="W74" s="863"/>
      <c r="X74" s="90"/>
      <c r="Y74" s="90"/>
      <c r="Z74" s="90"/>
    </row>
    <row r="75" ht="19.5" customHeight="1">
      <c r="A75" s="860">
        <v>74.0</v>
      </c>
      <c r="B75" s="861" t="s">
        <v>2922</v>
      </c>
      <c r="C75" s="862" t="s">
        <v>603</v>
      </c>
      <c r="D75" s="861">
        <v>500.0</v>
      </c>
      <c r="E75" s="861">
        <v>1.5</v>
      </c>
      <c r="F75" s="861">
        <v>750.0</v>
      </c>
      <c r="G75" s="861" t="s">
        <v>1697</v>
      </c>
      <c r="H75" s="861" t="s">
        <v>1547</v>
      </c>
      <c r="I75" s="861" t="e">
        <v>#VALUE!</v>
      </c>
      <c r="J75" s="858" t="s">
        <v>2655</v>
      </c>
      <c r="K75" s="858">
        <v>0.0</v>
      </c>
      <c r="L75" s="858" t="s">
        <v>1688</v>
      </c>
      <c r="M75" s="862"/>
      <c r="N75" s="862"/>
      <c r="O75" s="862"/>
      <c r="P75" s="862"/>
      <c r="Q75" s="862"/>
      <c r="R75" s="862"/>
      <c r="S75" s="862"/>
      <c r="T75" s="862"/>
      <c r="U75" s="862"/>
      <c r="V75" s="862"/>
      <c r="W75" s="863"/>
      <c r="X75" s="90"/>
      <c r="Y75" s="90"/>
      <c r="Z75" s="90"/>
    </row>
    <row r="76" ht="19.5" customHeight="1">
      <c r="A76" s="860">
        <v>75.0</v>
      </c>
      <c r="B76" s="861" t="s">
        <v>2923</v>
      </c>
      <c r="C76" s="862" t="s">
        <v>607</v>
      </c>
      <c r="D76" s="861">
        <v>500.0</v>
      </c>
      <c r="E76" s="861">
        <v>1.5</v>
      </c>
      <c r="F76" s="861">
        <v>750.0</v>
      </c>
      <c r="G76" s="861" t="s">
        <v>1697</v>
      </c>
      <c r="H76" s="861" t="s">
        <v>1347</v>
      </c>
      <c r="I76" s="861" t="e">
        <v>#VALUE!</v>
      </c>
      <c r="J76" s="858" t="s">
        <v>2655</v>
      </c>
      <c r="K76" s="858">
        <v>0.0</v>
      </c>
      <c r="L76" s="858" t="s">
        <v>1688</v>
      </c>
      <c r="M76" s="862"/>
      <c r="N76" s="862"/>
      <c r="O76" s="862"/>
      <c r="P76" s="862"/>
      <c r="Q76" s="862"/>
      <c r="R76" s="862"/>
      <c r="S76" s="862"/>
      <c r="T76" s="862"/>
      <c r="U76" s="862"/>
      <c r="V76" s="862"/>
      <c r="W76" s="863"/>
      <c r="X76" s="90"/>
      <c r="Y76" s="90"/>
      <c r="Z76" s="90"/>
    </row>
    <row r="77" ht="19.5" customHeight="1">
      <c r="A77" s="860">
        <v>76.0</v>
      </c>
      <c r="B77" s="861" t="s">
        <v>2924</v>
      </c>
      <c r="C77" s="862" t="s">
        <v>610</v>
      </c>
      <c r="D77" s="861">
        <v>500.0</v>
      </c>
      <c r="E77" s="861">
        <v>1.5</v>
      </c>
      <c r="F77" s="861">
        <v>750.0</v>
      </c>
      <c r="G77" s="861" t="s">
        <v>1697</v>
      </c>
      <c r="H77" s="861" t="s">
        <v>1351</v>
      </c>
      <c r="I77" s="861" t="e">
        <v>#VALUE!</v>
      </c>
      <c r="J77" s="858" t="s">
        <v>2655</v>
      </c>
      <c r="K77" s="858">
        <v>0.0</v>
      </c>
      <c r="L77" s="858" t="s">
        <v>1688</v>
      </c>
      <c r="M77" s="862"/>
      <c r="N77" s="862"/>
      <c r="O77" s="862"/>
      <c r="P77" s="862"/>
      <c r="Q77" s="862"/>
      <c r="R77" s="862"/>
      <c r="S77" s="862"/>
      <c r="T77" s="862"/>
      <c r="U77" s="862"/>
      <c r="V77" s="862"/>
      <c r="W77" s="863"/>
      <c r="X77" s="90"/>
      <c r="Y77" s="90"/>
      <c r="Z77" s="90"/>
    </row>
    <row r="78" ht="19.5" customHeight="1">
      <c r="A78" s="860">
        <v>77.0</v>
      </c>
      <c r="B78" s="861" t="s">
        <v>2925</v>
      </c>
      <c r="C78" s="862" t="s">
        <v>614</v>
      </c>
      <c r="D78" s="861">
        <v>500.0</v>
      </c>
      <c r="E78" s="861">
        <v>1.5</v>
      </c>
      <c r="F78" s="861">
        <v>750.0</v>
      </c>
      <c r="G78" s="861" t="s">
        <v>1697</v>
      </c>
      <c r="H78" s="861" t="s">
        <v>2926</v>
      </c>
      <c r="I78" s="861" t="e">
        <v>#VALUE!</v>
      </c>
      <c r="J78" s="858" t="s">
        <v>2655</v>
      </c>
      <c r="K78" s="858">
        <v>0.0</v>
      </c>
      <c r="L78" s="858" t="s">
        <v>1688</v>
      </c>
      <c r="M78" s="862"/>
      <c r="N78" s="862"/>
      <c r="O78" s="862"/>
      <c r="P78" s="862"/>
      <c r="Q78" s="862"/>
      <c r="R78" s="862"/>
      <c r="S78" s="862"/>
      <c r="T78" s="862"/>
      <c r="U78" s="862"/>
      <c r="V78" s="862"/>
      <c r="W78" s="863"/>
      <c r="X78" s="90"/>
      <c r="Y78" s="90"/>
      <c r="Z78" s="90"/>
    </row>
    <row r="79" ht="19.5" customHeight="1">
      <c r="A79" s="860">
        <v>78.0</v>
      </c>
      <c r="B79" s="861" t="s">
        <v>2927</v>
      </c>
      <c r="C79" s="862" t="s">
        <v>618</v>
      </c>
      <c r="D79" s="861">
        <v>500.0</v>
      </c>
      <c r="E79" s="861">
        <v>1.5</v>
      </c>
      <c r="F79" s="861">
        <v>750.0</v>
      </c>
      <c r="G79" s="861" t="s">
        <v>1697</v>
      </c>
      <c r="H79" s="861" t="s">
        <v>615</v>
      </c>
      <c r="I79" s="861" t="e">
        <v>#VALUE!</v>
      </c>
      <c r="J79" s="858" t="s">
        <v>2655</v>
      </c>
      <c r="K79" s="858">
        <v>0.0</v>
      </c>
      <c r="L79" s="858" t="s">
        <v>1688</v>
      </c>
      <c r="M79" s="862"/>
      <c r="N79" s="862"/>
      <c r="O79" s="862"/>
      <c r="P79" s="862"/>
      <c r="Q79" s="862"/>
      <c r="R79" s="862"/>
      <c r="S79" s="862"/>
      <c r="T79" s="862"/>
      <c r="U79" s="862"/>
      <c r="V79" s="862"/>
      <c r="W79" s="863"/>
      <c r="X79" s="90"/>
      <c r="Y79" s="90"/>
      <c r="Z79" s="90"/>
    </row>
    <row r="80" ht="19.5" customHeight="1">
      <c r="A80" s="860">
        <v>79.0</v>
      </c>
      <c r="B80" s="861" t="s">
        <v>2928</v>
      </c>
      <c r="C80" s="862" t="s">
        <v>626</v>
      </c>
      <c r="D80" s="861">
        <v>20.0</v>
      </c>
      <c r="E80" s="861">
        <v>15.0</v>
      </c>
      <c r="F80" s="861">
        <v>300.0</v>
      </c>
      <c r="G80" s="861" t="s">
        <v>1697</v>
      </c>
      <c r="H80" s="861" t="s">
        <v>1551</v>
      </c>
      <c r="I80" s="861" t="e">
        <v>#VALUE!</v>
      </c>
      <c r="J80" s="858" t="s">
        <v>2655</v>
      </c>
      <c r="K80" s="858">
        <v>0.0</v>
      </c>
      <c r="L80" s="858" t="s">
        <v>1688</v>
      </c>
      <c r="M80" s="862"/>
      <c r="N80" s="862"/>
      <c r="O80" s="862"/>
      <c r="P80" s="862"/>
      <c r="Q80" s="862"/>
      <c r="R80" s="862"/>
      <c r="S80" s="862"/>
      <c r="T80" s="862"/>
      <c r="U80" s="862"/>
      <c r="V80" s="862"/>
      <c r="W80" s="863"/>
      <c r="X80" s="90"/>
      <c r="Y80" s="90"/>
      <c r="Z80" s="90"/>
    </row>
    <row r="81" ht="19.5" customHeight="1">
      <c r="A81" s="860">
        <v>80.0</v>
      </c>
      <c r="B81" s="861" t="s">
        <v>2929</v>
      </c>
      <c r="C81" s="862" t="s">
        <v>950</v>
      </c>
      <c r="D81" s="861">
        <v>10.0</v>
      </c>
      <c r="E81" s="861">
        <v>40.0</v>
      </c>
      <c r="F81" s="861">
        <v>400.0</v>
      </c>
      <c r="G81" s="861" t="s">
        <v>1697</v>
      </c>
      <c r="H81" s="861" t="s">
        <v>1193</v>
      </c>
      <c r="I81" s="861" t="e">
        <v>#VALUE!</v>
      </c>
      <c r="J81" s="858" t="s">
        <v>2839</v>
      </c>
      <c r="K81" s="858" t="s">
        <v>2831</v>
      </c>
      <c r="L81" s="858" t="s">
        <v>1688</v>
      </c>
      <c r="M81" s="862"/>
      <c r="N81" s="862"/>
      <c r="O81" s="862"/>
      <c r="P81" s="862"/>
      <c r="Q81" s="862"/>
      <c r="R81" s="862"/>
      <c r="S81" s="862"/>
      <c r="T81" s="862"/>
      <c r="U81" s="862"/>
      <c r="V81" s="862"/>
      <c r="W81" s="863"/>
      <c r="X81" s="90"/>
      <c r="Y81" s="90"/>
      <c r="Z81" s="90"/>
    </row>
    <row r="82" ht="19.5" customHeight="1">
      <c r="A82" s="860">
        <v>81.0</v>
      </c>
      <c r="B82" s="861" t="s">
        <v>2930</v>
      </c>
      <c r="C82" s="862" t="s">
        <v>1558</v>
      </c>
      <c r="D82" s="861">
        <v>10.0</v>
      </c>
      <c r="E82" s="861">
        <v>40.0</v>
      </c>
      <c r="F82" s="861">
        <v>400.0</v>
      </c>
      <c r="G82" s="861" t="s">
        <v>1697</v>
      </c>
      <c r="H82" s="861" t="s">
        <v>951</v>
      </c>
      <c r="I82" s="861" t="e">
        <v>#VALUE!</v>
      </c>
      <c r="J82" s="858" t="s">
        <v>2839</v>
      </c>
      <c r="K82" s="858" t="s">
        <v>2831</v>
      </c>
      <c r="L82" s="858" t="s">
        <v>1688</v>
      </c>
      <c r="M82" s="862"/>
      <c r="N82" s="862"/>
      <c r="O82" s="862"/>
      <c r="P82" s="862"/>
      <c r="Q82" s="862"/>
      <c r="R82" s="862"/>
      <c r="S82" s="862"/>
      <c r="T82" s="862"/>
      <c r="U82" s="862"/>
      <c r="V82" s="862"/>
      <c r="W82" s="863"/>
      <c r="X82" s="90"/>
      <c r="Y82" s="90"/>
      <c r="Z82" s="90"/>
    </row>
    <row r="83" ht="19.5" customHeight="1">
      <c r="A83" s="860">
        <v>82.0</v>
      </c>
      <c r="B83" s="861" t="s">
        <v>2931</v>
      </c>
      <c r="C83" s="862" t="s">
        <v>911</v>
      </c>
      <c r="D83" s="861">
        <v>20.0</v>
      </c>
      <c r="E83" s="861">
        <v>15.0</v>
      </c>
      <c r="F83" s="861">
        <v>300.0</v>
      </c>
      <c r="G83" s="861" t="s">
        <v>1697</v>
      </c>
      <c r="H83" s="861" t="s">
        <v>376</v>
      </c>
      <c r="I83" s="861" t="e">
        <v>#VALUE!</v>
      </c>
      <c r="J83" s="858" t="s">
        <v>2696</v>
      </c>
      <c r="K83" s="858">
        <v>0.0</v>
      </c>
      <c r="L83" s="858" t="s">
        <v>1688</v>
      </c>
      <c r="M83" s="862"/>
      <c r="N83" s="862"/>
      <c r="O83" s="862"/>
      <c r="P83" s="862"/>
      <c r="Q83" s="862"/>
      <c r="R83" s="862"/>
      <c r="S83" s="862"/>
      <c r="T83" s="862"/>
      <c r="U83" s="862"/>
      <c r="V83" s="862"/>
      <c r="W83" s="863"/>
      <c r="X83" s="90"/>
      <c r="Y83" s="90"/>
      <c r="Z83" s="90"/>
    </row>
    <row r="84" ht="19.5" customHeight="1">
      <c r="A84" s="860">
        <v>83.0</v>
      </c>
      <c r="B84" s="861" t="s">
        <v>2932</v>
      </c>
      <c r="C84" s="862" t="s">
        <v>630</v>
      </c>
      <c r="D84" s="861">
        <v>20.0</v>
      </c>
      <c r="E84" s="861">
        <v>20.0</v>
      </c>
      <c r="F84" s="861">
        <v>400.0</v>
      </c>
      <c r="G84" s="861" t="s">
        <v>1697</v>
      </c>
      <c r="H84" s="861" t="s">
        <v>912</v>
      </c>
      <c r="I84" s="861" t="e">
        <v>#VALUE!</v>
      </c>
      <c r="J84" s="858" t="s">
        <v>2655</v>
      </c>
      <c r="K84" s="858">
        <v>0.0</v>
      </c>
      <c r="L84" s="858" t="s">
        <v>1688</v>
      </c>
      <c r="M84" s="862"/>
      <c r="N84" s="862"/>
      <c r="O84" s="862"/>
      <c r="P84" s="862"/>
      <c r="Q84" s="862"/>
      <c r="R84" s="862"/>
      <c r="S84" s="862"/>
      <c r="T84" s="862"/>
      <c r="U84" s="862"/>
      <c r="V84" s="862"/>
      <c r="W84" s="863"/>
      <c r="X84" s="90"/>
      <c r="Y84" s="90"/>
      <c r="Z84" s="90"/>
    </row>
    <row r="85" ht="19.5" customHeight="1">
      <c r="A85" s="860">
        <v>84.0</v>
      </c>
      <c r="B85" s="861" t="s">
        <v>2933</v>
      </c>
      <c r="C85" s="862" t="s">
        <v>634</v>
      </c>
      <c r="D85" s="861">
        <v>20.0</v>
      </c>
      <c r="E85" s="861">
        <v>30.0</v>
      </c>
      <c r="F85" s="861">
        <v>600.0</v>
      </c>
      <c r="G85" s="861" t="s">
        <v>1697</v>
      </c>
      <c r="H85" s="861" t="s">
        <v>631</v>
      </c>
      <c r="I85" s="861" t="e">
        <v>#VALUE!</v>
      </c>
      <c r="J85" s="858" t="s">
        <v>2655</v>
      </c>
      <c r="K85" s="858">
        <v>0.0</v>
      </c>
      <c r="L85" s="858" t="s">
        <v>1688</v>
      </c>
      <c r="M85" s="862"/>
      <c r="N85" s="862"/>
      <c r="O85" s="862"/>
      <c r="P85" s="862"/>
      <c r="Q85" s="862"/>
      <c r="R85" s="862"/>
      <c r="S85" s="862"/>
      <c r="T85" s="862"/>
      <c r="U85" s="862"/>
      <c r="V85" s="862"/>
      <c r="W85" s="863"/>
      <c r="X85" s="90"/>
      <c r="Y85" s="90"/>
      <c r="Z85" s="90"/>
    </row>
    <row r="86" ht="19.5" customHeight="1">
      <c r="A86" s="860">
        <v>85.0</v>
      </c>
      <c r="B86" s="861" t="s">
        <v>2934</v>
      </c>
      <c r="C86" s="862" t="s">
        <v>954</v>
      </c>
      <c r="D86" s="861">
        <v>10.0</v>
      </c>
      <c r="E86" s="861">
        <v>200.0</v>
      </c>
      <c r="F86" s="861">
        <v>2000.0</v>
      </c>
      <c r="G86" s="861" t="s">
        <v>1697</v>
      </c>
      <c r="H86" s="861" t="s">
        <v>635</v>
      </c>
      <c r="I86" s="861" t="e">
        <v>#VALUE!</v>
      </c>
      <c r="J86" s="858" t="s">
        <v>2798</v>
      </c>
      <c r="K86" s="858" t="s">
        <v>2831</v>
      </c>
      <c r="L86" s="858" t="s">
        <v>1688</v>
      </c>
      <c r="M86" s="862"/>
      <c r="N86" s="862"/>
      <c r="O86" s="862"/>
      <c r="P86" s="862"/>
      <c r="Q86" s="862"/>
      <c r="R86" s="862"/>
      <c r="S86" s="862"/>
      <c r="T86" s="862"/>
      <c r="U86" s="862"/>
      <c r="V86" s="862"/>
      <c r="W86" s="863"/>
      <c r="X86" s="90"/>
      <c r="Y86" s="90"/>
      <c r="Z86" s="90"/>
    </row>
    <row r="87" ht="19.5" customHeight="1">
      <c r="A87" s="860">
        <v>86.0</v>
      </c>
      <c r="B87" s="861" t="s">
        <v>2935</v>
      </c>
      <c r="C87" s="862" t="s">
        <v>915</v>
      </c>
      <c r="D87" s="861">
        <v>10.0</v>
      </c>
      <c r="E87" s="861">
        <v>300.0</v>
      </c>
      <c r="F87" s="861">
        <v>3000.0</v>
      </c>
      <c r="G87" s="861" t="s">
        <v>1697</v>
      </c>
      <c r="H87" s="861" t="s">
        <v>1463</v>
      </c>
      <c r="I87" s="861" t="e">
        <v>#VALUE!</v>
      </c>
      <c r="J87" s="858" t="s">
        <v>2798</v>
      </c>
      <c r="K87" s="858" t="s">
        <v>2831</v>
      </c>
      <c r="L87" s="858" t="s">
        <v>1688</v>
      </c>
      <c r="M87" s="862"/>
      <c r="N87" s="862"/>
      <c r="O87" s="862"/>
      <c r="P87" s="862"/>
      <c r="Q87" s="862"/>
      <c r="R87" s="862"/>
      <c r="S87" s="862"/>
      <c r="T87" s="862"/>
      <c r="U87" s="862"/>
      <c r="V87" s="862"/>
      <c r="W87" s="863"/>
      <c r="X87" s="90"/>
      <c r="Y87" s="90"/>
      <c r="Z87" s="90"/>
    </row>
    <row r="88" ht="19.5" customHeight="1">
      <c r="A88" s="860">
        <v>87.0</v>
      </c>
      <c r="B88" s="861" t="s">
        <v>2795</v>
      </c>
      <c r="C88" s="862" t="s">
        <v>2796</v>
      </c>
      <c r="D88" s="861">
        <v>1.0</v>
      </c>
      <c r="E88" s="861">
        <v>400.0</v>
      </c>
      <c r="F88" s="861">
        <v>400.0</v>
      </c>
      <c r="G88" s="861" t="s">
        <v>1697</v>
      </c>
      <c r="H88" s="861" t="s">
        <v>2797</v>
      </c>
      <c r="I88" s="861" t="e">
        <v>#VALUE!</v>
      </c>
      <c r="J88" s="858" t="s">
        <v>2798</v>
      </c>
      <c r="K88" s="858">
        <v>0.0</v>
      </c>
      <c r="L88" s="858" t="s">
        <v>1688</v>
      </c>
      <c r="M88" s="862"/>
      <c r="N88" s="862"/>
      <c r="O88" s="862"/>
      <c r="P88" s="862"/>
      <c r="Q88" s="862"/>
      <c r="R88" s="862"/>
      <c r="S88" s="862"/>
      <c r="T88" s="862"/>
      <c r="U88" s="862"/>
      <c r="V88" s="862"/>
      <c r="W88" s="863"/>
      <c r="X88" s="90"/>
      <c r="Y88" s="90"/>
      <c r="Z88" s="90"/>
    </row>
    <row r="89" ht="19.5" customHeight="1">
      <c r="A89" s="860">
        <v>88.0</v>
      </c>
      <c r="B89" s="861" t="s">
        <v>2936</v>
      </c>
      <c r="C89" s="862" t="s">
        <v>638</v>
      </c>
      <c r="D89" s="861">
        <v>20.0</v>
      </c>
      <c r="E89" s="861">
        <v>50.0</v>
      </c>
      <c r="F89" s="861">
        <v>1000.0</v>
      </c>
      <c r="G89" s="861" t="s">
        <v>1697</v>
      </c>
      <c r="H89" s="861" t="s">
        <v>1206</v>
      </c>
      <c r="I89" s="861" t="e">
        <v>#VALUE!</v>
      </c>
      <c r="J89" s="858" t="s">
        <v>2696</v>
      </c>
      <c r="K89" s="858">
        <v>0.0</v>
      </c>
      <c r="L89" s="858" t="s">
        <v>1688</v>
      </c>
      <c r="M89" s="862"/>
      <c r="N89" s="862"/>
      <c r="O89" s="862"/>
      <c r="P89" s="862"/>
      <c r="Q89" s="862"/>
      <c r="R89" s="862"/>
      <c r="S89" s="862"/>
      <c r="T89" s="862"/>
      <c r="U89" s="862"/>
      <c r="V89" s="862"/>
      <c r="W89" s="863"/>
      <c r="X89" s="90"/>
      <c r="Y89" s="90"/>
      <c r="Z89" s="90"/>
    </row>
    <row r="90" ht="19.5" customHeight="1">
      <c r="A90" s="860">
        <v>89.0</v>
      </c>
      <c r="B90" s="861" t="s">
        <v>2937</v>
      </c>
      <c r="C90" s="862" t="s">
        <v>1789</v>
      </c>
      <c r="D90" s="861">
        <v>10.0</v>
      </c>
      <c r="E90" s="861">
        <v>200.0</v>
      </c>
      <c r="F90" s="861">
        <v>2000.0</v>
      </c>
      <c r="G90" s="861" t="s">
        <v>1697</v>
      </c>
      <c r="H90" s="861" t="s">
        <v>1210</v>
      </c>
      <c r="I90" s="861" t="e">
        <v>#VALUE!</v>
      </c>
      <c r="J90" s="858" t="s">
        <v>2839</v>
      </c>
      <c r="K90" s="858" t="s">
        <v>2831</v>
      </c>
      <c r="L90" s="858" t="s">
        <v>1688</v>
      </c>
      <c r="M90" s="862"/>
      <c r="N90" s="862"/>
      <c r="O90" s="862"/>
      <c r="P90" s="862"/>
      <c r="Q90" s="862"/>
      <c r="R90" s="862"/>
      <c r="S90" s="862"/>
      <c r="T90" s="862"/>
      <c r="U90" s="862"/>
      <c r="V90" s="862"/>
      <c r="W90" s="863"/>
      <c r="X90" s="90"/>
      <c r="Y90" s="90"/>
      <c r="Z90" s="90"/>
    </row>
    <row r="91" ht="19.5" customHeight="1">
      <c r="A91" s="860">
        <v>90.0</v>
      </c>
      <c r="B91" s="861" t="s">
        <v>2938</v>
      </c>
      <c r="C91" s="862" t="s">
        <v>642</v>
      </c>
      <c r="D91" s="861">
        <v>20.0</v>
      </c>
      <c r="E91" s="861">
        <v>20.0</v>
      </c>
      <c r="F91" s="861">
        <v>400.0</v>
      </c>
      <c r="G91" s="861" t="s">
        <v>1697</v>
      </c>
      <c r="H91" s="861" t="s">
        <v>112</v>
      </c>
      <c r="I91" s="861" t="e">
        <v>#VALUE!</v>
      </c>
      <c r="J91" s="858" t="s">
        <v>2696</v>
      </c>
      <c r="K91" s="858">
        <v>0.0</v>
      </c>
      <c r="L91" s="858" t="s">
        <v>1688</v>
      </c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3"/>
      <c r="X91" s="90"/>
      <c r="Y91" s="90"/>
      <c r="Z91" s="90"/>
    </row>
    <row r="92" ht="19.5" customHeight="1">
      <c r="A92" s="860">
        <v>91.0</v>
      </c>
      <c r="B92" s="861" t="s">
        <v>2939</v>
      </c>
      <c r="C92" s="862" t="s">
        <v>646</v>
      </c>
      <c r="D92" s="861">
        <v>20.0</v>
      </c>
      <c r="E92" s="861">
        <v>15.0</v>
      </c>
      <c r="F92" s="861">
        <v>300.0</v>
      </c>
      <c r="G92" s="861" t="s">
        <v>1697</v>
      </c>
      <c r="H92" s="861" t="s">
        <v>643</v>
      </c>
      <c r="I92" s="861" t="e">
        <v>#VALUE!</v>
      </c>
      <c r="J92" s="858" t="s">
        <v>2696</v>
      </c>
      <c r="K92" s="858">
        <v>0.0</v>
      </c>
      <c r="L92" s="858" t="s">
        <v>1688</v>
      </c>
      <c r="M92" s="862"/>
      <c r="N92" s="862"/>
      <c r="O92" s="862"/>
      <c r="P92" s="862"/>
      <c r="Q92" s="862"/>
      <c r="R92" s="862"/>
      <c r="S92" s="862"/>
      <c r="T92" s="862"/>
      <c r="U92" s="862"/>
      <c r="V92" s="862"/>
      <c r="W92" s="863"/>
      <c r="X92" s="90"/>
      <c r="Y92" s="90"/>
      <c r="Z92" s="90"/>
    </row>
    <row r="93" ht="19.5" customHeight="1">
      <c r="A93" s="860">
        <v>92.0</v>
      </c>
      <c r="B93" s="861" t="s">
        <v>2940</v>
      </c>
      <c r="C93" s="862" t="s">
        <v>650</v>
      </c>
      <c r="D93" s="861">
        <v>20.0</v>
      </c>
      <c r="E93" s="861">
        <v>10.0</v>
      </c>
      <c r="F93" s="861">
        <v>200.0</v>
      </c>
      <c r="G93" s="861" t="s">
        <v>1697</v>
      </c>
      <c r="H93" s="861" t="s">
        <v>647</v>
      </c>
      <c r="I93" s="861" t="e">
        <v>#VALUE!</v>
      </c>
      <c r="J93" s="858" t="s">
        <v>2696</v>
      </c>
      <c r="K93" s="858">
        <v>0.0</v>
      </c>
      <c r="L93" s="858" t="s">
        <v>1688</v>
      </c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3"/>
      <c r="X93" s="90"/>
      <c r="Y93" s="90"/>
      <c r="Z93" s="90"/>
    </row>
    <row r="94" ht="19.5" customHeight="1">
      <c r="A94" s="860">
        <v>93.0</v>
      </c>
      <c r="B94" s="861" t="s">
        <v>2941</v>
      </c>
      <c r="C94" s="862" t="s">
        <v>654</v>
      </c>
      <c r="D94" s="861">
        <v>20.0</v>
      </c>
      <c r="E94" s="861">
        <v>25.0</v>
      </c>
      <c r="F94" s="861">
        <v>500.0</v>
      </c>
      <c r="G94" s="861" t="s">
        <v>1697</v>
      </c>
      <c r="H94" s="861" t="s">
        <v>651</v>
      </c>
      <c r="I94" s="861" t="e">
        <v>#VALUE!</v>
      </c>
      <c r="J94" s="858" t="s">
        <v>2696</v>
      </c>
      <c r="K94" s="858">
        <v>0.0</v>
      </c>
      <c r="L94" s="858" t="s">
        <v>1688</v>
      </c>
      <c r="M94" s="862"/>
      <c r="N94" s="862"/>
      <c r="O94" s="862"/>
      <c r="P94" s="862"/>
      <c r="Q94" s="862"/>
      <c r="R94" s="862"/>
      <c r="S94" s="862"/>
      <c r="T94" s="862"/>
      <c r="U94" s="862"/>
      <c r="V94" s="862"/>
      <c r="W94" s="863"/>
      <c r="X94" s="90"/>
      <c r="Y94" s="90"/>
      <c r="Z94" s="90"/>
    </row>
    <row r="95" ht="19.5" customHeight="1">
      <c r="A95" s="860">
        <v>94.0</v>
      </c>
      <c r="B95" s="861" t="s">
        <v>2942</v>
      </c>
      <c r="C95" s="862" t="s">
        <v>220</v>
      </c>
      <c r="D95" s="861">
        <v>5.0</v>
      </c>
      <c r="E95" s="861">
        <v>500.0</v>
      </c>
      <c r="F95" s="861">
        <v>2500.0</v>
      </c>
      <c r="G95" s="861" t="s">
        <v>1697</v>
      </c>
      <c r="H95" s="861" t="s">
        <v>655</v>
      </c>
      <c r="I95" s="861" t="e">
        <v>#VALUE!</v>
      </c>
      <c r="J95" s="858" t="s">
        <v>2798</v>
      </c>
      <c r="K95" s="858" t="s">
        <v>2831</v>
      </c>
      <c r="L95" s="858" t="s">
        <v>1688</v>
      </c>
      <c r="M95" s="862"/>
      <c r="N95" s="862"/>
      <c r="O95" s="862"/>
      <c r="P95" s="862"/>
      <c r="Q95" s="862"/>
      <c r="R95" s="862"/>
      <c r="S95" s="862"/>
      <c r="T95" s="862"/>
      <c r="U95" s="862"/>
      <c r="V95" s="862"/>
      <c r="W95" s="863"/>
      <c r="X95" s="90"/>
      <c r="Y95" s="90"/>
      <c r="Z95" s="90"/>
    </row>
    <row r="96" ht="19.5" customHeight="1">
      <c r="A96" s="860">
        <v>95.0</v>
      </c>
      <c r="B96" s="861" t="s">
        <v>2943</v>
      </c>
      <c r="C96" s="862" t="s">
        <v>454</v>
      </c>
      <c r="D96" s="861">
        <v>15.0</v>
      </c>
      <c r="E96" s="861">
        <v>400.0</v>
      </c>
      <c r="F96" s="861">
        <v>6000.0</v>
      </c>
      <c r="G96" s="861" t="s">
        <v>1697</v>
      </c>
      <c r="H96" s="861" t="s">
        <v>1409</v>
      </c>
      <c r="I96" s="861" t="e">
        <v>#VALUE!</v>
      </c>
      <c r="J96" s="858" t="s">
        <v>2798</v>
      </c>
      <c r="K96" s="858" t="s">
        <v>2831</v>
      </c>
      <c r="L96" s="858" t="s">
        <v>1688</v>
      </c>
      <c r="M96" s="862"/>
      <c r="N96" s="862"/>
      <c r="O96" s="862"/>
      <c r="P96" s="862"/>
      <c r="Q96" s="862"/>
      <c r="R96" s="862"/>
      <c r="S96" s="862"/>
      <c r="T96" s="862"/>
      <c r="U96" s="862"/>
      <c r="V96" s="862"/>
      <c r="W96" s="863"/>
      <c r="X96" s="90"/>
      <c r="Y96" s="90"/>
      <c r="Z96" s="90"/>
    </row>
    <row r="97" ht="19.5" customHeight="1">
      <c r="A97" s="860">
        <v>96.0</v>
      </c>
      <c r="B97" s="861" t="s">
        <v>2944</v>
      </c>
      <c r="C97" s="862" t="s">
        <v>459</v>
      </c>
      <c r="D97" s="861">
        <v>10.0</v>
      </c>
      <c r="E97" s="861">
        <v>500.0</v>
      </c>
      <c r="F97" s="861">
        <v>5000.0</v>
      </c>
      <c r="G97" s="861" t="s">
        <v>1697</v>
      </c>
      <c r="H97" s="861" t="s">
        <v>456</v>
      </c>
      <c r="I97" s="861" t="e">
        <v>#VALUE!</v>
      </c>
      <c r="J97" s="858" t="s">
        <v>2798</v>
      </c>
      <c r="K97" s="858" t="s">
        <v>2831</v>
      </c>
      <c r="L97" s="858" t="s">
        <v>1688</v>
      </c>
      <c r="M97" s="862"/>
      <c r="N97" s="862"/>
      <c r="O97" s="862"/>
      <c r="P97" s="862"/>
      <c r="Q97" s="862"/>
      <c r="R97" s="862"/>
      <c r="S97" s="862"/>
      <c r="T97" s="862"/>
      <c r="U97" s="862"/>
      <c r="V97" s="862"/>
      <c r="W97" s="863"/>
      <c r="X97" s="90"/>
      <c r="Y97" s="90"/>
      <c r="Z97" s="90"/>
    </row>
    <row r="98" ht="19.5" customHeight="1">
      <c r="A98" s="860">
        <v>97.0</v>
      </c>
      <c r="B98" s="861" t="s">
        <v>2945</v>
      </c>
      <c r="C98" s="862" t="s">
        <v>1741</v>
      </c>
      <c r="D98" s="861">
        <v>10.0</v>
      </c>
      <c r="E98" s="861">
        <v>150.0</v>
      </c>
      <c r="F98" s="861">
        <v>1500.0</v>
      </c>
      <c r="G98" s="861" t="s">
        <v>1697</v>
      </c>
      <c r="H98" s="861" t="s">
        <v>460</v>
      </c>
      <c r="I98" s="861" t="e">
        <v>#VALUE!</v>
      </c>
      <c r="J98" s="858" t="s">
        <v>2798</v>
      </c>
      <c r="K98" s="858" t="s">
        <v>2831</v>
      </c>
      <c r="L98" s="858" t="s">
        <v>1688</v>
      </c>
      <c r="M98" s="862"/>
      <c r="N98" s="862"/>
      <c r="O98" s="862"/>
      <c r="P98" s="862"/>
      <c r="Q98" s="862"/>
      <c r="R98" s="862"/>
      <c r="S98" s="862"/>
      <c r="T98" s="862"/>
      <c r="U98" s="862"/>
      <c r="V98" s="862"/>
      <c r="W98" s="863"/>
      <c r="X98" s="90"/>
      <c r="Y98" s="90"/>
      <c r="Z98" s="90"/>
    </row>
    <row r="99" ht="19.5" customHeight="1">
      <c r="A99" s="860">
        <v>98.0</v>
      </c>
      <c r="B99" s="861" t="s">
        <v>2946</v>
      </c>
      <c r="C99" s="862" t="s">
        <v>228</v>
      </c>
      <c r="D99" s="861">
        <v>10.0</v>
      </c>
      <c r="E99" s="861">
        <v>200.0</v>
      </c>
      <c r="F99" s="861">
        <v>2000.0</v>
      </c>
      <c r="G99" s="861" t="s">
        <v>1697</v>
      </c>
      <c r="H99" s="861" t="s">
        <v>225</v>
      </c>
      <c r="I99" s="861" t="e">
        <v>#VALUE!</v>
      </c>
      <c r="J99" s="858" t="s">
        <v>2798</v>
      </c>
      <c r="K99" s="858" t="s">
        <v>2831</v>
      </c>
      <c r="L99" s="858" t="s">
        <v>1688</v>
      </c>
      <c r="M99" s="862"/>
      <c r="N99" s="862"/>
      <c r="O99" s="862"/>
      <c r="P99" s="862"/>
      <c r="Q99" s="862"/>
      <c r="R99" s="862"/>
      <c r="S99" s="862"/>
      <c r="T99" s="862"/>
      <c r="U99" s="862"/>
      <c r="V99" s="862"/>
      <c r="W99" s="863"/>
      <c r="X99" s="90"/>
      <c r="Y99" s="90"/>
      <c r="Z99" s="90"/>
    </row>
    <row r="100" ht="19.5" customHeight="1">
      <c r="A100" s="860">
        <v>99.0</v>
      </c>
      <c r="B100" s="861" t="s">
        <v>2947</v>
      </c>
      <c r="C100" s="862" t="s">
        <v>232</v>
      </c>
      <c r="D100" s="861">
        <v>20.0</v>
      </c>
      <c r="E100" s="861">
        <v>100.0</v>
      </c>
      <c r="F100" s="861">
        <v>2000.0</v>
      </c>
      <c r="G100" s="861" t="s">
        <v>1697</v>
      </c>
      <c r="H100" s="861" t="s">
        <v>229</v>
      </c>
      <c r="I100" s="861" t="e">
        <v>#VALUE!</v>
      </c>
      <c r="J100" s="858" t="s">
        <v>2798</v>
      </c>
      <c r="K100" s="858" t="s">
        <v>2831</v>
      </c>
      <c r="L100" s="858" t="s">
        <v>1688</v>
      </c>
      <c r="M100" s="862"/>
      <c r="N100" s="862"/>
      <c r="O100" s="862"/>
      <c r="P100" s="862"/>
      <c r="Q100" s="862"/>
      <c r="R100" s="862"/>
      <c r="S100" s="862"/>
      <c r="T100" s="862"/>
      <c r="U100" s="862"/>
      <c r="V100" s="862"/>
      <c r="W100" s="863"/>
      <c r="X100" s="90"/>
      <c r="Y100" s="90"/>
      <c r="Z100" s="90"/>
    </row>
    <row r="101" ht="19.5" customHeight="1">
      <c r="A101" s="860">
        <v>100.0</v>
      </c>
      <c r="B101" s="861" t="s">
        <v>2948</v>
      </c>
      <c r="C101" s="862" t="s">
        <v>658</v>
      </c>
      <c r="D101" s="861">
        <v>100.0</v>
      </c>
      <c r="E101" s="861">
        <v>1.0</v>
      </c>
      <c r="F101" s="861">
        <v>100.0</v>
      </c>
      <c r="G101" s="861" t="s">
        <v>1697</v>
      </c>
      <c r="H101" s="861" t="s">
        <v>1263</v>
      </c>
      <c r="I101" s="861" t="e">
        <v>#VALUE!</v>
      </c>
      <c r="J101" s="858" t="s">
        <v>2655</v>
      </c>
      <c r="K101" s="858">
        <v>0.0</v>
      </c>
      <c r="L101" s="858" t="s">
        <v>1688</v>
      </c>
      <c r="M101" s="862"/>
      <c r="N101" s="862"/>
      <c r="O101" s="862"/>
      <c r="P101" s="862"/>
      <c r="Q101" s="862"/>
      <c r="R101" s="862"/>
      <c r="S101" s="862"/>
      <c r="T101" s="862"/>
      <c r="U101" s="862"/>
      <c r="V101" s="862"/>
      <c r="W101" s="863"/>
      <c r="X101" s="90"/>
      <c r="Y101" s="90"/>
      <c r="Z101" s="90"/>
    </row>
    <row r="102" ht="19.5" customHeight="1">
      <c r="A102" s="860">
        <v>101.0</v>
      </c>
      <c r="B102" s="861" t="s">
        <v>2949</v>
      </c>
      <c r="C102" s="862" t="s">
        <v>662</v>
      </c>
      <c r="D102" s="861">
        <v>100.0</v>
      </c>
      <c r="E102" s="861">
        <v>1.0</v>
      </c>
      <c r="F102" s="861">
        <v>100.0</v>
      </c>
      <c r="G102" s="861" t="s">
        <v>1697</v>
      </c>
      <c r="H102" s="861" t="s">
        <v>659</v>
      </c>
      <c r="I102" s="861" t="e">
        <v>#VALUE!</v>
      </c>
      <c r="J102" s="858" t="s">
        <v>2655</v>
      </c>
      <c r="K102" s="858">
        <v>0.0</v>
      </c>
      <c r="L102" s="858" t="s">
        <v>1688</v>
      </c>
      <c r="M102" s="862"/>
      <c r="N102" s="862"/>
      <c r="O102" s="862"/>
      <c r="P102" s="862"/>
      <c r="Q102" s="862"/>
      <c r="R102" s="862"/>
      <c r="S102" s="862"/>
      <c r="T102" s="862"/>
      <c r="U102" s="862"/>
      <c r="V102" s="862"/>
      <c r="W102" s="863"/>
      <c r="X102" s="90"/>
      <c r="Y102" s="90"/>
      <c r="Z102" s="90"/>
    </row>
    <row r="103" ht="19.5" customHeight="1">
      <c r="A103" s="860">
        <v>102.0</v>
      </c>
      <c r="B103" s="861" t="s">
        <v>2950</v>
      </c>
      <c r="C103" s="862" t="s">
        <v>666</v>
      </c>
      <c r="D103" s="861">
        <v>100.0</v>
      </c>
      <c r="E103" s="861">
        <v>1.0</v>
      </c>
      <c r="F103" s="861">
        <v>100.0</v>
      </c>
      <c r="G103" s="861" t="s">
        <v>1697</v>
      </c>
      <c r="H103" s="861" t="s">
        <v>663</v>
      </c>
      <c r="I103" s="861" t="e">
        <v>#VALUE!</v>
      </c>
      <c r="J103" s="858" t="s">
        <v>2655</v>
      </c>
      <c r="K103" s="858">
        <v>0.0</v>
      </c>
      <c r="L103" s="858" t="s">
        <v>1688</v>
      </c>
      <c r="M103" s="862"/>
      <c r="N103" s="862"/>
      <c r="O103" s="862"/>
      <c r="P103" s="862"/>
      <c r="Q103" s="862"/>
      <c r="R103" s="862"/>
      <c r="S103" s="862"/>
      <c r="T103" s="862"/>
      <c r="U103" s="862"/>
      <c r="V103" s="862"/>
      <c r="W103" s="863"/>
      <c r="X103" s="90"/>
      <c r="Y103" s="90"/>
      <c r="Z103" s="90"/>
    </row>
    <row r="104" ht="19.5" customHeight="1">
      <c r="A104" s="860">
        <v>103.0</v>
      </c>
      <c r="B104" s="861" t="s">
        <v>2951</v>
      </c>
      <c r="C104" s="862" t="s">
        <v>670</v>
      </c>
      <c r="D104" s="861">
        <v>100.0</v>
      </c>
      <c r="E104" s="861">
        <v>1.0</v>
      </c>
      <c r="F104" s="861">
        <v>100.0</v>
      </c>
      <c r="G104" s="861" t="s">
        <v>1697</v>
      </c>
      <c r="H104" s="861" t="s">
        <v>667</v>
      </c>
      <c r="I104" s="861" t="e">
        <v>#VALUE!</v>
      </c>
      <c r="J104" s="858" t="s">
        <v>2655</v>
      </c>
      <c r="K104" s="858">
        <v>0.0</v>
      </c>
      <c r="L104" s="858" t="s">
        <v>1688</v>
      </c>
      <c r="M104" s="862"/>
      <c r="N104" s="862"/>
      <c r="O104" s="862"/>
      <c r="P104" s="862"/>
      <c r="Q104" s="862"/>
      <c r="R104" s="862"/>
      <c r="S104" s="862"/>
      <c r="T104" s="862"/>
      <c r="U104" s="862"/>
      <c r="V104" s="862"/>
      <c r="W104" s="863"/>
      <c r="X104" s="90"/>
      <c r="Y104" s="90"/>
      <c r="Z104" s="90"/>
    </row>
    <row r="105" ht="19.5" customHeight="1">
      <c r="A105" s="860">
        <v>104.0</v>
      </c>
      <c r="B105" s="861" t="s">
        <v>2952</v>
      </c>
      <c r="C105" s="862" t="s">
        <v>674</v>
      </c>
      <c r="D105" s="861">
        <v>100.0</v>
      </c>
      <c r="E105" s="861">
        <v>1.0</v>
      </c>
      <c r="F105" s="861">
        <v>100.0</v>
      </c>
      <c r="G105" s="861" t="s">
        <v>1697</v>
      </c>
      <c r="H105" s="861" t="s">
        <v>671</v>
      </c>
      <c r="I105" s="861" t="e">
        <v>#VALUE!</v>
      </c>
      <c r="J105" s="858" t="s">
        <v>2655</v>
      </c>
      <c r="K105" s="858">
        <v>0.0</v>
      </c>
      <c r="L105" s="858" t="s">
        <v>1688</v>
      </c>
      <c r="M105" s="862"/>
      <c r="N105" s="862"/>
      <c r="O105" s="862"/>
      <c r="P105" s="862"/>
      <c r="Q105" s="862"/>
      <c r="R105" s="862"/>
      <c r="S105" s="862"/>
      <c r="T105" s="862"/>
      <c r="U105" s="862"/>
      <c r="V105" s="862"/>
      <c r="W105" s="863"/>
      <c r="X105" s="90"/>
      <c r="Y105" s="90"/>
      <c r="Z105" s="90"/>
    </row>
    <row r="106" ht="19.5" customHeight="1">
      <c r="A106" s="860">
        <v>105.0</v>
      </c>
      <c r="B106" s="861" t="s">
        <v>2953</v>
      </c>
      <c r="C106" s="862" t="s">
        <v>678</v>
      </c>
      <c r="D106" s="861">
        <v>100.0</v>
      </c>
      <c r="E106" s="861">
        <v>1.0</v>
      </c>
      <c r="F106" s="861">
        <v>100.0</v>
      </c>
      <c r="G106" s="861" t="s">
        <v>1697</v>
      </c>
      <c r="H106" s="861" t="s">
        <v>675</v>
      </c>
      <c r="I106" s="861" t="e">
        <v>#VALUE!</v>
      </c>
      <c r="J106" s="858" t="s">
        <v>2655</v>
      </c>
      <c r="K106" s="858">
        <v>0.0</v>
      </c>
      <c r="L106" s="858" t="s">
        <v>1688</v>
      </c>
      <c r="M106" s="862"/>
      <c r="N106" s="862"/>
      <c r="O106" s="862"/>
      <c r="P106" s="862"/>
      <c r="Q106" s="862"/>
      <c r="R106" s="862"/>
      <c r="S106" s="862"/>
      <c r="T106" s="862"/>
      <c r="U106" s="862"/>
      <c r="V106" s="862"/>
      <c r="W106" s="863"/>
      <c r="X106" s="90"/>
      <c r="Y106" s="90"/>
      <c r="Z106" s="90"/>
    </row>
    <row r="107" ht="19.5" customHeight="1">
      <c r="A107" s="860">
        <v>106.0</v>
      </c>
      <c r="B107" s="861" t="s">
        <v>2954</v>
      </c>
      <c r="C107" s="862" t="s">
        <v>682</v>
      </c>
      <c r="D107" s="861">
        <v>100.0</v>
      </c>
      <c r="E107" s="861">
        <v>1.0</v>
      </c>
      <c r="F107" s="861">
        <v>100.0</v>
      </c>
      <c r="G107" s="861" t="s">
        <v>1697</v>
      </c>
      <c r="H107" s="861" t="s">
        <v>679</v>
      </c>
      <c r="I107" s="861" t="e">
        <v>#VALUE!</v>
      </c>
      <c r="J107" s="858" t="s">
        <v>2655</v>
      </c>
      <c r="K107" s="858">
        <v>0.0</v>
      </c>
      <c r="L107" s="858" t="s">
        <v>1688</v>
      </c>
      <c r="M107" s="862"/>
      <c r="N107" s="862"/>
      <c r="O107" s="862"/>
      <c r="P107" s="862"/>
      <c r="Q107" s="862"/>
      <c r="R107" s="862"/>
      <c r="S107" s="862"/>
      <c r="T107" s="862"/>
      <c r="U107" s="862"/>
      <c r="V107" s="862"/>
      <c r="W107" s="863"/>
      <c r="X107" s="90"/>
      <c r="Y107" s="90"/>
      <c r="Z107" s="90"/>
    </row>
    <row r="108" ht="19.5" customHeight="1">
      <c r="A108" s="860">
        <v>107.0</v>
      </c>
      <c r="B108" s="861" t="s">
        <v>2955</v>
      </c>
      <c r="C108" s="862" t="s">
        <v>686</v>
      </c>
      <c r="D108" s="861">
        <v>100.0</v>
      </c>
      <c r="E108" s="861">
        <v>1.0</v>
      </c>
      <c r="F108" s="861">
        <v>100.0</v>
      </c>
      <c r="G108" s="861" t="s">
        <v>1697</v>
      </c>
      <c r="H108" s="861" t="s">
        <v>683</v>
      </c>
      <c r="I108" s="861" t="e">
        <v>#VALUE!</v>
      </c>
      <c r="J108" s="858" t="s">
        <v>2655</v>
      </c>
      <c r="K108" s="858">
        <v>0.0</v>
      </c>
      <c r="L108" s="858" t="s">
        <v>1688</v>
      </c>
      <c r="M108" s="862"/>
      <c r="N108" s="862"/>
      <c r="O108" s="862"/>
      <c r="P108" s="862"/>
      <c r="Q108" s="862"/>
      <c r="R108" s="862"/>
      <c r="S108" s="862"/>
      <c r="T108" s="862"/>
      <c r="U108" s="862"/>
      <c r="V108" s="862"/>
      <c r="W108" s="863"/>
      <c r="X108" s="90"/>
      <c r="Y108" s="90"/>
      <c r="Z108" s="90"/>
    </row>
    <row r="109" ht="19.5" customHeight="1">
      <c r="A109" s="860">
        <v>108.0</v>
      </c>
      <c r="B109" s="861" t="s">
        <v>2956</v>
      </c>
      <c r="C109" s="862" t="s">
        <v>690</v>
      </c>
      <c r="D109" s="861">
        <v>100.0</v>
      </c>
      <c r="E109" s="861">
        <v>1.0</v>
      </c>
      <c r="F109" s="861">
        <v>100.0</v>
      </c>
      <c r="G109" s="861" t="s">
        <v>1697</v>
      </c>
      <c r="H109" s="861" t="s">
        <v>687</v>
      </c>
      <c r="I109" s="861" t="e">
        <v>#VALUE!</v>
      </c>
      <c r="J109" s="858" t="s">
        <v>2655</v>
      </c>
      <c r="K109" s="858">
        <v>0.0</v>
      </c>
      <c r="L109" s="858" t="s">
        <v>1688</v>
      </c>
      <c r="M109" s="862"/>
      <c r="N109" s="862"/>
      <c r="O109" s="862"/>
      <c r="P109" s="862"/>
      <c r="Q109" s="862"/>
      <c r="R109" s="862"/>
      <c r="S109" s="862"/>
      <c r="T109" s="862"/>
      <c r="U109" s="862"/>
      <c r="V109" s="862"/>
      <c r="W109" s="863"/>
      <c r="X109" s="90"/>
      <c r="Y109" s="90"/>
      <c r="Z109" s="90"/>
    </row>
    <row r="110" ht="19.5" customHeight="1">
      <c r="A110" s="860">
        <v>109.0</v>
      </c>
      <c r="B110" s="861" t="s">
        <v>2957</v>
      </c>
      <c r="C110" s="862" t="s">
        <v>694</v>
      </c>
      <c r="D110" s="861">
        <v>100.0</v>
      </c>
      <c r="E110" s="861">
        <v>1.0</v>
      </c>
      <c r="F110" s="861">
        <v>100.0</v>
      </c>
      <c r="G110" s="861" t="s">
        <v>1697</v>
      </c>
      <c r="H110" s="861" t="s">
        <v>691</v>
      </c>
      <c r="I110" s="861" t="e">
        <v>#VALUE!</v>
      </c>
      <c r="J110" s="858" t="s">
        <v>2655</v>
      </c>
      <c r="K110" s="858">
        <v>0.0</v>
      </c>
      <c r="L110" s="858" t="s">
        <v>1688</v>
      </c>
      <c r="M110" s="862"/>
      <c r="N110" s="862"/>
      <c r="O110" s="862"/>
      <c r="P110" s="862"/>
      <c r="Q110" s="862"/>
      <c r="R110" s="862"/>
      <c r="S110" s="862"/>
      <c r="T110" s="862"/>
      <c r="U110" s="862"/>
      <c r="V110" s="862"/>
      <c r="W110" s="863"/>
      <c r="X110" s="90"/>
      <c r="Y110" s="90"/>
      <c r="Z110" s="90"/>
    </row>
    <row r="111" ht="19.5" customHeight="1">
      <c r="A111" s="860">
        <v>110.0</v>
      </c>
      <c r="B111" s="861" t="s">
        <v>2958</v>
      </c>
      <c r="C111" s="862" t="s">
        <v>698</v>
      </c>
      <c r="D111" s="861">
        <v>100.0</v>
      </c>
      <c r="E111" s="861">
        <v>1.0</v>
      </c>
      <c r="F111" s="861">
        <v>100.0</v>
      </c>
      <c r="G111" s="861" t="s">
        <v>1697</v>
      </c>
      <c r="H111" s="861" t="s">
        <v>695</v>
      </c>
      <c r="I111" s="861" t="e">
        <v>#VALUE!</v>
      </c>
      <c r="J111" s="858" t="s">
        <v>2655</v>
      </c>
      <c r="K111" s="858">
        <v>0.0</v>
      </c>
      <c r="L111" s="858" t="s">
        <v>1688</v>
      </c>
      <c r="M111" s="862"/>
      <c r="N111" s="862"/>
      <c r="O111" s="862"/>
      <c r="P111" s="862"/>
      <c r="Q111" s="862"/>
      <c r="R111" s="862"/>
      <c r="S111" s="862"/>
      <c r="T111" s="862"/>
      <c r="U111" s="862"/>
      <c r="V111" s="862"/>
      <c r="W111" s="863"/>
      <c r="X111" s="90"/>
      <c r="Y111" s="90"/>
      <c r="Z111" s="90"/>
    </row>
    <row r="112" ht="19.5" customHeight="1">
      <c r="A112" s="860">
        <v>111.0</v>
      </c>
      <c r="B112" s="861" t="s">
        <v>2959</v>
      </c>
      <c r="C112" s="862" t="s">
        <v>702</v>
      </c>
      <c r="D112" s="861">
        <v>100.0</v>
      </c>
      <c r="E112" s="861">
        <v>1.0</v>
      </c>
      <c r="F112" s="861">
        <v>100.0</v>
      </c>
      <c r="G112" s="861" t="s">
        <v>1697</v>
      </c>
      <c r="H112" s="861" t="s">
        <v>699</v>
      </c>
      <c r="I112" s="861" t="e">
        <v>#VALUE!</v>
      </c>
      <c r="J112" s="858" t="s">
        <v>2655</v>
      </c>
      <c r="K112" s="858">
        <v>0.0</v>
      </c>
      <c r="L112" s="858" t="s">
        <v>1688</v>
      </c>
      <c r="M112" s="862"/>
      <c r="N112" s="862"/>
      <c r="O112" s="862"/>
      <c r="P112" s="862"/>
      <c r="Q112" s="862"/>
      <c r="R112" s="862"/>
      <c r="S112" s="862"/>
      <c r="T112" s="862"/>
      <c r="U112" s="862"/>
      <c r="V112" s="862"/>
      <c r="W112" s="863"/>
      <c r="X112" s="90"/>
      <c r="Y112" s="90"/>
      <c r="Z112" s="90"/>
    </row>
    <row r="113" ht="19.5" customHeight="1">
      <c r="A113" s="860">
        <v>112.0</v>
      </c>
      <c r="B113" s="861" t="s">
        <v>2960</v>
      </c>
      <c r="C113" s="862" t="s">
        <v>706</v>
      </c>
      <c r="D113" s="861">
        <v>100.0</v>
      </c>
      <c r="E113" s="861">
        <v>1.0</v>
      </c>
      <c r="F113" s="861">
        <v>100.0</v>
      </c>
      <c r="G113" s="861" t="s">
        <v>1697</v>
      </c>
      <c r="H113" s="861" t="s">
        <v>703</v>
      </c>
      <c r="I113" s="861" t="e">
        <v>#VALUE!</v>
      </c>
      <c r="J113" s="858" t="s">
        <v>2655</v>
      </c>
      <c r="K113" s="858">
        <v>0.0</v>
      </c>
      <c r="L113" s="858" t="s">
        <v>1688</v>
      </c>
      <c r="M113" s="862"/>
      <c r="N113" s="862"/>
      <c r="O113" s="862"/>
      <c r="P113" s="862"/>
      <c r="Q113" s="862"/>
      <c r="R113" s="862"/>
      <c r="S113" s="862"/>
      <c r="T113" s="862"/>
      <c r="U113" s="862"/>
      <c r="V113" s="862"/>
      <c r="W113" s="863"/>
      <c r="X113" s="90"/>
      <c r="Y113" s="90"/>
      <c r="Z113" s="90"/>
    </row>
    <row r="114" ht="19.5" customHeight="1">
      <c r="A114" s="860">
        <v>113.0</v>
      </c>
      <c r="B114" s="861" t="s">
        <v>2961</v>
      </c>
      <c r="C114" s="862" t="s">
        <v>710</v>
      </c>
      <c r="D114" s="861">
        <v>100.0</v>
      </c>
      <c r="E114" s="861">
        <v>1.0</v>
      </c>
      <c r="F114" s="861">
        <v>100.0</v>
      </c>
      <c r="G114" s="861" t="s">
        <v>1697</v>
      </c>
      <c r="H114" s="861" t="s">
        <v>707</v>
      </c>
      <c r="I114" s="861" t="e">
        <v>#VALUE!</v>
      </c>
      <c r="J114" s="858" t="s">
        <v>2655</v>
      </c>
      <c r="K114" s="858">
        <v>0.0</v>
      </c>
      <c r="L114" s="858" t="s">
        <v>1688</v>
      </c>
      <c r="M114" s="862"/>
      <c r="N114" s="862"/>
      <c r="O114" s="862"/>
      <c r="P114" s="862"/>
      <c r="Q114" s="862"/>
      <c r="R114" s="862"/>
      <c r="S114" s="862"/>
      <c r="T114" s="862"/>
      <c r="U114" s="862"/>
      <c r="V114" s="862"/>
      <c r="W114" s="863"/>
      <c r="X114" s="90"/>
      <c r="Y114" s="90"/>
      <c r="Z114" s="90"/>
    </row>
    <row r="115" ht="19.5" customHeight="1">
      <c r="A115" s="860">
        <v>114.0</v>
      </c>
      <c r="B115" s="861" t="s">
        <v>2962</v>
      </c>
      <c r="C115" s="862" t="s">
        <v>714</v>
      </c>
      <c r="D115" s="861">
        <v>100.0</v>
      </c>
      <c r="E115" s="861">
        <v>1.0</v>
      </c>
      <c r="F115" s="861">
        <v>100.0</v>
      </c>
      <c r="G115" s="861" t="s">
        <v>1697</v>
      </c>
      <c r="H115" s="861" t="s">
        <v>711</v>
      </c>
      <c r="I115" s="861" t="e">
        <v>#VALUE!</v>
      </c>
      <c r="J115" s="858" t="s">
        <v>2655</v>
      </c>
      <c r="K115" s="858">
        <v>0.0</v>
      </c>
      <c r="L115" s="858" t="s">
        <v>1688</v>
      </c>
      <c r="M115" s="862"/>
      <c r="N115" s="862"/>
      <c r="O115" s="862"/>
      <c r="P115" s="862"/>
      <c r="Q115" s="862"/>
      <c r="R115" s="862"/>
      <c r="S115" s="862"/>
      <c r="T115" s="862"/>
      <c r="U115" s="862"/>
      <c r="V115" s="862"/>
      <c r="W115" s="863"/>
      <c r="X115" s="90"/>
      <c r="Y115" s="90"/>
      <c r="Z115" s="90"/>
    </row>
    <row r="116" ht="19.5" customHeight="1">
      <c r="A116" s="860">
        <v>115.0</v>
      </c>
      <c r="B116" s="861" t="s">
        <v>2963</v>
      </c>
      <c r="C116" s="862" t="s">
        <v>718</v>
      </c>
      <c r="D116" s="861">
        <v>100.0</v>
      </c>
      <c r="E116" s="861">
        <v>1.0</v>
      </c>
      <c r="F116" s="861">
        <v>100.0</v>
      </c>
      <c r="G116" s="861" t="s">
        <v>1697</v>
      </c>
      <c r="H116" s="861" t="s">
        <v>715</v>
      </c>
      <c r="I116" s="861" t="e">
        <v>#VALUE!</v>
      </c>
      <c r="J116" s="858" t="s">
        <v>2655</v>
      </c>
      <c r="K116" s="858">
        <v>0.0</v>
      </c>
      <c r="L116" s="858" t="s">
        <v>1688</v>
      </c>
      <c r="M116" s="862"/>
      <c r="N116" s="862"/>
      <c r="O116" s="862"/>
      <c r="P116" s="862"/>
      <c r="Q116" s="862"/>
      <c r="R116" s="862"/>
      <c r="S116" s="862"/>
      <c r="T116" s="862"/>
      <c r="U116" s="862"/>
      <c r="V116" s="862"/>
      <c r="W116" s="863"/>
      <c r="X116" s="90"/>
      <c r="Y116" s="90"/>
      <c r="Z116" s="90"/>
    </row>
    <row r="117" ht="19.5" customHeight="1">
      <c r="A117" s="860">
        <v>116.0</v>
      </c>
      <c r="B117" s="861" t="s">
        <v>2964</v>
      </c>
      <c r="C117" s="862" t="s">
        <v>722</v>
      </c>
      <c r="D117" s="861">
        <v>100.0</v>
      </c>
      <c r="E117" s="861">
        <v>1.0</v>
      </c>
      <c r="F117" s="861">
        <v>100.0</v>
      </c>
      <c r="G117" s="861" t="s">
        <v>1697</v>
      </c>
      <c r="H117" s="861" t="s">
        <v>719</v>
      </c>
      <c r="I117" s="861" t="e">
        <v>#VALUE!</v>
      </c>
      <c r="J117" s="858" t="s">
        <v>2655</v>
      </c>
      <c r="K117" s="858">
        <v>0.0</v>
      </c>
      <c r="L117" s="858" t="s">
        <v>1688</v>
      </c>
      <c r="M117" s="862"/>
      <c r="N117" s="862"/>
      <c r="O117" s="862"/>
      <c r="P117" s="862"/>
      <c r="Q117" s="862"/>
      <c r="R117" s="862"/>
      <c r="S117" s="862"/>
      <c r="T117" s="862"/>
      <c r="U117" s="862"/>
      <c r="V117" s="862"/>
      <c r="W117" s="863"/>
      <c r="X117" s="90"/>
      <c r="Y117" s="90"/>
      <c r="Z117" s="90"/>
    </row>
    <row r="118" ht="19.5" customHeight="1">
      <c r="A118" s="860">
        <v>117.0</v>
      </c>
      <c r="B118" s="861" t="s">
        <v>2965</v>
      </c>
      <c r="C118" s="862" t="s">
        <v>726</v>
      </c>
      <c r="D118" s="861">
        <v>100.0</v>
      </c>
      <c r="E118" s="861">
        <v>1.0</v>
      </c>
      <c r="F118" s="861">
        <v>100.0</v>
      </c>
      <c r="G118" s="861" t="s">
        <v>1697</v>
      </c>
      <c r="H118" s="861" t="s">
        <v>723</v>
      </c>
      <c r="I118" s="861" t="e">
        <v>#VALUE!</v>
      </c>
      <c r="J118" s="858" t="s">
        <v>2655</v>
      </c>
      <c r="K118" s="858">
        <v>0.0</v>
      </c>
      <c r="L118" s="858" t="s">
        <v>1688</v>
      </c>
      <c r="M118" s="862"/>
      <c r="N118" s="862"/>
      <c r="O118" s="862"/>
      <c r="P118" s="862"/>
      <c r="Q118" s="862"/>
      <c r="R118" s="862"/>
      <c r="S118" s="862"/>
      <c r="T118" s="862"/>
      <c r="U118" s="862"/>
      <c r="V118" s="862"/>
      <c r="W118" s="863"/>
      <c r="X118" s="90"/>
      <c r="Y118" s="90"/>
      <c r="Z118" s="90"/>
    </row>
    <row r="119" ht="19.5" customHeight="1">
      <c r="A119" s="860">
        <v>118.0</v>
      </c>
      <c r="B119" s="861" t="s">
        <v>2966</v>
      </c>
      <c r="C119" s="862" t="s">
        <v>730</v>
      </c>
      <c r="D119" s="861">
        <v>100.0</v>
      </c>
      <c r="E119" s="861">
        <v>1.0</v>
      </c>
      <c r="F119" s="861">
        <v>100.0</v>
      </c>
      <c r="G119" s="861" t="s">
        <v>1697</v>
      </c>
      <c r="H119" s="861" t="s">
        <v>727</v>
      </c>
      <c r="I119" s="861" t="e">
        <v>#VALUE!</v>
      </c>
      <c r="J119" s="858" t="s">
        <v>2655</v>
      </c>
      <c r="K119" s="858">
        <v>0.0</v>
      </c>
      <c r="L119" s="858" t="s">
        <v>1688</v>
      </c>
      <c r="M119" s="862"/>
      <c r="N119" s="862"/>
      <c r="O119" s="862"/>
      <c r="P119" s="862"/>
      <c r="Q119" s="862"/>
      <c r="R119" s="862"/>
      <c r="S119" s="862"/>
      <c r="T119" s="862"/>
      <c r="U119" s="862"/>
      <c r="V119" s="862"/>
      <c r="W119" s="863"/>
      <c r="X119" s="90"/>
      <c r="Y119" s="90"/>
      <c r="Z119" s="90"/>
    </row>
    <row r="120" ht="19.5" customHeight="1">
      <c r="A120" s="860">
        <v>119.0</v>
      </c>
      <c r="B120" s="861" t="s">
        <v>2967</v>
      </c>
      <c r="C120" s="862" t="s">
        <v>734</v>
      </c>
      <c r="D120" s="861">
        <v>100.0</v>
      </c>
      <c r="E120" s="861">
        <v>1.0</v>
      </c>
      <c r="F120" s="861">
        <v>100.0</v>
      </c>
      <c r="G120" s="861" t="s">
        <v>1697</v>
      </c>
      <c r="H120" s="861" t="s">
        <v>731</v>
      </c>
      <c r="I120" s="861" t="e">
        <v>#VALUE!</v>
      </c>
      <c r="J120" s="858" t="s">
        <v>2655</v>
      </c>
      <c r="K120" s="858">
        <v>0.0</v>
      </c>
      <c r="L120" s="858" t="s">
        <v>1688</v>
      </c>
      <c r="M120" s="862"/>
      <c r="N120" s="862"/>
      <c r="O120" s="862"/>
      <c r="P120" s="862"/>
      <c r="Q120" s="862"/>
      <c r="R120" s="862"/>
      <c r="S120" s="862"/>
      <c r="T120" s="862"/>
      <c r="U120" s="862"/>
      <c r="V120" s="862"/>
      <c r="W120" s="863"/>
      <c r="X120" s="90"/>
      <c r="Y120" s="90"/>
      <c r="Z120" s="90"/>
    </row>
    <row r="121" ht="19.5" customHeight="1">
      <c r="A121" s="860">
        <v>120.0</v>
      </c>
      <c r="B121" s="861" t="s">
        <v>2968</v>
      </c>
      <c r="C121" s="862" t="s">
        <v>738</v>
      </c>
      <c r="D121" s="861">
        <v>100.0</v>
      </c>
      <c r="E121" s="861">
        <v>1.0</v>
      </c>
      <c r="F121" s="861">
        <v>100.0</v>
      </c>
      <c r="G121" s="861" t="s">
        <v>1697</v>
      </c>
      <c r="H121" s="861" t="s">
        <v>735</v>
      </c>
      <c r="I121" s="861" t="e">
        <v>#VALUE!</v>
      </c>
      <c r="J121" s="858" t="s">
        <v>2655</v>
      </c>
      <c r="K121" s="858">
        <v>0.0</v>
      </c>
      <c r="L121" s="858" t="s">
        <v>1688</v>
      </c>
      <c r="M121" s="862"/>
      <c r="N121" s="862"/>
      <c r="O121" s="862"/>
      <c r="P121" s="862"/>
      <c r="Q121" s="862"/>
      <c r="R121" s="862"/>
      <c r="S121" s="862"/>
      <c r="T121" s="862"/>
      <c r="U121" s="862"/>
      <c r="V121" s="862"/>
      <c r="W121" s="863"/>
      <c r="X121" s="90"/>
      <c r="Y121" s="90"/>
      <c r="Z121" s="90"/>
    </row>
    <row r="122" ht="19.5" customHeight="1">
      <c r="A122" s="860">
        <v>121.0</v>
      </c>
      <c r="B122" s="861" t="s">
        <v>2969</v>
      </c>
      <c r="C122" s="862" t="s">
        <v>742</v>
      </c>
      <c r="D122" s="861">
        <v>100.0</v>
      </c>
      <c r="E122" s="861">
        <v>1.0</v>
      </c>
      <c r="F122" s="861">
        <v>100.0</v>
      </c>
      <c r="G122" s="861" t="s">
        <v>1697</v>
      </c>
      <c r="H122" s="861" t="s">
        <v>739</v>
      </c>
      <c r="I122" s="861" t="e">
        <v>#VALUE!</v>
      </c>
      <c r="J122" s="858" t="s">
        <v>2655</v>
      </c>
      <c r="K122" s="858">
        <v>0.0</v>
      </c>
      <c r="L122" s="858" t="s">
        <v>1688</v>
      </c>
      <c r="M122" s="862"/>
      <c r="N122" s="862"/>
      <c r="O122" s="862"/>
      <c r="P122" s="862"/>
      <c r="Q122" s="862"/>
      <c r="R122" s="862"/>
      <c r="S122" s="862"/>
      <c r="T122" s="862"/>
      <c r="U122" s="862"/>
      <c r="V122" s="862"/>
      <c r="W122" s="863"/>
      <c r="X122" s="90"/>
      <c r="Y122" s="90"/>
      <c r="Z122" s="90"/>
    </row>
    <row r="123" ht="19.5" customHeight="1">
      <c r="A123" s="860">
        <v>122.0</v>
      </c>
      <c r="B123" s="861" t="s">
        <v>2970</v>
      </c>
      <c r="C123" s="862" t="s">
        <v>746</v>
      </c>
      <c r="D123" s="861">
        <v>100.0</v>
      </c>
      <c r="E123" s="861">
        <v>1.0</v>
      </c>
      <c r="F123" s="861">
        <v>100.0</v>
      </c>
      <c r="G123" s="861" t="s">
        <v>1697</v>
      </c>
      <c r="H123" s="861" t="s">
        <v>743</v>
      </c>
      <c r="I123" s="861" t="e">
        <v>#VALUE!</v>
      </c>
      <c r="J123" s="858" t="s">
        <v>2655</v>
      </c>
      <c r="K123" s="858">
        <v>0.0</v>
      </c>
      <c r="L123" s="858" t="s">
        <v>1688</v>
      </c>
      <c r="M123" s="862"/>
      <c r="N123" s="862"/>
      <c r="O123" s="862"/>
      <c r="P123" s="862"/>
      <c r="Q123" s="862"/>
      <c r="R123" s="862"/>
      <c r="S123" s="862"/>
      <c r="T123" s="862"/>
      <c r="U123" s="862"/>
      <c r="V123" s="862"/>
      <c r="W123" s="863"/>
      <c r="X123" s="90"/>
      <c r="Y123" s="90"/>
      <c r="Z123" s="90"/>
    </row>
    <row r="124" ht="19.5" customHeight="1">
      <c r="A124" s="860">
        <v>123.0</v>
      </c>
      <c r="B124" s="861" t="s">
        <v>2971</v>
      </c>
      <c r="C124" s="862" t="s">
        <v>750</v>
      </c>
      <c r="D124" s="861">
        <v>100.0</v>
      </c>
      <c r="E124" s="861">
        <v>1.0</v>
      </c>
      <c r="F124" s="861">
        <v>100.0</v>
      </c>
      <c r="G124" s="861" t="s">
        <v>1697</v>
      </c>
      <c r="H124" s="861" t="s">
        <v>747</v>
      </c>
      <c r="I124" s="861" t="e">
        <v>#VALUE!</v>
      </c>
      <c r="J124" s="858" t="s">
        <v>2655</v>
      </c>
      <c r="K124" s="858">
        <v>0.0</v>
      </c>
      <c r="L124" s="858" t="s">
        <v>1688</v>
      </c>
      <c r="M124" s="862"/>
      <c r="N124" s="862"/>
      <c r="O124" s="862"/>
      <c r="P124" s="862"/>
      <c r="Q124" s="862"/>
      <c r="R124" s="862"/>
      <c r="S124" s="862"/>
      <c r="T124" s="862"/>
      <c r="U124" s="862"/>
      <c r="V124" s="862"/>
      <c r="W124" s="863"/>
      <c r="X124" s="90"/>
      <c r="Y124" s="90"/>
      <c r="Z124" s="90"/>
    </row>
    <row r="125" ht="19.5" customHeight="1">
      <c r="A125" s="860">
        <v>124.0</v>
      </c>
      <c r="B125" s="861" t="s">
        <v>2972</v>
      </c>
      <c r="C125" s="862" t="s">
        <v>754</v>
      </c>
      <c r="D125" s="861">
        <v>100.0</v>
      </c>
      <c r="E125" s="861">
        <v>1.0</v>
      </c>
      <c r="F125" s="861">
        <v>100.0</v>
      </c>
      <c r="G125" s="861" t="s">
        <v>1697</v>
      </c>
      <c r="H125" s="861" t="s">
        <v>751</v>
      </c>
      <c r="I125" s="861" t="e">
        <v>#VALUE!</v>
      </c>
      <c r="J125" s="858" t="s">
        <v>2655</v>
      </c>
      <c r="K125" s="858">
        <v>0.0</v>
      </c>
      <c r="L125" s="858" t="s">
        <v>1688</v>
      </c>
      <c r="M125" s="862"/>
      <c r="N125" s="862"/>
      <c r="O125" s="862"/>
      <c r="P125" s="862"/>
      <c r="Q125" s="862"/>
      <c r="R125" s="862"/>
      <c r="S125" s="862"/>
      <c r="T125" s="862"/>
      <c r="U125" s="862"/>
      <c r="V125" s="862"/>
      <c r="W125" s="863"/>
      <c r="X125" s="90"/>
      <c r="Y125" s="90"/>
      <c r="Z125" s="90"/>
    </row>
    <row r="126" ht="19.5" customHeight="1">
      <c r="A126" s="860">
        <v>125.0</v>
      </c>
      <c r="B126" s="861" t="s">
        <v>2973</v>
      </c>
      <c r="C126" s="862" t="s">
        <v>758</v>
      </c>
      <c r="D126" s="861">
        <v>100.0</v>
      </c>
      <c r="E126" s="861">
        <v>1.0</v>
      </c>
      <c r="F126" s="861">
        <v>100.0</v>
      </c>
      <c r="G126" s="861" t="s">
        <v>1697</v>
      </c>
      <c r="H126" s="861" t="s">
        <v>755</v>
      </c>
      <c r="I126" s="861" t="e">
        <v>#VALUE!</v>
      </c>
      <c r="J126" s="858" t="s">
        <v>2655</v>
      </c>
      <c r="K126" s="858">
        <v>0.0</v>
      </c>
      <c r="L126" s="858" t="s">
        <v>1688</v>
      </c>
      <c r="M126" s="862"/>
      <c r="N126" s="862"/>
      <c r="O126" s="862"/>
      <c r="P126" s="862"/>
      <c r="Q126" s="862"/>
      <c r="R126" s="862"/>
      <c r="S126" s="862"/>
      <c r="T126" s="862"/>
      <c r="U126" s="862"/>
      <c r="V126" s="862"/>
      <c r="W126" s="863"/>
      <c r="X126" s="90"/>
      <c r="Y126" s="90"/>
      <c r="Z126" s="90"/>
    </row>
    <row r="127" ht="19.5" customHeight="1">
      <c r="A127" s="860">
        <v>126.0</v>
      </c>
      <c r="B127" s="861" t="s">
        <v>2974</v>
      </c>
      <c r="C127" s="862" t="s">
        <v>762</v>
      </c>
      <c r="D127" s="861">
        <v>100.0</v>
      </c>
      <c r="E127" s="861">
        <v>1.0</v>
      </c>
      <c r="F127" s="861">
        <v>100.0</v>
      </c>
      <c r="G127" s="861" t="s">
        <v>1697</v>
      </c>
      <c r="H127" s="861" t="s">
        <v>759</v>
      </c>
      <c r="I127" s="861" t="e">
        <v>#VALUE!</v>
      </c>
      <c r="J127" s="858" t="s">
        <v>2655</v>
      </c>
      <c r="K127" s="858">
        <v>0.0</v>
      </c>
      <c r="L127" s="858" t="s">
        <v>1688</v>
      </c>
      <c r="M127" s="862"/>
      <c r="N127" s="862"/>
      <c r="O127" s="862"/>
      <c r="P127" s="862"/>
      <c r="Q127" s="862"/>
      <c r="R127" s="862"/>
      <c r="S127" s="862"/>
      <c r="T127" s="862"/>
      <c r="U127" s="862"/>
      <c r="V127" s="862"/>
      <c r="W127" s="863"/>
      <c r="X127" s="90"/>
      <c r="Y127" s="90"/>
      <c r="Z127" s="90"/>
    </row>
    <row r="128" ht="19.5" customHeight="1">
      <c r="A128" s="860">
        <v>127.0</v>
      </c>
      <c r="B128" s="861" t="s">
        <v>2975</v>
      </c>
      <c r="C128" s="862" t="s">
        <v>766</v>
      </c>
      <c r="D128" s="861">
        <v>100.0</v>
      </c>
      <c r="E128" s="861">
        <v>1.0</v>
      </c>
      <c r="F128" s="861">
        <v>100.0</v>
      </c>
      <c r="G128" s="861" t="s">
        <v>1697</v>
      </c>
      <c r="H128" s="861" t="s">
        <v>763</v>
      </c>
      <c r="I128" s="861" t="e">
        <v>#VALUE!</v>
      </c>
      <c r="J128" s="858" t="s">
        <v>2655</v>
      </c>
      <c r="K128" s="858">
        <v>0.0</v>
      </c>
      <c r="L128" s="858" t="s">
        <v>1688</v>
      </c>
      <c r="M128" s="862"/>
      <c r="N128" s="862"/>
      <c r="O128" s="862"/>
      <c r="P128" s="862"/>
      <c r="Q128" s="862"/>
      <c r="R128" s="862"/>
      <c r="S128" s="862"/>
      <c r="T128" s="862"/>
      <c r="U128" s="862"/>
      <c r="V128" s="862"/>
      <c r="W128" s="863"/>
      <c r="X128" s="90"/>
      <c r="Y128" s="90"/>
      <c r="Z128" s="90"/>
    </row>
    <row r="129" ht="19.5" customHeight="1">
      <c r="A129" s="860">
        <v>128.0</v>
      </c>
      <c r="B129" s="861" t="s">
        <v>2976</v>
      </c>
      <c r="C129" s="862" t="s">
        <v>770</v>
      </c>
      <c r="D129" s="861">
        <v>100.0</v>
      </c>
      <c r="E129" s="861">
        <v>1.0</v>
      </c>
      <c r="F129" s="861">
        <v>100.0</v>
      </c>
      <c r="G129" s="861" t="s">
        <v>1697</v>
      </c>
      <c r="H129" s="861" t="s">
        <v>767</v>
      </c>
      <c r="I129" s="861" t="e">
        <v>#VALUE!</v>
      </c>
      <c r="J129" s="858" t="s">
        <v>2655</v>
      </c>
      <c r="K129" s="858">
        <v>0.0</v>
      </c>
      <c r="L129" s="858" t="s">
        <v>1688</v>
      </c>
      <c r="M129" s="862"/>
      <c r="N129" s="862"/>
      <c r="O129" s="862"/>
      <c r="P129" s="862"/>
      <c r="Q129" s="862"/>
      <c r="R129" s="862"/>
      <c r="S129" s="862"/>
      <c r="T129" s="862"/>
      <c r="U129" s="862"/>
      <c r="V129" s="862"/>
      <c r="W129" s="863"/>
      <c r="X129" s="90"/>
      <c r="Y129" s="90"/>
      <c r="Z129" s="90"/>
    </row>
    <row r="130" ht="19.5" customHeight="1">
      <c r="A130" s="860">
        <v>129.0</v>
      </c>
      <c r="B130" s="861" t="s">
        <v>2977</v>
      </c>
      <c r="C130" s="862" t="s">
        <v>774</v>
      </c>
      <c r="D130" s="861">
        <v>100.0</v>
      </c>
      <c r="E130" s="861">
        <v>1.0</v>
      </c>
      <c r="F130" s="861">
        <v>100.0</v>
      </c>
      <c r="G130" s="861" t="s">
        <v>1697</v>
      </c>
      <c r="H130" s="861" t="s">
        <v>771</v>
      </c>
      <c r="I130" s="861" t="e">
        <v>#VALUE!</v>
      </c>
      <c r="J130" s="858" t="s">
        <v>2655</v>
      </c>
      <c r="K130" s="858">
        <v>0.0</v>
      </c>
      <c r="L130" s="858" t="s">
        <v>1688</v>
      </c>
      <c r="M130" s="862"/>
      <c r="N130" s="862"/>
      <c r="O130" s="862"/>
      <c r="P130" s="862"/>
      <c r="Q130" s="862"/>
      <c r="R130" s="862"/>
      <c r="S130" s="862"/>
      <c r="T130" s="862"/>
      <c r="U130" s="862"/>
      <c r="V130" s="862"/>
      <c r="W130" s="863"/>
      <c r="X130" s="90"/>
      <c r="Y130" s="90"/>
      <c r="Z130" s="90"/>
    </row>
    <row r="131" ht="19.5" customHeight="1">
      <c r="A131" s="860">
        <v>130.0</v>
      </c>
      <c r="B131" s="861" t="s">
        <v>2978</v>
      </c>
      <c r="C131" s="862" t="s">
        <v>778</v>
      </c>
      <c r="D131" s="861">
        <v>100.0</v>
      </c>
      <c r="E131" s="861">
        <v>1.0</v>
      </c>
      <c r="F131" s="861">
        <v>100.0</v>
      </c>
      <c r="G131" s="861" t="s">
        <v>1697</v>
      </c>
      <c r="H131" s="861" t="s">
        <v>775</v>
      </c>
      <c r="I131" s="861" t="e">
        <v>#VALUE!</v>
      </c>
      <c r="J131" s="858" t="s">
        <v>2655</v>
      </c>
      <c r="K131" s="858">
        <v>0.0</v>
      </c>
      <c r="L131" s="858" t="s">
        <v>1688</v>
      </c>
      <c r="M131" s="862"/>
      <c r="N131" s="862"/>
      <c r="O131" s="862"/>
      <c r="P131" s="862"/>
      <c r="Q131" s="862"/>
      <c r="R131" s="862"/>
      <c r="S131" s="862"/>
      <c r="T131" s="862"/>
      <c r="U131" s="862"/>
      <c r="V131" s="862"/>
      <c r="W131" s="863"/>
      <c r="X131" s="90"/>
      <c r="Y131" s="90"/>
      <c r="Z131" s="90"/>
    </row>
    <row r="132" ht="19.5" customHeight="1">
      <c r="A132" s="860">
        <v>131.0</v>
      </c>
      <c r="B132" s="861" t="s">
        <v>2979</v>
      </c>
      <c r="C132" s="862" t="s">
        <v>782</v>
      </c>
      <c r="D132" s="861">
        <v>100.0</v>
      </c>
      <c r="E132" s="861">
        <v>1.0</v>
      </c>
      <c r="F132" s="861">
        <v>100.0</v>
      </c>
      <c r="G132" s="861" t="s">
        <v>1697</v>
      </c>
      <c r="H132" s="861" t="s">
        <v>779</v>
      </c>
      <c r="I132" s="861" t="e">
        <v>#VALUE!</v>
      </c>
      <c r="J132" s="858" t="s">
        <v>2655</v>
      </c>
      <c r="K132" s="858">
        <v>0.0</v>
      </c>
      <c r="L132" s="858" t="s">
        <v>1688</v>
      </c>
      <c r="M132" s="862"/>
      <c r="N132" s="862"/>
      <c r="O132" s="862"/>
      <c r="P132" s="862"/>
      <c r="Q132" s="862"/>
      <c r="R132" s="862"/>
      <c r="S132" s="862"/>
      <c r="T132" s="862"/>
      <c r="U132" s="862"/>
      <c r="V132" s="862"/>
      <c r="W132" s="863"/>
      <c r="X132" s="90"/>
      <c r="Y132" s="90"/>
      <c r="Z132" s="90"/>
    </row>
    <row r="133" ht="19.5" customHeight="1">
      <c r="A133" s="860">
        <v>132.0</v>
      </c>
      <c r="B133" s="861" t="s">
        <v>2980</v>
      </c>
      <c r="C133" s="862" t="s">
        <v>786</v>
      </c>
      <c r="D133" s="861">
        <v>100.0</v>
      </c>
      <c r="E133" s="861">
        <v>1.0</v>
      </c>
      <c r="F133" s="861">
        <v>100.0</v>
      </c>
      <c r="G133" s="861" t="s">
        <v>1697</v>
      </c>
      <c r="H133" s="861" t="s">
        <v>783</v>
      </c>
      <c r="I133" s="861" t="e">
        <v>#VALUE!</v>
      </c>
      <c r="J133" s="858" t="s">
        <v>2655</v>
      </c>
      <c r="K133" s="858">
        <v>0.0</v>
      </c>
      <c r="L133" s="858" t="s">
        <v>1688</v>
      </c>
      <c r="M133" s="862"/>
      <c r="N133" s="862"/>
      <c r="O133" s="862"/>
      <c r="P133" s="862"/>
      <c r="Q133" s="862"/>
      <c r="R133" s="862"/>
      <c r="S133" s="862"/>
      <c r="T133" s="862"/>
      <c r="U133" s="862"/>
      <c r="V133" s="862"/>
      <c r="W133" s="863"/>
      <c r="X133" s="90"/>
      <c r="Y133" s="90"/>
      <c r="Z133" s="90"/>
    </row>
    <row r="134" ht="19.5" customHeight="1">
      <c r="A134" s="860">
        <v>133.0</v>
      </c>
      <c r="B134" s="861" t="s">
        <v>2981</v>
      </c>
      <c r="C134" s="862" t="s">
        <v>790</v>
      </c>
      <c r="D134" s="861">
        <v>100.0</v>
      </c>
      <c r="E134" s="861">
        <v>1.0</v>
      </c>
      <c r="F134" s="861">
        <v>100.0</v>
      </c>
      <c r="G134" s="861" t="s">
        <v>1697</v>
      </c>
      <c r="H134" s="861" t="s">
        <v>787</v>
      </c>
      <c r="I134" s="861" t="e">
        <v>#VALUE!</v>
      </c>
      <c r="J134" s="858" t="s">
        <v>2655</v>
      </c>
      <c r="K134" s="858">
        <v>0.0</v>
      </c>
      <c r="L134" s="858" t="s">
        <v>1688</v>
      </c>
      <c r="M134" s="862"/>
      <c r="N134" s="862"/>
      <c r="O134" s="862"/>
      <c r="P134" s="862"/>
      <c r="Q134" s="862"/>
      <c r="R134" s="862"/>
      <c r="S134" s="862"/>
      <c r="T134" s="862"/>
      <c r="U134" s="862"/>
      <c r="V134" s="862"/>
      <c r="W134" s="863"/>
      <c r="X134" s="90"/>
      <c r="Y134" s="90"/>
      <c r="Z134" s="90"/>
    </row>
    <row r="135" ht="19.5" customHeight="1">
      <c r="A135" s="860">
        <v>134.0</v>
      </c>
      <c r="B135" s="861" t="s">
        <v>2982</v>
      </c>
      <c r="C135" s="862" t="s">
        <v>794</v>
      </c>
      <c r="D135" s="861">
        <v>100.0</v>
      </c>
      <c r="E135" s="861">
        <v>1.0</v>
      </c>
      <c r="F135" s="861">
        <v>100.0</v>
      </c>
      <c r="G135" s="861" t="s">
        <v>1697</v>
      </c>
      <c r="H135" s="861" t="s">
        <v>791</v>
      </c>
      <c r="I135" s="861" t="e">
        <v>#VALUE!</v>
      </c>
      <c r="J135" s="858" t="s">
        <v>2655</v>
      </c>
      <c r="K135" s="858">
        <v>0.0</v>
      </c>
      <c r="L135" s="858" t="s">
        <v>1688</v>
      </c>
      <c r="M135" s="862"/>
      <c r="N135" s="862"/>
      <c r="O135" s="862"/>
      <c r="P135" s="862"/>
      <c r="Q135" s="862"/>
      <c r="R135" s="862"/>
      <c r="S135" s="862"/>
      <c r="T135" s="862"/>
      <c r="U135" s="862"/>
      <c r="V135" s="862"/>
      <c r="W135" s="863"/>
      <c r="X135" s="90"/>
      <c r="Y135" s="90"/>
      <c r="Z135" s="90"/>
    </row>
    <row r="136" ht="19.5" customHeight="1">
      <c r="A136" s="860">
        <v>135.0</v>
      </c>
      <c r="B136" s="861" t="s">
        <v>2983</v>
      </c>
      <c r="C136" s="862" t="s">
        <v>798</v>
      </c>
      <c r="D136" s="861">
        <v>100.0</v>
      </c>
      <c r="E136" s="861">
        <v>1.0</v>
      </c>
      <c r="F136" s="861">
        <v>100.0</v>
      </c>
      <c r="G136" s="861" t="s">
        <v>1697</v>
      </c>
      <c r="H136" s="861" t="s">
        <v>795</v>
      </c>
      <c r="I136" s="861" t="e">
        <v>#VALUE!</v>
      </c>
      <c r="J136" s="858" t="s">
        <v>2655</v>
      </c>
      <c r="K136" s="858">
        <v>0.0</v>
      </c>
      <c r="L136" s="858" t="s">
        <v>1688</v>
      </c>
      <c r="M136" s="862"/>
      <c r="N136" s="862"/>
      <c r="O136" s="862"/>
      <c r="P136" s="862"/>
      <c r="Q136" s="862"/>
      <c r="R136" s="862"/>
      <c r="S136" s="862"/>
      <c r="T136" s="862"/>
      <c r="U136" s="862"/>
      <c r="V136" s="862"/>
      <c r="W136" s="863"/>
      <c r="X136" s="90"/>
      <c r="Y136" s="90"/>
      <c r="Z136" s="90"/>
    </row>
    <row r="137" ht="19.5" customHeight="1">
      <c r="A137" s="860">
        <v>136.0</v>
      </c>
      <c r="B137" s="861" t="s">
        <v>2984</v>
      </c>
      <c r="C137" s="862" t="s">
        <v>802</v>
      </c>
      <c r="D137" s="861">
        <v>100.0</v>
      </c>
      <c r="E137" s="861">
        <v>1.0</v>
      </c>
      <c r="F137" s="861">
        <v>100.0</v>
      </c>
      <c r="G137" s="861" t="s">
        <v>1697</v>
      </c>
      <c r="H137" s="861" t="s">
        <v>799</v>
      </c>
      <c r="I137" s="861" t="e">
        <v>#VALUE!</v>
      </c>
      <c r="J137" s="858" t="s">
        <v>2655</v>
      </c>
      <c r="K137" s="858">
        <v>0.0</v>
      </c>
      <c r="L137" s="858" t="s">
        <v>1688</v>
      </c>
      <c r="M137" s="862"/>
      <c r="N137" s="862"/>
      <c r="O137" s="862"/>
      <c r="P137" s="862"/>
      <c r="Q137" s="862"/>
      <c r="R137" s="862"/>
      <c r="S137" s="862"/>
      <c r="T137" s="862"/>
      <c r="U137" s="862"/>
      <c r="V137" s="862"/>
      <c r="W137" s="863"/>
      <c r="X137" s="90"/>
      <c r="Y137" s="90"/>
      <c r="Z137" s="90"/>
    </row>
    <row r="138" ht="19.5" customHeight="1">
      <c r="A138" s="860">
        <v>137.0</v>
      </c>
      <c r="B138" s="861" t="s">
        <v>2985</v>
      </c>
      <c r="C138" s="862" t="s">
        <v>806</v>
      </c>
      <c r="D138" s="861">
        <v>100.0</v>
      </c>
      <c r="E138" s="861">
        <v>1.0</v>
      </c>
      <c r="F138" s="861">
        <v>100.0</v>
      </c>
      <c r="G138" s="861" t="s">
        <v>1697</v>
      </c>
      <c r="H138" s="861" t="s">
        <v>803</v>
      </c>
      <c r="I138" s="861" t="e">
        <v>#VALUE!</v>
      </c>
      <c r="J138" s="858" t="s">
        <v>2655</v>
      </c>
      <c r="K138" s="858">
        <v>0.0</v>
      </c>
      <c r="L138" s="858" t="s">
        <v>1688</v>
      </c>
      <c r="M138" s="862"/>
      <c r="N138" s="862"/>
      <c r="O138" s="862"/>
      <c r="P138" s="862"/>
      <c r="Q138" s="862"/>
      <c r="R138" s="862"/>
      <c r="S138" s="862"/>
      <c r="T138" s="862"/>
      <c r="U138" s="862"/>
      <c r="V138" s="862"/>
      <c r="W138" s="863"/>
      <c r="X138" s="90"/>
      <c r="Y138" s="90"/>
      <c r="Z138" s="90"/>
    </row>
    <row r="139" ht="19.5" customHeight="1">
      <c r="A139" s="860">
        <v>138.0</v>
      </c>
      <c r="B139" s="861" t="s">
        <v>2986</v>
      </c>
      <c r="C139" s="862" t="s">
        <v>810</v>
      </c>
      <c r="D139" s="861">
        <v>100.0</v>
      </c>
      <c r="E139" s="861">
        <v>1.0</v>
      </c>
      <c r="F139" s="861">
        <v>100.0</v>
      </c>
      <c r="G139" s="861" t="s">
        <v>1697</v>
      </c>
      <c r="H139" s="861" t="s">
        <v>807</v>
      </c>
      <c r="I139" s="861" t="e">
        <v>#VALUE!</v>
      </c>
      <c r="J139" s="858" t="s">
        <v>2655</v>
      </c>
      <c r="K139" s="858">
        <v>0.0</v>
      </c>
      <c r="L139" s="858" t="s">
        <v>1688</v>
      </c>
      <c r="M139" s="862"/>
      <c r="N139" s="862"/>
      <c r="O139" s="862"/>
      <c r="P139" s="862"/>
      <c r="Q139" s="862"/>
      <c r="R139" s="862"/>
      <c r="S139" s="862"/>
      <c r="T139" s="862"/>
      <c r="U139" s="862"/>
      <c r="V139" s="862"/>
      <c r="W139" s="863"/>
      <c r="X139" s="90"/>
      <c r="Y139" s="90"/>
      <c r="Z139" s="90"/>
    </row>
    <row r="140" ht="19.5" customHeight="1">
      <c r="A140" s="860">
        <v>139.0</v>
      </c>
      <c r="B140" s="861" t="s">
        <v>2987</v>
      </c>
      <c r="C140" s="862" t="s">
        <v>814</v>
      </c>
      <c r="D140" s="861">
        <v>100.0</v>
      </c>
      <c r="E140" s="861">
        <v>1.0</v>
      </c>
      <c r="F140" s="861">
        <v>100.0</v>
      </c>
      <c r="G140" s="861" t="s">
        <v>1697</v>
      </c>
      <c r="H140" s="861" t="s">
        <v>811</v>
      </c>
      <c r="I140" s="861" t="e">
        <v>#VALUE!</v>
      </c>
      <c r="J140" s="858" t="s">
        <v>2655</v>
      </c>
      <c r="K140" s="858">
        <v>0.0</v>
      </c>
      <c r="L140" s="858" t="s">
        <v>1688</v>
      </c>
      <c r="M140" s="862"/>
      <c r="N140" s="862"/>
      <c r="O140" s="862"/>
      <c r="P140" s="862"/>
      <c r="Q140" s="862"/>
      <c r="R140" s="862"/>
      <c r="S140" s="862"/>
      <c r="T140" s="862"/>
      <c r="U140" s="862"/>
      <c r="V140" s="862"/>
      <c r="W140" s="863"/>
      <c r="X140" s="90"/>
      <c r="Y140" s="90"/>
      <c r="Z140" s="90"/>
    </row>
    <row r="141" ht="19.5" customHeight="1">
      <c r="A141" s="860">
        <v>140.0</v>
      </c>
      <c r="B141" s="861" t="s">
        <v>2988</v>
      </c>
      <c r="C141" s="862" t="s">
        <v>818</v>
      </c>
      <c r="D141" s="861">
        <v>100.0</v>
      </c>
      <c r="E141" s="861">
        <v>1.0</v>
      </c>
      <c r="F141" s="861">
        <v>100.0</v>
      </c>
      <c r="G141" s="861" t="s">
        <v>1697</v>
      </c>
      <c r="H141" s="861" t="s">
        <v>815</v>
      </c>
      <c r="I141" s="861" t="e">
        <v>#VALUE!</v>
      </c>
      <c r="J141" s="858" t="s">
        <v>2655</v>
      </c>
      <c r="K141" s="858">
        <v>0.0</v>
      </c>
      <c r="L141" s="858" t="s">
        <v>1688</v>
      </c>
      <c r="M141" s="862"/>
      <c r="N141" s="862"/>
      <c r="O141" s="862"/>
      <c r="P141" s="862"/>
      <c r="Q141" s="862"/>
      <c r="R141" s="862"/>
      <c r="S141" s="862"/>
      <c r="T141" s="862"/>
      <c r="U141" s="862"/>
      <c r="V141" s="862"/>
      <c r="W141" s="863"/>
      <c r="X141" s="90"/>
      <c r="Y141" s="90"/>
      <c r="Z141" s="90"/>
    </row>
    <row r="142" ht="19.5" customHeight="1">
      <c r="A142" s="860">
        <v>141.0</v>
      </c>
      <c r="B142" s="861" t="s">
        <v>2989</v>
      </c>
      <c r="C142" s="862" t="s">
        <v>822</v>
      </c>
      <c r="D142" s="861">
        <v>100.0</v>
      </c>
      <c r="E142" s="861">
        <v>1.0</v>
      </c>
      <c r="F142" s="861">
        <v>100.0</v>
      </c>
      <c r="G142" s="861" t="s">
        <v>1697</v>
      </c>
      <c r="H142" s="861" t="s">
        <v>819</v>
      </c>
      <c r="I142" s="861" t="e">
        <v>#VALUE!</v>
      </c>
      <c r="J142" s="858" t="s">
        <v>2655</v>
      </c>
      <c r="K142" s="858">
        <v>0.0</v>
      </c>
      <c r="L142" s="858" t="s">
        <v>1688</v>
      </c>
      <c r="M142" s="862"/>
      <c r="N142" s="862"/>
      <c r="O142" s="862"/>
      <c r="P142" s="862"/>
      <c r="Q142" s="862"/>
      <c r="R142" s="862"/>
      <c r="S142" s="862"/>
      <c r="T142" s="862"/>
      <c r="U142" s="862"/>
      <c r="V142" s="862"/>
      <c r="W142" s="863"/>
      <c r="X142" s="90"/>
      <c r="Y142" s="90"/>
      <c r="Z142" s="90"/>
    </row>
    <row r="143" ht="19.5" customHeight="1">
      <c r="A143" s="860">
        <v>142.0</v>
      </c>
      <c r="B143" s="861" t="s">
        <v>2990</v>
      </c>
      <c r="C143" s="862" t="s">
        <v>962</v>
      </c>
      <c r="D143" s="861">
        <v>10.0</v>
      </c>
      <c r="E143" s="861">
        <v>500.0</v>
      </c>
      <c r="F143" s="861">
        <v>5000.0</v>
      </c>
      <c r="G143" s="861" t="s">
        <v>1697</v>
      </c>
      <c r="H143" s="861" t="s">
        <v>959</v>
      </c>
      <c r="I143" s="861" t="e">
        <v>#VALUE!</v>
      </c>
      <c r="J143" s="858" t="s">
        <v>2839</v>
      </c>
      <c r="K143" s="858" t="s">
        <v>2831</v>
      </c>
      <c r="L143" s="858" t="s">
        <v>1688</v>
      </c>
      <c r="M143" s="862"/>
      <c r="N143" s="862"/>
      <c r="O143" s="862"/>
      <c r="P143" s="862"/>
      <c r="Q143" s="862"/>
      <c r="R143" s="862"/>
      <c r="S143" s="862"/>
      <c r="T143" s="862"/>
      <c r="U143" s="862"/>
      <c r="V143" s="862"/>
      <c r="W143" s="863"/>
      <c r="X143" s="90"/>
      <c r="Y143" s="90"/>
      <c r="Z143" s="90"/>
    </row>
    <row r="144" ht="19.5" customHeight="1">
      <c r="A144" s="860">
        <v>143.0</v>
      </c>
      <c r="B144" s="861" t="s">
        <v>2991</v>
      </c>
      <c r="C144" s="862" t="s">
        <v>2992</v>
      </c>
      <c r="D144" s="861">
        <v>100.0</v>
      </c>
      <c r="E144" s="861">
        <v>20.0</v>
      </c>
      <c r="F144" s="861">
        <v>2000.0</v>
      </c>
      <c r="G144" s="861" t="s">
        <v>1697</v>
      </c>
      <c r="H144" s="861" t="s">
        <v>963</v>
      </c>
      <c r="I144" s="861" t="e">
        <v>#VALUE!</v>
      </c>
      <c r="J144" s="858" t="s">
        <v>2655</v>
      </c>
      <c r="K144" s="858">
        <v>0.0</v>
      </c>
      <c r="L144" s="858" t="s">
        <v>1688</v>
      </c>
      <c r="M144" s="862"/>
      <c r="N144" s="862"/>
      <c r="O144" s="862"/>
      <c r="P144" s="862"/>
      <c r="Q144" s="862"/>
      <c r="R144" s="862"/>
      <c r="S144" s="862"/>
      <c r="T144" s="862"/>
      <c r="U144" s="862"/>
      <c r="V144" s="862"/>
      <c r="W144" s="863"/>
      <c r="X144" s="90"/>
      <c r="Y144" s="90"/>
      <c r="Z144" s="90"/>
    </row>
    <row r="145" ht="19.5" customHeight="1">
      <c r="A145" s="860">
        <v>144.0</v>
      </c>
      <c r="B145" s="861" t="s">
        <v>2993</v>
      </c>
      <c r="C145" s="862" t="s">
        <v>2994</v>
      </c>
      <c r="D145" s="861">
        <v>30.0</v>
      </c>
      <c r="E145" s="861">
        <v>250.0</v>
      </c>
      <c r="F145" s="861">
        <v>7500.0</v>
      </c>
      <c r="G145" s="861" t="s">
        <v>1697</v>
      </c>
      <c r="H145" s="861" t="s">
        <v>971</v>
      </c>
      <c r="I145" s="861" t="e">
        <v>#VALUE!</v>
      </c>
      <c r="J145" s="858" t="s">
        <v>2798</v>
      </c>
      <c r="K145" s="858" t="s">
        <v>2831</v>
      </c>
      <c r="L145" s="858" t="s">
        <v>1688</v>
      </c>
      <c r="M145" s="862"/>
      <c r="N145" s="862"/>
      <c r="O145" s="862"/>
      <c r="P145" s="862"/>
      <c r="Q145" s="862"/>
      <c r="R145" s="862"/>
      <c r="S145" s="862"/>
      <c r="T145" s="862"/>
      <c r="U145" s="862"/>
      <c r="V145" s="862"/>
      <c r="W145" s="863"/>
      <c r="X145" s="90"/>
      <c r="Y145" s="90"/>
      <c r="Z145" s="90"/>
    </row>
    <row r="146" ht="19.5" customHeight="1">
      <c r="A146" s="860">
        <v>145.0</v>
      </c>
      <c r="B146" s="861" t="s">
        <v>2995</v>
      </c>
      <c r="C146" s="862" t="s">
        <v>1388</v>
      </c>
      <c r="D146" s="861">
        <v>5.0</v>
      </c>
      <c r="E146" s="861">
        <v>90.0</v>
      </c>
      <c r="F146" s="861">
        <v>450.0</v>
      </c>
      <c r="G146" s="861" t="s">
        <v>1697</v>
      </c>
      <c r="H146" s="861" t="s">
        <v>1385</v>
      </c>
      <c r="I146" s="861" t="e">
        <v>#VALUE!</v>
      </c>
      <c r="J146" s="858" t="s">
        <v>2798</v>
      </c>
      <c r="K146" s="858" t="s">
        <v>2831</v>
      </c>
      <c r="L146" s="858" t="s">
        <v>1688</v>
      </c>
      <c r="M146" s="862"/>
      <c r="N146" s="862"/>
      <c r="O146" s="862"/>
      <c r="P146" s="862"/>
      <c r="Q146" s="862"/>
      <c r="R146" s="862"/>
      <c r="S146" s="862"/>
      <c r="T146" s="862"/>
      <c r="U146" s="862"/>
      <c r="V146" s="862"/>
      <c r="W146" s="863"/>
      <c r="X146" s="90"/>
      <c r="Y146" s="90"/>
      <c r="Z146" s="90"/>
    </row>
    <row r="147" ht="19.5" customHeight="1">
      <c r="A147" s="860">
        <v>146.0</v>
      </c>
      <c r="B147" s="861" t="s">
        <v>2996</v>
      </c>
      <c r="C147" s="862" t="s">
        <v>1747</v>
      </c>
      <c r="D147" s="861">
        <v>5.0</v>
      </c>
      <c r="E147" s="861">
        <v>75.0</v>
      </c>
      <c r="F147" s="861">
        <v>375.0</v>
      </c>
      <c r="G147" s="861" t="s">
        <v>1697</v>
      </c>
      <c r="H147" s="861" t="s">
        <v>164</v>
      </c>
      <c r="I147" s="861" t="e">
        <v>#VALUE!</v>
      </c>
      <c r="J147" s="858" t="s">
        <v>2839</v>
      </c>
      <c r="K147" s="858" t="s">
        <v>2831</v>
      </c>
      <c r="L147" s="858" t="s">
        <v>1688</v>
      </c>
      <c r="M147" s="862"/>
      <c r="N147" s="862"/>
      <c r="O147" s="862"/>
      <c r="P147" s="862"/>
      <c r="Q147" s="862"/>
      <c r="R147" s="862"/>
      <c r="S147" s="862"/>
      <c r="T147" s="862"/>
      <c r="U147" s="862"/>
      <c r="V147" s="862"/>
      <c r="W147" s="863"/>
      <c r="X147" s="90"/>
      <c r="Y147" s="90"/>
      <c r="Z147" s="90"/>
    </row>
    <row r="148" ht="19.5" customHeight="1">
      <c r="A148" s="860">
        <v>147.0</v>
      </c>
      <c r="B148" s="861" t="s">
        <v>2997</v>
      </c>
      <c r="C148" s="862" t="s">
        <v>2998</v>
      </c>
      <c r="D148" s="861">
        <v>10.0</v>
      </c>
      <c r="E148" s="861">
        <v>40.0</v>
      </c>
      <c r="F148" s="861">
        <v>400.0</v>
      </c>
      <c r="G148" s="861" t="s">
        <v>1697</v>
      </c>
      <c r="H148" s="861" t="s">
        <v>1573</v>
      </c>
      <c r="I148" s="861" t="e">
        <v>#VALUE!</v>
      </c>
      <c r="J148" s="858" t="s">
        <v>2839</v>
      </c>
      <c r="K148" s="858" t="s">
        <v>2831</v>
      </c>
      <c r="L148" s="858" t="s">
        <v>1688</v>
      </c>
      <c r="M148" s="862"/>
      <c r="N148" s="862"/>
      <c r="O148" s="862"/>
      <c r="P148" s="862"/>
      <c r="Q148" s="862"/>
      <c r="R148" s="862"/>
      <c r="S148" s="862"/>
      <c r="T148" s="862"/>
      <c r="U148" s="862"/>
      <c r="V148" s="862"/>
      <c r="W148" s="863"/>
      <c r="X148" s="90"/>
      <c r="Y148" s="90"/>
      <c r="Z148" s="90"/>
    </row>
    <row r="149" ht="19.5" customHeight="1">
      <c r="A149" s="860">
        <v>148.0</v>
      </c>
      <c r="B149" s="861" t="s">
        <v>2999</v>
      </c>
      <c r="C149" s="862" t="s">
        <v>919</v>
      </c>
      <c r="D149" s="861">
        <v>10.0</v>
      </c>
      <c r="E149" s="861">
        <v>100.0</v>
      </c>
      <c r="F149" s="861">
        <v>1000.0</v>
      </c>
      <c r="G149" s="861" t="s">
        <v>1697</v>
      </c>
      <c r="H149" s="861" t="s">
        <v>1577</v>
      </c>
      <c r="I149" s="861" t="e">
        <v>#VALUE!</v>
      </c>
      <c r="J149" s="858" t="s">
        <v>2798</v>
      </c>
      <c r="K149" s="858" t="s">
        <v>2831</v>
      </c>
      <c r="L149" s="858" t="s">
        <v>1688</v>
      </c>
      <c r="M149" s="862"/>
      <c r="N149" s="862"/>
      <c r="O149" s="862"/>
      <c r="P149" s="862"/>
      <c r="Q149" s="862"/>
      <c r="R149" s="862"/>
      <c r="S149" s="862"/>
      <c r="T149" s="862"/>
      <c r="U149" s="862"/>
      <c r="V149" s="862"/>
      <c r="W149" s="863"/>
      <c r="X149" s="90"/>
      <c r="Y149" s="90"/>
      <c r="Z149" s="90"/>
    </row>
    <row r="150" ht="19.5" customHeight="1">
      <c r="A150" s="860">
        <v>149.0</v>
      </c>
      <c r="B150" s="861" t="s">
        <v>3000</v>
      </c>
      <c r="C150" s="862" t="s">
        <v>1742</v>
      </c>
      <c r="D150" s="861">
        <v>30.0</v>
      </c>
      <c r="E150" s="861">
        <v>20.0</v>
      </c>
      <c r="F150" s="861">
        <v>600.0</v>
      </c>
      <c r="G150" s="861" t="s">
        <v>1697</v>
      </c>
      <c r="H150" s="861" t="s">
        <v>920</v>
      </c>
      <c r="I150" s="861" t="e">
        <v>#VALUE!</v>
      </c>
      <c r="J150" s="858" t="s">
        <v>2897</v>
      </c>
      <c r="K150" s="858" t="s">
        <v>2831</v>
      </c>
      <c r="L150" s="858" t="s">
        <v>1688</v>
      </c>
      <c r="M150" s="862"/>
      <c r="N150" s="862"/>
      <c r="O150" s="862"/>
      <c r="P150" s="862"/>
      <c r="Q150" s="862"/>
      <c r="R150" s="862"/>
      <c r="S150" s="862"/>
      <c r="T150" s="862"/>
      <c r="U150" s="862"/>
      <c r="V150" s="862"/>
      <c r="W150" s="863"/>
      <c r="X150" s="90"/>
      <c r="Y150" s="90"/>
      <c r="Z150" s="90"/>
    </row>
    <row r="151" ht="19.5" customHeight="1">
      <c r="A151" s="860">
        <v>150.0</v>
      </c>
      <c r="B151" s="861" t="s">
        <v>3001</v>
      </c>
      <c r="C151" s="862" t="s">
        <v>1743</v>
      </c>
      <c r="D151" s="861">
        <v>10.0</v>
      </c>
      <c r="E151" s="861">
        <v>30.0</v>
      </c>
      <c r="F151" s="861">
        <v>300.0</v>
      </c>
      <c r="G151" s="861" t="s">
        <v>1697</v>
      </c>
      <c r="H151" s="861" t="s">
        <v>1639</v>
      </c>
      <c r="I151" s="861" t="e">
        <v>#VALUE!</v>
      </c>
      <c r="J151" s="858" t="s">
        <v>2897</v>
      </c>
      <c r="K151" s="858" t="s">
        <v>2831</v>
      </c>
      <c r="L151" s="858" t="s">
        <v>1688</v>
      </c>
      <c r="M151" s="862"/>
      <c r="N151" s="862"/>
      <c r="O151" s="862"/>
      <c r="P151" s="862"/>
      <c r="Q151" s="862"/>
      <c r="R151" s="862"/>
      <c r="S151" s="862"/>
      <c r="T151" s="862"/>
      <c r="U151" s="862"/>
      <c r="V151" s="862"/>
      <c r="W151" s="863"/>
      <c r="X151" s="90"/>
      <c r="Y151" s="90"/>
      <c r="Z151" s="90"/>
    </row>
    <row r="152" ht="19.5" customHeight="1">
      <c r="A152" s="860">
        <v>151.0</v>
      </c>
      <c r="B152" s="861" t="s">
        <v>3002</v>
      </c>
      <c r="C152" s="862" t="s">
        <v>1658</v>
      </c>
      <c r="D152" s="861">
        <v>10.0</v>
      </c>
      <c r="E152" s="861">
        <v>50.0</v>
      </c>
      <c r="F152" s="861">
        <v>500.0</v>
      </c>
      <c r="G152" s="861" t="s">
        <v>1697</v>
      </c>
      <c r="H152" s="861" t="s">
        <v>1655</v>
      </c>
      <c r="I152" s="861" t="e">
        <v>#VALUE!</v>
      </c>
      <c r="J152" s="858" t="s">
        <v>2897</v>
      </c>
      <c r="K152" s="858">
        <v>0.0</v>
      </c>
      <c r="L152" s="858" t="s">
        <v>1688</v>
      </c>
      <c r="M152" s="862"/>
      <c r="N152" s="862"/>
      <c r="O152" s="862"/>
      <c r="P152" s="862"/>
      <c r="Q152" s="862"/>
      <c r="R152" s="862"/>
      <c r="S152" s="862"/>
      <c r="T152" s="862"/>
      <c r="U152" s="862"/>
      <c r="V152" s="862"/>
      <c r="W152" s="863"/>
      <c r="X152" s="90"/>
      <c r="Y152" s="90"/>
      <c r="Z152" s="90"/>
    </row>
    <row r="153" ht="19.5" customHeight="1">
      <c r="A153" s="860">
        <v>152.0</v>
      </c>
      <c r="B153" s="861" t="s">
        <v>3003</v>
      </c>
      <c r="C153" s="862" t="s">
        <v>1678</v>
      </c>
      <c r="D153" s="861">
        <v>10.0</v>
      </c>
      <c r="E153" s="861">
        <v>100.0</v>
      </c>
      <c r="F153" s="861">
        <v>1000.0</v>
      </c>
      <c r="G153" s="861" t="s">
        <v>1697</v>
      </c>
      <c r="H153" s="861" t="s">
        <v>1267</v>
      </c>
      <c r="I153" s="861" t="e">
        <v>#VALUE!</v>
      </c>
      <c r="J153" s="858" t="s">
        <v>2897</v>
      </c>
      <c r="K153" s="858" t="s">
        <v>2831</v>
      </c>
      <c r="L153" s="858" t="s">
        <v>1688</v>
      </c>
      <c r="M153" s="862"/>
      <c r="N153" s="862"/>
      <c r="O153" s="862"/>
      <c r="P153" s="862"/>
      <c r="Q153" s="862"/>
      <c r="R153" s="862"/>
      <c r="S153" s="862"/>
      <c r="T153" s="862"/>
      <c r="U153" s="862"/>
      <c r="V153" s="862"/>
      <c r="W153" s="863"/>
      <c r="X153" s="90"/>
      <c r="Y153" s="90"/>
      <c r="Z153" s="90"/>
    </row>
    <row r="154" ht="19.5" customHeight="1">
      <c r="A154" s="860">
        <v>153.0</v>
      </c>
      <c r="B154" s="861" t="s">
        <v>3004</v>
      </c>
      <c r="C154" s="862" t="s">
        <v>923</v>
      </c>
      <c r="D154" s="861">
        <v>5.0</v>
      </c>
      <c r="E154" s="861">
        <v>250.0</v>
      </c>
      <c r="F154" s="861">
        <v>1250.0</v>
      </c>
      <c r="G154" s="861" t="s">
        <v>1697</v>
      </c>
      <c r="H154" s="861" t="s">
        <v>1679</v>
      </c>
      <c r="I154" s="861" t="e">
        <v>#VALUE!</v>
      </c>
      <c r="J154" s="858" t="s">
        <v>2798</v>
      </c>
      <c r="K154" s="858" t="s">
        <v>2831</v>
      </c>
      <c r="L154" s="858" t="s">
        <v>1688</v>
      </c>
      <c r="M154" s="862"/>
      <c r="N154" s="862"/>
      <c r="O154" s="862"/>
      <c r="P154" s="862"/>
      <c r="Q154" s="862"/>
      <c r="R154" s="862"/>
      <c r="S154" s="862"/>
      <c r="T154" s="862"/>
      <c r="U154" s="862"/>
      <c r="V154" s="862"/>
      <c r="W154" s="863"/>
      <c r="X154" s="90"/>
      <c r="Y154" s="90"/>
      <c r="Z154" s="90"/>
    </row>
    <row r="155" ht="19.5" customHeight="1">
      <c r="A155" s="860">
        <v>154.0</v>
      </c>
      <c r="B155" s="861" t="s">
        <v>3005</v>
      </c>
      <c r="C155" s="862" t="s">
        <v>927</v>
      </c>
      <c r="D155" s="861">
        <v>10.0</v>
      </c>
      <c r="E155" s="861">
        <v>50.0</v>
      </c>
      <c r="F155" s="861">
        <v>500.0</v>
      </c>
      <c r="G155" s="861" t="s">
        <v>1697</v>
      </c>
      <c r="H155" s="861" t="s">
        <v>1581</v>
      </c>
      <c r="I155" s="861" t="e">
        <v>#VALUE!</v>
      </c>
      <c r="J155" s="858" t="s">
        <v>2798</v>
      </c>
      <c r="K155" s="858" t="s">
        <v>2831</v>
      </c>
      <c r="L155" s="858" t="s">
        <v>1688</v>
      </c>
      <c r="M155" s="862"/>
      <c r="N155" s="862"/>
      <c r="O155" s="862"/>
      <c r="P155" s="862"/>
      <c r="Q155" s="862"/>
      <c r="R155" s="862"/>
      <c r="S155" s="862"/>
      <c r="T155" s="862"/>
      <c r="U155" s="862"/>
      <c r="V155" s="862"/>
      <c r="W155" s="863"/>
      <c r="X155" s="90"/>
      <c r="Y155" s="90"/>
      <c r="Z155" s="90"/>
    </row>
    <row r="156" ht="19.5" customHeight="1">
      <c r="A156" s="860">
        <v>155.0</v>
      </c>
      <c r="B156" s="861" t="s">
        <v>3006</v>
      </c>
      <c r="C156" s="862" t="s">
        <v>1395</v>
      </c>
      <c r="D156" s="861">
        <v>15.0</v>
      </c>
      <c r="E156" s="861">
        <v>400.0</v>
      </c>
      <c r="F156" s="861">
        <v>6000.0</v>
      </c>
      <c r="G156" s="861" t="s">
        <v>1697</v>
      </c>
      <c r="H156" s="861" t="s">
        <v>1392</v>
      </c>
      <c r="I156" s="861" t="e">
        <v>#VALUE!</v>
      </c>
      <c r="J156" s="858" t="s">
        <v>2798</v>
      </c>
      <c r="K156" s="858" t="s">
        <v>2831</v>
      </c>
      <c r="L156" s="858" t="s">
        <v>1688</v>
      </c>
      <c r="M156" s="862"/>
      <c r="N156" s="862"/>
      <c r="O156" s="862"/>
      <c r="P156" s="862"/>
      <c r="Q156" s="862"/>
      <c r="R156" s="862"/>
      <c r="S156" s="862"/>
      <c r="T156" s="862"/>
      <c r="U156" s="862"/>
      <c r="V156" s="862"/>
      <c r="W156" s="863"/>
      <c r="X156" s="90"/>
      <c r="Y156" s="90"/>
      <c r="Z156" s="90"/>
    </row>
    <row r="157" ht="19.5" customHeight="1">
      <c r="A157" s="860">
        <v>156.0</v>
      </c>
      <c r="B157" s="861" t="s">
        <v>3007</v>
      </c>
      <c r="C157" s="862" t="s">
        <v>319</v>
      </c>
      <c r="D157" s="861">
        <v>10.0</v>
      </c>
      <c r="E157" s="861">
        <v>50.0</v>
      </c>
      <c r="F157" s="861">
        <v>500.0</v>
      </c>
      <c r="G157" s="861" t="s">
        <v>1697</v>
      </c>
      <c r="H157" s="861" t="s">
        <v>1396</v>
      </c>
      <c r="I157" s="861" t="e">
        <v>#VALUE!</v>
      </c>
      <c r="J157" s="858" t="s">
        <v>2696</v>
      </c>
      <c r="K157" s="858">
        <v>0.0</v>
      </c>
      <c r="L157" s="858" t="s">
        <v>1688</v>
      </c>
      <c r="M157" s="862"/>
      <c r="N157" s="862"/>
      <c r="O157" s="862"/>
      <c r="P157" s="862"/>
      <c r="Q157" s="862"/>
      <c r="R157" s="862"/>
      <c r="S157" s="862"/>
      <c r="T157" s="862"/>
      <c r="U157" s="862"/>
      <c r="V157" s="862"/>
      <c r="W157" s="863"/>
      <c r="X157" s="90"/>
      <c r="Y157" s="90"/>
      <c r="Z157" s="90"/>
    </row>
    <row r="158" ht="19.5" customHeight="1">
      <c r="A158" s="860">
        <v>157.0</v>
      </c>
      <c r="B158" s="861" t="s">
        <v>3008</v>
      </c>
      <c r="C158" s="862" t="s">
        <v>826</v>
      </c>
      <c r="D158" s="861">
        <v>100.0</v>
      </c>
      <c r="E158" s="861">
        <v>3.0</v>
      </c>
      <c r="F158" s="861">
        <v>300.0</v>
      </c>
      <c r="G158" s="861" t="s">
        <v>1697</v>
      </c>
      <c r="H158" s="861" t="s">
        <v>60</v>
      </c>
      <c r="I158" s="861" t="e">
        <v>#VALUE!</v>
      </c>
      <c r="J158" s="858" t="s">
        <v>2696</v>
      </c>
      <c r="K158" s="858">
        <v>0.0</v>
      </c>
      <c r="L158" s="858" t="s">
        <v>1688</v>
      </c>
      <c r="M158" s="862"/>
      <c r="N158" s="862"/>
      <c r="O158" s="862"/>
      <c r="P158" s="862"/>
      <c r="Q158" s="862"/>
      <c r="R158" s="862"/>
      <c r="S158" s="862"/>
      <c r="T158" s="862"/>
      <c r="U158" s="862"/>
      <c r="V158" s="862"/>
      <c r="W158" s="863"/>
      <c r="X158" s="90"/>
      <c r="Y158" s="90"/>
      <c r="Z158" s="90"/>
    </row>
    <row r="159" ht="19.5" customHeight="1">
      <c r="A159" s="860">
        <v>158.0</v>
      </c>
      <c r="B159" s="861" t="s">
        <v>3009</v>
      </c>
      <c r="C159" s="862" t="s">
        <v>830</v>
      </c>
      <c r="D159" s="861">
        <v>50.0</v>
      </c>
      <c r="E159" s="861">
        <v>10.0</v>
      </c>
      <c r="F159" s="861">
        <v>500.0</v>
      </c>
      <c r="G159" s="861" t="s">
        <v>1697</v>
      </c>
      <c r="H159" s="861" t="s">
        <v>827</v>
      </c>
      <c r="I159" s="861" t="e">
        <v>#VALUE!</v>
      </c>
      <c r="J159" s="858" t="s">
        <v>2696</v>
      </c>
      <c r="K159" s="858">
        <v>0.0</v>
      </c>
      <c r="L159" s="858" t="s">
        <v>1688</v>
      </c>
      <c r="M159" s="862"/>
      <c r="N159" s="862"/>
      <c r="O159" s="862"/>
      <c r="P159" s="862"/>
      <c r="Q159" s="862"/>
      <c r="R159" s="862"/>
      <c r="S159" s="862"/>
      <c r="T159" s="862"/>
      <c r="U159" s="862"/>
      <c r="V159" s="862"/>
      <c r="W159" s="863"/>
      <c r="X159" s="90"/>
      <c r="Y159" s="90"/>
      <c r="Z159" s="90"/>
    </row>
    <row r="160" ht="19.5" customHeight="1">
      <c r="A160" s="860">
        <v>159.0</v>
      </c>
      <c r="B160" s="861" t="s">
        <v>3010</v>
      </c>
      <c r="C160" s="862" t="s">
        <v>834</v>
      </c>
      <c r="D160" s="861">
        <v>50.0</v>
      </c>
      <c r="E160" s="861">
        <v>10.0</v>
      </c>
      <c r="F160" s="861">
        <v>500.0</v>
      </c>
      <c r="G160" s="861" t="s">
        <v>1697</v>
      </c>
      <c r="H160" s="861" t="s">
        <v>831</v>
      </c>
      <c r="I160" s="861" t="e">
        <v>#VALUE!</v>
      </c>
      <c r="J160" s="858" t="s">
        <v>2696</v>
      </c>
      <c r="K160" s="858">
        <v>0.0</v>
      </c>
      <c r="L160" s="858" t="s">
        <v>1688</v>
      </c>
      <c r="M160" s="862"/>
      <c r="N160" s="862"/>
      <c r="O160" s="862"/>
      <c r="P160" s="862"/>
      <c r="Q160" s="862"/>
      <c r="R160" s="862"/>
      <c r="S160" s="862"/>
      <c r="T160" s="862"/>
      <c r="U160" s="862"/>
      <c r="V160" s="862"/>
      <c r="W160" s="863"/>
      <c r="X160" s="90"/>
      <c r="Y160" s="90"/>
      <c r="Z160" s="90"/>
    </row>
    <row r="161" ht="19.5" customHeight="1">
      <c r="A161" s="860">
        <v>160.0</v>
      </c>
      <c r="B161" s="861" t="s">
        <v>3011</v>
      </c>
      <c r="C161" s="862" t="s">
        <v>838</v>
      </c>
      <c r="D161" s="861">
        <v>50.0</v>
      </c>
      <c r="E161" s="861">
        <v>10.0</v>
      </c>
      <c r="F161" s="861">
        <v>500.0</v>
      </c>
      <c r="G161" s="861" t="s">
        <v>1697</v>
      </c>
      <c r="H161" s="861" t="s">
        <v>835</v>
      </c>
      <c r="I161" s="861" t="e">
        <v>#VALUE!</v>
      </c>
      <c r="J161" s="858" t="s">
        <v>2696</v>
      </c>
      <c r="K161" s="858">
        <v>0.0</v>
      </c>
      <c r="L161" s="858" t="s">
        <v>1688</v>
      </c>
      <c r="M161" s="862"/>
      <c r="N161" s="862"/>
      <c r="O161" s="862"/>
      <c r="P161" s="862"/>
      <c r="Q161" s="862"/>
      <c r="R161" s="862"/>
      <c r="S161" s="862"/>
      <c r="T161" s="862"/>
      <c r="U161" s="862"/>
      <c r="V161" s="862"/>
      <c r="W161" s="863"/>
      <c r="X161" s="90"/>
      <c r="Y161" s="90"/>
      <c r="Z161" s="90"/>
    </row>
    <row r="162" ht="19.5" customHeight="1">
      <c r="A162" s="860">
        <v>161.0</v>
      </c>
      <c r="B162" s="861" t="s">
        <v>3012</v>
      </c>
      <c r="C162" s="862" t="s">
        <v>842</v>
      </c>
      <c r="D162" s="861">
        <v>50.0</v>
      </c>
      <c r="E162" s="861">
        <v>10.0</v>
      </c>
      <c r="F162" s="861">
        <v>500.0</v>
      </c>
      <c r="G162" s="861" t="s">
        <v>1697</v>
      </c>
      <c r="H162" s="861" t="s">
        <v>839</v>
      </c>
      <c r="I162" s="861" t="e">
        <v>#VALUE!</v>
      </c>
      <c r="J162" s="858" t="s">
        <v>2696</v>
      </c>
      <c r="K162" s="858">
        <v>0.0</v>
      </c>
      <c r="L162" s="858" t="s">
        <v>1688</v>
      </c>
      <c r="M162" s="862"/>
      <c r="N162" s="862"/>
      <c r="O162" s="862"/>
      <c r="P162" s="862"/>
      <c r="Q162" s="862"/>
      <c r="R162" s="862"/>
      <c r="S162" s="862"/>
      <c r="T162" s="862"/>
      <c r="U162" s="862"/>
      <c r="V162" s="862"/>
      <c r="W162" s="863"/>
      <c r="X162" s="90"/>
      <c r="Y162" s="90"/>
      <c r="Z162" s="90"/>
    </row>
    <row r="163" ht="19.5" customHeight="1">
      <c r="A163" s="860">
        <v>162.0</v>
      </c>
      <c r="B163" s="861" t="s">
        <v>3013</v>
      </c>
      <c r="C163" s="862" t="s">
        <v>3014</v>
      </c>
      <c r="D163" s="861">
        <v>10.0</v>
      </c>
      <c r="E163" s="861">
        <v>60.0</v>
      </c>
      <c r="F163" s="861">
        <v>600.0</v>
      </c>
      <c r="G163" s="861" t="s">
        <v>1697</v>
      </c>
      <c r="H163" s="861" t="s">
        <v>1141</v>
      </c>
      <c r="I163" s="861" t="e">
        <v>#VALUE!</v>
      </c>
      <c r="J163" s="858" t="s">
        <v>2839</v>
      </c>
      <c r="K163" s="858" t="s">
        <v>2831</v>
      </c>
      <c r="L163" s="858" t="s">
        <v>1688</v>
      </c>
      <c r="M163" s="862"/>
      <c r="N163" s="862"/>
      <c r="O163" s="862"/>
      <c r="P163" s="862"/>
      <c r="Q163" s="862"/>
      <c r="R163" s="862"/>
      <c r="S163" s="862"/>
      <c r="T163" s="862"/>
      <c r="U163" s="862"/>
      <c r="V163" s="862"/>
      <c r="W163" s="863"/>
      <c r="X163" s="90"/>
      <c r="Y163" s="90"/>
      <c r="Z163" s="90"/>
    </row>
    <row r="164" ht="19.5" customHeight="1">
      <c r="A164" s="860">
        <v>163.0</v>
      </c>
      <c r="B164" s="861" t="s">
        <v>3015</v>
      </c>
      <c r="C164" s="862" t="s">
        <v>3016</v>
      </c>
      <c r="D164" s="861">
        <v>10.0</v>
      </c>
      <c r="E164" s="861">
        <v>50.0</v>
      </c>
      <c r="F164" s="861">
        <v>500.0</v>
      </c>
      <c r="G164" s="861" t="s">
        <v>1697</v>
      </c>
      <c r="H164" s="861" t="s">
        <v>1145</v>
      </c>
      <c r="I164" s="861" t="e">
        <v>#VALUE!</v>
      </c>
      <c r="J164" s="858" t="s">
        <v>2655</v>
      </c>
      <c r="K164" s="858">
        <v>0.0</v>
      </c>
      <c r="L164" s="858" t="s">
        <v>1688</v>
      </c>
      <c r="M164" s="862"/>
      <c r="N164" s="862"/>
      <c r="O164" s="862"/>
      <c r="P164" s="862"/>
      <c r="Q164" s="862"/>
      <c r="R164" s="862"/>
      <c r="S164" s="862"/>
      <c r="T164" s="862"/>
      <c r="U164" s="862"/>
      <c r="V164" s="862"/>
      <c r="W164" s="863"/>
      <c r="X164" s="90"/>
      <c r="Y164" s="90"/>
      <c r="Z164" s="90"/>
    </row>
    <row r="165" ht="19.5" customHeight="1">
      <c r="A165" s="860">
        <v>164.0</v>
      </c>
      <c r="B165" s="861" t="s">
        <v>3017</v>
      </c>
      <c r="C165" s="862" t="s">
        <v>1592</v>
      </c>
      <c r="D165" s="861">
        <v>20.0</v>
      </c>
      <c r="E165" s="861">
        <v>5.0</v>
      </c>
      <c r="F165" s="861">
        <v>100.0</v>
      </c>
      <c r="G165" s="861" t="s">
        <v>1697</v>
      </c>
      <c r="H165" s="861" t="s">
        <v>1238</v>
      </c>
      <c r="I165" s="861" t="e">
        <v>#VALUE!</v>
      </c>
      <c r="J165" s="858" t="s">
        <v>2655</v>
      </c>
      <c r="K165" s="858">
        <v>0.0</v>
      </c>
      <c r="L165" s="858" t="s">
        <v>1688</v>
      </c>
      <c r="M165" s="862"/>
      <c r="N165" s="862"/>
      <c r="O165" s="862"/>
      <c r="P165" s="862"/>
      <c r="Q165" s="862"/>
      <c r="R165" s="862"/>
      <c r="S165" s="862"/>
      <c r="T165" s="862"/>
      <c r="U165" s="862"/>
      <c r="V165" s="862"/>
      <c r="W165" s="863"/>
      <c r="X165" s="90"/>
      <c r="Y165" s="90"/>
      <c r="Z165" s="90"/>
    </row>
    <row r="166" ht="19.5" customHeight="1">
      <c r="A166" s="860">
        <v>165.0</v>
      </c>
      <c r="B166" s="861" t="s">
        <v>3018</v>
      </c>
      <c r="C166" s="862" t="s">
        <v>846</v>
      </c>
      <c r="D166" s="861">
        <v>20.0</v>
      </c>
      <c r="E166" s="861">
        <v>5.0</v>
      </c>
      <c r="F166" s="861">
        <v>100.0</v>
      </c>
      <c r="G166" s="861" t="s">
        <v>1697</v>
      </c>
      <c r="H166" s="861" t="s">
        <v>1355</v>
      </c>
      <c r="I166" s="861" t="e">
        <v>#VALUE!</v>
      </c>
      <c r="J166" s="858" t="s">
        <v>2696</v>
      </c>
      <c r="K166" s="858">
        <v>0.0</v>
      </c>
      <c r="L166" s="858" t="s">
        <v>1688</v>
      </c>
      <c r="M166" s="862"/>
      <c r="N166" s="862"/>
      <c r="O166" s="862"/>
      <c r="P166" s="862"/>
      <c r="Q166" s="862"/>
      <c r="R166" s="862"/>
      <c r="S166" s="862"/>
      <c r="T166" s="862"/>
      <c r="U166" s="862"/>
      <c r="V166" s="862"/>
      <c r="W166" s="863"/>
      <c r="X166" s="90"/>
      <c r="Y166" s="90"/>
      <c r="Z166" s="90"/>
    </row>
    <row r="167" ht="19.5" customHeight="1">
      <c r="A167" s="860">
        <v>166.0</v>
      </c>
      <c r="B167" s="861" t="s">
        <v>3019</v>
      </c>
      <c r="C167" s="862" t="s">
        <v>850</v>
      </c>
      <c r="D167" s="861">
        <v>100.0</v>
      </c>
      <c r="E167" s="861">
        <v>5.0</v>
      </c>
      <c r="F167" s="861">
        <v>500.0</v>
      </c>
      <c r="G167" s="861" t="s">
        <v>1697</v>
      </c>
      <c r="H167" s="861" t="s">
        <v>128</v>
      </c>
      <c r="I167" s="861" t="e">
        <v>#VALUE!</v>
      </c>
      <c r="J167" s="858" t="s">
        <v>2655</v>
      </c>
      <c r="K167" s="858">
        <v>0.0</v>
      </c>
      <c r="L167" s="858" t="s">
        <v>1688</v>
      </c>
      <c r="M167" s="862"/>
      <c r="N167" s="862"/>
      <c r="O167" s="862"/>
      <c r="P167" s="862"/>
      <c r="Q167" s="862"/>
      <c r="R167" s="862"/>
      <c r="S167" s="862"/>
      <c r="T167" s="862"/>
      <c r="U167" s="862"/>
      <c r="V167" s="862"/>
      <c r="W167" s="863"/>
      <c r="X167" s="90"/>
      <c r="Y167" s="90"/>
      <c r="Z167" s="90"/>
    </row>
    <row r="168" ht="19.5" customHeight="1">
      <c r="A168" s="860">
        <v>167.0</v>
      </c>
      <c r="B168" s="861" t="s">
        <v>3020</v>
      </c>
      <c r="C168" s="862" t="s">
        <v>854</v>
      </c>
      <c r="D168" s="861">
        <v>100.0</v>
      </c>
      <c r="E168" s="861">
        <v>5.0</v>
      </c>
      <c r="F168" s="861">
        <v>500.0</v>
      </c>
      <c r="G168" s="861" t="s">
        <v>1697</v>
      </c>
      <c r="H168" s="861" t="s">
        <v>851</v>
      </c>
      <c r="I168" s="861" t="e">
        <v>#VALUE!</v>
      </c>
      <c r="J168" s="858" t="s">
        <v>2655</v>
      </c>
      <c r="K168" s="858">
        <v>0.0</v>
      </c>
      <c r="L168" s="858" t="s">
        <v>1688</v>
      </c>
      <c r="M168" s="862"/>
      <c r="N168" s="862"/>
      <c r="O168" s="862"/>
      <c r="P168" s="862"/>
      <c r="Q168" s="862"/>
      <c r="R168" s="862"/>
      <c r="S168" s="862"/>
      <c r="T168" s="862"/>
      <c r="U168" s="862"/>
      <c r="V168" s="862"/>
      <c r="W168" s="863"/>
      <c r="X168" s="90"/>
      <c r="Y168" s="90"/>
      <c r="Z168" s="90"/>
    </row>
    <row r="169" ht="19.5" customHeight="1">
      <c r="A169" s="860">
        <v>168.0</v>
      </c>
      <c r="B169" s="861" t="s">
        <v>3021</v>
      </c>
      <c r="C169" s="862" t="s">
        <v>858</v>
      </c>
      <c r="D169" s="861">
        <v>100.0</v>
      </c>
      <c r="E169" s="861">
        <v>5.0</v>
      </c>
      <c r="F169" s="861">
        <v>500.0</v>
      </c>
      <c r="G169" s="861" t="s">
        <v>1697</v>
      </c>
      <c r="H169" s="861" t="s">
        <v>855</v>
      </c>
      <c r="I169" s="861" t="e">
        <v>#VALUE!</v>
      </c>
      <c r="J169" s="858" t="s">
        <v>2655</v>
      </c>
      <c r="K169" s="858">
        <v>0.0</v>
      </c>
      <c r="L169" s="858" t="s">
        <v>1688</v>
      </c>
      <c r="M169" s="862"/>
      <c r="N169" s="862"/>
      <c r="O169" s="862"/>
      <c r="P169" s="862"/>
      <c r="Q169" s="862"/>
      <c r="R169" s="862"/>
      <c r="S169" s="862"/>
      <c r="T169" s="862"/>
      <c r="U169" s="862"/>
      <c r="V169" s="862"/>
      <c r="W169" s="863"/>
      <c r="X169" s="90"/>
      <c r="Y169" s="90"/>
      <c r="Z169" s="90"/>
    </row>
    <row r="170" ht="19.5" customHeight="1">
      <c r="A170" s="860">
        <v>169.0</v>
      </c>
      <c r="B170" s="861" t="s">
        <v>3022</v>
      </c>
      <c r="C170" s="862" t="s">
        <v>862</v>
      </c>
      <c r="D170" s="861">
        <v>100.0</v>
      </c>
      <c r="E170" s="861">
        <v>5.0</v>
      </c>
      <c r="F170" s="861">
        <v>500.0</v>
      </c>
      <c r="G170" s="861" t="s">
        <v>1697</v>
      </c>
      <c r="H170" s="861" t="s">
        <v>859</v>
      </c>
      <c r="I170" s="861" t="e">
        <v>#VALUE!</v>
      </c>
      <c r="J170" s="858" t="s">
        <v>2655</v>
      </c>
      <c r="K170" s="858">
        <v>0.0</v>
      </c>
      <c r="L170" s="858" t="s">
        <v>1688</v>
      </c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3"/>
      <c r="X170" s="90"/>
      <c r="Y170" s="90"/>
      <c r="Z170" s="90"/>
    </row>
    <row r="171" ht="19.5" customHeight="1">
      <c r="A171" s="860">
        <v>170.0</v>
      </c>
      <c r="B171" s="861" t="s">
        <v>3023</v>
      </c>
      <c r="C171" s="862" t="s">
        <v>866</v>
      </c>
      <c r="D171" s="861">
        <v>100.0</v>
      </c>
      <c r="E171" s="861">
        <v>5.0</v>
      </c>
      <c r="F171" s="861">
        <v>500.0</v>
      </c>
      <c r="G171" s="861" t="s">
        <v>1697</v>
      </c>
      <c r="H171" s="861" t="s">
        <v>863</v>
      </c>
      <c r="I171" s="861" t="e">
        <v>#VALUE!</v>
      </c>
      <c r="J171" s="858" t="s">
        <v>2655</v>
      </c>
      <c r="K171" s="858">
        <v>0.0</v>
      </c>
      <c r="L171" s="858" t="s">
        <v>1688</v>
      </c>
      <c r="M171" s="862"/>
      <c r="N171" s="862"/>
      <c r="O171" s="862"/>
      <c r="P171" s="862"/>
      <c r="Q171" s="862"/>
      <c r="R171" s="862"/>
      <c r="S171" s="862"/>
      <c r="T171" s="862"/>
      <c r="U171" s="862"/>
      <c r="V171" s="862"/>
      <c r="W171" s="863"/>
      <c r="X171" s="90"/>
      <c r="Y171" s="90"/>
      <c r="Z171" s="90"/>
    </row>
    <row r="172" ht="19.5" customHeight="1">
      <c r="A172" s="860">
        <v>171.0</v>
      </c>
      <c r="B172" s="861" t="s">
        <v>3024</v>
      </c>
      <c r="C172" s="862" t="s">
        <v>870</v>
      </c>
      <c r="D172" s="861">
        <v>100.0</v>
      </c>
      <c r="E172" s="861">
        <v>5.0</v>
      </c>
      <c r="F172" s="861">
        <v>500.0</v>
      </c>
      <c r="G172" s="861" t="s">
        <v>1697</v>
      </c>
      <c r="H172" s="861" t="s">
        <v>867</v>
      </c>
      <c r="I172" s="861" t="e">
        <v>#VALUE!</v>
      </c>
      <c r="J172" s="858" t="s">
        <v>2655</v>
      </c>
      <c r="K172" s="858">
        <v>0.0</v>
      </c>
      <c r="L172" s="858" t="s">
        <v>1688</v>
      </c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3"/>
      <c r="X172" s="90"/>
      <c r="Y172" s="90"/>
      <c r="Z172" s="90"/>
    </row>
    <row r="173" ht="19.5" customHeight="1">
      <c r="A173" s="860">
        <v>172.0</v>
      </c>
      <c r="B173" s="861" t="s">
        <v>3025</v>
      </c>
      <c r="C173" s="862" t="s">
        <v>878</v>
      </c>
      <c r="D173" s="861">
        <v>20.0</v>
      </c>
      <c r="E173" s="861">
        <v>10.0</v>
      </c>
      <c r="F173" s="861">
        <v>200.0</v>
      </c>
      <c r="G173" s="861" t="s">
        <v>1697</v>
      </c>
      <c r="H173" s="861" t="s">
        <v>132</v>
      </c>
      <c r="I173" s="861" t="e">
        <v>#VALUE!</v>
      </c>
      <c r="J173" s="858" t="s">
        <v>2655</v>
      </c>
      <c r="K173" s="858">
        <v>0.0</v>
      </c>
      <c r="L173" s="858" t="s">
        <v>1688</v>
      </c>
      <c r="M173" s="862"/>
      <c r="N173" s="862"/>
      <c r="O173" s="862"/>
      <c r="P173" s="862"/>
      <c r="Q173" s="862"/>
      <c r="R173" s="862"/>
      <c r="S173" s="862"/>
      <c r="T173" s="862"/>
      <c r="U173" s="862"/>
      <c r="V173" s="862"/>
      <c r="W173" s="863"/>
      <c r="X173" s="90"/>
      <c r="Y173" s="90"/>
      <c r="Z173" s="90"/>
    </row>
    <row r="174" ht="19.5" customHeight="1">
      <c r="A174" s="860">
        <v>173.0</v>
      </c>
      <c r="B174" s="861" t="s">
        <v>3026</v>
      </c>
      <c r="C174" s="862" t="s">
        <v>874</v>
      </c>
      <c r="D174" s="861">
        <v>20.0</v>
      </c>
      <c r="E174" s="861">
        <v>10.0</v>
      </c>
      <c r="F174" s="861">
        <v>200.0</v>
      </c>
      <c r="G174" s="861" t="s">
        <v>1697</v>
      </c>
      <c r="H174" s="861" t="s">
        <v>875</v>
      </c>
      <c r="I174" s="861" t="e">
        <v>#VALUE!</v>
      </c>
      <c r="J174" s="858" t="s">
        <v>2655</v>
      </c>
      <c r="K174" s="858">
        <v>0.0</v>
      </c>
      <c r="L174" s="858" t="s">
        <v>1688</v>
      </c>
      <c r="M174" s="862"/>
      <c r="N174" s="862"/>
      <c r="O174" s="862"/>
      <c r="P174" s="862"/>
      <c r="Q174" s="862"/>
      <c r="R174" s="862"/>
      <c r="S174" s="862"/>
      <c r="T174" s="862"/>
      <c r="U174" s="862"/>
      <c r="V174" s="862"/>
      <c r="W174" s="863"/>
      <c r="X174" s="90"/>
      <c r="Y174" s="90"/>
      <c r="Z174" s="90"/>
    </row>
    <row r="175" ht="19.5" customHeight="1">
      <c r="A175" s="860">
        <v>174.0</v>
      </c>
      <c r="B175" s="861" t="s">
        <v>3027</v>
      </c>
      <c r="C175" s="862" t="s">
        <v>882</v>
      </c>
      <c r="D175" s="861">
        <v>20.0</v>
      </c>
      <c r="E175" s="861">
        <v>10.0</v>
      </c>
      <c r="F175" s="861">
        <v>200.0</v>
      </c>
      <c r="G175" s="861" t="s">
        <v>1697</v>
      </c>
      <c r="H175" s="861" t="s">
        <v>879</v>
      </c>
      <c r="I175" s="861" t="e">
        <v>#VALUE!</v>
      </c>
      <c r="J175" s="858" t="s">
        <v>2655</v>
      </c>
      <c r="K175" s="858">
        <v>0.0</v>
      </c>
      <c r="L175" s="858" t="s">
        <v>1688</v>
      </c>
      <c r="M175" s="862"/>
      <c r="N175" s="862"/>
      <c r="O175" s="862"/>
      <c r="P175" s="862"/>
      <c r="Q175" s="862"/>
      <c r="R175" s="862"/>
      <c r="S175" s="862"/>
      <c r="T175" s="862"/>
      <c r="U175" s="862"/>
      <c r="V175" s="862"/>
      <c r="W175" s="863"/>
      <c r="X175" s="90"/>
      <c r="Y175" s="90"/>
      <c r="Z175" s="90"/>
    </row>
    <row r="176" ht="19.5" customHeight="1">
      <c r="A176" s="860">
        <v>175.0</v>
      </c>
      <c r="B176" s="861" t="s">
        <v>3028</v>
      </c>
      <c r="C176" s="862" t="s">
        <v>1619</v>
      </c>
      <c r="D176" s="861">
        <v>10.0</v>
      </c>
      <c r="E176" s="861">
        <v>50.0</v>
      </c>
      <c r="F176" s="861">
        <v>500.0</v>
      </c>
      <c r="G176" s="861" t="s">
        <v>1697</v>
      </c>
      <c r="H176" s="861" t="s">
        <v>168</v>
      </c>
      <c r="I176" s="861" t="e">
        <v>#VALUE!</v>
      </c>
      <c r="J176" s="858" t="s">
        <v>2839</v>
      </c>
      <c r="K176" s="858" t="s">
        <v>2831</v>
      </c>
      <c r="L176" s="858" t="s">
        <v>1688</v>
      </c>
      <c r="M176" s="862"/>
      <c r="N176" s="862"/>
      <c r="O176" s="862"/>
      <c r="P176" s="862"/>
      <c r="Q176" s="862"/>
      <c r="R176" s="862"/>
      <c r="S176" s="862"/>
      <c r="T176" s="862"/>
      <c r="U176" s="862"/>
      <c r="V176" s="862"/>
      <c r="W176" s="863"/>
      <c r="X176" s="90"/>
      <c r="Y176" s="90"/>
      <c r="Z176" s="90"/>
    </row>
    <row r="177" ht="19.5" customHeight="1">
      <c r="A177" s="860">
        <v>176.0</v>
      </c>
      <c r="B177" s="861" t="s">
        <v>3029</v>
      </c>
      <c r="C177" s="862" t="s">
        <v>300</v>
      </c>
      <c r="D177" s="861">
        <v>10.0</v>
      </c>
      <c r="E177" s="861">
        <v>50.0</v>
      </c>
      <c r="F177" s="861">
        <v>500.0</v>
      </c>
      <c r="G177" s="861" t="s">
        <v>1697</v>
      </c>
      <c r="H177" s="861" t="s">
        <v>1620</v>
      </c>
      <c r="I177" s="861" t="e">
        <v>#VALUE!</v>
      </c>
      <c r="J177" s="858" t="s">
        <v>2798</v>
      </c>
      <c r="K177" s="858" t="s">
        <v>2831</v>
      </c>
      <c r="L177" s="858" t="s">
        <v>1688</v>
      </c>
      <c r="M177" s="862"/>
      <c r="N177" s="862"/>
      <c r="O177" s="862"/>
      <c r="P177" s="862"/>
      <c r="Q177" s="862"/>
      <c r="R177" s="862"/>
      <c r="S177" s="862"/>
      <c r="T177" s="862"/>
      <c r="U177" s="862"/>
      <c r="V177" s="862"/>
      <c r="W177" s="863"/>
      <c r="X177" s="90"/>
      <c r="Y177" s="90"/>
      <c r="Z177" s="90"/>
    </row>
    <row r="178" ht="19.5" customHeight="1">
      <c r="A178" s="860">
        <v>177.0</v>
      </c>
      <c r="B178" s="861" t="s">
        <v>3030</v>
      </c>
      <c r="C178" s="862" t="s">
        <v>305</v>
      </c>
      <c r="D178" s="861">
        <v>10.0</v>
      </c>
      <c r="E178" s="861">
        <v>50.0</v>
      </c>
      <c r="F178" s="861">
        <v>500.0</v>
      </c>
      <c r="G178" s="861" t="s">
        <v>1697</v>
      </c>
      <c r="H178" s="861" t="s">
        <v>301</v>
      </c>
      <c r="I178" s="861" t="e">
        <v>#VALUE!</v>
      </c>
      <c r="J178" s="858" t="s">
        <v>2798</v>
      </c>
      <c r="K178" s="858" t="s">
        <v>2831</v>
      </c>
      <c r="L178" s="858" t="s">
        <v>1688</v>
      </c>
      <c r="M178" s="862"/>
      <c r="N178" s="862"/>
      <c r="O178" s="862"/>
      <c r="P178" s="862"/>
      <c r="Q178" s="862"/>
      <c r="R178" s="862"/>
      <c r="S178" s="862"/>
      <c r="T178" s="862"/>
      <c r="U178" s="862"/>
      <c r="V178" s="862"/>
      <c r="W178" s="863"/>
      <c r="X178" s="90"/>
      <c r="Y178" s="90"/>
      <c r="Z178" s="90"/>
    </row>
    <row r="179" ht="19.5" customHeight="1">
      <c r="A179" s="860">
        <v>178.0</v>
      </c>
      <c r="B179" s="861" t="s">
        <v>3031</v>
      </c>
      <c r="C179" s="862" t="s">
        <v>310</v>
      </c>
      <c r="D179" s="861">
        <v>10.0</v>
      </c>
      <c r="E179" s="861">
        <v>50.0</v>
      </c>
      <c r="F179" s="861">
        <v>500.0</v>
      </c>
      <c r="G179" s="861" t="s">
        <v>1697</v>
      </c>
      <c r="H179" s="861" t="s">
        <v>306</v>
      </c>
      <c r="I179" s="861" t="e">
        <v>#VALUE!</v>
      </c>
      <c r="J179" s="858" t="s">
        <v>2798</v>
      </c>
      <c r="K179" s="858" t="s">
        <v>2831</v>
      </c>
      <c r="L179" s="858" t="s">
        <v>1688</v>
      </c>
      <c r="M179" s="862"/>
      <c r="N179" s="862"/>
      <c r="O179" s="862"/>
      <c r="P179" s="862"/>
      <c r="Q179" s="862"/>
      <c r="R179" s="862"/>
      <c r="S179" s="862"/>
      <c r="T179" s="862"/>
      <c r="U179" s="862"/>
      <c r="V179" s="862"/>
      <c r="W179" s="863"/>
      <c r="X179" s="90"/>
      <c r="Y179" s="90"/>
      <c r="Z179" s="90"/>
    </row>
    <row r="180" ht="19.5" customHeight="1">
      <c r="A180" s="860">
        <v>179.0</v>
      </c>
      <c r="B180" s="861" t="s">
        <v>3032</v>
      </c>
      <c r="C180" s="862" t="s">
        <v>886</v>
      </c>
      <c r="D180" s="861">
        <v>20.0</v>
      </c>
      <c r="E180" s="861">
        <v>20.0</v>
      </c>
      <c r="F180" s="861">
        <v>400.0</v>
      </c>
      <c r="G180" s="861" t="s">
        <v>1697</v>
      </c>
      <c r="H180" s="861" t="s">
        <v>338</v>
      </c>
      <c r="I180" s="861" t="e">
        <v>#VALUE!</v>
      </c>
      <c r="J180" s="858" t="s">
        <v>2696</v>
      </c>
      <c r="K180" s="858">
        <v>0.0</v>
      </c>
      <c r="L180" s="858" t="s">
        <v>1688</v>
      </c>
      <c r="M180" s="862"/>
      <c r="N180" s="862"/>
      <c r="O180" s="862"/>
      <c r="P180" s="862"/>
      <c r="Q180" s="862"/>
      <c r="R180" s="862"/>
      <c r="S180" s="862"/>
      <c r="T180" s="862"/>
      <c r="U180" s="862"/>
      <c r="V180" s="862"/>
      <c r="W180" s="863"/>
      <c r="X180" s="90"/>
      <c r="Y180" s="90"/>
      <c r="Z180" s="90"/>
    </row>
    <row r="181" ht="19.5" customHeight="1">
      <c r="A181" s="860">
        <v>180.0</v>
      </c>
      <c r="B181" s="861" t="s">
        <v>3033</v>
      </c>
      <c r="C181" s="862" t="s">
        <v>930</v>
      </c>
      <c r="D181" s="861">
        <v>10.0</v>
      </c>
      <c r="E181" s="861">
        <v>40.0</v>
      </c>
      <c r="F181" s="861">
        <v>400.0</v>
      </c>
      <c r="G181" s="861" t="s">
        <v>1697</v>
      </c>
      <c r="H181" s="861" t="s">
        <v>1624</v>
      </c>
      <c r="I181" s="861" t="e">
        <v>#VALUE!</v>
      </c>
      <c r="J181" s="858" t="s">
        <v>2696</v>
      </c>
      <c r="K181" s="858">
        <v>0.0</v>
      </c>
      <c r="L181" s="858" t="s">
        <v>1688</v>
      </c>
      <c r="M181" s="862"/>
      <c r="N181" s="862"/>
      <c r="O181" s="862"/>
      <c r="P181" s="862"/>
      <c r="Q181" s="862"/>
      <c r="R181" s="862"/>
      <c r="S181" s="862"/>
      <c r="T181" s="862"/>
      <c r="U181" s="862"/>
      <c r="V181" s="862"/>
      <c r="W181" s="863"/>
      <c r="X181" s="90"/>
      <c r="Y181" s="90"/>
      <c r="Z181" s="90"/>
    </row>
    <row r="182" ht="19.5" customHeight="1">
      <c r="A182" s="860">
        <v>181.0</v>
      </c>
      <c r="B182" s="861" t="s">
        <v>3034</v>
      </c>
      <c r="C182" s="862" t="s">
        <v>1824</v>
      </c>
      <c r="D182" s="861">
        <v>5.0</v>
      </c>
      <c r="E182" s="861">
        <v>30.0</v>
      </c>
      <c r="F182" s="861">
        <v>150.0</v>
      </c>
      <c r="G182" s="861" t="s">
        <v>1697</v>
      </c>
      <c r="H182" s="861" t="s">
        <v>1001</v>
      </c>
      <c r="I182" s="861" t="e">
        <v>#VALUE!</v>
      </c>
      <c r="J182" s="858" t="s">
        <v>2839</v>
      </c>
      <c r="K182" s="858">
        <v>0.0</v>
      </c>
      <c r="L182" s="858" t="s">
        <v>1688</v>
      </c>
      <c r="M182" s="862"/>
      <c r="N182" s="862"/>
      <c r="O182" s="862"/>
      <c r="P182" s="862"/>
      <c r="Q182" s="862"/>
      <c r="R182" s="862"/>
      <c r="S182" s="862"/>
      <c r="T182" s="862"/>
      <c r="U182" s="862"/>
      <c r="V182" s="862"/>
      <c r="W182" s="863"/>
      <c r="X182" s="90"/>
      <c r="Y182" s="90"/>
      <c r="Z182" s="90"/>
    </row>
    <row r="183" ht="19.5" customHeight="1">
      <c r="A183" s="860">
        <v>182.0</v>
      </c>
      <c r="B183" s="861" t="s">
        <v>3035</v>
      </c>
      <c r="C183" s="862" t="s">
        <v>3036</v>
      </c>
      <c r="D183" s="861">
        <v>5.0</v>
      </c>
      <c r="E183" s="861">
        <v>200.0</v>
      </c>
      <c r="F183" s="861">
        <v>1000.0</v>
      </c>
      <c r="G183" s="861" t="s">
        <v>1697</v>
      </c>
      <c r="H183" s="861" t="s">
        <v>3037</v>
      </c>
      <c r="I183" s="861" t="e">
        <v>#VALUE!</v>
      </c>
      <c r="J183" s="858" t="s">
        <v>2839</v>
      </c>
      <c r="K183" s="858">
        <v>0.0</v>
      </c>
      <c r="L183" s="858" t="s">
        <v>1688</v>
      </c>
      <c r="M183" s="862"/>
      <c r="N183" s="862"/>
      <c r="O183" s="862"/>
      <c r="P183" s="862"/>
      <c r="Q183" s="862"/>
      <c r="R183" s="862"/>
      <c r="S183" s="862"/>
      <c r="T183" s="862"/>
      <c r="U183" s="862"/>
      <c r="V183" s="862"/>
      <c r="W183" s="863"/>
      <c r="X183" s="90"/>
      <c r="Y183" s="90"/>
      <c r="Z183" s="90"/>
    </row>
    <row r="184" ht="19.5" customHeight="1">
      <c r="A184" s="860">
        <v>183.0</v>
      </c>
      <c r="B184" s="861" t="s">
        <v>3038</v>
      </c>
      <c r="C184" s="862" t="s">
        <v>1526</v>
      </c>
      <c r="D184" s="861">
        <v>5.0</v>
      </c>
      <c r="E184" s="861">
        <v>250.0</v>
      </c>
      <c r="F184" s="861">
        <v>1250.0</v>
      </c>
      <c r="G184" s="861" t="s">
        <v>1697</v>
      </c>
      <c r="H184" s="861" t="s">
        <v>1020</v>
      </c>
      <c r="I184" s="861" t="e">
        <v>#VALUE!</v>
      </c>
      <c r="J184" s="858" t="s">
        <v>2839</v>
      </c>
      <c r="K184" s="858">
        <v>0.0</v>
      </c>
      <c r="L184" s="858" t="s">
        <v>1688</v>
      </c>
      <c r="M184" s="862"/>
      <c r="N184" s="862"/>
      <c r="O184" s="862"/>
      <c r="P184" s="862"/>
      <c r="Q184" s="862"/>
      <c r="R184" s="862"/>
      <c r="S184" s="862"/>
      <c r="T184" s="862"/>
      <c r="U184" s="862"/>
      <c r="V184" s="862"/>
      <c r="W184" s="863"/>
      <c r="X184" s="90"/>
      <c r="Y184" s="90"/>
      <c r="Z184" s="90"/>
    </row>
    <row r="185" ht="19.5" customHeight="1">
      <c r="A185" s="860">
        <v>184.0</v>
      </c>
      <c r="B185" s="861" t="s">
        <v>3039</v>
      </c>
      <c r="C185" s="862" t="s">
        <v>1530</v>
      </c>
      <c r="D185" s="861">
        <v>5.0</v>
      </c>
      <c r="E185" s="861">
        <v>250.0</v>
      </c>
      <c r="F185" s="861">
        <v>1250.0</v>
      </c>
      <c r="G185" s="861" t="s">
        <v>1697</v>
      </c>
      <c r="H185" s="861" t="s">
        <v>1451</v>
      </c>
      <c r="I185" s="861" t="e">
        <v>#VALUE!</v>
      </c>
      <c r="J185" s="858" t="s">
        <v>2839</v>
      </c>
      <c r="K185" s="858">
        <v>0.0</v>
      </c>
      <c r="L185" s="858" t="s">
        <v>1688</v>
      </c>
      <c r="M185" s="862"/>
      <c r="N185" s="862"/>
      <c r="O185" s="862"/>
      <c r="P185" s="862"/>
      <c r="Q185" s="862"/>
      <c r="R185" s="862"/>
      <c r="S185" s="862"/>
      <c r="T185" s="862"/>
      <c r="U185" s="862"/>
      <c r="V185" s="862"/>
      <c r="W185" s="863"/>
      <c r="X185" s="90"/>
      <c r="Y185" s="90"/>
      <c r="Z185" s="90"/>
    </row>
    <row r="186" ht="19.5" customHeight="1">
      <c r="A186" s="860">
        <v>185.0</v>
      </c>
      <c r="B186" s="861" t="s">
        <v>3040</v>
      </c>
      <c r="C186" s="862" t="s">
        <v>940</v>
      </c>
      <c r="D186" s="861">
        <v>5.0</v>
      </c>
      <c r="E186" s="861">
        <v>250.0</v>
      </c>
      <c r="F186" s="861">
        <v>1250.0</v>
      </c>
      <c r="G186" s="861" t="s">
        <v>1697</v>
      </c>
      <c r="H186" s="861" t="s">
        <v>1181</v>
      </c>
      <c r="I186" s="861" t="e">
        <v>#VALUE!</v>
      </c>
      <c r="J186" s="858" t="s">
        <v>2839</v>
      </c>
      <c r="K186" s="858">
        <v>0.0</v>
      </c>
      <c r="L186" s="858" t="s">
        <v>1688</v>
      </c>
      <c r="M186" s="862"/>
      <c r="N186" s="862"/>
      <c r="O186" s="862"/>
      <c r="P186" s="862"/>
      <c r="Q186" s="862"/>
      <c r="R186" s="862"/>
      <c r="S186" s="862"/>
      <c r="T186" s="862"/>
      <c r="U186" s="862"/>
      <c r="V186" s="862"/>
      <c r="W186" s="863"/>
      <c r="X186" s="90"/>
      <c r="Y186" s="90"/>
      <c r="Z186" s="90"/>
    </row>
    <row r="187" ht="19.5" customHeight="1">
      <c r="A187" s="860">
        <v>186.0</v>
      </c>
      <c r="B187" s="861" t="s">
        <v>3041</v>
      </c>
      <c r="C187" s="862" t="s">
        <v>3042</v>
      </c>
      <c r="D187" s="861">
        <v>5.0</v>
      </c>
      <c r="E187" s="861">
        <v>30.0</v>
      </c>
      <c r="F187" s="861">
        <v>150.0</v>
      </c>
      <c r="G187" s="861" t="s">
        <v>1697</v>
      </c>
      <c r="H187" s="861" t="s">
        <v>1535</v>
      </c>
      <c r="I187" s="861" t="e">
        <v>#VALUE!</v>
      </c>
      <c r="J187" s="858" t="s">
        <v>2839</v>
      </c>
      <c r="K187" s="858">
        <v>0.0</v>
      </c>
      <c r="L187" s="858" t="s">
        <v>1688</v>
      </c>
      <c r="M187" s="862"/>
      <c r="N187" s="862"/>
      <c r="O187" s="862"/>
      <c r="P187" s="862"/>
      <c r="Q187" s="862"/>
      <c r="R187" s="862"/>
      <c r="S187" s="862"/>
      <c r="T187" s="862"/>
      <c r="U187" s="862"/>
      <c r="V187" s="862"/>
      <c r="W187" s="863"/>
      <c r="X187" s="90"/>
      <c r="Y187" s="90"/>
      <c r="Z187" s="90"/>
    </row>
    <row r="188" ht="19.5" customHeight="1">
      <c r="A188" s="860">
        <v>187.0</v>
      </c>
      <c r="B188" s="861" t="s">
        <v>3043</v>
      </c>
      <c r="C188" s="862" t="s">
        <v>3044</v>
      </c>
      <c r="D188" s="861">
        <v>5.0</v>
      </c>
      <c r="E188" s="861">
        <v>250.0</v>
      </c>
      <c r="F188" s="861">
        <v>1250.0</v>
      </c>
      <c r="G188" s="861" t="s">
        <v>1697</v>
      </c>
      <c r="H188" s="861" t="s">
        <v>1539</v>
      </c>
      <c r="I188" s="861" t="e">
        <v>#VALUE!</v>
      </c>
      <c r="J188" s="858" t="s">
        <v>2839</v>
      </c>
      <c r="K188" s="858">
        <v>0.0</v>
      </c>
      <c r="L188" s="858" t="s">
        <v>1688</v>
      </c>
      <c r="M188" s="862"/>
      <c r="N188" s="862"/>
      <c r="O188" s="862"/>
      <c r="P188" s="862"/>
      <c r="Q188" s="862"/>
      <c r="R188" s="862"/>
      <c r="S188" s="862"/>
      <c r="T188" s="862"/>
      <c r="U188" s="862"/>
      <c r="V188" s="862"/>
      <c r="W188" s="863"/>
      <c r="X188" s="90"/>
      <c r="Y188" s="90"/>
      <c r="Z188" s="90"/>
    </row>
    <row r="189" ht="19.5" customHeight="1">
      <c r="A189" s="860">
        <v>188.0</v>
      </c>
      <c r="B189" s="861" t="s">
        <v>3045</v>
      </c>
      <c r="C189" s="862" t="s">
        <v>943</v>
      </c>
      <c r="D189" s="861">
        <v>5.0</v>
      </c>
      <c r="E189" s="861">
        <v>40.0</v>
      </c>
      <c r="F189" s="861">
        <v>200.0</v>
      </c>
      <c r="G189" s="861" t="s">
        <v>1697</v>
      </c>
      <c r="H189" s="861" t="s">
        <v>1311</v>
      </c>
      <c r="I189" s="861" t="e">
        <v>#VALUE!</v>
      </c>
      <c r="J189" s="858" t="s">
        <v>2839</v>
      </c>
      <c r="K189" s="858">
        <v>0.0</v>
      </c>
      <c r="L189" s="858" t="s">
        <v>1688</v>
      </c>
      <c r="M189" s="862"/>
      <c r="N189" s="862"/>
      <c r="O189" s="862"/>
      <c r="P189" s="862"/>
      <c r="Q189" s="862"/>
      <c r="R189" s="862"/>
      <c r="S189" s="862"/>
      <c r="T189" s="862"/>
      <c r="U189" s="862"/>
      <c r="V189" s="862"/>
      <c r="W189" s="863"/>
      <c r="X189" s="90"/>
      <c r="Y189" s="90"/>
      <c r="Z189" s="90"/>
    </row>
    <row r="190" ht="19.5" customHeight="1">
      <c r="A190" s="860">
        <v>189.0</v>
      </c>
      <c r="B190" s="861" t="s">
        <v>3046</v>
      </c>
      <c r="C190" s="862" t="s">
        <v>947</v>
      </c>
      <c r="D190" s="861">
        <v>5.0</v>
      </c>
      <c r="E190" s="861">
        <v>40.0</v>
      </c>
      <c r="F190" s="861">
        <v>200.0</v>
      </c>
      <c r="G190" s="861" t="s">
        <v>1697</v>
      </c>
      <c r="H190" s="861" t="s">
        <v>297</v>
      </c>
      <c r="I190" s="861" t="e">
        <v>#VALUE!</v>
      </c>
      <c r="J190" s="858" t="s">
        <v>2839</v>
      </c>
      <c r="K190" s="858">
        <v>0.0</v>
      </c>
      <c r="L190" s="858" t="s">
        <v>1688</v>
      </c>
      <c r="M190" s="862"/>
      <c r="N190" s="862"/>
      <c r="O190" s="862"/>
      <c r="P190" s="862"/>
      <c r="Q190" s="862"/>
      <c r="R190" s="862"/>
      <c r="S190" s="862"/>
      <c r="T190" s="862"/>
      <c r="U190" s="862"/>
      <c r="V190" s="862"/>
      <c r="W190" s="863"/>
      <c r="X190" s="90"/>
      <c r="Y190" s="90"/>
      <c r="Z190" s="90"/>
    </row>
    <row r="191" ht="19.5" customHeight="1">
      <c r="A191" s="860">
        <v>190.0</v>
      </c>
      <c r="B191" s="861" t="s">
        <v>3047</v>
      </c>
      <c r="C191" s="862" t="s">
        <v>1546</v>
      </c>
      <c r="D191" s="861">
        <v>10.0</v>
      </c>
      <c r="E191" s="861">
        <v>30.0</v>
      </c>
      <c r="F191" s="861">
        <v>300.0</v>
      </c>
      <c r="G191" s="861" t="s">
        <v>1697</v>
      </c>
      <c r="H191" s="861" t="s">
        <v>908</v>
      </c>
      <c r="I191" s="861" t="e">
        <v>#VALUE!</v>
      </c>
      <c r="J191" s="858" t="s">
        <v>2839</v>
      </c>
      <c r="K191" s="858">
        <v>0.0</v>
      </c>
      <c r="L191" s="858" t="s">
        <v>1688</v>
      </c>
      <c r="M191" s="862"/>
      <c r="N191" s="862"/>
      <c r="O191" s="862"/>
      <c r="P191" s="862"/>
      <c r="Q191" s="862"/>
      <c r="R191" s="862"/>
      <c r="S191" s="862"/>
      <c r="T191" s="862"/>
      <c r="U191" s="862"/>
      <c r="V191" s="862"/>
      <c r="W191" s="863"/>
      <c r="X191" s="90"/>
      <c r="Y191" s="90"/>
      <c r="Z191" s="90"/>
    </row>
    <row r="192" ht="19.5" customHeight="1">
      <c r="A192" s="860">
        <v>191.0</v>
      </c>
      <c r="B192" s="861" t="s">
        <v>3048</v>
      </c>
      <c r="C192" s="862" t="s">
        <v>1550</v>
      </c>
      <c r="D192" s="861">
        <v>5.0</v>
      </c>
      <c r="E192" s="861">
        <v>90.0</v>
      </c>
      <c r="F192" s="861">
        <v>450.0</v>
      </c>
      <c r="G192" s="861" t="s">
        <v>1697</v>
      </c>
      <c r="H192" s="861" t="s">
        <v>1060</v>
      </c>
      <c r="I192" s="861" t="e">
        <v>#VALUE!</v>
      </c>
      <c r="J192" s="858" t="s">
        <v>2839</v>
      </c>
      <c r="K192" s="858">
        <v>0.0</v>
      </c>
      <c r="L192" s="858" t="s">
        <v>1688</v>
      </c>
      <c r="M192" s="862"/>
      <c r="N192" s="862"/>
      <c r="O192" s="862"/>
      <c r="P192" s="862"/>
      <c r="Q192" s="862"/>
      <c r="R192" s="862"/>
      <c r="S192" s="862"/>
      <c r="T192" s="862"/>
      <c r="U192" s="862"/>
      <c r="V192" s="862"/>
      <c r="W192" s="863"/>
      <c r="X192" s="90"/>
      <c r="Y192" s="90"/>
      <c r="Z192" s="90"/>
    </row>
    <row r="193" ht="19.5" customHeight="1">
      <c r="A193" s="860">
        <v>192.0</v>
      </c>
      <c r="B193" s="861" t="s">
        <v>3049</v>
      </c>
      <c r="C193" s="862" t="s">
        <v>3050</v>
      </c>
      <c r="D193" s="861">
        <v>5.0</v>
      </c>
      <c r="E193" s="861">
        <v>150.0</v>
      </c>
      <c r="F193" s="861">
        <v>750.0</v>
      </c>
      <c r="G193" s="861" t="s">
        <v>1697</v>
      </c>
      <c r="H193" s="861" t="s">
        <v>627</v>
      </c>
      <c r="I193" s="861" t="e">
        <v>#VALUE!</v>
      </c>
      <c r="J193" s="858" t="s">
        <v>2839</v>
      </c>
      <c r="K193" s="858">
        <v>0.0</v>
      </c>
      <c r="L193" s="858" t="s">
        <v>1688</v>
      </c>
      <c r="M193" s="862"/>
      <c r="N193" s="862"/>
      <c r="O193" s="862"/>
      <c r="P193" s="862"/>
      <c r="Q193" s="862"/>
      <c r="R193" s="862"/>
      <c r="S193" s="862"/>
      <c r="T193" s="862"/>
      <c r="U193" s="862"/>
      <c r="V193" s="862"/>
      <c r="W193" s="863"/>
      <c r="X193" s="90"/>
      <c r="Y193" s="90"/>
      <c r="Z193" s="90"/>
    </row>
    <row r="194" ht="19.5" customHeight="1">
      <c r="A194" s="860">
        <v>193.0</v>
      </c>
      <c r="B194" s="861" t="s">
        <v>3051</v>
      </c>
      <c r="C194" s="862" t="s">
        <v>3052</v>
      </c>
      <c r="D194" s="861">
        <v>5.0</v>
      </c>
      <c r="E194" s="861">
        <v>95.0</v>
      </c>
      <c r="F194" s="861">
        <v>475.0</v>
      </c>
      <c r="G194" s="861" t="s">
        <v>1697</v>
      </c>
      <c r="H194" s="861" t="s">
        <v>2813</v>
      </c>
      <c r="I194" s="861" t="e">
        <v>#VALUE!</v>
      </c>
      <c r="J194" s="858" t="s">
        <v>2839</v>
      </c>
      <c r="K194" s="858">
        <v>0.0</v>
      </c>
      <c r="L194" s="858" t="s">
        <v>1688</v>
      </c>
      <c r="M194" s="862"/>
      <c r="N194" s="862"/>
      <c r="O194" s="862"/>
      <c r="P194" s="862"/>
      <c r="Q194" s="862"/>
      <c r="R194" s="862"/>
      <c r="S194" s="862"/>
      <c r="T194" s="862"/>
      <c r="U194" s="862"/>
      <c r="V194" s="862"/>
      <c r="W194" s="863"/>
      <c r="X194" s="90"/>
      <c r="Y194" s="90"/>
      <c r="Z194" s="90"/>
    </row>
    <row r="195" ht="19.5" customHeight="1">
      <c r="A195" s="860">
        <v>194.0</v>
      </c>
      <c r="B195" s="861" t="s">
        <v>3053</v>
      </c>
      <c r="C195" s="862" t="s">
        <v>1569</v>
      </c>
      <c r="D195" s="861">
        <v>5.0</v>
      </c>
      <c r="E195" s="861">
        <v>125.0</v>
      </c>
      <c r="F195" s="861">
        <v>625.0</v>
      </c>
      <c r="G195" s="861" t="s">
        <v>1697</v>
      </c>
      <c r="H195" s="861" t="s">
        <v>1566</v>
      </c>
      <c r="I195" s="861" t="e">
        <v>#VALUE!</v>
      </c>
      <c r="J195" s="858" t="s">
        <v>2839</v>
      </c>
      <c r="K195" s="858">
        <v>0.0</v>
      </c>
      <c r="L195" s="858" t="s">
        <v>1688</v>
      </c>
      <c r="M195" s="862"/>
      <c r="N195" s="862"/>
      <c r="O195" s="862"/>
      <c r="P195" s="862"/>
      <c r="Q195" s="862"/>
      <c r="R195" s="862"/>
      <c r="S195" s="862"/>
      <c r="T195" s="862"/>
      <c r="U195" s="862"/>
      <c r="V195" s="862"/>
      <c r="W195" s="863"/>
      <c r="X195" s="90"/>
      <c r="Y195" s="90"/>
      <c r="Z195" s="90"/>
    </row>
    <row r="196" ht="19.5" customHeight="1">
      <c r="A196" s="860">
        <v>195.0</v>
      </c>
      <c r="B196" s="861" t="s">
        <v>3054</v>
      </c>
      <c r="C196" s="862" t="s">
        <v>1760</v>
      </c>
      <c r="D196" s="861">
        <v>5.0</v>
      </c>
      <c r="E196" s="861">
        <v>95.0</v>
      </c>
      <c r="F196" s="861">
        <v>475.0</v>
      </c>
      <c r="G196" s="861" t="s">
        <v>1697</v>
      </c>
      <c r="H196" s="861" t="s">
        <v>1091</v>
      </c>
      <c r="I196" s="861" t="e">
        <v>#VALUE!</v>
      </c>
      <c r="J196" s="858" t="s">
        <v>2839</v>
      </c>
      <c r="K196" s="858">
        <v>0.0</v>
      </c>
      <c r="L196" s="858" t="s">
        <v>1688</v>
      </c>
      <c r="M196" s="862"/>
      <c r="N196" s="862"/>
      <c r="O196" s="862"/>
      <c r="P196" s="862"/>
      <c r="Q196" s="862"/>
      <c r="R196" s="862"/>
      <c r="S196" s="862"/>
      <c r="T196" s="862"/>
      <c r="U196" s="862"/>
      <c r="V196" s="862"/>
      <c r="W196" s="863"/>
      <c r="X196" s="90"/>
      <c r="Y196" s="90"/>
      <c r="Z196" s="90"/>
    </row>
    <row r="197" ht="19.5" customHeight="1">
      <c r="A197" s="860">
        <v>196.0</v>
      </c>
      <c r="B197" s="861" t="s">
        <v>3055</v>
      </c>
      <c r="C197" s="862" t="s">
        <v>3056</v>
      </c>
      <c r="D197" s="861">
        <v>5.0</v>
      </c>
      <c r="E197" s="861">
        <v>130.0</v>
      </c>
      <c r="F197" s="861">
        <v>650.0</v>
      </c>
      <c r="G197" s="861" t="s">
        <v>1697</v>
      </c>
      <c r="H197" s="861" t="s">
        <v>924</v>
      </c>
      <c r="I197" s="861" t="e">
        <v>#VALUE!</v>
      </c>
      <c r="J197" s="858" t="s">
        <v>2839</v>
      </c>
      <c r="K197" s="858">
        <v>0.0</v>
      </c>
      <c r="L197" s="858" t="s">
        <v>1688</v>
      </c>
      <c r="M197" s="862"/>
      <c r="N197" s="862"/>
      <c r="O197" s="862"/>
      <c r="P197" s="862"/>
      <c r="Q197" s="862"/>
      <c r="R197" s="862"/>
      <c r="S197" s="862"/>
      <c r="T197" s="862"/>
      <c r="U197" s="862"/>
      <c r="V197" s="862"/>
      <c r="W197" s="863"/>
      <c r="X197" s="90"/>
      <c r="Y197" s="90"/>
      <c r="Z197" s="90"/>
    </row>
    <row r="198" ht="19.5" customHeight="1">
      <c r="A198" s="860">
        <v>197.0</v>
      </c>
      <c r="B198" s="861" t="s">
        <v>3057</v>
      </c>
      <c r="C198" s="862" t="s">
        <v>3058</v>
      </c>
      <c r="D198" s="861">
        <v>5.0</v>
      </c>
      <c r="E198" s="861">
        <v>150.0</v>
      </c>
      <c r="F198" s="861">
        <v>750.0</v>
      </c>
      <c r="G198" s="861" t="s">
        <v>1697</v>
      </c>
      <c r="H198" s="861" t="s">
        <v>883</v>
      </c>
      <c r="I198" s="861" t="e">
        <v>#VALUE!</v>
      </c>
      <c r="J198" s="858" t="s">
        <v>2839</v>
      </c>
      <c r="K198" s="858">
        <v>0.0</v>
      </c>
      <c r="L198" s="858" t="s">
        <v>1688</v>
      </c>
      <c r="M198" s="862"/>
      <c r="N198" s="862"/>
      <c r="O198" s="862"/>
      <c r="P198" s="862"/>
      <c r="Q198" s="862"/>
      <c r="R198" s="862"/>
      <c r="S198" s="862"/>
      <c r="T198" s="862"/>
      <c r="U198" s="862"/>
      <c r="V198" s="862"/>
      <c r="W198" s="863"/>
      <c r="X198" s="90"/>
      <c r="Y198" s="90"/>
      <c r="Z198" s="90"/>
    </row>
    <row r="199" ht="19.5" customHeight="1">
      <c r="A199" s="860">
        <v>198.0</v>
      </c>
      <c r="B199" s="861" t="s">
        <v>3059</v>
      </c>
      <c r="C199" s="862" t="s">
        <v>1623</v>
      </c>
      <c r="D199" s="861">
        <v>5.0</v>
      </c>
      <c r="E199" s="861">
        <v>150.0</v>
      </c>
      <c r="F199" s="861">
        <v>750.0</v>
      </c>
      <c r="G199" s="861" t="s">
        <v>1697</v>
      </c>
      <c r="H199" s="861" t="s">
        <v>1246</v>
      </c>
      <c r="I199" s="861" t="e">
        <v>#VALUE!</v>
      </c>
      <c r="J199" s="858" t="s">
        <v>2839</v>
      </c>
      <c r="K199" s="858">
        <v>0.0</v>
      </c>
      <c r="L199" s="858" t="s">
        <v>1688</v>
      </c>
      <c r="M199" s="862"/>
      <c r="N199" s="862"/>
      <c r="O199" s="862"/>
      <c r="P199" s="862"/>
      <c r="Q199" s="862"/>
      <c r="R199" s="862"/>
      <c r="S199" s="862"/>
      <c r="T199" s="862"/>
      <c r="U199" s="862"/>
      <c r="V199" s="862"/>
      <c r="W199" s="863"/>
      <c r="X199" s="90"/>
      <c r="Y199" s="90"/>
      <c r="Z199" s="90"/>
    </row>
    <row r="200" ht="15.75" customHeight="1">
      <c r="A200" s="90"/>
      <c r="B200" s="90"/>
      <c r="C200" s="864"/>
      <c r="D200" s="90"/>
      <c r="E200" s="90"/>
      <c r="F200" s="90"/>
      <c r="G200" s="90"/>
      <c r="H200" s="90"/>
      <c r="I200" s="90"/>
      <c r="J200" s="90"/>
      <c r="K200" s="90"/>
      <c r="L200" s="90"/>
      <c r="M200" s="864"/>
      <c r="N200" s="864"/>
      <c r="O200" s="864"/>
      <c r="P200" s="864"/>
      <c r="Q200" s="864"/>
      <c r="R200" s="864"/>
      <c r="S200" s="864"/>
      <c r="T200" s="864"/>
      <c r="U200" s="864"/>
      <c r="V200" s="864"/>
      <c r="W200" s="864"/>
      <c r="X200" s="90"/>
      <c r="Y200" s="90"/>
      <c r="Z200" s="90"/>
    </row>
    <row r="201" ht="15.75" customHeight="1">
      <c r="A201" s="90"/>
      <c r="B201" s="90"/>
      <c r="C201" s="864"/>
      <c r="D201" s="90"/>
      <c r="E201" s="90"/>
      <c r="F201" s="90"/>
      <c r="G201" s="90"/>
      <c r="H201" s="90"/>
      <c r="I201" s="90"/>
      <c r="J201" s="90"/>
      <c r="K201" s="90"/>
      <c r="L201" s="90"/>
      <c r="M201" s="864"/>
      <c r="N201" s="864"/>
      <c r="O201" s="864"/>
      <c r="P201" s="864"/>
      <c r="Q201" s="864"/>
      <c r="R201" s="864"/>
      <c r="S201" s="864"/>
      <c r="T201" s="864"/>
      <c r="U201" s="864"/>
      <c r="V201" s="864"/>
      <c r="W201" s="864"/>
      <c r="X201" s="90"/>
      <c r="Y201" s="90"/>
      <c r="Z201" s="90"/>
    </row>
    <row r="202" ht="15.75" customHeight="1">
      <c r="A202" s="90"/>
      <c r="B202" s="90"/>
      <c r="C202" s="864"/>
      <c r="D202" s="90"/>
      <c r="E202" s="90"/>
      <c r="F202" s="90"/>
      <c r="G202" s="90"/>
      <c r="H202" s="90"/>
      <c r="I202" s="90"/>
      <c r="J202" s="90"/>
      <c r="K202" s="90"/>
      <c r="L202" s="90"/>
      <c r="M202" s="864"/>
      <c r="N202" s="864"/>
      <c r="O202" s="864"/>
      <c r="P202" s="864"/>
      <c r="Q202" s="864"/>
      <c r="R202" s="864"/>
      <c r="S202" s="864"/>
      <c r="T202" s="864"/>
      <c r="U202" s="864"/>
      <c r="V202" s="864"/>
      <c r="W202" s="864"/>
      <c r="X202" s="90"/>
      <c r="Y202" s="90"/>
      <c r="Z202" s="90"/>
    </row>
    <row r="203" ht="15.75" customHeight="1">
      <c r="A203" s="90"/>
      <c r="B203" s="90"/>
      <c r="C203" s="864"/>
      <c r="D203" s="90"/>
      <c r="E203" s="90"/>
      <c r="F203" s="90"/>
      <c r="G203" s="90"/>
      <c r="H203" s="90"/>
      <c r="I203" s="90"/>
      <c r="J203" s="90"/>
      <c r="K203" s="90"/>
      <c r="L203" s="90"/>
      <c r="M203" s="864"/>
      <c r="N203" s="864"/>
      <c r="O203" s="864"/>
      <c r="P203" s="864"/>
      <c r="Q203" s="864"/>
      <c r="R203" s="864"/>
      <c r="S203" s="864"/>
      <c r="T203" s="864"/>
      <c r="U203" s="864"/>
      <c r="V203" s="864"/>
      <c r="W203" s="864"/>
      <c r="X203" s="90"/>
      <c r="Y203" s="90"/>
      <c r="Z203" s="90"/>
    </row>
    <row r="204" ht="15.75" customHeight="1">
      <c r="A204" s="90"/>
      <c r="B204" s="90"/>
      <c r="C204" s="864"/>
      <c r="D204" s="90"/>
      <c r="E204" s="90"/>
      <c r="F204" s="90"/>
      <c r="G204" s="90"/>
      <c r="H204" s="90"/>
      <c r="I204" s="90"/>
      <c r="J204" s="90"/>
      <c r="K204" s="90"/>
      <c r="L204" s="90"/>
      <c r="M204" s="864"/>
      <c r="N204" s="864"/>
      <c r="O204" s="864"/>
      <c r="P204" s="864"/>
      <c r="Q204" s="864"/>
      <c r="R204" s="864"/>
      <c r="S204" s="864"/>
      <c r="T204" s="864"/>
      <c r="U204" s="864"/>
      <c r="V204" s="864"/>
      <c r="W204" s="864"/>
      <c r="X204" s="90"/>
      <c r="Y204" s="90"/>
      <c r="Z204" s="90"/>
    </row>
    <row r="205" ht="15.75" customHeight="1">
      <c r="A205" s="90"/>
      <c r="B205" s="90"/>
      <c r="C205" s="864"/>
      <c r="D205" s="90"/>
      <c r="E205" s="90"/>
      <c r="F205" s="90"/>
      <c r="G205" s="90"/>
      <c r="H205" s="90"/>
      <c r="I205" s="90"/>
      <c r="J205" s="90"/>
      <c r="K205" s="90"/>
      <c r="L205" s="90"/>
      <c r="M205" s="864"/>
      <c r="N205" s="864"/>
      <c r="O205" s="864"/>
      <c r="P205" s="864"/>
      <c r="Q205" s="864"/>
      <c r="R205" s="864"/>
      <c r="S205" s="864"/>
      <c r="T205" s="864"/>
      <c r="U205" s="864"/>
      <c r="V205" s="864"/>
      <c r="W205" s="864"/>
      <c r="X205" s="90"/>
      <c r="Y205" s="90"/>
      <c r="Z205" s="90"/>
    </row>
    <row r="206" ht="15.75" customHeight="1">
      <c r="A206" s="90"/>
      <c r="B206" s="90"/>
      <c r="C206" s="864"/>
      <c r="D206" s="90"/>
      <c r="E206" s="90"/>
      <c r="F206" s="90"/>
      <c r="G206" s="90"/>
      <c r="H206" s="90"/>
      <c r="I206" s="90"/>
      <c r="J206" s="90"/>
      <c r="K206" s="90"/>
      <c r="L206" s="90"/>
      <c r="M206" s="864"/>
      <c r="N206" s="864"/>
      <c r="O206" s="864"/>
      <c r="P206" s="864"/>
      <c r="Q206" s="864"/>
      <c r="R206" s="864"/>
      <c r="S206" s="864"/>
      <c r="T206" s="864"/>
      <c r="U206" s="864"/>
      <c r="V206" s="864"/>
      <c r="W206" s="864"/>
      <c r="X206" s="90"/>
      <c r="Y206" s="90"/>
      <c r="Z206" s="90"/>
    </row>
    <row r="207" ht="15.75" customHeight="1">
      <c r="A207" s="90"/>
      <c r="B207" s="90"/>
      <c r="C207" s="864"/>
      <c r="D207" s="90"/>
      <c r="E207" s="90"/>
      <c r="F207" s="90"/>
      <c r="G207" s="90"/>
      <c r="H207" s="90"/>
      <c r="I207" s="90"/>
      <c r="J207" s="90"/>
      <c r="K207" s="90"/>
      <c r="L207" s="90"/>
      <c r="M207" s="864"/>
      <c r="N207" s="864"/>
      <c r="O207" s="864"/>
      <c r="P207" s="864"/>
      <c r="Q207" s="864"/>
      <c r="R207" s="864"/>
      <c r="S207" s="864"/>
      <c r="T207" s="864"/>
      <c r="U207" s="864"/>
      <c r="V207" s="864"/>
      <c r="W207" s="864"/>
      <c r="X207" s="90"/>
      <c r="Y207" s="90"/>
      <c r="Z207" s="90"/>
    </row>
    <row r="208" ht="15.75" customHeight="1">
      <c r="A208" s="90"/>
      <c r="B208" s="90"/>
      <c r="C208" s="864"/>
      <c r="D208" s="90"/>
      <c r="E208" s="90"/>
      <c r="F208" s="90"/>
      <c r="G208" s="90"/>
      <c r="H208" s="90"/>
      <c r="I208" s="90"/>
      <c r="J208" s="90"/>
      <c r="K208" s="90"/>
      <c r="L208" s="90"/>
      <c r="M208" s="864"/>
      <c r="N208" s="864"/>
      <c r="O208" s="864"/>
      <c r="P208" s="864"/>
      <c r="Q208" s="864"/>
      <c r="R208" s="864"/>
      <c r="S208" s="864"/>
      <c r="T208" s="864"/>
      <c r="U208" s="864"/>
      <c r="V208" s="864"/>
      <c r="W208" s="864"/>
      <c r="X208" s="90"/>
      <c r="Y208" s="90"/>
      <c r="Z208" s="90"/>
    </row>
    <row r="209" ht="15.75" customHeight="1">
      <c r="A209" s="90"/>
      <c r="B209" s="90"/>
      <c r="C209" s="864"/>
      <c r="D209" s="90"/>
      <c r="E209" s="90"/>
      <c r="F209" s="90"/>
      <c r="G209" s="90"/>
      <c r="H209" s="90"/>
      <c r="I209" s="90"/>
      <c r="J209" s="90"/>
      <c r="K209" s="90"/>
      <c r="L209" s="90"/>
      <c r="M209" s="864"/>
      <c r="N209" s="864"/>
      <c r="O209" s="864"/>
      <c r="P209" s="864"/>
      <c r="Q209" s="864"/>
      <c r="R209" s="864"/>
      <c r="S209" s="864"/>
      <c r="T209" s="864"/>
      <c r="U209" s="864"/>
      <c r="V209" s="864"/>
      <c r="W209" s="864"/>
      <c r="X209" s="90"/>
      <c r="Y209" s="90"/>
      <c r="Z209" s="90"/>
    </row>
    <row r="210" ht="15.75" customHeight="1">
      <c r="A210" s="90"/>
      <c r="B210" s="90"/>
      <c r="C210" s="864"/>
      <c r="D210" s="90"/>
      <c r="E210" s="90"/>
      <c r="F210" s="90"/>
      <c r="G210" s="90"/>
      <c r="H210" s="90"/>
      <c r="I210" s="90"/>
      <c r="J210" s="90"/>
      <c r="K210" s="90"/>
      <c r="L210" s="90"/>
      <c r="M210" s="864"/>
      <c r="N210" s="864"/>
      <c r="O210" s="864"/>
      <c r="P210" s="864"/>
      <c r="Q210" s="864"/>
      <c r="R210" s="864"/>
      <c r="S210" s="864"/>
      <c r="T210" s="864"/>
      <c r="U210" s="864"/>
      <c r="V210" s="864"/>
      <c r="W210" s="864"/>
      <c r="X210" s="90"/>
      <c r="Y210" s="90"/>
      <c r="Z210" s="90"/>
    </row>
    <row r="211" ht="15.75" customHeight="1">
      <c r="A211" s="90"/>
      <c r="B211" s="90"/>
      <c r="C211" s="864"/>
      <c r="D211" s="90"/>
      <c r="E211" s="90"/>
      <c r="F211" s="90"/>
      <c r="G211" s="90"/>
      <c r="H211" s="90"/>
      <c r="I211" s="90"/>
      <c r="J211" s="90"/>
      <c r="K211" s="90"/>
      <c r="L211" s="90"/>
      <c r="M211" s="864"/>
      <c r="N211" s="864"/>
      <c r="O211" s="864"/>
      <c r="P211" s="864"/>
      <c r="Q211" s="864"/>
      <c r="R211" s="864"/>
      <c r="S211" s="864"/>
      <c r="T211" s="864"/>
      <c r="U211" s="864"/>
      <c r="V211" s="864"/>
      <c r="W211" s="864"/>
      <c r="X211" s="90"/>
      <c r="Y211" s="90"/>
      <c r="Z211" s="90"/>
    </row>
    <row r="212" ht="15.75" customHeight="1">
      <c r="A212" s="90"/>
      <c r="B212" s="90"/>
      <c r="C212" s="864"/>
      <c r="D212" s="90"/>
      <c r="E212" s="90"/>
      <c r="F212" s="90"/>
      <c r="G212" s="90"/>
      <c r="H212" s="90"/>
      <c r="I212" s="90"/>
      <c r="J212" s="90"/>
      <c r="K212" s="90"/>
      <c r="L212" s="90"/>
      <c r="M212" s="864"/>
      <c r="N212" s="864"/>
      <c r="O212" s="864"/>
      <c r="P212" s="864"/>
      <c r="Q212" s="864"/>
      <c r="R212" s="864"/>
      <c r="S212" s="864"/>
      <c r="T212" s="864"/>
      <c r="U212" s="864"/>
      <c r="V212" s="864"/>
      <c r="W212" s="864"/>
      <c r="X212" s="90"/>
      <c r="Y212" s="90"/>
      <c r="Z212" s="90"/>
    </row>
    <row r="213" ht="15.75" customHeight="1">
      <c r="A213" s="90"/>
      <c r="B213" s="90"/>
      <c r="C213" s="864"/>
      <c r="D213" s="90"/>
      <c r="E213" s="90"/>
      <c r="F213" s="90"/>
      <c r="G213" s="90"/>
      <c r="H213" s="90"/>
      <c r="I213" s="90"/>
      <c r="J213" s="90"/>
      <c r="K213" s="90"/>
      <c r="L213" s="90"/>
      <c r="M213" s="864"/>
      <c r="N213" s="864"/>
      <c r="O213" s="864"/>
      <c r="P213" s="864"/>
      <c r="Q213" s="864"/>
      <c r="R213" s="864"/>
      <c r="S213" s="864"/>
      <c r="T213" s="864"/>
      <c r="U213" s="864"/>
      <c r="V213" s="864"/>
      <c r="W213" s="864"/>
      <c r="X213" s="90"/>
      <c r="Y213" s="90"/>
      <c r="Z213" s="90"/>
    </row>
    <row r="214" ht="15.75" customHeight="1">
      <c r="A214" s="90"/>
      <c r="B214" s="90"/>
      <c r="C214" s="864"/>
      <c r="D214" s="90"/>
      <c r="E214" s="90"/>
      <c r="F214" s="90"/>
      <c r="G214" s="90"/>
      <c r="H214" s="90"/>
      <c r="I214" s="90"/>
      <c r="J214" s="90"/>
      <c r="K214" s="90"/>
      <c r="L214" s="90"/>
      <c r="M214" s="864"/>
      <c r="N214" s="864"/>
      <c r="O214" s="864"/>
      <c r="P214" s="864"/>
      <c r="Q214" s="864"/>
      <c r="R214" s="864"/>
      <c r="S214" s="864"/>
      <c r="T214" s="864"/>
      <c r="U214" s="864"/>
      <c r="V214" s="864"/>
      <c r="W214" s="864"/>
      <c r="X214" s="90"/>
      <c r="Y214" s="90"/>
      <c r="Z214" s="90"/>
    </row>
    <row r="215" ht="15.75" customHeight="1">
      <c r="A215" s="90"/>
      <c r="B215" s="90"/>
      <c r="C215" s="864"/>
      <c r="D215" s="90"/>
      <c r="E215" s="90"/>
      <c r="F215" s="90"/>
      <c r="G215" s="90"/>
      <c r="H215" s="90"/>
      <c r="I215" s="90"/>
      <c r="J215" s="90"/>
      <c r="K215" s="90"/>
      <c r="L215" s="90"/>
      <c r="M215" s="864"/>
      <c r="N215" s="864"/>
      <c r="O215" s="864"/>
      <c r="P215" s="864"/>
      <c r="Q215" s="864"/>
      <c r="R215" s="864"/>
      <c r="S215" s="864"/>
      <c r="T215" s="864"/>
      <c r="U215" s="864"/>
      <c r="V215" s="864"/>
      <c r="W215" s="864"/>
      <c r="X215" s="90"/>
      <c r="Y215" s="90"/>
      <c r="Z215" s="90"/>
    </row>
    <row r="216" ht="15.75" customHeight="1">
      <c r="A216" s="90"/>
      <c r="B216" s="90"/>
      <c r="C216" s="864"/>
      <c r="D216" s="90"/>
      <c r="E216" s="90"/>
      <c r="F216" s="90"/>
      <c r="G216" s="90"/>
      <c r="H216" s="90"/>
      <c r="I216" s="90"/>
      <c r="J216" s="90"/>
      <c r="K216" s="90"/>
      <c r="L216" s="90"/>
      <c r="M216" s="864"/>
      <c r="N216" s="864"/>
      <c r="O216" s="864"/>
      <c r="P216" s="864"/>
      <c r="Q216" s="864"/>
      <c r="R216" s="864"/>
      <c r="S216" s="864"/>
      <c r="T216" s="864"/>
      <c r="U216" s="864"/>
      <c r="V216" s="864"/>
      <c r="W216" s="864"/>
      <c r="X216" s="90"/>
      <c r="Y216" s="90"/>
      <c r="Z216" s="90"/>
    </row>
    <row r="217" ht="15.75" customHeight="1">
      <c r="A217" s="90"/>
      <c r="B217" s="90"/>
      <c r="C217" s="864"/>
      <c r="D217" s="90"/>
      <c r="E217" s="90"/>
      <c r="F217" s="90"/>
      <c r="G217" s="90"/>
      <c r="H217" s="90"/>
      <c r="I217" s="90"/>
      <c r="J217" s="90"/>
      <c r="K217" s="90"/>
      <c r="L217" s="90"/>
      <c r="M217" s="864"/>
      <c r="N217" s="864"/>
      <c r="O217" s="864"/>
      <c r="P217" s="864"/>
      <c r="Q217" s="864"/>
      <c r="R217" s="864"/>
      <c r="S217" s="864"/>
      <c r="T217" s="864"/>
      <c r="U217" s="864"/>
      <c r="V217" s="864"/>
      <c r="W217" s="864"/>
      <c r="X217" s="90"/>
      <c r="Y217" s="90"/>
      <c r="Z217" s="90"/>
    </row>
    <row r="218" ht="15.75" customHeight="1">
      <c r="A218" s="90"/>
      <c r="B218" s="90"/>
      <c r="C218" s="864"/>
      <c r="D218" s="90"/>
      <c r="E218" s="90"/>
      <c r="F218" s="90"/>
      <c r="G218" s="90"/>
      <c r="H218" s="90"/>
      <c r="I218" s="90"/>
      <c r="J218" s="90"/>
      <c r="K218" s="90"/>
      <c r="L218" s="90"/>
      <c r="M218" s="864"/>
      <c r="N218" s="864"/>
      <c r="O218" s="864"/>
      <c r="P218" s="864"/>
      <c r="Q218" s="864"/>
      <c r="R218" s="864"/>
      <c r="S218" s="864"/>
      <c r="T218" s="864"/>
      <c r="U218" s="864"/>
      <c r="V218" s="864"/>
      <c r="W218" s="864"/>
      <c r="X218" s="90"/>
      <c r="Y218" s="90"/>
      <c r="Z218" s="90"/>
    </row>
    <row r="219" ht="15.75" customHeight="1">
      <c r="A219" s="90"/>
      <c r="B219" s="90"/>
      <c r="C219" s="864"/>
      <c r="D219" s="90"/>
      <c r="E219" s="90"/>
      <c r="F219" s="90"/>
      <c r="G219" s="90"/>
      <c r="H219" s="90"/>
      <c r="I219" s="90"/>
      <c r="J219" s="90"/>
      <c r="K219" s="90"/>
      <c r="L219" s="90"/>
      <c r="M219" s="864"/>
      <c r="N219" s="864"/>
      <c r="O219" s="864"/>
      <c r="P219" s="864"/>
      <c r="Q219" s="864"/>
      <c r="R219" s="864"/>
      <c r="S219" s="864"/>
      <c r="T219" s="864"/>
      <c r="U219" s="864"/>
      <c r="V219" s="864"/>
      <c r="W219" s="864"/>
      <c r="X219" s="90"/>
      <c r="Y219" s="90"/>
      <c r="Z219" s="90"/>
    </row>
    <row r="220" ht="15.75" customHeight="1">
      <c r="A220" s="90"/>
      <c r="B220" s="90"/>
      <c r="C220" s="864"/>
      <c r="D220" s="90"/>
      <c r="E220" s="90"/>
      <c r="F220" s="90"/>
      <c r="G220" s="90"/>
      <c r="H220" s="90"/>
      <c r="I220" s="90"/>
      <c r="J220" s="90"/>
      <c r="K220" s="90"/>
      <c r="L220" s="90"/>
      <c r="M220" s="864"/>
      <c r="N220" s="864"/>
      <c r="O220" s="864"/>
      <c r="P220" s="864"/>
      <c r="Q220" s="864"/>
      <c r="R220" s="864"/>
      <c r="S220" s="864"/>
      <c r="T220" s="864"/>
      <c r="U220" s="864"/>
      <c r="V220" s="864"/>
      <c r="W220" s="864"/>
      <c r="X220" s="90"/>
      <c r="Y220" s="90"/>
      <c r="Z220" s="90"/>
    </row>
    <row r="221" ht="15.75" customHeight="1">
      <c r="A221" s="90"/>
      <c r="B221" s="90"/>
      <c r="C221" s="864"/>
      <c r="D221" s="90"/>
      <c r="E221" s="90"/>
      <c r="F221" s="90"/>
      <c r="G221" s="90"/>
      <c r="H221" s="90"/>
      <c r="I221" s="90"/>
      <c r="J221" s="90"/>
      <c r="K221" s="90"/>
      <c r="L221" s="90"/>
      <c r="M221" s="864"/>
      <c r="N221" s="864"/>
      <c r="O221" s="864"/>
      <c r="P221" s="864"/>
      <c r="Q221" s="864"/>
      <c r="R221" s="864"/>
      <c r="S221" s="864"/>
      <c r="T221" s="864"/>
      <c r="U221" s="864"/>
      <c r="V221" s="864"/>
      <c r="W221" s="864"/>
      <c r="X221" s="90"/>
      <c r="Y221" s="90"/>
      <c r="Z221" s="90"/>
    </row>
    <row r="222" ht="15.75" customHeight="1">
      <c r="A222" s="90"/>
      <c r="B222" s="90"/>
      <c r="C222" s="864"/>
      <c r="D222" s="90"/>
      <c r="E222" s="90"/>
      <c r="F222" s="90"/>
      <c r="G222" s="90"/>
      <c r="H222" s="90"/>
      <c r="I222" s="90"/>
      <c r="J222" s="90"/>
      <c r="K222" s="90"/>
      <c r="L222" s="90"/>
      <c r="M222" s="864"/>
      <c r="N222" s="864"/>
      <c r="O222" s="864"/>
      <c r="P222" s="864"/>
      <c r="Q222" s="864"/>
      <c r="R222" s="864"/>
      <c r="S222" s="864"/>
      <c r="T222" s="864"/>
      <c r="U222" s="864"/>
      <c r="V222" s="864"/>
      <c r="W222" s="864"/>
      <c r="X222" s="90"/>
      <c r="Y222" s="90"/>
      <c r="Z222" s="90"/>
    </row>
    <row r="223" ht="15.75" customHeight="1">
      <c r="A223" s="90"/>
      <c r="B223" s="90"/>
      <c r="C223" s="864"/>
      <c r="D223" s="90"/>
      <c r="E223" s="90"/>
      <c r="F223" s="90"/>
      <c r="G223" s="90"/>
      <c r="H223" s="90"/>
      <c r="I223" s="90"/>
      <c r="J223" s="90"/>
      <c r="K223" s="90"/>
      <c r="L223" s="90"/>
      <c r="M223" s="864"/>
      <c r="N223" s="864"/>
      <c r="O223" s="864"/>
      <c r="P223" s="864"/>
      <c r="Q223" s="864"/>
      <c r="R223" s="864"/>
      <c r="S223" s="864"/>
      <c r="T223" s="864"/>
      <c r="U223" s="864"/>
      <c r="V223" s="864"/>
      <c r="W223" s="864"/>
      <c r="X223" s="90"/>
      <c r="Y223" s="90"/>
      <c r="Z223" s="90"/>
    </row>
    <row r="224" ht="15.75" customHeight="1">
      <c r="A224" s="90"/>
      <c r="B224" s="90"/>
      <c r="C224" s="864"/>
      <c r="D224" s="90"/>
      <c r="E224" s="90"/>
      <c r="F224" s="90"/>
      <c r="G224" s="90"/>
      <c r="H224" s="90"/>
      <c r="I224" s="90"/>
      <c r="J224" s="90"/>
      <c r="K224" s="90"/>
      <c r="L224" s="90"/>
      <c r="M224" s="864"/>
      <c r="N224" s="864"/>
      <c r="O224" s="864"/>
      <c r="P224" s="864"/>
      <c r="Q224" s="864"/>
      <c r="R224" s="864"/>
      <c r="S224" s="864"/>
      <c r="T224" s="864"/>
      <c r="U224" s="864"/>
      <c r="V224" s="864"/>
      <c r="W224" s="864"/>
      <c r="X224" s="90"/>
      <c r="Y224" s="90"/>
      <c r="Z224" s="90"/>
    </row>
    <row r="225" ht="15.75" customHeight="1">
      <c r="A225" s="90"/>
      <c r="B225" s="90"/>
      <c r="C225" s="864"/>
      <c r="D225" s="90"/>
      <c r="E225" s="90"/>
      <c r="F225" s="90"/>
      <c r="G225" s="90"/>
      <c r="H225" s="90"/>
      <c r="I225" s="90"/>
      <c r="J225" s="90"/>
      <c r="K225" s="90"/>
      <c r="L225" s="90"/>
      <c r="M225" s="864"/>
      <c r="N225" s="864"/>
      <c r="O225" s="864"/>
      <c r="P225" s="864"/>
      <c r="Q225" s="864"/>
      <c r="R225" s="864"/>
      <c r="S225" s="864"/>
      <c r="T225" s="864"/>
      <c r="U225" s="864"/>
      <c r="V225" s="864"/>
      <c r="W225" s="864"/>
      <c r="X225" s="90"/>
      <c r="Y225" s="90"/>
      <c r="Z225" s="90"/>
    </row>
    <row r="226" ht="15.75" customHeight="1">
      <c r="A226" s="90"/>
      <c r="B226" s="90"/>
      <c r="C226" s="864"/>
      <c r="D226" s="90"/>
      <c r="E226" s="90"/>
      <c r="F226" s="90"/>
      <c r="G226" s="90"/>
      <c r="H226" s="90"/>
      <c r="I226" s="90"/>
      <c r="J226" s="90"/>
      <c r="K226" s="90"/>
      <c r="L226" s="90"/>
      <c r="M226" s="864"/>
      <c r="N226" s="864"/>
      <c r="O226" s="864"/>
      <c r="P226" s="864"/>
      <c r="Q226" s="864"/>
      <c r="R226" s="864"/>
      <c r="S226" s="864"/>
      <c r="T226" s="864"/>
      <c r="U226" s="864"/>
      <c r="V226" s="864"/>
      <c r="W226" s="864"/>
      <c r="X226" s="90"/>
      <c r="Y226" s="90"/>
      <c r="Z226" s="90"/>
    </row>
    <row r="227" ht="15.75" customHeight="1">
      <c r="A227" s="90"/>
      <c r="B227" s="90"/>
      <c r="C227" s="864"/>
      <c r="D227" s="90"/>
      <c r="E227" s="90"/>
      <c r="F227" s="90"/>
      <c r="G227" s="90"/>
      <c r="H227" s="90"/>
      <c r="I227" s="90"/>
      <c r="J227" s="90"/>
      <c r="K227" s="90"/>
      <c r="L227" s="90"/>
      <c r="M227" s="864"/>
      <c r="N227" s="864"/>
      <c r="O227" s="864"/>
      <c r="P227" s="864"/>
      <c r="Q227" s="864"/>
      <c r="R227" s="864"/>
      <c r="S227" s="864"/>
      <c r="T227" s="864"/>
      <c r="U227" s="864"/>
      <c r="V227" s="864"/>
      <c r="W227" s="864"/>
      <c r="X227" s="90"/>
      <c r="Y227" s="90"/>
      <c r="Z227" s="90"/>
    </row>
    <row r="228" ht="15.75" customHeight="1">
      <c r="A228" s="90"/>
      <c r="B228" s="90"/>
      <c r="C228" s="864"/>
      <c r="D228" s="90"/>
      <c r="E228" s="90"/>
      <c r="F228" s="90"/>
      <c r="G228" s="90"/>
      <c r="H228" s="90"/>
      <c r="I228" s="90"/>
      <c r="J228" s="90"/>
      <c r="K228" s="90"/>
      <c r="L228" s="90"/>
      <c r="M228" s="864"/>
      <c r="N228" s="864"/>
      <c r="O228" s="864"/>
      <c r="P228" s="864"/>
      <c r="Q228" s="864"/>
      <c r="R228" s="864"/>
      <c r="S228" s="864"/>
      <c r="T228" s="864"/>
      <c r="U228" s="864"/>
      <c r="V228" s="864"/>
      <c r="W228" s="864"/>
      <c r="X228" s="90"/>
      <c r="Y228" s="90"/>
      <c r="Z228" s="90"/>
    </row>
    <row r="229" ht="15.75" customHeight="1">
      <c r="A229" s="90"/>
      <c r="B229" s="90"/>
      <c r="C229" s="864"/>
      <c r="D229" s="90"/>
      <c r="E229" s="90"/>
      <c r="F229" s="90"/>
      <c r="G229" s="90"/>
      <c r="H229" s="90"/>
      <c r="I229" s="90"/>
      <c r="J229" s="90"/>
      <c r="K229" s="90"/>
      <c r="L229" s="90"/>
      <c r="M229" s="864"/>
      <c r="N229" s="864"/>
      <c r="O229" s="864"/>
      <c r="P229" s="864"/>
      <c r="Q229" s="864"/>
      <c r="R229" s="864"/>
      <c r="S229" s="864"/>
      <c r="T229" s="864"/>
      <c r="U229" s="864"/>
      <c r="V229" s="864"/>
      <c r="W229" s="864"/>
      <c r="X229" s="90"/>
      <c r="Y229" s="90"/>
      <c r="Z229" s="90"/>
    </row>
    <row r="230" ht="15.75" customHeight="1">
      <c r="A230" s="90"/>
      <c r="B230" s="90"/>
      <c r="C230" s="864"/>
      <c r="D230" s="90"/>
      <c r="E230" s="90"/>
      <c r="F230" s="90"/>
      <c r="G230" s="90"/>
      <c r="H230" s="90"/>
      <c r="I230" s="90"/>
      <c r="J230" s="90"/>
      <c r="K230" s="90"/>
      <c r="L230" s="90"/>
      <c r="M230" s="864"/>
      <c r="N230" s="864"/>
      <c r="O230" s="864"/>
      <c r="P230" s="864"/>
      <c r="Q230" s="864"/>
      <c r="R230" s="864"/>
      <c r="S230" s="864"/>
      <c r="T230" s="864"/>
      <c r="U230" s="864"/>
      <c r="V230" s="864"/>
      <c r="W230" s="864"/>
      <c r="X230" s="90"/>
      <c r="Y230" s="90"/>
      <c r="Z230" s="90"/>
    </row>
    <row r="231" ht="15.75" customHeight="1">
      <c r="A231" s="90"/>
      <c r="B231" s="90"/>
      <c r="C231" s="864"/>
      <c r="D231" s="90"/>
      <c r="E231" s="90"/>
      <c r="F231" s="90"/>
      <c r="G231" s="90"/>
      <c r="H231" s="90"/>
      <c r="I231" s="90"/>
      <c r="J231" s="90"/>
      <c r="K231" s="90"/>
      <c r="L231" s="90"/>
      <c r="M231" s="864"/>
      <c r="N231" s="864"/>
      <c r="O231" s="864"/>
      <c r="P231" s="864"/>
      <c r="Q231" s="864"/>
      <c r="R231" s="864"/>
      <c r="S231" s="864"/>
      <c r="T231" s="864"/>
      <c r="U231" s="864"/>
      <c r="V231" s="864"/>
      <c r="W231" s="864"/>
      <c r="X231" s="90"/>
      <c r="Y231" s="90"/>
      <c r="Z231" s="90"/>
    </row>
    <row r="232" ht="15.75" customHeight="1">
      <c r="A232" s="90"/>
      <c r="B232" s="90"/>
      <c r="C232" s="864"/>
      <c r="D232" s="90"/>
      <c r="E232" s="90"/>
      <c r="F232" s="90"/>
      <c r="G232" s="90"/>
      <c r="H232" s="90"/>
      <c r="I232" s="90"/>
      <c r="J232" s="90"/>
      <c r="K232" s="90"/>
      <c r="L232" s="90"/>
      <c r="M232" s="864"/>
      <c r="N232" s="864"/>
      <c r="O232" s="864"/>
      <c r="P232" s="864"/>
      <c r="Q232" s="864"/>
      <c r="R232" s="864"/>
      <c r="S232" s="864"/>
      <c r="T232" s="864"/>
      <c r="U232" s="864"/>
      <c r="V232" s="864"/>
      <c r="W232" s="864"/>
      <c r="X232" s="90"/>
      <c r="Y232" s="90"/>
      <c r="Z232" s="90"/>
    </row>
    <row r="233" ht="15.75" customHeight="1">
      <c r="A233" s="90"/>
      <c r="B233" s="90"/>
      <c r="C233" s="864"/>
      <c r="D233" s="90"/>
      <c r="E233" s="90"/>
      <c r="F233" s="90"/>
      <c r="G233" s="90"/>
      <c r="H233" s="90"/>
      <c r="I233" s="90"/>
      <c r="J233" s="90"/>
      <c r="K233" s="90"/>
      <c r="L233" s="90"/>
      <c r="M233" s="864"/>
      <c r="N233" s="864"/>
      <c r="O233" s="864"/>
      <c r="P233" s="864"/>
      <c r="Q233" s="864"/>
      <c r="R233" s="864"/>
      <c r="S233" s="864"/>
      <c r="T233" s="864"/>
      <c r="U233" s="864"/>
      <c r="V233" s="864"/>
      <c r="W233" s="864"/>
      <c r="X233" s="90"/>
      <c r="Y233" s="90"/>
      <c r="Z233" s="90"/>
    </row>
    <row r="234" ht="15.75" customHeight="1">
      <c r="A234" s="90"/>
      <c r="B234" s="90"/>
      <c r="C234" s="864"/>
      <c r="D234" s="90"/>
      <c r="E234" s="90"/>
      <c r="F234" s="90"/>
      <c r="G234" s="90"/>
      <c r="H234" s="90"/>
      <c r="I234" s="90"/>
      <c r="J234" s="90"/>
      <c r="K234" s="90"/>
      <c r="L234" s="90"/>
      <c r="M234" s="864"/>
      <c r="N234" s="864"/>
      <c r="O234" s="864"/>
      <c r="P234" s="864"/>
      <c r="Q234" s="864"/>
      <c r="R234" s="864"/>
      <c r="S234" s="864"/>
      <c r="T234" s="864"/>
      <c r="U234" s="864"/>
      <c r="V234" s="864"/>
      <c r="W234" s="864"/>
      <c r="X234" s="90"/>
      <c r="Y234" s="90"/>
      <c r="Z234" s="90"/>
    </row>
    <row r="235" ht="15.75" customHeight="1">
      <c r="A235" s="90"/>
      <c r="B235" s="90"/>
      <c r="C235" s="864"/>
      <c r="D235" s="90"/>
      <c r="E235" s="90"/>
      <c r="F235" s="90"/>
      <c r="G235" s="90"/>
      <c r="H235" s="90"/>
      <c r="I235" s="90"/>
      <c r="J235" s="90"/>
      <c r="K235" s="90"/>
      <c r="L235" s="90"/>
      <c r="M235" s="864"/>
      <c r="N235" s="864"/>
      <c r="O235" s="864"/>
      <c r="P235" s="864"/>
      <c r="Q235" s="864"/>
      <c r="R235" s="864"/>
      <c r="S235" s="864"/>
      <c r="T235" s="864"/>
      <c r="U235" s="864"/>
      <c r="V235" s="864"/>
      <c r="W235" s="864"/>
      <c r="X235" s="90"/>
      <c r="Y235" s="90"/>
      <c r="Z235" s="90"/>
    </row>
    <row r="236" ht="15.75" customHeight="1">
      <c r="A236" s="90"/>
      <c r="B236" s="90"/>
      <c r="C236" s="864"/>
      <c r="D236" s="90"/>
      <c r="E236" s="90"/>
      <c r="F236" s="90"/>
      <c r="G236" s="90"/>
      <c r="H236" s="90"/>
      <c r="I236" s="90"/>
      <c r="J236" s="90"/>
      <c r="K236" s="90"/>
      <c r="L236" s="90"/>
      <c r="M236" s="864"/>
      <c r="N236" s="864"/>
      <c r="O236" s="864"/>
      <c r="P236" s="864"/>
      <c r="Q236" s="864"/>
      <c r="R236" s="864"/>
      <c r="S236" s="864"/>
      <c r="T236" s="864"/>
      <c r="U236" s="864"/>
      <c r="V236" s="864"/>
      <c r="W236" s="864"/>
      <c r="X236" s="90"/>
      <c r="Y236" s="90"/>
      <c r="Z236" s="90"/>
    </row>
    <row r="237" ht="15.75" customHeight="1">
      <c r="A237" s="90"/>
      <c r="B237" s="90"/>
      <c r="C237" s="864"/>
      <c r="D237" s="90"/>
      <c r="E237" s="90"/>
      <c r="F237" s="90"/>
      <c r="G237" s="90"/>
      <c r="H237" s="90"/>
      <c r="I237" s="90"/>
      <c r="J237" s="90"/>
      <c r="K237" s="90"/>
      <c r="L237" s="90"/>
      <c r="M237" s="864"/>
      <c r="N237" s="864"/>
      <c r="O237" s="864"/>
      <c r="P237" s="864"/>
      <c r="Q237" s="864"/>
      <c r="R237" s="864"/>
      <c r="S237" s="864"/>
      <c r="T237" s="864"/>
      <c r="U237" s="864"/>
      <c r="V237" s="864"/>
      <c r="W237" s="864"/>
      <c r="X237" s="90"/>
      <c r="Y237" s="90"/>
      <c r="Z237" s="90"/>
    </row>
    <row r="238" ht="15.75" customHeight="1">
      <c r="A238" s="90"/>
      <c r="B238" s="90"/>
      <c r="C238" s="864"/>
      <c r="D238" s="90"/>
      <c r="E238" s="90"/>
      <c r="F238" s="90"/>
      <c r="G238" s="90"/>
      <c r="H238" s="90"/>
      <c r="I238" s="90"/>
      <c r="J238" s="90"/>
      <c r="K238" s="90"/>
      <c r="L238" s="90"/>
      <c r="M238" s="864"/>
      <c r="N238" s="864"/>
      <c r="O238" s="864"/>
      <c r="P238" s="864"/>
      <c r="Q238" s="864"/>
      <c r="R238" s="864"/>
      <c r="S238" s="864"/>
      <c r="T238" s="864"/>
      <c r="U238" s="864"/>
      <c r="V238" s="864"/>
      <c r="W238" s="864"/>
      <c r="X238" s="90"/>
      <c r="Y238" s="90"/>
      <c r="Z238" s="90"/>
    </row>
    <row r="239" ht="15.75" customHeight="1">
      <c r="A239" s="90"/>
      <c r="B239" s="90"/>
      <c r="C239" s="864"/>
      <c r="D239" s="90"/>
      <c r="E239" s="90"/>
      <c r="F239" s="90"/>
      <c r="G239" s="90"/>
      <c r="H239" s="90"/>
      <c r="I239" s="90"/>
      <c r="J239" s="90"/>
      <c r="K239" s="90"/>
      <c r="L239" s="90"/>
      <c r="M239" s="864"/>
      <c r="N239" s="864"/>
      <c r="O239" s="864"/>
      <c r="P239" s="864"/>
      <c r="Q239" s="864"/>
      <c r="R239" s="864"/>
      <c r="S239" s="864"/>
      <c r="T239" s="864"/>
      <c r="U239" s="864"/>
      <c r="V239" s="864"/>
      <c r="W239" s="864"/>
      <c r="X239" s="90"/>
      <c r="Y239" s="90"/>
      <c r="Z239" s="90"/>
    </row>
    <row r="240" ht="15.75" customHeight="1">
      <c r="A240" s="90"/>
      <c r="B240" s="90"/>
      <c r="C240" s="864"/>
      <c r="D240" s="90"/>
      <c r="E240" s="90"/>
      <c r="F240" s="90"/>
      <c r="G240" s="90"/>
      <c r="H240" s="90"/>
      <c r="I240" s="90"/>
      <c r="J240" s="90"/>
      <c r="K240" s="90"/>
      <c r="L240" s="90"/>
      <c r="M240" s="864"/>
      <c r="N240" s="864"/>
      <c r="O240" s="864"/>
      <c r="P240" s="864"/>
      <c r="Q240" s="864"/>
      <c r="R240" s="864"/>
      <c r="S240" s="864"/>
      <c r="T240" s="864"/>
      <c r="U240" s="864"/>
      <c r="V240" s="864"/>
      <c r="W240" s="864"/>
      <c r="X240" s="90"/>
      <c r="Y240" s="90"/>
      <c r="Z240" s="90"/>
    </row>
    <row r="241" ht="15.75" customHeight="1">
      <c r="A241" s="90"/>
      <c r="B241" s="90"/>
      <c r="C241" s="864"/>
      <c r="D241" s="90"/>
      <c r="E241" s="90"/>
      <c r="F241" s="90"/>
      <c r="G241" s="90"/>
      <c r="H241" s="90"/>
      <c r="I241" s="90"/>
      <c r="J241" s="90"/>
      <c r="K241" s="90"/>
      <c r="L241" s="90"/>
      <c r="M241" s="864"/>
      <c r="N241" s="864"/>
      <c r="O241" s="864"/>
      <c r="P241" s="864"/>
      <c r="Q241" s="864"/>
      <c r="R241" s="864"/>
      <c r="S241" s="864"/>
      <c r="T241" s="864"/>
      <c r="U241" s="864"/>
      <c r="V241" s="864"/>
      <c r="W241" s="864"/>
      <c r="X241" s="90"/>
      <c r="Y241" s="90"/>
      <c r="Z241" s="90"/>
    </row>
    <row r="242" ht="15.75" customHeight="1">
      <c r="A242" s="90"/>
      <c r="B242" s="90"/>
      <c r="C242" s="864"/>
      <c r="D242" s="90"/>
      <c r="E242" s="90"/>
      <c r="F242" s="90"/>
      <c r="G242" s="90"/>
      <c r="H242" s="90"/>
      <c r="I242" s="90"/>
      <c r="J242" s="90"/>
      <c r="K242" s="90"/>
      <c r="L242" s="90"/>
      <c r="M242" s="864"/>
      <c r="N242" s="864"/>
      <c r="O242" s="864"/>
      <c r="P242" s="864"/>
      <c r="Q242" s="864"/>
      <c r="R242" s="864"/>
      <c r="S242" s="864"/>
      <c r="T242" s="864"/>
      <c r="U242" s="864"/>
      <c r="V242" s="864"/>
      <c r="W242" s="864"/>
      <c r="X242" s="90"/>
      <c r="Y242" s="90"/>
      <c r="Z242" s="90"/>
    </row>
    <row r="243" ht="15.75" customHeight="1">
      <c r="A243" s="90"/>
      <c r="B243" s="90"/>
      <c r="C243" s="864"/>
      <c r="D243" s="90"/>
      <c r="E243" s="90"/>
      <c r="F243" s="90"/>
      <c r="G243" s="90"/>
      <c r="H243" s="90"/>
      <c r="I243" s="90"/>
      <c r="J243" s="90"/>
      <c r="K243" s="90"/>
      <c r="L243" s="90"/>
      <c r="M243" s="864"/>
      <c r="N243" s="864"/>
      <c r="O243" s="864"/>
      <c r="P243" s="864"/>
      <c r="Q243" s="864"/>
      <c r="R243" s="864"/>
      <c r="S243" s="864"/>
      <c r="T243" s="864"/>
      <c r="U243" s="864"/>
      <c r="V243" s="864"/>
      <c r="W243" s="864"/>
      <c r="X243" s="90"/>
      <c r="Y243" s="90"/>
      <c r="Z243" s="90"/>
    </row>
    <row r="244" ht="15.75" customHeight="1">
      <c r="A244" s="90"/>
      <c r="B244" s="90"/>
      <c r="C244" s="864"/>
      <c r="D244" s="90"/>
      <c r="E244" s="90"/>
      <c r="F244" s="90"/>
      <c r="G244" s="90"/>
      <c r="H244" s="90"/>
      <c r="I244" s="90"/>
      <c r="J244" s="90"/>
      <c r="K244" s="90"/>
      <c r="L244" s="90"/>
      <c r="M244" s="864"/>
      <c r="N244" s="864"/>
      <c r="O244" s="864"/>
      <c r="P244" s="864"/>
      <c r="Q244" s="864"/>
      <c r="R244" s="864"/>
      <c r="S244" s="864"/>
      <c r="T244" s="864"/>
      <c r="U244" s="864"/>
      <c r="V244" s="864"/>
      <c r="W244" s="864"/>
      <c r="X244" s="90"/>
      <c r="Y244" s="90"/>
      <c r="Z244" s="90"/>
    </row>
    <row r="245" ht="15.75" customHeight="1">
      <c r="A245" s="90"/>
      <c r="B245" s="90"/>
      <c r="C245" s="864"/>
      <c r="D245" s="90"/>
      <c r="E245" s="90"/>
      <c r="F245" s="90"/>
      <c r="G245" s="90"/>
      <c r="H245" s="90"/>
      <c r="I245" s="90"/>
      <c r="J245" s="90"/>
      <c r="K245" s="90"/>
      <c r="L245" s="90"/>
      <c r="M245" s="864"/>
      <c r="N245" s="864"/>
      <c r="O245" s="864"/>
      <c r="P245" s="864"/>
      <c r="Q245" s="864"/>
      <c r="R245" s="864"/>
      <c r="S245" s="864"/>
      <c r="T245" s="864"/>
      <c r="U245" s="864"/>
      <c r="V245" s="864"/>
      <c r="W245" s="864"/>
      <c r="X245" s="90"/>
      <c r="Y245" s="90"/>
      <c r="Z245" s="90"/>
    </row>
    <row r="246" ht="15.75" customHeight="1">
      <c r="A246" s="90"/>
      <c r="B246" s="90"/>
      <c r="C246" s="864"/>
      <c r="D246" s="90"/>
      <c r="E246" s="90"/>
      <c r="F246" s="90"/>
      <c r="G246" s="90"/>
      <c r="H246" s="90"/>
      <c r="I246" s="90"/>
      <c r="J246" s="90"/>
      <c r="K246" s="90"/>
      <c r="L246" s="90"/>
      <c r="M246" s="864"/>
      <c r="N246" s="864"/>
      <c r="O246" s="864"/>
      <c r="P246" s="864"/>
      <c r="Q246" s="864"/>
      <c r="R246" s="864"/>
      <c r="S246" s="864"/>
      <c r="T246" s="864"/>
      <c r="U246" s="864"/>
      <c r="V246" s="864"/>
      <c r="W246" s="864"/>
      <c r="X246" s="90"/>
      <c r="Y246" s="90"/>
      <c r="Z246" s="90"/>
    </row>
    <row r="247" ht="15.75" customHeight="1">
      <c r="A247" s="90"/>
      <c r="B247" s="90"/>
      <c r="C247" s="864"/>
      <c r="D247" s="90"/>
      <c r="E247" s="90"/>
      <c r="F247" s="90"/>
      <c r="G247" s="90"/>
      <c r="H247" s="90"/>
      <c r="I247" s="90"/>
      <c r="J247" s="90"/>
      <c r="K247" s="90"/>
      <c r="L247" s="90"/>
      <c r="M247" s="864"/>
      <c r="N247" s="864"/>
      <c r="O247" s="864"/>
      <c r="P247" s="864"/>
      <c r="Q247" s="864"/>
      <c r="R247" s="864"/>
      <c r="S247" s="864"/>
      <c r="T247" s="864"/>
      <c r="U247" s="864"/>
      <c r="V247" s="864"/>
      <c r="W247" s="864"/>
      <c r="X247" s="90"/>
      <c r="Y247" s="90"/>
      <c r="Z247" s="90"/>
    </row>
    <row r="248" ht="15.75" customHeight="1">
      <c r="A248" s="90"/>
      <c r="B248" s="90"/>
      <c r="C248" s="864"/>
      <c r="D248" s="90"/>
      <c r="E248" s="90"/>
      <c r="F248" s="90"/>
      <c r="G248" s="90"/>
      <c r="H248" s="90"/>
      <c r="I248" s="90"/>
      <c r="J248" s="90"/>
      <c r="K248" s="90"/>
      <c r="L248" s="90"/>
      <c r="M248" s="864"/>
      <c r="N248" s="864"/>
      <c r="O248" s="864"/>
      <c r="P248" s="864"/>
      <c r="Q248" s="864"/>
      <c r="R248" s="864"/>
      <c r="S248" s="864"/>
      <c r="T248" s="864"/>
      <c r="U248" s="864"/>
      <c r="V248" s="864"/>
      <c r="W248" s="864"/>
      <c r="X248" s="90"/>
      <c r="Y248" s="90"/>
      <c r="Z248" s="90"/>
    </row>
    <row r="249" ht="15.75" customHeight="1">
      <c r="A249" s="90"/>
      <c r="B249" s="90"/>
      <c r="C249" s="864"/>
      <c r="D249" s="90"/>
      <c r="E249" s="90"/>
      <c r="F249" s="90"/>
      <c r="G249" s="90"/>
      <c r="H249" s="90"/>
      <c r="I249" s="90"/>
      <c r="J249" s="90"/>
      <c r="K249" s="90"/>
      <c r="L249" s="90"/>
      <c r="M249" s="864"/>
      <c r="N249" s="864"/>
      <c r="O249" s="864"/>
      <c r="P249" s="864"/>
      <c r="Q249" s="864"/>
      <c r="R249" s="864"/>
      <c r="S249" s="864"/>
      <c r="T249" s="864"/>
      <c r="U249" s="864"/>
      <c r="V249" s="864"/>
      <c r="W249" s="864"/>
      <c r="X249" s="90"/>
      <c r="Y249" s="90"/>
      <c r="Z249" s="90"/>
    </row>
    <row r="250" ht="15.75" customHeight="1">
      <c r="A250" s="90"/>
      <c r="B250" s="90"/>
      <c r="C250" s="864"/>
      <c r="D250" s="90"/>
      <c r="E250" s="90"/>
      <c r="F250" s="90"/>
      <c r="G250" s="90"/>
      <c r="H250" s="90"/>
      <c r="I250" s="90"/>
      <c r="J250" s="90"/>
      <c r="K250" s="90"/>
      <c r="L250" s="90"/>
      <c r="M250" s="864"/>
      <c r="N250" s="864"/>
      <c r="O250" s="864"/>
      <c r="P250" s="864"/>
      <c r="Q250" s="864"/>
      <c r="R250" s="864"/>
      <c r="S250" s="864"/>
      <c r="T250" s="864"/>
      <c r="U250" s="864"/>
      <c r="V250" s="864"/>
      <c r="W250" s="864"/>
      <c r="X250" s="90"/>
      <c r="Y250" s="90"/>
      <c r="Z250" s="90"/>
    </row>
    <row r="251" ht="15.75" customHeight="1">
      <c r="A251" s="90"/>
      <c r="B251" s="90"/>
      <c r="C251" s="864"/>
      <c r="D251" s="90"/>
      <c r="E251" s="90"/>
      <c r="F251" s="90"/>
      <c r="G251" s="90"/>
      <c r="H251" s="90"/>
      <c r="I251" s="90"/>
      <c r="J251" s="90"/>
      <c r="K251" s="90"/>
      <c r="L251" s="90"/>
      <c r="M251" s="864"/>
      <c r="N251" s="864"/>
      <c r="O251" s="864"/>
      <c r="P251" s="864"/>
      <c r="Q251" s="864"/>
      <c r="R251" s="864"/>
      <c r="S251" s="864"/>
      <c r="T251" s="864"/>
      <c r="U251" s="864"/>
      <c r="V251" s="864"/>
      <c r="W251" s="864"/>
      <c r="X251" s="90"/>
      <c r="Y251" s="90"/>
      <c r="Z251" s="90"/>
    </row>
    <row r="252" ht="15.75" customHeight="1">
      <c r="A252" s="90"/>
      <c r="B252" s="90"/>
      <c r="C252" s="864"/>
      <c r="D252" s="90"/>
      <c r="E252" s="90"/>
      <c r="F252" s="90"/>
      <c r="G252" s="90"/>
      <c r="H252" s="90"/>
      <c r="I252" s="90"/>
      <c r="J252" s="90"/>
      <c r="K252" s="90"/>
      <c r="L252" s="90"/>
      <c r="M252" s="864"/>
      <c r="N252" s="864"/>
      <c r="O252" s="864"/>
      <c r="P252" s="864"/>
      <c r="Q252" s="864"/>
      <c r="R252" s="864"/>
      <c r="S252" s="864"/>
      <c r="T252" s="864"/>
      <c r="U252" s="864"/>
      <c r="V252" s="864"/>
      <c r="W252" s="864"/>
      <c r="X252" s="90"/>
      <c r="Y252" s="90"/>
      <c r="Z252" s="90"/>
    </row>
    <row r="253" ht="15.75" customHeight="1">
      <c r="A253" s="90"/>
      <c r="B253" s="90"/>
      <c r="C253" s="864"/>
      <c r="D253" s="90"/>
      <c r="E253" s="90"/>
      <c r="F253" s="90"/>
      <c r="G253" s="90"/>
      <c r="H253" s="90"/>
      <c r="I253" s="90"/>
      <c r="J253" s="90"/>
      <c r="K253" s="90"/>
      <c r="L253" s="90"/>
      <c r="M253" s="864"/>
      <c r="N253" s="864"/>
      <c r="O253" s="864"/>
      <c r="P253" s="864"/>
      <c r="Q253" s="864"/>
      <c r="R253" s="864"/>
      <c r="S253" s="864"/>
      <c r="T253" s="864"/>
      <c r="U253" s="864"/>
      <c r="V253" s="864"/>
      <c r="W253" s="864"/>
      <c r="X253" s="90"/>
      <c r="Y253" s="90"/>
      <c r="Z253" s="90"/>
    </row>
    <row r="254" ht="15.75" customHeight="1">
      <c r="A254" s="90"/>
      <c r="B254" s="90"/>
      <c r="C254" s="864"/>
      <c r="D254" s="90"/>
      <c r="E254" s="90"/>
      <c r="F254" s="90"/>
      <c r="G254" s="90"/>
      <c r="H254" s="90"/>
      <c r="I254" s="90"/>
      <c r="J254" s="90"/>
      <c r="K254" s="90"/>
      <c r="L254" s="90"/>
      <c r="M254" s="864"/>
      <c r="N254" s="864"/>
      <c r="O254" s="864"/>
      <c r="P254" s="864"/>
      <c r="Q254" s="864"/>
      <c r="R254" s="864"/>
      <c r="S254" s="864"/>
      <c r="T254" s="864"/>
      <c r="U254" s="864"/>
      <c r="V254" s="864"/>
      <c r="W254" s="864"/>
      <c r="X254" s="90"/>
      <c r="Y254" s="90"/>
      <c r="Z254" s="90"/>
    </row>
    <row r="255" ht="15.75" customHeight="1">
      <c r="A255" s="90"/>
      <c r="B255" s="90"/>
      <c r="C255" s="864"/>
      <c r="D255" s="90"/>
      <c r="E255" s="90"/>
      <c r="F255" s="90"/>
      <c r="G255" s="90"/>
      <c r="H255" s="90"/>
      <c r="I255" s="90"/>
      <c r="J255" s="90"/>
      <c r="K255" s="90"/>
      <c r="L255" s="90"/>
      <c r="M255" s="864"/>
      <c r="N255" s="864"/>
      <c r="O255" s="864"/>
      <c r="P255" s="864"/>
      <c r="Q255" s="864"/>
      <c r="R255" s="864"/>
      <c r="S255" s="864"/>
      <c r="T255" s="864"/>
      <c r="U255" s="864"/>
      <c r="V255" s="864"/>
      <c r="W255" s="864"/>
      <c r="X255" s="90"/>
      <c r="Y255" s="90"/>
      <c r="Z255" s="90"/>
    </row>
    <row r="256" ht="15.75" customHeight="1">
      <c r="A256" s="90"/>
      <c r="B256" s="90"/>
      <c r="C256" s="864"/>
      <c r="D256" s="90"/>
      <c r="E256" s="90"/>
      <c r="F256" s="90"/>
      <c r="G256" s="90"/>
      <c r="H256" s="90"/>
      <c r="I256" s="90"/>
      <c r="J256" s="90"/>
      <c r="K256" s="90"/>
      <c r="L256" s="90"/>
      <c r="M256" s="864"/>
      <c r="N256" s="864"/>
      <c r="O256" s="864"/>
      <c r="P256" s="864"/>
      <c r="Q256" s="864"/>
      <c r="R256" s="864"/>
      <c r="S256" s="864"/>
      <c r="T256" s="864"/>
      <c r="U256" s="864"/>
      <c r="V256" s="864"/>
      <c r="W256" s="864"/>
      <c r="X256" s="90"/>
      <c r="Y256" s="90"/>
      <c r="Z256" s="90"/>
    </row>
    <row r="257" ht="15.75" customHeight="1">
      <c r="A257" s="90"/>
      <c r="B257" s="90"/>
      <c r="C257" s="864"/>
      <c r="D257" s="90"/>
      <c r="E257" s="90"/>
      <c r="F257" s="90"/>
      <c r="G257" s="90"/>
      <c r="H257" s="90"/>
      <c r="I257" s="90"/>
      <c r="J257" s="90"/>
      <c r="K257" s="90"/>
      <c r="L257" s="90"/>
      <c r="M257" s="864"/>
      <c r="N257" s="864"/>
      <c r="O257" s="864"/>
      <c r="P257" s="864"/>
      <c r="Q257" s="864"/>
      <c r="R257" s="864"/>
      <c r="S257" s="864"/>
      <c r="T257" s="864"/>
      <c r="U257" s="864"/>
      <c r="V257" s="864"/>
      <c r="W257" s="864"/>
      <c r="X257" s="90"/>
      <c r="Y257" s="90"/>
      <c r="Z257" s="90"/>
    </row>
    <row r="258" ht="15.75" customHeight="1">
      <c r="A258" s="90"/>
      <c r="B258" s="90"/>
      <c r="C258" s="864"/>
      <c r="D258" s="90"/>
      <c r="E258" s="90"/>
      <c r="F258" s="90"/>
      <c r="G258" s="90"/>
      <c r="H258" s="90"/>
      <c r="I258" s="90"/>
      <c r="J258" s="90"/>
      <c r="K258" s="90"/>
      <c r="L258" s="90"/>
      <c r="M258" s="864"/>
      <c r="N258" s="864"/>
      <c r="O258" s="864"/>
      <c r="P258" s="864"/>
      <c r="Q258" s="864"/>
      <c r="R258" s="864"/>
      <c r="S258" s="864"/>
      <c r="T258" s="864"/>
      <c r="U258" s="864"/>
      <c r="V258" s="864"/>
      <c r="W258" s="864"/>
      <c r="X258" s="90"/>
      <c r="Y258" s="90"/>
      <c r="Z258" s="90"/>
    </row>
    <row r="259" ht="15.75" customHeight="1">
      <c r="A259" s="90"/>
      <c r="B259" s="90"/>
      <c r="C259" s="864"/>
      <c r="D259" s="90"/>
      <c r="E259" s="90"/>
      <c r="F259" s="90"/>
      <c r="G259" s="90"/>
      <c r="H259" s="90"/>
      <c r="I259" s="90"/>
      <c r="J259" s="90"/>
      <c r="K259" s="90"/>
      <c r="L259" s="90"/>
      <c r="M259" s="864"/>
      <c r="N259" s="864"/>
      <c r="O259" s="864"/>
      <c r="P259" s="864"/>
      <c r="Q259" s="864"/>
      <c r="R259" s="864"/>
      <c r="S259" s="864"/>
      <c r="T259" s="864"/>
      <c r="U259" s="864"/>
      <c r="V259" s="864"/>
      <c r="W259" s="864"/>
      <c r="X259" s="90"/>
      <c r="Y259" s="90"/>
      <c r="Z259" s="90"/>
    </row>
    <row r="260" ht="15.75" customHeight="1">
      <c r="A260" s="90"/>
      <c r="B260" s="90"/>
      <c r="C260" s="864"/>
      <c r="D260" s="90"/>
      <c r="E260" s="90"/>
      <c r="F260" s="90"/>
      <c r="G260" s="90"/>
      <c r="H260" s="90"/>
      <c r="I260" s="90"/>
      <c r="J260" s="90"/>
      <c r="K260" s="90"/>
      <c r="L260" s="90"/>
      <c r="M260" s="864"/>
      <c r="N260" s="864"/>
      <c r="O260" s="864"/>
      <c r="P260" s="864"/>
      <c r="Q260" s="864"/>
      <c r="R260" s="864"/>
      <c r="S260" s="864"/>
      <c r="T260" s="864"/>
      <c r="U260" s="864"/>
      <c r="V260" s="864"/>
      <c r="W260" s="864"/>
      <c r="X260" s="90"/>
      <c r="Y260" s="90"/>
      <c r="Z260" s="90"/>
    </row>
    <row r="261" ht="15.75" customHeight="1">
      <c r="A261" s="90"/>
      <c r="B261" s="90"/>
      <c r="C261" s="864"/>
      <c r="D261" s="90"/>
      <c r="E261" s="90"/>
      <c r="F261" s="90"/>
      <c r="G261" s="90"/>
      <c r="H261" s="90"/>
      <c r="I261" s="90"/>
      <c r="J261" s="90"/>
      <c r="K261" s="90"/>
      <c r="L261" s="90"/>
      <c r="M261" s="864"/>
      <c r="N261" s="864"/>
      <c r="O261" s="864"/>
      <c r="P261" s="864"/>
      <c r="Q261" s="864"/>
      <c r="R261" s="864"/>
      <c r="S261" s="864"/>
      <c r="T261" s="864"/>
      <c r="U261" s="864"/>
      <c r="V261" s="864"/>
      <c r="W261" s="864"/>
      <c r="X261" s="90"/>
      <c r="Y261" s="90"/>
      <c r="Z261" s="90"/>
    </row>
    <row r="262" ht="15.75" customHeight="1">
      <c r="A262" s="90"/>
      <c r="B262" s="90"/>
      <c r="C262" s="864"/>
      <c r="D262" s="90"/>
      <c r="E262" s="90"/>
      <c r="F262" s="90"/>
      <c r="G262" s="90"/>
      <c r="H262" s="90"/>
      <c r="I262" s="90"/>
      <c r="J262" s="90"/>
      <c r="K262" s="90"/>
      <c r="L262" s="90"/>
      <c r="M262" s="864"/>
      <c r="N262" s="864"/>
      <c r="O262" s="864"/>
      <c r="P262" s="864"/>
      <c r="Q262" s="864"/>
      <c r="R262" s="864"/>
      <c r="S262" s="864"/>
      <c r="T262" s="864"/>
      <c r="U262" s="864"/>
      <c r="V262" s="864"/>
      <c r="W262" s="864"/>
      <c r="X262" s="90"/>
      <c r="Y262" s="90"/>
      <c r="Z262" s="90"/>
    </row>
    <row r="263" ht="15.75" customHeight="1">
      <c r="A263" s="90"/>
      <c r="B263" s="90"/>
      <c r="C263" s="864"/>
      <c r="D263" s="90"/>
      <c r="E263" s="90"/>
      <c r="F263" s="90"/>
      <c r="G263" s="90"/>
      <c r="H263" s="90"/>
      <c r="I263" s="90"/>
      <c r="J263" s="90"/>
      <c r="K263" s="90"/>
      <c r="L263" s="90"/>
      <c r="M263" s="864"/>
      <c r="N263" s="864"/>
      <c r="O263" s="864"/>
      <c r="P263" s="864"/>
      <c r="Q263" s="864"/>
      <c r="R263" s="864"/>
      <c r="S263" s="864"/>
      <c r="T263" s="864"/>
      <c r="U263" s="864"/>
      <c r="V263" s="864"/>
      <c r="W263" s="864"/>
      <c r="X263" s="90"/>
      <c r="Y263" s="90"/>
      <c r="Z263" s="90"/>
    </row>
    <row r="264" ht="15.75" customHeight="1">
      <c r="A264" s="90"/>
      <c r="B264" s="90"/>
      <c r="C264" s="864"/>
      <c r="D264" s="90"/>
      <c r="E264" s="90"/>
      <c r="F264" s="90"/>
      <c r="G264" s="90"/>
      <c r="H264" s="90"/>
      <c r="I264" s="90"/>
      <c r="J264" s="90"/>
      <c r="K264" s="90"/>
      <c r="L264" s="90"/>
      <c r="M264" s="864"/>
      <c r="N264" s="864"/>
      <c r="O264" s="864"/>
      <c r="P264" s="864"/>
      <c r="Q264" s="864"/>
      <c r="R264" s="864"/>
      <c r="S264" s="864"/>
      <c r="T264" s="864"/>
      <c r="U264" s="864"/>
      <c r="V264" s="864"/>
      <c r="W264" s="864"/>
      <c r="X264" s="90"/>
      <c r="Y264" s="90"/>
      <c r="Z264" s="90"/>
    </row>
    <row r="265" ht="15.75" customHeight="1">
      <c r="A265" s="90"/>
      <c r="B265" s="90"/>
      <c r="C265" s="864"/>
      <c r="D265" s="90"/>
      <c r="E265" s="90"/>
      <c r="F265" s="90"/>
      <c r="G265" s="90"/>
      <c r="H265" s="90"/>
      <c r="I265" s="90"/>
      <c r="J265" s="90"/>
      <c r="K265" s="90"/>
      <c r="L265" s="90"/>
      <c r="M265" s="864"/>
      <c r="N265" s="864"/>
      <c r="O265" s="864"/>
      <c r="P265" s="864"/>
      <c r="Q265" s="864"/>
      <c r="R265" s="864"/>
      <c r="S265" s="864"/>
      <c r="T265" s="864"/>
      <c r="U265" s="864"/>
      <c r="V265" s="864"/>
      <c r="W265" s="864"/>
      <c r="X265" s="90"/>
      <c r="Y265" s="90"/>
      <c r="Z265" s="90"/>
    </row>
    <row r="266" ht="15.75" customHeight="1">
      <c r="A266" s="90"/>
      <c r="B266" s="90"/>
      <c r="C266" s="864"/>
      <c r="D266" s="90"/>
      <c r="E266" s="90"/>
      <c r="F266" s="90"/>
      <c r="G266" s="90"/>
      <c r="H266" s="90"/>
      <c r="I266" s="90"/>
      <c r="J266" s="90"/>
      <c r="K266" s="90"/>
      <c r="L266" s="90"/>
      <c r="M266" s="864"/>
      <c r="N266" s="864"/>
      <c r="O266" s="864"/>
      <c r="P266" s="864"/>
      <c r="Q266" s="864"/>
      <c r="R266" s="864"/>
      <c r="S266" s="864"/>
      <c r="T266" s="864"/>
      <c r="U266" s="864"/>
      <c r="V266" s="864"/>
      <c r="W266" s="864"/>
      <c r="X266" s="90"/>
      <c r="Y266" s="90"/>
      <c r="Z266" s="90"/>
    </row>
    <row r="267" ht="15.75" customHeight="1">
      <c r="A267" s="90"/>
      <c r="B267" s="90"/>
      <c r="C267" s="864"/>
      <c r="D267" s="90"/>
      <c r="E267" s="90"/>
      <c r="F267" s="90"/>
      <c r="G267" s="90"/>
      <c r="H267" s="90"/>
      <c r="I267" s="90"/>
      <c r="J267" s="90"/>
      <c r="K267" s="90"/>
      <c r="L267" s="90"/>
      <c r="M267" s="864"/>
      <c r="N267" s="864"/>
      <c r="O267" s="864"/>
      <c r="P267" s="864"/>
      <c r="Q267" s="864"/>
      <c r="R267" s="864"/>
      <c r="S267" s="864"/>
      <c r="T267" s="864"/>
      <c r="U267" s="864"/>
      <c r="V267" s="864"/>
      <c r="W267" s="864"/>
      <c r="X267" s="90"/>
      <c r="Y267" s="90"/>
      <c r="Z267" s="90"/>
    </row>
    <row r="268" ht="15.75" customHeight="1">
      <c r="A268" s="90"/>
      <c r="B268" s="90"/>
      <c r="C268" s="864"/>
      <c r="D268" s="90"/>
      <c r="E268" s="90"/>
      <c r="F268" s="90"/>
      <c r="G268" s="90"/>
      <c r="H268" s="90"/>
      <c r="I268" s="90"/>
      <c r="J268" s="90"/>
      <c r="K268" s="90"/>
      <c r="L268" s="90"/>
      <c r="M268" s="864"/>
      <c r="N268" s="864"/>
      <c r="O268" s="864"/>
      <c r="P268" s="864"/>
      <c r="Q268" s="864"/>
      <c r="R268" s="864"/>
      <c r="S268" s="864"/>
      <c r="T268" s="864"/>
      <c r="U268" s="864"/>
      <c r="V268" s="864"/>
      <c r="W268" s="864"/>
      <c r="X268" s="90"/>
      <c r="Y268" s="90"/>
      <c r="Z268" s="90"/>
    </row>
    <row r="269" ht="15.75" customHeight="1">
      <c r="A269" s="90"/>
      <c r="B269" s="90"/>
      <c r="C269" s="864"/>
      <c r="D269" s="90"/>
      <c r="E269" s="90"/>
      <c r="F269" s="90"/>
      <c r="G269" s="90"/>
      <c r="H269" s="90"/>
      <c r="I269" s="90"/>
      <c r="J269" s="90"/>
      <c r="K269" s="90"/>
      <c r="L269" s="90"/>
      <c r="M269" s="864"/>
      <c r="N269" s="864"/>
      <c r="O269" s="864"/>
      <c r="P269" s="864"/>
      <c r="Q269" s="864"/>
      <c r="R269" s="864"/>
      <c r="S269" s="864"/>
      <c r="T269" s="864"/>
      <c r="U269" s="864"/>
      <c r="V269" s="864"/>
      <c r="W269" s="864"/>
      <c r="X269" s="90"/>
      <c r="Y269" s="90"/>
      <c r="Z269" s="90"/>
    </row>
    <row r="270" ht="15.75" customHeight="1">
      <c r="A270" s="90"/>
      <c r="B270" s="90"/>
      <c r="C270" s="864"/>
      <c r="D270" s="90"/>
      <c r="E270" s="90"/>
      <c r="F270" s="90"/>
      <c r="G270" s="90"/>
      <c r="H270" s="90"/>
      <c r="I270" s="90"/>
      <c r="J270" s="90"/>
      <c r="K270" s="90"/>
      <c r="L270" s="90"/>
      <c r="M270" s="864"/>
      <c r="N270" s="864"/>
      <c r="O270" s="864"/>
      <c r="P270" s="864"/>
      <c r="Q270" s="864"/>
      <c r="R270" s="864"/>
      <c r="S270" s="864"/>
      <c r="T270" s="864"/>
      <c r="U270" s="864"/>
      <c r="V270" s="864"/>
      <c r="W270" s="864"/>
      <c r="X270" s="90"/>
      <c r="Y270" s="90"/>
      <c r="Z270" s="90"/>
    </row>
    <row r="271" ht="15.75" customHeight="1">
      <c r="A271" s="90"/>
      <c r="B271" s="90"/>
      <c r="C271" s="864"/>
      <c r="D271" s="90"/>
      <c r="E271" s="90"/>
      <c r="F271" s="90"/>
      <c r="G271" s="90"/>
      <c r="H271" s="90"/>
      <c r="I271" s="90"/>
      <c r="J271" s="90"/>
      <c r="K271" s="90"/>
      <c r="L271" s="90"/>
      <c r="M271" s="864"/>
      <c r="N271" s="864"/>
      <c r="O271" s="864"/>
      <c r="P271" s="864"/>
      <c r="Q271" s="864"/>
      <c r="R271" s="864"/>
      <c r="S271" s="864"/>
      <c r="T271" s="864"/>
      <c r="U271" s="864"/>
      <c r="V271" s="864"/>
      <c r="W271" s="864"/>
      <c r="X271" s="90"/>
      <c r="Y271" s="90"/>
      <c r="Z271" s="90"/>
    </row>
    <row r="272" ht="15.75" customHeight="1">
      <c r="A272" s="90"/>
      <c r="B272" s="90"/>
      <c r="C272" s="864"/>
      <c r="D272" s="90"/>
      <c r="E272" s="90"/>
      <c r="F272" s="90"/>
      <c r="G272" s="90"/>
      <c r="H272" s="90"/>
      <c r="I272" s="90"/>
      <c r="J272" s="90"/>
      <c r="K272" s="90"/>
      <c r="L272" s="90"/>
      <c r="M272" s="864"/>
      <c r="N272" s="864"/>
      <c r="O272" s="864"/>
      <c r="P272" s="864"/>
      <c r="Q272" s="864"/>
      <c r="R272" s="864"/>
      <c r="S272" s="864"/>
      <c r="T272" s="864"/>
      <c r="U272" s="864"/>
      <c r="V272" s="864"/>
      <c r="W272" s="864"/>
      <c r="X272" s="90"/>
      <c r="Y272" s="90"/>
      <c r="Z272" s="90"/>
    </row>
    <row r="273" ht="15.75" customHeight="1">
      <c r="A273" s="90"/>
      <c r="B273" s="90"/>
      <c r="C273" s="864"/>
      <c r="D273" s="90"/>
      <c r="E273" s="90"/>
      <c r="F273" s="90"/>
      <c r="G273" s="90"/>
      <c r="H273" s="90"/>
      <c r="I273" s="90"/>
      <c r="J273" s="90"/>
      <c r="K273" s="90"/>
      <c r="L273" s="90"/>
      <c r="M273" s="864"/>
      <c r="N273" s="864"/>
      <c r="O273" s="864"/>
      <c r="P273" s="864"/>
      <c r="Q273" s="864"/>
      <c r="R273" s="864"/>
      <c r="S273" s="864"/>
      <c r="T273" s="864"/>
      <c r="U273" s="864"/>
      <c r="V273" s="864"/>
      <c r="W273" s="864"/>
      <c r="X273" s="90"/>
      <c r="Y273" s="90"/>
      <c r="Z273" s="90"/>
    </row>
    <row r="274" ht="15.75" customHeight="1">
      <c r="A274" s="90"/>
      <c r="B274" s="90"/>
      <c r="C274" s="864"/>
      <c r="D274" s="90"/>
      <c r="E274" s="90"/>
      <c r="F274" s="90"/>
      <c r="G274" s="90"/>
      <c r="H274" s="90"/>
      <c r="I274" s="90"/>
      <c r="J274" s="90"/>
      <c r="K274" s="90"/>
      <c r="L274" s="90"/>
      <c r="M274" s="864"/>
      <c r="N274" s="864"/>
      <c r="O274" s="864"/>
      <c r="P274" s="864"/>
      <c r="Q274" s="864"/>
      <c r="R274" s="864"/>
      <c r="S274" s="864"/>
      <c r="T274" s="864"/>
      <c r="U274" s="864"/>
      <c r="V274" s="864"/>
      <c r="W274" s="864"/>
      <c r="X274" s="90"/>
      <c r="Y274" s="90"/>
      <c r="Z274" s="90"/>
    </row>
    <row r="275" ht="15.75" customHeight="1">
      <c r="A275" s="90"/>
      <c r="B275" s="90"/>
      <c r="C275" s="864"/>
      <c r="D275" s="90"/>
      <c r="E275" s="90"/>
      <c r="F275" s="90"/>
      <c r="G275" s="90"/>
      <c r="H275" s="90"/>
      <c r="I275" s="90"/>
      <c r="J275" s="90"/>
      <c r="K275" s="90"/>
      <c r="L275" s="90"/>
      <c r="M275" s="864"/>
      <c r="N275" s="864"/>
      <c r="O275" s="864"/>
      <c r="P275" s="864"/>
      <c r="Q275" s="864"/>
      <c r="R275" s="864"/>
      <c r="S275" s="864"/>
      <c r="T275" s="864"/>
      <c r="U275" s="864"/>
      <c r="V275" s="864"/>
      <c r="W275" s="864"/>
      <c r="X275" s="90"/>
      <c r="Y275" s="90"/>
      <c r="Z275" s="90"/>
    </row>
    <row r="276" ht="15.75" customHeight="1">
      <c r="A276" s="90"/>
      <c r="B276" s="90"/>
      <c r="C276" s="864"/>
      <c r="D276" s="90"/>
      <c r="E276" s="90"/>
      <c r="F276" s="90"/>
      <c r="G276" s="90"/>
      <c r="H276" s="90"/>
      <c r="I276" s="90"/>
      <c r="J276" s="90"/>
      <c r="K276" s="90"/>
      <c r="L276" s="90"/>
      <c r="M276" s="864"/>
      <c r="N276" s="864"/>
      <c r="O276" s="864"/>
      <c r="P276" s="864"/>
      <c r="Q276" s="864"/>
      <c r="R276" s="864"/>
      <c r="S276" s="864"/>
      <c r="T276" s="864"/>
      <c r="U276" s="864"/>
      <c r="V276" s="864"/>
      <c r="W276" s="864"/>
      <c r="X276" s="90"/>
      <c r="Y276" s="90"/>
      <c r="Z276" s="90"/>
    </row>
    <row r="277" ht="15.75" customHeight="1">
      <c r="A277" s="90"/>
      <c r="B277" s="90"/>
      <c r="C277" s="864"/>
      <c r="D277" s="90"/>
      <c r="E277" s="90"/>
      <c r="F277" s="90"/>
      <c r="G277" s="90"/>
      <c r="H277" s="90"/>
      <c r="I277" s="90"/>
      <c r="J277" s="90"/>
      <c r="K277" s="90"/>
      <c r="L277" s="90"/>
      <c r="M277" s="864"/>
      <c r="N277" s="864"/>
      <c r="O277" s="864"/>
      <c r="P277" s="864"/>
      <c r="Q277" s="864"/>
      <c r="R277" s="864"/>
      <c r="S277" s="864"/>
      <c r="T277" s="864"/>
      <c r="U277" s="864"/>
      <c r="V277" s="864"/>
      <c r="W277" s="864"/>
      <c r="X277" s="90"/>
      <c r="Y277" s="90"/>
      <c r="Z277" s="90"/>
    </row>
    <row r="278" ht="15.75" customHeight="1">
      <c r="A278" s="90"/>
      <c r="B278" s="90"/>
      <c r="C278" s="864"/>
      <c r="D278" s="90"/>
      <c r="E278" s="90"/>
      <c r="F278" s="90"/>
      <c r="G278" s="90"/>
      <c r="H278" s="90"/>
      <c r="I278" s="90"/>
      <c r="J278" s="90"/>
      <c r="K278" s="90"/>
      <c r="L278" s="90"/>
      <c r="M278" s="864"/>
      <c r="N278" s="864"/>
      <c r="O278" s="864"/>
      <c r="P278" s="864"/>
      <c r="Q278" s="864"/>
      <c r="R278" s="864"/>
      <c r="S278" s="864"/>
      <c r="T278" s="864"/>
      <c r="U278" s="864"/>
      <c r="V278" s="864"/>
      <c r="W278" s="864"/>
      <c r="X278" s="90"/>
      <c r="Y278" s="90"/>
      <c r="Z278" s="90"/>
    </row>
    <row r="279" ht="15.75" customHeight="1">
      <c r="A279" s="90"/>
      <c r="B279" s="90"/>
      <c r="C279" s="864"/>
      <c r="D279" s="90"/>
      <c r="E279" s="90"/>
      <c r="F279" s="90"/>
      <c r="G279" s="90"/>
      <c r="H279" s="90"/>
      <c r="I279" s="90"/>
      <c r="J279" s="90"/>
      <c r="K279" s="90"/>
      <c r="L279" s="90"/>
      <c r="M279" s="864"/>
      <c r="N279" s="864"/>
      <c r="O279" s="864"/>
      <c r="P279" s="864"/>
      <c r="Q279" s="864"/>
      <c r="R279" s="864"/>
      <c r="S279" s="864"/>
      <c r="T279" s="864"/>
      <c r="U279" s="864"/>
      <c r="V279" s="864"/>
      <c r="W279" s="864"/>
      <c r="X279" s="90"/>
      <c r="Y279" s="90"/>
      <c r="Z279" s="90"/>
    </row>
    <row r="280" ht="15.75" customHeight="1">
      <c r="A280" s="90"/>
      <c r="B280" s="90"/>
      <c r="C280" s="864"/>
      <c r="D280" s="90"/>
      <c r="E280" s="90"/>
      <c r="F280" s="90"/>
      <c r="G280" s="90"/>
      <c r="H280" s="90"/>
      <c r="I280" s="90"/>
      <c r="J280" s="90"/>
      <c r="K280" s="90"/>
      <c r="L280" s="90"/>
      <c r="M280" s="864"/>
      <c r="N280" s="864"/>
      <c r="O280" s="864"/>
      <c r="P280" s="864"/>
      <c r="Q280" s="864"/>
      <c r="R280" s="864"/>
      <c r="S280" s="864"/>
      <c r="T280" s="864"/>
      <c r="U280" s="864"/>
      <c r="V280" s="864"/>
      <c r="W280" s="864"/>
      <c r="X280" s="90"/>
      <c r="Y280" s="90"/>
      <c r="Z280" s="90"/>
    </row>
    <row r="281" ht="15.75" customHeight="1">
      <c r="A281" s="90"/>
      <c r="B281" s="90"/>
      <c r="C281" s="864"/>
      <c r="D281" s="90"/>
      <c r="E281" s="90"/>
      <c r="F281" s="90"/>
      <c r="G281" s="90"/>
      <c r="H281" s="90"/>
      <c r="I281" s="90"/>
      <c r="J281" s="90"/>
      <c r="K281" s="90"/>
      <c r="L281" s="90"/>
      <c r="M281" s="864"/>
      <c r="N281" s="864"/>
      <c r="O281" s="864"/>
      <c r="P281" s="864"/>
      <c r="Q281" s="864"/>
      <c r="R281" s="864"/>
      <c r="S281" s="864"/>
      <c r="T281" s="864"/>
      <c r="U281" s="864"/>
      <c r="V281" s="864"/>
      <c r="W281" s="864"/>
      <c r="X281" s="90"/>
      <c r="Y281" s="90"/>
      <c r="Z281" s="90"/>
    </row>
    <row r="282" ht="15.75" customHeight="1">
      <c r="A282" s="90"/>
      <c r="B282" s="90"/>
      <c r="C282" s="864"/>
      <c r="D282" s="90"/>
      <c r="E282" s="90"/>
      <c r="F282" s="90"/>
      <c r="G282" s="90"/>
      <c r="H282" s="90"/>
      <c r="I282" s="90"/>
      <c r="J282" s="90"/>
      <c r="K282" s="90"/>
      <c r="L282" s="90"/>
      <c r="M282" s="864"/>
      <c r="N282" s="864"/>
      <c r="O282" s="864"/>
      <c r="P282" s="864"/>
      <c r="Q282" s="864"/>
      <c r="R282" s="864"/>
      <c r="S282" s="864"/>
      <c r="T282" s="864"/>
      <c r="U282" s="864"/>
      <c r="V282" s="864"/>
      <c r="W282" s="864"/>
      <c r="X282" s="90"/>
      <c r="Y282" s="90"/>
      <c r="Z282" s="90"/>
    </row>
    <row r="283" ht="15.75" customHeight="1">
      <c r="A283" s="90"/>
      <c r="B283" s="90"/>
      <c r="C283" s="864"/>
      <c r="D283" s="90"/>
      <c r="E283" s="90"/>
      <c r="F283" s="90"/>
      <c r="G283" s="90"/>
      <c r="H283" s="90"/>
      <c r="I283" s="90"/>
      <c r="J283" s="90"/>
      <c r="K283" s="90"/>
      <c r="L283" s="90"/>
      <c r="M283" s="864"/>
      <c r="N283" s="864"/>
      <c r="O283" s="864"/>
      <c r="P283" s="864"/>
      <c r="Q283" s="864"/>
      <c r="R283" s="864"/>
      <c r="S283" s="864"/>
      <c r="T283" s="864"/>
      <c r="U283" s="864"/>
      <c r="V283" s="864"/>
      <c r="W283" s="864"/>
      <c r="X283" s="90"/>
      <c r="Y283" s="90"/>
      <c r="Z283" s="90"/>
    </row>
    <row r="284" ht="15.75" customHeight="1">
      <c r="A284" s="90"/>
      <c r="B284" s="90"/>
      <c r="C284" s="864"/>
      <c r="D284" s="90"/>
      <c r="E284" s="90"/>
      <c r="F284" s="90"/>
      <c r="G284" s="90"/>
      <c r="H284" s="90"/>
      <c r="I284" s="90"/>
      <c r="J284" s="90"/>
      <c r="K284" s="90"/>
      <c r="L284" s="90"/>
      <c r="M284" s="864"/>
      <c r="N284" s="864"/>
      <c r="O284" s="864"/>
      <c r="P284" s="864"/>
      <c r="Q284" s="864"/>
      <c r="R284" s="864"/>
      <c r="S284" s="864"/>
      <c r="T284" s="864"/>
      <c r="U284" s="864"/>
      <c r="V284" s="864"/>
      <c r="W284" s="864"/>
      <c r="X284" s="90"/>
      <c r="Y284" s="90"/>
      <c r="Z284" s="90"/>
    </row>
    <row r="285" ht="15.75" customHeight="1">
      <c r="A285" s="90"/>
      <c r="B285" s="90"/>
      <c r="C285" s="864"/>
      <c r="D285" s="90"/>
      <c r="E285" s="90"/>
      <c r="F285" s="90"/>
      <c r="G285" s="90"/>
      <c r="H285" s="90"/>
      <c r="I285" s="90"/>
      <c r="J285" s="90"/>
      <c r="K285" s="90"/>
      <c r="L285" s="90"/>
      <c r="M285" s="864"/>
      <c r="N285" s="864"/>
      <c r="O285" s="864"/>
      <c r="P285" s="864"/>
      <c r="Q285" s="864"/>
      <c r="R285" s="864"/>
      <c r="S285" s="864"/>
      <c r="T285" s="864"/>
      <c r="U285" s="864"/>
      <c r="V285" s="864"/>
      <c r="W285" s="864"/>
      <c r="X285" s="90"/>
      <c r="Y285" s="90"/>
      <c r="Z285" s="90"/>
    </row>
    <row r="286" ht="15.75" customHeight="1">
      <c r="A286" s="90"/>
      <c r="B286" s="90"/>
      <c r="C286" s="864"/>
      <c r="D286" s="90"/>
      <c r="E286" s="90"/>
      <c r="F286" s="90"/>
      <c r="G286" s="90"/>
      <c r="H286" s="90"/>
      <c r="I286" s="90"/>
      <c r="J286" s="90"/>
      <c r="K286" s="90"/>
      <c r="L286" s="90"/>
      <c r="M286" s="864"/>
      <c r="N286" s="864"/>
      <c r="O286" s="864"/>
      <c r="P286" s="864"/>
      <c r="Q286" s="864"/>
      <c r="R286" s="864"/>
      <c r="S286" s="864"/>
      <c r="T286" s="864"/>
      <c r="U286" s="864"/>
      <c r="V286" s="864"/>
      <c r="W286" s="864"/>
      <c r="X286" s="90"/>
      <c r="Y286" s="90"/>
      <c r="Z286" s="90"/>
    </row>
    <row r="287" ht="15.75" customHeight="1">
      <c r="A287" s="90"/>
      <c r="B287" s="90"/>
      <c r="C287" s="864"/>
      <c r="D287" s="90"/>
      <c r="E287" s="90"/>
      <c r="F287" s="90"/>
      <c r="G287" s="90"/>
      <c r="H287" s="90"/>
      <c r="I287" s="90"/>
      <c r="J287" s="90"/>
      <c r="K287" s="90"/>
      <c r="L287" s="90"/>
      <c r="M287" s="864"/>
      <c r="N287" s="864"/>
      <c r="O287" s="864"/>
      <c r="P287" s="864"/>
      <c r="Q287" s="864"/>
      <c r="R287" s="864"/>
      <c r="S287" s="864"/>
      <c r="T287" s="864"/>
      <c r="U287" s="864"/>
      <c r="V287" s="864"/>
      <c r="W287" s="864"/>
      <c r="X287" s="90"/>
      <c r="Y287" s="90"/>
      <c r="Z287" s="90"/>
    </row>
    <row r="288" ht="15.75" customHeight="1">
      <c r="A288" s="90"/>
      <c r="B288" s="90"/>
      <c r="C288" s="864"/>
      <c r="D288" s="90"/>
      <c r="E288" s="90"/>
      <c r="F288" s="90"/>
      <c r="G288" s="90"/>
      <c r="H288" s="90"/>
      <c r="I288" s="90"/>
      <c r="J288" s="90"/>
      <c r="K288" s="90"/>
      <c r="L288" s="90"/>
      <c r="M288" s="864"/>
      <c r="N288" s="864"/>
      <c r="O288" s="864"/>
      <c r="P288" s="864"/>
      <c r="Q288" s="864"/>
      <c r="R288" s="864"/>
      <c r="S288" s="864"/>
      <c r="T288" s="864"/>
      <c r="U288" s="864"/>
      <c r="V288" s="864"/>
      <c r="W288" s="864"/>
      <c r="X288" s="90"/>
      <c r="Y288" s="90"/>
      <c r="Z288" s="90"/>
    </row>
    <row r="289" ht="15.75" customHeight="1">
      <c r="A289" s="90"/>
      <c r="B289" s="90"/>
      <c r="C289" s="864"/>
      <c r="D289" s="90"/>
      <c r="E289" s="90"/>
      <c r="F289" s="90"/>
      <c r="G289" s="90"/>
      <c r="H289" s="90"/>
      <c r="I289" s="90"/>
      <c r="J289" s="90"/>
      <c r="K289" s="90"/>
      <c r="L289" s="90"/>
      <c r="M289" s="864"/>
      <c r="N289" s="864"/>
      <c r="O289" s="864"/>
      <c r="P289" s="864"/>
      <c r="Q289" s="864"/>
      <c r="R289" s="864"/>
      <c r="S289" s="864"/>
      <c r="T289" s="864"/>
      <c r="U289" s="864"/>
      <c r="V289" s="864"/>
      <c r="W289" s="864"/>
      <c r="X289" s="90"/>
      <c r="Y289" s="90"/>
      <c r="Z289" s="90"/>
    </row>
    <row r="290" ht="15.75" customHeight="1">
      <c r="A290" s="90"/>
      <c r="B290" s="90"/>
      <c r="C290" s="864"/>
      <c r="D290" s="90"/>
      <c r="E290" s="90"/>
      <c r="F290" s="90"/>
      <c r="G290" s="90"/>
      <c r="H290" s="90"/>
      <c r="I290" s="90"/>
      <c r="J290" s="90"/>
      <c r="K290" s="90"/>
      <c r="L290" s="90"/>
      <c r="M290" s="864"/>
      <c r="N290" s="864"/>
      <c r="O290" s="864"/>
      <c r="P290" s="864"/>
      <c r="Q290" s="864"/>
      <c r="R290" s="864"/>
      <c r="S290" s="864"/>
      <c r="T290" s="864"/>
      <c r="U290" s="864"/>
      <c r="V290" s="864"/>
      <c r="W290" s="864"/>
      <c r="X290" s="90"/>
      <c r="Y290" s="90"/>
      <c r="Z290" s="90"/>
    </row>
    <row r="291" ht="15.75" customHeight="1">
      <c r="A291" s="90"/>
      <c r="B291" s="90"/>
      <c r="C291" s="864"/>
      <c r="D291" s="90"/>
      <c r="E291" s="90"/>
      <c r="F291" s="90"/>
      <c r="G291" s="90"/>
      <c r="H291" s="90"/>
      <c r="I291" s="90"/>
      <c r="J291" s="90"/>
      <c r="K291" s="90"/>
      <c r="L291" s="90"/>
      <c r="M291" s="864"/>
      <c r="N291" s="864"/>
      <c r="O291" s="864"/>
      <c r="P291" s="864"/>
      <c r="Q291" s="864"/>
      <c r="R291" s="864"/>
      <c r="S291" s="864"/>
      <c r="T291" s="864"/>
      <c r="U291" s="864"/>
      <c r="V291" s="864"/>
      <c r="W291" s="864"/>
      <c r="X291" s="90"/>
      <c r="Y291" s="90"/>
      <c r="Z291" s="90"/>
    </row>
    <row r="292" ht="15.75" customHeight="1">
      <c r="A292" s="90"/>
      <c r="B292" s="90"/>
      <c r="C292" s="864"/>
      <c r="D292" s="90"/>
      <c r="E292" s="90"/>
      <c r="F292" s="90"/>
      <c r="G292" s="90"/>
      <c r="H292" s="90"/>
      <c r="I292" s="90"/>
      <c r="J292" s="90"/>
      <c r="K292" s="90"/>
      <c r="L292" s="90"/>
      <c r="M292" s="864"/>
      <c r="N292" s="864"/>
      <c r="O292" s="864"/>
      <c r="P292" s="864"/>
      <c r="Q292" s="864"/>
      <c r="R292" s="864"/>
      <c r="S292" s="864"/>
      <c r="T292" s="864"/>
      <c r="U292" s="864"/>
      <c r="V292" s="864"/>
      <c r="W292" s="864"/>
      <c r="X292" s="90"/>
      <c r="Y292" s="90"/>
      <c r="Z292" s="90"/>
    </row>
    <row r="293" ht="15.75" customHeight="1">
      <c r="A293" s="90"/>
      <c r="B293" s="90"/>
      <c r="C293" s="864"/>
      <c r="D293" s="90"/>
      <c r="E293" s="90"/>
      <c r="F293" s="90"/>
      <c r="G293" s="90"/>
      <c r="H293" s="90"/>
      <c r="I293" s="90"/>
      <c r="J293" s="90"/>
      <c r="K293" s="90"/>
      <c r="L293" s="90"/>
      <c r="M293" s="864"/>
      <c r="N293" s="864"/>
      <c r="O293" s="864"/>
      <c r="P293" s="864"/>
      <c r="Q293" s="864"/>
      <c r="R293" s="864"/>
      <c r="S293" s="864"/>
      <c r="T293" s="864"/>
      <c r="U293" s="864"/>
      <c r="V293" s="864"/>
      <c r="W293" s="864"/>
      <c r="X293" s="90"/>
      <c r="Y293" s="90"/>
      <c r="Z293" s="90"/>
    </row>
    <row r="294" ht="15.75" customHeight="1">
      <c r="A294" s="90"/>
      <c r="B294" s="90"/>
      <c r="C294" s="864"/>
      <c r="D294" s="90"/>
      <c r="E294" s="90"/>
      <c r="F294" s="90"/>
      <c r="G294" s="90"/>
      <c r="H294" s="90"/>
      <c r="I294" s="90"/>
      <c r="J294" s="90"/>
      <c r="K294" s="90"/>
      <c r="L294" s="90"/>
      <c r="M294" s="864"/>
      <c r="N294" s="864"/>
      <c r="O294" s="864"/>
      <c r="P294" s="864"/>
      <c r="Q294" s="864"/>
      <c r="R294" s="864"/>
      <c r="S294" s="864"/>
      <c r="T294" s="864"/>
      <c r="U294" s="864"/>
      <c r="V294" s="864"/>
      <c r="W294" s="864"/>
      <c r="X294" s="90"/>
      <c r="Y294" s="90"/>
      <c r="Z294" s="90"/>
    </row>
    <row r="295" ht="15.75" customHeight="1">
      <c r="A295" s="90"/>
      <c r="B295" s="90"/>
      <c r="C295" s="864"/>
      <c r="D295" s="90"/>
      <c r="E295" s="90"/>
      <c r="F295" s="90"/>
      <c r="G295" s="90"/>
      <c r="H295" s="90"/>
      <c r="I295" s="90"/>
      <c r="J295" s="90"/>
      <c r="K295" s="90"/>
      <c r="L295" s="90"/>
      <c r="M295" s="864"/>
      <c r="N295" s="864"/>
      <c r="O295" s="864"/>
      <c r="P295" s="864"/>
      <c r="Q295" s="864"/>
      <c r="R295" s="864"/>
      <c r="S295" s="864"/>
      <c r="T295" s="864"/>
      <c r="U295" s="864"/>
      <c r="V295" s="864"/>
      <c r="W295" s="864"/>
      <c r="X295" s="90"/>
      <c r="Y295" s="90"/>
      <c r="Z295" s="90"/>
    </row>
    <row r="296" ht="15.75" customHeight="1">
      <c r="A296" s="90"/>
      <c r="B296" s="90"/>
      <c r="C296" s="864"/>
      <c r="D296" s="90"/>
      <c r="E296" s="90"/>
      <c r="F296" s="90"/>
      <c r="G296" s="90"/>
      <c r="H296" s="90"/>
      <c r="I296" s="90"/>
      <c r="J296" s="90"/>
      <c r="K296" s="90"/>
      <c r="L296" s="90"/>
      <c r="M296" s="864"/>
      <c r="N296" s="864"/>
      <c r="O296" s="864"/>
      <c r="P296" s="864"/>
      <c r="Q296" s="864"/>
      <c r="R296" s="864"/>
      <c r="S296" s="864"/>
      <c r="T296" s="864"/>
      <c r="U296" s="864"/>
      <c r="V296" s="864"/>
      <c r="W296" s="864"/>
      <c r="X296" s="90"/>
      <c r="Y296" s="90"/>
      <c r="Z296" s="90"/>
    </row>
    <row r="297" ht="15.75" customHeight="1">
      <c r="A297" s="90"/>
      <c r="B297" s="90"/>
      <c r="C297" s="864"/>
      <c r="D297" s="90"/>
      <c r="E297" s="90"/>
      <c r="F297" s="90"/>
      <c r="G297" s="90"/>
      <c r="H297" s="90"/>
      <c r="I297" s="90"/>
      <c r="J297" s="90"/>
      <c r="K297" s="90"/>
      <c r="L297" s="90"/>
      <c r="M297" s="864"/>
      <c r="N297" s="864"/>
      <c r="O297" s="864"/>
      <c r="P297" s="864"/>
      <c r="Q297" s="864"/>
      <c r="R297" s="864"/>
      <c r="S297" s="864"/>
      <c r="T297" s="864"/>
      <c r="U297" s="864"/>
      <c r="V297" s="864"/>
      <c r="W297" s="864"/>
      <c r="X297" s="90"/>
      <c r="Y297" s="90"/>
      <c r="Z297" s="90"/>
    </row>
    <row r="298" ht="15.75" customHeight="1">
      <c r="A298" s="90"/>
      <c r="B298" s="90"/>
      <c r="C298" s="864"/>
      <c r="D298" s="90"/>
      <c r="E298" s="90"/>
      <c r="F298" s="90"/>
      <c r="G298" s="90"/>
      <c r="H298" s="90"/>
      <c r="I298" s="90"/>
      <c r="J298" s="90"/>
      <c r="K298" s="90"/>
      <c r="L298" s="90"/>
      <c r="M298" s="864"/>
      <c r="N298" s="864"/>
      <c r="O298" s="864"/>
      <c r="P298" s="864"/>
      <c r="Q298" s="864"/>
      <c r="R298" s="864"/>
      <c r="S298" s="864"/>
      <c r="T298" s="864"/>
      <c r="U298" s="864"/>
      <c r="V298" s="864"/>
      <c r="W298" s="864"/>
      <c r="X298" s="90"/>
      <c r="Y298" s="90"/>
      <c r="Z298" s="90"/>
    </row>
    <row r="299" ht="15.75" customHeight="1">
      <c r="A299" s="90"/>
      <c r="B299" s="90"/>
      <c r="C299" s="864"/>
      <c r="D299" s="90"/>
      <c r="E299" s="90"/>
      <c r="F299" s="90"/>
      <c r="G299" s="90"/>
      <c r="H299" s="90"/>
      <c r="I299" s="90"/>
      <c r="J299" s="90"/>
      <c r="K299" s="90"/>
      <c r="L299" s="90"/>
      <c r="M299" s="864"/>
      <c r="N299" s="864"/>
      <c r="O299" s="864"/>
      <c r="P299" s="864"/>
      <c r="Q299" s="864"/>
      <c r="R299" s="864"/>
      <c r="S299" s="864"/>
      <c r="T299" s="864"/>
      <c r="U299" s="864"/>
      <c r="V299" s="864"/>
      <c r="W299" s="864"/>
      <c r="X299" s="90"/>
      <c r="Y299" s="90"/>
      <c r="Z299" s="90"/>
    </row>
    <row r="300" ht="15.75" customHeight="1">
      <c r="A300" s="90"/>
      <c r="B300" s="90"/>
      <c r="C300" s="864"/>
      <c r="D300" s="90"/>
      <c r="E300" s="90"/>
      <c r="F300" s="90"/>
      <c r="G300" s="90"/>
      <c r="H300" s="90"/>
      <c r="I300" s="90"/>
      <c r="J300" s="90"/>
      <c r="K300" s="90"/>
      <c r="L300" s="90"/>
      <c r="M300" s="864"/>
      <c r="N300" s="864"/>
      <c r="O300" s="864"/>
      <c r="P300" s="864"/>
      <c r="Q300" s="864"/>
      <c r="R300" s="864"/>
      <c r="S300" s="864"/>
      <c r="T300" s="864"/>
      <c r="U300" s="864"/>
      <c r="V300" s="864"/>
      <c r="W300" s="864"/>
      <c r="X300" s="90"/>
      <c r="Y300" s="90"/>
      <c r="Z300" s="90"/>
    </row>
    <row r="301" ht="15.75" customHeight="1">
      <c r="A301" s="90"/>
      <c r="B301" s="90"/>
      <c r="C301" s="864"/>
      <c r="D301" s="90"/>
      <c r="E301" s="90"/>
      <c r="F301" s="90"/>
      <c r="G301" s="90"/>
      <c r="H301" s="90"/>
      <c r="I301" s="90"/>
      <c r="J301" s="90"/>
      <c r="K301" s="90"/>
      <c r="L301" s="90"/>
      <c r="M301" s="864"/>
      <c r="N301" s="864"/>
      <c r="O301" s="864"/>
      <c r="P301" s="864"/>
      <c r="Q301" s="864"/>
      <c r="R301" s="864"/>
      <c r="S301" s="864"/>
      <c r="T301" s="864"/>
      <c r="U301" s="864"/>
      <c r="V301" s="864"/>
      <c r="W301" s="864"/>
      <c r="X301" s="90"/>
      <c r="Y301" s="90"/>
      <c r="Z301" s="90"/>
    </row>
    <row r="302" ht="15.75" customHeight="1">
      <c r="A302" s="90"/>
      <c r="B302" s="90"/>
      <c r="C302" s="864"/>
      <c r="D302" s="90"/>
      <c r="E302" s="90"/>
      <c r="F302" s="90"/>
      <c r="G302" s="90"/>
      <c r="H302" s="90"/>
      <c r="I302" s="90"/>
      <c r="J302" s="90"/>
      <c r="K302" s="90"/>
      <c r="L302" s="90"/>
      <c r="M302" s="864"/>
      <c r="N302" s="864"/>
      <c r="O302" s="864"/>
      <c r="P302" s="864"/>
      <c r="Q302" s="864"/>
      <c r="R302" s="864"/>
      <c r="S302" s="864"/>
      <c r="T302" s="864"/>
      <c r="U302" s="864"/>
      <c r="V302" s="864"/>
      <c r="W302" s="864"/>
      <c r="X302" s="90"/>
      <c r="Y302" s="90"/>
      <c r="Z302" s="90"/>
    </row>
    <row r="303" ht="15.75" customHeight="1">
      <c r="A303" s="90"/>
      <c r="B303" s="90"/>
      <c r="C303" s="864"/>
      <c r="D303" s="90"/>
      <c r="E303" s="90"/>
      <c r="F303" s="90"/>
      <c r="G303" s="90"/>
      <c r="H303" s="90"/>
      <c r="I303" s="90"/>
      <c r="J303" s="90"/>
      <c r="K303" s="90"/>
      <c r="L303" s="90"/>
      <c r="M303" s="864"/>
      <c r="N303" s="864"/>
      <c r="O303" s="864"/>
      <c r="P303" s="864"/>
      <c r="Q303" s="864"/>
      <c r="R303" s="864"/>
      <c r="S303" s="864"/>
      <c r="T303" s="864"/>
      <c r="U303" s="864"/>
      <c r="V303" s="864"/>
      <c r="W303" s="864"/>
      <c r="X303" s="90"/>
      <c r="Y303" s="90"/>
      <c r="Z303" s="90"/>
    </row>
    <row r="304" ht="15.75" customHeight="1">
      <c r="A304" s="90"/>
      <c r="B304" s="90"/>
      <c r="C304" s="864"/>
      <c r="D304" s="90"/>
      <c r="E304" s="90"/>
      <c r="F304" s="90"/>
      <c r="G304" s="90"/>
      <c r="H304" s="90"/>
      <c r="I304" s="90"/>
      <c r="J304" s="90"/>
      <c r="K304" s="90"/>
      <c r="L304" s="90"/>
      <c r="M304" s="864"/>
      <c r="N304" s="864"/>
      <c r="O304" s="864"/>
      <c r="P304" s="864"/>
      <c r="Q304" s="864"/>
      <c r="R304" s="864"/>
      <c r="S304" s="864"/>
      <c r="T304" s="864"/>
      <c r="U304" s="864"/>
      <c r="V304" s="864"/>
      <c r="W304" s="864"/>
      <c r="X304" s="90"/>
      <c r="Y304" s="90"/>
      <c r="Z304" s="90"/>
    </row>
    <row r="305" ht="15.75" customHeight="1">
      <c r="A305" s="90"/>
      <c r="B305" s="90"/>
      <c r="C305" s="864"/>
      <c r="D305" s="90"/>
      <c r="E305" s="90"/>
      <c r="F305" s="90"/>
      <c r="G305" s="90"/>
      <c r="H305" s="90"/>
      <c r="I305" s="90"/>
      <c r="J305" s="90"/>
      <c r="K305" s="90"/>
      <c r="L305" s="90"/>
      <c r="M305" s="864"/>
      <c r="N305" s="864"/>
      <c r="O305" s="864"/>
      <c r="P305" s="864"/>
      <c r="Q305" s="864"/>
      <c r="R305" s="864"/>
      <c r="S305" s="864"/>
      <c r="T305" s="864"/>
      <c r="U305" s="864"/>
      <c r="V305" s="864"/>
      <c r="W305" s="864"/>
      <c r="X305" s="90"/>
      <c r="Y305" s="90"/>
      <c r="Z305" s="90"/>
    </row>
    <row r="306" ht="15.75" customHeight="1">
      <c r="A306" s="90"/>
      <c r="B306" s="90"/>
      <c r="C306" s="864"/>
      <c r="D306" s="90"/>
      <c r="E306" s="90"/>
      <c r="F306" s="90"/>
      <c r="G306" s="90"/>
      <c r="H306" s="90"/>
      <c r="I306" s="90"/>
      <c r="J306" s="90"/>
      <c r="K306" s="90"/>
      <c r="L306" s="90"/>
      <c r="M306" s="864"/>
      <c r="N306" s="864"/>
      <c r="O306" s="864"/>
      <c r="P306" s="864"/>
      <c r="Q306" s="864"/>
      <c r="R306" s="864"/>
      <c r="S306" s="864"/>
      <c r="T306" s="864"/>
      <c r="U306" s="864"/>
      <c r="V306" s="864"/>
      <c r="W306" s="864"/>
      <c r="X306" s="90"/>
      <c r="Y306" s="90"/>
      <c r="Z306" s="90"/>
    </row>
    <row r="307" ht="15.75" customHeight="1">
      <c r="A307" s="90"/>
      <c r="B307" s="90"/>
      <c r="C307" s="864"/>
      <c r="D307" s="90"/>
      <c r="E307" s="90"/>
      <c r="F307" s="90"/>
      <c r="G307" s="90"/>
      <c r="H307" s="90"/>
      <c r="I307" s="90"/>
      <c r="J307" s="90"/>
      <c r="K307" s="90"/>
      <c r="L307" s="90"/>
      <c r="M307" s="864"/>
      <c r="N307" s="864"/>
      <c r="O307" s="864"/>
      <c r="P307" s="864"/>
      <c r="Q307" s="864"/>
      <c r="R307" s="864"/>
      <c r="S307" s="864"/>
      <c r="T307" s="864"/>
      <c r="U307" s="864"/>
      <c r="V307" s="864"/>
      <c r="W307" s="864"/>
      <c r="X307" s="90"/>
      <c r="Y307" s="90"/>
      <c r="Z307" s="90"/>
    </row>
    <row r="308" ht="15.75" customHeight="1">
      <c r="A308" s="90"/>
      <c r="B308" s="90"/>
      <c r="C308" s="864"/>
      <c r="D308" s="90"/>
      <c r="E308" s="90"/>
      <c r="F308" s="90"/>
      <c r="G308" s="90"/>
      <c r="H308" s="90"/>
      <c r="I308" s="90"/>
      <c r="J308" s="90"/>
      <c r="K308" s="90"/>
      <c r="L308" s="90"/>
      <c r="M308" s="864"/>
      <c r="N308" s="864"/>
      <c r="O308" s="864"/>
      <c r="P308" s="864"/>
      <c r="Q308" s="864"/>
      <c r="R308" s="864"/>
      <c r="S308" s="864"/>
      <c r="T308" s="864"/>
      <c r="U308" s="864"/>
      <c r="V308" s="864"/>
      <c r="W308" s="864"/>
      <c r="X308" s="90"/>
      <c r="Y308" s="90"/>
      <c r="Z308" s="90"/>
    </row>
    <row r="309" ht="15.75" customHeight="1">
      <c r="A309" s="90"/>
      <c r="B309" s="90"/>
      <c r="C309" s="864"/>
      <c r="D309" s="90"/>
      <c r="E309" s="90"/>
      <c r="F309" s="90"/>
      <c r="G309" s="90"/>
      <c r="H309" s="90"/>
      <c r="I309" s="90"/>
      <c r="J309" s="90"/>
      <c r="K309" s="90"/>
      <c r="L309" s="90"/>
      <c r="M309" s="864"/>
      <c r="N309" s="864"/>
      <c r="O309" s="864"/>
      <c r="P309" s="864"/>
      <c r="Q309" s="864"/>
      <c r="R309" s="864"/>
      <c r="S309" s="864"/>
      <c r="T309" s="864"/>
      <c r="U309" s="864"/>
      <c r="V309" s="864"/>
      <c r="W309" s="864"/>
      <c r="X309" s="90"/>
      <c r="Y309" s="90"/>
      <c r="Z309" s="90"/>
    </row>
    <row r="310" ht="15.75" customHeight="1">
      <c r="A310" s="90"/>
      <c r="B310" s="90"/>
      <c r="C310" s="864"/>
      <c r="D310" s="90"/>
      <c r="E310" s="90"/>
      <c r="F310" s="90"/>
      <c r="G310" s="90"/>
      <c r="H310" s="90"/>
      <c r="I310" s="90"/>
      <c r="J310" s="90"/>
      <c r="K310" s="90"/>
      <c r="L310" s="90"/>
      <c r="M310" s="864"/>
      <c r="N310" s="864"/>
      <c r="O310" s="864"/>
      <c r="P310" s="864"/>
      <c r="Q310" s="864"/>
      <c r="R310" s="864"/>
      <c r="S310" s="864"/>
      <c r="T310" s="864"/>
      <c r="U310" s="864"/>
      <c r="V310" s="864"/>
      <c r="W310" s="864"/>
      <c r="X310" s="90"/>
      <c r="Y310" s="90"/>
      <c r="Z310" s="90"/>
    </row>
    <row r="311" ht="15.75" customHeight="1">
      <c r="A311" s="90"/>
      <c r="B311" s="90"/>
      <c r="C311" s="864"/>
      <c r="D311" s="90"/>
      <c r="E311" s="90"/>
      <c r="F311" s="90"/>
      <c r="G311" s="90"/>
      <c r="H311" s="90"/>
      <c r="I311" s="90"/>
      <c r="J311" s="90"/>
      <c r="K311" s="90"/>
      <c r="L311" s="90"/>
      <c r="M311" s="864"/>
      <c r="N311" s="864"/>
      <c r="O311" s="864"/>
      <c r="P311" s="864"/>
      <c r="Q311" s="864"/>
      <c r="R311" s="864"/>
      <c r="S311" s="864"/>
      <c r="T311" s="864"/>
      <c r="U311" s="864"/>
      <c r="V311" s="864"/>
      <c r="W311" s="864"/>
      <c r="X311" s="90"/>
      <c r="Y311" s="90"/>
      <c r="Z311" s="90"/>
    </row>
    <row r="312" ht="15.75" customHeight="1">
      <c r="A312" s="90"/>
      <c r="B312" s="90"/>
      <c r="C312" s="864"/>
      <c r="D312" s="90"/>
      <c r="E312" s="90"/>
      <c r="F312" s="90"/>
      <c r="G312" s="90"/>
      <c r="H312" s="90"/>
      <c r="I312" s="90"/>
      <c r="J312" s="90"/>
      <c r="K312" s="90"/>
      <c r="L312" s="90"/>
      <c r="M312" s="864"/>
      <c r="N312" s="864"/>
      <c r="O312" s="864"/>
      <c r="P312" s="864"/>
      <c r="Q312" s="864"/>
      <c r="R312" s="864"/>
      <c r="S312" s="864"/>
      <c r="T312" s="864"/>
      <c r="U312" s="864"/>
      <c r="V312" s="864"/>
      <c r="W312" s="864"/>
      <c r="X312" s="90"/>
      <c r="Y312" s="90"/>
      <c r="Z312" s="90"/>
    </row>
    <row r="313" ht="15.75" customHeight="1">
      <c r="A313" s="90"/>
      <c r="B313" s="90"/>
      <c r="C313" s="864"/>
      <c r="D313" s="90"/>
      <c r="E313" s="90"/>
      <c r="F313" s="90"/>
      <c r="G313" s="90"/>
      <c r="H313" s="90"/>
      <c r="I313" s="90"/>
      <c r="J313" s="90"/>
      <c r="K313" s="90"/>
      <c r="L313" s="90"/>
      <c r="M313" s="864"/>
      <c r="N313" s="864"/>
      <c r="O313" s="864"/>
      <c r="P313" s="864"/>
      <c r="Q313" s="864"/>
      <c r="R313" s="864"/>
      <c r="S313" s="864"/>
      <c r="T313" s="864"/>
      <c r="U313" s="864"/>
      <c r="V313" s="864"/>
      <c r="W313" s="864"/>
      <c r="X313" s="90"/>
      <c r="Y313" s="90"/>
      <c r="Z313" s="90"/>
    </row>
    <row r="314" ht="15.75" customHeight="1">
      <c r="A314" s="90"/>
      <c r="B314" s="90"/>
      <c r="C314" s="864"/>
      <c r="D314" s="90"/>
      <c r="E314" s="90"/>
      <c r="F314" s="90"/>
      <c r="G314" s="90"/>
      <c r="H314" s="90"/>
      <c r="I314" s="90"/>
      <c r="J314" s="90"/>
      <c r="K314" s="90"/>
      <c r="L314" s="90"/>
      <c r="M314" s="864"/>
      <c r="N314" s="864"/>
      <c r="O314" s="864"/>
      <c r="P314" s="864"/>
      <c r="Q314" s="864"/>
      <c r="R314" s="864"/>
      <c r="S314" s="864"/>
      <c r="T314" s="864"/>
      <c r="U314" s="864"/>
      <c r="V314" s="864"/>
      <c r="W314" s="864"/>
      <c r="X314" s="90"/>
      <c r="Y314" s="90"/>
      <c r="Z314" s="90"/>
    </row>
    <row r="315" ht="15.75" customHeight="1">
      <c r="A315" s="90"/>
      <c r="B315" s="90"/>
      <c r="C315" s="864"/>
      <c r="D315" s="90"/>
      <c r="E315" s="90"/>
      <c r="F315" s="90"/>
      <c r="G315" s="90"/>
      <c r="H315" s="90"/>
      <c r="I315" s="90"/>
      <c r="J315" s="90"/>
      <c r="K315" s="90"/>
      <c r="L315" s="90"/>
      <c r="M315" s="864"/>
      <c r="N315" s="864"/>
      <c r="O315" s="864"/>
      <c r="P315" s="864"/>
      <c r="Q315" s="864"/>
      <c r="R315" s="864"/>
      <c r="S315" s="864"/>
      <c r="T315" s="864"/>
      <c r="U315" s="864"/>
      <c r="V315" s="864"/>
      <c r="W315" s="864"/>
      <c r="X315" s="90"/>
      <c r="Y315" s="90"/>
      <c r="Z315" s="90"/>
    </row>
    <row r="316" ht="15.75" customHeight="1">
      <c r="A316" s="90"/>
      <c r="B316" s="90"/>
      <c r="C316" s="864"/>
      <c r="D316" s="90"/>
      <c r="E316" s="90"/>
      <c r="F316" s="90"/>
      <c r="G316" s="90"/>
      <c r="H316" s="90"/>
      <c r="I316" s="90"/>
      <c r="J316" s="90"/>
      <c r="K316" s="90"/>
      <c r="L316" s="90"/>
      <c r="M316" s="864"/>
      <c r="N316" s="864"/>
      <c r="O316" s="864"/>
      <c r="P316" s="864"/>
      <c r="Q316" s="864"/>
      <c r="R316" s="864"/>
      <c r="S316" s="864"/>
      <c r="T316" s="864"/>
      <c r="U316" s="864"/>
      <c r="V316" s="864"/>
      <c r="W316" s="864"/>
      <c r="X316" s="90"/>
      <c r="Y316" s="90"/>
      <c r="Z316" s="90"/>
    </row>
    <row r="317" ht="15.75" customHeight="1">
      <c r="A317" s="90"/>
      <c r="B317" s="90"/>
      <c r="C317" s="864"/>
      <c r="D317" s="90"/>
      <c r="E317" s="90"/>
      <c r="F317" s="90"/>
      <c r="G317" s="90"/>
      <c r="H317" s="90"/>
      <c r="I317" s="90"/>
      <c r="J317" s="90"/>
      <c r="K317" s="90"/>
      <c r="L317" s="90"/>
      <c r="M317" s="864"/>
      <c r="N317" s="864"/>
      <c r="O317" s="864"/>
      <c r="P317" s="864"/>
      <c r="Q317" s="864"/>
      <c r="R317" s="864"/>
      <c r="S317" s="864"/>
      <c r="T317" s="864"/>
      <c r="U317" s="864"/>
      <c r="V317" s="864"/>
      <c r="W317" s="864"/>
      <c r="X317" s="90"/>
      <c r="Y317" s="90"/>
      <c r="Z317" s="90"/>
    </row>
    <row r="318" ht="15.75" customHeight="1">
      <c r="A318" s="90"/>
      <c r="B318" s="90"/>
      <c r="C318" s="864"/>
      <c r="D318" s="90"/>
      <c r="E318" s="90"/>
      <c r="F318" s="90"/>
      <c r="G318" s="90"/>
      <c r="H318" s="90"/>
      <c r="I318" s="90"/>
      <c r="J318" s="90"/>
      <c r="K318" s="90"/>
      <c r="L318" s="90"/>
      <c r="M318" s="864"/>
      <c r="N318" s="864"/>
      <c r="O318" s="864"/>
      <c r="P318" s="864"/>
      <c r="Q318" s="864"/>
      <c r="R318" s="864"/>
      <c r="S318" s="864"/>
      <c r="T318" s="864"/>
      <c r="U318" s="864"/>
      <c r="V318" s="864"/>
      <c r="W318" s="864"/>
      <c r="X318" s="90"/>
      <c r="Y318" s="90"/>
      <c r="Z318" s="90"/>
    </row>
    <row r="319" ht="15.75" customHeight="1">
      <c r="A319" s="90"/>
      <c r="B319" s="90"/>
      <c r="C319" s="864"/>
      <c r="D319" s="90"/>
      <c r="E319" s="90"/>
      <c r="F319" s="90"/>
      <c r="G319" s="90"/>
      <c r="H319" s="90"/>
      <c r="I319" s="90"/>
      <c r="J319" s="90"/>
      <c r="K319" s="90"/>
      <c r="L319" s="90"/>
      <c r="M319" s="864"/>
      <c r="N319" s="864"/>
      <c r="O319" s="864"/>
      <c r="P319" s="864"/>
      <c r="Q319" s="864"/>
      <c r="R319" s="864"/>
      <c r="S319" s="864"/>
      <c r="T319" s="864"/>
      <c r="U319" s="864"/>
      <c r="V319" s="864"/>
      <c r="W319" s="864"/>
      <c r="X319" s="90"/>
      <c r="Y319" s="90"/>
      <c r="Z319" s="90"/>
    </row>
    <row r="320" ht="15.75" customHeight="1">
      <c r="A320" s="90"/>
      <c r="B320" s="90"/>
      <c r="C320" s="864"/>
      <c r="D320" s="90"/>
      <c r="E320" s="90"/>
      <c r="F320" s="90"/>
      <c r="G320" s="90"/>
      <c r="H320" s="90"/>
      <c r="I320" s="90"/>
      <c r="J320" s="90"/>
      <c r="K320" s="90"/>
      <c r="L320" s="90"/>
      <c r="M320" s="864"/>
      <c r="N320" s="864"/>
      <c r="O320" s="864"/>
      <c r="P320" s="864"/>
      <c r="Q320" s="864"/>
      <c r="R320" s="864"/>
      <c r="S320" s="864"/>
      <c r="T320" s="864"/>
      <c r="U320" s="864"/>
      <c r="V320" s="864"/>
      <c r="W320" s="864"/>
      <c r="X320" s="90"/>
      <c r="Y320" s="90"/>
      <c r="Z320" s="90"/>
    </row>
    <row r="321" ht="15.75" customHeight="1">
      <c r="A321" s="90"/>
      <c r="B321" s="90"/>
      <c r="C321" s="864"/>
      <c r="D321" s="90"/>
      <c r="E321" s="90"/>
      <c r="F321" s="90"/>
      <c r="G321" s="90"/>
      <c r="H321" s="90"/>
      <c r="I321" s="90"/>
      <c r="J321" s="90"/>
      <c r="K321" s="90"/>
      <c r="L321" s="90"/>
      <c r="M321" s="864"/>
      <c r="N321" s="864"/>
      <c r="O321" s="864"/>
      <c r="P321" s="864"/>
      <c r="Q321" s="864"/>
      <c r="R321" s="864"/>
      <c r="S321" s="864"/>
      <c r="T321" s="864"/>
      <c r="U321" s="864"/>
      <c r="V321" s="864"/>
      <c r="W321" s="864"/>
      <c r="X321" s="90"/>
      <c r="Y321" s="90"/>
      <c r="Z321" s="90"/>
    </row>
    <row r="322" ht="15.75" customHeight="1">
      <c r="A322" s="90"/>
      <c r="B322" s="90"/>
      <c r="C322" s="864"/>
      <c r="D322" s="90"/>
      <c r="E322" s="90"/>
      <c r="F322" s="90"/>
      <c r="G322" s="90"/>
      <c r="H322" s="90"/>
      <c r="I322" s="90"/>
      <c r="J322" s="90"/>
      <c r="K322" s="90"/>
      <c r="L322" s="90"/>
      <c r="M322" s="864"/>
      <c r="N322" s="864"/>
      <c r="O322" s="864"/>
      <c r="P322" s="864"/>
      <c r="Q322" s="864"/>
      <c r="R322" s="864"/>
      <c r="S322" s="864"/>
      <c r="T322" s="864"/>
      <c r="U322" s="864"/>
      <c r="V322" s="864"/>
      <c r="W322" s="864"/>
      <c r="X322" s="90"/>
      <c r="Y322" s="90"/>
      <c r="Z322" s="90"/>
    </row>
    <row r="323" ht="15.75" customHeight="1">
      <c r="A323" s="90"/>
      <c r="B323" s="90"/>
      <c r="C323" s="864"/>
      <c r="D323" s="90"/>
      <c r="E323" s="90"/>
      <c r="F323" s="90"/>
      <c r="G323" s="90"/>
      <c r="H323" s="90"/>
      <c r="I323" s="90"/>
      <c r="J323" s="90"/>
      <c r="K323" s="90"/>
      <c r="L323" s="90"/>
      <c r="M323" s="864"/>
      <c r="N323" s="864"/>
      <c r="O323" s="864"/>
      <c r="P323" s="864"/>
      <c r="Q323" s="864"/>
      <c r="R323" s="864"/>
      <c r="S323" s="864"/>
      <c r="T323" s="864"/>
      <c r="U323" s="864"/>
      <c r="V323" s="864"/>
      <c r="W323" s="864"/>
      <c r="X323" s="90"/>
      <c r="Y323" s="90"/>
      <c r="Z323" s="90"/>
    </row>
    <row r="324" ht="15.75" customHeight="1">
      <c r="A324" s="90"/>
      <c r="B324" s="90"/>
      <c r="C324" s="864"/>
      <c r="D324" s="90"/>
      <c r="E324" s="90"/>
      <c r="F324" s="90"/>
      <c r="G324" s="90"/>
      <c r="H324" s="90"/>
      <c r="I324" s="90"/>
      <c r="J324" s="90"/>
      <c r="K324" s="90"/>
      <c r="L324" s="90"/>
      <c r="M324" s="864"/>
      <c r="N324" s="864"/>
      <c r="O324" s="864"/>
      <c r="P324" s="864"/>
      <c r="Q324" s="864"/>
      <c r="R324" s="864"/>
      <c r="S324" s="864"/>
      <c r="T324" s="864"/>
      <c r="U324" s="864"/>
      <c r="V324" s="864"/>
      <c r="W324" s="864"/>
      <c r="X324" s="90"/>
      <c r="Y324" s="90"/>
      <c r="Z324" s="90"/>
    </row>
    <row r="325" ht="15.75" customHeight="1">
      <c r="A325" s="90"/>
      <c r="B325" s="90"/>
      <c r="C325" s="864"/>
      <c r="D325" s="90"/>
      <c r="E325" s="90"/>
      <c r="F325" s="90"/>
      <c r="G325" s="90"/>
      <c r="H325" s="90"/>
      <c r="I325" s="90"/>
      <c r="J325" s="90"/>
      <c r="K325" s="90"/>
      <c r="L325" s="90"/>
      <c r="M325" s="864"/>
      <c r="N325" s="864"/>
      <c r="O325" s="864"/>
      <c r="P325" s="864"/>
      <c r="Q325" s="864"/>
      <c r="R325" s="864"/>
      <c r="S325" s="864"/>
      <c r="T325" s="864"/>
      <c r="U325" s="864"/>
      <c r="V325" s="864"/>
      <c r="W325" s="864"/>
      <c r="X325" s="90"/>
      <c r="Y325" s="90"/>
      <c r="Z325" s="90"/>
    </row>
    <row r="326" ht="15.75" customHeight="1">
      <c r="A326" s="90"/>
      <c r="B326" s="90"/>
      <c r="C326" s="864"/>
      <c r="D326" s="90"/>
      <c r="E326" s="90"/>
      <c r="F326" s="90"/>
      <c r="G326" s="90"/>
      <c r="H326" s="90"/>
      <c r="I326" s="90"/>
      <c r="J326" s="90"/>
      <c r="K326" s="90"/>
      <c r="L326" s="90"/>
      <c r="M326" s="864"/>
      <c r="N326" s="864"/>
      <c r="O326" s="864"/>
      <c r="P326" s="864"/>
      <c r="Q326" s="864"/>
      <c r="R326" s="864"/>
      <c r="S326" s="864"/>
      <c r="T326" s="864"/>
      <c r="U326" s="864"/>
      <c r="V326" s="864"/>
      <c r="W326" s="864"/>
      <c r="X326" s="90"/>
      <c r="Y326" s="90"/>
      <c r="Z326" s="90"/>
    </row>
    <row r="327" ht="15.75" customHeight="1">
      <c r="A327" s="90"/>
      <c r="B327" s="90"/>
      <c r="C327" s="864"/>
      <c r="D327" s="90"/>
      <c r="E327" s="90"/>
      <c r="F327" s="90"/>
      <c r="G327" s="90"/>
      <c r="H327" s="90"/>
      <c r="I327" s="90"/>
      <c r="J327" s="90"/>
      <c r="K327" s="90"/>
      <c r="L327" s="90"/>
      <c r="M327" s="864"/>
      <c r="N327" s="864"/>
      <c r="O327" s="864"/>
      <c r="P327" s="864"/>
      <c r="Q327" s="864"/>
      <c r="R327" s="864"/>
      <c r="S327" s="864"/>
      <c r="T327" s="864"/>
      <c r="U327" s="864"/>
      <c r="V327" s="864"/>
      <c r="W327" s="864"/>
      <c r="X327" s="90"/>
      <c r="Y327" s="90"/>
      <c r="Z327" s="90"/>
    </row>
    <row r="328" ht="15.75" customHeight="1">
      <c r="A328" s="90"/>
      <c r="B328" s="90"/>
      <c r="C328" s="864"/>
      <c r="D328" s="90"/>
      <c r="E328" s="90"/>
      <c r="F328" s="90"/>
      <c r="G328" s="90"/>
      <c r="H328" s="90"/>
      <c r="I328" s="90"/>
      <c r="J328" s="90"/>
      <c r="K328" s="90"/>
      <c r="L328" s="90"/>
      <c r="M328" s="864"/>
      <c r="N328" s="864"/>
      <c r="O328" s="864"/>
      <c r="P328" s="864"/>
      <c r="Q328" s="864"/>
      <c r="R328" s="864"/>
      <c r="S328" s="864"/>
      <c r="T328" s="864"/>
      <c r="U328" s="864"/>
      <c r="V328" s="864"/>
      <c r="W328" s="864"/>
      <c r="X328" s="90"/>
      <c r="Y328" s="90"/>
      <c r="Z328" s="90"/>
    </row>
    <row r="329" ht="15.75" customHeight="1">
      <c r="A329" s="90"/>
      <c r="B329" s="90"/>
      <c r="C329" s="864"/>
      <c r="D329" s="90"/>
      <c r="E329" s="90"/>
      <c r="F329" s="90"/>
      <c r="G329" s="90"/>
      <c r="H329" s="90"/>
      <c r="I329" s="90"/>
      <c r="J329" s="90"/>
      <c r="K329" s="90"/>
      <c r="L329" s="90"/>
      <c r="M329" s="864"/>
      <c r="N329" s="864"/>
      <c r="O329" s="864"/>
      <c r="P329" s="864"/>
      <c r="Q329" s="864"/>
      <c r="R329" s="864"/>
      <c r="S329" s="864"/>
      <c r="T329" s="864"/>
      <c r="U329" s="864"/>
      <c r="V329" s="864"/>
      <c r="W329" s="864"/>
      <c r="X329" s="90"/>
      <c r="Y329" s="90"/>
      <c r="Z329" s="90"/>
    </row>
    <row r="330" ht="15.75" customHeight="1">
      <c r="A330" s="90"/>
      <c r="B330" s="90"/>
      <c r="C330" s="864"/>
      <c r="D330" s="90"/>
      <c r="E330" s="90"/>
      <c r="F330" s="90"/>
      <c r="G330" s="90"/>
      <c r="H330" s="90"/>
      <c r="I330" s="90"/>
      <c r="J330" s="90"/>
      <c r="K330" s="90"/>
      <c r="L330" s="90"/>
      <c r="M330" s="864"/>
      <c r="N330" s="864"/>
      <c r="O330" s="864"/>
      <c r="P330" s="864"/>
      <c r="Q330" s="864"/>
      <c r="R330" s="864"/>
      <c r="S330" s="864"/>
      <c r="T330" s="864"/>
      <c r="U330" s="864"/>
      <c r="V330" s="864"/>
      <c r="W330" s="864"/>
      <c r="X330" s="90"/>
      <c r="Y330" s="90"/>
      <c r="Z330" s="90"/>
    </row>
    <row r="331" ht="15.75" customHeight="1">
      <c r="A331" s="90"/>
      <c r="B331" s="90"/>
      <c r="C331" s="864"/>
      <c r="D331" s="90"/>
      <c r="E331" s="90"/>
      <c r="F331" s="90"/>
      <c r="G331" s="90"/>
      <c r="H331" s="90"/>
      <c r="I331" s="90"/>
      <c r="J331" s="90"/>
      <c r="K331" s="90"/>
      <c r="L331" s="90"/>
      <c r="M331" s="864"/>
      <c r="N331" s="864"/>
      <c r="O331" s="864"/>
      <c r="P331" s="864"/>
      <c r="Q331" s="864"/>
      <c r="R331" s="864"/>
      <c r="S331" s="864"/>
      <c r="T331" s="864"/>
      <c r="U331" s="864"/>
      <c r="V331" s="864"/>
      <c r="W331" s="864"/>
      <c r="X331" s="90"/>
      <c r="Y331" s="90"/>
      <c r="Z331" s="90"/>
    </row>
    <row r="332" ht="15.75" customHeight="1">
      <c r="A332" s="90"/>
      <c r="B332" s="90"/>
      <c r="C332" s="864"/>
      <c r="D332" s="90"/>
      <c r="E332" s="90"/>
      <c r="F332" s="90"/>
      <c r="G332" s="90"/>
      <c r="H332" s="90"/>
      <c r="I332" s="90"/>
      <c r="J332" s="90"/>
      <c r="K332" s="90"/>
      <c r="L332" s="90"/>
      <c r="M332" s="864"/>
      <c r="N332" s="864"/>
      <c r="O332" s="864"/>
      <c r="P332" s="864"/>
      <c r="Q332" s="864"/>
      <c r="R332" s="864"/>
      <c r="S332" s="864"/>
      <c r="T332" s="864"/>
      <c r="U332" s="864"/>
      <c r="V332" s="864"/>
      <c r="W332" s="864"/>
      <c r="X332" s="90"/>
      <c r="Y332" s="90"/>
      <c r="Z332" s="90"/>
    </row>
    <row r="333" ht="15.75" customHeight="1">
      <c r="A333" s="90"/>
      <c r="B333" s="90"/>
      <c r="C333" s="864"/>
      <c r="D333" s="90"/>
      <c r="E333" s="90"/>
      <c r="F333" s="90"/>
      <c r="G333" s="90"/>
      <c r="H333" s="90"/>
      <c r="I333" s="90"/>
      <c r="J333" s="90"/>
      <c r="K333" s="90"/>
      <c r="L333" s="90"/>
      <c r="M333" s="864"/>
      <c r="N333" s="864"/>
      <c r="O333" s="864"/>
      <c r="P333" s="864"/>
      <c r="Q333" s="864"/>
      <c r="R333" s="864"/>
      <c r="S333" s="864"/>
      <c r="T333" s="864"/>
      <c r="U333" s="864"/>
      <c r="V333" s="864"/>
      <c r="W333" s="864"/>
      <c r="X333" s="90"/>
      <c r="Y333" s="90"/>
      <c r="Z333" s="90"/>
    </row>
    <row r="334" ht="15.75" customHeight="1">
      <c r="A334" s="90"/>
      <c r="B334" s="90"/>
      <c r="C334" s="864"/>
      <c r="D334" s="90"/>
      <c r="E334" s="90"/>
      <c r="F334" s="90"/>
      <c r="G334" s="90"/>
      <c r="H334" s="90"/>
      <c r="I334" s="90"/>
      <c r="J334" s="90"/>
      <c r="K334" s="90"/>
      <c r="L334" s="90"/>
      <c r="M334" s="864"/>
      <c r="N334" s="864"/>
      <c r="O334" s="864"/>
      <c r="P334" s="864"/>
      <c r="Q334" s="864"/>
      <c r="R334" s="864"/>
      <c r="S334" s="864"/>
      <c r="T334" s="864"/>
      <c r="U334" s="864"/>
      <c r="V334" s="864"/>
      <c r="W334" s="864"/>
      <c r="X334" s="90"/>
      <c r="Y334" s="90"/>
      <c r="Z334" s="90"/>
    </row>
    <row r="335" ht="15.75" customHeight="1">
      <c r="A335" s="90"/>
      <c r="B335" s="90"/>
      <c r="C335" s="864"/>
      <c r="D335" s="90"/>
      <c r="E335" s="90"/>
      <c r="F335" s="90"/>
      <c r="G335" s="90"/>
      <c r="H335" s="90"/>
      <c r="I335" s="90"/>
      <c r="J335" s="90"/>
      <c r="K335" s="90"/>
      <c r="L335" s="90"/>
      <c r="M335" s="864"/>
      <c r="N335" s="864"/>
      <c r="O335" s="864"/>
      <c r="P335" s="864"/>
      <c r="Q335" s="864"/>
      <c r="R335" s="864"/>
      <c r="S335" s="864"/>
      <c r="T335" s="864"/>
      <c r="U335" s="864"/>
      <c r="V335" s="864"/>
      <c r="W335" s="864"/>
      <c r="X335" s="90"/>
      <c r="Y335" s="90"/>
      <c r="Z335" s="90"/>
    </row>
    <row r="336" ht="15.75" customHeight="1">
      <c r="A336" s="90"/>
      <c r="B336" s="90"/>
      <c r="C336" s="864"/>
      <c r="D336" s="90"/>
      <c r="E336" s="90"/>
      <c r="F336" s="90"/>
      <c r="G336" s="90"/>
      <c r="H336" s="90"/>
      <c r="I336" s="90"/>
      <c r="J336" s="90"/>
      <c r="K336" s="90"/>
      <c r="L336" s="90"/>
      <c r="M336" s="864"/>
      <c r="N336" s="864"/>
      <c r="O336" s="864"/>
      <c r="P336" s="864"/>
      <c r="Q336" s="864"/>
      <c r="R336" s="864"/>
      <c r="S336" s="864"/>
      <c r="T336" s="864"/>
      <c r="U336" s="864"/>
      <c r="V336" s="864"/>
      <c r="W336" s="864"/>
      <c r="X336" s="90"/>
      <c r="Y336" s="90"/>
      <c r="Z336" s="90"/>
    </row>
    <row r="337" ht="15.75" customHeight="1">
      <c r="A337" s="90"/>
      <c r="B337" s="90"/>
      <c r="C337" s="864"/>
      <c r="D337" s="90"/>
      <c r="E337" s="90"/>
      <c r="F337" s="90"/>
      <c r="G337" s="90"/>
      <c r="H337" s="90"/>
      <c r="I337" s="90"/>
      <c r="J337" s="90"/>
      <c r="K337" s="90"/>
      <c r="L337" s="90"/>
      <c r="M337" s="864"/>
      <c r="N337" s="864"/>
      <c r="O337" s="864"/>
      <c r="P337" s="864"/>
      <c r="Q337" s="864"/>
      <c r="R337" s="864"/>
      <c r="S337" s="864"/>
      <c r="T337" s="864"/>
      <c r="U337" s="864"/>
      <c r="V337" s="864"/>
      <c r="W337" s="864"/>
      <c r="X337" s="90"/>
      <c r="Y337" s="90"/>
      <c r="Z337" s="90"/>
    </row>
    <row r="338" ht="15.75" customHeight="1">
      <c r="A338" s="90"/>
      <c r="B338" s="90"/>
      <c r="C338" s="864"/>
      <c r="D338" s="90"/>
      <c r="E338" s="90"/>
      <c r="F338" s="90"/>
      <c r="G338" s="90"/>
      <c r="H338" s="90"/>
      <c r="I338" s="90"/>
      <c r="J338" s="90"/>
      <c r="K338" s="90"/>
      <c r="L338" s="90"/>
      <c r="M338" s="864"/>
      <c r="N338" s="864"/>
      <c r="O338" s="864"/>
      <c r="P338" s="864"/>
      <c r="Q338" s="864"/>
      <c r="R338" s="864"/>
      <c r="S338" s="864"/>
      <c r="T338" s="864"/>
      <c r="U338" s="864"/>
      <c r="V338" s="864"/>
      <c r="W338" s="864"/>
      <c r="X338" s="90"/>
      <c r="Y338" s="90"/>
      <c r="Z338" s="90"/>
    </row>
    <row r="339" ht="15.75" customHeight="1">
      <c r="A339" s="90"/>
      <c r="B339" s="90"/>
      <c r="C339" s="864"/>
      <c r="D339" s="90"/>
      <c r="E339" s="90"/>
      <c r="F339" s="90"/>
      <c r="G339" s="90"/>
      <c r="H339" s="90"/>
      <c r="I339" s="90"/>
      <c r="J339" s="90"/>
      <c r="K339" s="90"/>
      <c r="L339" s="90"/>
      <c r="M339" s="864"/>
      <c r="N339" s="864"/>
      <c r="O339" s="864"/>
      <c r="P339" s="864"/>
      <c r="Q339" s="864"/>
      <c r="R339" s="864"/>
      <c r="S339" s="864"/>
      <c r="T339" s="864"/>
      <c r="U339" s="864"/>
      <c r="V339" s="864"/>
      <c r="W339" s="864"/>
      <c r="X339" s="90"/>
      <c r="Y339" s="90"/>
      <c r="Z339" s="90"/>
    </row>
    <row r="340" ht="15.75" customHeight="1">
      <c r="A340" s="90"/>
      <c r="B340" s="90"/>
      <c r="C340" s="864"/>
      <c r="D340" s="90"/>
      <c r="E340" s="90"/>
      <c r="F340" s="90"/>
      <c r="G340" s="90"/>
      <c r="H340" s="90"/>
      <c r="I340" s="90"/>
      <c r="J340" s="90"/>
      <c r="K340" s="90"/>
      <c r="L340" s="90"/>
      <c r="M340" s="864"/>
      <c r="N340" s="864"/>
      <c r="O340" s="864"/>
      <c r="P340" s="864"/>
      <c r="Q340" s="864"/>
      <c r="R340" s="864"/>
      <c r="S340" s="864"/>
      <c r="T340" s="864"/>
      <c r="U340" s="864"/>
      <c r="V340" s="864"/>
      <c r="W340" s="864"/>
      <c r="X340" s="90"/>
      <c r="Y340" s="90"/>
      <c r="Z340" s="90"/>
    </row>
    <row r="341" ht="15.75" customHeight="1">
      <c r="A341" s="90"/>
      <c r="B341" s="90"/>
      <c r="C341" s="864"/>
      <c r="D341" s="90"/>
      <c r="E341" s="90"/>
      <c r="F341" s="90"/>
      <c r="G341" s="90"/>
      <c r="H341" s="90"/>
      <c r="I341" s="90"/>
      <c r="J341" s="90"/>
      <c r="K341" s="90"/>
      <c r="L341" s="90"/>
      <c r="M341" s="864"/>
      <c r="N341" s="864"/>
      <c r="O341" s="864"/>
      <c r="P341" s="864"/>
      <c r="Q341" s="864"/>
      <c r="R341" s="864"/>
      <c r="S341" s="864"/>
      <c r="T341" s="864"/>
      <c r="U341" s="864"/>
      <c r="V341" s="864"/>
      <c r="W341" s="864"/>
      <c r="X341" s="90"/>
      <c r="Y341" s="90"/>
      <c r="Z341" s="90"/>
    </row>
    <row r="342" ht="15.75" customHeight="1">
      <c r="A342" s="90"/>
      <c r="B342" s="90"/>
      <c r="C342" s="864"/>
      <c r="D342" s="90"/>
      <c r="E342" s="90"/>
      <c r="F342" s="90"/>
      <c r="G342" s="90"/>
      <c r="H342" s="90"/>
      <c r="I342" s="90"/>
      <c r="J342" s="90"/>
      <c r="K342" s="90"/>
      <c r="L342" s="90"/>
      <c r="M342" s="864"/>
      <c r="N342" s="864"/>
      <c r="O342" s="864"/>
      <c r="P342" s="864"/>
      <c r="Q342" s="864"/>
      <c r="R342" s="864"/>
      <c r="S342" s="864"/>
      <c r="T342" s="864"/>
      <c r="U342" s="864"/>
      <c r="V342" s="864"/>
      <c r="W342" s="864"/>
      <c r="X342" s="90"/>
      <c r="Y342" s="90"/>
      <c r="Z342" s="90"/>
    </row>
    <row r="343" ht="15.75" customHeight="1">
      <c r="A343" s="90"/>
      <c r="B343" s="90"/>
      <c r="C343" s="864"/>
      <c r="D343" s="90"/>
      <c r="E343" s="90"/>
      <c r="F343" s="90"/>
      <c r="G343" s="90"/>
      <c r="H343" s="90"/>
      <c r="I343" s="90"/>
      <c r="J343" s="90"/>
      <c r="K343" s="90"/>
      <c r="L343" s="90"/>
      <c r="M343" s="864"/>
      <c r="N343" s="864"/>
      <c r="O343" s="864"/>
      <c r="P343" s="864"/>
      <c r="Q343" s="864"/>
      <c r="R343" s="864"/>
      <c r="S343" s="864"/>
      <c r="T343" s="864"/>
      <c r="U343" s="864"/>
      <c r="V343" s="864"/>
      <c r="W343" s="864"/>
      <c r="X343" s="90"/>
      <c r="Y343" s="90"/>
      <c r="Z343" s="90"/>
    </row>
    <row r="344" ht="15.75" customHeight="1">
      <c r="A344" s="90"/>
      <c r="B344" s="90"/>
      <c r="C344" s="864"/>
      <c r="D344" s="90"/>
      <c r="E344" s="90"/>
      <c r="F344" s="90"/>
      <c r="G344" s="90"/>
      <c r="H344" s="90"/>
      <c r="I344" s="90"/>
      <c r="J344" s="90"/>
      <c r="K344" s="90"/>
      <c r="L344" s="90"/>
      <c r="M344" s="864"/>
      <c r="N344" s="864"/>
      <c r="O344" s="864"/>
      <c r="P344" s="864"/>
      <c r="Q344" s="864"/>
      <c r="R344" s="864"/>
      <c r="S344" s="864"/>
      <c r="T344" s="864"/>
      <c r="U344" s="864"/>
      <c r="V344" s="864"/>
      <c r="W344" s="864"/>
      <c r="X344" s="90"/>
      <c r="Y344" s="90"/>
      <c r="Z344" s="90"/>
    </row>
    <row r="345" ht="15.75" customHeight="1">
      <c r="A345" s="90"/>
      <c r="B345" s="90"/>
      <c r="C345" s="864"/>
      <c r="D345" s="90"/>
      <c r="E345" s="90"/>
      <c r="F345" s="90"/>
      <c r="G345" s="90"/>
      <c r="H345" s="90"/>
      <c r="I345" s="90"/>
      <c r="J345" s="90"/>
      <c r="K345" s="90"/>
      <c r="L345" s="90"/>
      <c r="M345" s="864"/>
      <c r="N345" s="864"/>
      <c r="O345" s="864"/>
      <c r="P345" s="864"/>
      <c r="Q345" s="864"/>
      <c r="R345" s="864"/>
      <c r="S345" s="864"/>
      <c r="T345" s="864"/>
      <c r="U345" s="864"/>
      <c r="V345" s="864"/>
      <c r="W345" s="864"/>
      <c r="X345" s="90"/>
      <c r="Y345" s="90"/>
      <c r="Z345" s="90"/>
    </row>
    <row r="346" ht="15.75" customHeight="1">
      <c r="A346" s="90"/>
      <c r="B346" s="90"/>
      <c r="C346" s="864"/>
      <c r="D346" s="90"/>
      <c r="E346" s="90"/>
      <c r="F346" s="90"/>
      <c r="G346" s="90"/>
      <c r="H346" s="90"/>
      <c r="I346" s="90"/>
      <c r="J346" s="90"/>
      <c r="K346" s="90"/>
      <c r="L346" s="90"/>
      <c r="M346" s="864"/>
      <c r="N346" s="864"/>
      <c r="O346" s="864"/>
      <c r="P346" s="864"/>
      <c r="Q346" s="864"/>
      <c r="R346" s="864"/>
      <c r="S346" s="864"/>
      <c r="T346" s="864"/>
      <c r="U346" s="864"/>
      <c r="V346" s="864"/>
      <c r="W346" s="864"/>
      <c r="X346" s="90"/>
      <c r="Y346" s="90"/>
      <c r="Z346" s="90"/>
    </row>
    <row r="347" ht="15.75" customHeight="1">
      <c r="A347" s="90"/>
      <c r="B347" s="90"/>
      <c r="C347" s="864"/>
      <c r="D347" s="90"/>
      <c r="E347" s="90"/>
      <c r="F347" s="90"/>
      <c r="G347" s="90"/>
      <c r="H347" s="90"/>
      <c r="I347" s="90"/>
      <c r="J347" s="90"/>
      <c r="K347" s="90"/>
      <c r="L347" s="90"/>
      <c r="M347" s="864"/>
      <c r="N347" s="864"/>
      <c r="O347" s="864"/>
      <c r="P347" s="864"/>
      <c r="Q347" s="864"/>
      <c r="R347" s="864"/>
      <c r="S347" s="864"/>
      <c r="T347" s="864"/>
      <c r="U347" s="864"/>
      <c r="V347" s="864"/>
      <c r="W347" s="864"/>
      <c r="X347" s="90"/>
      <c r="Y347" s="90"/>
      <c r="Z347" s="90"/>
    </row>
    <row r="348" ht="15.75" customHeight="1">
      <c r="A348" s="90"/>
      <c r="B348" s="90"/>
      <c r="C348" s="864"/>
      <c r="D348" s="90"/>
      <c r="E348" s="90"/>
      <c r="F348" s="90"/>
      <c r="G348" s="90"/>
      <c r="H348" s="90"/>
      <c r="I348" s="90"/>
      <c r="J348" s="90"/>
      <c r="K348" s="90"/>
      <c r="L348" s="90"/>
      <c r="M348" s="864"/>
      <c r="N348" s="864"/>
      <c r="O348" s="864"/>
      <c r="P348" s="864"/>
      <c r="Q348" s="864"/>
      <c r="R348" s="864"/>
      <c r="S348" s="864"/>
      <c r="T348" s="864"/>
      <c r="U348" s="864"/>
      <c r="V348" s="864"/>
      <c r="W348" s="864"/>
      <c r="X348" s="90"/>
      <c r="Y348" s="90"/>
      <c r="Z348" s="90"/>
    </row>
    <row r="349" ht="15.75" customHeight="1">
      <c r="A349" s="90"/>
      <c r="B349" s="90"/>
      <c r="C349" s="864"/>
      <c r="D349" s="90"/>
      <c r="E349" s="90"/>
      <c r="F349" s="90"/>
      <c r="G349" s="90"/>
      <c r="H349" s="90"/>
      <c r="I349" s="90"/>
      <c r="J349" s="90"/>
      <c r="K349" s="90"/>
      <c r="L349" s="90"/>
      <c r="M349" s="864"/>
      <c r="N349" s="864"/>
      <c r="O349" s="864"/>
      <c r="P349" s="864"/>
      <c r="Q349" s="864"/>
      <c r="R349" s="864"/>
      <c r="S349" s="864"/>
      <c r="T349" s="864"/>
      <c r="U349" s="864"/>
      <c r="V349" s="864"/>
      <c r="W349" s="864"/>
      <c r="X349" s="90"/>
      <c r="Y349" s="90"/>
      <c r="Z349" s="90"/>
    </row>
    <row r="350" ht="15.75" customHeight="1">
      <c r="A350" s="90"/>
      <c r="B350" s="90"/>
      <c r="C350" s="864"/>
      <c r="D350" s="90"/>
      <c r="E350" s="90"/>
      <c r="F350" s="90"/>
      <c r="G350" s="90"/>
      <c r="H350" s="90"/>
      <c r="I350" s="90"/>
      <c r="J350" s="90"/>
      <c r="K350" s="90"/>
      <c r="L350" s="90"/>
      <c r="M350" s="864"/>
      <c r="N350" s="864"/>
      <c r="O350" s="864"/>
      <c r="P350" s="864"/>
      <c r="Q350" s="864"/>
      <c r="R350" s="864"/>
      <c r="S350" s="864"/>
      <c r="T350" s="864"/>
      <c r="U350" s="864"/>
      <c r="V350" s="864"/>
      <c r="W350" s="864"/>
      <c r="X350" s="90"/>
      <c r="Y350" s="90"/>
      <c r="Z350" s="90"/>
    </row>
    <row r="351" ht="15.75" customHeight="1">
      <c r="A351" s="90"/>
      <c r="B351" s="90"/>
      <c r="C351" s="864"/>
      <c r="D351" s="90"/>
      <c r="E351" s="90"/>
      <c r="F351" s="90"/>
      <c r="G351" s="90"/>
      <c r="H351" s="90"/>
      <c r="I351" s="90"/>
      <c r="J351" s="90"/>
      <c r="K351" s="90"/>
      <c r="L351" s="90"/>
      <c r="M351" s="864"/>
      <c r="N351" s="864"/>
      <c r="O351" s="864"/>
      <c r="P351" s="864"/>
      <c r="Q351" s="864"/>
      <c r="R351" s="864"/>
      <c r="S351" s="864"/>
      <c r="T351" s="864"/>
      <c r="U351" s="864"/>
      <c r="V351" s="864"/>
      <c r="W351" s="864"/>
      <c r="X351" s="90"/>
      <c r="Y351" s="90"/>
      <c r="Z351" s="90"/>
    </row>
    <row r="352" ht="15.75" customHeight="1">
      <c r="A352" s="90"/>
      <c r="B352" s="90"/>
      <c r="C352" s="864"/>
      <c r="D352" s="90"/>
      <c r="E352" s="90"/>
      <c r="F352" s="90"/>
      <c r="G352" s="90"/>
      <c r="H352" s="90"/>
      <c r="I352" s="90"/>
      <c r="J352" s="90"/>
      <c r="K352" s="90"/>
      <c r="L352" s="90"/>
      <c r="M352" s="864"/>
      <c r="N352" s="864"/>
      <c r="O352" s="864"/>
      <c r="P352" s="864"/>
      <c r="Q352" s="864"/>
      <c r="R352" s="864"/>
      <c r="S352" s="864"/>
      <c r="T352" s="864"/>
      <c r="U352" s="864"/>
      <c r="V352" s="864"/>
      <c r="W352" s="864"/>
      <c r="X352" s="90"/>
      <c r="Y352" s="90"/>
      <c r="Z352" s="90"/>
    </row>
    <row r="353" ht="15.75" customHeight="1">
      <c r="A353" s="90"/>
      <c r="B353" s="90"/>
      <c r="C353" s="864"/>
      <c r="D353" s="90"/>
      <c r="E353" s="90"/>
      <c r="F353" s="90"/>
      <c r="G353" s="90"/>
      <c r="H353" s="90"/>
      <c r="I353" s="90"/>
      <c r="J353" s="90"/>
      <c r="K353" s="90"/>
      <c r="L353" s="90"/>
      <c r="M353" s="864"/>
      <c r="N353" s="864"/>
      <c r="O353" s="864"/>
      <c r="P353" s="864"/>
      <c r="Q353" s="864"/>
      <c r="R353" s="864"/>
      <c r="S353" s="864"/>
      <c r="T353" s="864"/>
      <c r="U353" s="864"/>
      <c r="V353" s="864"/>
      <c r="W353" s="864"/>
      <c r="X353" s="90"/>
      <c r="Y353" s="90"/>
      <c r="Z353" s="90"/>
    </row>
    <row r="354" ht="15.75" customHeight="1">
      <c r="A354" s="90"/>
      <c r="B354" s="90"/>
      <c r="C354" s="864"/>
      <c r="D354" s="90"/>
      <c r="E354" s="90"/>
      <c r="F354" s="90"/>
      <c r="G354" s="90"/>
      <c r="H354" s="90"/>
      <c r="I354" s="90"/>
      <c r="J354" s="90"/>
      <c r="K354" s="90"/>
      <c r="L354" s="90"/>
      <c r="M354" s="864"/>
      <c r="N354" s="864"/>
      <c r="O354" s="864"/>
      <c r="P354" s="864"/>
      <c r="Q354" s="864"/>
      <c r="R354" s="864"/>
      <c r="S354" s="864"/>
      <c r="T354" s="864"/>
      <c r="U354" s="864"/>
      <c r="V354" s="864"/>
      <c r="W354" s="864"/>
      <c r="X354" s="90"/>
      <c r="Y354" s="90"/>
      <c r="Z354" s="90"/>
    </row>
    <row r="355" ht="15.75" customHeight="1">
      <c r="A355" s="90"/>
      <c r="B355" s="90"/>
      <c r="C355" s="864"/>
      <c r="D355" s="90"/>
      <c r="E355" s="90"/>
      <c r="F355" s="90"/>
      <c r="G355" s="90"/>
      <c r="H355" s="90"/>
      <c r="I355" s="90"/>
      <c r="J355" s="90"/>
      <c r="K355" s="90"/>
      <c r="L355" s="90"/>
      <c r="M355" s="864"/>
      <c r="N355" s="864"/>
      <c r="O355" s="864"/>
      <c r="P355" s="864"/>
      <c r="Q355" s="864"/>
      <c r="R355" s="864"/>
      <c r="S355" s="864"/>
      <c r="T355" s="864"/>
      <c r="U355" s="864"/>
      <c r="V355" s="864"/>
      <c r="W355" s="864"/>
      <c r="X355" s="90"/>
      <c r="Y355" s="90"/>
      <c r="Z355" s="90"/>
    </row>
    <row r="356" ht="15.75" customHeight="1">
      <c r="A356" s="90"/>
      <c r="B356" s="90"/>
      <c r="C356" s="864"/>
      <c r="D356" s="90"/>
      <c r="E356" s="90"/>
      <c r="F356" s="90"/>
      <c r="G356" s="90"/>
      <c r="H356" s="90"/>
      <c r="I356" s="90"/>
      <c r="J356" s="90"/>
      <c r="K356" s="90"/>
      <c r="L356" s="90"/>
      <c r="M356" s="864"/>
      <c r="N356" s="864"/>
      <c r="O356" s="864"/>
      <c r="P356" s="864"/>
      <c r="Q356" s="864"/>
      <c r="R356" s="864"/>
      <c r="S356" s="864"/>
      <c r="T356" s="864"/>
      <c r="U356" s="864"/>
      <c r="V356" s="864"/>
      <c r="W356" s="864"/>
      <c r="X356" s="90"/>
      <c r="Y356" s="90"/>
      <c r="Z356" s="90"/>
    </row>
    <row r="357" ht="15.75" customHeight="1">
      <c r="A357" s="90"/>
      <c r="B357" s="90"/>
      <c r="C357" s="864"/>
      <c r="D357" s="90"/>
      <c r="E357" s="90"/>
      <c r="F357" s="90"/>
      <c r="G357" s="90"/>
      <c r="H357" s="90"/>
      <c r="I357" s="90"/>
      <c r="J357" s="90"/>
      <c r="K357" s="90"/>
      <c r="L357" s="90"/>
      <c r="M357" s="864"/>
      <c r="N357" s="864"/>
      <c r="O357" s="864"/>
      <c r="P357" s="864"/>
      <c r="Q357" s="864"/>
      <c r="R357" s="864"/>
      <c r="S357" s="864"/>
      <c r="T357" s="864"/>
      <c r="U357" s="864"/>
      <c r="V357" s="864"/>
      <c r="W357" s="864"/>
      <c r="X357" s="90"/>
      <c r="Y357" s="90"/>
      <c r="Z357" s="90"/>
    </row>
    <row r="358" ht="15.75" customHeight="1">
      <c r="A358" s="90"/>
      <c r="B358" s="90"/>
      <c r="C358" s="864"/>
      <c r="D358" s="90"/>
      <c r="E358" s="90"/>
      <c r="F358" s="90"/>
      <c r="G358" s="90"/>
      <c r="H358" s="90"/>
      <c r="I358" s="90"/>
      <c r="J358" s="90"/>
      <c r="K358" s="90"/>
      <c r="L358" s="90"/>
      <c r="M358" s="864"/>
      <c r="N358" s="864"/>
      <c r="O358" s="864"/>
      <c r="P358" s="864"/>
      <c r="Q358" s="864"/>
      <c r="R358" s="864"/>
      <c r="S358" s="864"/>
      <c r="T358" s="864"/>
      <c r="U358" s="864"/>
      <c r="V358" s="864"/>
      <c r="W358" s="864"/>
      <c r="X358" s="90"/>
      <c r="Y358" s="90"/>
      <c r="Z358" s="90"/>
    </row>
    <row r="359" ht="15.75" customHeight="1">
      <c r="A359" s="90"/>
      <c r="B359" s="90"/>
      <c r="C359" s="864"/>
      <c r="D359" s="90"/>
      <c r="E359" s="90"/>
      <c r="F359" s="90"/>
      <c r="G359" s="90"/>
      <c r="H359" s="90"/>
      <c r="I359" s="90"/>
      <c r="J359" s="90"/>
      <c r="K359" s="90"/>
      <c r="L359" s="90"/>
      <c r="M359" s="864"/>
      <c r="N359" s="864"/>
      <c r="O359" s="864"/>
      <c r="P359" s="864"/>
      <c r="Q359" s="864"/>
      <c r="R359" s="864"/>
      <c r="S359" s="864"/>
      <c r="T359" s="864"/>
      <c r="U359" s="864"/>
      <c r="V359" s="864"/>
      <c r="W359" s="864"/>
      <c r="X359" s="90"/>
      <c r="Y359" s="90"/>
      <c r="Z359" s="90"/>
    </row>
    <row r="360" ht="15.75" customHeight="1">
      <c r="A360" s="90"/>
      <c r="B360" s="90"/>
      <c r="C360" s="864"/>
      <c r="D360" s="90"/>
      <c r="E360" s="90"/>
      <c r="F360" s="90"/>
      <c r="G360" s="90"/>
      <c r="H360" s="90"/>
      <c r="I360" s="90"/>
      <c r="J360" s="90"/>
      <c r="K360" s="90"/>
      <c r="L360" s="90"/>
      <c r="M360" s="864"/>
      <c r="N360" s="864"/>
      <c r="O360" s="864"/>
      <c r="P360" s="864"/>
      <c r="Q360" s="864"/>
      <c r="R360" s="864"/>
      <c r="S360" s="864"/>
      <c r="T360" s="864"/>
      <c r="U360" s="864"/>
      <c r="V360" s="864"/>
      <c r="W360" s="864"/>
      <c r="X360" s="90"/>
      <c r="Y360" s="90"/>
      <c r="Z360" s="90"/>
    </row>
    <row r="361" ht="15.75" customHeight="1">
      <c r="A361" s="90"/>
      <c r="B361" s="90"/>
      <c r="C361" s="864"/>
      <c r="D361" s="90"/>
      <c r="E361" s="90"/>
      <c r="F361" s="90"/>
      <c r="G361" s="90"/>
      <c r="H361" s="90"/>
      <c r="I361" s="90"/>
      <c r="J361" s="90"/>
      <c r="K361" s="90"/>
      <c r="L361" s="90"/>
      <c r="M361" s="864"/>
      <c r="N361" s="864"/>
      <c r="O361" s="864"/>
      <c r="P361" s="864"/>
      <c r="Q361" s="864"/>
      <c r="R361" s="864"/>
      <c r="S361" s="864"/>
      <c r="T361" s="864"/>
      <c r="U361" s="864"/>
      <c r="V361" s="864"/>
      <c r="W361" s="864"/>
      <c r="X361" s="90"/>
      <c r="Y361" s="90"/>
      <c r="Z361" s="90"/>
    </row>
    <row r="362" ht="15.75" customHeight="1">
      <c r="A362" s="90"/>
      <c r="B362" s="90"/>
      <c r="C362" s="864"/>
      <c r="D362" s="90"/>
      <c r="E362" s="90"/>
      <c r="F362" s="90"/>
      <c r="G362" s="90"/>
      <c r="H362" s="90"/>
      <c r="I362" s="90"/>
      <c r="J362" s="90"/>
      <c r="K362" s="90"/>
      <c r="L362" s="90"/>
      <c r="M362" s="864"/>
      <c r="N362" s="864"/>
      <c r="O362" s="864"/>
      <c r="P362" s="864"/>
      <c r="Q362" s="864"/>
      <c r="R362" s="864"/>
      <c r="S362" s="864"/>
      <c r="T362" s="864"/>
      <c r="U362" s="864"/>
      <c r="V362" s="864"/>
      <c r="W362" s="864"/>
      <c r="X362" s="90"/>
      <c r="Y362" s="90"/>
      <c r="Z362" s="90"/>
    </row>
    <row r="363" ht="15.75" customHeight="1">
      <c r="A363" s="90"/>
      <c r="B363" s="90"/>
      <c r="C363" s="864"/>
      <c r="D363" s="90"/>
      <c r="E363" s="90"/>
      <c r="F363" s="90"/>
      <c r="G363" s="90"/>
      <c r="H363" s="90"/>
      <c r="I363" s="90"/>
      <c r="J363" s="90"/>
      <c r="K363" s="90"/>
      <c r="L363" s="90"/>
      <c r="M363" s="864"/>
      <c r="N363" s="864"/>
      <c r="O363" s="864"/>
      <c r="P363" s="864"/>
      <c r="Q363" s="864"/>
      <c r="R363" s="864"/>
      <c r="S363" s="864"/>
      <c r="T363" s="864"/>
      <c r="U363" s="864"/>
      <c r="V363" s="864"/>
      <c r="W363" s="864"/>
      <c r="X363" s="90"/>
      <c r="Y363" s="90"/>
      <c r="Z363" s="90"/>
    </row>
    <row r="364" ht="15.75" customHeight="1">
      <c r="A364" s="90"/>
      <c r="B364" s="90"/>
      <c r="C364" s="864"/>
      <c r="D364" s="90"/>
      <c r="E364" s="90"/>
      <c r="F364" s="90"/>
      <c r="G364" s="90"/>
      <c r="H364" s="90"/>
      <c r="I364" s="90"/>
      <c r="J364" s="90"/>
      <c r="K364" s="90"/>
      <c r="L364" s="90"/>
      <c r="M364" s="864"/>
      <c r="N364" s="864"/>
      <c r="O364" s="864"/>
      <c r="P364" s="864"/>
      <c r="Q364" s="864"/>
      <c r="R364" s="864"/>
      <c r="S364" s="864"/>
      <c r="T364" s="864"/>
      <c r="U364" s="864"/>
      <c r="V364" s="864"/>
      <c r="W364" s="864"/>
      <c r="X364" s="90"/>
      <c r="Y364" s="90"/>
      <c r="Z364" s="90"/>
    </row>
    <row r="365" ht="15.75" customHeight="1">
      <c r="A365" s="90"/>
      <c r="B365" s="90"/>
      <c r="C365" s="864"/>
      <c r="D365" s="90"/>
      <c r="E365" s="90"/>
      <c r="F365" s="90"/>
      <c r="G365" s="90"/>
      <c r="H365" s="90"/>
      <c r="I365" s="90"/>
      <c r="J365" s="90"/>
      <c r="K365" s="90"/>
      <c r="L365" s="90"/>
      <c r="M365" s="864"/>
      <c r="N365" s="864"/>
      <c r="O365" s="864"/>
      <c r="P365" s="864"/>
      <c r="Q365" s="864"/>
      <c r="R365" s="864"/>
      <c r="S365" s="864"/>
      <c r="T365" s="864"/>
      <c r="U365" s="864"/>
      <c r="V365" s="864"/>
      <c r="W365" s="864"/>
      <c r="X365" s="90"/>
      <c r="Y365" s="90"/>
      <c r="Z365" s="90"/>
    </row>
    <row r="366" ht="15.75" customHeight="1">
      <c r="A366" s="90"/>
      <c r="B366" s="90"/>
      <c r="C366" s="864"/>
      <c r="D366" s="90"/>
      <c r="E366" s="90"/>
      <c r="F366" s="90"/>
      <c r="G366" s="90"/>
      <c r="H366" s="90"/>
      <c r="I366" s="90"/>
      <c r="J366" s="90"/>
      <c r="K366" s="90"/>
      <c r="L366" s="90"/>
      <c r="M366" s="864"/>
      <c r="N366" s="864"/>
      <c r="O366" s="864"/>
      <c r="P366" s="864"/>
      <c r="Q366" s="864"/>
      <c r="R366" s="864"/>
      <c r="S366" s="864"/>
      <c r="T366" s="864"/>
      <c r="U366" s="864"/>
      <c r="V366" s="864"/>
      <c r="W366" s="864"/>
      <c r="X366" s="90"/>
      <c r="Y366" s="90"/>
      <c r="Z366" s="90"/>
    </row>
    <row r="367" ht="15.75" customHeight="1">
      <c r="A367" s="90"/>
      <c r="B367" s="90"/>
      <c r="C367" s="864"/>
      <c r="D367" s="90"/>
      <c r="E367" s="90"/>
      <c r="F367" s="90"/>
      <c r="G367" s="90"/>
      <c r="H367" s="90"/>
      <c r="I367" s="90"/>
      <c r="J367" s="90"/>
      <c r="K367" s="90"/>
      <c r="L367" s="90"/>
      <c r="M367" s="864"/>
      <c r="N367" s="864"/>
      <c r="O367" s="864"/>
      <c r="P367" s="864"/>
      <c r="Q367" s="864"/>
      <c r="R367" s="864"/>
      <c r="S367" s="864"/>
      <c r="T367" s="864"/>
      <c r="U367" s="864"/>
      <c r="V367" s="864"/>
      <c r="W367" s="864"/>
      <c r="X367" s="90"/>
      <c r="Y367" s="90"/>
      <c r="Z367" s="90"/>
    </row>
    <row r="368" ht="15.75" customHeight="1">
      <c r="A368" s="90"/>
      <c r="B368" s="90"/>
      <c r="C368" s="864"/>
      <c r="D368" s="90"/>
      <c r="E368" s="90"/>
      <c r="F368" s="90"/>
      <c r="G368" s="90"/>
      <c r="H368" s="90"/>
      <c r="I368" s="90"/>
      <c r="J368" s="90"/>
      <c r="K368" s="90"/>
      <c r="L368" s="90"/>
      <c r="M368" s="864"/>
      <c r="N368" s="864"/>
      <c r="O368" s="864"/>
      <c r="P368" s="864"/>
      <c r="Q368" s="864"/>
      <c r="R368" s="864"/>
      <c r="S368" s="864"/>
      <c r="T368" s="864"/>
      <c r="U368" s="864"/>
      <c r="V368" s="864"/>
      <c r="W368" s="864"/>
      <c r="X368" s="90"/>
      <c r="Y368" s="90"/>
      <c r="Z368" s="90"/>
    </row>
    <row r="369" ht="15.75" customHeight="1">
      <c r="A369" s="90"/>
      <c r="B369" s="90"/>
      <c r="C369" s="864"/>
      <c r="D369" s="90"/>
      <c r="E369" s="90"/>
      <c r="F369" s="90"/>
      <c r="G369" s="90"/>
      <c r="H369" s="90"/>
      <c r="I369" s="90"/>
      <c r="J369" s="90"/>
      <c r="K369" s="90"/>
      <c r="L369" s="90"/>
      <c r="M369" s="864"/>
      <c r="N369" s="864"/>
      <c r="O369" s="864"/>
      <c r="P369" s="864"/>
      <c r="Q369" s="864"/>
      <c r="R369" s="864"/>
      <c r="S369" s="864"/>
      <c r="T369" s="864"/>
      <c r="U369" s="864"/>
      <c r="V369" s="864"/>
      <c r="W369" s="864"/>
      <c r="X369" s="90"/>
      <c r="Y369" s="90"/>
      <c r="Z369" s="90"/>
    </row>
    <row r="370" ht="15.75" customHeight="1">
      <c r="A370" s="90"/>
      <c r="B370" s="90"/>
      <c r="C370" s="864"/>
      <c r="D370" s="90"/>
      <c r="E370" s="90"/>
      <c r="F370" s="90"/>
      <c r="G370" s="90"/>
      <c r="H370" s="90"/>
      <c r="I370" s="90"/>
      <c r="J370" s="90"/>
      <c r="K370" s="90"/>
      <c r="L370" s="90"/>
      <c r="M370" s="864"/>
      <c r="N370" s="864"/>
      <c r="O370" s="864"/>
      <c r="P370" s="864"/>
      <c r="Q370" s="864"/>
      <c r="R370" s="864"/>
      <c r="S370" s="864"/>
      <c r="T370" s="864"/>
      <c r="U370" s="864"/>
      <c r="V370" s="864"/>
      <c r="W370" s="864"/>
      <c r="X370" s="90"/>
      <c r="Y370" s="90"/>
      <c r="Z370" s="90"/>
    </row>
    <row r="371" ht="15.75" customHeight="1">
      <c r="A371" s="90"/>
      <c r="B371" s="90"/>
      <c r="C371" s="864"/>
      <c r="D371" s="90"/>
      <c r="E371" s="90"/>
      <c r="F371" s="90"/>
      <c r="G371" s="90"/>
      <c r="H371" s="90"/>
      <c r="I371" s="90"/>
      <c r="J371" s="90"/>
      <c r="K371" s="90"/>
      <c r="L371" s="90"/>
      <c r="M371" s="864"/>
      <c r="N371" s="864"/>
      <c r="O371" s="864"/>
      <c r="P371" s="864"/>
      <c r="Q371" s="864"/>
      <c r="R371" s="864"/>
      <c r="S371" s="864"/>
      <c r="T371" s="864"/>
      <c r="U371" s="864"/>
      <c r="V371" s="864"/>
      <c r="W371" s="864"/>
      <c r="X371" s="90"/>
      <c r="Y371" s="90"/>
      <c r="Z371" s="90"/>
    </row>
    <row r="372" ht="15.75" customHeight="1">
      <c r="A372" s="90"/>
      <c r="B372" s="90"/>
      <c r="C372" s="864"/>
      <c r="D372" s="90"/>
      <c r="E372" s="90"/>
      <c r="F372" s="90"/>
      <c r="G372" s="90"/>
      <c r="H372" s="90"/>
      <c r="I372" s="90"/>
      <c r="J372" s="90"/>
      <c r="K372" s="90"/>
      <c r="L372" s="90"/>
      <c r="M372" s="864"/>
      <c r="N372" s="864"/>
      <c r="O372" s="864"/>
      <c r="P372" s="864"/>
      <c r="Q372" s="864"/>
      <c r="R372" s="864"/>
      <c r="S372" s="864"/>
      <c r="T372" s="864"/>
      <c r="U372" s="864"/>
      <c r="V372" s="864"/>
      <c r="W372" s="864"/>
      <c r="X372" s="90"/>
      <c r="Y372" s="90"/>
      <c r="Z372" s="90"/>
    </row>
    <row r="373" ht="15.75" customHeight="1">
      <c r="A373" s="90"/>
      <c r="B373" s="90"/>
      <c r="C373" s="864"/>
      <c r="D373" s="90"/>
      <c r="E373" s="90"/>
      <c r="F373" s="90"/>
      <c r="G373" s="90"/>
      <c r="H373" s="90"/>
      <c r="I373" s="90"/>
      <c r="J373" s="90"/>
      <c r="K373" s="90"/>
      <c r="L373" s="90"/>
      <c r="M373" s="864"/>
      <c r="N373" s="864"/>
      <c r="O373" s="864"/>
      <c r="P373" s="864"/>
      <c r="Q373" s="864"/>
      <c r="R373" s="864"/>
      <c r="S373" s="864"/>
      <c r="T373" s="864"/>
      <c r="U373" s="864"/>
      <c r="V373" s="864"/>
      <c r="W373" s="864"/>
      <c r="X373" s="90"/>
      <c r="Y373" s="90"/>
      <c r="Z373" s="90"/>
    </row>
    <row r="374" ht="15.75" customHeight="1">
      <c r="A374" s="90"/>
      <c r="B374" s="90"/>
      <c r="C374" s="864"/>
      <c r="D374" s="90"/>
      <c r="E374" s="90"/>
      <c r="F374" s="90"/>
      <c r="G374" s="90"/>
      <c r="H374" s="90"/>
      <c r="I374" s="90"/>
      <c r="J374" s="90"/>
      <c r="K374" s="90"/>
      <c r="L374" s="90"/>
      <c r="M374" s="864"/>
      <c r="N374" s="864"/>
      <c r="O374" s="864"/>
      <c r="P374" s="864"/>
      <c r="Q374" s="864"/>
      <c r="R374" s="864"/>
      <c r="S374" s="864"/>
      <c r="T374" s="864"/>
      <c r="U374" s="864"/>
      <c r="V374" s="864"/>
      <c r="W374" s="864"/>
      <c r="X374" s="90"/>
      <c r="Y374" s="90"/>
      <c r="Z374" s="90"/>
    </row>
    <row r="375" ht="15.75" customHeight="1">
      <c r="A375" s="90"/>
      <c r="B375" s="90"/>
      <c r="C375" s="864"/>
      <c r="D375" s="90"/>
      <c r="E375" s="90"/>
      <c r="F375" s="90"/>
      <c r="G375" s="90"/>
      <c r="H375" s="90"/>
      <c r="I375" s="90"/>
      <c r="J375" s="90"/>
      <c r="K375" s="90"/>
      <c r="L375" s="90"/>
      <c r="M375" s="864"/>
      <c r="N375" s="864"/>
      <c r="O375" s="864"/>
      <c r="P375" s="864"/>
      <c r="Q375" s="864"/>
      <c r="R375" s="864"/>
      <c r="S375" s="864"/>
      <c r="T375" s="864"/>
      <c r="U375" s="864"/>
      <c r="V375" s="864"/>
      <c r="W375" s="864"/>
      <c r="X375" s="90"/>
      <c r="Y375" s="90"/>
      <c r="Z375" s="90"/>
    </row>
    <row r="376" ht="15.75" customHeight="1">
      <c r="A376" s="90"/>
      <c r="B376" s="90"/>
      <c r="C376" s="864"/>
      <c r="D376" s="90"/>
      <c r="E376" s="90"/>
      <c r="F376" s="90"/>
      <c r="G376" s="90"/>
      <c r="H376" s="90"/>
      <c r="I376" s="90"/>
      <c r="J376" s="90"/>
      <c r="K376" s="90"/>
      <c r="L376" s="90"/>
      <c r="M376" s="864"/>
      <c r="N376" s="864"/>
      <c r="O376" s="864"/>
      <c r="P376" s="864"/>
      <c r="Q376" s="864"/>
      <c r="R376" s="864"/>
      <c r="S376" s="864"/>
      <c r="T376" s="864"/>
      <c r="U376" s="864"/>
      <c r="V376" s="864"/>
      <c r="W376" s="864"/>
      <c r="X376" s="90"/>
      <c r="Y376" s="90"/>
      <c r="Z376" s="90"/>
    </row>
    <row r="377" ht="15.75" customHeight="1">
      <c r="A377" s="90"/>
      <c r="B377" s="90"/>
      <c r="C377" s="864"/>
      <c r="D377" s="90"/>
      <c r="E377" s="90"/>
      <c r="F377" s="90"/>
      <c r="G377" s="90"/>
      <c r="H377" s="90"/>
      <c r="I377" s="90"/>
      <c r="J377" s="90"/>
      <c r="K377" s="90"/>
      <c r="L377" s="90"/>
      <c r="M377" s="864"/>
      <c r="N377" s="864"/>
      <c r="O377" s="864"/>
      <c r="P377" s="864"/>
      <c r="Q377" s="864"/>
      <c r="R377" s="864"/>
      <c r="S377" s="864"/>
      <c r="T377" s="864"/>
      <c r="U377" s="864"/>
      <c r="V377" s="864"/>
      <c r="W377" s="864"/>
      <c r="X377" s="90"/>
      <c r="Y377" s="90"/>
      <c r="Z377" s="90"/>
    </row>
    <row r="378" ht="15.75" customHeight="1">
      <c r="A378" s="90"/>
      <c r="B378" s="90"/>
      <c r="C378" s="864"/>
      <c r="D378" s="90"/>
      <c r="E378" s="90"/>
      <c r="F378" s="90"/>
      <c r="G378" s="90"/>
      <c r="H378" s="90"/>
      <c r="I378" s="90"/>
      <c r="J378" s="90"/>
      <c r="K378" s="90"/>
      <c r="L378" s="90"/>
      <c r="M378" s="864"/>
      <c r="N378" s="864"/>
      <c r="O378" s="864"/>
      <c r="P378" s="864"/>
      <c r="Q378" s="864"/>
      <c r="R378" s="864"/>
      <c r="S378" s="864"/>
      <c r="T378" s="864"/>
      <c r="U378" s="864"/>
      <c r="V378" s="864"/>
      <c r="W378" s="864"/>
      <c r="X378" s="90"/>
      <c r="Y378" s="90"/>
      <c r="Z378" s="90"/>
    </row>
    <row r="379" ht="15.75" customHeight="1">
      <c r="A379" s="90"/>
      <c r="B379" s="90"/>
      <c r="C379" s="864"/>
      <c r="D379" s="90"/>
      <c r="E379" s="90"/>
      <c r="F379" s="90"/>
      <c r="G379" s="90"/>
      <c r="H379" s="90"/>
      <c r="I379" s="90"/>
      <c r="J379" s="90"/>
      <c r="K379" s="90"/>
      <c r="L379" s="90"/>
      <c r="M379" s="864"/>
      <c r="N379" s="864"/>
      <c r="O379" s="864"/>
      <c r="P379" s="864"/>
      <c r="Q379" s="864"/>
      <c r="R379" s="864"/>
      <c r="S379" s="864"/>
      <c r="T379" s="864"/>
      <c r="U379" s="864"/>
      <c r="V379" s="864"/>
      <c r="W379" s="864"/>
      <c r="X379" s="90"/>
      <c r="Y379" s="90"/>
      <c r="Z379" s="90"/>
    </row>
    <row r="380" ht="15.75" customHeight="1">
      <c r="A380" s="90"/>
      <c r="B380" s="90"/>
      <c r="C380" s="864"/>
      <c r="D380" s="90"/>
      <c r="E380" s="90"/>
      <c r="F380" s="90"/>
      <c r="G380" s="90"/>
      <c r="H380" s="90"/>
      <c r="I380" s="90"/>
      <c r="J380" s="90"/>
      <c r="K380" s="90"/>
      <c r="L380" s="90"/>
      <c r="M380" s="864"/>
      <c r="N380" s="864"/>
      <c r="O380" s="864"/>
      <c r="P380" s="864"/>
      <c r="Q380" s="864"/>
      <c r="R380" s="864"/>
      <c r="S380" s="864"/>
      <c r="T380" s="864"/>
      <c r="U380" s="864"/>
      <c r="V380" s="864"/>
      <c r="W380" s="864"/>
      <c r="X380" s="90"/>
      <c r="Y380" s="90"/>
      <c r="Z380" s="90"/>
    </row>
    <row r="381" ht="15.75" customHeight="1">
      <c r="A381" s="90"/>
      <c r="B381" s="90"/>
      <c r="C381" s="864"/>
      <c r="D381" s="90"/>
      <c r="E381" s="90"/>
      <c r="F381" s="90"/>
      <c r="G381" s="90"/>
      <c r="H381" s="90"/>
      <c r="I381" s="90"/>
      <c r="J381" s="90"/>
      <c r="K381" s="90"/>
      <c r="L381" s="90"/>
      <c r="M381" s="864"/>
      <c r="N381" s="864"/>
      <c r="O381" s="864"/>
      <c r="P381" s="864"/>
      <c r="Q381" s="864"/>
      <c r="R381" s="864"/>
      <c r="S381" s="864"/>
      <c r="T381" s="864"/>
      <c r="U381" s="864"/>
      <c r="V381" s="864"/>
      <c r="W381" s="864"/>
      <c r="X381" s="90"/>
      <c r="Y381" s="90"/>
      <c r="Z381" s="90"/>
    </row>
    <row r="382" ht="15.75" customHeight="1">
      <c r="A382" s="90"/>
      <c r="B382" s="90"/>
      <c r="C382" s="864"/>
      <c r="D382" s="90"/>
      <c r="E382" s="90"/>
      <c r="F382" s="90"/>
      <c r="G382" s="90"/>
      <c r="H382" s="90"/>
      <c r="I382" s="90"/>
      <c r="J382" s="90"/>
      <c r="K382" s="90"/>
      <c r="L382" s="90"/>
      <c r="M382" s="864"/>
      <c r="N382" s="864"/>
      <c r="O382" s="864"/>
      <c r="P382" s="864"/>
      <c r="Q382" s="864"/>
      <c r="R382" s="864"/>
      <c r="S382" s="864"/>
      <c r="T382" s="864"/>
      <c r="U382" s="864"/>
      <c r="V382" s="864"/>
      <c r="W382" s="864"/>
      <c r="X382" s="90"/>
      <c r="Y382" s="90"/>
      <c r="Z382" s="90"/>
    </row>
    <row r="383" ht="15.75" customHeight="1">
      <c r="A383" s="90"/>
      <c r="B383" s="90"/>
      <c r="C383" s="864"/>
      <c r="D383" s="90"/>
      <c r="E383" s="90"/>
      <c r="F383" s="90"/>
      <c r="G383" s="90"/>
      <c r="H383" s="90"/>
      <c r="I383" s="90"/>
      <c r="J383" s="90"/>
      <c r="K383" s="90"/>
      <c r="L383" s="90"/>
      <c r="M383" s="864"/>
      <c r="N383" s="864"/>
      <c r="O383" s="864"/>
      <c r="P383" s="864"/>
      <c r="Q383" s="864"/>
      <c r="R383" s="864"/>
      <c r="S383" s="864"/>
      <c r="T383" s="864"/>
      <c r="U383" s="864"/>
      <c r="V383" s="864"/>
      <c r="W383" s="864"/>
      <c r="X383" s="90"/>
      <c r="Y383" s="90"/>
      <c r="Z383" s="90"/>
    </row>
    <row r="384" ht="15.75" customHeight="1">
      <c r="A384" s="90"/>
      <c r="B384" s="90"/>
      <c r="C384" s="864"/>
      <c r="D384" s="90"/>
      <c r="E384" s="90"/>
      <c r="F384" s="90"/>
      <c r="G384" s="90"/>
      <c r="H384" s="90"/>
      <c r="I384" s="90"/>
      <c r="J384" s="90"/>
      <c r="K384" s="90"/>
      <c r="L384" s="90"/>
      <c r="M384" s="864"/>
      <c r="N384" s="864"/>
      <c r="O384" s="864"/>
      <c r="P384" s="864"/>
      <c r="Q384" s="864"/>
      <c r="R384" s="864"/>
      <c r="S384" s="864"/>
      <c r="T384" s="864"/>
      <c r="U384" s="864"/>
      <c r="V384" s="864"/>
      <c r="W384" s="864"/>
      <c r="X384" s="90"/>
      <c r="Y384" s="90"/>
      <c r="Z384" s="90"/>
    </row>
    <row r="385" ht="15.75" customHeight="1">
      <c r="A385" s="90"/>
      <c r="B385" s="90"/>
      <c r="C385" s="864"/>
      <c r="D385" s="90"/>
      <c r="E385" s="90"/>
      <c r="F385" s="90"/>
      <c r="G385" s="90"/>
      <c r="H385" s="90"/>
      <c r="I385" s="90"/>
      <c r="J385" s="90"/>
      <c r="K385" s="90"/>
      <c r="L385" s="90"/>
      <c r="M385" s="864"/>
      <c r="N385" s="864"/>
      <c r="O385" s="864"/>
      <c r="P385" s="864"/>
      <c r="Q385" s="864"/>
      <c r="R385" s="864"/>
      <c r="S385" s="864"/>
      <c r="T385" s="864"/>
      <c r="U385" s="864"/>
      <c r="V385" s="864"/>
      <c r="W385" s="864"/>
      <c r="X385" s="90"/>
      <c r="Y385" s="90"/>
      <c r="Z385" s="90"/>
    </row>
    <row r="386" ht="15.75" customHeight="1">
      <c r="A386" s="90"/>
      <c r="B386" s="90"/>
      <c r="C386" s="864"/>
      <c r="D386" s="90"/>
      <c r="E386" s="90"/>
      <c r="F386" s="90"/>
      <c r="G386" s="90"/>
      <c r="H386" s="90"/>
      <c r="I386" s="90"/>
      <c r="J386" s="90"/>
      <c r="K386" s="90"/>
      <c r="L386" s="90"/>
      <c r="M386" s="864"/>
      <c r="N386" s="864"/>
      <c r="O386" s="864"/>
      <c r="P386" s="864"/>
      <c r="Q386" s="864"/>
      <c r="R386" s="864"/>
      <c r="S386" s="864"/>
      <c r="T386" s="864"/>
      <c r="U386" s="864"/>
      <c r="V386" s="864"/>
      <c r="W386" s="864"/>
      <c r="X386" s="90"/>
      <c r="Y386" s="90"/>
      <c r="Z386" s="90"/>
    </row>
    <row r="387" ht="15.75" customHeight="1">
      <c r="A387" s="90"/>
      <c r="B387" s="90"/>
      <c r="C387" s="864"/>
      <c r="D387" s="90"/>
      <c r="E387" s="90"/>
      <c r="F387" s="90"/>
      <c r="G387" s="90"/>
      <c r="H387" s="90"/>
      <c r="I387" s="90"/>
      <c r="J387" s="90"/>
      <c r="K387" s="90"/>
      <c r="L387" s="90"/>
      <c r="M387" s="864"/>
      <c r="N387" s="864"/>
      <c r="O387" s="864"/>
      <c r="P387" s="864"/>
      <c r="Q387" s="864"/>
      <c r="R387" s="864"/>
      <c r="S387" s="864"/>
      <c r="T387" s="864"/>
      <c r="U387" s="864"/>
      <c r="V387" s="864"/>
      <c r="W387" s="864"/>
      <c r="X387" s="90"/>
      <c r="Y387" s="90"/>
      <c r="Z387" s="90"/>
    </row>
    <row r="388" ht="15.75" customHeight="1">
      <c r="A388" s="90"/>
      <c r="B388" s="90"/>
      <c r="C388" s="864"/>
      <c r="D388" s="90"/>
      <c r="E388" s="90"/>
      <c r="F388" s="90"/>
      <c r="G388" s="90"/>
      <c r="H388" s="90"/>
      <c r="I388" s="90"/>
      <c r="J388" s="90"/>
      <c r="K388" s="90"/>
      <c r="L388" s="90"/>
      <c r="M388" s="864"/>
      <c r="N388" s="864"/>
      <c r="O388" s="864"/>
      <c r="P388" s="864"/>
      <c r="Q388" s="864"/>
      <c r="R388" s="864"/>
      <c r="S388" s="864"/>
      <c r="T388" s="864"/>
      <c r="U388" s="864"/>
      <c r="V388" s="864"/>
      <c r="W388" s="864"/>
      <c r="X388" s="90"/>
      <c r="Y388" s="90"/>
      <c r="Z388" s="90"/>
    </row>
    <row r="389" ht="15.75" customHeight="1">
      <c r="A389" s="90"/>
      <c r="B389" s="90"/>
      <c r="C389" s="864"/>
      <c r="D389" s="90"/>
      <c r="E389" s="90"/>
      <c r="F389" s="90"/>
      <c r="G389" s="90"/>
      <c r="H389" s="90"/>
      <c r="I389" s="90"/>
      <c r="J389" s="90"/>
      <c r="K389" s="90"/>
      <c r="L389" s="90"/>
      <c r="M389" s="864"/>
      <c r="N389" s="864"/>
      <c r="O389" s="864"/>
      <c r="P389" s="864"/>
      <c r="Q389" s="864"/>
      <c r="R389" s="864"/>
      <c r="S389" s="864"/>
      <c r="T389" s="864"/>
      <c r="U389" s="864"/>
      <c r="V389" s="864"/>
      <c r="W389" s="864"/>
      <c r="X389" s="90"/>
      <c r="Y389" s="90"/>
      <c r="Z389" s="90"/>
    </row>
    <row r="390" ht="15.75" customHeight="1">
      <c r="A390" s="90"/>
      <c r="B390" s="90"/>
      <c r="C390" s="864"/>
      <c r="D390" s="90"/>
      <c r="E390" s="90"/>
      <c r="F390" s="90"/>
      <c r="G390" s="90"/>
      <c r="H390" s="90"/>
      <c r="I390" s="90"/>
      <c r="J390" s="90"/>
      <c r="K390" s="90"/>
      <c r="L390" s="90"/>
      <c r="M390" s="864"/>
      <c r="N390" s="864"/>
      <c r="O390" s="864"/>
      <c r="P390" s="864"/>
      <c r="Q390" s="864"/>
      <c r="R390" s="864"/>
      <c r="S390" s="864"/>
      <c r="T390" s="864"/>
      <c r="U390" s="864"/>
      <c r="V390" s="864"/>
      <c r="W390" s="864"/>
      <c r="X390" s="90"/>
      <c r="Y390" s="90"/>
      <c r="Z390" s="90"/>
    </row>
    <row r="391" ht="15.75" customHeight="1">
      <c r="A391" s="90"/>
      <c r="B391" s="90"/>
      <c r="C391" s="864"/>
      <c r="D391" s="90"/>
      <c r="E391" s="90"/>
      <c r="F391" s="90"/>
      <c r="G391" s="90"/>
      <c r="H391" s="90"/>
      <c r="I391" s="90"/>
      <c r="J391" s="90"/>
      <c r="K391" s="90"/>
      <c r="L391" s="90"/>
      <c r="M391" s="864"/>
      <c r="N391" s="864"/>
      <c r="O391" s="864"/>
      <c r="P391" s="864"/>
      <c r="Q391" s="864"/>
      <c r="R391" s="864"/>
      <c r="S391" s="864"/>
      <c r="T391" s="864"/>
      <c r="U391" s="864"/>
      <c r="V391" s="864"/>
      <c r="W391" s="864"/>
      <c r="X391" s="90"/>
      <c r="Y391" s="90"/>
      <c r="Z391" s="90"/>
    </row>
    <row r="392" ht="15.75" customHeight="1">
      <c r="A392" s="90"/>
      <c r="B392" s="90"/>
      <c r="C392" s="864"/>
      <c r="D392" s="90"/>
      <c r="E392" s="90"/>
      <c r="F392" s="90"/>
      <c r="G392" s="90"/>
      <c r="H392" s="90"/>
      <c r="I392" s="90"/>
      <c r="J392" s="90"/>
      <c r="K392" s="90"/>
      <c r="L392" s="90"/>
      <c r="M392" s="864"/>
      <c r="N392" s="864"/>
      <c r="O392" s="864"/>
      <c r="P392" s="864"/>
      <c r="Q392" s="864"/>
      <c r="R392" s="864"/>
      <c r="S392" s="864"/>
      <c r="T392" s="864"/>
      <c r="U392" s="864"/>
      <c r="V392" s="864"/>
      <c r="W392" s="864"/>
      <c r="X392" s="90"/>
      <c r="Y392" s="90"/>
      <c r="Z392" s="90"/>
    </row>
    <row r="393" ht="15.75" customHeight="1">
      <c r="A393" s="90"/>
      <c r="B393" s="90"/>
      <c r="C393" s="864"/>
      <c r="D393" s="90"/>
      <c r="E393" s="90"/>
      <c r="F393" s="90"/>
      <c r="G393" s="90"/>
      <c r="H393" s="90"/>
      <c r="I393" s="90"/>
      <c r="J393" s="90"/>
      <c r="K393" s="90"/>
      <c r="L393" s="90"/>
      <c r="M393" s="864"/>
      <c r="N393" s="864"/>
      <c r="O393" s="864"/>
      <c r="P393" s="864"/>
      <c r="Q393" s="864"/>
      <c r="R393" s="864"/>
      <c r="S393" s="864"/>
      <c r="T393" s="864"/>
      <c r="U393" s="864"/>
      <c r="V393" s="864"/>
      <c r="W393" s="864"/>
      <c r="X393" s="90"/>
      <c r="Y393" s="90"/>
      <c r="Z393" s="90"/>
    </row>
    <row r="394" ht="15.75" customHeight="1">
      <c r="A394" s="90"/>
      <c r="B394" s="90"/>
      <c r="C394" s="864"/>
      <c r="D394" s="90"/>
      <c r="E394" s="90"/>
      <c r="F394" s="90"/>
      <c r="G394" s="90"/>
      <c r="H394" s="90"/>
      <c r="I394" s="90"/>
      <c r="J394" s="90"/>
      <c r="K394" s="90"/>
      <c r="L394" s="90"/>
      <c r="M394" s="864"/>
      <c r="N394" s="864"/>
      <c r="O394" s="864"/>
      <c r="P394" s="864"/>
      <c r="Q394" s="864"/>
      <c r="R394" s="864"/>
      <c r="S394" s="864"/>
      <c r="T394" s="864"/>
      <c r="U394" s="864"/>
      <c r="V394" s="864"/>
      <c r="W394" s="864"/>
      <c r="X394" s="90"/>
      <c r="Y394" s="90"/>
      <c r="Z394" s="90"/>
    </row>
    <row r="395" ht="15.75" customHeight="1">
      <c r="A395" s="90"/>
      <c r="B395" s="90"/>
      <c r="C395" s="864"/>
      <c r="D395" s="90"/>
      <c r="E395" s="90"/>
      <c r="F395" s="90"/>
      <c r="G395" s="90"/>
      <c r="H395" s="90"/>
      <c r="I395" s="90"/>
      <c r="J395" s="90"/>
      <c r="K395" s="90"/>
      <c r="L395" s="90"/>
      <c r="M395" s="864"/>
      <c r="N395" s="864"/>
      <c r="O395" s="864"/>
      <c r="P395" s="864"/>
      <c r="Q395" s="864"/>
      <c r="R395" s="864"/>
      <c r="S395" s="864"/>
      <c r="T395" s="864"/>
      <c r="U395" s="864"/>
      <c r="V395" s="864"/>
      <c r="W395" s="864"/>
      <c r="X395" s="90"/>
      <c r="Y395" s="90"/>
      <c r="Z395" s="90"/>
    </row>
    <row r="396" ht="15.75" customHeight="1">
      <c r="A396" s="90"/>
      <c r="B396" s="90"/>
      <c r="C396" s="864"/>
      <c r="D396" s="90"/>
      <c r="E396" s="90"/>
      <c r="F396" s="90"/>
      <c r="G396" s="90"/>
      <c r="H396" s="90"/>
      <c r="I396" s="90"/>
      <c r="J396" s="90"/>
      <c r="K396" s="90"/>
      <c r="L396" s="90"/>
      <c r="M396" s="864"/>
      <c r="N396" s="864"/>
      <c r="O396" s="864"/>
      <c r="P396" s="864"/>
      <c r="Q396" s="864"/>
      <c r="R396" s="864"/>
      <c r="S396" s="864"/>
      <c r="T396" s="864"/>
      <c r="U396" s="864"/>
      <c r="V396" s="864"/>
      <c r="W396" s="864"/>
      <c r="X396" s="90"/>
      <c r="Y396" s="90"/>
      <c r="Z396" s="90"/>
    </row>
    <row r="397" ht="15.75" customHeight="1">
      <c r="A397" s="90"/>
      <c r="B397" s="90"/>
      <c r="C397" s="864"/>
      <c r="D397" s="90"/>
      <c r="E397" s="90"/>
      <c r="F397" s="90"/>
      <c r="G397" s="90"/>
      <c r="H397" s="90"/>
      <c r="I397" s="90"/>
      <c r="J397" s="90"/>
      <c r="K397" s="90"/>
      <c r="L397" s="90"/>
      <c r="M397" s="864"/>
      <c r="N397" s="864"/>
      <c r="O397" s="864"/>
      <c r="P397" s="864"/>
      <c r="Q397" s="864"/>
      <c r="R397" s="864"/>
      <c r="S397" s="864"/>
      <c r="T397" s="864"/>
      <c r="U397" s="864"/>
      <c r="V397" s="864"/>
      <c r="W397" s="864"/>
      <c r="X397" s="90"/>
      <c r="Y397" s="90"/>
      <c r="Z397" s="90"/>
    </row>
    <row r="398" ht="15.75" customHeight="1">
      <c r="A398" s="90"/>
      <c r="B398" s="90"/>
      <c r="C398" s="864"/>
      <c r="D398" s="90"/>
      <c r="E398" s="90"/>
      <c r="F398" s="90"/>
      <c r="G398" s="90"/>
      <c r="H398" s="90"/>
      <c r="I398" s="90"/>
      <c r="J398" s="90"/>
      <c r="K398" s="90"/>
      <c r="L398" s="90"/>
      <c r="M398" s="864"/>
      <c r="N398" s="864"/>
      <c r="O398" s="864"/>
      <c r="P398" s="864"/>
      <c r="Q398" s="864"/>
      <c r="R398" s="864"/>
      <c r="S398" s="864"/>
      <c r="T398" s="864"/>
      <c r="U398" s="864"/>
      <c r="V398" s="864"/>
      <c r="W398" s="864"/>
      <c r="X398" s="90"/>
      <c r="Y398" s="90"/>
      <c r="Z398" s="90"/>
    </row>
    <row r="399" ht="15.75" customHeight="1">
      <c r="A399" s="90"/>
      <c r="B399" s="90"/>
      <c r="C399" s="864"/>
      <c r="D399" s="90"/>
      <c r="E399" s="90"/>
      <c r="F399" s="90"/>
      <c r="G399" s="90"/>
      <c r="H399" s="90"/>
      <c r="I399" s="90"/>
      <c r="J399" s="90"/>
      <c r="K399" s="90"/>
      <c r="L399" s="90"/>
      <c r="M399" s="864"/>
      <c r="N399" s="864"/>
      <c r="O399" s="864"/>
      <c r="P399" s="864"/>
      <c r="Q399" s="864"/>
      <c r="R399" s="864"/>
      <c r="S399" s="864"/>
      <c r="T399" s="864"/>
      <c r="U399" s="864"/>
      <c r="V399" s="864"/>
      <c r="W399" s="864"/>
      <c r="X399" s="90"/>
      <c r="Y399" s="90"/>
      <c r="Z399" s="90"/>
    </row>
    <row r="400" ht="15.75" customHeight="1">
      <c r="A400" s="90"/>
      <c r="B400" s="90"/>
      <c r="C400" s="864"/>
      <c r="D400" s="90"/>
      <c r="E400" s="90"/>
      <c r="F400" s="90"/>
      <c r="G400" s="90"/>
      <c r="H400" s="90"/>
      <c r="I400" s="90"/>
      <c r="J400" s="90"/>
      <c r="K400" s="90"/>
      <c r="L400" s="90"/>
      <c r="M400" s="864"/>
      <c r="N400" s="864"/>
      <c r="O400" s="864"/>
      <c r="P400" s="864"/>
      <c r="Q400" s="864"/>
      <c r="R400" s="864"/>
      <c r="S400" s="864"/>
      <c r="T400" s="864"/>
      <c r="U400" s="864"/>
      <c r="V400" s="864"/>
      <c r="W400" s="864"/>
      <c r="X400" s="90"/>
      <c r="Y400" s="90"/>
      <c r="Z400" s="90"/>
    </row>
    <row r="401" ht="15.75" customHeight="1">
      <c r="A401" s="90"/>
      <c r="B401" s="90"/>
      <c r="C401" s="864"/>
      <c r="D401" s="90"/>
      <c r="E401" s="90"/>
      <c r="F401" s="90"/>
      <c r="G401" s="90"/>
      <c r="H401" s="90"/>
      <c r="I401" s="90"/>
      <c r="J401" s="90"/>
      <c r="K401" s="90"/>
      <c r="L401" s="90"/>
      <c r="M401" s="864"/>
      <c r="N401" s="864"/>
      <c r="O401" s="864"/>
      <c r="P401" s="864"/>
      <c r="Q401" s="864"/>
      <c r="R401" s="864"/>
      <c r="S401" s="864"/>
      <c r="T401" s="864"/>
      <c r="U401" s="864"/>
      <c r="V401" s="864"/>
      <c r="W401" s="864"/>
      <c r="X401" s="90"/>
      <c r="Y401" s="90"/>
      <c r="Z401" s="90"/>
    </row>
    <row r="402" ht="15.75" customHeight="1">
      <c r="A402" s="90"/>
      <c r="B402" s="90"/>
      <c r="C402" s="864"/>
      <c r="D402" s="90"/>
      <c r="E402" s="90"/>
      <c r="F402" s="90"/>
      <c r="G402" s="90"/>
      <c r="H402" s="90"/>
      <c r="I402" s="90"/>
      <c r="J402" s="90"/>
      <c r="K402" s="90"/>
      <c r="L402" s="90"/>
      <c r="M402" s="864"/>
      <c r="N402" s="864"/>
      <c r="O402" s="864"/>
      <c r="P402" s="864"/>
      <c r="Q402" s="864"/>
      <c r="R402" s="864"/>
      <c r="S402" s="864"/>
      <c r="T402" s="864"/>
      <c r="U402" s="864"/>
      <c r="V402" s="864"/>
      <c r="W402" s="864"/>
      <c r="X402" s="90"/>
      <c r="Y402" s="90"/>
      <c r="Z402" s="90"/>
    </row>
    <row r="403" ht="15.75" customHeight="1">
      <c r="A403" s="90"/>
      <c r="B403" s="90"/>
      <c r="C403" s="864"/>
      <c r="D403" s="90"/>
      <c r="E403" s="90"/>
      <c r="F403" s="90"/>
      <c r="G403" s="90"/>
      <c r="H403" s="90"/>
      <c r="I403" s="90"/>
      <c r="J403" s="90"/>
      <c r="K403" s="90"/>
      <c r="L403" s="90"/>
      <c r="M403" s="864"/>
      <c r="N403" s="864"/>
      <c r="O403" s="864"/>
      <c r="P403" s="864"/>
      <c r="Q403" s="864"/>
      <c r="R403" s="864"/>
      <c r="S403" s="864"/>
      <c r="T403" s="864"/>
      <c r="U403" s="864"/>
      <c r="V403" s="864"/>
      <c r="W403" s="864"/>
      <c r="X403" s="90"/>
      <c r="Y403" s="90"/>
      <c r="Z403" s="90"/>
    </row>
    <row r="404" ht="15.75" customHeight="1">
      <c r="A404" s="90"/>
      <c r="B404" s="90"/>
      <c r="C404" s="864"/>
      <c r="D404" s="90"/>
      <c r="E404" s="90"/>
      <c r="F404" s="90"/>
      <c r="G404" s="90"/>
      <c r="H404" s="90"/>
      <c r="I404" s="90"/>
      <c r="J404" s="90"/>
      <c r="K404" s="90"/>
      <c r="L404" s="90"/>
      <c r="M404" s="864"/>
      <c r="N404" s="864"/>
      <c r="O404" s="864"/>
      <c r="P404" s="864"/>
      <c r="Q404" s="864"/>
      <c r="R404" s="864"/>
      <c r="S404" s="864"/>
      <c r="T404" s="864"/>
      <c r="U404" s="864"/>
      <c r="V404" s="864"/>
      <c r="W404" s="864"/>
      <c r="X404" s="90"/>
      <c r="Y404" s="90"/>
      <c r="Z404" s="90"/>
    </row>
    <row r="405" ht="15.75" customHeight="1">
      <c r="A405" s="90"/>
      <c r="B405" s="90"/>
      <c r="C405" s="864"/>
      <c r="D405" s="90"/>
      <c r="E405" s="90"/>
      <c r="F405" s="90"/>
      <c r="G405" s="90"/>
      <c r="H405" s="90"/>
      <c r="I405" s="90"/>
      <c r="J405" s="90"/>
      <c r="K405" s="90"/>
      <c r="L405" s="90"/>
      <c r="M405" s="864"/>
      <c r="N405" s="864"/>
      <c r="O405" s="864"/>
      <c r="P405" s="864"/>
      <c r="Q405" s="864"/>
      <c r="R405" s="864"/>
      <c r="S405" s="864"/>
      <c r="T405" s="864"/>
      <c r="U405" s="864"/>
      <c r="V405" s="864"/>
      <c r="W405" s="864"/>
      <c r="X405" s="90"/>
      <c r="Y405" s="90"/>
      <c r="Z405" s="90"/>
    </row>
    <row r="406" ht="15.75" customHeight="1">
      <c r="A406" s="90"/>
      <c r="B406" s="90"/>
      <c r="C406" s="864"/>
      <c r="D406" s="90"/>
      <c r="E406" s="90"/>
      <c r="F406" s="90"/>
      <c r="G406" s="90"/>
      <c r="H406" s="90"/>
      <c r="I406" s="90"/>
      <c r="J406" s="90"/>
      <c r="K406" s="90"/>
      <c r="L406" s="90"/>
      <c r="M406" s="864"/>
      <c r="N406" s="864"/>
      <c r="O406" s="864"/>
      <c r="P406" s="864"/>
      <c r="Q406" s="864"/>
      <c r="R406" s="864"/>
      <c r="S406" s="864"/>
      <c r="T406" s="864"/>
      <c r="U406" s="864"/>
      <c r="V406" s="864"/>
      <c r="W406" s="864"/>
      <c r="X406" s="90"/>
      <c r="Y406" s="90"/>
      <c r="Z406" s="90"/>
    </row>
    <row r="407" ht="15.75" customHeight="1">
      <c r="A407" s="90"/>
      <c r="B407" s="90"/>
      <c r="C407" s="864"/>
      <c r="D407" s="90"/>
      <c r="E407" s="90"/>
      <c r="F407" s="90"/>
      <c r="G407" s="90"/>
      <c r="H407" s="90"/>
      <c r="I407" s="90"/>
      <c r="J407" s="90"/>
      <c r="K407" s="90"/>
      <c r="L407" s="90"/>
      <c r="M407" s="864"/>
      <c r="N407" s="864"/>
      <c r="O407" s="864"/>
      <c r="P407" s="864"/>
      <c r="Q407" s="864"/>
      <c r="R407" s="864"/>
      <c r="S407" s="864"/>
      <c r="T407" s="864"/>
      <c r="U407" s="864"/>
      <c r="V407" s="864"/>
      <c r="W407" s="864"/>
      <c r="X407" s="90"/>
      <c r="Y407" s="90"/>
      <c r="Z407" s="90"/>
    </row>
    <row r="408" ht="15.75" customHeight="1">
      <c r="A408" s="90"/>
      <c r="B408" s="90"/>
      <c r="C408" s="864"/>
      <c r="D408" s="90"/>
      <c r="E408" s="90"/>
      <c r="F408" s="90"/>
      <c r="G408" s="90"/>
      <c r="H408" s="90"/>
      <c r="I408" s="90"/>
      <c r="J408" s="90"/>
      <c r="K408" s="90"/>
      <c r="L408" s="90"/>
      <c r="M408" s="864"/>
      <c r="N408" s="864"/>
      <c r="O408" s="864"/>
      <c r="P408" s="864"/>
      <c r="Q408" s="864"/>
      <c r="R408" s="864"/>
      <c r="S408" s="864"/>
      <c r="T408" s="864"/>
      <c r="U408" s="864"/>
      <c r="V408" s="864"/>
      <c r="W408" s="864"/>
      <c r="X408" s="90"/>
      <c r="Y408" s="90"/>
      <c r="Z408" s="90"/>
    </row>
    <row r="409" ht="15.75" customHeight="1">
      <c r="A409" s="90"/>
      <c r="B409" s="90"/>
      <c r="C409" s="864"/>
      <c r="D409" s="90"/>
      <c r="E409" s="90"/>
      <c r="F409" s="90"/>
      <c r="G409" s="90"/>
      <c r="H409" s="90"/>
      <c r="I409" s="90"/>
      <c r="J409" s="90"/>
      <c r="K409" s="90"/>
      <c r="L409" s="90"/>
      <c r="M409" s="864"/>
      <c r="N409" s="864"/>
      <c r="O409" s="864"/>
      <c r="P409" s="864"/>
      <c r="Q409" s="864"/>
      <c r="R409" s="864"/>
      <c r="S409" s="864"/>
      <c r="T409" s="864"/>
      <c r="U409" s="864"/>
      <c r="V409" s="864"/>
      <c r="W409" s="864"/>
      <c r="X409" s="90"/>
      <c r="Y409" s="90"/>
      <c r="Z409" s="90"/>
    </row>
    <row r="410" ht="15.75" customHeight="1">
      <c r="A410" s="90"/>
      <c r="B410" s="90"/>
      <c r="C410" s="864"/>
      <c r="D410" s="90"/>
      <c r="E410" s="90"/>
      <c r="F410" s="90"/>
      <c r="G410" s="90"/>
      <c r="H410" s="90"/>
      <c r="I410" s="90"/>
      <c r="J410" s="90"/>
      <c r="K410" s="90"/>
      <c r="L410" s="90"/>
      <c r="M410" s="864"/>
      <c r="N410" s="864"/>
      <c r="O410" s="864"/>
      <c r="P410" s="864"/>
      <c r="Q410" s="864"/>
      <c r="R410" s="864"/>
      <c r="S410" s="864"/>
      <c r="T410" s="864"/>
      <c r="U410" s="864"/>
      <c r="V410" s="864"/>
      <c r="W410" s="864"/>
      <c r="X410" s="90"/>
      <c r="Y410" s="90"/>
      <c r="Z410" s="90"/>
    </row>
    <row r="411" ht="15.75" customHeight="1">
      <c r="A411" s="90"/>
      <c r="B411" s="90"/>
      <c r="C411" s="864"/>
      <c r="D411" s="90"/>
      <c r="E411" s="90"/>
      <c r="F411" s="90"/>
      <c r="G411" s="90"/>
      <c r="H411" s="90"/>
      <c r="I411" s="90"/>
      <c r="J411" s="90"/>
      <c r="K411" s="90"/>
      <c r="L411" s="90"/>
      <c r="M411" s="864"/>
      <c r="N411" s="864"/>
      <c r="O411" s="864"/>
      <c r="P411" s="864"/>
      <c r="Q411" s="864"/>
      <c r="R411" s="864"/>
      <c r="S411" s="864"/>
      <c r="T411" s="864"/>
      <c r="U411" s="864"/>
      <c r="V411" s="864"/>
      <c r="W411" s="864"/>
      <c r="X411" s="90"/>
      <c r="Y411" s="90"/>
      <c r="Z411" s="90"/>
    </row>
    <row r="412" ht="15.75" customHeight="1">
      <c r="A412" s="90"/>
      <c r="B412" s="90"/>
      <c r="C412" s="864"/>
      <c r="D412" s="90"/>
      <c r="E412" s="90"/>
      <c r="F412" s="90"/>
      <c r="G412" s="90"/>
      <c r="H412" s="90"/>
      <c r="I412" s="90"/>
      <c r="J412" s="90"/>
      <c r="K412" s="90"/>
      <c r="L412" s="90"/>
      <c r="M412" s="864"/>
      <c r="N412" s="864"/>
      <c r="O412" s="864"/>
      <c r="P412" s="864"/>
      <c r="Q412" s="864"/>
      <c r="R412" s="864"/>
      <c r="S412" s="864"/>
      <c r="T412" s="864"/>
      <c r="U412" s="864"/>
      <c r="V412" s="864"/>
      <c r="W412" s="864"/>
      <c r="X412" s="90"/>
      <c r="Y412" s="90"/>
      <c r="Z412" s="90"/>
    </row>
    <row r="413" ht="15.75" customHeight="1">
      <c r="A413" s="90"/>
      <c r="B413" s="90"/>
      <c r="C413" s="864"/>
      <c r="D413" s="90"/>
      <c r="E413" s="90"/>
      <c r="F413" s="90"/>
      <c r="G413" s="90"/>
      <c r="H413" s="90"/>
      <c r="I413" s="90"/>
      <c r="J413" s="90"/>
      <c r="K413" s="90"/>
      <c r="L413" s="90"/>
      <c r="M413" s="864"/>
      <c r="N413" s="864"/>
      <c r="O413" s="864"/>
      <c r="P413" s="864"/>
      <c r="Q413" s="864"/>
      <c r="R413" s="864"/>
      <c r="S413" s="864"/>
      <c r="T413" s="864"/>
      <c r="U413" s="864"/>
      <c r="V413" s="864"/>
      <c r="W413" s="864"/>
      <c r="X413" s="90"/>
      <c r="Y413" s="90"/>
      <c r="Z413" s="90"/>
    </row>
    <row r="414" ht="15.75" customHeight="1">
      <c r="A414" s="90"/>
      <c r="B414" s="90"/>
      <c r="C414" s="864"/>
      <c r="D414" s="90"/>
      <c r="E414" s="90"/>
      <c r="F414" s="90"/>
      <c r="G414" s="90"/>
      <c r="H414" s="90"/>
      <c r="I414" s="90"/>
      <c r="J414" s="90"/>
      <c r="K414" s="90"/>
      <c r="L414" s="90"/>
      <c r="M414" s="864"/>
      <c r="N414" s="864"/>
      <c r="O414" s="864"/>
      <c r="P414" s="864"/>
      <c r="Q414" s="864"/>
      <c r="R414" s="864"/>
      <c r="S414" s="864"/>
      <c r="T414" s="864"/>
      <c r="U414" s="864"/>
      <c r="V414" s="864"/>
      <c r="W414" s="864"/>
      <c r="X414" s="90"/>
      <c r="Y414" s="90"/>
      <c r="Z414" s="90"/>
    </row>
    <row r="415" ht="15.75" customHeight="1">
      <c r="A415" s="90"/>
      <c r="B415" s="90"/>
      <c r="C415" s="864"/>
      <c r="D415" s="90"/>
      <c r="E415" s="90"/>
      <c r="F415" s="90"/>
      <c r="G415" s="90"/>
      <c r="H415" s="90"/>
      <c r="I415" s="90"/>
      <c r="J415" s="90"/>
      <c r="K415" s="90"/>
      <c r="L415" s="90"/>
      <c r="M415" s="864"/>
      <c r="N415" s="864"/>
      <c r="O415" s="864"/>
      <c r="P415" s="864"/>
      <c r="Q415" s="864"/>
      <c r="R415" s="864"/>
      <c r="S415" s="864"/>
      <c r="T415" s="864"/>
      <c r="U415" s="864"/>
      <c r="V415" s="864"/>
      <c r="W415" s="864"/>
      <c r="X415" s="90"/>
      <c r="Y415" s="90"/>
      <c r="Z415" s="90"/>
    </row>
    <row r="416" ht="15.75" customHeight="1">
      <c r="A416" s="90"/>
      <c r="B416" s="90"/>
      <c r="C416" s="864"/>
      <c r="D416" s="90"/>
      <c r="E416" s="90"/>
      <c r="F416" s="90"/>
      <c r="G416" s="90"/>
      <c r="H416" s="90"/>
      <c r="I416" s="90"/>
      <c r="J416" s="90"/>
      <c r="K416" s="90"/>
      <c r="L416" s="90"/>
      <c r="M416" s="864"/>
      <c r="N416" s="864"/>
      <c r="O416" s="864"/>
      <c r="P416" s="864"/>
      <c r="Q416" s="864"/>
      <c r="R416" s="864"/>
      <c r="S416" s="864"/>
      <c r="T416" s="864"/>
      <c r="U416" s="864"/>
      <c r="V416" s="864"/>
      <c r="W416" s="864"/>
      <c r="X416" s="90"/>
      <c r="Y416" s="90"/>
      <c r="Z416" s="90"/>
    </row>
    <row r="417" ht="15.75" customHeight="1">
      <c r="A417" s="90"/>
      <c r="B417" s="90"/>
      <c r="C417" s="864"/>
      <c r="D417" s="90"/>
      <c r="E417" s="90"/>
      <c r="F417" s="90"/>
      <c r="G417" s="90"/>
      <c r="H417" s="90"/>
      <c r="I417" s="90"/>
      <c r="J417" s="90"/>
      <c r="K417" s="90"/>
      <c r="L417" s="90"/>
      <c r="M417" s="864"/>
      <c r="N417" s="864"/>
      <c r="O417" s="864"/>
      <c r="P417" s="864"/>
      <c r="Q417" s="864"/>
      <c r="R417" s="864"/>
      <c r="S417" s="864"/>
      <c r="T417" s="864"/>
      <c r="U417" s="864"/>
      <c r="V417" s="864"/>
      <c r="W417" s="864"/>
      <c r="X417" s="90"/>
      <c r="Y417" s="90"/>
      <c r="Z417" s="90"/>
    </row>
    <row r="418" ht="15.75" customHeight="1">
      <c r="A418" s="90"/>
      <c r="B418" s="90"/>
      <c r="C418" s="864"/>
      <c r="D418" s="90"/>
      <c r="E418" s="90"/>
      <c r="F418" s="90"/>
      <c r="G418" s="90"/>
      <c r="H418" s="90"/>
      <c r="I418" s="90"/>
      <c r="J418" s="90"/>
      <c r="K418" s="90"/>
      <c r="L418" s="90"/>
      <c r="M418" s="864"/>
      <c r="N418" s="864"/>
      <c r="O418" s="864"/>
      <c r="P418" s="864"/>
      <c r="Q418" s="864"/>
      <c r="R418" s="864"/>
      <c r="S418" s="864"/>
      <c r="T418" s="864"/>
      <c r="U418" s="864"/>
      <c r="V418" s="864"/>
      <c r="W418" s="864"/>
      <c r="X418" s="90"/>
      <c r="Y418" s="90"/>
      <c r="Z418" s="90"/>
    </row>
    <row r="419" ht="15.75" customHeight="1">
      <c r="A419" s="90"/>
      <c r="B419" s="90"/>
      <c r="C419" s="864"/>
      <c r="D419" s="90"/>
      <c r="E419" s="90"/>
      <c r="F419" s="90"/>
      <c r="G419" s="90"/>
      <c r="H419" s="90"/>
      <c r="I419" s="90"/>
      <c r="J419" s="90"/>
      <c r="K419" s="90"/>
      <c r="L419" s="90"/>
      <c r="M419" s="864"/>
      <c r="N419" s="864"/>
      <c r="O419" s="864"/>
      <c r="P419" s="864"/>
      <c r="Q419" s="864"/>
      <c r="R419" s="864"/>
      <c r="S419" s="864"/>
      <c r="T419" s="864"/>
      <c r="U419" s="864"/>
      <c r="V419" s="864"/>
      <c r="W419" s="864"/>
      <c r="X419" s="90"/>
      <c r="Y419" s="90"/>
      <c r="Z419" s="90"/>
    </row>
    <row r="420" ht="15.75" customHeight="1">
      <c r="A420" s="90"/>
      <c r="B420" s="90"/>
      <c r="C420" s="864"/>
      <c r="D420" s="90"/>
      <c r="E420" s="90"/>
      <c r="F420" s="90"/>
      <c r="G420" s="90"/>
      <c r="H420" s="90"/>
      <c r="I420" s="90"/>
      <c r="J420" s="90"/>
      <c r="K420" s="90"/>
      <c r="L420" s="90"/>
      <c r="M420" s="864"/>
      <c r="N420" s="864"/>
      <c r="O420" s="864"/>
      <c r="P420" s="864"/>
      <c r="Q420" s="864"/>
      <c r="R420" s="864"/>
      <c r="S420" s="864"/>
      <c r="T420" s="864"/>
      <c r="U420" s="864"/>
      <c r="V420" s="864"/>
      <c r="W420" s="864"/>
      <c r="X420" s="90"/>
      <c r="Y420" s="90"/>
      <c r="Z420" s="90"/>
    </row>
    <row r="421" ht="15.75" customHeight="1">
      <c r="A421" s="90"/>
      <c r="B421" s="90"/>
      <c r="C421" s="864"/>
      <c r="D421" s="90"/>
      <c r="E421" s="90"/>
      <c r="F421" s="90"/>
      <c r="G421" s="90"/>
      <c r="H421" s="90"/>
      <c r="I421" s="90"/>
      <c r="J421" s="90"/>
      <c r="K421" s="90"/>
      <c r="L421" s="90"/>
      <c r="M421" s="864"/>
      <c r="N421" s="864"/>
      <c r="O421" s="864"/>
      <c r="P421" s="864"/>
      <c r="Q421" s="864"/>
      <c r="R421" s="864"/>
      <c r="S421" s="864"/>
      <c r="T421" s="864"/>
      <c r="U421" s="864"/>
      <c r="V421" s="864"/>
      <c r="W421" s="864"/>
      <c r="X421" s="90"/>
      <c r="Y421" s="90"/>
      <c r="Z421" s="90"/>
    </row>
    <row r="422" ht="15.75" customHeight="1">
      <c r="A422" s="90"/>
      <c r="B422" s="90"/>
      <c r="C422" s="864"/>
      <c r="D422" s="90"/>
      <c r="E422" s="90"/>
      <c r="F422" s="90"/>
      <c r="G422" s="90"/>
      <c r="H422" s="90"/>
      <c r="I422" s="90"/>
      <c r="J422" s="90"/>
      <c r="K422" s="90"/>
      <c r="L422" s="90"/>
      <c r="M422" s="864"/>
      <c r="N422" s="864"/>
      <c r="O422" s="864"/>
      <c r="P422" s="864"/>
      <c r="Q422" s="864"/>
      <c r="R422" s="864"/>
      <c r="S422" s="864"/>
      <c r="T422" s="864"/>
      <c r="U422" s="864"/>
      <c r="V422" s="864"/>
      <c r="W422" s="864"/>
      <c r="X422" s="90"/>
      <c r="Y422" s="90"/>
      <c r="Z422" s="90"/>
    </row>
    <row r="423" ht="15.75" customHeight="1">
      <c r="A423" s="90"/>
      <c r="B423" s="90"/>
      <c r="C423" s="864"/>
      <c r="D423" s="90"/>
      <c r="E423" s="90"/>
      <c r="F423" s="90"/>
      <c r="G423" s="90"/>
      <c r="H423" s="90"/>
      <c r="I423" s="90"/>
      <c r="J423" s="90"/>
      <c r="K423" s="90"/>
      <c r="L423" s="90"/>
      <c r="M423" s="864"/>
      <c r="N423" s="864"/>
      <c r="O423" s="864"/>
      <c r="P423" s="864"/>
      <c r="Q423" s="864"/>
      <c r="R423" s="864"/>
      <c r="S423" s="864"/>
      <c r="T423" s="864"/>
      <c r="U423" s="864"/>
      <c r="V423" s="864"/>
      <c r="W423" s="864"/>
      <c r="X423" s="90"/>
      <c r="Y423" s="90"/>
      <c r="Z423" s="90"/>
    </row>
    <row r="424" ht="15.75" customHeight="1">
      <c r="A424" s="90"/>
      <c r="B424" s="90"/>
      <c r="C424" s="864"/>
      <c r="D424" s="90"/>
      <c r="E424" s="90"/>
      <c r="F424" s="90"/>
      <c r="G424" s="90"/>
      <c r="H424" s="90"/>
      <c r="I424" s="90"/>
      <c r="J424" s="90"/>
      <c r="K424" s="90"/>
      <c r="L424" s="90"/>
      <c r="M424" s="864"/>
      <c r="N424" s="864"/>
      <c r="O424" s="864"/>
      <c r="P424" s="864"/>
      <c r="Q424" s="864"/>
      <c r="R424" s="864"/>
      <c r="S424" s="864"/>
      <c r="T424" s="864"/>
      <c r="U424" s="864"/>
      <c r="V424" s="864"/>
      <c r="W424" s="864"/>
      <c r="X424" s="90"/>
      <c r="Y424" s="90"/>
      <c r="Z424" s="90"/>
    </row>
    <row r="425" ht="15.75" customHeight="1">
      <c r="A425" s="90"/>
      <c r="B425" s="90"/>
      <c r="C425" s="864"/>
      <c r="D425" s="90"/>
      <c r="E425" s="90"/>
      <c r="F425" s="90"/>
      <c r="G425" s="90"/>
      <c r="H425" s="90"/>
      <c r="I425" s="90"/>
      <c r="J425" s="90"/>
      <c r="K425" s="90"/>
      <c r="L425" s="90"/>
      <c r="M425" s="864"/>
      <c r="N425" s="864"/>
      <c r="O425" s="864"/>
      <c r="P425" s="864"/>
      <c r="Q425" s="864"/>
      <c r="R425" s="864"/>
      <c r="S425" s="864"/>
      <c r="T425" s="864"/>
      <c r="U425" s="864"/>
      <c r="V425" s="864"/>
      <c r="W425" s="864"/>
      <c r="X425" s="90"/>
      <c r="Y425" s="90"/>
      <c r="Z425" s="90"/>
    </row>
    <row r="426" ht="15.75" customHeight="1">
      <c r="A426" s="90"/>
      <c r="B426" s="90"/>
      <c r="C426" s="864"/>
      <c r="D426" s="90"/>
      <c r="E426" s="90"/>
      <c r="F426" s="90"/>
      <c r="G426" s="90"/>
      <c r="H426" s="90"/>
      <c r="I426" s="90"/>
      <c r="J426" s="90"/>
      <c r="K426" s="90"/>
      <c r="L426" s="90"/>
      <c r="M426" s="864"/>
      <c r="N426" s="864"/>
      <c r="O426" s="864"/>
      <c r="P426" s="864"/>
      <c r="Q426" s="864"/>
      <c r="R426" s="864"/>
      <c r="S426" s="864"/>
      <c r="T426" s="864"/>
      <c r="U426" s="864"/>
      <c r="V426" s="864"/>
      <c r="W426" s="864"/>
      <c r="X426" s="90"/>
      <c r="Y426" s="90"/>
      <c r="Z426" s="90"/>
    </row>
    <row r="427" ht="15.75" customHeight="1">
      <c r="A427" s="90"/>
      <c r="B427" s="90"/>
      <c r="C427" s="864"/>
      <c r="D427" s="90"/>
      <c r="E427" s="90"/>
      <c r="F427" s="90"/>
      <c r="G427" s="90"/>
      <c r="H427" s="90"/>
      <c r="I427" s="90"/>
      <c r="J427" s="90"/>
      <c r="K427" s="90"/>
      <c r="L427" s="90"/>
      <c r="M427" s="864"/>
      <c r="N427" s="864"/>
      <c r="O427" s="864"/>
      <c r="P427" s="864"/>
      <c r="Q427" s="864"/>
      <c r="R427" s="864"/>
      <c r="S427" s="864"/>
      <c r="T427" s="864"/>
      <c r="U427" s="864"/>
      <c r="V427" s="864"/>
      <c r="W427" s="864"/>
      <c r="X427" s="90"/>
      <c r="Y427" s="90"/>
      <c r="Z427" s="90"/>
    </row>
    <row r="428" ht="15.75" customHeight="1">
      <c r="A428" s="90"/>
      <c r="B428" s="90"/>
      <c r="C428" s="864"/>
      <c r="D428" s="90"/>
      <c r="E428" s="90"/>
      <c r="F428" s="90"/>
      <c r="G428" s="90"/>
      <c r="H428" s="90"/>
      <c r="I428" s="90"/>
      <c r="J428" s="90"/>
      <c r="K428" s="90"/>
      <c r="L428" s="90"/>
      <c r="M428" s="864"/>
      <c r="N428" s="864"/>
      <c r="O428" s="864"/>
      <c r="P428" s="864"/>
      <c r="Q428" s="864"/>
      <c r="R428" s="864"/>
      <c r="S428" s="864"/>
      <c r="T428" s="864"/>
      <c r="U428" s="864"/>
      <c r="V428" s="864"/>
      <c r="W428" s="864"/>
      <c r="X428" s="90"/>
      <c r="Y428" s="90"/>
      <c r="Z428" s="90"/>
    </row>
    <row r="429" ht="15.75" customHeight="1">
      <c r="A429" s="90"/>
      <c r="B429" s="90"/>
      <c r="C429" s="864"/>
      <c r="D429" s="90"/>
      <c r="E429" s="90"/>
      <c r="F429" s="90"/>
      <c r="G429" s="90"/>
      <c r="H429" s="90"/>
      <c r="I429" s="90"/>
      <c r="J429" s="90"/>
      <c r="K429" s="90"/>
      <c r="L429" s="90"/>
      <c r="M429" s="864"/>
      <c r="N429" s="864"/>
      <c r="O429" s="864"/>
      <c r="P429" s="864"/>
      <c r="Q429" s="864"/>
      <c r="R429" s="864"/>
      <c r="S429" s="864"/>
      <c r="T429" s="864"/>
      <c r="U429" s="864"/>
      <c r="V429" s="864"/>
      <c r="W429" s="864"/>
      <c r="X429" s="90"/>
      <c r="Y429" s="90"/>
      <c r="Z429" s="90"/>
    </row>
    <row r="430" ht="15.75" customHeight="1">
      <c r="A430" s="90"/>
      <c r="B430" s="90"/>
      <c r="C430" s="864"/>
      <c r="D430" s="90"/>
      <c r="E430" s="90"/>
      <c r="F430" s="90"/>
      <c r="G430" s="90"/>
      <c r="H430" s="90"/>
      <c r="I430" s="90"/>
      <c r="J430" s="90"/>
      <c r="K430" s="90"/>
      <c r="L430" s="90"/>
      <c r="M430" s="864"/>
      <c r="N430" s="864"/>
      <c r="O430" s="864"/>
      <c r="P430" s="864"/>
      <c r="Q430" s="864"/>
      <c r="R430" s="864"/>
      <c r="S430" s="864"/>
      <c r="T430" s="864"/>
      <c r="U430" s="864"/>
      <c r="V430" s="864"/>
      <c r="W430" s="864"/>
      <c r="X430" s="90"/>
      <c r="Y430" s="90"/>
      <c r="Z430" s="90"/>
    </row>
    <row r="431" ht="15.75" customHeight="1">
      <c r="A431" s="90"/>
      <c r="B431" s="90"/>
      <c r="C431" s="864"/>
      <c r="D431" s="90"/>
      <c r="E431" s="90"/>
      <c r="F431" s="90"/>
      <c r="G431" s="90"/>
      <c r="H431" s="90"/>
      <c r="I431" s="90"/>
      <c r="J431" s="90"/>
      <c r="K431" s="90"/>
      <c r="L431" s="90"/>
      <c r="M431" s="864"/>
      <c r="N431" s="864"/>
      <c r="O431" s="864"/>
      <c r="P431" s="864"/>
      <c r="Q431" s="864"/>
      <c r="R431" s="864"/>
      <c r="S431" s="864"/>
      <c r="T431" s="864"/>
      <c r="U431" s="864"/>
      <c r="V431" s="864"/>
      <c r="W431" s="864"/>
      <c r="X431" s="90"/>
      <c r="Y431" s="90"/>
      <c r="Z431" s="90"/>
    </row>
    <row r="432" ht="15.75" customHeight="1">
      <c r="A432" s="90"/>
      <c r="B432" s="90"/>
      <c r="C432" s="864"/>
      <c r="D432" s="90"/>
      <c r="E432" s="90"/>
      <c r="F432" s="90"/>
      <c r="G432" s="90"/>
      <c r="H432" s="90"/>
      <c r="I432" s="90"/>
      <c r="J432" s="90"/>
      <c r="K432" s="90"/>
      <c r="L432" s="90"/>
      <c r="M432" s="864"/>
      <c r="N432" s="864"/>
      <c r="O432" s="864"/>
      <c r="P432" s="864"/>
      <c r="Q432" s="864"/>
      <c r="R432" s="864"/>
      <c r="S432" s="864"/>
      <c r="T432" s="864"/>
      <c r="U432" s="864"/>
      <c r="V432" s="864"/>
      <c r="W432" s="864"/>
      <c r="X432" s="90"/>
      <c r="Y432" s="90"/>
      <c r="Z432" s="90"/>
    </row>
    <row r="433" ht="15.75" customHeight="1">
      <c r="A433" s="90"/>
      <c r="B433" s="90"/>
      <c r="C433" s="864"/>
      <c r="D433" s="90"/>
      <c r="E433" s="90"/>
      <c r="F433" s="90"/>
      <c r="G433" s="90"/>
      <c r="H433" s="90"/>
      <c r="I433" s="90"/>
      <c r="J433" s="90"/>
      <c r="K433" s="90"/>
      <c r="L433" s="90"/>
      <c r="M433" s="864"/>
      <c r="N433" s="864"/>
      <c r="O433" s="864"/>
      <c r="P433" s="864"/>
      <c r="Q433" s="864"/>
      <c r="R433" s="864"/>
      <c r="S433" s="864"/>
      <c r="T433" s="864"/>
      <c r="U433" s="864"/>
      <c r="V433" s="864"/>
      <c r="W433" s="864"/>
      <c r="X433" s="90"/>
      <c r="Y433" s="90"/>
      <c r="Z433" s="90"/>
    </row>
    <row r="434" ht="15.75" customHeight="1">
      <c r="A434" s="90"/>
      <c r="B434" s="90"/>
      <c r="C434" s="864"/>
      <c r="D434" s="90"/>
      <c r="E434" s="90"/>
      <c r="F434" s="90"/>
      <c r="G434" s="90"/>
      <c r="H434" s="90"/>
      <c r="I434" s="90"/>
      <c r="J434" s="90"/>
      <c r="K434" s="90"/>
      <c r="L434" s="90"/>
      <c r="M434" s="864"/>
      <c r="N434" s="864"/>
      <c r="O434" s="864"/>
      <c r="P434" s="864"/>
      <c r="Q434" s="864"/>
      <c r="R434" s="864"/>
      <c r="S434" s="864"/>
      <c r="T434" s="864"/>
      <c r="U434" s="864"/>
      <c r="V434" s="864"/>
      <c r="W434" s="864"/>
      <c r="X434" s="90"/>
      <c r="Y434" s="90"/>
      <c r="Z434" s="90"/>
    </row>
    <row r="435" ht="15.75" customHeight="1">
      <c r="A435" s="90"/>
      <c r="B435" s="90"/>
      <c r="C435" s="864"/>
      <c r="D435" s="90"/>
      <c r="E435" s="90"/>
      <c r="F435" s="90"/>
      <c r="G435" s="90"/>
      <c r="H435" s="90"/>
      <c r="I435" s="90"/>
      <c r="J435" s="90"/>
      <c r="K435" s="90"/>
      <c r="L435" s="90"/>
      <c r="M435" s="864"/>
      <c r="N435" s="864"/>
      <c r="O435" s="864"/>
      <c r="P435" s="864"/>
      <c r="Q435" s="864"/>
      <c r="R435" s="864"/>
      <c r="S435" s="864"/>
      <c r="T435" s="864"/>
      <c r="U435" s="864"/>
      <c r="V435" s="864"/>
      <c r="W435" s="864"/>
      <c r="X435" s="90"/>
      <c r="Y435" s="90"/>
      <c r="Z435" s="90"/>
    </row>
    <row r="436" ht="15.75" customHeight="1">
      <c r="A436" s="90"/>
      <c r="B436" s="90"/>
      <c r="C436" s="864"/>
      <c r="D436" s="90"/>
      <c r="E436" s="90"/>
      <c r="F436" s="90"/>
      <c r="G436" s="90"/>
      <c r="H436" s="90"/>
      <c r="I436" s="90"/>
      <c r="J436" s="90"/>
      <c r="K436" s="90"/>
      <c r="L436" s="90"/>
      <c r="M436" s="864"/>
      <c r="N436" s="864"/>
      <c r="O436" s="864"/>
      <c r="P436" s="864"/>
      <c r="Q436" s="864"/>
      <c r="R436" s="864"/>
      <c r="S436" s="864"/>
      <c r="T436" s="864"/>
      <c r="U436" s="864"/>
      <c r="V436" s="864"/>
      <c r="W436" s="864"/>
      <c r="X436" s="90"/>
      <c r="Y436" s="90"/>
      <c r="Z436" s="90"/>
    </row>
    <row r="437" ht="15.75" customHeight="1">
      <c r="A437" s="90"/>
      <c r="B437" s="90"/>
      <c r="C437" s="864"/>
      <c r="D437" s="90"/>
      <c r="E437" s="90"/>
      <c r="F437" s="90"/>
      <c r="G437" s="90"/>
      <c r="H437" s="90"/>
      <c r="I437" s="90"/>
      <c r="J437" s="90"/>
      <c r="K437" s="90"/>
      <c r="L437" s="90"/>
      <c r="M437" s="864"/>
      <c r="N437" s="864"/>
      <c r="O437" s="864"/>
      <c r="P437" s="864"/>
      <c r="Q437" s="864"/>
      <c r="R437" s="864"/>
      <c r="S437" s="864"/>
      <c r="T437" s="864"/>
      <c r="U437" s="864"/>
      <c r="V437" s="864"/>
      <c r="W437" s="864"/>
      <c r="X437" s="90"/>
      <c r="Y437" s="90"/>
      <c r="Z437" s="90"/>
    </row>
    <row r="438" ht="15.75" customHeight="1">
      <c r="A438" s="90"/>
      <c r="B438" s="90"/>
      <c r="C438" s="864"/>
      <c r="D438" s="90"/>
      <c r="E438" s="90"/>
      <c r="F438" s="90"/>
      <c r="G438" s="90"/>
      <c r="H438" s="90"/>
      <c r="I438" s="90"/>
      <c r="J438" s="90"/>
      <c r="K438" s="90"/>
      <c r="L438" s="90"/>
      <c r="M438" s="864"/>
      <c r="N438" s="864"/>
      <c r="O438" s="864"/>
      <c r="P438" s="864"/>
      <c r="Q438" s="864"/>
      <c r="R438" s="864"/>
      <c r="S438" s="864"/>
      <c r="T438" s="864"/>
      <c r="U438" s="864"/>
      <c r="V438" s="864"/>
      <c r="W438" s="864"/>
      <c r="X438" s="90"/>
      <c r="Y438" s="90"/>
      <c r="Z438" s="90"/>
    </row>
    <row r="439" ht="15.75" customHeight="1">
      <c r="A439" s="90"/>
      <c r="B439" s="90"/>
      <c r="C439" s="864"/>
      <c r="D439" s="90"/>
      <c r="E439" s="90"/>
      <c r="F439" s="90"/>
      <c r="G439" s="90"/>
      <c r="H439" s="90"/>
      <c r="I439" s="90"/>
      <c r="J439" s="90"/>
      <c r="K439" s="90"/>
      <c r="L439" s="90"/>
      <c r="M439" s="864"/>
      <c r="N439" s="864"/>
      <c r="O439" s="864"/>
      <c r="P439" s="864"/>
      <c r="Q439" s="864"/>
      <c r="R439" s="864"/>
      <c r="S439" s="864"/>
      <c r="T439" s="864"/>
      <c r="U439" s="864"/>
      <c r="V439" s="864"/>
      <c r="W439" s="864"/>
      <c r="X439" s="90"/>
      <c r="Y439" s="90"/>
      <c r="Z439" s="90"/>
    </row>
    <row r="440" ht="15.75" customHeight="1">
      <c r="A440" s="90"/>
      <c r="B440" s="90"/>
      <c r="C440" s="864"/>
      <c r="D440" s="90"/>
      <c r="E440" s="90"/>
      <c r="F440" s="90"/>
      <c r="G440" s="90"/>
      <c r="H440" s="90"/>
      <c r="I440" s="90"/>
      <c r="J440" s="90"/>
      <c r="K440" s="90"/>
      <c r="L440" s="90"/>
      <c r="M440" s="864"/>
      <c r="N440" s="864"/>
      <c r="O440" s="864"/>
      <c r="P440" s="864"/>
      <c r="Q440" s="864"/>
      <c r="R440" s="864"/>
      <c r="S440" s="864"/>
      <c r="T440" s="864"/>
      <c r="U440" s="864"/>
      <c r="V440" s="864"/>
      <c r="W440" s="864"/>
      <c r="X440" s="90"/>
      <c r="Y440" s="90"/>
      <c r="Z440" s="90"/>
    </row>
    <row r="441" ht="15.75" customHeight="1">
      <c r="A441" s="90"/>
      <c r="B441" s="90"/>
      <c r="C441" s="864"/>
      <c r="D441" s="90"/>
      <c r="E441" s="90"/>
      <c r="F441" s="90"/>
      <c r="G441" s="90"/>
      <c r="H441" s="90"/>
      <c r="I441" s="90"/>
      <c r="J441" s="90"/>
      <c r="K441" s="90"/>
      <c r="L441" s="90"/>
      <c r="M441" s="864"/>
      <c r="N441" s="864"/>
      <c r="O441" s="864"/>
      <c r="P441" s="864"/>
      <c r="Q441" s="864"/>
      <c r="R441" s="864"/>
      <c r="S441" s="864"/>
      <c r="T441" s="864"/>
      <c r="U441" s="864"/>
      <c r="V441" s="864"/>
      <c r="W441" s="864"/>
      <c r="X441" s="90"/>
      <c r="Y441" s="90"/>
      <c r="Z441" s="90"/>
    </row>
    <row r="442" ht="15.75" customHeight="1">
      <c r="A442" s="90"/>
      <c r="B442" s="90"/>
      <c r="C442" s="864"/>
      <c r="D442" s="90"/>
      <c r="E442" s="90"/>
      <c r="F442" s="90"/>
      <c r="G442" s="90"/>
      <c r="H442" s="90"/>
      <c r="I442" s="90"/>
      <c r="J442" s="90"/>
      <c r="K442" s="90"/>
      <c r="L442" s="90"/>
      <c r="M442" s="864"/>
      <c r="N442" s="864"/>
      <c r="O442" s="864"/>
      <c r="P442" s="864"/>
      <c r="Q442" s="864"/>
      <c r="R442" s="864"/>
      <c r="S442" s="864"/>
      <c r="T442" s="864"/>
      <c r="U442" s="864"/>
      <c r="V442" s="864"/>
      <c r="W442" s="864"/>
      <c r="X442" s="90"/>
      <c r="Y442" s="90"/>
      <c r="Z442" s="90"/>
    </row>
    <row r="443" ht="15.75" customHeight="1">
      <c r="A443" s="90"/>
      <c r="B443" s="90"/>
      <c r="C443" s="864"/>
      <c r="D443" s="90"/>
      <c r="E443" s="90"/>
      <c r="F443" s="90"/>
      <c r="G443" s="90"/>
      <c r="H443" s="90"/>
      <c r="I443" s="90"/>
      <c r="J443" s="90"/>
      <c r="K443" s="90"/>
      <c r="L443" s="90"/>
      <c r="M443" s="864"/>
      <c r="N443" s="864"/>
      <c r="O443" s="864"/>
      <c r="P443" s="864"/>
      <c r="Q443" s="864"/>
      <c r="R443" s="864"/>
      <c r="S443" s="864"/>
      <c r="T443" s="864"/>
      <c r="U443" s="864"/>
      <c r="V443" s="864"/>
      <c r="W443" s="864"/>
      <c r="X443" s="90"/>
      <c r="Y443" s="90"/>
      <c r="Z443" s="90"/>
    </row>
    <row r="444" ht="15.75" customHeight="1">
      <c r="A444" s="90"/>
      <c r="B444" s="90"/>
      <c r="C444" s="864"/>
      <c r="D444" s="90"/>
      <c r="E444" s="90"/>
      <c r="F444" s="90"/>
      <c r="G444" s="90"/>
      <c r="H444" s="90"/>
      <c r="I444" s="90"/>
      <c r="J444" s="90"/>
      <c r="K444" s="90"/>
      <c r="L444" s="90"/>
      <c r="M444" s="864"/>
      <c r="N444" s="864"/>
      <c r="O444" s="864"/>
      <c r="P444" s="864"/>
      <c r="Q444" s="864"/>
      <c r="R444" s="864"/>
      <c r="S444" s="864"/>
      <c r="T444" s="864"/>
      <c r="U444" s="864"/>
      <c r="V444" s="864"/>
      <c r="W444" s="864"/>
      <c r="X444" s="90"/>
      <c r="Y444" s="90"/>
      <c r="Z444" s="90"/>
    </row>
    <row r="445" ht="15.75" customHeight="1">
      <c r="A445" s="90"/>
      <c r="B445" s="90"/>
      <c r="C445" s="864"/>
      <c r="D445" s="90"/>
      <c r="E445" s="90"/>
      <c r="F445" s="90"/>
      <c r="G445" s="90"/>
      <c r="H445" s="90"/>
      <c r="I445" s="90"/>
      <c r="J445" s="90"/>
      <c r="K445" s="90"/>
      <c r="L445" s="90"/>
      <c r="M445" s="864"/>
      <c r="N445" s="864"/>
      <c r="O445" s="864"/>
      <c r="P445" s="864"/>
      <c r="Q445" s="864"/>
      <c r="R445" s="864"/>
      <c r="S445" s="864"/>
      <c r="T445" s="864"/>
      <c r="U445" s="864"/>
      <c r="V445" s="864"/>
      <c r="W445" s="864"/>
      <c r="X445" s="90"/>
      <c r="Y445" s="90"/>
      <c r="Z445" s="90"/>
    </row>
    <row r="446" ht="15.75" customHeight="1">
      <c r="A446" s="90"/>
      <c r="B446" s="90"/>
      <c r="C446" s="864"/>
      <c r="D446" s="90"/>
      <c r="E446" s="90"/>
      <c r="F446" s="90"/>
      <c r="G446" s="90"/>
      <c r="H446" s="90"/>
      <c r="I446" s="90"/>
      <c r="J446" s="90"/>
      <c r="K446" s="90"/>
      <c r="L446" s="90"/>
      <c r="M446" s="864"/>
      <c r="N446" s="864"/>
      <c r="O446" s="864"/>
      <c r="P446" s="864"/>
      <c r="Q446" s="864"/>
      <c r="R446" s="864"/>
      <c r="S446" s="864"/>
      <c r="T446" s="864"/>
      <c r="U446" s="864"/>
      <c r="V446" s="864"/>
      <c r="W446" s="864"/>
      <c r="X446" s="90"/>
      <c r="Y446" s="90"/>
      <c r="Z446" s="90"/>
    </row>
    <row r="447" ht="15.75" customHeight="1">
      <c r="A447" s="90"/>
      <c r="B447" s="90"/>
      <c r="C447" s="864"/>
      <c r="D447" s="90"/>
      <c r="E447" s="90"/>
      <c r="F447" s="90"/>
      <c r="G447" s="90"/>
      <c r="H447" s="90"/>
      <c r="I447" s="90"/>
      <c r="J447" s="90"/>
      <c r="K447" s="90"/>
      <c r="L447" s="90"/>
      <c r="M447" s="864"/>
      <c r="N447" s="864"/>
      <c r="O447" s="864"/>
      <c r="P447" s="864"/>
      <c r="Q447" s="864"/>
      <c r="R447" s="864"/>
      <c r="S447" s="864"/>
      <c r="T447" s="864"/>
      <c r="U447" s="864"/>
      <c r="V447" s="864"/>
      <c r="W447" s="864"/>
      <c r="X447" s="90"/>
      <c r="Y447" s="90"/>
      <c r="Z447" s="90"/>
    </row>
    <row r="448" ht="15.75" customHeight="1">
      <c r="A448" s="90"/>
      <c r="B448" s="90"/>
      <c r="C448" s="864"/>
      <c r="D448" s="90"/>
      <c r="E448" s="90"/>
      <c r="F448" s="90"/>
      <c r="G448" s="90"/>
      <c r="H448" s="90"/>
      <c r="I448" s="90"/>
      <c r="J448" s="90"/>
      <c r="K448" s="90"/>
      <c r="L448" s="90"/>
      <c r="M448" s="864"/>
      <c r="N448" s="864"/>
      <c r="O448" s="864"/>
      <c r="P448" s="864"/>
      <c r="Q448" s="864"/>
      <c r="R448" s="864"/>
      <c r="S448" s="864"/>
      <c r="T448" s="864"/>
      <c r="U448" s="864"/>
      <c r="V448" s="864"/>
      <c r="W448" s="864"/>
      <c r="X448" s="90"/>
      <c r="Y448" s="90"/>
      <c r="Z448" s="90"/>
    </row>
    <row r="449" ht="15.75" customHeight="1">
      <c r="A449" s="90"/>
      <c r="B449" s="90"/>
      <c r="C449" s="864"/>
      <c r="D449" s="90"/>
      <c r="E449" s="90"/>
      <c r="F449" s="90"/>
      <c r="G449" s="90"/>
      <c r="H449" s="90"/>
      <c r="I449" s="90"/>
      <c r="J449" s="90"/>
      <c r="K449" s="90"/>
      <c r="L449" s="90"/>
      <c r="M449" s="864"/>
      <c r="N449" s="864"/>
      <c r="O449" s="864"/>
      <c r="P449" s="864"/>
      <c r="Q449" s="864"/>
      <c r="R449" s="864"/>
      <c r="S449" s="864"/>
      <c r="T449" s="864"/>
      <c r="U449" s="864"/>
      <c r="V449" s="864"/>
      <c r="W449" s="864"/>
      <c r="X449" s="90"/>
      <c r="Y449" s="90"/>
      <c r="Z449" s="90"/>
    </row>
    <row r="450" ht="15.75" customHeight="1">
      <c r="A450" s="90"/>
      <c r="B450" s="90"/>
      <c r="C450" s="864"/>
      <c r="D450" s="90"/>
      <c r="E450" s="90"/>
      <c r="F450" s="90"/>
      <c r="G450" s="90"/>
      <c r="H450" s="90"/>
      <c r="I450" s="90"/>
      <c r="J450" s="90"/>
      <c r="K450" s="90"/>
      <c r="L450" s="90"/>
      <c r="M450" s="864"/>
      <c r="N450" s="864"/>
      <c r="O450" s="864"/>
      <c r="P450" s="864"/>
      <c r="Q450" s="864"/>
      <c r="R450" s="864"/>
      <c r="S450" s="864"/>
      <c r="T450" s="864"/>
      <c r="U450" s="864"/>
      <c r="V450" s="864"/>
      <c r="W450" s="864"/>
      <c r="X450" s="90"/>
      <c r="Y450" s="90"/>
      <c r="Z450" s="90"/>
    </row>
    <row r="451" ht="15.75" customHeight="1">
      <c r="A451" s="90"/>
      <c r="B451" s="90"/>
      <c r="C451" s="864"/>
      <c r="D451" s="90"/>
      <c r="E451" s="90"/>
      <c r="F451" s="90"/>
      <c r="G451" s="90"/>
      <c r="H451" s="90"/>
      <c r="I451" s="90"/>
      <c r="J451" s="90"/>
      <c r="K451" s="90"/>
      <c r="L451" s="90"/>
      <c r="M451" s="864"/>
      <c r="N451" s="864"/>
      <c r="O451" s="864"/>
      <c r="P451" s="864"/>
      <c r="Q451" s="864"/>
      <c r="R451" s="864"/>
      <c r="S451" s="864"/>
      <c r="T451" s="864"/>
      <c r="U451" s="864"/>
      <c r="V451" s="864"/>
      <c r="W451" s="864"/>
      <c r="X451" s="90"/>
      <c r="Y451" s="90"/>
      <c r="Z451" s="90"/>
    </row>
    <row r="452" ht="15.75" customHeight="1">
      <c r="A452" s="90"/>
      <c r="B452" s="90"/>
      <c r="C452" s="864"/>
      <c r="D452" s="90"/>
      <c r="E452" s="90"/>
      <c r="F452" s="90"/>
      <c r="G452" s="90"/>
      <c r="H452" s="90"/>
      <c r="I452" s="90"/>
      <c r="J452" s="90"/>
      <c r="K452" s="90"/>
      <c r="L452" s="90"/>
      <c r="M452" s="864"/>
      <c r="N452" s="864"/>
      <c r="O452" s="864"/>
      <c r="P452" s="864"/>
      <c r="Q452" s="864"/>
      <c r="R452" s="864"/>
      <c r="S452" s="864"/>
      <c r="T452" s="864"/>
      <c r="U452" s="864"/>
      <c r="V452" s="864"/>
      <c r="W452" s="864"/>
      <c r="X452" s="90"/>
      <c r="Y452" s="90"/>
      <c r="Z452" s="90"/>
    </row>
    <row r="453" ht="15.75" customHeight="1">
      <c r="A453" s="90"/>
      <c r="B453" s="90"/>
      <c r="C453" s="864"/>
      <c r="D453" s="90"/>
      <c r="E453" s="90"/>
      <c r="F453" s="90"/>
      <c r="G453" s="90"/>
      <c r="H453" s="90"/>
      <c r="I453" s="90"/>
      <c r="J453" s="90"/>
      <c r="K453" s="90"/>
      <c r="L453" s="90"/>
      <c r="M453" s="864"/>
      <c r="N453" s="864"/>
      <c r="O453" s="864"/>
      <c r="P453" s="864"/>
      <c r="Q453" s="864"/>
      <c r="R453" s="864"/>
      <c r="S453" s="864"/>
      <c r="T453" s="864"/>
      <c r="U453" s="864"/>
      <c r="V453" s="864"/>
      <c r="W453" s="864"/>
      <c r="X453" s="90"/>
      <c r="Y453" s="90"/>
      <c r="Z453" s="90"/>
    </row>
    <row r="454" ht="15.75" customHeight="1">
      <c r="A454" s="90"/>
      <c r="B454" s="90"/>
      <c r="C454" s="864"/>
      <c r="D454" s="90"/>
      <c r="E454" s="90"/>
      <c r="F454" s="90"/>
      <c r="G454" s="90"/>
      <c r="H454" s="90"/>
      <c r="I454" s="90"/>
      <c r="J454" s="90"/>
      <c r="K454" s="90"/>
      <c r="L454" s="90"/>
      <c r="M454" s="864"/>
      <c r="N454" s="864"/>
      <c r="O454" s="864"/>
      <c r="P454" s="864"/>
      <c r="Q454" s="864"/>
      <c r="R454" s="864"/>
      <c r="S454" s="864"/>
      <c r="T454" s="864"/>
      <c r="U454" s="864"/>
      <c r="V454" s="864"/>
      <c r="W454" s="864"/>
      <c r="X454" s="90"/>
      <c r="Y454" s="90"/>
      <c r="Z454" s="90"/>
    </row>
    <row r="455" ht="15.75" customHeight="1">
      <c r="A455" s="90"/>
      <c r="B455" s="90"/>
      <c r="C455" s="864"/>
      <c r="D455" s="90"/>
      <c r="E455" s="90"/>
      <c r="F455" s="90"/>
      <c r="G455" s="90"/>
      <c r="H455" s="90"/>
      <c r="I455" s="90"/>
      <c r="J455" s="90"/>
      <c r="K455" s="90"/>
      <c r="L455" s="90"/>
      <c r="M455" s="864"/>
      <c r="N455" s="864"/>
      <c r="O455" s="864"/>
      <c r="P455" s="864"/>
      <c r="Q455" s="864"/>
      <c r="R455" s="864"/>
      <c r="S455" s="864"/>
      <c r="T455" s="864"/>
      <c r="U455" s="864"/>
      <c r="V455" s="864"/>
      <c r="W455" s="864"/>
      <c r="X455" s="90"/>
      <c r="Y455" s="90"/>
      <c r="Z455" s="90"/>
    </row>
    <row r="456" ht="15.75" customHeight="1">
      <c r="A456" s="90"/>
      <c r="B456" s="90"/>
      <c r="C456" s="864"/>
      <c r="D456" s="90"/>
      <c r="E456" s="90"/>
      <c r="F456" s="90"/>
      <c r="G456" s="90"/>
      <c r="H456" s="90"/>
      <c r="I456" s="90"/>
      <c r="J456" s="90"/>
      <c r="K456" s="90"/>
      <c r="L456" s="90"/>
      <c r="M456" s="864"/>
      <c r="N456" s="864"/>
      <c r="O456" s="864"/>
      <c r="P456" s="864"/>
      <c r="Q456" s="864"/>
      <c r="R456" s="864"/>
      <c r="S456" s="864"/>
      <c r="T456" s="864"/>
      <c r="U456" s="864"/>
      <c r="V456" s="864"/>
      <c r="W456" s="864"/>
      <c r="X456" s="90"/>
      <c r="Y456" s="90"/>
      <c r="Z456" s="90"/>
    </row>
    <row r="457" ht="15.75" customHeight="1">
      <c r="A457" s="90"/>
      <c r="B457" s="90"/>
      <c r="C457" s="864"/>
      <c r="D457" s="90"/>
      <c r="E457" s="90"/>
      <c r="F457" s="90"/>
      <c r="G457" s="90"/>
      <c r="H457" s="90"/>
      <c r="I457" s="90"/>
      <c r="J457" s="90"/>
      <c r="K457" s="90"/>
      <c r="L457" s="90"/>
      <c r="M457" s="864"/>
      <c r="N457" s="864"/>
      <c r="O457" s="864"/>
      <c r="P457" s="864"/>
      <c r="Q457" s="864"/>
      <c r="R457" s="864"/>
      <c r="S457" s="864"/>
      <c r="T457" s="864"/>
      <c r="U457" s="864"/>
      <c r="V457" s="864"/>
      <c r="W457" s="864"/>
      <c r="X457" s="90"/>
      <c r="Y457" s="90"/>
      <c r="Z457" s="90"/>
    </row>
    <row r="458" ht="15.75" customHeight="1">
      <c r="A458" s="90"/>
      <c r="B458" s="90"/>
      <c r="C458" s="864"/>
      <c r="D458" s="90"/>
      <c r="E458" s="90"/>
      <c r="F458" s="90"/>
      <c r="G458" s="90"/>
      <c r="H458" s="90"/>
      <c r="I458" s="90"/>
      <c r="J458" s="90"/>
      <c r="K458" s="90"/>
      <c r="L458" s="90"/>
      <c r="M458" s="864"/>
      <c r="N458" s="864"/>
      <c r="O458" s="864"/>
      <c r="P458" s="864"/>
      <c r="Q458" s="864"/>
      <c r="R458" s="864"/>
      <c r="S458" s="864"/>
      <c r="T458" s="864"/>
      <c r="U458" s="864"/>
      <c r="V458" s="864"/>
      <c r="W458" s="864"/>
      <c r="X458" s="90"/>
      <c r="Y458" s="90"/>
      <c r="Z458" s="90"/>
    </row>
    <row r="459" ht="15.75" customHeight="1">
      <c r="A459" s="90"/>
      <c r="B459" s="90"/>
      <c r="C459" s="864"/>
      <c r="D459" s="90"/>
      <c r="E459" s="90"/>
      <c r="F459" s="90"/>
      <c r="G459" s="90"/>
      <c r="H459" s="90"/>
      <c r="I459" s="90"/>
      <c r="J459" s="90"/>
      <c r="K459" s="90"/>
      <c r="L459" s="90"/>
      <c r="M459" s="864"/>
      <c r="N459" s="864"/>
      <c r="O459" s="864"/>
      <c r="P459" s="864"/>
      <c r="Q459" s="864"/>
      <c r="R459" s="864"/>
      <c r="S459" s="864"/>
      <c r="T459" s="864"/>
      <c r="U459" s="864"/>
      <c r="V459" s="864"/>
      <c r="W459" s="864"/>
      <c r="X459" s="90"/>
      <c r="Y459" s="90"/>
      <c r="Z459" s="90"/>
    </row>
    <row r="460" ht="15.75" customHeight="1">
      <c r="A460" s="90"/>
      <c r="B460" s="90"/>
      <c r="C460" s="864"/>
      <c r="D460" s="90"/>
      <c r="E460" s="90"/>
      <c r="F460" s="90"/>
      <c r="G460" s="90"/>
      <c r="H460" s="90"/>
      <c r="I460" s="90"/>
      <c r="J460" s="90"/>
      <c r="K460" s="90"/>
      <c r="L460" s="90"/>
      <c r="M460" s="864"/>
      <c r="N460" s="864"/>
      <c r="O460" s="864"/>
      <c r="P460" s="864"/>
      <c r="Q460" s="864"/>
      <c r="R460" s="864"/>
      <c r="S460" s="864"/>
      <c r="T460" s="864"/>
      <c r="U460" s="864"/>
      <c r="V460" s="864"/>
      <c r="W460" s="864"/>
      <c r="X460" s="90"/>
      <c r="Y460" s="90"/>
      <c r="Z460" s="90"/>
    </row>
    <row r="461" ht="15.75" customHeight="1">
      <c r="A461" s="90"/>
      <c r="B461" s="90"/>
      <c r="C461" s="864"/>
      <c r="D461" s="90"/>
      <c r="E461" s="90"/>
      <c r="F461" s="90"/>
      <c r="G461" s="90"/>
      <c r="H461" s="90"/>
      <c r="I461" s="90"/>
      <c r="J461" s="90"/>
      <c r="K461" s="90"/>
      <c r="L461" s="90"/>
      <c r="M461" s="864"/>
      <c r="N461" s="864"/>
      <c r="O461" s="864"/>
      <c r="P461" s="864"/>
      <c r="Q461" s="864"/>
      <c r="R461" s="864"/>
      <c r="S461" s="864"/>
      <c r="T461" s="864"/>
      <c r="U461" s="864"/>
      <c r="V461" s="864"/>
      <c r="W461" s="864"/>
      <c r="X461" s="90"/>
      <c r="Y461" s="90"/>
      <c r="Z461" s="90"/>
    </row>
    <row r="462" ht="15.75" customHeight="1">
      <c r="A462" s="90"/>
      <c r="B462" s="90"/>
      <c r="C462" s="864"/>
      <c r="D462" s="90"/>
      <c r="E462" s="90"/>
      <c r="F462" s="90"/>
      <c r="G462" s="90"/>
      <c r="H462" s="90"/>
      <c r="I462" s="90"/>
      <c r="J462" s="90"/>
      <c r="K462" s="90"/>
      <c r="L462" s="90"/>
      <c r="M462" s="864"/>
      <c r="N462" s="864"/>
      <c r="O462" s="864"/>
      <c r="P462" s="864"/>
      <c r="Q462" s="864"/>
      <c r="R462" s="864"/>
      <c r="S462" s="864"/>
      <c r="T462" s="864"/>
      <c r="U462" s="864"/>
      <c r="V462" s="864"/>
      <c r="W462" s="864"/>
      <c r="X462" s="90"/>
      <c r="Y462" s="90"/>
      <c r="Z462" s="90"/>
    </row>
    <row r="463" ht="15.75" customHeight="1">
      <c r="A463" s="90"/>
      <c r="B463" s="90"/>
      <c r="C463" s="864"/>
      <c r="D463" s="90"/>
      <c r="E463" s="90"/>
      <c r="F463" s="90"/>
      <c r="G463" s="90"/>
      <c r="H463" s="90"/>
      <c r="I463" s="90"/>
      <c r="J463" s="90"/>
      <c r="K463" s="90"/>
      <c r="L463" s="90"/>
      <c r="M463" s="864"/>
      <c r="N463" s="864"/>
      <c r="O463" s="864"/>
      <c r="P463" s="864"/>
      <c r="Q463" s="864"/>
      <c r="R463" s="864"/>
      <c r="S463" s="864"/>
      <c r="T463" s="864"/>
      <c r="U463" s="864"/>
      <c r="V463" s="864"/>
      <c r="W463" s="864"/>
      <c r="X463" s="90"/>
      <c r="Y463" s="90"/>
      <c r="Z463" s="90"/>
    </row>
    <row r="464" ht="15.75" customHeight="1">
      <c r="A464" s="90"/>
      <c r="B464" s="90"/>
      <c r="C464" s="864"/>
      <c r="D464" s="90"/>
      <c r="E464" s="90"/>
      <c r="F464" s="90"/>
      <c r="G464" s="90"/>
      <c r="H464" s="90"/>
      <c r="I464" s="90"/>
      <c r="J464" s="90"/>
      <c r="K464" s="90"/>
      <c r="L464" s="90"/>
      <c r="M464" s="864"/>
      <c r="N464" s="864"/>
      <c r="O464" s="864"/>
      <c r="P464" s="864"/>
      <c r="Q464" s="864"/>
      <c r="R464" s="864"/>
      <c r="S464" s="864"/>
      <c r="T464" s="864"/>
      <c r="U464" s="864"/>
      <c r="V464" s="864"/>
      <c r="W464" s="864"/>
      <c r="X464" s="90"/>
      <c r="Y464" s="90"/>
      <c r="Z464" s="90"/>
    </row>
    <row r="465" ht="15.75" customHeight="1">
      <c r="A465" s="90"/>
      <c r="B465" s="90"/>
      <c r="C465" s="864"/>
      <c r="D465" s="90"/>
      <c r="E465" s="90"/>
      <c r="F465" s="90"/>
      <c r="G465" s="90"/>
      <c r="H465" s="90"/>
      <c r="I465" s="90"/>
      <c r="J465" s="90"/>
      <c r="K465" s="90"/>
      <c r="L465" s="90"/>
      <c r="M465" s="864"/>
      <c r="N465" s="864"/>
      <c r="O465" s="864"/>
      <c r="P465" s="864"/>
      <c r="Q465" s="864"/>
      <c r="R465" s="864"/>
      <c r="S465" s="864"/>
      <c r="T465" s="864"/>
      <c r="U465" s="864"/>
      <c r="V465" s="864"/>
      <c r="W465" s="864"/>
      <c r="X465" s="90"/>
      <c r="Y465" s="90"/>
      <c r="Z465" s="90"/>
    </row>
    <row r="466" ht="15.75" customHeight="1">
      <c r="A466" s="90"/>
      <c r="B466" s="90"/>
      <c r="C466" s="864"/>
      <c r="D466" s="90"/>
      <c r="E466" s="90"/>
      <c r="F466" s="90"/>
      <c r="G466" s="90"/>
      <c r="H466" s="90"/>
      <c r="I466" s="90"/>
      <c r="J466" s="90"/>
      <c r="K466" s="90"/>
      <c r="L466" s="90"/>
      <c r="M466" s="864"/>
      <c r="N466" s="864"/>
      <c r="O466" s="864"/>
      <c r="P466" s="864"/>
      <c r="Q466" s="864"/>
      <c r="R466" s="864"/>
      <c r="S466" s="864"/>
      <c r="T466" s="864"/>
      <c r="U466" s="864"/>
      <c r="V466" s="864"/>
      <c r="W466" s="864"/>
      <c r="X466" s="90"/>
      <c r="Y466" s="90"/>
      <c r="Z466" s="90"/>
    </row>
    <row r="467" ht="15.75" customHeight="1">
      <c r="A467" s="90"/>
      <c r="B467" s="90"/>
      <c r="C467" s="864"/>
      <c r="D467" s="90"/>
      <c r="E467" s="90"/>
      <c r="F467" s="90"/>
      <c r="G467" s="90"/>
      <c r="H467" s="90"/>
      <c r="I467" s="90"/>
      <c r="J467" s="90"/>
      <c r="K467" s="90"/>
      <c r="L467" s="90"/>
      <c r="M467" s="864"/>
      <c r="N467" s="864"/>
      <c r="O467" s="864"/>
      <c r="P467" s="864"/>
      <c r="Q467" s="864"/>
      <c r="R467" s="864"/>
      <c r="S467" s="864"/>
      <c r="T467" s="864"/>
      <c r="U467" s="864"/>
      <c r="V467" s="864"/>
      <c r="W467" s="864"/>
      <c r="X467" s="90"/>
      <c r="Y467" s="90"/>
      <c r="Z467" s="90"/>
    </row>
    <row r="468" ht="15.75" customHeight="1">
      <c r="A468" s="90"/>
      <c r="B468" s="90"/>
      <c r="C468" s="864"/>
      <c r="D468" s="90"/>
      <c r="E468" s="90"/>
      <c r="F468" s="90"/>
      <c r="G468" s="90"/>
      <c r="H468" s="90"/>
      <c r="I468" s="90"/>
      <c r="J468" s="90"/>
      <c r="K468" s="90"/>
      <c r="L468" s="90"/>
      <c r="M468" s="864"/>
      <c r="N468" s="864"/>
      <c r="O468" s="864"/>
      <c r="P468" s="864"/>
      <c r="Q468" s="864"/>
      <c r="R468" s="864"/>
      <c r="S468" s="864"/>
      <c r="T468" s="864"/>
      <c r="U468" s="864"/>
      <c r="V468" s="864"/>
      <c r="W468" s="864"/>
      <c r="X468" s="90"/>
      <c r="Y468" s="90"/>
      <c r="Z468" s="90"/>
    </row>
    <row r="469" ht="15.75" customHeight="1">
      <c r="A469" s="90"/>
      <c r="B469" s="90"/>
      <c r="C469" s="864"/>
      <c r="D469" s="90"/>
      <c r="E469" s="90"/>
      <c r="F469" s="90"/>
      <c r="G469" s="90"/>
      <c r="H469" s="90"/>
      <c r="I469" s="90"/>
      <c r="J469" s="90"/>
      <c r="K469" s="90"/>
      <c r="L469" s="90"/>
      <c r="M469" s="864"/>
      <c r="N469" s="864"/>
      <c r="O469" s="864"/>
      <c r="P469" s="864"/>
      <c r="Q469" s="864"/>
      <c r="R469" s="864"/>
      <c r="S469" s="864"/>
      <c r="T469" s="864"/>
      <c r="U469" s="864"/>
      <c r="V469" s="864"/>
      <c r="W469" s="864"/>
      <c r="X469" s="90"/>
      <c r="Y469" s="90"/>
      <c r="Z469" s="90"/>
    </row>
    <row r="470" ht="15.75" customHeight="1">
      <c r="A470" s="90"/>
      <c r="B470" s="90"/>
      <c r="C470" s="864"/>
      <c r="D470" s="90"/>
      <c r="E470" s="90"/>
      <c r="F470" s="90"/>
      <c r="G470" s="90"/>
      <c r="H470" s="90"/>
      <c r="I470" s="90"/>
      <c r="J470" s="90"/>
      <c r="K470" s="90"/>
      <c r="L470" s="90"/>
      <c r="M470" s="864"/>
      <c r="N470" s="864"/>
      <c r="O470" s="864"/>
      <c r="P470" s="864"/>
      <c r="Q470" s="864"/>
      <c r="R470" s="864"/>
      <c r="S470" s="864"/>
      <c r="T470" s="864"/>
      <c r="U470" s="864"/>
      <c r="V470" s="864"/>
      <c r="W470" s="864"/>
      <c r="X470" s="90"/>
      <c r="Y470" s="90"/>
      <c r="Z470" s="90"/>
    </row>
    <row r="471" ht="15.75" customHeight="1">
      <c r="A471" s="90"/>
      <c r="B471" s="90"/>
      <c r="C471" s="864"/>
      <c r="D471" s="90"/>
      <c r="E471" s="90"/>
      <c r="F471" s="90"/>
      <c r="G471" s="90"/>
      <c r="H471" s="90"/>
      <c r="I471" s="90"/>
      <c r="J471" s="90"/>
      <c r="K471" s="90"/>
      <c r="L471" s="90"/>
      <c r="M471" s="864"/>
      <c r="N471" s="864"/>
      <c r="O471" s="864"/>
      <c r="P471" s="864"/>
      <c r="Q471" s="864"/>
      <c r="R471" s="864"/>
      <c r="S471" s="864"/>
      <c r="T471" s="864"/>
      <c r="U471" s="864"/>
      <c r="V471" s="864"/>
      <c r="W471" s="864"/>
      <c r="X471" s="90"/>
      <c r="Y471" s="90"/>
      <c r="Z471" s="90"/>
    </row>
    <row r="472" ht="15.75" customHeight="1">
      <c r="A472" s="90"/>
      <c r="B472" s="90"/>
      <c r="C472" s="864"/>
      <c r="D472" s="90"/>
      <c r="E472" s="90"/>
      <c r="F472" s="90"/>
      <c r="G472" s="90"/>
      <c r="H472" s="90"/>
      <c r="I472" s="90"/>
      <c r="J472" s="90"/>
      <c r="K472" s="90"/>
      <c r="L472" s="90"/>
      <c r="M472" s="864"/>
      <c r="N472" s="864"/>
      <c r="O472" s="864"/>
      <c r="P472" s="864"/>
      <c r="Q472" s="864"/>
      <c r="R472" s="864"/>
      <c r="S472" s="864"/>
      <c r="T472" s="864"/>
      <c r="U472" s="864"/>
      <c r="V472" s="864"/>
      <c r="W472" s="864"/>
      <c r="X472" s="90"/>
      <c r="Y472" s="90"/>
      <c r="Z472" s="90"/>
    </row>
    <row r="473" ht="15.75" customHeight="1">
      <c r="A473" s="90"/>
      <c r="B473" s="90"/>
      <c r="C473" s="864"/>
      <c r="D473" s="90"/>
      <c r="E473" s="90"/>
      <c r="F473" s="90"/>
      <c r="G473" s="90"/>
      <c r="H473" s="90"/>
      <c r="I473" s="90"/>
      <c r="J473" s="90"/>
      <c r="K473" s="90"/>
      <c r="L473" s="90"/>
      <c r="M473" s="864"/>
      <c r="N473" s="864"/>
      <c r="O473" s="864"/>
      <c r="P473" s="864"/>
      <c r="Q473" s="864"/>
      <c r="R473" s="864"/>
      <c r="S473" s="864"/>
      <c r="T473" s="864"/>
      <c r="U473" s="864"/>
      <c r="V473" s="864"/>
      <c r="W473" s="864"/>
      <c r="X473" s="90"/>
      <c r="Y473" s="90"/>
      <c r="Z473" s="90"/>
    </row>
    <row r="474" ht="15.75" customHeight="1">
      <c r="A474" s="90"/>
      <c r="B474" s="90"/>
      <c r="C474" s="864"/>
      <c r="D474" s="90"/>
      <c r="E474" s="90"/>
      <c r="F474" s="90"/>
      <c r="G474" s="90"/>
      <c r="H474" s="90"/>
      <c r="I474" s="90"/>
      <c r="J474" s="90"/>
      <c r="K474" s="90"/>
      <c r="L474" s="90"/>
      <c r="M474" s="864"/>
      <c r="N474" s="864"/>
      <c r="O474" s="864"/>
      <c r="P474" s="864"/>
      <c r="Q474" s="864"/>
      <c r="R474" s="864"/>
      <c r="S474" s="864"/>
      <c r="T474" s="864"/>
      <c r="U474" s="864"/>
      <c r="V474" s="864"/>
      <c r="W474" s="864"/>
      <c r="X474" s="90"/>
      <c r="Y474" s="90"/>
      <c r="Z474" s="90"/>
    </row>
    <row r="475" ht="15.75" customHeight="1">
      <c r="A475" s="90"/>
      <c r="B475" s="90"/>
      <c r="C475" s="864"/>
      <c r="D475" s="90"/>
      <c r="E475" s="90"/>
      <c r="F475" s="90"/>
      <c r="G475" s="90"/>
      <c r="H475" s="90"/>
      <c r="I475" s="90"/>
      <c r="J475" s="90"/>
      <c r="K475" s="90"/>
      <c r="L475" s="90"/>
      <c r="M475" s="864"/>
      <c r="N475" s="864"/>
      <c r="O475" s="864"/>
      <c r="P475" s="864"/>
      <c r="Q475" s="864"/>
      <c r="R475" s="864"/>
      <c r="S475" s="864"/>
      <c r="T475" s="864"/>
      <c r="U475" s="864"/>
      <c r="V475" s="864"/>
      <c r="W475" s="864"/>
      <c r="X475" s="90"/>
      <c r="Y475" s="90"/>
      <c r="Z475" s="90"/>
    </row>
    <row r="476" ht="15.75" customHeight="1">
      <c r="A476" s="90"/>
      <c r="B476" s="90"/>
      <c r="C476" s="864"/>
      <c r="D476" s="90"/>
      <c r="E476" s="90"/>
      <c r="F476" s="90"/>
      <c r="G476" s="90"/>
      <c r="H476" s="90"/>
      <c r="I476" s="90"/>
      <c r="J476" s="90"/>
      <c r="K476" s="90"/>
      <c r="L476" s="90"/>
      <c r="M476" s="864"/>
      <c r="N476" s="864"/>
      <c r="O476" s="864"/>
      <c r="P476" s="864"/>
      <c r="Q476" s="864"/>
      <c r="R476" s="864"/>
      <c r="S476" s="864"/>
      <c r="T476" s="864"/>
      <c r="U476" s="864"/>
      <c r="V476" s="864"/>
      <c r="W476" s="864"/>
      <c r="X476" s="90"/>
      <c r="Y476" s="90"/>
      <c r="Z476" s="90"/>
    </row>
    <row r="477" ht="15.75" customHeight="1">
      <c r="A477" s="90"/>
      <c r="B477" s="90"/>
      <c r="C477" s="864"/>
      <c r="D477" s="90"/>
      <c r="E477" s="90"/>
      <c r="F477" s="90"/>
      <c r="G477" s="90"/>
      <c r="H477" s="90"/>
      <c r="I477" s="90"/>
      <c r="J477" s="90"/>
      <c r="K477" s="90"/>
      <c r="L477" s="90"/>
      <c r="M477" s="864"/>
      <c r="N477" s="864"/>
      <c r="O477" s="864"/>
      <c r="P477" s="864"/>
      <c r="Q477" s="864"/>
      <c r="R477" s="864"/>
      <c r="S477" s="864"/>
      <c r="T477" s="864"/>
      <c r="U477" s="864"/>
      <c r="V477" s="864"/>
      <c r="W477" s="864"/>
      <c r="X477" s="90"/>
      <c r="Y477" s="90"/>
      <c r="Z477" s="90"/>
    </row>
    <row r="478" ht="15.75" customHeight="1">
      <c r="A478" s="90"/>
      <c r="B478" s="90"/>
      <c r="C478" s="864"/>
      <c r="D478" s="90"/>
      <c r="E478" s="90"/>
      <c r="F478" s="90"/>
      <c r="G478" s="90"/>
      <c r="H478" s="90"/>
      <c r="I478" s="90"/>
      <c r="J478" s="90"/>
      <c r="K478" s="90"/>
      <c r="L478" s="90"/>
      <c r="M478" s="864"/>
      <c r="N478" s="864"/>
      <c r="O478" s="864"/>
      <c r="P478" s="864"/>
      <c r="Q478" s="864"/>
      <c r="R478" s="864"/>
      <c r="S478" s="864"/>
      <c r="T478" s="864"/>
      <c r="U478" s="864"/>
      <c r="V478" s="864"/>
      <c r="W478" s="864"/>
      <c r="X478" s="90"/>
      <c r="Y478" s="90"/>
      <c r="Z478" s="90"/>
    </row>
    <row r="479" ht="15.75" customHeight="1">
      <c r="A479" s="90"/>
      <c r="B479" s="90"/>
      <c r="C479" s="864"/>
      <c r="D479" s="90"/>
      <c r="E479" s="90"/>
      <c r="F479" s="90"/>
      <c r="G479" s="90"/>
      <c r="H479" s="90"/>
      <c r="I479" s="90"/>
      <c r="J479" s="90"/>
      <c r="K479" s="90"/>
      <c r="L479" s="90"/>
      <c r="M479" s="864"/>
      <c r="N479" s="864"/>
      <c r="O479" s="864"/>
      <c r="P479" s="864"/>
      <c r="Q479" s="864"/>
      <c r="R479" s="864"/>
      <c r="S479" s="864"/>
      <c r="T479" s="864"/>
      <c r="U479" s="864"/>
      <c r="V479" s="864"/>
      <c r="W479" s="864"/>
      <c r="X479" s="90"/>
      <c r="Y479" s="90"/>
      <c r="Z479" s="90"/>
    </row>
    <row r="480" ht="15.75" customHeight="1">
      <c r="A480" s="90"/>
      <c r="B480" s="90"/>
      <c r="C480" s="864"/>
      <c r="D480" s="90"/>
      <c r="E480" s="90"/>
      <c r="F480" s="90"/>
      <c r="G480" s="90"/>
      <c r="H480" s="90"/>
      <c r="I480" s="90"/>
      <c r="J480" s="90"/>
      <c r="K480" s="90"/>
      <c r="L480" s="90"/>
      <c r="M480" s="864"/>
      <c r="N480" s="864"/>
      <c r="O480" s="864"/>
      <c r="P480" s="864"/>
      <c r="Q480" s="864"/>
      <c r="R480" s="864"/>
      <c r="S480" s="864"/>
      <c r="T480" s="864"/>
      <c r="U480" s="864"/>
      <c r="V480" s="864"/>
      <c r="W480" s="864"/>
      <c r="X480" s="90"/>
      <c r="Y480" s="90"/>
      <c r="Z480" s="90"/>
    </row>
    <row r="481" ht="15.75" customHeight="1">
      <c r="A481" s="90"/>
      <c r="B481" s="90"/>
      <c r="C481" s="864"/>
      <c r="D481" s="90"/>
      <c r="E481" s="90"/>
      <c r="F481" s="90"/>
      <c r="G481" s="90"/>
      <c r="H481" s="90"/>
      <c r="I481" s="90"/>
      <c r="J481" s="90"/>
      <c r="K481" s="90"/>
      <c r="L481" s="90"/>
      <c r="M481" s="864"/>
      <c r="N481" s="864"/>
      <c r="O481" s="864"/>
      <c r="P481" s="864"/>
      <c r="Q481" s="864"/>
      <c r="R481" s="864"/>
      <c r="S481" s="864"/>
      <c r="T481" s="864"/>
      <c r="U481" s="864"/>
      <c r="V481" s="864"/>
      <c r="W481" s="864"/>
      <c r="X481" s="90"/>
      <c r="Y481" s="90"/>
      <c r="Z481" s="90"/>
    </row>
    <row r="482" ht="15.75" customHeight="1">
      <c r="A482" s="90"/>
      <c r="B482" s="90"/>
      <c r="C482" s="864"/>
      <c r="D482" s="90"/>
      <c r="E482" s="90"/>
      <c r="F482" s="90"/>
      <c r="G482" s="90"/>
      <c r="H482" s="90"/>
      <c r="I482" s="90"/>
      <c r="J482" s="90"/>
      <c r="K482" s="90"/>
      <c r="L482" s="90"/>
      <c r="M482" s="864"/>
      <c r="N482" s="864"/>
      <c r="O482" s="864"/>
      <c r="P482" s="864"/>
      <c r="Q482" s="864"/>
      <c r="R482" s="864"/>
      <c r="S482" s="864"/>
      <c r="T482" s="864"/>
      <c r="U482" s="864"/>
      <c r="V482" s="864"/>
      <c r="W482" s="864"/>
      <c r="X482" s="90"/>
      <c r="Y482" s="90"/>
      <c r="Z482" s="90"/>
    </row>
    <row r="483" ht="15.75" customHeight="1">
      <c r="A483" s="90"/>
      <c r="B483" s="90"/>
      <c r="C483" s="864"/>
      <c r="D483" s="90"/>
      <c r="E483" s="90"/>
      <c r="F483" s="90"/>
      <c r="G483" s="90"/>
      <c r="H483" s="90"/>
      <c r="I483" s="90"/>
      <c r="J483" s="90"/>
      <c r="K483" s="90"/>
      <c r="L483" s="90"/>
      <c r="M483" s="864"/>
      <c r="N483" s="864"/>
      <c r="O483" s="864"/>
      <c r="P483" s="864"/>
      <c r="Q483" s="864"/>
      <c r="R483" s="864"/>
      <c r="S483" s="864"/>
      <c r="T483" s="864"/>
      <c r="U483" s="864"/>
      <c r="V483" s="864"/>
      <c r="W483" s="864"/>
      <c r="X483" s="90"/>
      <c r="Y483" s="90"/>
      <c r="Z483" s="90"/>
    </row>
    <row r="484" ht="15.75" customHeight="1">
      <c r="A484" s="90"/>
      <c r="B484" s="90"/>
      <c r="C484" s="864"/>
      <c r="D484" s="90"/>
      <c r="E484" s="90"/>
      <c r="F484" s="90"/>
      <c r="G484" s="90"/>
      <c r="H484" s="90"/>
      <c r="I484" s="90"/>
      <c r="J484" s="90"/>
      <c r="K484" s="90"/>
      <c r="L484" s="90"/>
      <c r="M484" s="864"/>
      <c r="N484" s="864"/>
      <c r="O484" s="864"/>
      <c r="P484" s="864"/>
      <c r="Q484" s="864"/>
      <c r="R484" s="864"/>
      <c r="S484" s="864"/>
      <c r="T484" s="864"/>
      <c r="U484" s="864"/>
      <c r="V484" s="864"/>
      <c r="W484" s="864"/>
      <c r="X484" s="90"/>
      <c r="Y484" s="90"/>
      <c r="Z484" s="90"/>
    </row>
    <row r="485" ht="15.75" customHeight="1">
      <c r="A485" s="90"/>
      <c r="B485" s="90"/>
      <c r="C485" s="864"/>
      <c r="D485" s="90"/>
      <c r="E485" s="90"/>
      <c r="F485" s="90"/>
      <c r="G485" s="90"/>
      <c r="H485" s="90"/>
      <c r="I485" s="90"/>
      <c r="J485" s="90"/>
      <c r="K485" s="90"/>
      <c r="L485" s="90"/>
      <c r="M485" s="864"/>
      <c r="N485" s="864"/>
      <c r="O485" s="864"/>
      <c r="P485" s="864"/>
      <c r="Q485" s="864"/>
      <c r="R485" s="864"/>
      <c r="S485" s="864"/>
      <c r="T485" s="864"/>
      <c r="U485" s="864"/>
      <c r="V485" s="864"/>
      <c r="W485" s="864"/>
      <c r="X485" s="90"/>
      <c r="Y485" s="90"/>
      <c r="Z485" s="90"/>
    </row>
    <row r="486" ht="15.75" customHeight="1">
      <c r="A486" s="90"/>
      <c r="B486" s="90"/>
      <c r="C486" s="864"/>
      <c r="D486" s="90"/>
      <c r="E486" s="90"/>
      <c r="F486" s="90"/>
      <c r="G486" s="90"/>
      <c r="H486" s="90"/>
      <c r="I486" s="90"/>
      <c r="J486" s="90"/>
      <c r="K486" s="90"/>
      <c r="L486" s="90"/>
      <c r="M486" s="864"/>
      <c r="N486" s="864"/>
      <c r="O486" s="864"/>
      <c r="P486" s="864"/>
      <c r="Q486" s="864"/>
      <c r="R486" s="864"/>
      <c r="S486" s="864"/>
      <c r="T486" s="864"/>
      <c r="U486" s="864"/>
      <c r="V486" s="864"/>
      <c r="W486" s="864"/>
      <c r="X486" s="90"/>
      <c r="Y486" s="90"/>
      <c r="Z486" s="90"/>
    </row>
    <row r="487" ht="15.75" customHeight="1">
      <c r="A487" s="90"/>
      <c r="B487" s="90"/>
      <c r="C487" s="864"/>
      <c r="D487" s="90"/>
      <c r="E487" s="90"/>
      <c r="F487" s="90"/>
      <c r="G487" s="90"/>
      <c r="H487" s="90"/>
      <c r="I487" s="90"/>
      <c r="J487" s="90"/>
      <c r="K487" s="90"/>
      <c r="L487" s="90"/>
      <c r="M487" s="864"/>
      <c r="N487" s="864"/>
      <c r="O487" s="864"/>
      <c r="P487" s="864"/>
      <c r="Q487" s="864"/>
      <c r="R487" s="864"/>
      <c r="S487" s="864"/>
      <c r="T487" s="864"/>
      <c r="U487" s="864"/>
      <c r="V487" s="864"/>
      <c r="W487" s="864"/>
      <c r="X487" s="90"/>
      <c r="Y487" s="90"/>
      <c r="Z487" s="90"/>
    </row>
    <row r="488" ht="15.75" customHeight="1">
      <c r="A488" s="90"/>
      <c r="B488" s="90"/>
      <c r="C488" s="864"/>
      <c r="D488" s="90"/>
      <c r="E488" s="90"/>
      <c r="F488" s="90"/>
      <c r="G488" s="90"/>
      <c r="H488" s="90"/>
      <c r="I488" s="90"/>
      <c r="J488" s="90"/>
      <c r="K488" s="90"/>
      <c r="L488" s="90"/>
      <c r="M488" s="864"/>
      <c r="N488" s="864"/>
      <c r="O488" s="864"/>
      <c r="P488" s="864"/>
      <c r="Q488" s="864"/>
      <c r="R488" s="864"/>
      <c r="S488" s="864"/>
      <c r="T488" s="864"/>
      <c r="U488" s="864"/>
      <c r="V488" s="864"/>
      <c r="W488" s="864"/>
      <c r="X488" s="90"/>
      <c r="Y488" s="90"/>
      <c r="Z488" s="90"/>
    </row>
    <row r="489" ht="15.75" customHeight="1">
      <c r="A489" s="90"/>
      <c r="B489" s="90"/>
      <c r="C489" s="864"/>
      <c r="D489" s="90"/>
      <c r="E489" s="90"/>
      <c r="F489" s="90"/>
      <c r="G489" s="90"/>
      <c r="H489" s="90"/>
      <c r="I489" s="90"/>
      <c r="J489" s="90"/>
      <c r="K489" s="90"/>
      <c r="L489" s="90"/>
      <c r="M489" s="864"/>
      <c r="N489" s="864"/>
      <c r="O489" s="864"/>
      <c r="P489" s="864"/>
      <c r="Q489" s="864"/>
      <c r="R489" s="864"/>
      <c r="S489" s="864"/>
      <c r="T489" s="864"/>
      <c r="U489" s="864"/>
      <c r="V489" s="864"/>
      <c r="W489" s="864"/>
      <c r="X489" s="90"/>
      <c r="Y489" s="90"/>
      <c r="Z489" s="90"/>
    </row>
    <row r="490" ht="15.75" customHeight="1">
      <c r="A490" s="90"/>
      <c r="B490" s="90"/>
      <c r="C490" s="864"/>
      <c r="D490" s="90"/>
      <c r="E490" s="90"/>
      <c r="F490" s="90"/>
      <c r="G490" s="90"/>
      <c r="H490" s="90"/>
      <c r="I490" s="90"/>
      <c r="J490" s="90"/>
      <c r="K490" s="90"/>
      <c r="L490" s="90"/>
      <c r="M490" s="864"/>
      <c r="N490" s="864"/>
      <c r="O490" s="864"/>
      <c r="P490" s="864"/>
      <c r="Q490" s="864"/>
      <c r="R490" s="864"/>
      <c r="S490" s="864"/>
      <c r="T490" s="864"/>
      <c r="U490" s="864"/>
      <c r="V490" s="864"/>
      <c r="W490" s="864"/>
      <c r="X490" s="90"/>
      <c r="Y490" s="90"/>
      <c r="Z490" s="90"/>
    </row>
    <row r="491" ht="15.75" customHeight="1">
      <c r="A491" s="90"/>
      <c r="B491" s="90"/>
      <c r="C491" s="864"/>
      <c r="D491" s="90"/>
      <c r="E491" s="90"/>
      <c r="F491" s="90"/>
      <c r="G491" s="90"/>
      <c r="H491" s="90"/>
      <c r="I491" s="90"/>
      <c r="J491" s="90"/>
      <c r="K491" s="90"/>
      <c r="L491" s="90"/>
      <c r="M491" s="864"/>
      <c r="N491" s="864"/>
      <c r="O491" s="864"/>
      <c r="P491" s="864"/>
      <c r="Q491" s="864"/>
      <c r="R491" s="864"/>
      <c r="S491" s="864"/>
      <c r="T491" s="864"/>
      <c r="U491" s="864"/>
      <c r="V491" s="864"/>
      <c r="W491" s="864"/>
      <c r="X491" s="90"/>
      <c r="Y491" s="90"/>
      <c r="Z491" s="90"/>
    </row>
    <row r="492" ht="15.75" customHeight="1">
      <c r="A492" s="90"/>
      <c r="B492" s="90"/>
      <c r="C492" s="864"/>
      <c r="D492" s="90"/>
      <c r="E492" s="90"/>
      <c r="F492" s="90"/>
      <c r="G492" s="90"/>
      <c r="H492" s="90"/>
      <c r="I492" s="90"/>
      <c r="J492" s="90"/>
      <c r="K492" s="90"/>
      <c r="L492" s="90"/>
      <c r="M492" s="864"/>
      <c r="N492" s="864"/>
      <c r="O492" s="864"/>
      <c r="P492" s="864"/>
      <c r="Q492" s="864"/>
      <c r="R492" s="864"/>
      <c r="S492" s="864"/>
      <c r="T492" s="864"/>
      <c r="U492" s="864"/>
      <c r="V492" s="864"/>
      <c r="W492" s="864"/>
      <c r="X492" s="90"/>
      <c r="Y492" s="90"/>
      <c r="Z492" s="90"/>
    </row>
    <row r="493" ht="15.75" customHeight="1">
      <c r="A493" s="90"/>
      <c r="B493" s="90"/>
      <c r="C493" s="864"/>
      <c r="D493" s="90"/>
      <c r="E493" s="90"/>
      <c r="F493" s="90"/>
      <c r="G493" s="90"/>
      <c r="H493" s="90"/>
      <c r="I493" s="90"/>
      <c r="J493" s="90"/>
      <c r="K493" s="90"/>
      <c r="L493" s="90"/>
      <c r="M493" s="864"/>
      <c r="N493" s="864"/>
      <c r="O493" s="864"/>
      <c r="P493" s="864"/>
      <c r="Q493" s="864"/>
      <c r="R493" s="864"/>
      <c r="S493" s="864"/>
      <c r="T493" s="864"/>
      <c r="U493" s="864"/>
      <c r="V493" s="864"/>
      <c r="W493" s="864"/>
      <c r="X493" s="90"/>
      <c r="Y493" s="90"/>
      <c r="Z493" s="90"/>
    </row>
    <row r="494" ht="15.75" customHeight="1">
      <c r="A494" s="90"/>
      <c r="B494" s="90"/>
      <c r="C494" s="864"/>
      <c r="D494" s="90"/>
      <c r="E494" s="90"/>
      <c r="F494" s="90"/>
      <c r="G494" s="90"/>
      <c r="H494" s="90"/>
      <c r="I494" s="90"/>
      <c r="J494" s="90"/>
      <c r="K494" s="90"/>
      <c r="L494" s="90"/>
      <c r="M494" s="864"/>
      <c r="N494" s="864"/>
      <c r="O494" s="864"/>
      <c r="P494" s="864"/>
      <c r="Q494" s="864"/>
      <c r="R494" s="864"/>
      <c r="S494" s="864"/>
      <c r="T494" s="864"/>
      <c r="U494" s="864"/>
      <c r="V494" s="864"/>
      <c r="W494" s="864"/>
      <c r="X494" s="90"/>
      <c r="Y494" s="90"/>
      <c r="Z494" s="90"/>
    </row>
    <row r="495" ht="15.75" customHeight="1">
      <c r="A495" s="90"/>
      <c r="B495" s="90"/>
      <c r="C495" s="864"/>
      <c r="D495" s="90"/>
      <c r="E495" s="90"/>
      <c r="F495" s="90"/>
      <c r="G495" s="90"/>
      <c r="H495" s="90"/>
      <c r="I495" s="90"/>
      <c r="J495" s="90"/>
      <c r="K495" s="90"/>
      <c r="L495" s="90"/>
      <c r="M495" s="864"/>
      <c r="N495" s="864"/>
      <c r="O495" s="864"/>
      <c r="P495" s="864"/>
      <c r="Q495" s="864"/>
      <c r="R495" s="864"/>
      <c r="S495" s="864"/>
      <c r="T495" s="864"/>
      <c r="U495" s="864"/>
      <c r="V495" s="864"/>
      <c r="W495" s="864"/>
      <c r="X495" s="90"/>
      <c r="Y495" s="90"/>
      <c r="Z495" s="90"/>
    </row>
    <row r="496" ht="15.75" customHeight="1">
      <c r="A496" s="90"/>
      <c r="B496" s="90"/>
      <c r="C496" s="864"/>
      <c r="D496" s="90"/>
      <c r="E496" s="90"/>
      <c r="F496" s="90"/>
      <c r="G496" s="90"/>
      <c r="H496" s="90"/>
      <c r="I496" s="90"/>
      <c r="J496" s="90"/>
      <c r="K496" s="90"/>
      <c r="L496" s="90"/>
      <c r="M496" s="864"/>
      <c r="N496" s="864"/>
      <c r="O496" s="864"/>
      <c r="P496" s="864"/>
      <c r="Q496" s="864"/>
      <c r="R496" s="864"/>
      <c r="S496" s="864"/>
      <c r="T496" s="864"/>
      <c r="U496" s="864"/>
      <c r="V496" s="864"/>
      <c r="W496" s="864"/>
      <c r="X496" s="90"/>
      <c r="Y496" s="90"/>
      <c r="Z496" s="90"/>
    </row>
    <row r="497" ht="15.75" customHeight="1">
      <c r="A497" s="90"/>
      <c r="B497" s="90"/>
      <c r="C497" s="864"/>
      <c r="D497" s="90"/>
      <c r="E497" s="90"/>
      <c r="F497" s="90"/>
      <c r="G497" s="90"/>
      <c r="H497" s="90"/>
      <c r="I497" s="90"/>
      <c r="J497" s="90"/>
      <c r="K497" s="90"/>
      <c r="L497" s="90"/>
      <c r="M497" s="864"/>
      <c r="N497" s="864"/>
      <c r="O497" s="864"/>
      <c r="P497" s="864"/>
      <c r="Q497" s="864"/>
      <c r="R497" s="864"/>
      <c r="S497" s="864"/>
      <c r="T497" s="864"/>
      <c r="U497" s="864"/>
      <c r="V497" s="864"/>
      <c r="W497" s="864"/>
      <c r="X497" s="90"/>
      <c r="Y497" s="90"/>
      <c r="Z497" s="90"/>
    </row>
    <row r="498" ht="15.75" customHeight="1">
      <c r="A498" s="90"/>
      <c r="B498" s="90"/>
      <c r="C498" s="864"/>
      <c r="D498" s="90"/>
      <c r="E498" s="90"/>
      <c r="F498" s="90"/>
      <c r="G498" s="90"/>
      <c r="H498" s="90"/>
      <c r="I498" s="90"/>
      <c r="J498" s="90"/>
      <c r="K498" s="90"/>
      <c r="L498" s="90"/>
      <c r="M498" s="864"/>
      <c r="N498" s="864"/>
      <c r="O498" s="864"/>
      <c r="P498" s="864"/>
      <c r="Q498" s="864"/>
      <c r="R498" s="864"/>
      <c r="S498" s="864"/>
      <c r="T498" s="864"/>
      <c r="U498" s="864"/>
      <c r="V498" s="864"/>
      <c r="W498" s="864"/>
      <c r="X498" s="90"/>
      <c r="Y498" s="90"/>
      <c r="Z498" s="90"/>
    </row>
    <row r="499" ht="15.75" customHeight="1">
      <c r="A499" s="90"/>
      <c r="B499" s="90"/>
      <c r="C499" s="864"/>
      <c r="D499" s="90"/>
      <c r="E499" s="90"/>
      <c r="F499" s="90"/>
      <c r="G499" s="90"/>
      <c r="H499" s="90"/>
      <c r="I499" s="90"/>
      <c r="J499" s="90"/>
      <c r="K499" s="90"/>
      <c r="L499" s="90"/>
      <c r="M499" s="864"/>
      <c r="N499" s="864"/>
      <c r="O499" s="864"/>
      <c r="P499" s="864"/>
      <c r="Q499" s="864"/>
      <c r="R499" s="864"/>
      <c r="S499" s="864"/>
      <c r="T499" s="864"/>
      <c r="U499" s="864"/>
      <c r="V499" s="864"/>
      <c r="W499" s="864"/>
      <c r="X499" s="90"/>
      <c r="Y499" s="90"/>
      <c r="Z499" s="90"/>
    </row>
    <row r="500" ht="15.75" customHeight="1">
      <c r="A500" s="90"/>
      <c r="B500" s="90"/>
      <c r="C500" s="864"/>
      <c r="D500" s="90"/>
      <c r="E500" s="90"/>
      <c r="F500" s="90"/>
      <c r="G500" s="90"/>
      <c r="H500" s="90"/>
      <c r="I500" s="90"/>
      <c r="J500" s="90"/>
      <c r="K500" s="90"/>
      <c r="L500" s="90"/>
      <c r="M500" s="864"/>
      <c r="N500" s="864"/>
      <c r="O500" s="864"/>
      <c r="P500" s="864"/>
      <c r="Q500" s="864"/>
      <c r="R500" s="864"/>
      <c r="S500" s="864"/>
      <c r="T500" s="864"/>
      <c r="U500" s="864"/>
      <c r="V500" s="864"/>
      <c r="W500" s="864"/>
      <c r="X500" s="90"/>
      <c r="Y500" s="90"/>
      <c r="Z500" s="90"/>
    </row>
    <row r="501" ht="15.75" customHeight="1">
      <c r="A501" s="90"/>
      <c r="B501" s="90"/>
      <c r="C501" s="864"/>
      <c r="D501" s="90"/>
      <c r="E501" s="90"/>
      <c r="F501" s="90"/>
      <c r="G501" s="90"/>
      <c r="H501" s="90"/>
      <c r="I501" s="90"/>
      <c r="J501" s="90"/>
      <c r="K501" s="90"/>
      <c r="L501" s="90"/>
      <c r="M501" s="864"/>
      <c r="N501" s="864"/>
      <c r="O501" s="864"/>
      <c r="P501" s="864"/>
      <c r="Q501" s="864"/>
      <c r="R501" s="864"/>
      <c r="S501" s="864"/>
      <c r="T501" s="864"/>
      <c r="U501" s="864"/>
      <c r="V501" s="864"/>
      <c r="W501" s="864"/>
      <c r="X501" s="90"/>
      <c r="Y501" s="90"/>
      <c r="Z501" s="90"/>
    </row>
    <row r="502" ht="15.75" customHeight="1">
      <c r="A502" s="90"/>
      <c r="B502" s="90"/>
      <c r="C502" s="864"/>
      <c r="D502" s="90"/>
      <c r="E502" s="90"/>
      <c r="F502" s="90"/>
      <c r="G502" s="90"/>
      <c r="H502" s="90"/>
      <c r="I502" s="90"/>
      <c r="J502" s="90"/>
      <c r="K502" s="90"/>
      <c r="L502" s="90"/>
      <c r="M502" s="864"/>
      <c r="N502" s="864"/>
      <c r="O502" s="864"/>
      <c r="P502" s="864"/>
      <c r="Q502" s="864"/>
      <c r="R502" s="864"/>
      <c r="S502" s="864"/>
      <c r="T502" s="864"/>
      <c r="U502" s="864"/>
      <c r="V502" s="864"/>
      <c r="W502" s="864"/>
      <c r="X502" s="90"/>
      <c r="Y502" s="90"/>
      <c r="Z502" s="90"/>
    </row>
    <row r="503" ht="15.75" customHeight="1">
      <c r="A503" s="90"/>
      <c r="B503" s="90"/>
      <c r="C503" s="864"/>
      <c r="D503" s="90"/>
      <c r="E503" s="90"/>
      <c r="F503" s="90"/>
      <c r="G503" s="90"/>
      <c r="H503" s="90"/>
      <c r="I503" s="90"/>
      <c r="J503" s="90"/>
      <c r="K503" s="90"/>
      <c r="L503" s="90"/>
      <c r="M503" s="864"/>
      <c r="N503" s="864"/>
      <c r="O503" s="864"/>
      <c r="P503" s="864"/>
      <c r="Q503" s="864"/>
      <c r="R503" s="864"/>
      <c r="S503" s="864"/>
      <c r="T503" s="864"/>
      <c r="U503" s="864"/>
      <c r="V503" s="864"/>
      <c r="W503" s="864"/>
      <c r="X503" s="90"/>
      <c r="Y503" s="90"/>
      <c r="Z503" s="90"/>
    </row>
    <row r="504" ht="15.75" customHeight="1">
      <c r="A504" s="90"/>
      <c r="B504" s="90"/>
      <c r="C504" s="864"/>
      <c r="D504" s="90"/>
      <c r="E504" s="90"/>
      <c r="F504" s="90"/>
      <c r="G504" s="90"/>
      <c r="H504" s="90"/>
      <c r="I504" s="90"/>
      <c r="J504" s="90"/>
      <c r="K504" s="90"/>
      <c r="L504" s="90"/>
      <c r="M504" s="864"/>
      <c r="N504" s="864"/>
      <c r="O504" s="864"/>
      <c r="P504" s="864"/>
      <c r="Q504" s="864"/>
      <c r="R504" s="864"/>
      <c r="S504" s="864"/>
      <c r="T504" s="864"/>
      <c r="U504" s="864"/>
      <c r="V504" s="864"/>
      <c r="W504" s="864"/>
      <c r="X504" s="90"/>
      <c r="Y504" s="90"/>
      <c r="Z504" s="90"/>
    </row>
    <row r="505" ht="15.75" customHeight="1">
      <c r="A505" s="90"/>
      <c r="B505" s="90"/>
      <c r="C505" s="864"/>
      <c r="D505" s="90"/>
      <c r="E505" s="90"/>
      <c r="F505" s="90"/>
      <c r="G505" s="90"/>
      <c r="H505" s="90"/>
      <c r="I505" s="90"/>
      <c r="J505" s="90"/>
      <c r="K505" s="90"/>
      <c r="L505" s="90"/>
      <c r="M505" s="864"/>
      <c r="N505" s="864"/>
      <c r="O505" s="864"/>
      <c r="P505" s="864"/>
      <c r="Q505" s="864"/>
      <c r="R505" s="864"/>
      <c r="S505" s="864"/>
      <c r="T505" s="864"/>
      <c r="U505" s="864"/>
      <c r="V505" s="864"/>
      <c r="W505" s="864"/>
      <c r="X505" s="90"/>
      <c r="Y505" s="90"/>
      <c r="Z505" s="90"/>
    </row>
    <row r="506" ht="15.75" customHeight="1">
      <c r="A506" s="90"/>
      <c r="B506" s="90"/>
      <c r="C506" s="864"/>
      <c r="D506" s="90"/>
      <c r="E506" s="90"/>
      <c r="F506" s="90"/>
      <c r="G506" s="90"/>
      <c r="H506" s="90"/>
      <c r="I506" s="90"/>
      <c r="J506" s="90"/>
      <c r="K506" s="90"/>
      <c r="L506" s="90"/>
      <c r="M506" s="864"/>
      <c r="N506" s="864"/>
      <c r="O506" s="864"/>
      <c r="P506" s="864"/>
      <c r="Q506" s="864"/>
      <c r="R506" s="864"/>
      <c r="S506" s="864"/>
      <c r="T506" s="864"/>
      <c r="U506" s="864"/>
      <c r="V506" s="864"/>
      <c r="W506" s="864"/>
      <c r="X506" s="90"/>
      <c r="Y506" s="90"/>
      <c r="Z506" s="90"/>
    </row>
    <row r="507" ht="15.75" customHeight="1">
      <c r="A507" s="90"/>
      <c r="B507" s="90"/>
      <c r="C507" s="864"/>
      <c r="D507" s="90"/>
      <c r="E507" s="90"/>
      <c r="F507" s="90"/>
      <c r="G507" s="90"/>
      <c r="H507" s="90"/>
      <c r="I507" s="90"/>
      <c r="J507" s="90"/>
      <c r="K507" s="90"/>
      <c r="L507" s="90"/>
      <c r="M507" s="864"/>
      <c r="N507" s="864"/>
      <c r="O507" s="864"/>
      <c r="P507" s="864"/>
      <c r="Q507" s="864"/>
      <c r="R507" s="864"/>
      <c r="S507" s="864"/>
      <c r="T507" s="864"/>
      <c r="U507" s="864"/>
      <c r="V507" s="864"/>
      <c r="W507" s="864"/>
      <c r="X507" s="90"/>
      <c r="Y507" s="90"/>
      <c r="Z507" s="90"/>
    </row>
    <row r="508" ht="15.75" customHeight="1">
      <c r="A508" s="90"/>
      <c r="B508" s="90"/>
      <c r="C508" s="864"/>
      <c r="D508" s="90"/>
      <c r="E508" s="90"/>
      <c r="F508" s="90"/>
      <c r="G508" s="90"/>
      <c r="H508" s="90"/>
      <c r="I508" s="90"/>
      <c r="J508" s="90"/>
      <c r="K508" s="90"/>
      <c r="L508" s="90"/>
      <c r="M508" s="864"/>
      <c r="N508" s="864"/>
      <c r="O508" s="864"/>
      <c r="P508" s="864"/>
      <c r="Q508" s="864"/>
      <c r="R508" s="864"/>
      <c r="S508" s="864"/>
      <c r="T508" s="864"/>
      <c r="U508" s="864"/>
      <c r="V508" s="864"/>
      <c r="W508" s="864"/>
      <c r="X508" s="90"/>
      <c r="Y508" s="90"/>
      <c r="Z508" s="90"/>
    </row>
    <row r="509" ht="15.75" customHeight="1">
      <c r="A509" s="90"/>
      <c r="B509" s="90"/>
      <c r="C509" s="864"/>
      <c r="D509" s="90"/>
      <c r="E509" s="90"/>
      <c r="F509" s="90"/>
      <c r="G509" s="90"/>
      <c r="H509" s="90"/>
      <c r="I509" s="90"/>
      <c r="J509" s="90"/>
      <c r="K509" s="90"/>
      <c r="L509" s="90"/>
      <c r="M509" s="864"/>
      <c r="N509" s="864"/>
      <c r="O509" s="864"/>
      <c r="P509" s="864"/>
      <c r="Q509" s="864"/>
      <c r="R509" s="864"/>
      <c r="S509" s="864"/>
      <c r="T509" s="864"/>
      <c r="U509" s="864"/>
      <c r="V509" s="864"/>
      <c r="W509" s="864"/>
      <c r="X509" s="90"/>
      <c r="Y509" s="90"/>
      <c r="Z509" s="90"/>
    </row>
    <row r="510" ht="15.75" customHeight="1">
      <c r="A510" s="90"/>
      <c r="B510" s="90"/>
      <c r="C510" s="864"/>
      <c r="D510" s="90"/>
      <c r="E510" s="90"/>
      <c r="F510" s="90"/>
      <c r="G510" s="90"/>
      <c r="H510" s="90"/>
      <c r="I510" s="90"/>
      <c r="J510" s="90"/>
      <c r="K510" s="90"/>
      <c r="L510" s="90"/>
      <c r="M510" s="864"/>
      <c r="N510" s="864"/>
      <c r="O510" s="864"/>
      <c r="P510" s="864"/>
      <c r="Q510" s="864"/>
      <c r="R510" s="864"/>
      <c r="S510" s="864"/>
      <c r="T510" s="864"/>
      <c r="U510" s="864"/>
      <c r="V510" s="864"/>
      <c r="W510" s="864"/>
      <c r="X510" s="90"/>
      <c r="Y510" s="90"/>
      <c r="Z510" s="90"/>
    </row>
    <row r="511" ht="15.75" customHeight="1">
      <c r="A511" s="90"/>
      <c r="B511" s="90"/>
      <c r="C511" s="864"/>
      <c r="D511" s="90"/>
      <c r="E511" s="90"/>
      <c r="F511" s="90"/>
      <c r="G511" s="90"/>
      <c r="H511" s="90"/>
      <c r="I511" s="90"/>
      <c r="J511" s="90"/>
      <c r="K511" s="90"/>
      <c r="L511" s="90"/>
      <c r="M511" s="864"/>
      <c r="N511" s="864"/>
      <c r="O511" s="864"/>
      <c r="P511" s="864"/>
      <c r="Q511" s="864"/>
      <c r="R511" s="864"/>
      <c r="S511" s="864"/>
      <c r="T511" s="864"/>
      <c r="U511" s="864"/>
      <c r="V511" s="864"/>
      <c r="W511" s="864"/>
      <c r="X511" s="90"/>
      <c r="Y511" s="90"/>
      <c r="Z511" s="90"/>
    </row>
    <row r="512" ht="15.75" customHeight="1">
      <c r="A512" s="90"/>
      <c r="B512" s="90"/>
      <c r="C512" s="864"/>
      <c r="D512" s="90"/>
      <c r="E512" s="90"/>
      <c r="F512" s="90"/>
      <c r="G512" s="90"/>
      <c r="H512" s="90"/>
      <c r="I512" s="90"/>
      <c r="J512" s="90"/>
      <c r="K512" s="90"/>
      <c r="L512" s="90"/>
      <c r="M512" s="864"/>
      <c r="N512" s="864"/>
      <c r="O512" s="864"/>
      <c r="P512" s="864"/>
      <c r="Q512" s="864"/>
      <c r="R512" s="864"/>
      <c r="S512" s="864"/>
      <c r="T512" s="864"/>
      <c r="U512" s="864"/>
      <c r="V512" s="864"/>
      <c r="W512" s="864"/>
      <c r="X512" s="90"/>
      <c r="Y512" s="90"/>
      <c r="Z512" s="90"/>
    </row>
    <row r="513" ht="15.75" customHeight="1">
      <c r="A513" s="90"/>
      <c r="B513" s="90"/>
      <c r="C513" s="864"/>
      <c r="D513" s="90"/>
      <c r="E513" s="90"/>
      <c r="F513" s="90"/>
      <c r="G513" s="90"/>
      <c r="H513" s="90"/>
      <c r="I513" s="90"/>
      <c r="J513" s="90"/>
      <c r="K513" s="90"/>
      <c r="L513" s="90"/>
      <c r="M513" s="864"/>
      <c r="N513" s="864"/>
      <c r="O513" s="864"/>
      <c r="P513" s="864"/>
      <c r="Q513" s="864"/>
      <c r="R513" s="864"/>
      <c r="S513" s="864"/>
      <c r="T513" s="864"/>
      <c r="U513" s="864"/>
      <c r="V513" s="864"/>
      <c r="W513" s="864"/>
      <c r="X513" s="90"/>
      <c r="Y513" s="90"/>
      <c r="Z513" s="90"/>
    </row>
    <row r="514" ht="15.75" customHeight="1">
      <c r="A514" s="90"/>
      <c r="B514" s="90"/>
      <c r="C514" s="864"/>
      <c r="D514" s="90"/>
      <c r="E514" s="90"/>
      <c r="F514" s="90"/>
      <c r="G514" s="90"/>
      <c r="H514" s="90"/>
      <c r="I514" s="90"/>
      <c r="J514" s="90"/>
      <c r="K514" s="90"/>
      <c r="L514" s="90"/>
      <c r="M514" s="864"/>
      <c r="N514" s="864"/>
      <c r="O514" s="864"/>
      <c r="P514" s="864"/>
      <c r="Q514" s="864"/>
      <c r="R514" s="864"/>
      <c r="S514" s="864"/>
      <c r="T514" s="864"/>
      <c r="U514" s="864"/>
      <c r="V514" s="864"/>
      <c r="W514" s="864"/>
      <c r="X514" s="90"/>
      <c r="Y514" s="90"/>
      <c r="Z514" s="90"/>
    </row>
    <row r="515" ht="15.75" customHeight="1">
      <c r="A515" s="90"/>
      <c r="B515" s="90"/>
      <c r="C515" s="864"/>
      <c r="D515" s="90"/>
      <c r="E515" s="90"/>
      <c r="F515" s="90"/>
      <c r="G515" s="90"/>
      <c r="H515" s="90"/>
      <c r="I515" s="90"/>
      <c r="J515" s="90"/>
      <c r="K515" s="90"/>
      <c r="L515" s="90"/>
      <c r="M515" s="864"/>
      <c r="N515" s="864"/>
      <c r="O515" s="864"/>
      <c r="P515" s="864"/>
      <c r="Q515" s="864"/>
      <c r="R515" s="864"/>
      <c r="S515" s="864"/>
      <c r="T515" s="864"/>
      <c r="U515" s="864"/>
      <c r="V515" s="864"/>
      <c r="W515" s="864"/>
      <c r="X515" s="90"/>
      <c r="Y515" s="90"/>
      <c r="Z515" s="90"/>
    </row>
    <row r="516" ht="15.75" customHeight="1">
      <c r="A516" s="90"/>
      <c r="B516" s="90"/>
      <c r="C516" s="864"/>
      <c r="D516" s="90"/>
      <c r="E516" s="90"/>
      <c r="F516" s="90"/>
      <c r="G516" s="90"/>
      <c r="H516" s="90"/>
      <c r="I516" s="90"/>
      <c r="J516" s="90"/>
      <c r="K516" s="90"/>
      <c r="L516" s="90"/>
      <c r="M516" s="864"/>
      <c r="N516" s="864"/>
      <c r="O516" s="864"/>
      <c r="P516" s="864"/>
      <c r="Q516" s="864"/>
      <c r="R516" s="864"/>
      <c r="S516" s="864"/>
      <c r="T516" s="864"/>
      <c r="U516" s="864"/>
      <c r="V516" s="864"/>
      <c r="W516" s="864"/>
      <c r="X516" s="90"/>
      <c r="Y516" s="90"/>
      <c r="Z516" s="90"/>
    </row>
    <row r="517" ht="15.75" customHeight="1">
      <c r="A517" s="90"/>
      <c r="B517" s="90"/>
      <c r="C517" s="864"/>
      <c r="D517" s="90"/>
      <c r="E517" s="90"/>
      <c r="F517" s="90"/>
      <c r="G517" s="90"/>
      <c r="H517" s="90"/>
      <c r="I517" s="90"/>
      <c r="J517" s="90"/>
      <c r="K517" s="90"/>
      <c r="L517" s="90"/>
      <c r="M517" s="864"/>
      <c r="N517" s="864"/>
      <c r="O517" s="864"/>
      <c r="P517" s="864"/>
      <c r="Q517" s="864"/>
      <c r="R517" s="864"/>
      <c r="S517" s="864"/>
      <c r="T517" s="864"/>
      <c r="U517" s="864"/>
      <c r="V517" s="864"/>
      <c r="W517" s="864"/>
      <c r="X517" s="90"/>
      <c r="Y517" s="90"/>
      <c r="Z517" s="90"/>
    </row>
    <row r="518" ht="15.75" customHeight="1">
      <c r="A518" s="90"/>
      <c r="B518" s="90"/>
      <c r="C518" s="864"/>
      <c r="D518" s="90"/>
      <c r="E518" s="90"/>
      <c r="F518" s="90"/>
      <c r="G518" s="90"/>
      <c r="H518" s="90"/>
      <c r="I518" s="90"/>
      <c r="J518" s="90"/>
      <c r="K518" s="90"/>
      <c r="L518" s="90"/>
      <c r="M518" s="864"/>
      <c r="N518" s="864"/>
      <c r="O518" s="864"/>
      <c r="P518" s="864"/>
      <c r="Q518" s="864"/>
      <c r="R518" s="864"/>
      <c r="S518" s="864"/>
      <c r="T518" s="864"/>
      <c r="U518" s="864"/>
      <c r="V518" s="864"/>
      <c r="W518" s="864"/>
      <c r="X518" s="90"/>
      <c r="Y518" s="90"/>
      <c r="Z518" s="90"/>
    </row>
    <row r="519" ht="15.75" customHeight="1">
      <c r="A519" s="90"/>
      <c r="B519" s="90"/>
      <c r="C519" s="864"/>
      <c r="D519" s="90"/>
      <c r="E519" s="90"/>
      <c r="F519" s="90"/>
      <c r="G519" s="90"/>
      <c r="H519" s="90"/>
      <c r="I519" s="90"/>
      <c r="J519" s="90"/>
      <c r="K519" s="90"/>
      <c r="L519" s="90"/>
      <c r="M519" s="864"/>
      <c r="N519" s="864"/>
      <c r="O519" s="864"/>
      <c r="P519" s="864"/>
      <c r="Q519" s="864"/>
      <c r="R519" s="864"/>
      <c r="S519" s="864"/>
      <c r="T519" s="864"/>
      <c r="U519" s="864"/>
      <c r="V519" s="864"/>
      <c r="W519" s="864"/>
      <c r="X519" s="90"/>
      <c r="Y519" s="90"/>
      <c r="Z519" s="90"/>
    </row>
    <row r="520" ht="15.75" customHeight="1">
      <c r="A520" s="90"/>
      <c r="B520" s="90"/>
      <c r="C520" s="864"/>
      <c r="D520" s="90"/>
      <c r="E520" s="90"/>
      <c r="F520" s="90"/>
      <c r="G520" s="90"/>
      <c r="H520" s="90"/>
      <c r="I520" s="90"/>
      <c r="J520" s="90"/>
      <c r="K520" s="90"/>
      <c r="L520" s="90"/>
      <c r="M520" s="864"/>
      <c r="N520" s="864"/>
      <c r="O520" s="864"/>
      <c r="P520" s="864"/>
      <c r="Q520" s="864"/>
      <c r="R520" s="864"/>
      <c r="S520" s="864"/>
      <c r="T520" s="864"/>
      <c r="U520" s="864"/>
      <c r="V520" s="864"/>
      <c r="W520" s="864"/>
      <c r="X520" s="90"/>
      <c r="Y520" s="90"/>
      <c r="Z520" s="90"/>
    </row>
    <row r="521" ht="15.75" customHeight="1">
      <c r="A521" s="90"/>
      <c r="B521" s="90"/>
      <c r="C521" s="864"/>
      <c r="D521" s="90"/>
      <c r="E521" s="90"/>
      <c r="F521" s="90"/>
      <c r="G521" s="90"/>
      <c r="H521" s="90"/>
      <c r="I521" s="90"/>
      <c r="J521" s="90"/>
      <c r="K521" s="90"/>
      <c r="L521" s="90"/>
      <c r="M521" s="864"/>
      <c r="N521" s="864"/>
      <c r="O521" s="864"/>
      <c r="P521" s="864"/>
      <c r="Q521" s="864"/>
      <c r="R521" s="864"/>
      <c r="S521" s="864"/>
      <c r="T521" s="864"/>
      <c r="U521" s="864"/>
      <c r="V521" s="864"/>
      <c r="W521" s="864"/>
      <c r="X521" s="90"/>
      <c r="Y521" s="90"/>
      <c r="Z521" s="90"/>
    </row>
    <row r="522" ht="15.75" customHeight="1">
      <c r="A522" s="90"/>
      <c r="B522" s="90"/>
      <c r="C522" s="864"/>
      <c r="D522" s="90"/>
      <c r="E522" s="90"/>
      <c r="F522" s="90"/>
      <c r="G522" s="90"/>
      <c r="H522" s="90"/>
      <c r="I522" s="90"/>
      <c r="J522" s="90"/>
      <c r="K522" s="90"/>
      <c r="L522" s="90"/>
      <c r="M522" s="864"/>
      <c r="N522" s="864"/>
      <c r="O522" s="864"/>
      <c r="P522" s="864"/>
      <c r="Q522" s="864"/>
      <c r="R522" s="864"/>
      <c r="S522" s="864"/>
      <c r="T522" s="864"/>
      <c r="U522" s="864"/>
      <c r="V522" s="864"/>
      <c r="W522" s="864"/>
      <c r="X522" s="90"/>
      <c r="Y522" s="90"/>
      <c r="Z522" s="90"/>
    </row>
    <row r="523" ht="15.75" customHeight="1">
      <c r="A523" s="90"/>
      <c r="B523" s="90"/>
      <c r="C523" s="864"/>
      <c r="D523" s="90"/>
      <c r="E523" s="90"/>
      <c r="F523" s="90"/>
      <c r="G523" s="90"/>
      <c r="H523" s="90"/>
      <c r="I523" s="90"/>
      <c r="J523" s="90"/>
      <c r="K523" s="90"/>
      <c r="L523" s="90"/>
      <c r="M523" s="864"/>
      <c r="N523" s="864"/>
      <c r="O523" s="864"/>
      <c r="P523" s="864"/>
      <c r="Q523" s="864"/>
      <c r="R523" s="864"/>
      <c r="S523" s="864"/>
      <c r="T523" s="864"/>
      <c r="U523" s="864"/>
      <c r="V523" s="864"/>
      <c r="W523" s="864"/>
      <c r="X523" s="90"/>
      <c r="Y523" s="90"/>
      <c r="Z523" s="90"/>
    </row>
    <row r="524" ht="15.75" customHeight="1">
      <c r="A524" s="90"/>
      <c r="B524" s="90"/>
      <c r="C524" s="864"/>
      <c r="D524" s="90"/>
      <c r="E524" s="90"/>
      <c r="F524" s="90"/>
      <c r="G524" s="90"/>
      <c r="H524" s="90"/>
      <c r="I524" s="90"/>
      <c r="J524" s="90"/>
      <c r="K524" s="90"/>
      <c r="L524" s="90"/>
      <c r="M524" s="864"/>
      <c r="N524" s="864"/>
      <c r="O524" s="864"/>
      <c r="P524" s="864"/>
      <c r="Q524" s="864"/>
      <c r="R524" s="864"/>
      <c r="S524" s="864"/>
      <c r="T524" s="864"/>
      <c r="U524" s="864"/>
      <c r="V524" s="864"/>
      <c r="W524" s="864"/>
      <c r="X524" s="90"/>
      <c r="Y524" s="90"/>
      <c r="Z524" s="90"/>
    </row>
    <row r="525" ht="15.75" customHeight="1">
      <c r="A525" s="90"/>
      <c r="B525" s="90"/>
      <c r="C525" s="864"/>
      <c r="D525" s="90"/>
      <c r="E525" s="90"/>
      <c r="F525" s="90"/>
      <c r="G525" s="90"/>
      <c r="H525" s="90"/>
      <c r="I525" s="90"/>
      <c r="J525" s="90"/>
      <c r="K525" s="90"/>
      <c r="L525" s="90"/>
      <c r="M525" s="864"/>
      <c r="N525" s="864"/>
      <c r="O525" s="864"/>
      <c r="P525" s="864"/>
      <c r="Q525" s="864"/>
      <c r="R525" s="864"/>
      <c r="S525" s="864"/>
      <c r="T525" s="864"/>
      <c r="U525" s="864"/>
      <c r="V525" s="864"/>
      <c r="W525" s="864"/>
      <c r="X525" s="90"/>
      <c r="Y525" s="90"/>
      <c r="Z525" s="90"/>
    </row>
    <row r="526" ht="15.75" customHeight="1">
      <c r="A526" s="90"/>
      <c r="B526" s="90"/>
      <c r="C526" s="864"/>
      <c r="D526" s="90"/>
      <c r="E526" s="90"/>
      <c r="F526" s="90"/>
      <c r="G526" s="90"/>
      <c r="H526" s="90"/>
      <c r="I526" s="90"/>
      <c r="J526" s="90"/>
      <c r="K526" s="90"/>
      <c r="L526" s="90"/>
      <c r="M526" s="864"/>
      <c r="N526" s="864"/>
      <c r="O526" s="864"/>
      <c r="P526" s="864"/>
      <c r="Q526" s="864"/>
      <c r="R526" s="864"/>
      <c r="S526" s="864"/>
      <c r="T526" s="864"/>
      <c r="U526" s="864"/>
      <c r="V526" s="864"/>
      <c r="W526" s="864"/>
      <c r="X526" s="90"/>
      <c r="Y526" s="90"/>
      <c r="Z526" s="90"/>
    </row>
    <row r="527" ht="15.75" customHeight="1">
      <c r="A527" s="90"/>
      <c r="B527" s="90"/>
      <c r="C527" s="864"/>
      <c r="D527" s="90"/>
      <c r="E527" s="90"/>
      <c r="F527" s="90"/>
      <c r="G527" s="90"/>
      <c r="H527" s="90"/>
      <c r="I527" s="90"/>
      <c r="J527" s="90"/>
      <c r="K527" s="90"/>
      <c r="L527" s="90"/>
      <c r="M527" s="864"/>
      <c r="N527" s="864"/>
      <c r="O527" s="864"/>
      <c r="P527" s="864"/>
      <c r="Q527" s="864"/>
      <c r="R527" s="864"/>
      <c r="S527" s="864"/>
      <c r="T527" s="864"/>
      <c r="U527" s="864"/>
      <c r="V527" s="864"/>
      <c r="W527" s="864"/>
      <c r="X527" s="90"/>
      <c r="Y527" s="90"/>
      <c r="Z527" s="90"/>
    </row>
    <row r="528" ht="15.75" customHeight="1">
      <c r="A528" s="90"/>
      <c r="B528" s="90"/>
      <c r="C528" s="864"/>
      <c r="D528" s="90"/>
      <c r="E528" s="90"/>
      <c r="F528" s="90"/>
      <c r="G528" s="90"/>
      <c r="H528" s="90"/>
      <c r="I528" s="90"/>
      <c r="J528" s="90"/>
      <c r="K528" s="90"/>
      <c r="L528" s="90"/>
      <c r="M528" s="864"/>
      <c r="N528" s="864"/>
      <c r="O528" s="864"/>
      <c r="P528" s="864"/>
      <c r="Q528" s="864"/>
      <c r="R528" s="864"/>
      <c r="S528" s="864"/>
      <c r="T528" s="864"/>
      <c r="U528" s="864"/>
      <c r="V528" s="864"/>
      <c r="W528" s="864"/>
      <c r="X528" s="90"/>
      <c r="Y528" s="90"/>
      <c r="Z528" s="90"/>
    </row>
    <row r="529" ht="15.75" customHeight="1">
      <c r="A529" s="90"/>
      <c r="B529" s="90"/>
      <c r="C529" s="864"/>
      <c r="D529" s="90"/>
      <c r="E529" s="90"/>
      <c r="F529" s="90"/>
      <c r="G529" s="90"/>
      <c r="H529" s="90"/>
      <c r="I529" s="90"/>
      <c r="J529" s="90"/>
      <c r="K529" s="90"/>
      <c r="L529" s="90"/>
      <c r="M529" s="864"/>
      <c r="N529" s="864"/>
      <c r="O529" s="864"/>
      <c r="P529" s="864"/>
      <c r="Q529" s="864"/>
      <c r="R529" s="864"/>
      <c r="S529" s="864"/>
      <c r="T529" s="864"/>
      <c r="U529" s="864"/>
      <c r="V529" s="864"/>
      <c r="W529" s="864"/>
      <c r="X529" s="90"/>
      <c r="Y529" s="90"/>
      <c r="Z529" s="90"/>
    </row>
    <row r="530" ht="15.75" customHeight="1">
      <c r="A530" s="90"/>
      <c r="B530" s="90"/>
      <c r="C530" s="864"/>
      <c r="D530" s="90"/>
      <c r="E530" s="90"/>
      <c r="F530" s="90"/>
      <c r="G530" s="90"/>
      <c r="H530" s="90"/>
      <c r="I530" s="90"/>
      <c r="J530" s="90"/>
      <c r="K530" s="90"/>
      <c r="L530" s="90"/>
      <c r="M530" s="864"/>
      <c r="N530" s="864"/>
      <c r="O530" s="864"/>
      <c r="P530" s="864"/>
      <c r="Q530" s="864"/>
      <c r="R530" s="864"/>
      <c r="S530" s="864"/>
      <c r="T530" s="864"/>
      <c r="U530" s="864"/>
      <c r="V530" s="864"/>
      <c r="W530" s="864"/>
      <c r="X530" s="90"/>
      <c r="Y530" s="90"/>
      <c r="Z530" s="90"/>
    </row>
    <row r="531" ht="15.75" customHeight="1">
      <c r="A531" s="90"/>
      <c r="B531" s="90"/>
      <c r="C531" s="864"/>
      <c r="D531" s="90"/>
      <c r="E531" s="90"/>
      <c r="F531" s="90"/>
      <c r="G531" s="90"/>
      <c r="H531" s="90"/>
      <c r="I531" s="90"/>
      <c r="J531" s="90"/>
      <c r="K531" s="90"/>
      <c r="L531" s="90"/>
      <c r="M531" s="864"/>
      <c r="N531" s="864"/>
      <c r="O531" s="864"/>
      <c r="P531" s="864"/>
      <c r="Q531" s="864"/>
      <c r="R531" s="864"/>
      <c r="S531" s="864"/>
      <c r="T531" s="864"/>
      <c r="U531" s="864"/>
      <c r="V531" s="864"/>
      <c r="W531" s="864"/>
      <c r="X531" s="90"/>
      <c r="Y531" s="90"/>
      <c r="Z531" s="90"/>
    </row>
    <row r="532" ht="15.75" customHeight="1">
      <c r="A532" s="90"/>
      <c r="B532" s="90"/>
      <c r="C532" s="864"/>
      <c r="D532" s="90"/>
      <c r="E532" s="90"/>
      <c r="F532" s="90"/>
      <c r="G532" s="90"/>
      <c r="H532" s="90"/>
      <c r="I532" s="90"/>
      <c r="J532" s="90"/>
      <c r="K532" s="90"/>
      <c r="L532" s="90"/>
      <c r="M532" s="864"/>
      <c r="N532" s="864"/>
      <c r="O532" s="864"/>
      <c r="P532" s="864"/>
      <c r="Q532" s="864"/>
      <c r="R532" s="864"/>
      <c r="S532" s="864"/>
      <c r="T532" s="864"/>
      <c r="U532" s="864"/>
      <c r="V532" s="864"/>
      <c r="W532" s="864"/>
      <c r="X532" s="90"/>
      <c r="Y532" s="90"/>
      <c r="Z532" s="90"/>
    </row>
    <row r="533" ht="15.75" customHeight="1">
      <c r="A533" s="90"/>
      <c r="B533" s="90"/>
      <c r="C533" s="864"/>
      <c r="D533" s="90"/>
      <c r="E533" s="90"/>
      <c r="F533" s="90"/>
      <c r="G533" s="90"/>
      <c r="H533" s="90"/>
      <c r="I533" s="90"/>
      <c r="J533" s="90"/>
      <c r="K533" s="90"/>
      <c r="L533" s="90"/>
      <c r="M533" s="864"/>
      <c r="N533" s="864"/>
      <c r="O533" s="864"/>
      <c r="P533" s="864"/>
      <c r="Q533" s="864"/>
      <c r="R533" s="864"/>
      <c r="S533" s="864"/>
      <c r="T533" s="864"/>
      <c r="U533" s="864"/>
      <c r="V533" s="864"/>
      <c r="W533" s="864"/>
      <c r="X533" s="90"/>
      <c r="Y533" s="90"/>
      <c r="Z533" s="90"/>
    </row>
    <row r="534" ht="15.75" customHeight="1">
      <c r="A534" s="90"/>
      <c r="B534" s="90"/>
      <c r="C534" s="864"/>
      <c r="D534" s="90"/>
      <c r="E534" s="90"/>
      <c r="F534" s="90"/>
      <c r="G534" s="90"/>
      <c r="H534" s="90"/>
      <c r="I534" s="90"/>
      <c r="J534" s="90"/>
      <c r="K534" s="90"/>
      <c r="L534" s="90"/>
      <c r="M534" s="864"/>
      <c r="N534" s="864"/>
      <c r="O534" s="864"/>
      <c r="P534" s="864"/>
      <c r="Q534" s="864"/>
      <c r="R534" s="864"/>
      <c r="S534" s="864"/>
      <c r="T534" s="864"/>
      <c r="U534" s="864"/>
      <c r="V534" s="864"/>
      <c r="W534" s="864"/>
      <c r="X534" s="90"/>
      <c r="Y534" s="90"/>
      <c r="Z534" s="90"/>
    </row>
    <row r="535" ht="15.75" customHeight="1">
      <c r="A535" s="90"/>
      <c r="B535" s="90"/>
      <c r="C535" s="864"/>
      <c r="D535" s="90"/>
      <c r="E535" s="90"/>
      <c r="F535" s="90"/>
      <c r="G535" s="90"/>
      <c r="H535" s="90"/>
      <c r="I535" s="90"/>
      <c r="J535" s="90"/>
      <c r="K535" s="90"/>
      <c r="L535" s="90"/>
      <c r="M535" s="864"/>
      <c r="N535" s="864"/>
      <c r="O535" s="864"/>
      <c r="P535" s="864"/>
      <c r="Q535" s="864"/>
      <c r="R535" s="864"/>
      <c r="S535" s="864"/>
      <c r="T535" s="864"/>
      <c r="U535" s="864"/>
      <c r="V535" s="864"/>
      <c r="W535" s="864"/>
      <c r="X535" s="90"/>
      <c r="Y535" s="90"/>
      <c r="Z535" s="90"/>
    </row>
    <row r="536" ht="15.75" customHeight="1">
      <c r="A536" s="90"/>
      <c r="B536" s="90"/>
      <c r="C536" s="864"/>
      <c r="D536" s="90"/>
      <c r="E536" s="90"/>
      <c r="F536" s="90"/>
      <c r="G536" s="90"/>
      <c r="H536" s="90"/>
      <c r="I536" s="90"/>
      <c r="J536" s="90"/>
      <c r="K536" s="90"/>
      <c r="L536" s="90"/>
      <c r="M536" s="864"/>
      <c r="N536" s="864"/>
      <c r="O536" s="864"/>
      <c r="P536" s="864"/>
      <c r="Q536" s="864"/>
      <c r="R536" s="864"/>
      <c r="S536" s="864"/>
      <c r="T536" s="864"/>
      <c r="U536" s="864"/>
      <c r="V536" s="864"/>
      <c r="W536" s="864"/>
      <c r="X536" s="90"/>
      <c r="Y536" s="90"/>
      <c r="Z536" s="90"/>
    </row>
    <row r="537" ht="15.75" customHeight="1">
      <c r="A537" s="90"/>
      <c r="B537" s="90"/>
      <c r="C537" s="864"/>
      <c r="D537" s="90"/>
      <c r="E537" s="90"/>
      <c r="F537" s="90"/>
      <c r="G537" s="90"/>
      <c r="H537" s="90"/>
      <c r="I537" s="90"/>
      <c r="J537" s="90"/>
      <c r="K537" s="90"/>
      <c r="L537" s="90"/>
      <c r="M537" s="864"/>
      <c r="N537" s="864"/>
      <c r="O537" s="864"/>
      <c r="P537" s="864"/>
      <c r="Q537" s="864"/>
      <c r="R537" s="864"/>
      <c r="S537" s="864"/>
      <c r="T537" s="864"/>
      <c r="U537" s="864"/>
      <c r="V537" s="864"/>
      <c r="W537" s="864"/>
      <c r="X537" s="90"/>
      <c r="Y537" s="90"/>
      <c r="Z537" s="90"/>
    </row>
    <row r="538" ht="15.75" customHeight="1">
      <c r="A538" s="90"/>
      <c r="B538" s="90"/>
      <c r="C538" s="864"/>
      <c r="D538" s="90"/>
      <c r="E538" s="90"/>
      <c r="F538" s="90"/>
      <c r="G538" s="90"/>
      <c r="H538" s="90"/>
      <c r="I538" s="90"/>
      <c r="J538" s="90"/>
      <c r="K538" s="90"/>
      <c r="L538" s="90"/>
      <c r="M538" s="864"/>
      <c r="N538" s="864"/>
      <c r="O538" s="864"/>
      <c r="P538" s="864"/>
      <c r="Q538" s="864"/>
      <c r="R538" s="864"/>
      <c r="S538" s="864"/>
      <c r="T538" s="864"/>
      <c r="U538" s="864"/>
      <c r="V538" s="864"/>
      <c r="W538" s="864"/>
      <c r="X538" s="90"/>
      <c r="Y538" s="90"/>
      <c r="Z538" s="90"/>
    </row>
    <row r="539" ht="15.75" customHeight="1">
      <c r="A539" s="90"/>
      <c r="B539" s="90"/>
      <c r="C539" s="864"/>
      <c r="D539" s="90"/>
      <c r="E539" s="90"/>
      <c r="F539" s="90"/>
      <c r="G539" s="90"/>
      <c r="H539" s="90"/>
      <c r="I539" s="90"/>
      <c r="J539" s="90"/>
      <c r="K539" s="90"/>
      <c r="L539" s="90"/>
      <c r="M539" s="864"/>
      <c r="N539" s="864"/>
      <c r="O539" s="864"/>
      <c r="P539" s="864"/>
      <c r="Q539" s="864"/>
      <c r="R539" s="864"/>
      <c r="S539" s="864"/>
      <c r="T539" s="864"/>
      <c r="U539" s="864"/>
      <c r="V539" s="864"/>
      <c r="W539" s="864"/>
      <c r="X539" s="90"/>
      <c r="Y539" s="90"/>
      <c r="Z539" s="90"/>
    </row>
    <row r="540" ht="15.75" customHeight="1">
      <c r="A540" s="90"/>
      <c r="B540" s="90"/>
      <c r="C540" s="864"/>
      <c r="D540" s="90"/>
      <c r="E540" s="90"/>
      <c r="F540" s="90"/>
      <c r="G540" s="90"/>
      <c r="H540" s="90"/>
      <c r="I540" s="90"/>
      <c r="J540" s="90"/>
      <c r="K540" s="90"/>
      <c r="L540" s="90"/>
      <c r="M540" s="864"/>
      <c r="N540" s="864"/>
      <c r="O540" s="864"/>
      <c r="P540" s="864"/>
      <c r="Q540" s="864"/>
      <c r="R540" s="864"/>
      <c r="S540" s="864"/>
      <c r="T540" s="864"/>
      <c r="U540" s="864"/>
      <c r="V540" s="864"/>
      <c r="W540" s="864"/>
      <c r="X540" s="90"/>
      <c r="Y540" s="90"/>
      <c r="Z540" s="90"/>
    </row>
    <row r="541" ht="15.75" customHeight="1">
      <c r="A541" s="90"/>
      <c r="B541" s="90"/>
      <c r="C541" s="864"/>
      <c r="D541" s="90"/>
      <c r="E541" s="90"/>
      <c r="F541" s="90"/>
      <c r="G541" s="90"/>
      <c r="H541" s="90"/>
      <c r="I541" s="90"/>
      <c r="J541" s="90"/>
      <c r="K541" s="90"/>
      <c r="L541" s="90"/>
      <c r="M541" s="864"/>
      <c r="N541" s="864"/>
      <c r="O541" s="864"/>
      <c r="P541" s="864"/>
      <c r="Q541" s="864"/>
      <c r="R541" s="864"/>
      <c r="S541" s="864"/>
      <c r="T541" s="864"/>
      <c r="U541" s="864"/>
      <c r="V541" s="864"/>
      <c r="W541" s="864"/>
      <c r="X541" s="90"/>
      <c r="Y541" s="90"/>
      <c r="Z541" s="90"/>
    </row>
    <row r="542" ht="15.75" customHeight="1">
      <c r="A542" s="90"/>
      <c r="B542" s="90"/>
      <c r="C542" s="864"/>
      <c r="D542" s="90"/>
      <c r="E542" s="90"/>
      <c r="F542" s="90"/>
      <c r="G542" s="90"/>
      <c r="H542" s="90"/>
      <c r="I542" s="90"/>
      <c r="J542" s="90"/>
      <c r="K542" s="90"/>
      <c r="L542" s="90"/>
      <c r="M542" s="864"/>
      <c r="N542" s="864"/>
      <c r="O542" s="864"/>
      <c r="P542" s="864"/>
      <c r="Q542" s="864"/>
      <c r="R542" s="864"/>
      <c r="S542" s="864"/>
      <c r="T542" s="864"/>
      <c r="U542" s="864"/>
      <c r="V542" s="864"/>
      <c r="W542" s="864"/>
      <c r="X542" s="90"/>
      <c r="Y542" s="90"/>
      <c r="Z542" s="90"/>
    </row>
    <row r="543" ht="15.75" customHeight="1">
      <c r="A543" s="90"/>
      <c r="B543" s="90"/>
      <c r="C543" s="864"/>
      <c r="D543" s="90"/>
      <c r="E543" s="90"/>
      <c r="F543" s="90"/>
      <c r="G543" s="90"/>
      <c r="H543" s="90"/>
      <c r="I543" s="90"/>
      <c r="J543" s="90"/>
      <c r="K543" s="90"/>
      <c r="L543" s="90"/>
      <c r="M543" s="864"/>
      <c r="N543" s="864"/>
      <c r="O543" s="864"/>
      <c r="P543" s="864"/>
      <c r="Q543" s="864"/>
      <c r="R543" s="864"/>
      <c r="S543" s="864"/>
      <c r="T543" s="864"/>
      <c r="U543" s="864"/>
      <c r="V543" s="864"/>
      <c r="W543" s="864"/>
      <c r="X543" s="90"/>
      <c r="Y543" s="90"/>
      <c r="Z543" s="90"/>
    </row>
    <row r="544" ht="15.75" customHeight="1">
      <c r="A544" s="90"/>
      <c r="B544" s="90"/>
      <c r="C544" s="864"/>
      <c r="D544" s="90"/>
      <c r="E544" s="90"/>
      <c r="F544" s="90"/>
      <c r="G544" s="90"/>
      <c r="H544" s="90"/>
      <c r="I544" s="90"/>
      <c r="J544" s="90"/>
      <c r="K544" s="90"/>
      <c r="L544" s="90"/>
      <c r="M544" s="864"/>
      <c r="N544" s="864"/>
      <c r="O544" s="864"/>
      <c r="P544" s="864"/>
      <c r="Q544" s="864"/>
      <c r="R544" s="864"/>
      <c r="S544" s="864"/>
      <c r="T544" s="864"/>
      <c r="U544" s="864"/>
      <c r="V544" s="864"/>
      <c r="W544" s="864"/>
      <c r="X544" s="90"/>
      <c r="Y544" s="90"/>
      <c r="Z544" s="90"/>
    </row>
    <row r="545" ht="15.75" customHeight="1">
      <c r="A545" s="90"/>
      <c r="B545" s="90"/>
      <c r="C545" s="864"/>
      <c r="D545" s="90"/>
      <c r="E545" s="90"/>
      <c r="F545" s="90"/>
      <c r="G545" s="90"/>
      <c r="H545" s="90"/>
      <c r="I545" s="90"/>
      <c r="J545" s="90"/>
      <c r="K545" s="90"/>
      <c r="L545" s="90"/>
      <c r="M545" s="864"/>
      <c r="N545" s="864"/>
      <c r="O545" s="864"/>
      <c r="P545" s="864"/>
      <c r="Q545" s="864"/>
      <c r="R545" s="864"/>
      <c r="S545" s="864"/>
      <c r="T545" s="864"/>
      <c r="U545" s="864"/>
      <c r="V545" s="864"/>
      <c r="W545" s="864"/>
      <c r="X545" s="90"/>
      <c r="Y545" s="90"/>
      <c r="Z545" s="90"/>
    </row>
    <row r="546" ht="15.75" customHeight="1">
      <c r="A546" s="90"/>
      <c r="B546" s="90"/>
      <c r="C546" s="864"/>
      <c r="D546" s="90"/>
      <c r="E546" s="90"/>
      <c r="F546" s="90"/>
      <c r="G546" s="90"/>
      <c r="H546" s="90"/>
      <c r="I546" s="90"/>
      <c r="J546" s="90"/>
      <c r="K546" s="90"/>
      <c r="L546" s="90"/>
      <c r="M546" s="864"/>
      <c r="N546" s="864"/>
      <c r="O546" s="864"/>
      <c r="P546" s="864"/>
      <c r="Q546" s="864"/>
      <c r="R546" s="864"/>
      <c r="S546" s="864"/>
      <c r="T546" s="864"/>
      <c r="U546" s="864"/>
      <c r="V546" s="864"/>
      <c r="W546" s="864"/>
      <c r="X546" s="90"/>
      <c r="Y546" s="90"/>
      <c r="Z546" s="90"/>
    </row>
    <row r="547" ht="15.75" customHeight="1">
      <c r="A547" s="90"/>
      <c r="B547" s="90"/>
      <c r="C547" s="864"/>
      <c r="D547" s="90"/>
      <c r="E547" s="90"/>
      <c r="F547" s="90"/>
      <c r="G547" s="90"/>
      <c r="H547" s="90"/>
      <c r="I547" s="90"/>
      <c r="J547" s="90"/>
      <c r="K547" s="90"/>
      <c r="L547" s="90"/>
      <c r="M547" s="864"/>
      <c r="N547" s="864"/>
      <c r="O547" s="864"/>
      <c r="P547" s="864"/>
      <c r="Q547" s="864"/>
      <c r="R547" s="864"/>
      <c r="S547" s="864"/>
      <c r="T547" s="864"/>
      <c r="U547" s="864"/>
      <c r="V547" s="864"/>
      <c r="W547" s="864"/>
      <c r="X547" s="90"/>
      <c r="Y547" s="90"/>
      <c r="Z547" s="90"/>
    </row>
    <row r="548" ht="15.75" customHeight="1">
      <c r="A548" s="90"/>
      <c r="B548" s="90"/>
      <c r="C548" s="864"/>
      <c r="D548" s="90"/>
      <c r="E548" s="90"/>
      <c r="F548" s="90"/>
      <c r="G548" s="90"/>
      <c r="H548" s="90"/>
      <c r="I548" s="90"/>
      <c r="J548" s="90"/>
      <c r="K548" s="90"/>
      <c r="L548" s="90"/>
      <c r="M548" s="864"/>
      <c r="N548" s="864"/>
      <c r="O548" s="864"/>
      <c r="P548" s="864"/>
      <c r="Q548" s="864"/>
      <c r="R548" s="864"/>
      <c r="S548" s="864"/>
      <c r="T548" s="864"/>
      <c r="U548" s="864"/>
      <c r="V548" s="864"/>
      <c r="W548" s="864"/>
      <c r="X548" s="90"/>
      <c r="Y548" s="90"/>
      <c r="Z548" s="90"/>
    </row>
    <row r="549" ht="15.75" customHeight="1">
      <c r="A549" s="90"/>
      <c r="B549" s="90"/>
      <c r="C549" s="864"/>
      <c r="D549" s="90"/>
      <c r="E549" s="90"/>
      <c r="F549" s="90"/>
      <c r="G549" s="90"/>
      <c r="H549" s="90"/>
      <c r="I549" s="90"/>
      <c r="J549" s="90"/>
      <c r="K549" s="90"/>
      <c r="L549" s="90"/>
      <c r="M549" s="864"/>
      <c r="N549" s="864"/>
      <c r="O549" s="864"/>
      <c r="P549" s="864"/>
      <c r="Q549" s="864"/>
      <c r="R549" s="864"/>
      <c r="S549" s="864"/>
      <c r="T549" s="864"/>
      <c r="U549" s="864"/>
      <c r="V549" s="864"/>
      <c r="W549" s="864"/>
      <c r="X549" s="90"/>
      <c r="Y549" s="90"/>
      <c r="Z549" s="90"/>
    </row>
    <row r="550" ht="15.75" customHeight="1">
      <c r="A550" s="90"/>
      <c r="B550" s="90"/>
      <c r="C550" s="864"/>
      <c r="D550" s="90"/>
      <c r="E550" s="90"/>
      <c r="F550" s="90"/>
      <c r="G550" s="90"/>
      <c r="H550" s="90"/>
      <c r="I550" s="90"/>
      <c r="J550" s="90"/>
      <c r="K550" s="90"/>
      <c r="L550" s="90"/>
      <c r="M550" s="864"/>
      <c r="N550" s="864"/>
      <c r="O550" s="864"/>
      <c r="P550" s="864"/>
      <c r="Q550" s="864"/>
      <c r="R550" s="864"/>
      <c r="S550" s="864"/>
      <c r="T550" s="864"/>
      <c r="U550" s="864"/>
      <c r="V550" s="864"/>
      <c r="W550" s="864"/>
      <c r="X550" s="90"/>
      <c r="Y550" s="90"/>
      <c r="Z550" s="90"/>
    </row>
    <row r="551" ht="15.75" customHeight="1">
      <c r="A551" s="90"/>
      <c r="B551" s="90"/>
      <c r="C551" s="864"/>
      <c r="D551" s="90"/>
      <c r="E551" s="90"/>
      <c r="F551" s="90"/>
      <c r="G551" s="90"/>
      <c r="H551" s="90"/>
      <c r="I551" s="90"/>
      <c r="J551" s="90"/>
      <c r="K551" s="90"/>
      <c r="L551" s="90"/>
      <c r="M551" s="864"/>
      <c r="N551" s="864"/>
      <c r="O551" s="864"/>
      <c r="P551" s="864"/>
      <c r="Q551" s="864"/>
      <c r="R551" s="864"/>
      <c r="S551" s="864"/>
      <c r="T551" s="864"/>
      <c r="U551" s="864"/>
      <c r="V551" s="864"/>
      <c r="W551" s="864"/>
      <c r="X551" s="90"/>
      <c r="Y551" s="90"/>
      <c r="Z551" s="90"/>
    </row>
    <row r="552" ht="15.75" customHeight="1">
      <c r="A552" s="90"/>
      <c r="B552" s="90"/>
      <c r="C552" s="864"/>
      <c r="D552" s="90"/>
      <c r="E552" s="90"/>
      <c r="F552" s="90"/>
      <c r="G552" s="90"/>
      <c r="H552" s="90"/>
      <c r="I552" s="90"/>
      <c r="J552" s="90"/>
      <c r="K552" s="90"/>
      <c r="L552" s="90"/>
      <c r="M552" s="864"/>
      <c r="N552" s="864"/>
      <c r="O552" s="864"/>
      <c r="P552" s="864"/>
      <c r="Q552" s="864"/>
      <c r="R552" s="864"/>
      <c r="S552" s="864"/>
      <c r="T552" s="864"/>
      <c r="U552" s="864"/>
      <c r="V552" s="864"/>
      <c r="W552" s="864"/>
      <c r="X552" s="90"/>
      <c r="Y552" s="90"/>
      <c r="Z552" s="90"/>
    </row>
    <row r="553" ht="15.75" customHeight="1">
      <c r="A553" s="90"/>
      <c r="B553" s="90"/>
      <c r="C553" s="864"/>
      <c r="D553" s="90"/>
      <c r="E553" s="90"/>
      <c r="F553" s="90"/>
      <c r="G553" s="90"/>
      <c r="H553" s="90"/>
      <c r="I553" s="90"/>
      <c r="J553" s="90"/>
      <c r="K553" s="90"/>
      <c r="L553" s="90"/>
      <c r="M553" s="864"/>
      <c r="N553" s="864"/>
      <c r="O553" s="864"/>
      <c r="P553" s="864"/>
      <c r="Q553" s="864"/>
      <c r="R553" s="864"/>
      <c r="S553" s="864"/>
      <c r="T553" s="864"/>
      <c r="U553" s="864"/>
      <c r="V553" s="864"/>
      <c r="W553" s="864"/>
      <c r="X553" s="90"/>
      <c r="Y553" s="90"/>
      <c r="Z553" s="90"/>
    </row>
    <row r="554" ht="15.75" customHeight="1">
      <c r="A554" s="90"/>
      <c r="B554" s="90"/>
      <c r="C554" s="864"/>
      <c r="D554" s="90"/>
      <c r="E554" s="90"/>
      <c r="F554" s="90"/>
      <c r="G554" s="90"/>
      <c r="H554" s="90"/>
      <c r="I554" s="90"/>
      <c r="J554" s="90"/>
      <c r="K554" s="90"/>
      <c r="L554" s="90"/>
      <c r="M554" s="864"/>
      <c r="N554" s="864"/>
      <c r="O554" s="864"/>
      <c r="P554" s="864"/>
      <c r="Q554" s="864"/>
      <c r="R554" s="864"/>
      <c r="S554" s="864"/>
      <c r="T554" s="864"/>
      <c r="U554" s="864"/>
      <c r="V554" s="864"/>
      <c r="W554" s="864"/>
      <c r="X554" s="90"/>
      <c r="Y554" s="90"/>
      <c r="Z554" s="90"/>
    </row>
    <row r="555" ht="15.75" customHeight="1">
      <c r="A555" s="90"/>
      <c r="B555" s="90"/>
      <c r="C555" s="864"/>
      <c r="D555" s="90"/>
      <c r="E555" s="90"/>
      <c r="F555" s="90"/>
      <c r="G555" s="90"/>
      <c r="H555" s="90"/>
      <c r="I555" s="90"/>
      <c r="J555" s="90"/>
      <c r="K555" s="90"/>
      <c r="L555" s="90"/>
      <c r="M555" s="864"/>
      <c r="N555" s="864"/>
      <c r="O555" s="864"/>
      <c r="P555" s="864"/>
      <c r="Q555" s="864"/>
      <c r="R555" s="864"/>
      <c r="S555" s="864"/>
      <c r="T555" s="864"/>
      <c r="U555" s="864"/>
      <c r="V555" s="864"/>
      <c r="W555" s="864"/>
      <c r="X555" s="90"/>
      <c r="Y555" s="90"/>
      <c r="Z555" s="90"/>
    </row>
    <row r="556" ht="15.75" customHeight="1">
      <c r="A556" s="90"/>
      <c r="B556" s="90"/>
      <c r="C556" s="864"/>
      <c r="D556" s="90"/>
      <c r="E556" s="90"/>
      <c r="F556" s="90"/>
      <c r="G556" s="90"/>
      <c r="H556" s="90"/>
      <c r="I556" s="90"/>
      <c r="J556" s="90"/>
      <c r="K556" s="90"/>
      <c r="L556" s="90"/>
      <c r="M556" s="864"/>
      <c r="N556" s="864"/>
      <c r="O556" s="864"/>
      <c r="P556" s="864"/>
      <c r="Q556" s="864"/>
      <c r="R556" s="864"/>
      <c r="S556" s="864"/>
      <c r="T556" s="864"/>
      <c r="U556" s="864"/>
      <c r="V556" s="864"/>
      <c r="W556" s="864"/>
      <c r="X556" s="90"/>
      <c r="Y556" s="90"/>
      <c r="Z556" s="90"/>
    </row>
    <row r="557" ht="15.75" customHeight="1">
      <c r="A557" s="90"/>
      <c r="B557" s="90"/>
      <c r="C557" s="864"/>
      <c r="D557" s="90"/>
      <c r="E557" s="90"/>
      <c r="F557" s="90"/>
      <c r="G557" s="90"/>
      <c r="H557" s="90"/>
      <c r="I557" s="90"/>
      <c r="J557" s="90"/>
      <c r="K557" s="90"/>
      <c r="L557" s="90"/>
      <c r="M557" s="864"/>
      <c r="N557" s="864"/>
      <c r="O557" s="864"/>
      <c r="P557" s="864"/>
      <c r="Q557" s="864"/>
      <c r="R557" s="864"/>
      <c r="S557" s="864"/>
      <c r="T557" s="864"/>
      <c r="U557" s="864"/>
      <c r="V557" s="864"/>
      <c r="W557" s="864"/>
      <c r="X557" s="90"/>
      <c r="Y557" s="90"/>
      <c r="Z557" s="90"/>
    </row>
    <row r="558" ht="15.75" customHeight="1">
      <c r="A558" s="90"/>
      <c r="B558" s="90"/>
      <c r="C558" s="864"/>
      <c r="D558" s="90"/>
      <c r="E558" s="90"/>
      <c r="F558" s="90"/>
      <c r="G558" s="90"/>
      <c r="H558" s="90"/>
      <c r="I558" s="90"/>
      <c r="J558" s="90"/>
      <c r="K558" s="90"/>
      <c r="L558" s="90"/>
      <c r="M558" s="864"/>
      <c r="N558" s="864"/>
      <c r="O558" s="864"/>
      <c r="P558" s="864"/>
      <c r="Q558" s="864"/>
      <c r="R558" s="864"/>
      <c r="S558" s="864"/>
      <c r="T558" s="864"/>
      <c r="U558" s="864"/>
      <c r="V558" s="864"/>
      <c r="W558" s="864"/>
      <c r="X558" s="90"/>
      <c r="Y558" s="90"/>
      <c r="Z558" s="90"/>
    </row>
    <row r="559" ht="15.75" customHeight="1">
      <c r="A559" s="90"/>
      <c r="B559" s="90"/>
      <c r="C559" s="864"/>
      <c r="D559" s="90"/>
      <c r="E559" s="90"/>
      <c r="F559" s="90"/>
      <c r="G559" s="90"/>
      <c r="H559" s="90"/>
      <c r="I559" s="90"/>
      <c r="J559" s="90"/>
      <c r="K559" s="90"/>
      <c r="L559" s="90"/>
      <c r="M559" s="864"/>
      <c r="N559" s="864"/>
      <c r="O559" s="864"/>
      <c r="P559" s="864"/>
      <c r="Q559" s="864"/>
      <c r="R559" s="864"/>
      <c r="S559" s="864"/>
      <c r="T559" s="864"/>
      <c r="U559" s="864"/>
      <c r="V559" s="864"/>
      <c r="W559" s="864"/>
      <c r="X559" s="90"/>
      <c r="Y559" s="90"/>
      <c r="Z559" s="90"/>
    </row>
    <row r="560" ht="15.75" customHeight="1">
      <c r="A560" s="90"/>
      <c r="B560" s="90"/>
      <c r="C560" s="864"/>
      <c r="D560" s="90"/>
      <c r="E560" s="90"/>
      <c r="F560" s="90"/>
      <c r="G560" s="90"/>
      <c r="H560" s="90"/>
      <c r="I560" s="90"/>
      <c r="J560" s="90"/>
      <c r="K560" s="90"/>
      <c r="L560" s="90"/>
      <c r="M560" s="864"/>
      <c r="N560" s="864"/>
      <c r="O560" s="864"/>
      <c r="P560" s="864"/>
      <c r="Q560" s="864"/>
      <c r="R560" s="864"/>
      <c r="S560" s="864"/>
      <c r="T560" s="864"/>
      <c r="U560" s="864"/>
      <c r="V560" s="864"/>
      <c r="W560" s="864"/>
      <c r="X560" s="90"/>
      <c r="Y560" s="90"/>
      <c r="Z560" s="90"/>
    </row>
    <row r="561" ht="15.75" customHeight="1">
      <c r="A561" s="90"/>
      <c r="B561" s="90"/>
      <c r="C561" s="864"/>
      <c r="D561" s="90"/>
      <c r="E561" s="90"/>
      <c r="F561" s="90"/>
      <c r="G561" s="90"/>
      <c r="H561" s="90"/>
      <c r="I561" s="90"/>
      <c r="J561" s="90"/>
      <c r="K561" s="90"/>
      <c r="L561" s="90"/>
      <c r="M561" s="864"/>
      <c r="N561" s="864"/>
      <c r="O561" s="864"/>
      <c r="P561" s="864"/>
      <c r="Q561" s="864"/>
      <c r="R561" s="864"/>
      <c r="S561" s="864"/>
      <c r="T561" s="864"/>
      <c r="U561" s="864"/>
      <c r="V561" s="864"/>
      <c r="W561" s="864"/>
      <c r="X561" s="90"/>
      <c r="Y561" s="90"/>
      <c r="Z561" s="90"/>
    </row>
    <row r="562" ht="15.75" customHeight="1">
      <c r="A562" s="90"/>
      <c r="B562" s="90"/>
      <c r="C562" s="864"/>
      <c r="D562" s="90"/>
      <c r="E562" s="90"/>
      <c r="F562" s="90"/>
      <c r="G562" s="90"/>
      <c r="H562" s="90"/>
      <c r="I562" s="90"/>
      <c r="J562" s="90"/>
      <c r="K562" s="90"/>
      <c r="L562" s="90"/>
      <c r="M562" s="864"/>
      <c r="N562" s="864"/>
      <c r="O562" s="864"/>
      <c r="P562" s="864"/>
      <c r="Q562" s="864"/>
      <c r="R562" s="864"/>
      <c r="S562" s="864"/>
      <c r="T562" s="864"/>
      <c r="U562" s="864"/>
      <c r="V562" s="864"/>
      <c r="W562" s="864"/>
      <c r="X562" s="90"/>
      <c r="Y562" s="90"/>
      <c r="Z562" s="90"/>
    </row>
    <row r="563" ht="15.75" customHeight="1">
      <c r="A563" s="90"/>
      <c r="B563" s="90"/>
      <c r="C563" s="864"/>
      <c r="D563" s="90"/>
      <c r="E563" s="90"/>
      <c r="F563" s="90"/>
      <c r="G563" s="90"/>
      <c r="H563" s="90"/>
      <c r="I563" s="90"/>
      <c r="J563" s="90"/>
      <c r="K563" s="90"/>
      <c r="L563" s="90"/>
      <c r="M563" s="864"/>
      <c r="N563" s="864"/>
      <c r="O563" s="864"/>
      <c r="P563" s="864"/>
      <c r="Q563" s="864"/>
      <c r="R563" s="864"/>
      <c r="S563" s="864"/>
      <c r="T563" s="864"/>
      <c r="U563" s="864"/>
      <c r="V563" s="864"/>
      <c r="W563" s="864"/>
      <c r="X563" s="90"/>
      <c r="Y563" s="90"/>
      <c r="Z563" s="90"/>
    </row>
    <row r="564" ht="15.75" customHeight="1">
      <c r="A564" s="90"/>
      <c r="B564" s="90"/>
      <c r="C564" s="864"/>
      <c r="D564" s="90"/>
      <c r="E564" s="90"/>
      <c r="F564" s="90"/>
      <c r="G564" s="90"/>
      <c r="H564" s="90"/>
      <c r="I564" s="90"/>
      <c r="J564" s="90"/>
      <c r="K564" s="90"/>
      <c r="L564" s="90"/>
      <c r="M564" s="864"/>
      <c r="N564" s="864"/>
      <c r="O564" s="864"/>
      <c r="P564" s="864"/>
      <c r="Q564" s="864"/>
      <c r="R564" s="864"/>
      <c r="S564" s="864"/>
      <c r="T564" s="864"/>
      <c r="U564" s="864"/>
      <c r="V564" s="864"/>
      <c r="W564" s="864"/>
      <c r="X564" s="90"/>
      <c r="Y564" s="90"/>
      <c r="Z564" s="90"/>
    </row>
    <row r="565" ht="15.75" customHeight="1">
      <c r="A565" s="90"/>
      <c r="B565" s="90"/>
      <c r="C565" s="864"/>
      <c r="D565" s="90"/>
      <c r="E565" s="90"/>
      <c r="F565" s="90"/>
      <c r="G565" s="90"/>
      <c r="H565" s="90"/>
      <c r="I565" s="90"/>
      <c r="J565" s="90"/>
      <c r="K565" s="90"/>
      <c r="L565" s="90"/>
      <c r="M565" s="864"/>
      <c r="N565" s="864"/>
      <c r="O565" s="864"/>
      <c r="P565" s="864"/>
      <c r="Q565" s="864"/>
      <c r="R565" s="864"/>
      <c r="S565" s="864"/>
      <c r="T565" s="864"/>
      <c r="U565" s="864"/>
      <c r="V565" s="864"/>
      <c r="W565" s="864"/>
      <c r="X565" s="90"/>
      <c r="Y565" s="90"/>
      <c r="Z565" s="90"/>
    </row>
    <row r="566" ht="15.75" customHeight="1">
      <c r="A566" s="90"/>
      <c r="B566" s="90"/>
      <c r="C566" s="864"/>
      <c r="D566" s="90"/>
      <c r="E566" s="90"/>
      <c r="F566" s="90"/>
      <c r="G566" s="90"/>
      <c r="H566" s="90"/>
      <c r="I566" s="90"/>
      <c r="J566" s="90"/>
      <c r="K566" s="90"/>
      <c r="L566" s="90"/>
      <c r="M566" s="864"/>
      <c r="N566" s="864"/>
      <c r="O566" s="864"/>
      <c r="P566" s="864"/>
      <c r="Q566" s="864"/>
      <c r="R566" s="864"/>
      <c r="S566" s="864"/>
      <c r="T566" s="864"/>
      <c r="U566" s="864"/>
      <c r="V566" s="864"/>
      <c r="W566" s="864"/>
      <c r="X566" s="90"/>
      <c r="Y566" s="90"/>
      <c r="Z566" s="90"/>
    </row>
    <row r="567" ht="15.75" customHeight="1">
      <c r="A567" s="90"/>
      <c r="B567" s="90"/>
      <c r="C567" s="864"/>
      <c r="D567" s="90"/>
      <c r="E567" s="90"/>
      <c r="F567" s="90"/>
      <c r="G567" s="90"/>
      <c r="H567" s="90"/>
      <c r="I567" s="90"/>
      <c r="J567" s="90"/>
      <c r="K567" s="90"/>
      <c r="L567" s="90"/>
      <c r="M567" s="864"/>
      <c r="N567" s="864"/>
      <c r="O567" s="864"/>
      <c r="P567" s="864"/>
      <c r="Q567" s="864"/>
      <c r="R567" s="864"/>
      <c r="S567" s="864"/>
      <c r="T567" s="864"/>
      <c r="U567" s="864"/>
      <c r="V567" s="864"/>
      <c r="W567" s="864"/>
      <c r="X567" s="90"/>
      <c r="Y567" s="90"/>
      <c r="Z567" s="90"/>
    </row>
    <row r="568" ht="15.75" customHeight="1">
      <c r="A568" s="90"/>
      <c r="B568" s="90"/>
      <c r="C568" s="864"/>
      <c r="D568" s="90"/>
      <c r="E568" s="90"/>
      <c r="F568" s="90"/>
      <c r="G568" s="90"/>
      <c r="H568" s="90"/>
      <c r="I568" s="90"/>
      <c r="J568" s="90"/>
      <c r="K568" s="90"/>
      <c r="L568" s="90"/>
      <c r="M568" s="864"/>
      <c r="N568" s="864"/>
      <c r="O568" s="864"/>
      <c r="P568" s="864"/>
      <c r="Q568" s="864"/>
      <c r="R568" s="864"/>
      <c r="S568" s="864"/>
      <c r="T568" s="864"/>
      <c r="U568" s="864"/>
      <c r="V568" s="864"/>
      <c r="W568" s="864"/>
      <c r="X568" s="90"/>
      <c r="Y568" s="90"/>
      <c r="Z568" s="90"/>
    </row>
    <row r="569" ht="15.75" customHeight="1">
      <c r="A569" s="90"/>
      <c r="B569" s="90"/>
      <c r="C569" s="864"/>
      <c r="D569" s="90"/>
      <c r="E569" s="90"/>
      <c r="F569" s="90"/>
      <c r="G569" s="90"/>
      <c r="H569" s="90"/>
      <c r="I569" s="90"/>
      <c r="J569" s="90"/>
      <c r="K569" s="90"/>
      <c r="L569" s="90"/>
      <c r="M569" s="864"/>
      <c r="N569" s="864"/>
      <c r="O569" s="864"/>
      <c r="P569" s="864"/>
      <c r="Q569" s="864"/>
      <c r="R569" s="864"/>
      <c r="S569" s="864"/>
      <c r="T569" s="864"/>
      <c r="U569" s="864"/>
      <c r="V569" s="864"/>
      <c r="W569" s="864"/>
      <c r="X569" s="90"/>
      <c r="Y569" s="90"/>
      <c r="Z569" s="90"/>
    </row>
    <row r="570" ht="15.75" customHeight="1">
      <c r="A570" s="90"/>
      <c r="B570" s="90"/>
      <c r="C570" s="864"/>
      <c r="D570" s="90"/>
      <c r="E570" s="90"/>
      <c r="F570" s="90"/>
      <c r="G570" s="90"/>
      <c r="H570" s="90"/>
      <c r="I570" s="90"/>
      <c r="J570" s="90"/>
      <c r="K570" s="90"/>
      <c r="L570" s="90"/>
      <c r="M570" s="864"/>
      <c r="N570" s="864"/>
      <c r="O570" s="864"/>
      <c r="P570" s="864"/>
      <c r="Q570" s="864"/>
      <c r="R570" s="864"/>
      <c r="S570" s="864"/>
      <c r="T570" s="864"/>
      <c r="U570" s="864"/>
      <c r="V570" s="864"/>
      <c r="W570" s="864"/>
      <c r="X570" s="90"/>
      <c r="Y570" s="90"/>
      <c r="Z570" s="90"/>
    </row>
    <row r="571" ht="15.75" customHeight="1">
      <c r="A571" s="90"/>
      <c r="B571" s="90"/>
      <c r="C571" s="864"/>
      <c r="D571" s="90"/>
      <c r="E571" s="90"/>
      <c r="F571" s="90"/>
      <c r="G571" s="90"/>
      <c r="H571" s="90"/>
      <c r="I571" s="90"/>
      <c r="J571" s="90"/>
      <c r="K571" s="90"/>
      <c r="L571" s="90"/>
      <c r="M571" s="864"/>
      <c r="N571" s="864"/>
      <c r="O571" s="864"/>
      <c r="P571" s="864"/>
      <c r="Q571" s="864"/>
      <c r="R571" s="864"/>
      <c r="S571" s="864"/>
      <c r="T571" s="864"/>
      <c r="U571" s="864"/>
      <c r="V571" s="864"/>
      <c r="W571" s="864"/>
      <c r="X571" s="90"/>
      <c r="Y571" s="90"/>
      <c r="Z571" s="90"/>
    </row>
    <row r="572" ht="15.75" customHeight="1">
      <c r="A572" s="90"/>
      <c r="B572" s="90"/>
      <c r="C572" s="864"/>
      <c r="D572" s="90"/>
      <c r="E572" s="90"/>
      <c r="F572" s="90"/>
      <c r="G572" s="90"/>
      <c r="H572" s="90"/>
      <c r="I572" s="90"/>
      <c r="J572" s="90"/>
      <c r="K572" s="90"/>
      <c r="L572" s="90"/>
      <c r="M572" s="864"/>
      <c r="N572" s="864"/>
      <c r="O572" s="864"/>
      <c r="P572" s="864"/>
      <c r="Q572" s="864"/>
      <c r="R572" s="864"/>
      <c r="S572" s="864"/>
      <c r="T572" s="864"/>
      <c r="U572" s="864"/>
      <c r="V572" s="864"/>
      <c r="W572" s="864"/>
      <c r="X572" s="90"/>
      <c r="Y572" s="90"/>
      <c r="Z572" s="90"/>
    </row>
    <row r="573" ht="15.75" customHeight="1">
      <c r="A573" s="90"/>
      <c r="B573" s="90"/>
      <c r="C573" s="864"/>
      <c r="D573" s="90"/>
      <c r="E573" s="90"/>
      <c r="F573" s="90"/>
      <c r="G573" s="90"/>
      <c r="H573" s="90"/>
      <c r="I573" s="90"/>
      <c r="J573" s="90"/>
      <c r="K573" s="90"/>
      <c r="L573" s="90"/>
      <c r="M573" s="864"/>
      <c r="N573" s="864"/>
      <c r="O573" s="864"/>
      <c r="P573" s="864"/>
      <c r="Q573" s="864"/>
      <c r="R573" s="864"/>
      <c r="S573" s="864"/>
      <c r="T573" s="864"/>
      <c r="U573" s="864"/>
      <c r="V573" s="864"/>
      <c r="W573" s="864"/>
      <c r="X573" s="90"/>
      <c r="Y573" s="90"/>
      <c r="Z573" s="90"/>
    </row>
    <row r="574" ht="15.75" customHeight="1">
      <c r="A574" s="90"/>
      <c r="B574" s="90"/>
      <c r="C574" s="864"/>
      <c r="D574" s="90"/>
      <c r="E574" s="90"/>
      <c r="F574" s="90"/>
      <c r="G574" s="90"/>
      <c r="H574" s="90"/>
      <c r="I574" s="90"/>
      <c r="J574" s="90"/>
      <c r="K574" s="90"/>
      <c r="L574" s="90"/>
      <c r="M574" s="864"/>
      <c r="N574" s="864"/>
      <c r="O574" s="864"/>
      <c r="P574" s="864"/>
      <c r="Q574" s="864"/>
      <c r="R574" s="864"/>
      <c r="S574" s="864"/>
      <c r="T574" s="864"/>
      <c r="U574" s="864"/>
      <c r="V574" s="864"/>
      <c r="W574" s="864"/>
      <c r="X574" s="90"/>
      <c r="Y574" s="90"/>
      <c r="Z574" s="90"/>
    </row>
    <row r="575" ht="15.75" customHeight="1">
      <c r="A575" s="90"/>
      <c r="B575" s="90"/>
      <c r="C575" s="864"/>
      <c r="D575" s="90"/>
      <c r="E575" s="90"/>
      <c r="F575" s="90"/>
      <c r="G575" s="90"/>
      <c r="H575" s="90"/>
      <c r="I575" s="90"/>
      <c r="J575" s="90"/>
      <c r="K575" s="90"/>
      <c r="L575" s="90"/>
      <c r="M575" s="864"/>
      <c r="N575" s="864"/>
      <c r="O575" s="864"/>
      <c r="P575" s="864"/>
      <c r="Q575" s="864"/>
      <c r="R575" s="864"/>
      <c r="S575" s="864"/>
      <c r="T575" s="864"/>
      <c r="U575" s="864"/>
      <c r="V575" s="864"/>
      <c r="W575" s="864"/>
      <c r="X575" s="90"/>
      <c r="Y575" s="90"/>
      <c r="Z575" s="90"/>
    </row>
    <row r="576" ht="15.75" customHeight="1">
      <c r="A576" s="90"/>
      <c r="B576" s="90"/>
      <c r="C576" s="864"/>
      <c r="D576" s="90"/>
      <c r="E576" s="90"/>
      <c r="F576" s="90"/>
      <c r="G576" s="90"/>
      <c r="H576" s="90"/>
      <c r="I576" s="90"/>
      <c r="J576" s="90"/>
      <c r="K576" s="90"/>
      <c r="L576" s="90"/>
      <c r="M576" s="864"/>
      <c r="N576" s="864"/>
      <c r="O576" s="864"/>
      <c r="P576" s="864"/>
      <c r="Q576" s="864"/>
      <c r="R576" s="864"/>
      <c r="S576" s="864"/>
      <c r="T576" s="864"/>
      <c r="U576" s="864"/>
      <c r="V576" s="864"/>
      <c r="W576" s="864"/>
      <c r="X576" s="90"/>
      <c r="Y576" s="90"/>
      <c r="Z576" s="90"/>
    </row>
    <row r="577" ht="15.75" customHeight="1">
      <c r="A577" s="90"/>
      <c r="B577" s="90"/>
      <c r="C577" s="864"/>
      <c r="D577" s="90"/>
      <c r="E577" s="90"/>
      <c r="F577" s="90"/>
      <c r="G577" s="90"/>
      <c r="H577" s="90"/>
      <c r="I577" s="90"/>
      <c r="J577" s="90"/>
      <c r="K577" s="90"/>
      <c r="L577" s="90"/>
      <c r="M577" s="864"/>
      <c r="N577" s="864"/>
      <c r="O577" s="864"/>
      <c r="P577" s="864"/>
      <c r="Q577" s="864"/>
      <c r="R577" s="864"/>
      <c r="S577" s="864"/>
      <c r="T577" s="864"/>
      <c r="U577" s="864"/>
      <c r="V577" s="864"/>
      <c r="W577" s="864"/>
      <c r="X577" s="90"/>
      <c r="Y577" s="90"/>
      <c r="Z577" s="90"/>
    </row>
    <row r="578" ht="15.75" customHeight="1">
      <c r="A578" s="90"/>
      <c r="B578" s="90"/>
      <c r="C578" s="864"/>
      <c r="D578" s="90"/>
      <c r="E578" s="90"/>
      <c r="F578" s="90"/>
      <c r="G578" s="90"/>
      <c r="H578" s="90"/>
      <c r="I578" s="90"/>
      <c r="J578" s="90"/>
      <c r="K578" s="90"/>
      <c r="L578" s="90"/>
      <c r="M578" s="864"/>
      <c r="N578" s="864"/>
      <c r="O578" s="864"/>
      <c r="P578" s="864"/>
      <c r="Q578" s="864"/>
      <c r="R578" s="864"/>
      <c r="S578" s="864"/>
      <c r="T578" s="864"/>
      <c r="U578" s="864"/>
      <c r="V578" s="864"/>
      <c r="W578" s="864"/>
      <c r="X578" s="90"/>
      <c r="Y578" s="90"/>
      <c r="Z578" s="90"/>
    </row>
    <row r="579" ht="15.75" customHeight="1">
      <c r="A579" s="90"/>
      <c r="B579" s="90"/>
      <c r="C579" s="864"/>
      <c r="D579" s="90"/>
      <c r="E579" s="90"/>
      <c r="F579" s="90"/>
      <c r="G579" s="90"/>
      <c r="H579" s="90"/>
      <c r="I579" s="90"/>
      <c r="J579" s="90"/>
      <c r="K579" s="90"/>
      <c r="L579" s="90"/>
      <c r="M579" s="864"/>
      <c r="N579" s="864"/>
      <c r="O579" s="864"/>
      <c r="P579" s="864"/>
      <c r="Q579" s="864"/>
      <c r="R579" s="864"/>
      <c r="S579" s="864"/>
      <c r="T579" s="864"/>
      <c r="U579" s="864"/>
      <c r="V579" s="864"/>
      <c r="W579" s="864"/>
      <c r="X579" s="90"/>
      <c r="Y579" s="90"/>
      <c r="Z579" s="90"/>
    </row>
    <row r="580" ht="15.75" customHeight="1">
      <c r="A580" s="90"/>
      <c r="B580" s="90"/>
      <c r="C580" s="864"/>
      <c r="D580" s="90"/>
      <c r="E580" s="90"/>
      <c r="F580" s="90"/>
      <c r="G580" s="90"/>
      <c r="H580" s="90"/>
      <c r="I580" s="90"/>
      <c r="J580" s="90"/>
      <c r="K580" s="90"/>
      <c r="L580" s="90"/>
      <c r="M580" s="864"/>
      <c r="N580" s="864"/>
      <c r="O580" s="864"/>
      <c r="P580" s="864"/>
      <c r="Q580" s="864"/>
      <c r="R580" s="864"/>
      <c r="S580" s="864"/>
      <c r="T580" s="864"/>
      <c r="U580" s="864"/>
      <c r="V580" s="864"/>
      <c r="W580" s="864"/>
      <c r="X580" s="90"/>
      <c r="Y580" s="90"/>
      <c r="Z580" s="90"/>
    </row>
    <row r="581" ht="15.75" customHeight="1">
      <c r="A581" s="90"/>
      <c r="B581" s="90"/>
      <c r="C581" s="864"/>
      <c r="D581" s="90"/>
      <c r="E581" s="90"/>
      <c r="F581" s="90"/>
      <c r="G581" s="90"/>
      <c r="H581" s="90"/>
      <c r="I581" s="90"/>
      <c r="J581" s="90"/>
      <c r="K581" s="90"/>
      <c r="L581" s="90"/>
      <c r="M581" s="864"/>
      <c r="N581" s="864"/>
      <c r="O581" s="864"/>
      <c r="P581" s="864"/>
      <c r="Q581" s="864"/>
      <c r="R581" s="864"/>
      <c r="S581" s="864"/>
      <c r="T581" s="864"/>
      <c r="U581" s="864"/>
      <c r="V581" s="864"/>
      <c r="W581" s="864"/>
      <c r="X581" s="90"/>
      <c r="Y581" s="90"/>
      <c r="Z581" s="90"/>
    </row>
    <row r="582" ht="15.75" customHeight="1">
      <c r="A582" s="90"/>
      <c r="B582" s="90"/>
      <c r="C582" s="864"/>
      <c r="D582" s="90"/>
      <c r="E582" s="90"/>
      <c r="F582" s="90"/>
      <c r="G582" s="90"/>
      <c r="H582" s="90"/>
      <c r="I582" s="90"/>
      <c r="J582" s="90"/>
      <c r="K582" s="90"/>
      <c r="L582" s="90"/>
      <c r="M582" s="864"/>
      <c r="N582" s="864"/>
      <c r="O582" s="864"/>
      <c r="P582" s="864"/>
      <c r="Q582" s="864"/>
      <c r="R582" s="864"/>
      <c r="S582" s="864"/>
      <c r="T582" s="864"/>
      <c r="U582" s="864"/>
      <c r="V582" s="864"/>
      <c r="W582" s="864"/>
      <c r="X582" s="90"/>
      <c r="Y582" s="90"/>
      <c r="Z582" s="90"/>
    </row>
    <row r="583" ht="15.75" customHeight="1">
      <c r="A583" s="90"/>
      <c r="B583" s="90"/>
      <c r="C583" s="864"/>
      <c r="D583" s="90"/>
      <c r="E583" s="90"/>
      <c r="F583" s="90"/>
      <c r="G583" s="90"/>
      <c r="H583" s="90"/>
      <c r="I583" s="90"/>
      <c r="J583" s="90"/>
      <c r="K583" s="90"/>
      <c r="L583" s="90"/>
      <c r="M583" s="864"/>
      <c r="N583" s="864"/>
      <c r="O583" s="864"/>
      <c r="P583" s="864"/>
      <c r="Q583" s="864"/>
      <c r="R583" s="864"/>
      <c r="S583" s="864"/>
      <c r="T583" s="864"/>
      <c r="U583" s="864"/>
      <c r="V583" s="864"/>
      <c r="W583" s="864"/>
      <c r="X583" s="90"/>
      <c r="Y583" s="90"/>
      <c r="Z583" s="90"/>
    </row>
    <row r="584" ht="15.75" customHeight="1">
      <c r="A584" s="90"/>
      <c r="B584" s="90"/>
      <c r="C584" s="864"/>
      <c r="D584" s="90"/>
      <c r="E584" s="90"/>
      <c r="F584" s="90"/>
      <c r="G584" s="90"/>
      <c r="H584" s="90"/>
      <c r="I584" s="90"/>
      <c r="J584" s="90"/>
      <c r="K584" s="90"/>
      <c r="L584" s="90"/>
      <c r="M584" s="864"/>
      <c r="N584" s="864"/>
      <c r="O584" s="864"/>
      <c r="P584" s="864"/>
      <c r="Q584" s="864"/>
      <c r="R584" s="864"/>
      <c r="S584" s="864"/>
      <c r="T584" s="864"/>
      <c r="U584" s="864"/>
      <c r="V584" s="864"/>
      <c r="W584" s="864"/>
      <c r="X584" s="90"/>
      <c r="Y584" s="90"/>
      <c r="Z584" s="90"/>
    </row>
    <row r="585" ht="15.75" customHeight="1">
      <c r="A585" s="90"/>
      <c r="B585" s="90"/>
      <c r="C585" s="864"/>
      <c r="D585" s="90"/>
      <c r="E585" s="90"/>
      <c r="F585" s="90"/>
      <c r="G585" s="90"/>
      <c r="H585" s="90"/>
      <c r="I585" s="90"/>
      <c r="J585" s="90"/>
      <c r="K585" s="90"/>
      <c r="L585" s="90"/>
      <c r="M585" s="864"/>
      <c r="N585" s="864"/>
      <c r="O585" s="864"/>
      <c r="P585" s="864"/>
      <c r="Q585" s="864"/>
      <c r="R585" s="864"/>
      <c r="S585" s="864"/>
      <c r="T585" s="864"/>
      <c r="U585" s="864"/>
      <c r="V585" s="864"/>
      <c r="W585" s="864"/>
      <c r="X585" s="90"/>
      <c r="Y585" s="90"/>
      <c r="Z585" s="90"/>
    </row>
    <row r="586" ht="15.75" customHeight="1">
      <c r="A586" s="90"/>
      <c r="B586" s="90"/>
      <c r="C586" s="864"/>
      <c r="D586" s="90"/>
      <c r="E586" s="90"/>
      <c r="F586" s="90"/>
      <c r="G586" s="90"/>
      <c r="H586" s="90"/>
      <c r="I586" s="90"/>
      <c r="J586" s="90"/>
      <c r="K586" s="90"/>
      <c r="L586" s="90"/>
      <c r="M586" s="864"/>
      <c r="N586" s="864"/>
      <c r="O586" s="864"/>
      <c r="P586" s="864"/>
      <c r="Q586" s="864"/>
      <c r="R586" s="864"/>
      <c r="S586" s="864"/>
      <c r="T586" s="864"/>
      <c r="U586" s="864"/>
      <c r="V586" s="864"/>
      <c r="W586" s="864"/>
      <c r="X586" s="90"/>
      <c r="Y586" s="90"/>
      <c r="Z586" s="90"/>
    </row>
    <row r="587" ht="15.75" customHeight="1">
      <c r="A587" s="90"/>
      <c r="B587" s="90"/>
      <c r="C587" s="864"/>
      <c r="D587" s="90"/>
      <c r="E587" s="90"/>
      <c r="F587" s="90"/>
      <c r="G587" s="90"/>
      <c r="H587" s="90"/>
      <c r="I587" s="90"/>
      <c r="J587" s="90"/>
      <c r="K587" s="90"/>
      <c r="L587" s="90"/>
      <c r="M587" s="864"/>
      <c r="N587" s="864"/>
      <c r="O587" s="864"/>
      <c r="P587" s="864"/>
      <c r="Q587" s="864"/>
      <c r="R587" s="864"/>
      <c r="S587" s="864"/>
      <c r="T587" s="864"/>
      <c r="U587" s="864"/>
      <c r="V587" s="864"/>
      <c r="W587" s="864"/>
      <c r="X587" s="90"/>
      <c r="Y587" s="90"/>
      <c r="Z587" s="90"/>
    </row>
    <row r="588" ht="15.75" customHeight="1">
      <c r="A588" s="90"/>
      <c r="B588" s="90"/>
      <c r="C588" s="864"/>
      <c r="D588" s="90"/>
      <c r="E588" s="90"/>
      <c r="F588" s="90"/>
      <c r="G588" s="90"/>
      <c r="H588" s="90"/>
      <c r="I588" s="90"/>
      <c r="J588" s="90"/>
      <c r="K588" s="90"/>
      <c r="L588" s="90"/>
      <c r="M588" s="864"/>
      <c r="N588" s="864"/>
      <c r="O588" s="864"/>
      <c r="P588" s="864"/>
      <c r="Q588" s="864"/>
      <c r="R588" s="864"/>
      <c r="S588" s="864"/>
      <c r="T588" s="864"/>
      <c r="U588" s="864"/>
      <c r="V588" s="864"/>
      <c r="W588" s="864"/>
      <c r="X588" s="90"/>
      <c r="Y588" s="90"/>
      <c r="Z588" s="90"/>
    </row>
    <row r="589" ht="15.75" customHeight="1">
      <c r="A589" s="90"/>
      <c r="B589" s="90"/>
      <c r="C589" s="864"/>
      <c r="D589" s="90"/>
      <c r="E589" s="90"/>
      <c r="F589" s="90"/>
      <c r="G589" s="90"/>
      <c r="H589" s="90"/>
      <c r="I589" s="90"/>
      <c r="J589" s="90"/>
      <c r="K589" s="90"/>
      <c r="L589" s="90"/>
      <c r="M589" s="864"/>
      <c r="N589" s="864"/>
      <c r="O589" s="864"/>
      <c r="P589" s="864"/>
      <c r="Q589" s="864"/>
      <c r="R589" s="864"/>
      <c r="S589" s="864"/>
      <c r="T589" s="864"/>
      <c r="U589" s="864"/>
      <c r="V589" s="864"/>
      <c r="W589" s="864"/>
      <c r="X589" s="90"/>
      <c r="Y589" s="90"/>
      <c r="Z589" s="90"/>
    </row>
    <row r="590" ht="15.75" customHeight="1">
      <c r="A590" s="90"/>
      <c r="B590" s="90"/>
      <c r="C590" s="864"/>
      <c r="D590" s="90"/>
      <c r="E590" s="90"/>
      <c r="F590" s="90"/>
      <c r="G590" s="90"/>
      <c r="H590" s="90"/>
      <c r="I590" s="90"/>
      <c r="J590" s="90"/>
      <c r="K590" s="90"/>
      <c r="L590" s="90"/>
      <c r="M590" s="864"/>
      <c r="N590" s="864"/>
      <c r="O590" s="864"/>
      <c r="P590" s="864"/>
      <c r="Q590" s="864"/>
      <c r="R590" s="864"/>
      <c r="S590" s="864"/>
      <c r="T590" s="864"/>
      <c r="U590" s="864"/>
      <c r="V590" s="864"/>
      <c r="W590" s="864"/>
      <c r="X590" s="90"/>
      <c r="Y590" s="90"/>
      <c r="Z590" s="90"/>
    </row>
    <row r="591" ht="15.75" customHeight="1">
      <c r="A591" s="90"/>
      <c r="B591" s="90"/>
      <c r="C591" s="864"/>
      <c r="D591" s="90"/>
      <c r="E591" s="90"/>
      <c r="F591" s="90"/>
      <c r="G591" s="90"/>
      <c r="H591" s="90"/>
      <c r="I591" s="90"/>
      <c r="J591" s="90"/>
      <c r="K591" s="90"/>
      <c r="L591" s="90"/>
      <c r="M591" s="864"/>
      <c r="N591" s="864"/>
      <c r="O591" s="864"/>
      <c r="P591" s="864"/>
      <c r="Q591" s="864"/>
      <c r="R591" s="864"/>
      <c r="S591" s="864"/>
      <c r="T591" s="864"/>
      <c r="U591" s="864"/>
      <c r="V591" s="864"/>
      <c r="W591" s="864"/>
      <c r="X591" s="90"/>
      <c r="Y591" s="90"/>
      <c r="Z591" s="90"/>
    </row>
    <row r="592" ht="15.75" customHeight="1">
      <c r="A592" s="90"/>
      <c r="B592" s="90"/>
      <c r="C592" s="864"/>
      <c r="D592" s="90"/>
      <c r="E592" s="90"/>
      <c r="F592" s="90"/>
      <c r="G592" s="90"/>
      <c r="H592" s="90"/>
      <c r="I592" s="90"/>
      <c r="J592" s="90"/>
      <c r="K592" s="90"/>
      <c r="L592" s="90"/>
      <c r="M592" s="864"/>
      <c r="N592" s="864"/>
      <c r="O592" s="864"/>
      <c r="P592" s="864"/>
      <c r="Q592" s="864"/>
      <c r="R592" s="864"/>
      <c r="S592" s="864"/>
      <c r="T592" s="864"/>
      <c r="U592" s="864"/>
      <c r="V592" s="864"/>
      <c r="W592" s="864"/>
      <c r="X592" s="90"/>
      <c r="Y592" s="90"/>
      <c r="Z592" s="90"/>
    </row>
    <row r="593" ht="15.75" customHeight="1">
      <c r="A593" s="90"/>
      <c r="B593" s="90"/>
      <c r="C593" s="864"/>
      <c r="D593" s="90"/>
      <c r="E593" s="90"/>
      <c r="F593" s="90"/>
      <c r="G593" s="90"/>
      <c r="H593" s="90"/>
      <c r="I593" s="90"/>
      <c r="J593" s="90"/>
      <c r="K593" s="90"/>
      <c r="L593" s="90"/>
      <c r="M593" s="864"/>
      <c r="N593" s="864"/>
      <c r="O593" s="864"/>
      <c r="P593" s="864"/>
      <c r="Q593" s="864"/>
      <c r="R593" s="864"/>
      <c r="S593" s="864"/>
      <c r="T593" s="864"/>
      <c r="U593" s="864"/>
      <c r="V593" s="864"/>
      <c r="W593" s="864"/>
      <c r="X593" s="90"/>
      <c r="Y593" s="90"/>
      <c r="Z593" s="90"/>
    </row>
    <row r="594" ht="15.75" customHeight="1">
      <c r="A594" s="90"/>
      <c r="B594" s="90"/>
      <c r="C594" s="864"/>
      <c r="D594" s="90"/>
      <c r="E594" s="90"/>
      <c r="F594" s="90"/>
      <c r="G594" s="90"/>
      <c r="H594" s="90"/>
      <c r="I594" s="90"/>
      <c r="J594" s="90"/>
      <c r="K594" s="90"/>
      <c r="L594" s="90"/>
      <c r="M594" s="864"/>
      <c r="N594" s="864"/>
      <c r="O594" s="864"/>
      <c r="P594" s="864"/>
      <c r="Q594" s="864"/>
      <c r="R594" s="864"/>
      <c r="S594" s="864"/>
      <c r="T594" s="864"/>
      <c r="U594" s="864"/>
      <c r="V594" s="864"/>
      <c r="W594" s="864"/>
      <c r="X594" s="90"/>
      <c r="Y594" s="90"/>
      <c r="Z594" s="90"/>
    </row>
    <row r="595" ht="15.75" customHeight="1">
      <c r="A595" s="90"/>
      <c r="B595" s="90"/>
      <c r="C595" s="864"/>
      <c r="D595" s="90"/>
      <c r="E595" s="90"/>
      <c r="F595" s="90"/>
      <c r="G595" s="90"/>
      <c r="H595" s="90"/>
      <c r="I595" s="90"/>
      <c r="J595" s="90"/>
      <c r="K595" s="90"/>
      <c r="L595" s="90"/>
      <c r="M595" s="864"/>
      <c r="N595" s="864"/>
      <c r="O595" s="864"/>
      <c r="P595" s="864"/>
      <c r="Q595" s="864"/>
      <c r="R595" s="864"/>
      <c r="S595" s="864"/>
      <c r="T595" s="864"/>
      <c r="U595" s="864"/>
      <c r="V595" s="864"/>
      <c r="W595" s="864"/>
      <c r="X595" s="90"/>
      <c r="Y595" s="90"/>
      <c r="Z595" s="90"/>
    </row>
    <row r="596" ht="15.75" customHeight="1">
      <c r="A596" s="90"/>
      <c r="B596" s="90"/>
      <c r="C596" s="864"/>
      <c r="D596" s="90"/>
      <c r="E596" s="90"/>
      <c r="F596" s="90"/>
      <c r="G596" s="90"/>
      <c r="H596" s="90"/>
      <c r="I596" s="90"/>
      <c r="J596" s="90"/>
      <c r="K596" s="90"/>
      <c r="L596" s="90"/>
      <c r="M596" s="864"/>
      <c r="N596" s="864"/>
      <c r="O596" s="864"/>
      <c r="P596" s="864"/>
      <c r="Q596" s="864"/>
      <c r="R596" s="864"/>
      <c r="S596" s="864"/>
      <c r="T596" s="864"/>
      <c r="U596" s="864"/>
      <c r="V596" s="864"/>
      <c r="W596" s="864"/>
      <c r="X596" s="90"/>
      <c r="Y596" s="90"/>
      <c r="Z596" s="90"/>
    </row>
    <row r="597" ht="15.75" customHeight="1">
      <c r="A597" s="90"/>
      <c r="B597" s="90"/>
      <c r="C597" s="864"/>
      <c r="D597" s="90"/>
      <c r="E597" s="90"/>
      <c r="F597" s="90"/>
      <c r="G597" s="90"/>
      <c r="H597" s="90"/>
      <c r="I597" s="90"/>
      <c r="J597" s="90"/>
      <c r="K597" s="90"/>
      <c r="L597" s="90"/>
      <c r="M597" s="864"/>
      <c r="N597" s="864"/>
      <c r="O597" s="864"/>
      <c r="P597" s="864"/>
      <c r="Q597" s="864"/>
      <c r="R597" s="864"/>
      <c r="S597" s="864"/>
      <c r="T597" s="864"/>
      <c r="U597" s="864"/>
      <c r="V597" s="864"/>
      <c r="W597" s="864"/>
      <c r="X597" s="90"/>
      <c r="Y597" s="90"/>
      <c r="Z597" s="90"/>
    </row>
    <row r="598" ht="15.75" customHeight="1">
      <c r="A598" s="90"/>
      <c r="B598" s="90"/>
      <c r="C598" s="864"/>
      <c r="D598" s="90"/>
      <c r="E598" s="90"/>
      <c r="F598" s="90"/>
      <c r="G598" s="90"/>
      <c r="H598" s="90"/>
      <c r="I598" s="90"/>
      <c r="J598" s="90"/>
      <c r="K598" s="90"/>
      <c r="L598" s="90"/>
      <c r="M598" s="864"/>
      <c r="N598" s="864"/>
      <c r="O598" s="864"/>
      <c r="P598" s="864"/>
      <c r="Q598" s="864"/>
      <c r="R598" s="864"/>
      <c r="S598" s="864"/>
      <c r="T598" s="864"/>
      <c r="U598" s="864"/>
      <c r="V598" s="864"/>
      <c r="W598" s="864"/>
      <c r="X598" s="90"/>
      <c r="Y598" s="90"/>
      <c r="Z598" s="90"/>
    </row>
    <row r="599" ht="15.75" customHeight="1">
      <c r="A599" s="90"/>
      <c r="B599" s="90"/>
      <c r="C599" s="864"/>
      <c r="D599" s="90"/>
      <c r="E599" s="90"/>
      <c r="F599" s="90"/>
      <c r="G599" s="90"/>
      <c r="H599" s="90"/>
      <c r="I599" s="90"/>
      <c r="J599" s="90"/>
      <c r="K599" s="90"/>
      <c r="L599" s="90"/>
      <c r="M599" s="864"/>
      <c r="N599" s="864"/>
      <c r="O599" s="864"/>
      <c r="P599" s="864"/>
      <c r="Q599" s="864"/>
      <c r="R599" s="864"/>
      <c r="S599" s="864"/>
      <c r="T599" s="864"/>
      <c r="U599" s="864"/>
      <c r="V599" s="864"/>
      <c r="W599" s="864"/>
      <c r="X599" s="90"/>
      <c r="Y599" s="90"/>
      <c r="Z599" s="90"/>
    </row>
    <row r="600" ht="15.75" customHeight="1">
      <c r="A600" s="90"/>
      <c r="B600" s="90"/>
      <c r="C600" s="864"/>
      <c r="D600" s="90"/>
      <c r="E600" s="90"/>
      <c r="F600" s="90"/>
      <c r="G600" s="90"/>
      <c r="H600" s="90"/>
      <c r="I600" s="90"/>
      <c r="J600" s="90"/>
      <c r="K600" s="90"/>
      <c r="L600" s="90"/>
      <c r="M600" s="864"/>
      <c r="N600" s="864"/>
      <c r="O600" s="864"/>
      <c r="P600" s="864"/>
      <c r="Q600" s="864"/>
      <c r="R600" s="864"/>
      <c r="S600" s="864"/>
      <c r="T600" s="864"/>
      <c r="U600" s="864"/>
      <c r="V600" s="864"/>
      <c r="W600" s="864"/>
      <c r="X600" s="90"/>
      <c r="Y600" s="90"/>
      <c r="Z600" s="90"/>
    </row>
    <row r="601" ht="15.75" customHeight="1">
      <c r="A601" s="90"/>
      <c r="B601" s="90"/>
      <c r="C601" s="864"/>
      <c r="D601" s="90"/>
      <c r="E601" s="90"/>
      <c r="F601" s="90"/>
      <c r="G601" s="90"/>
      <c r="H601" s="90"/>
      <c r="I601" s="90"/>
      <c r="J601" s="90"/>
      <c r="K601" s="90"/>
      <c r="L601" s="90"/>
      <c r="M601" s="864"/>
      <c r="N601" s="864"/>
      <c r="O601" s="864"/>
      <c r="P601" s="864"/>
      <c r="Q601" s="864"/>
      <c r="R601" s="864"/>
      <c r="S601" s="864"/>
      <c r="T601" s="864"/>
      <c r="U601" s="864"/>
      <c r="V601" s="864"/>
      <c r="W601" s="864"/>
      <c r="X601" s="90"/>
      <c r="Y601" s="90"/>
      <c r="Z601" s="90"/>
    </row>
    <row r="602" ht="15.75" customHeight="1">
      <c r="A602" s="90"/>
      <c r="B602" s="90"/>
      <c r="C602" s="864"/>
      <c r="D602" s="90"/>
      <c r="E602" s="90"/>
      <c r="F602" s="90"/>
      <c r="G602" s="90"/>
      <c r="H602" s="90"/>
      <c r="I602" s="90"/>
      <c r="J602" s="90"/>
      <c r="K602" s="90"/>
      <c r="L602" s="90"/>
      <c r="M602" s="864"/>
      <c r="N602" s="864"/>
      <c r="O602" s="864"/>
      <c r="P602" s="864"/>
      <c r="Q602" s="864"/>
      <c r="R602" s="864"/>
      <c r="S602" s="864"/>
      <c r="T602" s="864"/>
      <c r="U602" s="864"/>
      <c r="V602" s="864"/>
      <c r="W602" s="864"/>
      <c r="X602" s="90"/>
      <c r="Y602" s="90"/>
      <c r="Z602" s="90"/>
    </row>
    <row r="603" ht="15.75" customHeight="1">
      <c r="A603" s="90"/>
      <c r="B603" s="90"/>
      <c r="C603" s="864"/>
      <c r="D603" s="90"/>
      <c r="E603" s="90"/>
      <c r="F603" s="90"/>
      <c r="G603" s="90"/>
      <c r="H603" s="90"/>
      <c r="I603" s="90"/>
      <c r="J603" s="90"/>
      <c r="K603" s="90"/>
      <c r="L603" s="90"/>
      <c r="M603" s="864"/>
      <c r="N603" s="864"/>
      <c r="O603" s="864"/>
      <c r="P603" s="864"/>
      <c r="Q603" s="864"/>
      <c r="R603" s="864"/>
      <c r="S603" s="864"/>
      <c r="T603" s="864"/>
      <c r="U603" s="864"/>
      <c r="V603" s="864"/>
      <c r="W603" s="864"/>
      <c r="X603" s="90"/>
      <c r="Y603" s="90"/>
      <c r="Z603" s="90"/>
    </row>
    <row r="604" ht="15.75" customHeight="1">
      <c r="A604" s="90"/>
      <c r="B604" s="90"/>
      <c r="C604" s="864"/>
      <c r="D604" s="90"/>
      <c r="E604" s="90"/>
      <c r="F604" s="90"/>
      <c r="G604" s="90"/>
      <c r="H604" s="90"/>
      <c r="I604" s="90"/>
      <c r="J604" s="90"/>
      <c r="K604" s="90"/>
      <c r="L604" s="90"/>
      <c r="M604" s="864"/>
      <c r="N604" s="864"/>
      <c r="O604" s="864"/>
      <c r="P604" s="864"/>
      <c r="Q604" s="864"/>
      <c r="R604" s="864"/>
      <c r="S604" s="864"/>
      <c r="T604" s="864"/>
      <c r="U604" s="864"/>
      <c r="V604" s="864"/>
      <c r="W604" s="864"/>
      <c r="X604" s="90"/>
      <c r="Y604" s="90"/>
      <c r="Z604" s="90"/>
    </row>
    <row r="605" ht="15.75" customHeight="1">
      <c r="A605" s="90"/>
      <c r="B605" s="90"/>
      <c r="C605" s="864"/>
      <c r="D605" s="90"/>
      <c r="E605" s="90"/>
      <c r="F605" s="90"/>
      <c r="G605" s="90"/>
      <c r="H605" s="90"/>
      <c r="I605" s="90"/>
      <c r="J605" s="90"/>
      <c r="K605" s="90"/>
      <c r="L605" s="90"/>
      <c r="M605" s="864"/>
      <c r="N605" s="864"/>
      <c r="O605" s="864"/>
      <c r="P605" s="864"/>
      <c r="Q605" s="864"/>
      <c r="R605" s="864"/>
      <c r="S605" s="864"/>
      <c r="T605" s="864"/>
      <c r="U605" s="864"/>
      <c r="V605" s="864"/>
      <c r="W605" s="864"/>
      <c r="X605" s="90"/>
      <c r="Y605" s="90"/>
      <c r="Z605" s="90"/>
    </row>
    <row r="606" ht="15.75" customHeight="1">
      <c r="A606" s="90"/>
      <c r="B606" s="90"/>
      <c r="C606" s="864"/>
      <c r="D606" s="90"/>
      <c r="E606" s="90"/>
      <c r="F606" s="90"/>
      <c r="G606" s="90"/>
      <c r="H606" s="90"/>
      <c r="I606" s="90"/>
      <c r="J606" s="90"/>
      <c r="K606" s="90"/>
      <c r="L606" s="90"/>
      <c r="M606" s="864"/>
      <c r="N606" s="864"/>
      <c r="O606" s="864"/>
      <c r="P606" s="864"/>
      <c r="Q606" s="864"/>
      <c r="R606" s="864"/>
      <c r="S606" s="864"/>
      <c r="T606" s="864"/>
      <c r="U606" s="864"/>
      <c r="V606" s="864"/>
      <c r="W606" s="864"/>
      <c r="X606" s="90"/>
      <c r="Y606" s="90"/>
      <c r="Z606" s="90"/>
    </row>
    <row r="607" ht="15.75" customHeight="1">
      <c r="A607" s="90"/>
      <c r="B607" s="90"/>
      <c r="C607" s="864"/>
      <c r="D607" s="90"/>
      <c r="E607" s="90"/>
      <c r="F607" s="90"/>
      <c r="G607" s="90"/>
      <c r="H607" s="90"/>
      <c r="I607" s="90"/>
      <c r="J607" s="90"/>
      <c r="K607" s="90"/>
      <c r="L607" s="90"/>
      <c r="M607" s="864"/>
      <c r="N607" s="864"/>
      <c r="O607" s="864"/>
      <c r="P607" s="864"/>
      <c r="Q607" s="864"/>
      <c r="R607" s="864"/>
      <c r="S607" s="864"/>
      <c r="T607" s="864"/>
      <c r="U607" s="864"/>
      <c r="V607" s="864"/>
      <c r="W607" s="864"/>
      <c r="X607" s="90"/>
      <c r="Y607" s="90"/>
      <c r="Z607" s="90"/>
    </row>
    <row r="608" ht="15.75" customHeight="1">
      <c r="A608" s="90"/>
      <c r="B608" s="90"/>
      <c r="C608" s="864"/>
      <c r="D608" s="90"/>
      <c r="E608" s="90"/>
      <c r="F608" s="90"/>
      <c r="G608" s="90"/>
      <c r="H608" s="90"/>
      <c r="I608" s="90"/>
      <c r="J608" s="90"/>
      <c r="K608" s="90"/>
      <c r="L608" s="90"/>
      <c r="M608" s="864"/>
      <c r="N608" s="864"/>
      <c r="O608" s="864"/>
      <c r="P608" s="864"/>
      <c r="Q608" s="864"/>
      <c r="R608" s="864"/>
      <c r="S608" s="864"/>
      <c r="T608" s="864"/>
      <c r="U608" s="864"/>
      <c r="V608" s="864"/>
      <c r="W608" s="864"/>
      <c r="X608" s="90"/>
      <c r="Y608" s="90"/>
      <c r="Z608" s="90"/>
    </row>
    <row r="609" ht="15.75" customHeight="1">
      <c r="A609" s="90"/>
      <c r="B609" s="90"/>
      <c r="C609" s="864"/>
      <c r="D609" s="90"/>
      <c r="E609" s="90"/>
      <c r="F609" s="90"/>
      <c r="G609" s="90"/>
      <c r="H609" s="90"/>
      <c r="I609" s="90"/>
      <c r="J609" s="90"/>
      <c r="K609" s="90"/>
      <c r="L609" s="90"/>
      <c r="M609" s="864"/>
      <c r="N609" s="864"/>
      <c r="O609" s="864"/>
      <c r="P609" s="864"/>
      <c r="Q609" s="864"/>
      <c r="R609" s="864"/>
      <c r="S609" s="864"/>
      <c r="T609" s="864"/>
      <c r="U609" s="864"/>
      <c r="V609" s="864"/>
      <c r="W609" s="864"/>
      <c r="X609" s="90"/>
      <c r="Y609" s="90"/>
      <c r="Z609" s="90"/>
    </row>
    <row r="610" ht="15.75" customHeight="1">
      <c r="A610" s="90"/>
      <c r="B610" s="90"/>
      <c r="C610" s="864"/>
      <c r="D610" s="90"/>
      <c r="E610" s="90"/>
      <c r="F610" s="90"/>
      <c r="G610" s="90"/>
      <c r="H610" s="90"/>
      <c r="I610" s="90"/>
      <c r="J610" s="90"/>
      <c r="K610" s="90"/>
      <c r="L610" s="90"/>
      <c r="M610" s="864"/>
      <c r="N610" s="864"/>
      <c r="O610" s="864"/>
      <c r="P610" s="864"/>
      <c r="Q610" s="864"/>
      <c r="R610" s="864"/>
      <c r="S610" s="864"/>
      <c r="T610" s="864"/>
      <c r="U610" s="864"/>
      <c r="V610" s="864"/>
      <c r="W610" s="864"/>
      <c r="X610" s="90"/>
      <c r="Y610" s="90"/>
      <c r="Z610" s="90"/>
    </row>
    <row r="611" ht="15.75" customHeight="1">
      <c r="A611" s="90"/>
      <c r="B611" s="90"/>
      <c r="C611" s="864"/>
      <c r="D611" s="90"/>
      <c r="E611" s="90"/>
      <c r="F611" s="90"/>
      <c r="G611" s="90"/>
      <c r="H611" s="90"/>
      <c r="I611" s="90"/>
      <c r="J611" s="90"/>
      <c r="K611" s="90"/>
      <c r="L611" s="90"/>
      <c r="M611" s="864"/>
      <c r="N611" s="864"/>
      <c r="O611" s="864"/>
      <c r="P611" s="864"/>
      <c r="Q611" s="864"/>
      <c r="R611" s="864"/>
      <c r="S611" s="864"/>
      <c r="T611" s="864"/>
      <c r="U611" s="864"/>
      <c r="V611" s="864"/>
      <c r="W611" s="864"/>
      <c r="X611" s="90"/>
      <c r="Y611" s="90"/>
      <c r="Z611" s="90"/>
    </row>
    <row r="612" ht="15.75" customHeight="1">
      <c r="A612" s="90"/>
      <c r="B612" s="90"/>
      <c r="C612" s="864"/>
      <c r="D612" s="90"/>
      <c r="E612" s="90"/>
      <c r="F612" s="90"/>
      <c r="G612" s="90"/>
      <c r="H612" s="90"/>
      <c r="I612" s="90"/>
      <c r="J612" s="90"/>
      <c r="K612" s="90"/>
      <c r="L612" s="90"/>
      <c r="M612" s="864"/>
      <c r="N612" s="864"/>
      <c r="O612" s="864"/>
      <c r="P612" s="864"/>
      <c r="Q612" s="864"/>
      <c r="R612" s="864"/>
      <c r="S612" s="864"/>
      <c r="T612" s="864"/>
      <c r="U612" s="864"/>
      <c r="V612" s="864"/>
      <c r="W612" s="864"/>
      <c r="X612" s="90"/>
      <c r="Y612" s="90"/>
      <c r="Z612" s="90"/>
    </row>
    <row r="613" ht="15.75" customHeight="1">
      <c r="A613" s="90"/>
      <c r="B613" s="90"/>
      <c r="C613" s="864"/>
      <c r="D613" s="90"/>
      <c r="E613" s="90"/>
      <c r="F613" s="90"/>
      <c r="G613" s="90"/>
      <c r="H613" s="90"/>
      <c r="I613" s="90"/>
      <c r="J613" s="90"/>
      <c r="K613" s="90"/>
      <c r="L613" s="90"/>
      <c r="M613" s="864"/>
      <c r="N613" s="864"/>
      <c r="O613" s="864"/>
      <c r="P613" s="864"/>
      <c r="Q613" s="864"/>
      <c r="R613" s="864"/>
      <c r="S613" s="864"/>
      <c r="T613" s="864"/>
      <c r="U613" s="864"/>
      <c r="V613" s="864"/>
      <c r="W613" s="864"/>
      <c r="X613" s="90"/>
      <c r="Y613" s="90"/>
      <c r="Z613" s="90"/>
    </row>
    <row r="614" ht="15.75" customHeight="1">
      <c r="A614" s="90"/>
      <c r="B614" s="90"/>
      <c r="C614" s="864"/>
      <c r="D614" s="90"/>
      <c r="E614" s="90"/>
      <c r="F614" s="90"/>
      <c r="G614" s="90"/>
      <c r="H614" s="90"/>
      <c r="I614" s="90"/>
      <c r="J614" s="90"/>
      <c r="K614" s="90"/>
      <c r="L614" s="90"/>
      <c r="M614" s="864"/>
      <c r="N614" s="864"/>
      <c r="O614" s="864"/>
      <c r="P614" s="864"/>
      <c r="Q614" s="864"/>
      <c r="R614" s="864"/>
      <c r="S614" s="864"/>
      <c r="T614" s="864"/>
      <c r="U614" s="864"/>
      <c r="V614" s="864"/>
      <c r="W614" s="864"/>
      <c r="X614" s="90"/>
      <c r="Y614" s="90"/>
      <c r="Z614" s="90"/>
    </row>
    <row r="615" ht="15.75" customHeight="1">
      <c r="A615" s="90"/>
      <c r="B615" s="90"/>
      <c r="C615" s="864"/>
      <c r="D615" s="90"/>
      <c r="E615" s="90"/>
      <c r="F615" s="90"/>
      <c r="G615" s="90"/>
      <c r="H615" s="90"/>
      <c r="I615" s="90"/>
      <c r="J615" s="90"/>
      <c r="K615" s="90"/>
      <c r="L615" s="90"/>
      <c r="M615" s="864"/>
      <c r="N615" s="864"/>
      <c r="O615" s="864"/>
      <c r="P615" s="864"/>
      <c r="Q615" s="864"/>
      <c r="R615" s="864"/>
      <c r="S615" s="864"/>
      <c r="T615" s="864"/>
      <c r="U615" s="864"/>
      <c r="V615" s="864"/>
      <c r="W615" s="864"/>
      <c r="X615" s="90"/>
      <c r="Y615" s="90"/>
      <c r="Z615" s="90"/>
    </row>
    <row r="616" ht="15.75" customHeight="1">
      <c r="A616" s="90"/>
      <c r="B616" s="90"/>
      <c r="C616" s="864"/>
      <c r="D616" s="90"/>
      <c r="E616" s="90"/>
      <c r="F616" s="90"/>
      <c r="G616" s="90"/>
      <c r="H616" s="90"/>
      <c r="I616" s="90"/>
      <c r="J616" s="90"/>
      <c r="K616" s="90"/>
      <c r="L616" s="90"/>
      <c r="M616" s="864"/>
      <c r="N616" s="864"/>
      <c r="O616" s="864"/>
      <c r="P616" s="864"/>
      <c r="Q616" s="864"/>
      <c r="R616" s="864"/>
      <c r="S616" s="864"/>
      <c r="T616" s="864"/>
      <c r="U616" s="864"/>
      <c r="V616" s="864"/>
      <c r="W616" s="864"/>
      <c r="X616" s="90"/>
      <c r="Y616" s="90"/>
      <c r="Z616" s="90"/>
    </row>
    <row r="617" ht="15.75" customHeight="1">
      <c r="A617" s="90"/>
      <c r="B617" s="90"/>
      <c r="C617" s="864"/>
      <c r="D617" s="90"/>
      <c r="E617" s="90"/>
      <c r="F617" s="90"/>
      <c r="G617" s="90"/>
      <c r="H617" s="90"/>
      <c r="I617" s="90"/>
      <c r="J617" s="90"/>
      <c r="K617" s="90"/>
      <c r="L617" s="90"/>
      <c r="M617" s="864"/>
      <c r="N617" s="864"/>
      <c r="O617" s="864"/>
      <c r="P617" s="864"/>
      <c r="Q617" s="864"/>
      <c r="R617" s="864"/>
      <c r="S617" s="864"/>
      <c r="T617" s="864"/>
      <c r="U617" s="864"/>
      <c r="V617" s="864"/>
      <c r="W617" s="864"/>
      <c r="X617" s="90"/>
      <c r="Y617" s="90"/>
      <c r="Z617" s="90"/>
    </row>
    <row r="618" ht="15.75" customHeight="1">
      <c r="A618" s="90"/>
      <c r="B618" s="90"/>
      <c r="C618" s="864"/>
      <c r="D618" s="90"/>
      <c r="E618" s="90"/>
      <c r="F618" s="90"/>
      <c r="G618" s="90"/>
      <c r="H618" s="90"/>
      <c r="I618" s="90"/>
      <c r="J618" s="90"/>
      <c r="K618" s="90"/>
      <c r="L618" s="90"/>
      <c r="M618" s="864"/>
      <c r="N618" s="864"/>
      <c r="O618" s="864"/>
      <c r="P618" s="864"/>
      <c r="Q618" s="864"/>
      <c r="R618" s="864"/>
      <c r="S618" s="864"/>
      <c r="T618" s="864"/>
      <c r="U618" s="864"/>
      <c r="V618" s="864"/>
      <c r="W618" s="864"/>
      <c r="X618" s="90"/>
      <c r="Y618" s="90"/>
      <c r="Z618" s="90"/>
    </row>
    <row r="619" ht="15.75" customHeight="1">
      <c r="A619" s="90"/>
      <c r="B619" s="90"/>
      <c r="C619" s="864"/>
      <c r="D619" s="90"/>
      <c r="E619" s="90"/>
      <c r="F619" s="90"/>
      <c r="G619" s="90"/>
      <c r="H619" s="90"/>
      <c r="I619" s="90"/>
      <c r="J619" s="90"/>
      <c r="K619" s="90"/>
      <c r="L619" s="90"/>
      <c r="M619" s="864"/>
      <c r="N619" s="864"/>
      <c r="O619" s="864"/>
      <c r="P619" s="864"/>
      <c r="Q619" s="864"/>
      <c r="R619" s="864"/>
      <c r="S619" s="864"/>
      <c r="T619" s="864"/>
      <c r="U619" s="864"/>
      <c r="V619" s="864"/>
      <c r="W619" s="864"/>
      <c r="X619" s="90"/>
      <c r="Y619" s="90"/>
      <c r="Z619" s="90"/>
    </row>
    <row r="620" ht="15.75" customHeight="1">
      <c r="A620" s="90"/>
      <c r="B620" s="90"/>
      <c r="C620" s="864"/>
      <c r="D620" s="90"/>
      <c r="E620" s="90"/>
      <c r="F620" s="90"/>
      <c r="G620" s="90"/>
      <c r="H620" s="90"/>
      <c r="I620" s="90"/>
      <c r="J620" s="90"/>
      <c r="K620" s="90"/>
      <c r="L620" s="90"/>
      <c r="M620" s="864"/>
      <c r="N620" s="864"/>
      <c r="O620" s="864"/>
      <c r="P620" s="864"/>
      <c r="Q620" s="864"/>
      <c r="R620" s="864"/>
      <c r="S620" s="864"/>
      <c r="T620" s="864"/>
      <c r="U620" s="864"/>
      <c r="V620" s="864"/>
      <c r="W620" s="864"/>
      <c r="X620" s="90"/>
      <c r="Y620" s="90"/>
      <c r="Z620" s="90"/>
    </row>
    <row r="621" ht="15.75" customHeight="1">
      <c r="A621" s="90"/>
      <c r="B621" s="90"/>
      <c r="C621" s="864"/>
      <c r="D621" s="90"/>
      <c r="E621" s="90"/>
      <c r="F621" s="90"/>
      <c r="G621" s="90"/>
      <c r="H621" s="90"/>
      <c r="I621" s="90"/>
      <c r="J621" s="90"/>
      <c r="K621" s="90"/>
      <c r="L621" s="90"/>
      <c r="M621" s="864"/>
      <c r="N621" s="864"/>
      <c r="O621" s="864"/>
      <c r="P621" s="864"/>
      <c r="Q621" s="864"/>
      <c r="R621" s="864"/>
      <c r="S621" s="864"/>
      <c r="T621" s="864"/>
      <c r="U621" s="864"/>
      <c r="V621" s="864"/>
      <c r="W621" s="864"/>
      <c r="X621" s="90"/>
      <c r="Y621" s="90"/>
      <c r="Z621" s="90"/>
    </row>
    <row r="622" ht="15.75" customHeight="1">
      <c r="A622" s="90"/>
      <c r="B622" s="90"/>
      <c r="C622" s="864"/>
      <c r="D622" s="90"/>
      <c r="E622" s="90"/>
      <c r="F622" s="90"/>
      <c r="G622" s="90"/>
      <c r="H622" s="90"/>
      <c r="I622" s="90"/>
      <c r="J622" s="90"/>
      <c r="K622" s="90"/>
      <c r="L622" s="90"/>
      <c r="M622" s="864"/>
      <c r="N622" s="864"/>
      <c r="O622" s="864"/>
      <c r="P622" s="864"/>
      <c r="Q622" s="864"/>
      <c r="R622" s="864"/>
      <c r="S622" s="864"/>
      <c r="T622" s="864"/>
      <c r="U622" s="864"/>
      <c r="V622" s="864"/>
      <c r="W622" s="864"/>
      <c r="X622" s="90"/>
      <c r="Y622" s="90"/>
      <c r="Z622" s="90"/>
    </row>
    <row r="623" ht="15.75" customHeight="1">
      <c r="A623" s="90"/>
      <c r="B623" s="90"/>
      <c r="C623" s="864"/>
      <c r="D623" s="90"/>
      <c r="E623" s="90"/>
      <c r="F623" s="90"/>
      <c r="G623" s="90"/>
      <c r="H623" s="90"/>
      <c r="I623" s="90"/>
      <c r="J623" s="90"/>
      <c r="K623" s="90"/>
      <c r="L623" s="90"/>
      <c r="M623" s="864"/>
      <c r="N623" s="864"/>
      <c r="O623" s="864"/>
      <c r="P623" s="864"/>
      <c r="Q623" s="864"/>
      <c r="R623" s="864"/>
      <c r="S623" s="864"/>
      <c r="T623" s="864"/>
      <c r="U623" s="864"/>
      <c r="V623" s="864"/>
      <c r="W623" s="864"/>
      <c r="X623" s="90"/>
      <c r="Y623" s="90"/>
      <c r="Z623" s="90"/>
    </row>
    <row r="624" ht="15.75" customHeight="1">
      <c r="A624" s="90"/>
      <c r="B624" s="90"/>
      <c r="C624" s="864"/>
      <c r="D624" s="90"/>
      <c r="E624" s="90"/>
      <c r="F624" s="90"/>
      <c r="G624" s="90"/>
      <c r="H624" s="90"/>
      <c r="I624" s="90"/>
      <c r="J624" s="90"/>
      <c r="K624" s="90"/>
      <c r="L624" s="90"/>
      <c r="M624" s="864"/>
      <c r="N624" s="864"/>
      <c r="O624" s="864"/>
      <c r="P624" s="864"/>
      <c r="Q624" s="864"/>
      <c r="R624" s="864"/>
      <c r="S624" s="864"/>
      <c r="T624" s="864"/>
      <c r="U624" s="864"/>
      <c r="V624" s="864"/>
      <c r="W624" s="864"/>
      <c r="X624" s="90"/>
      <c r="Y624" s="90"/>
      <c r="Z624" s="90"/>
    </row>
    <row r="625" ht="15.75" customHeight="1">
      <c r="A625" s="90"/>
      <c r="B625" s="90"/>
      <c r="C625" s="864"/>
      <c r="D625" s="90"/>
      <c r="E625" s="90"/>
      <c r="F625" s="90"/>
      <c r="G625" s="90"/>
      <c r="H625" s="90"/>
      <c r="I625" s="90"/>
      <c r="J625" s="90"/>
      <c r="K625" s="90"/>
      <c r="L625" s="90"/>
      <c r="M625" s="864"/>
      <c r="N625" s="864"/>
      <c r="O625" s="864"/>
      <c r="P625" s="864"/>
      <c r="Q625" s="864"/>
      <c r="R625" s="864"/>
      <c r="S625" s="864"/>
      <c r="T625" s="864"/>
      <c r="U625" s="864"/>
      <c r="V625" s="864"/>
      <c r="W625" s="864"/>
      <c r="X625" s="90"/>
      <c r="Y625" s="90"/>
      <c r="Z625" s="90"/>
    </row>
    <row r="626" ht="15.75" customHeight="1">
      <c r="A626" s="90"/>
      <c r="B626" s="90"/>
      <c r="C626" s="864"/>
      <c r="D626" s="90"/>
      <c r="E626" s="90"/>
      <c r="F626" s="90"/>
      <c r="G626" s="90"/>
      <c r="H626" s="90"/>
      <c r="I626" s="90"/>
      <c r="J626" s="90"/>
      <c r="K626" s="90"/>
      <c r="L626" s="90"/>
      <c r="M626" s="864"/>
      <c r="N626" s="864"/>
      <c r="O626" s="864"/>
      <c r="P626" s="864"/>
      <c r="Q626" s="864"/>
      <c r="R626" s="864"/>
      <c r="S626" s="864"/>
      <c r="T626" s="864"/>
      <c r="U626" s="864"/>
      <c r="V626" s="864"/>
      <c r="W626" s="864"/>
      <c r="X626" s="90"/>
      <c r="Y626" s="90"/>
      <c r="Z626" s="90"/>
    </row>
    <row r="627" ht="15.75" customHeight="1">
      <c r="A627" s="90"/>
      <c r="B627" s="90"/>
      <c r="C627" s="864"/>
      <c r="D627" s="90"/>
      <c r="E627" s="90"/>
      <c r="F627" s="90"/>
      <c r="G627" s="90"/>
      <c r="H627" s="90"/>
      <c r="I627" s="90"/>
      <c r="J627" s="90"/>
      <c r="K627" s="90"/>
      <c r="L627" s="90"/>
      <c r="M627" s="864"/>
      <c r="N627" s="864"/>
      <c r="O627" s="864"/>
      <c r="P627" s="864"/>
      <c r="Q627" s="864"/>
      <c r="R627" s="864"/>
      <c r="S627" s="864"/>
      <c r="T627" s="864"/>
      <c r="U627" s="864"/>
      <c r="V627" s="864"/>
      <c r="W627" s="864"/>
      <c r="X627" s="90"/>
      <c r="Y627" s="90"/>
      <c r="Z627" s="90"/>
    </row>
    <row r="628" ht="15.75" customHeight="1">
      <c r="A628" s="90"/>
      <c r="B628" s="90"/>
      <c r="C628" s="864"/>
      <c r="D628" s="90"/>
      <c r="E628" s="90"/>
      <c r="F628" s="90"/>
      <c r="G628" s="90"/>
      <c r="H628" s="90"/>
      <c r="I628" s="90"/>
      <c r="J628" s="90"/>
      <c r="K628" s="90"/>
      <c r="L628" s="90"/>
      <c r="M628" s="864"/>
      <c r="N628" s="864"/>
      <c r="O628" s="864"/>
      <c r="P628" s="864"/>
      <c r="Q628" s="864"/>
      <c r="R628" s="864"/>
      <c r="S628" s="864"/>
      <c r="T628" s="864"/>
      <c r="U628" s="864"/>
      <c r="V628" s="864"/>
      <c r="W628" s="864"/>
      <c r="X628" s="90"/>
      <c r="Y628" s="90"/>
      <c r="Z628" s="90"/>
    </row>
    <row r="629" ht="15.75" customHeight="1">
      <c r="A629" s="90"/>
      <c r="B629" s="90"/>
      <c r="C629" s="864"/>
      <c r="D629" s="90"/>
      <c r="E629" s="90"/>
      <c r="F629" s="90"/>
      <c r="G629" s="90"/>
      <c r="H629" s="90"/>
      <c r="I629" s="90"/>
      <c r="J629" s="90"/>
      <c r="K629" s="90"/>
      <c r="L629" s="90"/>
      <c r="M629" s="864"/>
      <c r="N629" s="864"/>
      <c r="O629" s="864"/>
      <c r="P629" s="864"/>
      <c r="Q629" s="864"/>
      <c r="R629" s="864"/>
      <c r="S629" s="864"/>
      <c r="T629" s="864"/>
      <c r="U629" s="864"/>
      <c r="V629" s="864"/>
      <c r="W629" s="864"/>
      <c r="X629" s="90"/>
      <c r="Y629" s="90"/>
      <c r="Z629" s="90"/>
    </row>
    <row r="630" ht="15.75" customHeight="1">
      <c r="A630" s="90"/>
      <c r="B630" s="90"/>
      <c r="C630" s="864"/>
      <c r="D630" s="90"/>
      <c r="E630" s="90"/>
      <c r="F630" s="90"/>
      <c r="G630" s="90"/>
      <c r="H630" s="90"/>
      <c r="I630" s="90"/>
      <c r="J630" s="90"/>
      <c r="K630" s="90"/>
      <c r="L630" s="90"/>
      <c r="M630" s="864"/>
      <c r="N630" s="864"/>
      <c r="O630" s="864"/>
      <c r="P630" s="864"/>
      <c r="Q630" s="864"/>
      <c r="R630" s="864"/>
      <c r="S630" s="864"/>
      <c r="T630" s="864"/>
      <c r="U630" s="864"/>
      <c r="V630" s="864"/>
      <c r="W630" s="864"/>
      <c r="X630" s="90"/>
      <c r="Y630" s="90"/>
      <c r="Z630" s="90"/>
    </row>
    <row r="631" ht="15.75" customHeight="1">
      <c r="A631" s="90"/>
      <c r="B631" s="90"/>
      <c r="C631" s="864"/>
      <c r="D631" s="90"/>
      <c r="E631" s="90"/>
      <c r="F631" s="90"/>
      <c r="G631" s="90"/>
      <c r="H631" s="90"/>
      <c r="I631" s="90"/>
      <c r="J631" s="90"/>
      <c r="K631" s="90"/>
      <c r="L631" s="90"/>
      <c r="M631" s="864"/>
      <c r="N631" s="864"/>
      <c r="O631" s="864"/>
      <c r="P631" s="864"/>
      <c r="Q631" s="864"/>
      <c r="R631" s="864"/>
      <c r="S631" s="864"/>
      <c r="T631" s="864"/>
      <c r="U631" s="864"/>
      <c r="V631" s="864"/>
      <c r="W631" s="864"/>
      <c r="X631" s="90"/>
      <c r="Y631" s="90"/>
      <c r="Z631" s="90"/>
    </row>
    <row r="632" ht="15.75" customHeight="1">
      <c r="A632" s="90"/>
      <c r="B632" s="90"/>
      <c r="C632" s="864"/>
      <c r="D632" s="90"/>
      <c r="E632" s="90"/>
      <c r="F632" s="90"/>
      <c r="G632" s="90"/>
      <c r="H632" s="90"/>
      <c r="I632" s="90"/>
      <c r="J632" s="90"/>
      <c r="K632" s="90"/>
      <c r="L632" s="90"/>
      <c r="M632" s="864"/>
      <c r="N632" s="864"/>
      <c r="O632" s="864"/>
      <c r="P632" s="864"/>
      <c r="Q632" s="864"/>
      <c r="R632" s="864"/>
      <c r="S632" s="864"/>
      <c r="T632" s="864"/>
      <c r="U632" s="864"/>
      <c r="V632" s="864"/>
      <c r="W632" s="864"/>
      <c r="X632" s="90"/>
      <c r="Y632" s="90"/>
      <c r="Z632" s="90"/>
    </row>
    <row r="633" ht="15.75" customHeight="1">
      <c r="A633" s="90"/>
      <c r="B633" s="90"/>
      <c r="C633" s="864"/>
      <c r="D633" s="90"/>
      <c r="E633" s="90"/>
      <c r="F633" s="90"/>
      <c r="G633" s="90"/>
      <c r="H633" s="90"/>
      <c r="I633" s="90"/>
      <c r="J633" s="90"/>
      <c r="K633" s="90"/>
      <c r="L633" s="90"/>
      <c r="M633" s="864"/>
      <c r="N633" s="864"/>
      <c r="O633" s="864"/>
      <c r="P633" s="864"/>
      <c r="Q633" s="864"/>
      <c r="R633" s="864"/>
      <c r="S633" s="864"/>
      <c r="T633" s="864"/>
      <c r="U633" s="864"/>
      <c r="V633" s="864"/>
      <c r="W633" s="864"/>
      <c r="X633" s="90"/>
      <c r="Y633" s="90"/>
      <c r="Z633" s="90"/>
    </row>
    <row r="634" ht="15.75" customHeight="1">
      <c r="A634" s="90"/>
      <c r="B634" s="90"/>
      <c r="C634" s="864"/>
      <c r="D634" s="90"/>
      <c r="E634" s="90"/>
      <c r="F634" s="90"/>
      <c r="G634" s="90"/>
      <c r="H634" s="90"/>
      <c r="I634" s="90"/>
      <c r="J634" s="90"/>
      <c r="K634" s="90"/>
      <c r="L634" s="90"/>
      <c r="M634" s="864"/>
      <c r="N634" s="864"/>
      <c r="O634" s="864"/>
      <c r="P634" s="864"/>
      <c r="Q634" s="864"/>
      <c r="R634" s="864"/>
      <c r="S634" s="864"/>
      <c r="T634" s="864"/>
      <c r="U634" s="864"/>
      <c r="V634" s="864"/>
      <c r="W634" s="864"/>
      <c r="X634" s="90"/>
      <c r="Y634" s="90"/>
      <c r="Z634" s="90"/>
    </row>
    <row r="635" ht="15.75" customHeight="1">
      <c r="A635" s="90"/>
      <c r="B635" s="90"/>
      <c r="C635" s="864"/>
      <c r="D635" s="90"/>
      <c r="E635" s="90"/>
      <c r="F635" s="90"/>
      <c r="G635" s="90"/>
      <c r="H635" s="90"/>
      <c r="I635" s="90"/>
      <c r="J635" s="90"/>
      <c r="K635" s="90"/>
      <c r="L635" s="90"/>
      <c r="M635" s="864"/>
      <c r="N635" s="864"/>
      <c r="O635" s="864"/>
      <c r="P635" s="864"/>
      <c r="Q635" s="864"/>
      <c r="R635" s="864"/>
      <c r="S635" s="864"/>
      <c r="T635" s="864"/>
      <c r="U635" s="864"/>
      <c r="V635" s="864"/>
      <c r="W635" s="864"/>
      <c r="X635" s="90"/>
      <c r="Y635" s="90"/>
      <c r="Z635" s="90"/>
    </row>
    <row r="636" ht="15.75" customHeight="1">
      <c r="A636" s="90"/>
      <c r="B636" s="90"/>
      <c r="C636" s="864"/>
      <c r="D636" s="90"/>
      <c r="E636" s="90"/>
      <c r="F636" s="90"/>
      <c r="G636" s="90"/>
      <c r="H636" s="90"/>
      <c r="I636" s="90"/>
      <c r="J636" s="90"/>
      <c r="K636" s="90"/>
      <c r="L636" s="90"/>
      <c r="M636" s="864"/>
      <c r="N636" s="864"/>
      <c r="O636" s="864"/>
      <c r="P636" s="864"/>
      <c r="Q636" s="864"/>
      <c r="R636" s="864"/>
      <c r="S636" s="864"/>
      <c r="T636" s="864"/>
      <c r="U636" s="864"/>
      <c r="V636" s="864"/>
      <c r="W636" s="864"/>
      <c r="X636" s="90"/>
      <c r="Y636" s="90"/>
      <c r="Z636" s="90"/>
    </row>
    <row r="637" ht="15.75" customHeight="1">
      <c r="A637" s="90"/>
      <c r="B637" s="90"/>
      <c r="C637" s="864"/>
      <c r="D637" s="90"/>
      <c r="E637" s="90"/>
      <c r="F637" s="90"/>
      <c r="G637" s="90"/>
      <c r="H637" s="90"/>
      <c r="I637" s="90"/>
      <c r="J637" s="90"/>
      <c r="K637" s="90"/>
      <c r="L637" s="90"/>
      <c r="M637" s="864"/>
      <c r="N637" s="864"/>
      <c r="O637" s="864"/>
      <c r="P637" s="864"/>
      <c r="Q637" s="864"/>
      <c r="R637" s="864"/>
      <c r="S637" s="864"/>
      <c r="T637" s="864"/>
      <c r="U637" s="864"/>
      <c r="V637" s="864"/>
      <c r="W637" s="864"/>
      <c r="X637" s="90"/>
      <c r="Y637" s="90"/>
      <c r="Z637" s="90"/>
    </row>
    <row r="638" ht="15.75" customHeight="1">
      <c r="A638" s="90"/>
      <c r="B638" s="90"/>
      <c r="C638" s="864"/>
      <c r="D638" s="90"/>
      <c r="E638" s="90"/>
      <c r="F638" s="90"/>
      <c r="G638" s="90"/>
      <c r="H638" s="90"/>
      <c r="I638" s="90"/>
      <c r="J638" s="90"/>
      <c r="K638" s="90"/>
      <c r="L638" s="90"/>
      <c r="M638" s="864"/>
      <c r="N638" s="864"/>
      <c r="O638" s="864"/>
      <c r="P638" s="864"/>
      <c r="Q638" s="864"/>
      <c r="R638" s="864"/>
      <c r="S638" s="864"/>
      <c r="T638" s="864"/>
      <c r="U638" s="864"/>
      <c r="V638" s="864"/>
      <c r="W638" s="864"/>
      <c r="X638" s="90"/>
      <c r="Y638" s="90"/>
      <c r="Z638" s="90"/>
    </row>
    <row r="639" ht="15.75" customHeight="1">
      <c r="A639" s="90"/>
      <c r="B639" s="90"/>
      <c r="C639" s="864"/>
      <c r="D639" s="90"/>
      <c r="E639" s="90"/>
      <c r="F639" s="90"/>
      <c r="G639" s="90"/>
      <c r="H639" s="90"/>
      <c r="I639" s="90"/>
      <c r="J639" s="90"/>
      <c r="K639" s="90"/>
      <c r="L639" s="90"/>
      <c r="M639" s="864"/>
      <c r="N639" s="864"/>
      <c r="O639" s="864"/>
      <c r="P639" s="864"/>
      <c r="Q639" s="864"/>
      <c r="R639" s="864"/>
      <c r="S639" s="864"/>
      <c r="T639" s="864"/>
      <c r="U639" s="864"/>
      <c r="V639" s="864"/>
      <c r="W639" s="864"/>
      <c r="X639" s="90"/>
      <c r="Y639" s="90"/>
      <c r="Z639" s="90"/>
    </row>
    <row r="640" ht="15.75" customHeight="1">
      <c r="A640" s="90"/>
      <c r="B640" s="90"/>
      <c r="C640" s="864"/>
      <c r="D640" s="90"/>
      <c r="E640" s="90"/>
      <c r="F640" s="90"/>
      <c r="G640" s="90"/>
      <c r="H640" s="90"/>
      <c r="I640" s="90"/>
      <c r="J640" s="90"/>
      <c r="K640" s="90"/>
      <c r="L640" s="90"/>
      <c r="M640" s="864"/>
      <c r="N640" s="864"/>
      <c r="O640" s="864"/>
      <c r="P640" s="864"/>
      <c r="Q640" s="864"/>
      <c r="R640" s="864"/>
      <c r="S640" s="864"/>
      <c r="T640" s="864"/>
      <c r="U640" s="864"/>
      <c r="V640" s="864"/>
      <c r="W640" s="864"/>
      <c r="X640" s="90"/>
      <c r="Y640" s="90"/>
      <c r="Z640" s="90"/>
    </row>
    <row r="641" ht="15.75" customHeight="1">
      <c r="A641" s="90"/>
      <c r="B641" s="90"/>
      <c r="C641" s="864"/>
      <c r="D641" s="90"/>
      <c r="E641" s="90"/>
      <c r="F641" s="90"/>
      <c r="G641" s="90"/>
      <c r="H641" s="90"/>
      <c r="I641" s="90"/>
      <c r="J641" s="90"/>
      <c r="K641" s="90"/>
      <c r="L641" s="90"/>
      <c r="M641" s="864"/>
      <c r="N641" s="864"/>
      <c r="O641" s="864"/>
      <c r="P641" s="864"/>
      <c r="Q641" s="864"/>
      <c r="R641" s="864"/>
      <c r="S641" s="864"/>
      <c r="T641" s="864"/>
      <c r="U641" s="864"/>
      <c r="V641" s="864"/>
      <c r="W641" s="864"/>
      <c r="X641" s="90"/>
      <c r="Y641" s="90"/>
      <c r="Z641" s="90"/>
    </row>
    <row r="642" ht="15.75" customHeight="1">
      <c r="A642" s="90"/>
      <c r="B642" s="90"/>
      <c r="C642" s="864"/>
      <c r="D642" s="90"/>
      <c r="E642" s="90"/>
      <c r="F642" s="90"/>
      <c r="G642" s="90"/>
      <c r="H642" s="90"/>
      <c r="I642" s="90"/>
      <c r="J642" s="90"/>
      <c r="K642" s="90"/>
      <c r="L642" s="90"/>
      <c r="M642" s="864"/>
      <c r="N642" s="864"/>
      <c r="O642" s="864"/>
      <c r="P642" s="864"/>
      <c r="Q642" s="864"/>
      <c r="R642" s="864"/>
      <c r="S642" s="864"/>
      <c r="T642" s="864"/>
      <c r="U642" s="864"/>
      <c r="V642" s="864"/>
      <c r="W642" s="864"/>
      <c r="X642" s="90"/>
      <c r="Y642" s="90"/>
      <c r="Z642" s="90"/>
    </row>
    <row r="643" ht="15.75" customHeight="1">
      <c r="A643" s="90"/>
      <c r="B643" s="90"/>
      <c r="C643" s="864"/>
      <c r="D643" s="90"/>
      <c r="E643" s="90"/>
      <c r="F643" s="90"/>
      <c r="G643" s="90"/>
      <c r="H643" s="90"/>
      <c r="I643" s="90"/>
      <c r="J643" s="90"/>
      <c r="K643" s="90"/>
      <c r="L643" s="90"/>
      <c r="M643" s="864"/>
      <c r="N643" s="864"/>
      <c r="O643" s="864"/>
      <c r="P643" s="864"/>
      <c r="Q643" s="864"/>
      <c r="R643" s="864"/>
      <c r="S643" s="864"/>
      <c r="T643" s="864"/>
      <c r="U643" s="864"/>
      <c r="V643" s="864"/>
      <c r="W643" s="864"/>
      <c r="X643" s="90"/>
      <c r="Y643" s="90"/>
      <c r="Z643" s="90"/>
    </row>
    <row r="644" ht="15.75" customHeight="1">
      <c r="A644" s="90"/>
      <c r="B644" s="90"/>
      <c r="C644" s="864"/>
      <c r="D644" s="90"/>
      <c r="E644" s="90"/>
      <c r="F644" s="90"/>
      <c r="G644" s="90"/>
      <c r="H644" s="90"/>
      <c r="I644" s="90"/>
      <c r="J644" s="90"/>
      <c r="K644" s="90"/>
      <c r="L644" s="90"/>
      <c r="M644" s="864"/>
      <c r="N644" s="864"/>
      <c r="O644" s="864"/>
      <c r="P644" s="864"/>
      <c r="Q644" s="864"/>
      <c r="R644" s="864"/>
      <c r="S644" s="864"/>
      <c r="T644" s="864"/>
      <c r="U644" s="864"/>
      <c r="V644" s="864"/>
      <c r="W644" s="864"/>
      <c r="X644" s="90"/>
      <c r="Y644" s="90"/>
      <c r="Z644" s="90"/>
    </row>
    <row r="645" ht="15.75" customHeight="1">
      <c r="A645" s="90"/>
      <c r="B645" s="90"/>
      <c r="C645" s="864"/>
      <c r="D645" s="90"/>
      <c r="E645" s="90"/>
      <c r="F645" s="90"/>
      <c r="G645" s="90"/>
      <c r="H645" s="90"/>
      <c r="I645" s="90"/>
      <c r="J645" s="90"/>
      <c r="K645" s="90"/>
      <c r="L645" s="90"/>
      <c r="M645" s="864"/>
      <c r="N645" s="864"/>
      <c r="O645" s="864"/>
      <c r="P645" s="864"/>
      <c r="Q645" s="864"/>
      <c r="R645" s="864"/>
      <c r="S645" s="864"/>
      <c r="T645" s="864"/>
      <c r="U645" s="864"/>
      <c r="V645" s="864"/>
      <c r="W645" s="864"/>
      <c r="X645" s="90"/>
      <c r="Y645" s="90"/>
      <c r="Z645" s="90"/>
    </row>
    <row r="646" ht="15.75" customHeight="1">
      <c r="A646" s="90"/>
      <c r="B646" s="90"/>
      <c r="C646" s="864"/>
      <c r="D646" s="90"/>
      <c r="E646" s="90"/>
      <c r="F646" s="90"/>
      <c r="G646" s="90"/>
      <c r="H646" s="90"/>
      <c r="I646" s="90"/>
      <c r="J646" s="90"/>
      <c r="K646" s="90"/>
      <c r="L646" s="90"/>
      <c r="M646" s="864"/>
      <c r="N646" s="864"/>
      <c r="O646" s="864"/>
      <c r="P646" s="864"/>
      <c r="Q646" s="864"/>
      <c r="R646" s="864"/>
      <c r="S646" s="864"/>
      <c r="T646" s="864"/>
      <c r="U646" s="864"/>
      <c r="V646" s="864"/>
      <c r="W646" s="864"/>
      <c r="X646" s="90"/>
      <c r="Y646" s="90"/>
      <c r="Z646" s="90"/>
    </row>
    <row r="647" ht="15.75" customHeight="1">
      <c r="A647" s="90"/>
      <c r="B647" s="90"/>
      <c r="C647" s="864"/>
      <c r="D647" s="90"/>
      <c r="E647" s="90"/>
      <c r="F647" s="90"/>
      <c r="G647" s="90"/>
      <c r="H647" s="90"/>
      <c r="I647" s="90"/>
      <c r="J647" s="90"/>
      <c r="K647" s="90"/>
      <c r="L647" s="90"/>
      <c r="M647" s="864"/>
      <c r="N647" s="864"/>
      <c r="O647" s="864"/>
      <c r="P647" s="864"/>
      <c r="Q647" s="864"/>
      <c r="R647" s="864"/>
      <c r="S647" s="864"/>
      <c r="T647" s="864"/>
      <c r="U647" s="864"/>
      <c r="V647" s="864"/>
      <c r="W647" s="864"/>
      <c r="X647" s="90"/>
      <c r="Y647" s="90"/>
      <c r="Z647" s="90"/>
    </row>
    <row r="648" ht="15.75" customHeight="1">
      <c r="A648" s="90"/>
      <c r="B648" s="90"/>
      <c r="C648" s="864"/>
      <c r="D648" s="90"/>
      <c r="E648" s="90"/>
      <c r="F648" s="90"/>
      <c r="G648" s="90"/>
      <c r="H648" s="90"/>
      <c r="I648" s="90"/>
      <c r="J648" s="90"/>
      <c r="K648" s="90"/>
      <c r="L648" s="90"/>
      <c r="M648" s="864"/>
      <c r="N648" s="864"/>
      <c r="O648" s="864"/>
      <c r="P648" s="864"/>
      <c r="Q648" s="864"/>
      <c r="R648" s="864"/>
      <c r="S648" s="864"/>
      <c r="T648" s="864"/>
      <c r="U648" s="864"/>
      <c r="V648" s="864"/>
      <c r="W648" s="864"/>
      <c r="X648" s="90"/>
      <c r="Y648" s="90"/>
      <c r="Z648" s="90"/>
    </row>
    <row r="649" ht="15.75" customHeight="1">
      <c r="A649" s="90"/>
      <c r="B649" s="90"/>
      <c r="C649" s="864"/>
      <c r="D649" s="90"/>
      <c r="E649" s="90"/>
      <c r="F649" s="90"/>
      <c r="G649" s="90"/>
      <c r="H649" s="90"/>
      <c r="I649" s="90"/>
      <c r="J649" s="90"/>
      <c r="K649" s="90"/>
      <c r="L649" s="90"/>
      <c r="M649" s="864"/>
      <c r="N649" s="864"/>
      <c r="O649" s="864"/>
      <c r="P649" s="864"/>
      <c r="Q649" s="864"/>
      <c r="R649" s="864"/>
      <c r="S649" s="864"/>
      <c r="T649" s="864"/>
      <c r="U649" s="864"/>
      <c r="V649" s="864"/>
      <c r="W649" s="864"/>
      <c r="X649" s="90"/>
      <c r="Y649" s="90"/>
      <c r="Z649" s="90"/>
    </row>
    <row r="650" ht="15.75" customHeight="1">
      <c r="A650" s="90"/>
      <c r="B650" s="90"/>
      <c r="C650" s="864"/>
      <c r="D650" s="90"/>
      <c r="E650" s="90"/>
      <c r="F650" s="90"/>
      <c r="G650" s="90"/>
      <c r="H650" s="90"/>
      <c r="I650" s="90"/>
      <c r="J650" s="90"/>
      <c r="K650" s="90"/>
      <c r="L650" s="90"/>
      <c r="M650" s="864"/>
      <c r="N650" s="864"/>
      <c r="O650" s="864"/>
      <c r="P650" s="864"/>
      <c r="Q650" s="864"/>
      <c r="R650" s="864"/>
      <c r="S650" s="864"/>
      <c r="T650" s="864"/>
      <c r="U650" s="864"/>
      <c r="V650" s="864"/>
      <c r="W650" s="864"/>
      <c r="X650" s="90"/>
      <c r="Y650" s="90"/>
      <c r="Z650" s="90"/>
    </row>
    <row r="651" ht="15.75" customHeight="1">
      <c r="A651" s="90"/>
      <c r="B651" s="90"/>
      <c r="C651" s="864"/>
      <c r="D651" s="90"/>
      <c r="E651" s="90"/>
      <c r="F651" s="90"/>
      <c r="G651" s="90"/>
      <c r="H651" s="90"/>
      <c r="I651" s="90"/>
      <c r="J651" s="90"/>
      <c r="K651" s="90"/>
      <c r="L651" s="90"/>
      <c r="M651" s="864"/>
      <c r="N651" s="864"/>
      <c r="O651" s="864"/>
      <c r="P651" s="864"/>
      <c r="Q651" s="864"/>
      <c r="R651" s="864"/>
      <c r="S651" s="864"/>
      <c r="T651" s="864"/>
      <c r="U651" s="864"/>
      <c r="V651" s="864"/>
      <c r="W651" s="864"/>
      <c r="X651" s="90"/>
      <c r="Y651" s="90"/>
      <c r="Z651" s="90"/>
    </row>
    <row r="652" ht="15.75" customHeight="1">
      <c r="A652" s="90"/>
      <c r="B652" s="90"/>
      <c r="C652" s="864"/>
      <c r="D652" s="90"/>
      <c r="E652" s="90"/>
      <c r="F652" s="90"/>
      <c r="G652" s="90"/>
      <c r="H652" s="90"/>
      <c r="I652" s="90"/>
      <c r="J652" s="90"/>
      <c r="K652" s="90"/>
      <c r="L652" s="90"/>
      <c r="M652" s="864"/>
      <c r="N652" s="864"/>
      <c r="O652" s="864"/>
      <c r="P652" s="864"/>
      <c r="Q652" s="864"/>
      <c r="R652" s="864"/>
      <c r="S652" s="864"/>
      <c r="T652" s="864"/>
      <c r="U652" s="864"/>
      <c r="V652" s="864"/>
      <c r="W652" s="864"/>
      <c r="X652" s="90"/>
      <c r="Y652" s="90"/>
      <c r="Z652" s="90"/>
    </row>
    <row r="653" ht="15.75" customHeight="1">
      <c r="A653" s="90"/>
      <c r="B653" s="90"/>
      <c r="C653" s="864"/>
      <c r="D653" s="90"/>
      <c r="E653" s="90"/>
      <c r="F653" s="90"/>
      <c r="G653" s="90"/>
      <c r="H653" s="90"/>
      <c r="I653" s="90"/>
      <c r="J653" s="90"/>
      <c r="K653" s="90"/>
      <c r="L653" s="90"/>
      <c r="M653" s="864"/>
      <c r="N653" s="864"/>
      <c r="O653" s="864"/>
      <c r="P653" s="864"/>
      <c r="Q653" s="864"/>
      <c r="R653" s="864"/>
      <c r="S653" s="864"/>
      <c r="T653" s="864"/>
      <c r="U653" s="864"/>
      <c r="V653" s="864"/>
      <c r="W653" s="864"/>
      <c r="X653" s="90"/>
      <c r="Y653" s="90"/>
      <c r="Z653" s="90"/>
    </row>
    <row r="654" ht="15.75" customHeight="1">
      <c r="A654" s="90"/>
      <c r="B654" s="90"/>
      <c r="C654" s="864"/>
      <c r="D654" s="90"/>
      <c r="E654" s="90"/>
      <c r="F654" s="90"/>
      <c r="G654" s="90"/>
      <c r="H654" s="90"/>
      <c r="I654" s="90"/>
      <c r="J654" s="90"/>
      <c r="K654" s="90"/>
      <c r="L654" s="90"/>
      <c r="M654" s="864"/>
      <c r="N654" s="864"/>
      <c r="O654" s="864"/>
      <c r="P654" s="864"/>
      <c r="Q654" s="864"/>
      <c r="R654" s="864"/>
      <c r="S654" s="864"/>
      <c r="T654" s="864"/>
      <c r="U654" s="864"/>
      <c r="V654" s="864"/>
      <c r="W654" s="864"/>
      <c r="X654" s="90"/>
      <c r="Y654" s="90"/>
      <c r="Z654" s="90"/>
    </row>
    <row r="655" ht="15.75" customHeight="1">
      <c r="A655" s="90"/>
      <c r="B655" s="90"/>
      <c r="C655" s="864"/>
      <c r="D655" s="90"/>
      <c r="E655" s="90"/>
      <c r="F655" s="90"/>
      <c r="G655" s="90"/>
      <c r="H655" s="90"/>
      <c r="I655" s="90"/>
      <c r="J655" s="90"/>
      <c r="K655" s="90"/>
      <c r="L655" s="90"/>
      <c r="M655" s="864"/>
      <c r="N655" s="864"/>
      <c r="O655" s="864"/>
      <c r="P655" s="864"/>
      <c r="Q655" s="864"/>
      <c r="R655" s="864"/>
      <c r="S655" s="864"/>
      <c r="T655" s="864"/>
      <c r="U655" s="864"/>
      <c r="V655" s="864"/>
      <c r="W655" s="864"/>
      <c r="X655" s="90"/>
      <c r="Y655" s="90"/>
      <c r="Z655" s="90"/>
    </row>
    <row r="656" ht="15.75" customHeight="1">
      <c r="A656" s="90"/>
      <c r="B656" s="90"/>
      <c r="C656" s="864"/>
      <c r="D656" s="90"/>
      <c r="E656" s="90"/>
      <c r="F656" s="90"/>
      <c r="G656" s="90"/>
      <c r="H656" s="90"/>
      <c r="I656" s="90"/>
      <c r="J656" s="90"/>
      <c r="K656" s="90"/>
      <c r="L656" s="90"/>
      <c r="M656" s="864"/>
      <c r="N656" s="864"/>
      <c r="O656" s="864"/>
      <c r="P656" s="864"/>
      <c r="Q656" s="864"/>
      <c r="R656" s="864"/>
      <c r="S656" s="864"/>
      <c r="T656" s="864"/>
      <c r="U656" s="864"/>
      <c r="V656" s="864"/>
      <c r="W656" s="864"/>
      <c r="X656" s="90"/>
      <c r="Y656" s="90"/>
      <c r="Z656" s="90"/>
    </row>
    <row r="657" ht="15.75" customHeight="1">
      <c r="A657" s="90"/>
      <c r="B657" s="90"/>
      <c r="C657" s="864"/>
      <c r="D657" s="90"/>
      <c r="E657" s="90"/>
      <c r="F657" s="90"/>
      <c r="G657" s="90"/>
      <c r="H657" s="90"/>
      <c r="I657" s="90"/>
      <c r="J657" s="90"/>
      <c r="K657" s="90"/>
      <c r="L657" s="90"/>
      <c r="M657" s="864"/>
      <c r="N657" s="864"/>
      <c r="O657" s="864"/>
      <c r="P657" s="864"/>
      <c r="Q657" s="864"/>
      <c r="R657" s="864"/>
      <c r="S657" s="864"/>
      <c r="T657" s="864"/>
      <c r="U657" s="864"/>
      <c r="V657" s="864"/>
      <c r="W657" s="864"/>
      <c r="X657" s="90"/>
      <c r="Y657" s="90"/>
      <c r="Z657" s="90"/>
    </row>
    <row r="658" ht="15.75" customHeight="1">
      <c r="A658" s="90"/>
      <c r="B658" s="90"/>
      <c r="C658" s="864"/>
      <c r="D658" s="90"/>
      <c r="E658" s="90"/>
      <c r="F658" s="90"/>
      <c r="G658" s="90"/>
      <c r="H658" s="90"/>
      <c r="I658" s="90"/>
      <c r="J658" s="90"/>
      <c r="K658" s="90"/>
      <c r="L658" s="90"/>
      <c r="M658" s="864"/>
      <c r="N658" s="864"/>
      <c r="O658" s="864"/>
      <c r="P658" s="864"/>
      <c r="Q658" s="864"/>
      <c r="R658" s="864"/>
      <c r="S658" s="864"/>
      <c r="T658" s="864"/>
      <c r="U658" s="864"/>
      <c r="V658" s="864"/>
      <c r="W658" s="864"/>
      <c r="X658" s="90"/>
      <c r="Y658" s="90"/>
      <c r="Z658" s="90"/>
    </row>
    <row r="659" ht="15.75" customHeight="1">
      <c r="A659" s="90"/>
      <c r="B659" s="90"/>
      <c r="C659" s="864"/>
      <c r="D659" s="90"/>
      <c r="E659" s="90"/>
      <c r="F659" s="90"/>
      <c r="G659" s="90"/>
      <c r="H659" s="90"/>
      <c r="I659" s="90"/>
      <c r="J659" s="90"/>
      <c r="K659" s="90"/>
      <c r="L659" s="90"/>
      <c r="M659" s="864"/>
      <c r="N659" s="864"/>
      <c r="O659" s="864"/>
      <c r="P659" s="864"/>
      <c r="Q659" s="864"/>
      <c r="R659" s="864"/>
      <c r="S659" s="864"/>
      <c r="T659" s="864"/>
      <c r="U659" s="864"/>
      <c r="V659" s="864"/>
      <c r="W659" s="864"/>
      <c r="X659" s="90"/>
      <c r="Y659" s="90"/>
      <c r="Z659" s="90"/>
    </row>
    <row r="660" ht="15.75" customHeight="1">
      <c r="A660" s="90"/>
      <c r="B660" s="90"/>
      <c r="C660" s="864"/>
      <c r="D660" s="90"/>
      <c r="E660" s="90"/>
      <c r="F660" s="90"/>
      <c r="G660" s="90"/>
      <c r="H660" s="90"/>
      <c r="I660" s="90"/>
      <c r="J660" s="90"/>
      <c r="K660" s="90"/>
      <c r="L660" s="90"/>
      <c r="M660" s="864"/>
      <c r="N660" s="864"/>
      <c r="O660" s="864"/>
      <c r="P660" s="864"/>
      <c r="Q660" s="864"/>
      <c r="R660" s="864"/>
      <c r="S660" s="864"/>
      <c r="T660" s="864"/>
      <c r="U660" s="864"/>
      <c r="V660" s="864"/>
      <c r="W660" s="864"/>
      <c r="X660" s="90"/>
      <c r="Y660" s="90"/>
      <c r="Z660" s="90"/>
    </row>
    <row r="661" ht="15.75" customHeight="1">
      <c r="A661" s="90"/>
      <c r="B661" s="90"/>
      <c r="C661" s="864"/>
      <c r="D661" s="90"/>
      <c r="E661" s="90"/>
      <c r="F661" s="90"/>
      <c r="G661" s="90"/>
      <c r="H661" s="90"/>
      <c r="I661" s="90"/>
      <c r="J661" s="90"/>
      <c r="K661" s="90"/>
      <c r="L661" s="90"/>
      <c r="M661" s="864"/>
      <c r="N661" s="864"/>
      <c r="O661" s="864"/>
      <c r="P661" s="864"/>
      <c r="Q661" s="864"/>
      <c r="R661" s="864"/>
      <c r="S661" s="864"/>
      <c r="T661" s="864"/>
      <c r="U661" s="864"/>
      <c r="V661" s="864"/>
      <c r="W661" s="864"/>
      <c r="X661" s="90"/>
      <c r="Y661" s="90"/>
      <c r="Z661" s="90"/>
    </row>
    <row r="662" ht="15.75" customHeight="1">
      <c r="A662" s="90"/>
      <c r="B662" s="90"/>
      <c r="C662" s="864"/>
      <c r="D662" s="90"/>
      <c r="E662" s="90"/>
      <c r="F662" s="90"/>
      <c r="G662" s="90"/>
      <c r="H662" s="90"/>
      <c r="I662" s="90"/>
      <c r="J662" s="90"/>
      <c r="K662" s="90"/>
      <c r="L662" s="90"/>
      <c r="M662" s="864"/>
      <c r="N662" s="864"/>
      <c r="O662" s="864"/>
      <c r="P662" s="864"/>
      <c r="Q662" s="864"/>
      <c r="R662" s="864"/>
      <c r="S662" s="864"/>
      <c r="T662" s="864"/>
      <c r="U662" s="864"/>
      <c r="V662" s="864"/>
      <c r="W662" s="864"/>
      <c r="X662" s="90"/>
      <c r="Y662" s="90"/>
      <c r="Z662" s="90"/>
    </row>
    <row r="663" ht="15.75" customHeight="1">
      <c r="A663" s="90"/>
      <c r="B663" s="90"/>
      <c r="C663" s="864"/>
      <c r="D663" s="90"/>
      <c r="E663" s="90"/>
      <c r="F663" s="90"/>
      <c r="G663" s="90"/>
      <c r="H663" s="90"/>
      <c r="I663" s="90"/>
      <c r="J663" s="90"/>
      <c r="K663" s="90"/>
      <c r="L663" s="90"/>
      <c r="M663" s="864"/>
      <c r="N663" s="864"/>
      <c r="O663" s="864"/>
      <c r="P663" s="864"/>
      <c r="Q663" s="864"/>
      <c r="R663" s="864"/>
      <c r="S663" s="864"/>
      <c r="T663" s="864"/>
      <c r="U663" s="864"/>
      <c r="V663" s="864"/>
      <c r="W663" s="864"/>
      <c r="X663" s="90"/>
      <c r="Y663" s="90"/>
      <c r="Z663" s="90"/>
    </row>
    <row r="664" ht="15.75" customHeight="1">
      <c r="A664" s="90"/>
      <c r="B664" s="90"/>
      <c r="C664" s="864"/>
      <c r="D664" s="90"/>
      <c r="E664" s="90"/>
      <c r="F664" s="90"/>
      <c r="G664" s="90"/>
      <c r="H664" s="90"/>
      <c r="I664" s="90"/>
      <c r="J664" s="90"/>
      <c r="K664" s="90"/>
      <c r="L664" s="90"/>
      <c r="M664" s="864"/>
      <c r="N664" s="864"/>
      <c r="O664" s="864"/>
      <c r="P664" s="864"/>
      <c r="Q664" s="864"/>
      <c r="R664" s="864"/>
      <c r="S664" s="864"/>
      <c r="T664" s="864"/>
      <c r="U664" s="864"/>
      <c r="V664" s="864"/>
      <c r="W664" s="864"/>
      <c r="X664" s="90"/>
      <c r="Y664" s="90"/>
      <c r="Z664" s="90"/>
    </row>
    <row r="665" ht="15.75" customHeight="1">
      <c r="A665" s="90"/>
      <c r="B665" s="90"/>
      <c r="C665" s="864"/>
      <c r="D665" s="90"/>
      <c r="E665" s="90"/>
      <c r="F665" s="90"/>
      <c r="G665" s="90"/>
      <c r="H665" s="90"/>
      <c r="I665" s="90"/>
      <c r="J665" s="90"/>
      <c r="K665" s="90"/>
      <c r="L665" s="90"/>
      <c r="M665" s="864"/>
      <c r="N665" s="864"/>
      <c r="O665" s="864"/>
      <c r="P665" s="864"/>
      <c r="Q665" s="864"/>
      <c r="R665" s="864"/>
      <c r="S665" s="864"/>
      <c r="T665" s="864"/>
      <c r="U665" s="864"/>
      <c r="V665" s="864"/>
      <c r="W665" s="864"/>
      <c r="X665" s="90"/>
      <c r="Y665" s="90"/>
      <c r="Z665" s="90"/>
    </row>
    <row r="666" ht="15.75" customHeight="1">
      <c r="A666" s="90"/>
      <c r="B666" s="90"/>
      <c r="C666" s="864"/>
      <c r="D666" s="90"/>
      <c r="E666" s="90"/>
      <c r="F666" s="90"/>
      <c r="G666" s="90"/>
      <c r="H666" s="90"/>
      <c r="I666" s="90"/>
      <c r="J666" s="90"/>
      <c r="K666" s="90"/>
      <c r="L666" s="90"/>
      <c r="M666" s="864"/>
      <c r="N666" s="864"/>
      <c r="O666" s="864"/>
      <c r="P666" s="864"/>
      <c r="Q666" s="864"/>
      <c r="R666" s="864"/>
      <c r="S666" s="864"/>
      <c r="T666" s="864"/>
      <c r="U666" s="864"/>
      <c r="V666" s="864"/>
      <c r="W666" s="864"/>
      <c r="X666" s="90"/>
      <c r="Y666" s="90"/>
      <c r="Z666" s="90"/>
    </row>
    <row r="667" ht="15.75" customHeight="1">
      <c r="A667" s="90"/>
      <c r="B667" s="90"/>
      <c r="C667" s="864"/>
      <c r="D667" s="90"/>
      <c r="E667" s="90"/>
      <c r="F667" s="90"/>
      <c r="G667" s="90"/>
      <c r="H667" s="90"/>
      <c r="I667" s="90"/>
      <c r="J667" s="90"/>
      <c r="K667" s="90"/>
      <c r="L667" s="90"/>
      <c r="M667" s="864"/>
      <c r="N667" s="864"/>
      <c r="O667" s="864"/>
      <c r="P667" s="864"/>
      <c r="Q667" s="864"/>
      <c r="R667" s="864"/>
      <c r="S667" s="864"/>
      <c r="T667" s="864"/>
      <c r="U667" s="864"/>
      <c r="V667" s="864"/>
      <c r="W667" s="864"/>
      <c r="X667" s="90"/>
      <c r="Y667" s="90"/>
      <c r="Z667" s="90"/>
    </row>
    <row r="668" ht="15.75" customHeight="1">
      <c r="A668" s="90"/>
      <c r="B668" s="90"/>
      <c r="C668" s="864"/>
      <c r="D668" s="90"/>
      <c r="E668" s="90"/>
      <c r="F668" s="90"/>
      <c r="G668" s="90"/>
      <c r="H668" s="90"/>
      <c r="I668" s="90"/>
      <c r="J668" s="90"/>
      <c r="K668" s="90"/>
      <c r="L668" s="90"/>
      <c r="M668" s="864"/>
      <c r="N668" s="864"/>
      <c r="O668" s="864"/>
      <c r="P668" s="864"/>
      <c r="Q668" s="864"/>
      <c r="R668" s="864"/>
      <c r="S668" s="864"/>
      <c r="T668" s="864"/>
      <c r="U668" s="864"/>
      <c r="V668" s="864"/>
      <c r="W668" s="864"/>
      <c r="X668" s="90"/>
      <c r="Y668" s="90"/>
      <c r="Z668" s="90"/>
    </row>
    <row r="669" ht="15.75" customHeight="1">
      <c r="A669" s="90"/>
      <c r="B669" s="90"/>
      <c r="C669" s="864"/>
      <c r="D669" s="90"/>
      <c r="E669" s="90"/>
      <c r="F669" s="90"/>
      <c r="G669" s="90"/>
      <c r="H669" s="90"/>
      <c r="I669" s="90"/>
      <c r="J669" s="90"/>
      <c r="K669" s="90"/>
      <c r="L669" s="90"/>
      <c r="M669" s="864"/>
      <c r="N669" s="864"/>
      <c r="O669" s="864"/>
      <c r="P669" s="864"/>
      <c r="Q669" s="864"/>
      <c r="R669" s="864"/>
      <c r="S669" s="864"/>
      <c r="T669" s="864"/>
      <c r="U669" s="864"/>
      <c r="V669" s="864"/>
      <c r="W669" s="864"/>
      <c r="X669" s="90"/>
      <c r="Y669" s="90"/>
      <c r="Z669" s="90"/>
    </row>
    <row r="670" ht="15.75" customHeight="1">
      <c r="A670" s="90"/>
      <c r="B670" s="90"/>
      <c r="C670" s="864"/>
      <c r="D670" s="90"/>
      <c r="E670" s="90"/>
      <c r="F670" s="90"/>
      <c r="G670" s="90"/>
      <c r="H670" s="90"/>
      <c r="I670" s="90"/>
      <c r="J670" s="90"/>
      <c r="K670" s="90"/>
      <c r="L670" s="90"/>
      <c r="M670" s="864"/>
      <c r="N670" s="864"/>
      <c r="O670" s="864"/>
      <c r="P670" s="864"/>
      <c r="Q670" s="864"/>
      <c r="R670" s="864"/>
      <c r="S670" s="864"/>
      <c r="T670" s="864"/>
      <c r="U670" s="864"/>
      <c r="V670" s="864"/>
      <c r="W670" s="864"/>
      <c r="X670" s="90"/>
      <c r="Y670" s="90"/>
      <c r="Z670" s="90"/>
    </row>
    <row r="671" ht="15.75" customHeight="1">
      <c r="A671" s="90"/>
      <c r="B671" s="90"/>
      <c r="C671" s="864"/>
      <c r="D671" s="90"/>
      <c r="E671" s="90"/>
      <c r="F671" s="90"/>
      <c r="G671" s="90"/>
      <c r="H671" s="90"/>
      <c r="I671" s="90"/>
      <c r="J671" s="90"/>
      <c r="K671" s="90"/>
      <c r="L671" s="90"/>
      <c r="M671" s="864"/>
      <c r="N671" s="864"/>
      <c r="O671" s="864"/>
      <c r="P671" s="864"/>
      <c r="Q671" s="864"/>
      <c r="R671" s="864"/>
      <c r="S671" s="864"/>
      <c r="T671" s="864"/>
      <c r="U671" s="864"/>
      <c r="V671" s="864"/>
      <c r="W671" s="864"/>
      <c r="X671" s="90"/>
      <c r="Y671" s="90"/>
      <c r="Z671" s="90"/>
    </row>
    <row r="672" ht="15.75" customHeight="1">
      <c r="A672" s="90"/>
      <c r="B672" s="90"/>
      <c r="C672" s="864"/>
      <c r="D672" s="90"/>
      <c r="E672" s="90"/>
      <c r="F672" s="90"/>
      <c r="G672" s="90"/>
      <c r="H672" s="90"/>
      <c r="I672" s="90"/>
      <c r="J672" s="90"/>
      <c r="K672" s="90"/>
      <c r="L672" s="90"/>
      <c r="M672" s="864"/>
      <c r="N672" s="864"/>
      <c r="O672" s="864"/>
      <c r="P672" s="864"/>
      <c r="Q672" s="864"/>
      <c r="R672" s="864"/>
      <c r="S672" s="864"/>
      <c r="T672" s="864"/>
      <c r="U672" s="864"/>
      <c r="V672" s="864"/>
      <c r="W672" s="864"/>
      <c r="X672" s="90"/>
      <c r="Y672" s="90"/>
      <c r="Z672" s="90"/>
    </row>
    <row r="673" ht="15.75" customHeight="1">
      <c r="A673" s="90"/>
      <c r="B673" s="90"/>
      <c r="C673" s="864"/>
      <c r="D673" s="90"/>
      <c r="E673" s="90"/>
      <c r="F673" s="90"/>
      <c r="G673" s="90"/>
      <c r="H673" s="90"/>
      <c r="I673" s="90"/>
      <c r="J673" s="90"/>
      <c r="K673" s="90"/>
      <c r="L673" s="90"/>
      <c r="M673" s="864"/>
      <c r="N673" s="864"/>
      <c r="O673" s="864"/>
      <c r="P673" s="864"/>
      <c r="Q673" s="864"/>
      <c r="R673" s="864"/>
      <c r="S673" s="864"/>
      <c r="T673" s="864"/>
      <c r="U673" s="864"/>
      <c r="V673" s="864"/>
      <c r="W673" s="864"/>
      <c r="X673" s="90"/>
      <c r="Y673" s="90"/>
      <c r="Z673" s="90"/>
    </row>
    <row r="674" ht="15.75" customHeight="1">
      <c r="A674" s="90"/>
      <c r="B674" s="90"/>
      <c r="C674" s="864"/>
      <c r="D674" s="90"/>
      <c r="E674" s="90"/>
      <c r="F674" s="90"/>
      <c r="G674" s="90"/>
      <c r="H674" s="90"/>
      <c r="I674" s="90"/>
      <c r="J674" s="90"/>
      <c r="K674" s="90"/>
      <c r="L674" s="90"/>
      <c r="M674" s="864"/>
      <c r="N674" s="864"/>
      <c r="O674" s="864"/>
      <c r="P674" s="864"/>
      <c r="Q674" s="864"/>
      <c r="R674" s="864"/>
      <c r="S674" s="864"/>
      <c r="T674" s="864"/>
      <c r="U674" s="864"/>
      <c r="V674" s="864"/>
      <c r="W674" s="864"/>
      <c r="X674" s="90"/>
      <c r="Y674" s="90"/>
      <c r="Z674" s="90"/>
    </row>
    <row r="675" ht="15.75" customHeight="1">
      <c r="A675" s="90"/>
      <c r="B675" s="90"/>
      <c r="C675" s="864"/>
      <c r="D675" s="90"/>
      <c r="E675" s="90"/>
      <c r="F675" s="90"/>
      <c r="G675" s="90"/>
      <c r="H675" s="90"/>
      <c r="I675" s="90"/>
      <c r="J675" s="90"/>
      <c r="K675" s="90"/>
      <c r="L675" s="90"/>
      <c r="M675" s="864"/>
      <c r="N675" s="864"/>
      <c r="O675" s="864"/>
      <c r="P675" s="864"/>
      <c r="Q675" s="864"/>
      <c r="R675" s="864"/>
      <c r="S675" s="864"/>
      <c r="T675" s="864"/>
      <c r="U675" s="864"/>
      <c r="V675" s="864"/>
      <c r="W675" s="864"/>
      <c r="X675" s="90"/>
      <c r="Y675" s="90"/>
      <c r="Z675" s="90"/>
    </row>
    <row r="676" ht="15.75" customHeight="1">
      <c r="A676" s="90"/>
      <c r="B676" s="90"/>
      <c r="C676" s="864"/>
      <c r="D676" s="90"/>
      <c r="E676" s="90"/>
      <c r="F676" s="90"/>
      <c r="G676" s="90"/>
      <c r="H676" s="90"/>
      <c r="I676" s="90"/>
      <c r="J676" s="90"/>
      <c r="K676" s="90"/>
      <c r="L676" s="90"/>
      <c r="M676" s="864"/>
      <c r="N676" s="864"/>
      <c r="O676" s="864"/>
      <c r="P676" s="864"/>
      <c r="Q676" s="864"/>
      <c r="R676" s="864"/>
      <c r="S676" s="864"/>
      <c r="T676" s="864"/>
      <c r="U676" s="864"/>
      <c r="V676" s="864"/>
      <c r="W676" s="864"/>
      <c r="X676" s="90"/>
      <c r="Y676" s="90"/>
      <c r="Z676" s="90"/>
    </row>
    <row r="677" ht="15.75" customHeight="1">
      <c r="A677" s="90"/>
      <c r="B677" s="90"/>
      <c r="C677" s="864"/>
      <c r="D677" s="90"/>
      <c r="E677" s="90"/>
      <c r="F677" s="90"/>
      <c r="G677" s="90"/>
      <c r="H677" s="90"/>
      <c r="I677" s="90"/>
      <c r="J677" s="90"/>
      <c r="K677" s="90"/>
      <c r="L677" s="90"/>
      <c r="M677" s="864"/>
      <c r="N677" s="864"/>
      <c r="O677" s="864"/>
      <c r="P677" s="864"/>
      <c r="Q677" s="864"/>
      <c r="R677" s="864"/>
      <c r="S677" s="864"/>
      <c r="T677" s="864"/>
      <c r="U677" s="864"/>
      <c r="V677" s="864"/>
      <c r="W677" s="864"/>
      <c r="X677" s="90"/>
      <c r="Y677" s="90"/>
      <c r="Z677" s="90"/>
    </row>
    <row r="678" ht="15.75" customHeight="1">
      <c r="A678" s="90"/>
      <c r="B678" s="90"/>
      <c r="C678" s="864"/>
      <c r="D678" s="90"/>
      <c r="E678" s="90"/>
      <c r="F678" s="90"/>
      <c r="G678" s="90"/>
      <c r="H678" s="90"/>
      <c r="I678" s="90"/>
      <c r="J678" s="90"/>
      <c r="K678" s="90"/>
      <c r="L678" s="90"/>
      <c r="M678" s="864"/>
      <c r="N678" s="864"/>
      <c r="O678" s="864"/>
      <c r="P678" s="864"/>
      <c r="Q678" s="864"/>
      <c r="R678" s="864"/>
      <c r="S678" s="864"/>
      <c r="T678" s="864"/>
      <c r="U678" s="864"/>
      <c r="V678" s="864"/>
      <c r="W678" s="864"/>
      <c r="X678" s="90"/>
      <c r="Y678" s="90"/>
      <c r="Z678" s="90"/>
    </row>
    <row r="679" ht="15.75" customHeight="1">
      <c r="A679" s="90"/>
      <c r="B679" s="90"/>
      <c r="C679" s="864"/>
      <c r="D679" s="90"/>
      <c r="E679" s="90"/>
      <c r="F679" s="90"/>
      <c r="G679" s="90"/>
      <c r="H679" s="90"/>
      <c r="I679" s="90"/>
      <c r="J679" s="90"/>
      <c r="K679" s="90"/>
      <c r="L679" s="90"/>
      <c r="M679" s="864"/>
      <c r="N679" s="864"/>
      <c r="O679" s="864"/>
      <c r="P679" s="864"/>
      <c r="Q679" s="864"/>
      <c r="R679" s="864"/>
      <c r="S679" s="864"/>
      <c r="T679" s="864"/>
      <c r="U679" s="864"/>
      <c r="V679" s="864"/>
      <c r="W679" s="864"/>
      <c r="X679" s="90"/>
      <c r="Y679" s="90"/>
      <c r="Z679" s="90"/>
    </row>
    <row r="680" ht="15.75" customHeight="1">
      <c r="A680" s="90"/>
      <c r="B680" s="90"/>
      <c r="C680" s="864"/>
      <c r="D680" s="90"/>
      <c r="E680" s="90"/>
      <c r="F680" s="90"/>
      <c r="G680" s="90"/>
      <c r="H680" s="90"/>
      <c r="I680" s="90"/>
      <c r="J680" s="90"/>
      <c r="K680" s="90"/>
      <c r="L680" s="90"/>
      <c r="M680" s="864"/>
      <c r="N680" s="864"/>
      <c r="O680" s="864"/>
      <c r="P680" s="864"/>
      <c r="Q680" s="864"/>
      <c r="R680" s="864"/>
      <c r="S680" s="864"/>
      <c r="T680" s="864"/>
      <c r="U680" s="864"/>
      <c r="V680" s="864"/>
      <c r="W680" s="864"/>
      <c r="X680" s="90"/>
      <c r="Y680" s="90"/>
      <c r="Z680" s="90"/>
    </row>
    <row r="681" ht="15.75" customHeight="1">
      <c r="A681" s="90"/>
      <c r="B681" s="90"/>
      <c r="C681" s="864"/>
      <c r="D681" s="90"/>
      <c r="E681" s="90"/>
      <c r="F681" s="90"/>
      <c r="G681" s="90"/>
      <c r="H681" s="90"/>
      <c r="I681" s="90"/>
      <c r="J681" s="90"/>
      <c r="K681" s="90"/>
      <c r="L681" s="90"/>
      <c r="M681" s="864"/>
      <c r="N681" s="864"/>
      <c r="O681" s="864"/>
      <c r="P681" s="864"/>
      <c r="Q681" s="864"/>
      <c r="R681" s="864"/>
      <c r="S681" s="864"/>
      <c r="T681" s="864"/>
      <c r="U681" s="864"/>
      <c r="V681" s="864"/>
      <c r="W681" s="864"/>
      <c r="X681" s="90"/>
      <c r="Y681" s="90"/>
      <c r="Z681" s="90"/>
    </row>
    <row r="682" ht="15.75" customHeight="1">
      <c r="A682" s="90"/>
      <c r="B682" s="90"/>
      <c r="C682" s="864"/>
      <c r="D682" s="90"/>
      <c r="E682" s="90"/>
      <c r="F682" s="90"/>
      <c r="G682" s="90"/>
      <c r="H682" s="90"/>
      <c r="I682" s="90"/>
      <c r="J682" s="90"/>
      <c r="K682" s="90"/>
      <c r="L682" s="90"/>
      <c r="M682" s="864"/>
      <c r="N682" s="864"/>
      <c r="O682" s="864"/>
      <c r="P682" s="864"/>
      <c r="Q682" s="864"/>
      <c r="R682" s="864"/>
      <c r="S682" s="864"/>
      <c r="T682" s="864"/>
      <c r="U682" s="864"/>
      <c r="V682" s="864"/>
      <c r="W682" s="864"/>
      <c r="X682" s="90"/>
      <c r="Y682" s="90"/>
      <c r="Z682" s="90"/>
    </row>
    <row r="683" ht="15.75" customHeight="1">
      <c r="A683" s="90"/>
      <c r="B683" s="90"/>
      <c r="C683" s="864"/>
      <c r="D683" s="90"/>
      <c r="E683" s="90"/>
      <c r="F683" s="90"/>
      <c r="G683" s="90"/>
      <c r="H683" s="90"/>
      <c r="I683" s="90"/>
      <c r="J683" s="90"/>
      <c r="K683" s="90"/>
      <c r="L683" s="90"/>
      <c r="M683" s="864"/>
      <c r="N683" s="864"/>
      <c r="O683" s="864"/>
      <c r="P683" s="864"/>
      <c r="Q683" s="864"/>
      <c r="R683" s="864"/>
      <c r="S683" s="864"/>
      <c r="T683" s="864"/>
      <c r="U683" s="864"/>
      <c r="V683" s="864"/>
      <c r="W683" s="864"/>
      <c r="X683" s="90"/>
      <c r="Y683" s="90"/>
      <c r="Z683" s="90"/>
    </row>
    <row r="684" ht="15.75" customHeight="1">
      <c r="A684" s="90"/>
      <c r="B684" s="90"/>
      <c r="C684" s="864"/>
      <c r="D684" s="90"/>
      <c r="E684" s="90"/>
      <c r="F684" s="90"/>
      <c r="G684" s="90"/>
      <c r="H684" s="90"/>
      <c r="I684" s="90"/>
      <c r="J684" s="90"/>
      <c r="K684" s="90"/>
      <c r="L684" s="90"/>
      <c r="M684" s="864"/>
      <c r="N684" s="864"/>
      <c r="O684" s="864"/>
      <c r="P684" s="864"/>
      <c r="Q684" s="864"/>
      <c r="R684" s="864"/>
      <c r="S684" s="864"/>
      <c r="T684" s="864"/>
      <c r="U684" s="864"/>
      <c r="V684" s="864"/>
      <c r="W684" s="864"/>
      <c r="X684" s="90"/>
      <c r="Y684" s="90"/>
      <c r="Z684" s="90"/>
    </row>
    <row r="685" ht="15.75" customHeight="1">
      <c r="A685" s="90"/>
      <c r="B685" s="90"/>
      <c r="C685" s="864"/>
      <c r="D685" s="90"/>
      <c r="E685" s="90"/>
      <c r="F685" s="90"/>
      <c r="G685" s="90"/>
      <c r="H685" s="90"/>
      <c r="I685" s="90"/>
      <c r="J685" s="90"/>
      <c r="K685" s="90"/>
      <c r="L685" s="90"/>
      <c r="M685" s="864"/>
      <c r="N685" s="864"/>
      <c r="O685" s="864"/>
      <c r="P685" s="864"/>
      <c r="Q685" s="864"/>
      <c r="R685" s="864"/>
      <c r="S685" s="864"/>
      <c r="T685" s="864"/>
      <c r="U685" s="864"/>
      <c r="V685" s="864"/>
      <c r="W685" s="864"/>
      <c r="X685" s="90"/>
      <c r="Y685" s="90"/>
      <c r="Z685" s="90"/>
    </row>
    <row r="686" ht="15.75" customHeight="1">
      <c r="A686" s="90"/>
      <c r="B686" s="90"/>
      <c r="C686" s="864"/>
      <c r="D686" s="90"/>
      <c r="E686" s="90"/>
      <c r="F686" s="90"/>
      <c r="G686" s="90"/>
      <c r="H686" s="90"/>
      <c r="I686" s="90"/>
      <c r="J686" s="90"/>
      <c r="K686" s="90"/>
      <c r="L686" s="90"/>
      <c r="M686" s="864"/>
      <c r="N686" s="864"/>
      <c r="O686" s="864"/>
      <c r="P686" s="864"/>
      <c r="Q686" s="864"/>
      <c r="R686" s="864"/>
      <c r="S686" s="864"/>
      <c r="T686" s="864"/>
      <c r="U686" s="864"/>
      <c r="V686" s="864"/>
      <c r="W686" s="864"/>
      <c r="X686" s="90"/>
      <c r="Y686" s="90"/>
      <c r="Z686" s="90"/>
    </row>
    <row r="687" ht="15.75" customHeight="1">
      <c r="A687" s="90"/>
      <c r="B687" s="90"/>
      <c r="C687" s="864"/>
      <c r="D687" s="90"/>
      <c r="E687" s="90"/>
      <c r="F687" s="90"/>
      <c r="G687" s="90"/>
      <c r="H687" s="90"/>
      <c r="I687" s="90"/>
      <c r="J687" s="90"/>
      <c r="K687" s="90"/>
      <c r="L687" s="90"/>
      <c r="M687" s="864"/>
      <c r="N687" s="864"/>
      <c r="O687" s="864"/>
      <c r="P687" s="864"/>
      <c r="Q687" s="864"/>
      <c r="R687" s="864"/>
      <c r="S687" s="864"/>
      <c r="T687" s="864"/>
      <c r="U687" s="864"/>
      <c r="V687" s="864"/>
      <c r="W687" s="864"/>
      <c r="X687" s="90"/>
      <c r="Y687" s="90"/>
      <c r="Z687" s="90"/>
    </row>
    <row r="688" ht="15.75" customHeight="1">
      <c r="A688" s="90"/>
      <c r="B688" s="90"/>
      <c r="C688" s="864"/>
      <c r="D688" s="90"/>
      <c r="E688" s="90"/>
      <c r="F688" s="90"/>
      <c r="G688" s="90"/>
      <c r="H688" s="90"/>
      <c r="I688" s="90"/>
      <c r="J688" s="90"/>
      <c r="K688" s="90"/>
      <c r="L688" s="90"/>
      <c r="M688" s="864"/>
      <c r="N688" s="864"/>
      <c r="O688" s="864"/>
      <c r="P688" s="864"/>
      <c r="Q688" s="864"/>
      <c r="R688" s="864"/>
      <c r="S688" s="864"/>
      <c r="T688" s="864"/>
      <c r="U688" s="864"/>
      <c r="V688" s="864"/>
      <c r="W688" s="864"/>
      <c r="X688" s="90"/>
      <c r="Y688" s="90"/>
      <c r="Z688" s="90"/>
    </row>
    <row r="689" ht="15.75" customHeight="1">
      <c r="A689" s="90"/>
      <c r="B689" s="90"/>
      <c r="C689" s="864"/>
      <c r="D689" s="90"/>
      <c r="E689" s="90"/>
      <c r="F689" s="90"/>
      <c r="G689" s="90"/>
      <c r="H689" s="90"/>
      <c r="I689" s="90"/>
      <c r="J689" s="90"/>
      <c r="K689" s="90"/>
      <c r="L689" s="90"/>
      <c r="M689" s="864"/>
      <c r="N689" s="864"/>
      <c r="O689" s="864"/>
      <c r="P689" s="864"/>
      <c r="Q689" s="864"/>
      <c r="R689" s="864"/>
      <c r="S689" s="864"/>
      <c r="T689" s="864"/>
      <c r="U689" s="864"/>
      <c r="V689" s="864"/>
      <c r="W689" s="864"/>
      <c r="X689" s="90"/>
      <c r="Y689" s="90"/>
      <c r="Z689" s="90"/>
    </row>
    <row r="690" ht="15.75" customHeight="1">
      <c r="A690" s="90"/>
      <c r="B690" s="90"/>
      <c r="C690" s="864"/>
      <c r="D690" s="90"/>
      <c r="E690" s="90"/>
      <c r="F690" s="90"/>
      <c r="G690" s="90"/>
      <c r="H690" s="90"/>
      <c r="I690" s="90"/>
      <c r="J690" s="90"/>
      <c r="K690" s="90"/>
      <c r="L690" s="90"/>
      <c r="M690" s="864"/>
      <c r="N690" s="864"/>
      <c r="O690" s="864"/>
      <c r="P690" s="864"/>
      <c r="Q690" s="864"/>
      <c r="R690" s="864"/>
      <c r="S690" s="864"/>
      <c r="T690" s="864"/>
      <c r="U690" s="864"/>
      <c r="V690" s="864"/>
      <c r="W690" s="864"/>
      <c r="X690" s="90"/>
      <c r="Y690" s="90"/>
      <c r="Z690" s="90"/>
    </row>
    <row r="691" ht="15.75" customHeight="1">
      <c r="A691" s="90"/>
      <c r="B691" s="90"/>
      <c r="C691" s="864"/>
      <c r="D691" s="90"/>
      <c r="E691" s="90"/>
      <c r="F691" s="90"/>
      <c r="G691" s="90"/>
      <c r="H691" s="90"/>
      <c r="I691" s="90"/>
      <c r="J691" s="90"/>
      <c r="K691" s="90"/>
      <c r="L691" s="90"/>
      <c r="M691" s="864"/>
      <c r="N691" s="864"/>
      <c r="O691" s="864"/>
      <c r="P691" s="864"/>
      <c r="Q691" s="864"/>
      <c r="R691" s="864"/>
      <c r="S691" s="864"/>
      <c r="T691" s="864"/>
      <c r="U691" s="864"/>
      <c r="V691" s="864"/>
      <c r="W691" s="864"/>
      <c r="X691" s="90"/>
      <c r="Y691" s="90"/>
      <c r="Z691" s="90"/>
    </row>
    <row r="692" ht="15.75" customHeight="1">
      <c r="A692" s="90"/>
      <c r="B692" s="90"/>
      <c r="C692" s="864"/>
      <c r="D692" s="90"/>
      <c r="E692" s="90"/>
      <c r="F692" s="90"/>
      <c r="G692" s="90"/>
      <c r="H692" s="90"/>
      <c r="I692" s="90"/>
      <c r="J692" s="90"/>
      <c r="K692" s="90"/>
      <c r="L692" s="90"/>
      <c r="M692" s="864"/>
      <c r="N692" s="864"/>
      <c r="O692" s="864"/>
      <c r="P692" s="864"/>
      <c r="Q692" s="864"/>
      <c r="R692" s="864"/>
      <c r="S692" s="864"/>
      <c r="T692" s="864"/>
      <c r="U692" s="864"/>
      <c r="V692" s="864"/>
      <c r="W692" s="864"/>
      <c r="X692" s="90"/>
      <c r="Y692" s="90"/>
      <c r="Z692" s="90"/>
    </row>
    <row r="693" ht="15.75" customHeight="1">
      <c r="A693" s="90"/>
      <c r="B693" s="90"/>
      <c r="C693" s="864"/>
      <c r="D693" s="90"/>
      <c r="E693" s="90"/>
      <c r="F693" s="90"/>
      <c r="G693" s="90"/>
      <c r="H693" s="90"/>
      <c r="I693" s="90"/>
      <c r="J693" s="90"/>
      <c r="K693" s="90"/>
      <c r="L693" s="90"/>
      <c r="M693" s="864"/>
      <c r="N693" s="864"/>
      <c r="O693" s="864"/>
      <c r="P693" s="864"/>
      <c r="Q693" s="864"/>
      <c r="R693" s="864"/>
      <c r="S693" s="864"/>
      <c r="T693" s="864"/>
      <c r="U693" s="864"/>
      <c r="V693" s="864"/>
      <c r="W693" s="864"/>
      <c r="X693" s="90"/>
      <c r="Y693" s="90"/>
      <c r="Z693" s="90"/>
    </row>
    <row r="694" ht="15.75" customHeight="1">
      <c r="A694" s="90"/>
      <c r="B694" s="90"/>
      <c r="C694" s="864"/>
      <c r="D694" s="90"/>
      <c r="E694" s="90"/>
      <c r="F694" s="90"/>
      <c r="G694" s="90"/>
      <c r="H694" s="90"/>
      <c r="I694" s="90"/>
      <c r="J694" s="90"/>
      <c r="K694" s="90"/>
      <c r="L694" s="90"/>
      <c r="M694" s="864"/>
      <c r="N694" s="864"/>
      <c r="O694" s="864"/>
      <c r="P694" s="864"/>
      <c r="Q694" s="864"/>
      <c r="R694" s="864"/>
      <c r="S694" s="864"/>
      <c r="T694" s="864"/>
      <c r="U694" s="864"/>
      <c r="V694" s="864"/>
      <c r="W694" s="864"/>
      <c r="X694" s="90"/>
      <c r="Y694" s="90"/>
      <c r="Z694" s="90"/>
    </row>
    <row r="695" ht="15.75" customHeight="1">
      <c r="A695" s="90"/>
      <c r="B695" s="90"/>
      <c r="C695" s="864"/>
      <c r="D695" s="90"/>
      <c r="E695" s="90"/>
      <c r="F695" s="90"/>
      <c r="G695" s="90"/>
      <c r="H695" s="90"/>
      <c r="I695" s="90"/>
      <c r="J695" s="90"/>
      <c r="K695" s="90"/>
      <c r="L695" s="90"/>
      <c r="M695" s="864"/>
      <c r="N695" s="864"/>
      <c r="O695" s="864"/>
      <c r="P695" s="864"/>
      <c r="Q695" s="864"/>
      <c r="R695" s="864"/>
      <c r="S695" s="864"/>
      <c r="T695" s="864"/>
      <c r="U695" s="864"/>
      <c r="V695" s="864"/>
      <c r="W695" s="864"/>
      <c r="X695" s="90"/>
      <c r="Y695" s="90"/>
      <c r="Z695" s="90"/>
    </row>
    <row r="696" ht="15.75" customHeight="1">
      <c r="A696" s="90"/>
      <c r="B696" s="90"/>
      <c r="C696" s="864"/>
      <c r="D696" s="90"/>
      <c r="E696" s="90"/>
      <c r="F696" s="90"/>
      <c r="G696" s="90"/>
      <c r="H696" s="90"/>
      <c r="I696" s="90"/>
      <c r="J696" s="90"/>
      <c r="K696" s="90"/>
      <c r="L696" s="90"/>
      <c r="M696" s="864"/>
      <c r="N696" s="864"/>
      <c r="O696" s="864"/>
      <c r="P696" s="864"/>
      <c r="Q696" s="864"/>
      <c r="R696" s="864"/>
      <c r="S696" s="864"/>
      <c r="T696" s="864"/>
      <c r="U696" s="864"/>
      <c r="V696" s="864"/>
      <c r="W696" s="864"/>
      <c r="X696" s="90"/>
      <c r="Y696" s="90"/>
      <c r="Z696" s="90"/>
    </row>
    <row r="697" ht="15.75" customHeight="1">
      <c r="A697" s="90"/>
      <c r="B697" s="90"/>
      <c r="C697" s="864"/>
      <c r="D697" s="90"/>
      <c r="E697" s="90"/>
      <c r="F697" s="90"/>
      <c r="G697" s="90"/>
      <c r="H697" s="90"/>
      <c r="I697" s="90"/>
      <c r="J697" s="90"/>
      <c r="K697" s="90"/>
      <c r="L697" s="90"/>
      <c r="M697" s="864"/>
      <c r="N697" s="864"/>
      <c r="O697" s="864"/>
      <c r="P697" s="864"/>
      <c r="Q697" s="864"/>
      <c r="R697" s="864"/>
      <c r="S697" s="864"/>
      <c r="T697" s="864"/>
      <c r="U697" s="864"/>
      <c r="V697" s="864"/>
      <c r="W697" s="864"/>
      <c r="X697" s="90"/>
      <c r="Y697" s="90"/>
      <c r="Z697" s="90"/>
    </row>
    <row r="698" ht="15.75" customHeight="1">
      <c r="A698" s="90"/>
      <c r="B698" s="90"/>
      <c r="C698" s="864"/>
      <c r="D698" s="90"/>
      <c r="E698" s="90"/>
      <c r="F698" s="90"/>
      <c r="G698" s="90"/>
      <c r="H698" s="90"/>
      <c r="I698" s="90"/>
      <c r="J698" s="90"/>
      <c r="K698" s="90"/>
      <c r="L698" s="90"/>
      <c r="M698" s="864"/>
      <c r="N698" s="864"/>
      <c r="O698" s="864"/>
      <c r="P698" s="864"/>
      <c r="Q698" s="864"/>
      <c r="R698" s="864"/>
      <c r="S698" s="864"/>
      <c r="T698" s="864"/>
      <c r="U698" s="864"/>
      <c r="V698" s="864"/>
      <c r="W698" s="864"/>
      <c r="X698" s="90"/>
      <c r="Y698" s="90"/>
      <c r="Z698" s="90"/>
    </row>
    <row r="699" ht="15.75" customHeight="1">
      <c r="A699" s="90"/>
      <c r="B699" s="90"/>
      <c r="C699" s="864"/>
      <c r="D699" s="90"/>
      <c r="E699" s="90"/>
      <c r="F699" s="90"/>
      <c r="G699" s="90"/>
      <c r="H699" s="90"/>
      <c r="I699" s="90"/>
      <c r="J699" s="90"/>
      <c r="K699" s="90"/>
      <c r="L699" s="90"/>
      <c r="M699" s="864"/>
      <c r="N699" s="864"/>
      <c r="O699" s="864"/>
      <c r="P699" s="864"/>
      <c r="Q699" s="864"/>
      <c r="R699" s="864"/>
      <c r="S699" s="864"/>
      <c r="T699" s="864"/>
      <c r="U699" s="864"/>
      <c r="V699" s="864"/>
      <c r="W699" s="864"/>
      <c r="X699" s="90"/>
      <c r="Y699" s="90"/>
      <c r="Z699" s="90"/>
    </row>
    <row r="700" ht="15.75" customHeight="1">
      <c r="A700" s="90"/>
      <c r="B700" s="90"/>
      <c r="C700" s="864"/>
      <c r="D700" s="90"/>
      <c r="E700" s="90"/>
      <c r="F700" s="90"/>
      <c r="G700" s="90"/>
      <c r="H700" s="90"/>
      <c r="I700" s="90"/>
      <c r="J700" s="90"/>
      <c r="K700" s="90"/>
      <c r="L700" s="90"/>
      <c r="M700" s="864"/>
      <c r="N700" s="864"/>
      <c r="O700" s="864"/>
      <c r="P700" s="864"/>
      <c r="Q700" s="864"/>
      <c r="R700" s="864"/>
      <c r="S700" s="864"/>
      <c r="T700" s="864"/>
      <c r="U700" s="864"/>
      <c r="V700" s="864"/>
      <c r="W700" s="864"/>
      <c r="X700" s="90"/>
      <c r="Y700" s="90"/>
      <c r="Z700" s="90"/>
    </row>
    <row r="701" ht="15.75" customHeight="1">
      <c r="A701" s="90"/>
      <c r="B701" s="90"/>
      <c r="C701" s="864"/>
      <c r="D701" s="90"/>
      <c r="E701" s="90"/>
      <c r="F701" s="90"/>
      <c r="G701" s="90"/>
      <c r="H701" s="90"/>
      <c r="I701" s="90"/>
      <c r="J701" s="90"/>
      <c r="K701" s="90"/>
      <c r="L701" s="90"/>
      <c r="M701" s="864"/>
      <c r="N701" s="864"/>
      <c r="O701" s="864"/>
      <c r="P701" s="864"/>
      <c r="Q701" s="864"/>
      <c r="R701" s="864"/>
      <c r="S701" s="864"/>
      <c r="T701" s="864"/>
      <c r="U701" s="864"/>
      <c r="V701" s="864"/>
      <c r="W701" s="864"/>
      <c r="X701" s="90"/>
      <c r="Y701" s="90"/>
      <c r="Z701" s="90"/>
    </row>
    <row r="702" ht="15.75" customHeight="1">
      <c r="A702" s="90"/>
      <c r="B702" s="90"/>
      <c r="C702" s="864"/>
      <c r="D702" s="90"/>
      <c r="E702" s="90"/>
      <c r="F702" s="90"/>
      <c r="G702" s="90"/>
      <c r="H702" s="90"/>
      <c r="I702" s="90"/>
      <c r="J702" s="90"/>
      <c r="K702" s="90"/>
      <c r="L702" s="90"/>
      <c r="M702" s="864"/>
      <c r="N702" s="864"/>
      <c r="O702" s="864"/>
      <c r="P702" s="864"/>
      <c r="Q702" s="864"/>
      <c r="R702" s="864"/>
      <c r="S702" s="864"/>
      <c r="T702" s="864"/>
      <c r="U702" s="864"/>
      <c r="V702" s="864"/>
      <c r="W702" s="864"/>
      <c r="X702" s="90"/>
      <c r="Y702" s="90"/>
      <c r="Z702" s="90"/>
    </row>
    <row r="703" ht="15.75" customHeight="1">
      <c r="A703" s="90"/>
      <c r="B703" s="90"/>
      <c r="C703" s="864"/>
      <c r="D703" s="90"/>
      <c r="E703" s="90"/>
      <c r="F703" s="90"/>
      <c r="G703" s="90"/>
      <c r="H703" s="90"/>
      <c r="I703" s="90"/>
      <c r="J703" s="90"/>
      <c r="K703" s="90"/>
      <c r="L703" s="90"/>
      <c r="M703" s="864"/>
      <c r="N703" s="864"/>
      <c r="O703" s="864"/>
      <c r="P703" s="864"/>
      <c r="Q703" s="864"/>
      <c r="R703" s="864"/>
      <c r="S703" s="864"/>
      <c r="T703" s="864"/>
      <c r="U703" s="864"/>
      <c r="V703" s="864"/>
      <c r="W703" s="864"/>
      <c r="X703" s="90"/>
      <c r="Y703" s="90"/>
      <c r="Z703" s="90"/>
    </row>
    <row r="704" ht="15.75" customHeight="1">
      <c r="A704" s="90"/>
      <c r="B704" s="90"/>
      <c r="C704" s="864"/>
      <c r="D704" s="90"/>
      <c r="E704" s="90"/>
      <c r="F704" s="90"/>
      <c r="G704" s="90"/>
      <c r="H704" s="90"/>
      <c r="I704" s="90"/>
      <c r="J704" s="90"/>
      <c r="K704" s="90"/>
      <c r="L704" s="90"/>
      <c r="M704" s="864"/>
      <c r="N704" s="864"/>
      <c r="O704" s="864"/>
      <c r="P704" s="864"/>
      <c r="Q704" s="864"/>
      <c r="R704" s="864"/>
      <c r="S704" s="864"/>
      <c r="T704" s="864"/>
      <c r="U704" s="864"/>
      <c r="V704" s="864"/>
      <c r="W704" s="864"/>
      <c r="X704" s="90"/>
      <c r="Y704" s="90"/>
      <c r="Z704" s="90"/>
    </row>
    <row r="705" ht="15.75" customHeight="1">
      <c r="A705" s="90"/>
      <c r="B705" s="90"/>
      <c r="C705" s="864"/>
      <c r="D705" s="90"/>
      <c r="E705" s="90"/>
      <c r="F705" s="90"/>
      <c r="G705" s="90"/>
      <c r="H705" s="90"/>
      <c r="I705" s="90"/>
      <c r="J705" s="90"/>
      <c r="K705" s="90"/>
      <c r="L705" s="90"/>
      <c r="M705" s="864"/>
      <c r="N705" s="864"/>
      <c r="O705" s="864"/>
      <c r="P705" s="864"/>
      <c r="Q705" s="864"/>
      <c r="R705" s="864"/>
      <c r="S705" s="864"/>
      <c r="T705" s="864"/>
      <c r="U705" s="864"/>
      <c r="V705" s="864"/>
      <c r="W705" s="864"/>
      <c r="X705" s="90"/>
      <c r="Y705" s="90"/>
      <c r="Z705" s="90"/>
    </row>
    <row r="706" ht="15.75" customHeight="1">
      <c r="A706" s="90"/>
      <c r="B706" s="90"/>
      <c r="C706" s="864"/>
      <c r="D706" s="90"/>
      <c r="E706" s="90"/>
      <c r="F706" s="90"/>
      <c r="G706" s="90"/>
      <c r="H706" s="90"/>
      <c r="I706" s="90"/>
      <c r="J706" s="90"/>
      <c r="K706" s="90"/>
      <c r="L706" s="90"/>
      <c r="M706" s="864"/>
      <c r="N706" s="864"/>
      <c r="O706" s="864"/>
      <c r="P706" s="864"/>
      <c r="Q706" s="864"/>
      <c r="R706" s="864"/>
      <c r="S706" s="864"/>
      <c r="T706" s="864"/>
      <c r="U706" s="864"/>
      <c r="V706" s="864"/>
      <c r="W706" s="864"/>
      <c r="X706" s="90"/>
      <c r="Y706" s="90"/>
      <c r="Z706" s="90"/>
    </row>
    <row r="707" ht="15.75" customHeight="1">
      <c r="A707" s="90"/>
      <c r="B707" s="90"/>
      <c r="C707" s="864"/>
      <c r="D707" s="90"/>
      <c r="E707" s="90"/>
      <c r="F707" s="90"/>
      <c r="G707" s="90"/>
      <c r="H707" s="90"/>
      <c r="I707" s="90"/>
      <c r="J707" s="90"/>
      <c r="K707" s="90"/>
      <c r="L707" s="90"/>
      <c r="M707" s="864"/>
      <c r="N707" s="864"/>
      <c r="O707" s="864"/>
      <c r="P707" s="864"/>
      <c r="Q707" s="864"/>
      <c r="R707" s="864"/>
      <c r="S707" s="864"/>
      <c r="T707" s="864"/>
      <c r="U707" s="864"/>
      <c r="V707" s="864"/>
      <c r="W707" s="864"/>
      <c r="X707" s="90"/>
      <c r="Y707" s="90"/>
      <c r="Z707" s="90"/>
    </row>
    <row r="708" ht="15.75" customHeight="1">
      <c r="A708" s="90"/>
      <c r="B708" s="90"/>
      <c r="C708" s="864"/>
      <c r="D708" s="90"/>
      <c r="E708" s="90"/>
      <c r="F708" s="90"/>
      <c r="G708" s="90"/>
      <c r="H708" s="90"/>
      <c r="I708" s="90"/>
      <c r="J708" s="90"/>
      <c r="K708" s="90"/>
      <c r="L708" s="90"/>
      <c r="M708" s="864"/>
      <c r="N708" s="864"/>
      <c r="O708" s="864"/>
      <c r="P708" s="864"/>
      <c r="Q708" s="864"/>
      <c r="R708" s="864"/>
      <c r="S708" s="864"/>
      <c r="T708" s="864"/>
      <c r="U708" s="864"/>
      <c r="V708" s="864"/>
      <c r="W708" s="864"/>
      <c r="X708" s="90"/>
      <c r="Y708" s="90"/>
      <c r="Z708" s="90"/>
    </row>
    <row r="709" ht="15.75" customHeight="1">
      <c r="A709" s="90"/>
      <c r="B709" s="90"/>
      <c r="C709" s="864"/>
      <c r="D709" s="90"/>
      <c r="E709" s="90"/>
      <c r="F709" s="90"/>
      <c r="G709" s="90"/>
      <c r="H709" s="90"/>
      <c r="I709" s="90"/>
      <c r="J709" s="90"/>
      <c r="K709" s="90"/>
      <c r="L709" s="90"/>
      <c r="M709" s="864"/>
      <c r="N709" s="864"/>
      <c r="O709" s="864"/>
      <c r="P709" s="864"/>
      <c r="Q709" s="864"/>
      <c r="R709" s="864"/>
      <c r="S709" s="864"/>
      <c r="T709" s="864"/>
      <c r="U709" s="864"/>
      <c r="V709" s="864"/>
      <c r="W709" s="864"/>
      <c r="X709" s="90"/>
      <c r="Y709" s="90"/>
      <c r="Z709" s="90"/>
    </row>
    <row r="710" ht="15.75" customHeight="1">
      <c r="A710" s="90"/>
      <c r="B710" s="90"/>
      <c r="C710" s="864"/>
      <c r="D710" s="90"/>
      <c r="E710" s="90"/>
      <c r="F710" s="90"/>
      <c r="G710" s="90"/>
      <c r="H710" s="90"/>
      <c r="I710" s="90"/>
      <c r="J710" s="90"/>
      <c r="K710" s="90"/>
      <c r="L710" s="90"/>
      <c r="M710" s="864"/>
      <c r="N710" s="864"/>
      <c r="O710" s="864"/>
      <c r="P710" s="864"/>
      <c r="Q710" s="864"/>
      <c r="R710" s="864"/>
      <c r="S710" s="864"/>
      <c r="T710" s="864"/>
      <c r="U710" s="864"/>
      <c r="V710" s="864"/>
      <c r="W710" s="864"/>
      <c r="X710" s="90"/>
      <c r="Y710" s="90"/>
      <c r="Z710" s="90"/>
    </row>
    <row r="711" ht="15.75" customHeight="1">
      <c r="A711" s="90"/>
      <c r="B711" s="90"/>
      <c r="C711" s="864"/>
      <c r="D711" s="90"/>
      <c r="E711" s="90"/>
      <c r="F711" s="90"/>
      <c r="G711" s="90"/>
      <c r="H711" s="90"/>
      <c r="I711" s="90"/>
      <c r="J711" s="90"/>
      <c r="K711" s="90"/>
      <c r="L711" s="90"/>
      <c r="M711" s="864"/>
      <c r="N711" s="864"/>
      <c r="O711" s="864"/>
      <c r="P711" s="864"/>
      <c r="Q711" s="864"/>
      <c r="R711" s="864"/>
      <c r="S711" s="864"/>
      <c r="T711" s="864"/>
      <c r="U711" s="864"/>
      <c r="V711" s="864"/>
      <c r="W711" s="864"/>
      <c r="X711" s="90"/>
      <c r="Y711" s="90"/>
      <c r="Z711" s="90"/>
    </row>
    <row r="712" ht="15.75" customHeight="1">
      <c r="A712" s="90"/>
      <c r="B712" s="90"/>
      <c r="C712" s="864"/>
      <c r="D712" s="90"/>
      <c r="E712" s="90"/>
      <c r="F712" s="90"/>
      <c r="G712" s="90"/>
      <c r="H712" s="90"/>
      <c r="I712" s="90"/>
      <c r="J712" s="90"/>
      <c r="K712" s="90"/>
      <c r="L712" s="90"/>
      <c r="M712" s="864"/>
      <c r="N712" s="864"/>
      <c r="O712" s="864"/>
      <c r="P712" s="864"/>
      <c r="Q712" s="864"/>
      <c r="R712" s="864"/>
      <c r="S712" s="864"/>
      <c r="T712" s="864"/>
      <c r="U712" s="864"/>
      <c r="V712" s="864"/>
      <c r="W712" s="864"/>
      <c r="X712" s="90"/>
      <c r="Y712" s="90"/>
      <c r="Z712" s="90"/>
    </row>
    <row r="713" ht="15.75" customHeight="1">
      <c r="A713" s="90"/>
      <c r="B713" s="90"/>
      <c r="C713" s="864"/>
      <c r="D713" s="90"/>
      <c r="E713" s="90"/>
      <c r="F713" s="90"/>
      <c r="G713" s="90"/>
      <c r="H713" s="90"/>
      <c r="I713" s="90"/>
      <c r="J713" s="90"/>
      <c r="K713" s="90"/>
      <c r="L713" s="90"/>
      <c r="M713" s="864"/>
      <c r="N713" s="864"/>
      <c r="O713" s="864"/>
      <c r="P713" s="864"/>
      <c r="Q713" s="864"/>
      <c r="R713" s="864"/>
      <c r="S713" s="864"/>
      <c r="T713" s="864"/>
      <c r="U713" s="864"/>
      <c r="V713" s="864"/>
      <c r="W713" s="864"/>
      <c r="X713" s="90"/>
      <c r="Y713" s="90"/>
      <c r="Z713" s="90"/>
    </row>
    <row r="714" ht="15.75" customHeight="1">
      <c r="A714" s="90"/>
      <c r="B714" s="90"/>
      <c r="C714" s="864"/>
      <c r="D714" s="90"/>
      <c r="E714" s="90"/>
      <c r="F714" s="90"/>
      <c r="G714" s="90"/>
      <c r="H714" s="90"/>
      <c r="I714" s="90"/>
      <c r="J714" s="90"/>
      <c r="K714" s="90"/>
      <c r="L714" s="90"/>
      <c r="M714" s="864"/>
      <c r="N714" s="864"/>
      <c r="O714" s="864"/>
      <c r="P714" s="864"/>
      <c r="Q714" s="864"/>
      <c r="R714" s="864"/>
      <c r="S714" s="864"/>
      <c r="T714" s="864"/>
      <c r="U714" s="864"/>
      <c r="V714" s="864"/>
      <c r="W714" s="864"/>
      <c r="X714" s="90"/>
      <c r="Y714" s="90"/>
      <c r="Z714" s="90"/>
    </row>
    <row r="715" ht="15.75" customHeight="1">
      <c r="A715" s="90"/>
      <c r="B715" s="90"/>
      <c r="C715" s="864"/>
      <c r="D715" s="90"/>
      <c r="E715" s="90"/>
      <c r="F715" s="90"/>
      <c r="G715" s="90"/>
      <c r="H715" s="90"/>
      <c r="I715" s="90"/>
      <c r="J715" s="90"/>
      <c r="K715" s="90"/>
      <c r="L715" s="90"/>
      <c r="M715" s="864"/>
      <c r="N715" s="864"/>
      <c r="O715" s="864"/>
      <c r="P715" s="864"/>
      <c r="Q715" s="864"/>
      <c r="R715" s="864"/>
      <c r="S715" s="864"/>
      <c r="T715" s="864"/>
      <c r="U715" s="864"/>
      <c r="V715" s="864"/>
      <c r="W715" s="864"/>
      <c r="X715" s="90"/>
      <c r="Y715" s="90"/>
      <c r="Z715" s="90"/>
    </row>
    <row r="716" ht="15.75" customHeight="1">
      <c r="A716" s="90"/>
      <c r="B716" s="90"/>
      <c r="C716" s="864"/>
      <c r="D716" s="90"/>
      <c r="E716" s="90"/>
      <c r="F716" s="90"/>
      <c r="G716" s="90"/>
      <c r="H716" s="90"/>
      <c r="I716" s="90"/>
      <c r="J716" s="90"/>
      <c r="K716" s="90"/>
      <c r="L716" s="90"/>
      <c r="M716" s="864"/>
      <c r="N716" s="864"/>
      <c r="O716" s="864"/>
      <c r="P716" s="864"/>
      <c r="Q716" s="864"/>
      <c r="R716" s="864"/>
      <c r="S716" s="864"/>
      <c r="T716" s="864"/>
      <c r="U716" s="864"/>
      <c r="V716" s="864"/>
      <c r="W716" s="864"/>
      <c r="X716" s="90"/>
      <c r="Y716" s="90"/>
      <c r="Z716" s="90"/>
    </row>
    <row r="717" ht="15.75" customHeight="1">
      <c r="A717" s="90"/>
      <c r="B717" s="90"/>
      <c r="C717" s="864"/>
      <c r="D717" s="90"/>
      <c r="E717" s="90"/>
      <c r="F717" s="90"/>
      <c r="G717" s="90"/>
      <c r="H717" s="90"/>
      <c r="I717" s="90"/>
      <c r="J717" s="90"/>
      <c r="K717" s="90"/>
      <c r="L717" s="90"/>
      <c r="M717" s="864"/>
      <c r="N717" s="864"/>
      <c r="O717" s="864"/>
      <c r="P717" s="864"/>
      <c r="Q717" s="864"/>
      <c r="R717" s="864"/>
      <c r="S717" s="864"/>
      <c r="T717" s="864"/>
      <c r="U717" s="864"/>
      <c r="V717" s="864"/>
      <c r="W717" s="864"/>
      <c r="X717" s="90"/>
      <c r="Y717" s="90"/>
      <c r="Z717" s="90"/>
    </row>
    <row r="718" ht="15.75" customHeight="1">
      <c r="A718" s="90"/>
      <c r="B718" s="90"/>
      <c r="C718" s="864"/>
      <c r="D718" s="90"/>
      <c r="E718" s="90"/>
      <c r="F718" s="90"/>
      <c r="G718" s="90"/>
      <c r="H718" s="90"/>
      <c r="I718" s="90"/>
      <c r="J718" s="90"/>
      <c r="K718" s="90"/>
      <c r="L718" s="90"/>
      <c r="M718" s="864"/>
      <c r="N718" s="864"/>
      <c r="O718" s="864"/>
      <c r="P718" s="864"/>
      <c r="Q718" s="864"/>
      <c r="R718" s="864"/>
      <c r="S718" s="864"/>
      <c r="T718" s="864"/>
      <c r="U718" s="864"/>
      <c r="V718" s="864"/>
      <c r="W718" s="864"/>
      <c r="X718" s="90"/>
      <c r="Y718" s="90"/>
      <c r="Z718" s="90"/>
    </row>
    <row r="719" ht="15.75" customHeight="1">
      <c r="A719" s="90"/>
      <c r="B719" s="90"/>
      <c r="C719" s="864"/>
      <c r="D719" s="90"/>
      <c r="E719" s="90"/>
      <c r="F719" s="90"/>
      <c r="G719" s="90"/>
      <c r="H719" s="90"/>
      <c r="I719" s="90"/>
      <c r="J719" s="90"/>
      <c r="K719" s="90"/>
      <c r="L719" s="90"/>
      <c r="M719" s="864"/>
      <c r="N719" s="864"/>
      <c r="O719" s="864"/>
      <c r="P719" s="864"/>
      <c r="Q719" s="864"/>
      <c r="R719" s="864"/>
      <c r="S719" s="864"/>
      <c r="T719" s="864"/>
      <c r="U719" s="864"/>
      <c r="V719" s="864"/>
      <c r="W719" s="864"/>
      <c r="X719" s="90"/>
      <c r="Y719" s="90"/>
      <c r="Z719" s="90"/>
    </row>
    <row r="720" ht="15.75" customHeight="1">
      <c r="A720" s="90"/>
      <c r="B720" s="90"/>
      <c r="C720" s="864"/>
      <c r="D720" s="90"/>
      <c r="E720" s="90"/>
      <c r="F720" s="90"/>
      <c r="G720" s="90"/>
      <c r="H720" s="90"/>
      <c r="I720" s="90"/>
      <c r="J720" s="90"/>
      <c r="K720" s="90"/>
      <c r="L720" s="90"/>
      <c r="M720" s="864"/>
      <c r="N720" s="864"/>
      <c r="O720" s="864"/>
      <c r="P720" s="864"/>
      <c r="Q720" s="864"/>
      <c r="R720" s="864"/>
      <c r="S720" s="864"/>
      <c r="T720" s="864"/>
      <c r="U720" s="864"/>
      <c r="V720" s="864"/>
      <c r="W720" s="864"/>
      <c r="X720" s="90"/>
      <c r="Y720" s="90"/>
      <c r="Z720" s="90"/>
    </row>
    <row r="721" ht="15.75" customHeight="1">
      <c r="A721" s="90"/>
      <c r="B721" s="90"/>
      <c r="C721" s="864"/>
      <c r="D721" s="90"/>
      <c r="E721" s="90"/>
      <c r="F721" s="90"/>
      <c r="G721" s="90"/>
      <c r="H721" s="90"/>
      <c r="I721" s="90"/>
      <c r="J721" s="90"/>
      <c r="K721" s="90"/>
      <c r="L721" s="90"/>
      <c r="M721" s="864"/>
      <c r="N721" s="864"/>
      <c r="O721" s="864"/>
      <c r="P721" s="864"/>
      <c r="Q721" s="864"/>
      <c r="R721" s="864"/>
      <c r="S721" s="864"/>
      <c r="T721" s="864"/>
      <c r="U721" s="864"/>
      <c r="V721" s="864"/>
      <c r="W721" s="864"/>
      <c r="X721" s="90"/>
      <c r="Y721" s="90"/>
      <c r="Z721" s="90"/>
    </row>
    <row r="722" ht="15.75" customHeight="1">
      <c r="A722" s="90"/>
      <c r="B722" s="90"/>
      <c r="C722" s="864"/>
      <c r="D722" s="90"/>
      <c r="E722" s="90"/>
      <c r="F722" s="90"/>
      <c r="G722" s="90"/>
      <c r="H722" s="90"/>
      <c r="I722" s="90"/>
      <c r="J722" s="90"/>
      <c r="K722" s="90"/>
      <c r="L722" s="90"/>
      <c r="M722" s="864"/>
      <c r="N722" s="864"/>
      <c r="O722" s="864"/>
      <c r="P722" s="864"/>
      <c r="Q722" s="864"/>
      <c r="R722" s="864"/>
      <c r="S722" s="864"/>
      <c r="T722" s="864"/>
      <c r="U722" s="864"/>
      <c r="V722" s="864"/>
      <c r="W722" s="864"/>
      <c r="X722" s="90"/>
      <c r="Y722" s="90"/>
      <c r="Z722" s="90"/>
    </row>
    <row r="723" ht="15.75" customHeight="1">
      <c r="A723" s="90"/>
      <c r="B723" s="90"/>
      <c r="C723" s="864"/>
      <c r="D723" s="90"/>
      <c r="E723" s="90"/>
      <c r="F723" s="90"/>
      <c r="G723" s="90"/>
      <c r="H723" s="90"/>
      <c r="I723" s="90"/>
      <c r="J723" s="90"/>
      <c r="K723" s="90"/>
      <c r="L723" s="90"/>
      <c r="M723" s="864"/>
      <c r="N723" s="864"/>
      <c r="O723" s="864"/>
      <c r="P723" s="864"/>
      <c r="Q723" s="864"/>
      <c r="R723" s="864"/>
      <c r="S723" s="864"/>
      <c r="T723" s="864"/>
      <c r="U723" s="864"/>
      <c r="V723" s="864"/>
      <c r="W723" s="864"/>
      <c r="X723" s="90"/>
      <c r="Y723" s="90"/>
      <c r="Z723" s="90"/>
    </row>
    <row r="724" ht="15.75" customHeight="1">
      <c r="A724" s="90"/>
      <c r="B724" s="90"/>
      <c r="C724" s="864"/>
      <c r="D724" s="90"/>
      <c r="E724" s="90"/>
      <c r="F724" s="90"/>
      <c r="G724" s="90"/>
      <c r="H724" s="90"/>
      <c r="I724" s="90"/>
      <c r="J724" s="90"/>
      <c r="K724" s="90"/>
      <c r="L724" s="90"/>
      <c r="M724" s="864"/>
      <c r="N724" s="864"/>
      <c r="O724" s="864"/>
      <c r="P724" s="864"/>
      <c r="Q724" s="864"/>
      <c r="R724" s="864"/>
      <c r="S724" s="864"/>
      <c r="T724" s="864"/>
      <c r="U724" s="864"/>
      <c r="V724" s="864"/>
      <c r="W724" s="864"/>
      <c r="X724" s="90"/>
      <c r="Y724" s="90"/>
      <c r="Z724" s="90"/>
    </row>
    <row r="725" ht="15.75" customHeight="1">
      <c r="A725" s="90"/>
      <c r="B725" s="90"/>
      <c r="C725" s="864"/>
      <c r="D725" s="90"/>
      <c r="E725" s="90"/>
      <c r="F725" s="90"/>
      <c r="G725" s="90"/>
      <c r="H725" s="90"/>
      <c r="I725" s="90"/>
      <c r="J725" s="90"/>
      <c r="K725" s="90"/>
      <c r="L725" s="90"/>
      <c r="M725" s="864"/>
      <c r="N725" s="864"/>
      <c r="O725" s="864"/>
      <c r="P725" s="864"/>
      <c r="Q725" s="864"/>
      <c r="R725" s="864"/>
      <c r="S725" s="864"/>
      <c r="T725" s="864"/>
      <c r="U725" s="864"/>
      <c r="V725" s="864"/>
      <c r="W725" s="864"/>
      <c r="X725" s="90"/>
      <c r="Y725" s="90"/>
      <c r="Z725" s="90"/>
    </row>
    <row r="726" ht="15.75" customHeight="1">
      <c r="A726" s="90"/>
      <c r="B726" s="90"/>
      <c r="C726" s="864"/>
      <c r="D726" s="90"/>
      <c r="E726" s="90"/>
      <c r="F726" s="90"/>
      <c r="G726" s="90"/>
      <c r="H726" s="90"/>
      <c r="I726" s="90"/>
      <c r="J726" s="90"/>
      <c r="K726" s="90"/>
      <c r="L726" s="90"/>
      <c r="M726" s="864"/>
      <c r="N726" s="864"/>
      <c r="O726" s="864"/>
      <c r="P726" s="864"/>
      <c r="Q726" s="864"/>
      <c r="R726" s="864"/>
      <c r="S726" s="864"/>
      <c r="T726" s="864"/>
      <c r="U726" s="864"/>
      <c r="V726" s="864"/>
      <c r="W726" s="864"/>
      <c r="X726" s="90"/>
      <c r="Y726" s="90"/>
      <c r="Z726" s="90"/>
    </row>
    <row r="727" ht="15.75" customHeight="1">
      <c r="A727" s="90"/>
      <c r="B727" s="90"/>
      <c r="C727" s="864"/>
      <c r="D727" s="90"/>
      <c r="E727" s="90"/>
      <c r="F727" s="90"/>
      <c r="G727" s="90"/>
      <c r="H727" s="90"/>
      <c r="I727" s="90"/>
      <c r="J727" s="90"/>
      <c r="K727" s="90"/>
      <c r="L727" s="90"/>
      <c r="M727" s="864"/>
      <c r="N727" s="864"/>
      <c r="O727" s="864"/>
      <c r="P727" s="864"/>
      <c r="Q727" s="864"/>
      <c r="R727" s="864"/>
      <c r="S727" s="864"/>
      <c r="T727" s="864"/>
      <c r="U727" s="864"/>
      <c r="V727" s="864"/>
      <c r="W727" s="864"/>
      <c r="X727" s="90"/>
      <c r="Y727" s="90"/>
      <c r="Z727" s="90"/>
    </row>
    <row r="728" ht="15.75" customHeight="1">
      <c r="A728" s="90"/>
      <c r="B728" s="90"/>
      <c r="C728" s="864"/>
      <c r="D728" s="90"/>
      <c r="E728" s="90"/>
      <c r="F728" s="90"/>
      <c r="G728" s="90"/>
      <c r="H728" s="90"/>
      <c r="I728" s="90"/>
      <c r="J728" s="90"/>
      <c r="K728" s="90"/>
      <c r="L728" s="90"/>
      <c r="M728" s="864"/>
      <c r="N728" s="864"/>
      <c r="O728" s="864"/>
      <c r="P728" s="864"/>
      <c r="Q728" s="864"/>
      <c r="R728" s="864"/>
      <c r="S728" s="864"/>
      <c r="T728" s="864"/>
      <c r="U728" s="864"/>
      <c r="V728" s="864"/>
      <c r="W728" s="864"/>
      <c r="X728" s="90"/>
      <c r="Y728" s="90"/>
      <c r="Z728" s="90"/>
    </row>
    <row r="729" ht="15.75" customHeight="1">
      <c r="A729" s="90"/>
      <c r="B729" s="90"/>
      <c r="C729" s="864"/>
      <c r="D729" s="90"/>
      <c r="E729" s="90"/>
      <c r="F729" s="90"/>
      <c r="G729" s="90"/>
      <c r="H729" s="90"/>
      <c r="I729" s="90"/>
      <c r="J729" s="90"/>
      <c r="K729" s="90"/>
      <c r="L729" s="90"/>
      <c r="M729" s="864"/>
      <c r="N729" s="864"/>
      <c r="O729" s="864"/>
      <c r="P729" s="864"/>
      <c r="Q729" s="864"/>
      <c r="R729" s="864"/>
      <c r="S729" s="864"/>
      <c r="T729" s="864"/>
      <c r="U729" s="864"/>
      <c r="V729" s="864"/>
      <c r="W729" s="864"/>
      <c r="X729" s="90"/>
      <c r="Y729" s="90"/>
      <c r="Z729" s="90"/>
    </row>
    <row r="730" ht="15.75" customHeight="1">
      <c r="A730" s="90"/>
      <c r="B730" s="90"/>
      <c r="C730" s="864"/>
      <c r="D730" s="90"/>
      <c r="E730" s="90"/>
      <c r="F730" s="90"/>
      <c r="G730" s="90"/>
      <c r="H730" s="90"/>
      <c r="I730" s="90"/>
      <c r="J730" s="90"/>
      <c r="K730" s="90"/>
      <c r="L730" s="90"/>
      <c r="M730" s="864"/>
      <c r="N730" s="864"/>
      <c r="O730" s="864"/>
      <c r="P730" s="864"/>
      <c r="Q730" s="864"/>
      <c r="R730" s="864"/>
      <c r="S730" s="864"/>
      <c r="T730" s="864"/>
      <c r="U730" s="864"/>
      <c r="V730" s="864"/>
      <c r="W730" s="864"/>
      <c r="X730" s="90"/>
      <c r="Y730" s="90"/>
      <c r="Z730" s="90"/>
    </row>
    <row r="731" ht="15.75" customHeight="1">
      <c r="A731" s="90"/>
      <c r="B731" s="90"/>
      <c r="C731" s="864"/>
      <c r="D731" s="90"/>
      <c r="E731" s="90"/>
      <c r="F731" s="90"/>
      <c r="G731" s="90"/>
      <c r="H731" s="90"/>
      <c r="I731" s="90"/>
      <c r="J731" s="90"/>
      <c r="K731" s="90"/>
      <c r="L731" s="90"/>
      <c r="M731" s="864"/>
      <c r="N731" s="864"/>
      <c r="O731" s="864"/>
      <c r="P731" s="864"/>
      <c r="Q731" s="864"/>
      <c r="R731" s="864"/>
      <c r="S731" s="864"/>
      <c r="T731" s="864"/>
      <c r="U731" s="864"/>
      <c r="V731" s="864"/>
      <c r="W731" s="864"/>
      <c r="X731" s="90"/>
      <c r="Y731" s="90"/>
      <c r="Z731" s="90"/>
    </row>
    <row r="732" ht="15.75" customHeight="1">
      <c r="A732" s="90"/>
      <c r="B732" s="90"/>
      <c r="C732" s="864"/>
      <c r="D732" s="90"/>
      <c r="E732" s="90"/>
      <c r="F732" s="90"/>
      <c r="G732" s="90"/>
      <c r="H732" s="90"/>
      <c r="I732" s="90"/>
      <c r="J732" s="90"/>
      <c r="K732" s="90"/>
      <c r="L732" s="90"/>
      <c r="M732" s="864"/>
      <c r="N732" s="864"/>
      <c r="O732" s="864"/>
      <c r="P732" s="864"/>
      <c r="Q732" s="864"/>
      <c r="R732" s="864"/>
      <c r="S732" s="864"/>
      <c r="T732" s="864"/>
      <c r="U732" s="864"/>
      <c r="V732" s="864"/>
      <c r="W732" s="864"/>
      <c r="X732" s="90"/>
      <c r="Y732" s="90"/>
      <c r="Z732" s="90"/>
    </row>
    <row r="733" ht="15.75" customHeight="1">
      <c r="A733" s="90"/>
      <c r="B733" s="90"/>
      <c r="C733" s="864"/>
      <c r="D733" s="90"/>
      <c r="E733" s="90"/>
      <c r="F733" s="90"/>
      <c r="G733" s="90"/>
      <c r="H733" s="90"/>
      <c r="I733" s="90"/>
      <c r="J733" s="90"/>
      <c r="K733" s="90"/>
      <c r="L733" s="90"/>
      <c r="M733" s="864"/>
      <c r="N733" s="864"/>
      <c r="O733" s="864"/>
      <c r="P733" s="864"/>
      <c r="Q733" s="864"/>
      <c r="R733" s="864"/>
      <c r="S733" s="864"/>
      <c r="T733" s="864"/>
      <c r="U733" s="864"/>
      <c r="V733" s="864"/>
      <c r="W733" s="864"/>
      <c r="X733" s="90"/>
      <c r="Y733" s="90"/>
      <c r="Z733" s="90"/>
    </row>
    <row r="734" ht="15.75" customHeight="1">
      <c r="A734" s="90"/>
      <c r="B734" s="90"/>
      <c r="C734" s="864"/>
      <c r="D734" s="90"/>
      <c r="E734" s="90"/>
      <c r="F734" s="90"/>
      <c r="G734" s="90"/>
      <c r="H734" s="90"/>
      <c r="I734" s="90"/>
      <c r="J734" s="90"/>
      <c r="K734" s="90"/>
      <c r="L734" s="90"/>
      <c r="M734" s="864"/>
      <c r="N734" s="864"/>
      <c r="O734" s="864"/>
      <c r="P734" s="864"/>
      <c r="Q734" s="864"/>
      <c r="R734" s="864"/>
      <c r="S734" s="864"/>
      <c r="T734" s="864"/>
      <c r="U734" s="864"/>
      <c r="V734" s="864"/>
      <c r="W734" s="864"/>
      <c r="X734" s="90"/>
      <c r="Y734" s="90"/>
      <c r="Z734" s="90"/>
    </row>
    <row r="735" ht="15.75" customHeight="1">
      <c r="A735" s="90"/>
      <c r="B735" s="90"/>
      <c r="C735" s="864"/>
      <c r="D735" s="90"/>
      <c r="E735" s="90"/>
      <c r="F735" s="90"/>
      <c r="G735" s="90"/>
      <c r="H735" s="90"/>
      <c r="I735" s="90"/>
      <c r="J735" s="90"/>
      <c r="K735" s="90"/>
      <c r="L735" s="90"/>
      <c r="M735" s="864"/>
      <c r="N735" s="864"/>
      <c r="O735" s="864"/>
      <c r="P735" s="864"/>
      <c r="Q735" s="864"/>
      <c r="R735" s="864"/>
      <c r="S735" s="864"/>
      <c r="T735" s="864"/>
      <c r="U735" s="864"/>
      <c r="V735" s="864"/>
      <c r="W735" s="864"/>
      <c r="X735" s="90"/>
      <c r="Y735" s="90"/>
      <c r="Z735" s="90"/>
    </row>
    <row r="736" ht="15.75" customHeight="1">
      <c r="A736" s="90"/>
      <c r="B736" s="90"/>
      <c r="C736" s="864"/>
      <c r="D736" s="90"/>
      <c r="E736" s="90"/>
      <c r="F736" s="90"/>
      <c r="G736" s="90"/>
      <c r="H736" s="90"/>
      <c r="I736" s="90"/>
      <c r="J736" s="90"/>
      <c r="K736" s="90"/>
      <c r="L736" s="90"/>
      <c r="M736" s="864"/>
      <c r="N736" s="864"/>
      <c r="O736" s="864"/>
      <c r="P736" s="864"/>
      <c r="Q736" s="864"/>
      <c r="R736" s="864"/>
      <c r="S736" s="864"/>
      <c r="T736" s="864"/>
      <c r="U736" s="864"/>
      <c r="V736" s="864"/>
      <c r="W736" s="864"/>
      <c r="X736" s="90"/>
      <c r="Y736" s="90"/>
      <c r="Z736" s="90"/>
    </row>
    <row r="737" ht="15.75" customHeight="1">
      <c r="A737" s="90"/>
      <c r="B737" s="90"/>
      <c r="C737" s="864"/>
      <c r="D737" s="90"/>
      <c r="E737" s="90"/>
      <c r="F737" s="90"/>
      <c r="G737" s="90"/>
      <c r="H737" s="90"/>
      <c r="I737" s="90"/>
      <c r="J737" s="90"/>
      <c r="K737" s="90"/>
      <c r="L737" s="90"/>
      <c r="M737" s="864"/>
      <c r="N737" s="864"/>
      <c r="O737" s="864"/>
      <c r="P737" s="864"/>
      <c r="Q737" s="864"/>
      <c r="R737" s="864"/>
      <c r="S737" s="864"/>
      <c r="T737" s="864"/>
      <c r="U737" s="864"/>
      <c r="V737" s="864"/>
      <c r="W737" s="864"/>
      <c r="X737" s="90"/>
      <c r="Y737" s="90"/>
      <c r="Z737" s="90"/>
    </row>
    <row r="738" ht="15.75" customHeight="1">
      <c r="A738" s="90"/>
      <c r="B738" s="90"/>
      <c r="C738" s="864"/>
      <c r="D738" s="90"/>
      <c r="E738" s="90"/>
      <c r="F738" s="90"/>
      <c r="G738" s="90"/>
      <c r="H738" s="90"/>
      <c r="I738" s="90"/>
      <c r="J738" s="90"/>
      <c r="K738" s="90"/>
      <c r="L738" s="90"/>
      <c r="M738" s="864"/>
      <c r="N738" s="864"/>
      <c r="O738" s="864"/>
      <c r="P738" s="864"/>
      <c r="Q738" s="864"/>
      <c r="R738" s="864"/>
      <c r="S738" s="864"/>
      <c r="T738" s="864"/>
      <c r="U738" s="864"/>
      <c r="V738" s="864"/>
      <c r="W738" s="864"/>
      <c r="X738" s="90"/>
      <c r="Y738" s="90"/>
      <c r="Z738" s="90"/>
    </row>
    <row r="739" ht="15.75" customHeight="1">
      <c r="A739" s="90"/>
      <c r="B739" s="90"/>
      <c r="C739" s="864"/>
      <c r="D739" s="90"/>
      <c r="E739" s="90"/>
      <c r="F739" s="90"/>
      <c r="G739" s="90"/>
      <c r="H739" s="90"/>
      <c r="I739" s="90"/>
      <c r="J739" s="90"/>
      <c r="K739" s="90"/>
      <c r="L739" s="90"/>
      <c r="M739" s="864"/>
      <c r="N739" s="864"/>
      <c r="O739" s="864"/>
      <c r="P739" s="864"/>
      <c r="Q739" s="864"/>
      <c r="R739" s="864"/>
      <c r="S739" s="864"/>
      <c r="T739" s="864"/>
      <c r="U739" s="864"/>
      <c r="V739" s="864"/>
      <c r="W739" s="864"/>
      <c r="X739" s="90"/>
      <c r="Y739" s="90"/>
      <c r="Z739" s="90"/>
    </row>
    <row r="740" ht="15.75" customHeight="1">
      <c r="A740" s="90"/>
      <c r="B740" s="90"/>
      <c r="C740" s="864"/>
      <c r="D740" s="90"/>
      <c r="E740" s="90"/>
      <c r="F740" s="90"/>
      <c r="G740" s="90"/>
      <c r="H740" s="90"/>
      <c r="I740" s="90"/>
      <c r="J740" s="90"/>
      <c r="K740" s="90"/>
      <c r="L740" s="90"/>
      <c r="M740" s="864"/>
      <c r="N740" s="864"/>
      <c r="O740" s="864"/>
      <c r="P740" s="864"/>
      <c r="Q740" s="864"/>
      <c r="R740" s="864"/>
      <c r="S740" s="864"/>
      <c r="T740" s="864"/>
      <c r="U740" s="864"/>
      <c r="V740" s="864"/>
      <c r="W740" s="864"/>
      <c r="X740" s="90"/>
      <c r="Y740" s="90"/>
      <c r="Z740" s="90"/>
    </row>
    <row r="741" ht="15.75" customHeight="1">
      <c r="A741" s="90"/>
      <c r="B741" s="90"/>
      <c r="C741" s="864"/>
      <c r="D741" s="90"/>
      <c r="E741" s="90"/>
      <c r="F741" s="90"/>
      <c r="G741" s="90"/>
      <c r="H741" s="90"/>
      <c r="I741" s="90"/>
      <c r="J741" s="90"/>
      <c r="K741" s="90"/>
      <c r="L741" s="90"/>
      <c r="M741" s="864"/>
      <c r="N741" s="864"/>
      <c r="O741" s="864"/>
      <c r="P741" s="864"/>
      <c r="Q741" s="864"/>
      <c r="R741" s="864"/>
      <c r="S741" s="864"/>
      <c r="T741" s="864"/>
      <c r="U741" s="864"/>
      <c r="V741" s="864"/>
      <c r="W741" s="864"/>
      <c r="X741" s="90"/>
      <c r="Y741" s="90"/>
      <c r="Z741" s="90"/>
    </row>
    <row r="742" ht="15.75" customHeight="1">
      <c r="A742" s="90"/>
      <c r="B742" s="90"/>
      <c r="C742" s="864"/>
      <c r="D742" s="90"/>
      <c r="E742" s="90"/>
      <c r="F742" s="90"/>
      <c r="G742" s="90"/>
      <c r="H742" s="90"/>
      <c r="I742" s="90"/>
      <c r="J742" s="90"/>
      <c r="K742" s="90"/>
      <c r="L742" s="90"/>
      <c r="M742" s="864"/>
      <c r="N742" s="864"/>
      <c r="O742" s="864"/>
      <c r="P742" s="864"/>
      <c r="Q742" s="864"/>
      <c r="R742" s="864"/>
      <c r="S742" s="864"/>
      <c r="T742" s="864"/>
      <c r="U742" s="864"/>
      <c r="V742" s="864"/>
      <c r="W742" s="864"/>
      <c r="X742" s="90"/>
      <c r="Y742" s="90"/>
      <c r="Z742" s="90"/>
    </row>
    <row r="743" ht="15.75" customHeight="1">
      <c r="A743" s="90"/>
      <c r="B743" s="90"/>
      <c r="C743" s="864"/>
      <c r="D743" s="90"/>
      <c r="E743" s="90"/>
      <c r="F743" s="90"/>
      <c r="G743" s="90"/>
      <c r="H743" s="90"/>
      <c r="I743" s="90"/>
      <c r="J743" s="90"/>
      <c r="K743" s="90"/>
      <c r="L743" s="90"/>
      <c r="M743" s="864"/>
      <c r="N743" s="864"/>
      <c r="O743" s="864"/>
      <c r="P743" s="864"/>
      <c r="Q743" s="864"/>
      <c r="R743" s="864"/>
      <c r="S743" s="864"/>
      <c r="T743" s="864"/>
      <c r="U743" s="864"/>
      <c r="V743" s="864"/>
      <c r="W743" s="864"/>
      <c r="X743" s="90"/>
      <c r="Y743" s="90"/>
      <c r="Z743" s="90"/>
    </row>
    <row r="744" ht="15.75" customHeight="1">
      <c r="A744" s="90"/>
      <c r="B744" s="90"/>
      <c r="C744" s="864"/>
      <c r="D744" s="90"/>
      <c r="E744" s="90"/>
      <c r="F744" s="90"/>
      <c r="G744" s="90"/>
      <c r="H744" s="90"/>
      <c r="I744" s="90"/>
      <c r="J744" s="90"/>
      <c r="K744" s="90"/>
      <c r="L744" s="90"/>
      <c r="M744" s="864"/>
      <c r="N744" s="864"/>
      <c r="O744" s="864"/>
      <c r="P744" s="864"/>
      <c r="Q744" s="864"/>
      <c r="R744" s="864"/>
      <c r="S744" s="864"/>
      <c r="T744" s="864"/>
      <c r="U744" s="864"/>
      <c r="V744" s="864"/>
      <c r="W744" s="864"/>
      <c r="X744" s="90"/>
      <c r="Y744" s="90"/>
      <c r="Z744" s="90"/>
    </row>
    <row r="745" ht="15.75" customHeight="1">
      <c r="A745" s="90"/>
      <c r="B745" s="90"/>
      <c r="C745" s="864"/>
      <c r="D745" s="90"/>
      <c r="E745" s="90"/>
      <c r="F745" s="90"/>
      <c r="G745" s="90"/>
      <c r="H745" s="90"/>
      <c r="I745" s="90"/>
      <c r="J745" s="90"/>
      <c r="K745" s="90"/>
      <c r="L745" s="90"/>
      <c r="M745" s="864"/>
      <c r="N745" s="864"/>
      <c r="O745" s="864"/>
      <c r="P745" s="864"/>
      <c r="Q745" s="864"/>
      <c r="R745" s="864"/>
      <c r="S745" s="864"/>
      <c r="T745" s="864"/>
      <c r="U745" s="864"/>
      <c r="V745" s="864"/>
      <c r="W745" s="864"/>
      <c r="X745" s="90"/>
      <c r="Y745" s="90"/>
      <c r="Z745" s="90"/>
    </row>
    <row r="746" ht="15.75" customHeight="1">
      <c r="A746" s="90"/>
      <c r="B746" s="90"/>
      <c r="C746" s="864"/>
      <c r="D746" s="90"/>
      <c r="E746" s="90"/>
      <c r="F746" s="90"/>
      <c r="G746" s="90"/>
      <c r="H746" s="90"/>
      <c r="I746" s="90"/>
      <c r="J746" s="90"/>
      <c r="K746" s="90"/>
      <c r="L746" s="90"/>
      <c r="M746" s="864"/>
      <c r="N746" s="864"/>
      <c r="O746" s="864"/>
      <c r="P746" s="864"/>
      <c r="Q746" s="864"/>
      <c r="R746" s="864"/>
      <c r="S746" s="864"/>
      <c r="T746" s="864"/>
      <c r="U746" s="864"/>
      <c r="V746" s="864"/>
      <c r="W746" s="864"/>
      <c r="X746" s="90"/>
      <c r="Y746" s="90"/>
      <c r="Z746" s="90"/>
    </row>
    <row r="747" ht="15.75" customHeight="1">
      <c r="A747" s="90"/>
      <c r="B747" s="90"/>
      <c r="C747" s="864"/>
      <c r="D747" s="90"/>
      <c r="E747" s="90"/>
      <c r="F747" s="90"/>
      <c r="G747" s="90"/>
      <c r="H747" s="90"/>
      <c r="I747" s="90"/>
      <c r="J747" s="90"/>
      <c r="K747" s="90"/>
      <c r="L747" s="90"/>
      <c r="M747" s="864"/>
      <c r="N747" s="864"/>
      <c r="O747" s="864"/>
      <c r="P747" s="864"/>
      <c r="Q747" s="864"/>
      <c r="R747" s="864"/>
      <c r="S747" s="864"/>
      <c r="T747" s="864"/>
      <c r="U747" s="864"/>
      <c r="V747" s="864"/>
      <c r="W747" s="864"/>
      <c r="X747" s="90"/>
      <c r="Y747" s="90"/>
      <c r="Z747" s="90"/>
    </row>
    <row r="748" ht="15.75" customHeight="1">
      <c r="A748" s="90"/>
      <c r="B748" s="90"/>
      <c r="C748" s="864"/>
      <c r="D748" s="90"/>
      <c r="E748" s="90"/>
      <c r="F748" s="90"/>
      <c r="G748" s="90"/>
      <c r="H748" s="90"/>
      <c r="I748" s="90"/>
      <c r="J748" s="90"/>
      <c r="K748" s="90"/>
      <c r="L748" s="90"/>
      <c r="M748" s="864"/>
      <c r="N748" s="864"/>
      <c r="O748" s="864"/>
      <c r="P748" s="864"/>
      <c r="Q748" s="864"/>
      <c r="R748" s="864"/>
      <c r="S748" s="864"/>
      <c r="T748" s="864"/>
      <c r="U748" s="864"/>
      <c r="V748" s="864"/>
      <c r="W748" s="864"/>
      <c r="X748" s="90"/>
      <c r="Y748" s="90"/>
      <c r="Z748" s="90"/>
    </row>
    <row r="749" ht="15.75" customHeight="1">
      <c r="A749" s="90"/>
      <c r="B749" s="90"/>
      <c r="C749" s="864"/>
      <c r="D749" s="90"/>
      <c r="E749" s="90"/>
      <c r="F749" s="90"/>
      <c r="G749" s="90"/>
      <c r="H749" s="90"/>
      <c r="I749" s="90"/>
      <c r="J749" s="90"/>
      <c r="K749" s="90"/>
      <c r="L749" s="90"/>
      <c r="M749" s="864"/>
      <c r="N749" s="864"/>
      <c r="O749" s="864"/>
      <c r="P749" s="864"/>
      <c r="Q749" s="864"/>
      <c r="R749" s="864"/>
      <c r="S749" s="864"/>
      <c r="T749" s="864"/>
      <c r="U749" s="864"/>
      <c r="V749" s="864"/>
      <c r="W749" s="864"/>
      <c r="X749" s="90"/>
      <c r="Y749" s="90"/>
      <c r="Z749" s="90"/>
    </row>
    <row r="750" ht="15.75" customHeight="1">
      <c r="A750" s="90"/>
      <c r="B750" s="90"/>
      <c r="C750" s="864"/>
      <c r="D750" s="90"/>
      <c r="E750" s="90"/>
      <c r="F750" s="90"/>
      <c r="G750" s="90"/>
      <c r="H750" s="90"/>
      <c r="I750" s="90"/>
      <c r="J750" s="90"/>
      <c r="K750" s="90"/>
      <c r="L750" s="90"/>
      <c r="M750" s="864"/>
      <c r="N750" s="864"/>
      <c r="O750" s="864"/>
      <c r="P750" s="864"/>
      <c r="Q750" s="864"/>
      <c r="R750" s="864"/>
      <c r="S750" s="864"/>
      <c r="T750" s="864"/>
      <c r="U750" s="864"/>
      <c r="V750" s="864"/>
      <c r="W750" s="864"/>
      <c r="X750" s="90"/>
      <c r="Y750" s="90"/>
      <c r="Z750" s="90"/>
    </row>
    <row r="751" ht="15.75" customHeight="1">
      <c r="A751" s="90"/>
      <c r="B751" s="90"/>
      <c r="C751" s="864"/>
      <c r="D751" s="90"/>
      <c r="E751" s="90"/>
      <c r="F751" s="90"/>
      <c r="G751" s="90"/>
      <c r="H751" s="90"/>
      <c r="I751" s="90"/>
      <c r="J751" s="90"/>
      <c r="K751" s="90"/>
      <c r="L751" s="90"/>
      <c r="M751" s="864"/>
      <c r="N751" s="864"/>
      <c r="O751" s="864"/>
      <c r="P751" s="864"/>
      <c r="Q751" s="864"/>
      <c r="R751" s="864"/>
      <c r="S751" s="864"/>
      <c r="T751" s="864"/>
      <c r="U751" s="864"/>
      <c r="V751" s="864"/>
      <c r="W751" s="864"/>
      <c r="X751" s="90"/>
      <c r="Y751" s="90"/>
      <c r="Z751" s="90"/>
    </row>
    <row r="752" ht="15.75" customHeight="1">
      <c r="A752" s="90"/>
      <c r="B752" s="90"/>
      <c r="C752" s="864"/>
      <c r="D752" s="90"/>
      <c r="E752" s="90"/>
      <c r="F752" s="90"/>
      <c r="G752" s="90"/>
      <c r="H752" s="90"/>
      <c r="I752" s="90"/>
      <c r="J752" s="90"/>
      <c r="K752" s="90"/>
      <c r="L752" s="90"/>
      <c r="M752" s="864"/>
      <c r="N752" s="864"/>
      <c r="O752" s="864"/>
      <c r="P752" s="864"/>
      <c r="Q752" s="864"/>
      <c r="R752" s="864"/>
      <c r="S752" s="864"/>
      <c r="T752" s="864"/>
      <c r="U752" s="864"/>
      <c r="V752" s="864"/>
      <c r="W752" s="864"/>
      <c r="X752" s="90"/>
      <c r="Y752" s="90"/>
      <c r="Z752" s="90"/>
    </row>
    <row r="753" ht="15.75" customHeight="1">
      <c r="A753" s="90"/>
      <c r="B753" s="90"/>
      <c r="C753" s="864"/>
      <c r="D753" s="90"/>
      <c r="E753" s="90"/>
      <c r="F753" s="90"/>
      <c r="G753" s="90"/>
      <c r="H753" s="90"/>
      <c r="I753" s="90"/>
      <c r="J753" s="90"/>
      <c r="K753" s="90"/>
      <c r="L753" s="90"/>
      <c r="M753" s="864"/>
      <c r="N753" s="864"/>
      <c r="O753" s="864"/>
      <c r="P753" s="864"/>
      <c r="Q753" s="864"/>
      <c r="R753" s="864"/>
      <c r="S753" s="864"/>
      <c r="T753" s="864"/>
      <c r="U753" s="864"/>
      <c r="V753" s="864"/>
      <c r="W753" s="864"/>
      <c r="X753" s="90"/>
      <c r="Y753" s="90"/>
      <c r="Z753" s="90"/>
    </row>
    <row r="754" ht="15.75" customHeight="1">
      <c r="A754" s="90"/>
      <c r="B754" s="90"/>
      <c r="C754" s="864"/>
      <c r="D754" s="90"/>
      <c r="E754" s="90"/>
      <c r="F754" s="90"/>
      <c r="G754" s="90"/>
      <c r="H754" s="90"/>
      <c r="I754" s="90"/>
      <c r="J754" s="90"/>
      <c r="K754" s="90"/>
      <c r="L754" s="90"/>
      <c r="M754" s="864"/>
      <c r="N754" s="864"/>
      <c r="O754" s="864"/>
      <c r="P754" s="864"/>
      <c r="Q754" s="864"/>
      <c r="R754" s="864"/>
      <c r="S754" s="864"/>
      <c r="T754" s="864"/>
      <c r="U754" s="864"/>
      <c r="V754" s="864"/>
      <c r="W754" s="864"/>
      <c r="X754" s="90"/>
      <c r="Y754" s="90"/>
      <c r="Z754" s="90"/>
    </row>
    <row r="755" ht="15.75" customHeight="1">
      <c r="A755" s="90"/>
      <c r="B755" s="90"/>
      <c r="C755" s="864"/>
      <c r="D755" s="90"/>
      <c r="E755" s="90"/>
      <c r="F755" s="90"/>
      <c r="G755" s="90"/>
      <c r="H755" s="90"/>
      <c r="I755" s="90"/>
      <c r="J755" s="90"/>
      <c r="K755" s="90"/>
      <c r="L755" s="90"/>
      <c r="M755" s="864"/>
      <c r="N755" s="864"/>
      <c r="O755" s="864"/>
      <c r="P755" s="864"/>
      <c r="Q755" s="864"/>
      <c r="R755" s="864"/>
      <c r="S755" s="864"/>
      <c r="T755" s="864"/>
      <c r="U755" s="864"/>
      <c r="V755" s="864"/>
      <c r="W755" s="864"/>
      <c r="X755" s="90"/>
      <c r="Y755" s="90"/>
      <c r="Z755" s="90"/>
    </row>
    <row r="756" ht="15.75" customHeight="1">
      <c r="A756" s="90"/>
      <c r="B756" s="90"/>
      <c r="C756" s="864"/>
      <c r="D756" s="90"/>
      <c r="E756" s="90"/>
      <c r="F756" s="90"/>
      <c r="G756" s="90"/>
      <c r="H756" s="90"/>
      <c r="I756" s="90"/>
      <c r="J756" s="90"/>
      <c r="K756" s="90"/>
      <c r="L756" s="90"/>
      <c r="M756" s="864"/>
      <c r="N756" s="864"/>
      <c r="O756" s="864"/>
      <c r="P756" s="864"/>
      <c r="Q756" s="864"/>
      <c r="R756" s="864"/>
      <c r="S756" s="864"/>
      <c r="T756" s="864"/>
      <c r="U756" s="864"/>
      <c r="V756" s="864"/>
      <c r="W756" s="864"/>
      <c r="X756" s="90"/>
      <c r="Y756" s="90"/>
      <c r="Z756" s="90"/>
    </row>
    <row r="757" ht="15.75" customHeight="1">
      <c r="A757" s="90"/>
      <c r="B757" s="90"/>
      <c r="C757" s="864"/>
      <c r="D757" s="90"/>
      <c r="E757" s="90"/>
      <c r="F757" s="90"/>
      <c r="G757" s="90"/>
      <c r="H757" s="90"/>
      <c r="I757" s="90"/>
      <c r="J757" s="90"/>
      <c r="K757" s="90"/>
      <c r="L757" s="90"/>
      <c r="M757" s="864"/>
      <c r="N757" s="864"/>
      <c r="O757" s="864"/>
      <c r="P757" s="864"/>
      <c r="Q757" s="864"/>
      <c r="R757" s="864"/>
      <c r="S757" s="864"/>
      <c r="T757" s="864"/>
      <c r="U757" s="864"/>
      <c r="V757" s="864"/>
      <c r="W757" s="864"/>
      <c r="X757" s="90"/>
      <c r="Y757" s="90"/>
      <c r="Z757" s="90"/>
    </row>
    <row r="758" ht="15.75" customHeight="1">
      <c r="A758" s="90"/>
      <c r="B758" s="90"/>
      <c r="C758" s="864"/>
      <c r="D758" s="90"/>
      <c r="E758" s="90"/>
      <c r="F758" s="90"/>
      <c r="G758" s="90"/>
      <c r="H758" s="90"/>
      <c r="I758" s="90"/>
      <c r="J758" s="90"/>
      <c r="K758" s="90"/>
      <c r="L758" s="90"/>
      <c r="M758" s="864"/>
      <c r="N758" s="864"/>
      <c r="O758" s="864"/>
      <c r="P758" s="864"/>
      <c r="Q758" s="864"/>
      <c r="R758" s="864"/>
      <c r="S758" s="864"/>
      <c r="T758" s="864"/>
      <c r="U758" s="864"/>
      <c r="V758" s="864"/>
      <c r="W758" s="864"/>
      <c r="X758" s="90"/>
      <c r="Y758" s="90"/>
      <c r="Z758" s="90"/>
    </row>
    <row r="759" ht="15.75" customHeight="1">
      <c r="A759" s="90"/>
      <c r="B759" s="90"/>
      <c r="C759" s="864"/>
      <c r="D759" s="90"/>
      <c r="E759" s="90"/>
      <c r="F759" s="90"/>
      <c r="G759" s="90"/>
      <c r="H759" s="90"/>
      <c r="I759" s="90"/>
      <c r="J759" s="90"/>
      <c r="K759" s="90"/>
      <c r="L759" s="90"/>
      <c r="M759" s="864"/>
      <c r="N759" s="864"/>
      <c r="O759" s="864"/>
      <c r="P759" s="864"/>
      <c r="Q759" s="864"/>
      <c r="R759" s="864"/>
      <c r="S759" s="864"/>
      <c r="T759" s="864"/>
      <c r="U759" s="864"/>
      <c r="V759" s="864"/>
      <c r="W759" s="864"/>
      <c r="X759" s="90"/>
      <c r="Y759" s="90"/>
      <c r="Z759" s="90"/>
    </row>
    <row r="760" ht="15.75" customHeight="1">
      <c r="A760" s="90"/>
      <c r="B760" s="90"/>
      <c r="C760" s="864"/>
      <c r="D760" s="90"/>
      <c r="E760" s="90"/>
      <c r="F760" s="90"/>
      <c r="G760" s="90"/>
      <c r="H760" s="90"/>
      <c r="I760" s="90"/>
      <c r="J760" s="90"/>
      <c r="K760" s="90"/>
      <c r="L760" s="90"/>
      <c r="M760" s="864"/>
      <c r="N760" s="864"/>
      <c r="O760" s="864"/>
      <c r="P760" s="864"/>
      <c r="Q760" s="864"/>
      <c r="R760" s="864"/>
      <c r="S760" s="864"/>
      <c r="T760" s="864"/>
      <c r="U760" s="864"/>
      <c r="V760" s="864"/>
      <c r="W760" s="864"/>
      <c r="X760" s="90"/>
      <c r="Y760" s="90"/>
      <c r="Z760" s="90"/>
    </row>
    <row r="761" ht="15.75" customHeight="1">
      <c r="A761" s="90"/>
      <c r="B761" s="90"/>
      <c r="C761" s="864"/>
      <c r="D761" s="90"/>
      <c r="E761" s="90"/>
      <c r="F761" s="90"/>
      <c r="G761" s="90"/>
      <c r="H761" s="90"/>
      <c r="I761" s="90"/>
      <c r="J761" s="90"/>
      <c r="K761" s="90"/>
      <c r="L761" s="90"/>
      <c r="M761" s="864"/>
      <c r="N761" s="864"/>
      <c r="O761" s="864"/>
      <c r="P761" s="864"/>
      <c r="Q761" s="864"/>
      <c r="R761" s="864"/>
      <c r="S761" s="864"/>
      <c r="T761" s="864"/>
      <c r="U761" s="864"/>
      <c r="V761" s="864"/>
      <c r="W761" s="864"/>
      <c r="X761" s="90"/>
      <c r="Y761" s="90"/>
      <c r="Z761" s="90"/>
    </row>
    <row r="762" ht="15.75" customHeight="1">
      <c r="A762" s="90"/>
      <c r="B762" s="90"/>
      <c r="C762" s="864"/>
      <c r="D762" s="90"/>
      <c r="E762" s="90"/>
      <c r="F762" s="90"/>
      <c r="G762" s="90"/>
      <c r="H762" s="90"/>
      <c r="I762" s="90"/>
      <c r="J762" s="90"/>
      <c r="K762" s="90"/>
      <c r="L762" s="90"/>
      <c r="M762" s="864"/>
      <c r="N762" s="864"/>
      <c r="O762" s="864"/>
      <c r="P762" s="864"/>
      <c r="Q762" s="864"/>
      <c r="R762" s="864"/>
      <c r="S762" s="864"/>
      <c r="T762" s="864"/>
      <c r="U762" s="864"/>
      <c r="V762" s="864"/>
      <c r="W762" s="864"/>
      <c r="X762" s="90"/>
      <c r="Y762" s="90"/>
      <c r="Z762" s="90"/>
    </row>
    <row r="763" ht="15.75" customHeight="1">
      <c r="A763" s="90"/>
      <c r="B763" s="90"/>
      <c r="C763" s="864"/>
      <c r="D763" s="90"/>
      <c r="E763" s="90"/>
      <c r="F763" s="90"/>
      <c r="G763" s="90"/>
      <c r="H763" s="90"/>
      <c r="I763" s="90"/>
      <c r="J763" s="90"/>
      <c r="K763" s="90"/>
      <c r="L763" s="90"/>
      <c r="M763" s="864"/>
      <c r="N763" s="864"/>
      <c r="O763" s="864"/>
      <c r="P763" s="864"/>
      <c r="Q763" s="864"/>
      <c r="R763" s="864"/>
      <c r="S763" s="864"/>
      <c r="T763" s="864"/>
      <c r="U763" s="864"/>
      <c r="V763" s="864"/>
      <c r="W763" s="864"/>
      <c r="X763" s="90"/>
      <c r="Y763" s="90"/>
      <c r="Z763" s="90"/>
    </row>
    <row r="764" ht="15.75" customHeight="1">
      <c r="A764" s="90"/>
      <c r="B764" s="90"/>
      <c r="C764" s="864"/>
      <c r="D764" s="90"/>
      <c r="E764" s="90"/>
      <c r="F764" s="90"/>
      <c r="G764" s="90"/>
      <c r="H764" s="90"/>
      <c r="I764" s="90"/>
      <c r="J764" s="90"/>
      <c r="K764" s="90"/>
      <c r="L764" s="90"/>
      <c r="M764" s="864"/>
      <c r="N764" s="864"/>
      <c r="O764" s="864"/>
      <c r="P764" s="864"/>
      <c r="Q764" s="864"/>
      <c r="R764" s="864"/>
      <c r="S764" s="864"/>
      <c r="T764" s="864"/>
      <c r="U764" s="864"/>
      <c r="V764" s="864"/>
      <c r="W764" s="864"/>
      <c r="X764" s="90"/>
      <c r="Y764" s="90"/>
      <c r="Z764" s="90"/>
    </row>
    <row r="765" ht="15.75" customHeight="1">
      <c r="A765" s="90"/>
      <c r="B765" s="90"/>
      <c r="C765" s="864"/>
      <c r="D765" s="90"/>
      <c r="E765" s="90"/>
      <c r="F765" s="90"/>
      <c r="G765" s="90"/>
      <c r="H765" s="90"/>
      <c r="I765" s="90"/>
      <c r="J765" s="90"/>
      <c r="K765" s="90"/>
      <c r="L765" s="90"/>
      <c r="M765" s="864"/>
      <c r="N765" s="864"/>
      <c r="O765" s="864"/>
      <c r="P765" s="864"/>
      <c r="Q765" s="864"/>
      <c r="R765" s="864"/>
      <c r="S765" s="864"/>
      <c r="T765" s="864"/>
      <c r="U765" s="864"/>
      <c r="V765" s="864"/>
      <c r="W765" s="864"/>
      <c r="X765" s="90"/>
      <c r="Y765" s="90"/>
      <c r="Z765" s="90"/>
    </row>
    <row r="766" ht="15.75" customHeight="1">
      <c r="A766" s="90"/>
      <c r="B766" s="90"/>
      <c r="C766" s="864"/>
      <c r="D766" s="90"/>
      <c r="E766" s="90"/>
      <c r="F766" s="90"/>
      <c r="G766" s="90"/>
      <c r="H766" s="90"/>
      <c r="I766" s="90"/>
      <c r="J766" s="90"/>
      <c r="K766" s="90"/>
      <c r="L766" s="90"/>
      <c r="M766" s="864"/>
      <c r="N766" s="864"/>
      <c r="O766" s="864"/>
      <c r="P766" s="864"/>
      <c r="Q766" s="864"/>
      <c r="R766" s="864"/>
      <c r="S766" s="864"/>
      <c r="T766" s="864"/>
      <c r="U766" s="864"/>
      <c r="V766" s="864"/>
      <c r="W766" s="864"/>
      <c r="X766" s="90"/>
      <c r="Y766" s="90"/>
      <c r="Z766" s="90"/>
    </row>
    <row r="767" ht="15.75" customHeight="1">
      <c r="A767" s="90"/>
      <c r="B767" s="90"/>
      <c r="C767" s="864"/>
      <c r="D767" s="90"/>
      <c r="E767" s="90"/>
      <c r="F767" s="90"/>
      <c r="G767" s="90"/>
      <c r="H767" s="90"/>
      <c r="I767" s="90"/>
      <c r="J767" s="90"/>
      <c r="K767" s="90"/>
      <c r="L767" s="90"/>
      <c r="M767" s="864"/>
      <c r="N767" s="864"/>
      <c r="O767" s="864"/>
      <c r="P767" s="864"/>
      <c r="Q767" s="864"/>
      <c r="R767" s="864"/>
      <c r="S767" s="864"/>
      <c r="T767" s="864"/>
      <c r="U767" s="864"/>
      <c r="V767" s="864"/>
      <c r="W767" s="864"/>
      <c r="X767" s="90"/>
      <c r="Y767" s="90"/>
      <c r="Z767" s="90"/>
    </row>
    <row r="768" ht="15.75" customHeight="1">
      <c r="A768" s="90"/>
      <c r="B768" s="90"/>
      <c r="C768" s="864"/>
      <c r="D768" s="90"/>
      <c r="E768" s="90"/>
      <c r="F768" s="90"/>
      <c r="G768" s="90"/>
      <c r="H768" s="90"/>
      <c r="I768" s="90"/>
      <c r="J768" s="90"/>
      <c r="K768" s="90"/>
      <c r="L768" s="90"/>
      <c r="M768" s="864"/>
      <c r="N768" s="864"/>
      <c r="O768" s="864"/>
      <c r="P768" s="864"/>
      <c r="Q768" s="864"/>
      <c r="R768" s="864"/>
      <c r="S768" s="864"/>
      <c r="T768" s="864"/>
      <c r="U768" s="864"/>
      <c r="V768" s="864"/>
      <c r="W768" s="864"/>
      <c r="X768" s="90"/>
      <c r="Y768" s="90"/>
      <c r="Z768" s="90"/>
    </row>
    <row r="769" ht="15.75" customHeight="1">
      <c r="A769" s="90"/>
      <c r="B769" s="90"/>
      <c r="C769" s="864"/>
      <c r="D769" s="90"/>
      <c r="E769" s="90"/>
      <c r="F769" s="90"/>
      <c r="G769" s="90"/>
      <c r="H769" s="90"/>
      <c r="I769" s="90"/>
      <c r="J769" s="90"/>
      <c r="K769" s="90"/>
      <c r="L769" s="90"/>
      <c r="M769" s="864"/>
      <c r="N769" s="864"/>
      <c r="O769" s="864"/>
      <c r="P769" s="864"/>
      <c r="Q769" s="864"/>
      <c r="R769" s="864"/>
      <c r="S769" s="864"/>
      <c r="T769" s="864"/>
      <c r="U769" s="864"/>
      <c r="V769" s="864"/>
      <c r="W769" s="864"/>
      <c r="X769" s="90"/>
      <c r="Y769" s="90"/>
      <c r="Z769" s="90"/>
    </row>
    <row r="770" ht="15.75" customHeight="1">
      <c r="A770" s="90"/>
      <c r="B770" s="90"/>
      <c r="C770" s="864"/>
      <c r="D770" s="90"/>
      <c r="E770" s="90"/>
      <c r="F770" s="90"/>
      <c r="G770" s="90"/>
      <c r="H770" s="90"/>
      <c r="I770" s="90"/>
      <c r="J770" s="90"/>
      <c r="K770" s="90"/>
      <c r="L770" s="90"/>
      <c r="M770" s="864"/>
      <c r="N770" s="864"/>
      <c r="O770" s="864"/>
      <c r="P770" s="864"/>
      <c r="Q770" s="864"/>
      <c r="R770" s="864"/>
      <c r="S770" s="864"/>
      <c r="T770" s="864"/>
      <c r="U770" s="864"/>
      <c r="V770" s="864"/>
      <c r="W770" s="864"/>
      <c r="X770" s="90"/>
      <c r="Y770" s="90"/>
      <c r="Z770" s="90"/>
    </row>
    <row r="771" ht="15.75" customHeight="1">
      <c r="A771" s="90"/>
      <c r="B771" s="90"/>
      <c r="C771" s="864"/>
      <c r="D771" s="90"/>
      <c r="E771" s="90"/>
      <c r="F771" s="90"/>
      <c r="G771" s="90"/>
      <c r="H771" s="90"/>
      <c r="I771" s="90"/>
      <c r="J771" s="90"/>
      <c r="K771" s="90"/>
      <c r="L771" s="90"/>
      <c r="M771" s="864"/>
      <c r="N771" s="864"/>
      <c r="O771" s="864"/>
      <c r="P771" s="864"/>
      <c r="Q771" s="864"/>
      <c r="R771" s="864"/>
      <c r="S771" s="864"/>
      <c r="T771" s="864"/>
      <c r="U771" s="864"/>
      <c r="V771" s="864"/>
      <c r="W771" s="864"/>
      <c r="X771" s="90"/>
      <c r="Y771" s="90"/>
      <c r="Z771" s="90"/>
    </row>
    <row r="772" ht="15.75" customHeight="1">
      <c r="A772" s="90"/>
      <c r="B772" s="90"/>
      <c r="C772" s="864"/>
      <c r="D772" s="90"/>
      <c r="E772" s="90"/>
      <c r="F772" s="90"/>
      <c r="G772" s="90"/>
      <c r="H772" s="90"/>
      <c r="I772" s="90"/>
      <c r="J772" s="90"/>
      <c r="K772" s="90"/>
      <c r="L772" s="90"/>
      <c r="M772" s="864"/>
      <c r="N772" s="864"/>
      <c r="O772" s="864"/>
      <c r="P772" s="864"/>
      <c r="Q772" s="864"/>
      <c r="R772" s="864"/>
      <c r="S772" s="864"/>
      <c r="T772" s="864"/>
      <c r="U772" s="864"/>
      <c r="V772" s="864"/>
      <c r="W772" s="864"/>
      <c r="X772" s="90"/>
      <c r="Y772" s="90"/>
      <c r="Z772" s="90"/>
    </row>
    <row r="773" ht="15.75" customHeight="1">
      <c r="A773" s="90"/>
      <c r="B773" s="90"/>
      <c r="C773" s="864"/>
      <c r="D773" s="90"/>
      <c r="E773" s="90"/>
      <c r="F773" s="90"/>
      <c r="G773" s="90"/>
      <c r="H773" s="90"/>
      <c r="I773" s="90"/>
      <c r="J773" s="90"/>
      <c r="K773" s="90"/>
      <c r="L773" s="90"/>
      <c r="M773" s="864"/>
      <c r="N773" s="864"/>
      <c r="O773" s="864"/>
      <c r="P773" s="864"/>
      <c r="Q773" s="864"/>
      <c r="R773" s="864"/>
      <c r="S773" s="864"/>
      <c r="T773" s="864"/>
      <c r="U773" s="864"/>
      <c r="V773" s="864"/>
      <c r="W773" s="864"/>
      <c r="X773" s="90"/>
      <c r="Y773" s="90"/>
      <c r="Z773" s="90"/>
    </row>
    <row r="774" ht="15.75" customHeight="1">
      <c r="A774" s="90"/>
      <c r="B774" s="90"/>
      <c r="C774" s="864"/>
      <c r="D774" s="90"/>
      <c r="E774" s="90"/>
      <c r="F774" s="90"/>
      <c r="G774" s="90"/>
      <c r="H774" s="90"/>
      <c r="I774" s="90"/>
      <c r="J774" s="90"/>
      <c r="K774" s="90"/>
      <c r="L774" s="90"/>
      <c r="M774" s="864"/>
      <c r="N774" s="864"/>
      <c r="O774" s="864"/>
      <c r="P774" s="864"/>
      <c r="Q774" s="864"/>
      <c r="R774" s="864"/>
      <c r="S774" s="864"/>
      <c r="T774" s="864"/>
      <c r="U774" s="864"/>
      <c r="V774" s="864"/>
      <c r="W774" s="864"/>
      <c r="X774" s="90"/>
      <c r="Y774" s="90"/>
      <c r="Z774" s="90"/>
    </row>
    <row r="775" ht="15.75" customHeight="1">
      <c r="A775" s="90"/>
      <c r="B775" s="90"/>
      <c r="C775" s="864"/>
      <c r="D775" s="90"/>
      <c r="E775" s="90"/>
      <c r="F775" s="90"/>
      <c r="G775" s="90"/>
      <c r="H775" s="90"/>
      <c r="I775" s="90"/>
      <c r="J775" s="90"/>
      <c r="K775" s="90"/>
      <c r="L775" s="90"/>
      <c r="M775" s="864"/>
      <c r="N775" s="864"/>
      <c r="O775" s="864"/>
      <c r="P775" s="864"/>
      <c r="Q775" s="864"/>
      <c r="R775" s="864"/>
      <c r="S775" s="864"/>
      <c r="T775" s="864"/>
      <c r="U775" s="864"/>
      <c r="V775" s="864"/>
      <c r="W775" s="864"/>
      <c r="X775" s="90"/>
      <c r="Y775" s="90"/>
      <c r="Z775" s="90"/>
    </row>
    <row r="776" ht="15.75" customHeight="1">
      <c r="A776" s="90"/>
      <c r="B776" s="90"/>
      <c r="C776" s="864"/>
      <c r="D776" s="90"/>
      <c r="E776" s="90"/>
      <c r="F776" s="90"/>
      <c r="G776" s="90"/>
      <c r="H776" s="90"/>
      <c r="I776" s="90"/>
      <c r="J776" s="90"/>
      <c r="K776" s="90"/>
      <c r="L776" s="90"/>
      <c r="M776" s="864"/>
      <c r="N776" s="864"/>
      <c r="O776" s="864"/>
      <c r="P776" s="864"/>
      <c r="Q776" s="864"/>
      <c r="R776" s="864"/>
      <c r="S776" s="864"/>
      <c r="T776" s="864"/>
      <c r="U776" s="864"/>
      <c r="V776" s="864"/>
      <c r="W776" s="864"/>
      <c r="X776" s="90"/>
      <c r="Y776" s="90"/>
      <c r="Z776" s="90"/>
    </row>
    <row r="777" ht="15.75" customHeight="1">
      <c r="A777" s="90"/>
      <c r="B777" s="90"/>
      <c r="C777" s="864"/>
      <c r="D777" s="90"/>
      <c r="E777" s="90"/>
      <c r="F777" s="90"/>
      <c r="G777" s="90"/>
      <c r="H777" s="90"/>
      <c r="I777" s="90"/>
      <c r="J777" s="90"/>
      <c r="K777" s="90"/>
      <c r="L777" s="90"/>
      <c r="M777" s="864"/>
      <c r="N777" s="864"/>
      <c r="O777" s="864"/>
      <c r="P777" s="864"/>
      <c r="Q777" s="864"/>
      <c r="R777" s="864"/>
      <c r="S777" s="864"/>
      <c r="T777" s="864"/>
      <c r="U777" s="864"/>
      <c r="V777" s="864"/>
      <c r="W777" s="864"/>
      <c r="X777" s="90"/>
      <c r="Y777" s="90"/>
      <c r="Z777" s="90"/>
    </row>
    <row r="778" ht="15.75" customHeight="1">
      <c r="A778" s="90"/>
      <c r="B778" s="90"/>
      <c r="C778" s="864"/>
      <c r="D778" s="90"/>
      <c r="E778" s="90"/>
      <c r="F778" s="90"/>
      <c r="G778" s="90"/>
      <c r="H778" s="90"/>
      <c r="I778" s="90"/>
      <c r="J778" s="90"/>
      <c r="K778" s="90"/>
      <c r="L778" s="90"/>
      <c r="M778" s="864"/>
      <c r="N778" s="864"/>
      <c r="O778" s="864"/>
      <c r="P778" s="864"/>
      <c r="Q778" s="864"/>
      <c r="R778" s="864"/>
      <c r="S778" s="864"/>
      <c r="T778" s="864"/>
      <c r="U778" s="864"/>
      <c r="V778" s="864"/>
      <c r="W778" s="864"/>
      <c r="X778" s="90"/>
      <c r="Y778" s="90"/>
      <c r="Z778" s="90"/>
    </row>
    <row r="779" ht="15.75" customHeight="1">
      <c r="A779" s="90"/>
      <c r="B779" s="90"/>
      <c r="C779" s="864"/>
      <c r="D779" s="90"/>
      <c r="E779" s="90"/>
      <c r="F779" s="90"/>
      <c r="G779" s="90"/>
      <c r="H779" s="90"/>
      <c r="I779" s="90"/>
      <c r="J779" s="90"/>
      <c r="K779" s="90"/>
      <c r="L779" s="90"/>
      <c r="M779" s="864"/>
      <c r="N779" s="864"/>
      <c r="O779" s="864"/>
      <c r="P779" s="864"/>
      <c r="Q779" s="864"/>
      <c r="R779" s="864"/>
      <c r="S779" s="864"/>
      <c r="T779" s="864"/>
      <c r="U779" s="864"/>
      <c r="V779" s="864"/>
      <c r="W779" s="864"/>
      <c r="X779" s="90"/>
      <c r="Y779" s="90"/>
      <c r="Z779" s="90"/>
    </row>
    <row r="780" ht="15.75" customHeight="1">
      <c r="A780" s="90"/>
      <c r="B780" s="90"/>
      <c r="C780" s="864"/>
      <c r="D780" s="90"/>
      <c r="E780" s="90"/>
      <c r="F780" s="90"/>
      <c r="G780" s="90"/>
      <c r="H780" s="90"/>
      <c r="I780" s="90"/>
      <c r="J780" s="90"/>
      <c r="K780" s="90"/>
      <c r="L780" s="90"/>
      <c r="M780" s="864"/>
      <c r="N780" s="864"/>
      <c r="O780" s="864"/>
      <c r="P780" s="864"/>
      <c r="Q780" s="864"/>
      <c r="R780" s="864"/>
      <c r="S780" s="864"/>
      <c r="T780" s="864"/>
      <c r="U780" s="864"/>
      <c r="V780" s="864"/>
      <c r="W780" s="864"/>
      <c r="X780" s="90"/>
      <c r="Y780" s="90"/>
      <c r="Z780" s="90"/>
    </row>
    <row r="781" ht="15.75" customHeight="1">
      <c r="A781" s="90"/>
      <c r="B781" s="90"/>
      <c r="C781" s="864"/>
      <c r="D781" s="90"/>
      <c r="E781" s="90"/>
      <c r="F781" s="90"/>
      <c r="G781" s="90"/>
      <c r="H781" s="90"/>
      <c r="I781" s="90"/>
      <c r="J781" s="90"/>
      <c r="K781" s="90"/>
      <c r="L781" s="90"/>
      <c r="M781" s="864"/>
      <c r="N781" s="864"/>
      <c r="O781" s="864"/>
      <c r="P781" s="864"/>
      <c r="Q781" s="864"/>
      <c r="R781" s="864"/>
      <c r="S781" s="864"/>
      <c r="T781" s="864"/>
      <c r="U781" s="864"/>
      <c r="V781" s="864"/>
      <c r="W781" s="864"/>
      <c r="X781" s="90"/>
      <c r="Y781" s="90"/>
      <c r="Z781" s="90"/>
    </row>
    <row r="782" ht="15.75" customHeight="1">
      <c r="A782" s="90"/>
      <c r="B782" s="90"/>
      <c r="C782" s="864"/>
      <c r="D782" s="90"/>
      <c r="E782" s="90"/>
      <c r="F782" s="90"/>
      <c r="G782" s="90"/>
      <c r="H782" s="90"/>
      <c r="I782" s="90"/>
      <c r="J782" s="90"/>
      <c r="K782" s="90"/>
      <c r="L782" s="90"/>
      <c r="M782" s="864"/>
      <c r="N782" s="864"/>
      <c r="O782" s="864"/>
      <c r="P782" s="864"/>
      <c r="Q782" s="864"/>
      <c r="R782" s="864"/>
      <c r="S782" s="864"/>
      <c r="T782" s="864"/>
      <c r="U782" s="864"/>
      <c r="V782" s="864"/>
      <c r="W782" s="864"/>
      <c r="X782" s="90"/>
      <c r="Y782" s="90"/>
      <c r="Z782" s="90"/>
    </row>
    <row r="783" ht="15.75" customHeight="1">
      <c r="A783" s="90"/>
      <c r="B783" s="90"/>
      <c r="C783" s="864"/>
      <c r="D783" s="90"/>
      <c r="E783" s="90"/>
      <c r="F783" s="90"/>
      <c r="G783" s="90"/>
      <c r="H783" s="90"/>
      <c r="I783" s="90"/>
      <c r="J783" s="90"/>
      <c r="K783" s="90"/>
      <c r="L783" s="90"/>
      <c r="M783" s="864"/>
      <c r="N783" s="864"/>
      <c r="O783" s="864"/>
      <c r="P783" s="864"/>
      <c r="Q783" s="864"/>
      <c r="R783" s="864"/>
      <c r="S783" s="864"/>
      <c r="T783" s="864"/>
      <c r="U783" s="864"/>
      <c r="V783" s="864"/>
      <c r="W783" s="864"/>
      <c r="X783" s="90"/>
      <c r="Y783" s="90"/>
      <c r="Z783" s="90"/>
    </row>
    <row r="784" ht="15.75" customHeight="1">
      <c r="A784" s="90"/>
      <c r="B784" s="90"/>
      <c r="C784" s="864"/>
      <c r="D784" s="90"/>
      <c r="E784" s="90"/>
      <c r="F784" s="90"/>
      <c r="G784" s="90"/>
      <c r="H784" s="90"/>
      <c r="I784" s="90"/>
      <c r="J784" s="90"/>
      <c r="K784" s="90"/>
      <c r="L784" s="90"/>
      <c r="M784" s="864"/>
      <c r="N784" s="864"/>
      <c r="O784" s="864"/>
      <c r="P784" s="864"/>
      <c r="Q784" s="864"/>
      <c r="R784" s="864"/>
      <c r="S784" s="864"/>
      <c r="T784" s="864"/>
      <c r="U784" s="864"/>
      <c r="V784" s="864"/>
      <c r="W784" s="864"/>
      <c r="X784" s="90"/>
      <c r="Y784" s="90"/>
      <c r="Z784" s="90"/>
    </row>
    <row r="785" ht="15.75" customHeight="1">
      <c r="A785" s="90"/>
      <c r="B785" s="90"/>
      <c r="C785" s="864"/>
      <c r="D785" s="90"/>
      <c r="E785" s="90"/>
      <c r="F785" s="90"/>
      <c r="G785" s="90"/>
      <c r="H785" s="90"/>
      <c r="I785" s="90"/>
      <c r="J785" s="90"/>
      <c r="K785" s="90"/>
      <c r="L785" s="90"/>
      <c r="M785" s="864"/>
      <c r="N785" s="864"/>
      <c r="O785" s="864"/>
      <c r="P785" s="864"/>
      <c r="Q785" s="864"/>
      <c r="R785" s="864"/>
      <c r="S785" s="864"/>
      <c r="T785" s="864"/>
      <c r="U785" s="864"/>
      <c r="V785" s="864"/>
      <c r="W785" s="864"/>
      <c r="X785" s="90"/>
      <c r="Y785" s="90"/>
      <c r="Z785" s="90"/>
    </row>
    <row r="786" ht="15.75" customHeight="1">
      <c r="A786" s="90"/>
      <c r="B786" s="90"/>
      <c r="C786" s="864"/>
      <c r="D786" s="90"/>
      <c r="E786" s="90"/>
      <c r="F786" s="90"/>
      <c r="G786" s="90"/>
      <c r="H786" s="90"/>
      <c r="I786" s="90"/>
      <c r="J786" s="90"/>
      <c r="K786" s="90"/>
      <c r="L786" s="90"/>
      <c r="M786" s="864"/>
      <c r="N786" s="864"/>
      <c r="O786" s="864"/>
      <c r="P786" s="864"/>
      <c r="Q786" s="864"/>
      <c r="R786" s="864"/>
      <c r="S786" s="864"/>
      <c r="T786" s="864"/>
      <c r="U786" s="864"/>
      <c r="V786" s="864"/>
      <c r="W786" s="864"/>
      <c r="X786" s="90"/>
      <c r="Y786" s="90"/>
      <c r="Z786" s="90"/>
    </row>
    <row r="787" ht="15.75" customHeight="1">
      <c r="A787" s="90"/>
      <c r="B787" s="90"/>
      <c r="C787" s="864"/>
      <c r="D787" s="90"/>
      <c r="E787" s="90"/>
      <c r="F787" s="90"/>
      <c r="G787" s="90"/>
      <c r="H787" s="90"/>
      <c r="I787" s="90"/>
      <c r="J787" s="90"/>
      <c r="K787" s="90"/>
      <c r="L787" s="90"/>
      <c r="M787" s="864"/>
      <c r="N787" s="864"/>
      <c r="O787" s="864"/>
      <c r="P787" s="864"/>
      <c r="Q787" s="864"/>
      <c r="R787" s="864"/>
      <c r="S787" s="864"/>
      <c r="T787" s="864"/>
      <c r="U787" s="864"/>
      <c r="V787" s="864"/>
      <c r="W787" s="864"/>
      <c r="X787" s="90"/>
      <c r="Y787" s="90"/>
      <c r="Z787" s="90"/>
    </row>
    <row r="788" ht="15.75" customHeight="1">
      <c r="A788" s="90"/>
      <c r="B788" s="90"/>
      <c r="C788" s="864"/>
      <c r="D788" s="90"/>
      <c r="E788" s="90"/>
      <c r="F788" s="90"/>
      <c r="G788" s="90"/>
      <c r="H788" s="90"/>
      <c r="I788" s="90"/>
      <c r="J788" s="90"/>
      <c r="K788" s="90"/>
      <c r="L788" s="90"/>
      <c r="M788" s="864"/>
      <c r="N788" s="864"/>
      <c r="O788" s="864"/>
      <c r="P788" s="864"/>
      <c r="Q788" s="864"/>
      <c r="R788" s="864"/>
      <c r="S788" s="864"/>
      <c r="T788" s="864"/>
      <c r="U788" s="864"/>
      <c r="V788" s="864"/>
      <c r="W788" s="864"/>
      <c r="X788" s="90"/>
      <c r="Y788" s="90"/>
      <c r="Z788" s="90"/>
    </row>
    <row r="789" ht="15.75" customHeight="1">
      <c r="A789" s="90"/>
      <c r="B789" s="90"/>
      <c r="C789" s="864"/>
      <c r="D789" s="90"/>
      <c r="E789" s="90"/>
      <c r="F789" s="90"/>
      <c r="G789" s="90"/>
      <c r="H789" s="90"/>
      <c r="I789" s="90"/>
      <c r="J789" s="90"/>
      <c r="K789" s="90"/>
      <c r="L789" s="90"/>
      <c r="M789" s="864"/>
      <c r="N789" s="864"/>
      <c r="O789" s="864"/>
      <c r="P789" s="864"/>
      <c r="Q789" s="864"/>
      <c r="R789" s="864"/>
      <c r="S789" s="864"/>
      <c r="T789" s="864"/>
      <c r="U789" s="864"/>
      <c r="V789" s="864"/>
      <c r="W789" s="864"/>
      <c r="X789" s="90"/>
      <c r="Y789" s="90"/>
      <c r="Z789" s="90"/>
    </row>
    <row r="790" ht="15.75" customHeight="1">
      <c r="A790" s="90"/>
      <c r="B790" s="90"/>
      <c r="C790" s="864"/>
      <c r="D790" s="90"/>
      <c r="E790" s="90"/>
      <c r="F790" s="90"/>
      <c r="G790" s="90"/>
      <c r="H790" s="90"/>
      <c r="I790" s="90"/>
      <c r="J790" s="90"/>
      <c r="K790" s="90"/>
      <c r="L790" s="90"/>
      <c r="M790" s="864"/>
      <c r="N790" s="864"/>
      <c r="O790" s="864"/>
      <c r="P790" s="864"/>
      <c r="Q790" s="864"/>
      <c r="R790" s="864"/>
      <c r="S790" s="864"/>
      <c r="T790" s="864"/>
      <c r="U790" s="864"/>
      <c r="V790" s="864"/>
      <c r="W790" s="864"/>
      <c r="X790" s="90"/>
      <c r="Y790" s="90"/>
      <c r="Z790" s="90"/>
    </row>
    <row r="791" ht="15.75" customHeight="1">
      <c r="A791" s="90"/>
      <c r="B791" s="90"/>
      <c r="C791" s="864"/>
      <c r="D791" s="90"/>
      <c r="E791" s="90"/>
      <c r="F791" s="90"/>
      <c r="G791" s="90"/>
      <c r="H791" s="90"/>
      <c r="I791" s="90"/>
      <c r="J791" s="90"/>
      <c r="K791" s="90"/>
      <c r="L791" s="90"/>
      <c r="M791" s="864"/>
      <c r="N791" s="864"/>
      <c r="O791" s="864"/>
      <c r="P791" s="864"/>
      <c r="Q791" s="864"/>
      <c r="R791" s="864"/>
      <c r="S791" s="864"/>
      <c r="T791" s="864"/>
      <c r="U791" s="864"/>
      <c r="V791" s="864"/>
      <c r="W791" s="864"/>
      <c r="X791" s="90"/>
      <c r="Y791" s="90"/>
      <c r="Z791" s="90"/>
    </row>
    <row r="792" ht="15.75" customHeight="1">
      <c r="A792" s="90"/>
      <c r="B792" s="90"/>
      <c r="C792" s="864"/>
      <c r="D792" s="90"/>
      <c r="E792" s="90"/>
      <c r="F792" s="90"/>
      <c r="G792" s="90"/>
      <c r="H792" s="90"/>
      <c r="I792" s="90"/>
      <c r="J792" s="90"/>
      <c r="K792" s="90"/>
      <c r="L792" s="90"/>
      <c r="M792" s="864"/>
      <c r="N792" s="864"/>
      <c r="O792" s="864"/>
      <c r="P792" s="864"/>
      <c r="Q792" s="864"/>
      <c r="R792" s="864"/>
      <c r="S792" s="864"/>
      <c r="T792" s="864"/>
      <c r="U792" s="864"/>
      <c r="V792" s="864"/>
      <c r="W792" s="864"/>
      <c r="X792" s="90"/>
      <c r="Y792" s="90"/>
      <c r="Z792" s="90"/>
    </row>
    <row r="793" ht="15.75" customHeight="1">
      <c r="A793" s="90"/>
      <c r="B793" s="90"/>
      <c r="C793" s="864"/>
      <c r="D793" s="90"/>
      <c r="E793" s="90"/>
      <c r="F793" s="90"/>
      <c r="G793" s="90"/>
      <c r="H793" s="90"/>
      <c r="I793" s="90"/>
      <c r="J793" s="90"/>
      <c r="K793" s="90"/>
      <c r="L793" s="90"/>
      <c r="M793" s="864"/>
      <c r="N793" s="864"/>
      <c r="O793" s="864"/>
      <c r="P793" s="864"/>
      <c r="Q793" s="864"/>
      <c r="R793" s="864"/>
      <c r="S793" s="864"/>
      <c r="T793" s="864"/>
      <c r="U793" s="864"/>
      <c r="V793" s="864"/>
      <c r="W793" s="864"/>
      <c r="X793" s="90"/>
      <c r="Y793" s="90"/>
      <c r="Z793" s="90"/>
    </row>
    <row r="794" ht="15.75" customHeight="1">
      <c r="A794" s="90"/>
      <c r="B794" s="90"/>
      <c r="C794" s="864"/>
      <c r="D794" s="90"/>
      <c r="E794" s="90"/>
      <c r="F794" s="90"/>
      <c r="G794" s="90"/>
      <c r="H794" s="90"/>
      <c r="I794" s="90"/>
      <c r="J794" s="90"/>
      <c r="K794" s="90"/>
      <c r="L794" s="90"/>
      <c r="M794" s="864"/>
      <c r="N794" s="864"/>
      <c r="O794" s="864"/>
      <c r="P794" s="864"/>
      <c r="Q794" s="864"/>
      <c r="R794" s="864"/>
      <c r="S794" s="864"/>
      <c r="T794" s="864"/>
      <c r="U794" s="864"/>
      <c r="V794" s="864"/>
      <c r="W794" s="864"/>
      <c r="X794" s="90"/>
      <c r="Y794" s="90"/>
      <c r="Z794" s="90"/>
    </row>
    <row r="795" ht="15.75" customHeight="1">
      <c r="A795" s="90"/>
      <c r="B795" s="90"/>
      <c r="C795" s="864"/>
      <c r="D795" s="90"/>
      <c r="E795" s="90"/>
      <c r="F795" s="90"/>
      <c r="G795" s="90"/>
      <c r="H795" s="90"/>
      <c r="I795" s="90"/>
      <c r="J795" s="90"/>
      <c r="K795" s="90"/>
      <c r="L795" s="90"/>
      <c r="M795" s="864"/>
      <c r="N795" s="864"/>
      <c r="O795" s="864"/>
      <c r="P795" s="864"/>
      <c r="Q795" s="864"/>
      <c r="R795" s="864"/>
      <c r="S795" s="864"/>
      <c r="T795" s="864"/>
      <c r="U795" s="864"/>
      <c r="V795" s="864"/>
      <c r="W795" s="864"/>
      <c r="X795" s="90"/>
      <c r="Y795" s="90"/>
      <c r="Z795" s="90"/>
    </row>
    <row r="796" ht="15.75" customHeight="1">
      <c r="A796" s="90"/>
      <c r="B796" s="90"/>
      <c r="C796" s="864"/>
      <c r="D796" s="90"/>
      <c r="E796" s="90"/>
      <c r="F796" s="90"/>
      <c r="G796" s="90"/>
      <c r="H796" s="90"/>
      <c r="I796" s="90"/>
      <c r="J796" s="90"/>
      <c r="K796" s="90"/>
      <c r="L796" s="90"/>
      <c r="M796" s="864"/>
      <c r="N796" s="864"/>
      <c r="O796" s="864"/>
      <c r="P796" s="864"/>
      <c r="Q796" s="864"/>
      <c r="R796" s="864"/>
      <c r="S796" s="864"/>
      <c r="T796" s="864"/>
      <c r="U796" s="864"/>
      <c r="V796" s="864"/>
      <c r="W796" s="864"/>
      <c r="X796" s="90"/>
      <c r="Y796" s="90"/>
      <c r="Z796" s="90"/>
    </row>
    <row r="797" ht="15.75" customHeight="1">
      <c r="A797" s="90"/>
      <c r="B797" s="90"/>
      <c r="C797" s="864"/>
      <c r="D797" s="90"/>
      <c r="E797" s="90"/>
      <c r="F797" s="90"/>
      <c r="G797" s="90"/>
      <c r="H797" s="90"/>
      <c r="I797" s="90"/>
      <c r="J797" s="90"/>
      <c r="K797" s="90"/>
      <c r="L797" s="90"/>
      <c r="M797" s="864"/>
      <c r="N797" s="864"/>
      <c r="O797" s="864"/>
      <c r="P797" s="864"/>
      <c r="Q797" s="864"/>
      <c r="R797" s="864"/>
      <c r="S797" s="864"/>
      <c r="T797" s="864"/>
      <c r="U797" s="864"/>
      <c r="V797" s="864"/>
      <c r="W797" s="864"/>
      <c r="X797" s="90"/>
      <c r="Y797" s="90"/>
      <c r="Z797" s="90"/>
    </row>
    <row r="798" ht="15.75" customHeight="1">
      <c r="A798" s="90"/>
      <c r="B798" s="90"/>
      <c r="C798" s="864"/>
      <c r="D798" s="90"/>
      <c r="E798" s="90"/>
      <c r="F798" s="90"/>
      <c r="G798" s="90"/>
      <c r="H798" s="90"/>
      <c r="I798" s="90"/>
      <c r="J798" s="90"/>
      <c r="K798" s="90"/>
      <c r="L798" s="90"/>
      <c r="M798" s="864"/>
      <c r="N798" s="864"/>
      <c r="O798" s="864"/>
      <c r="P798" s="864"/>
      <c r="Q798" s="864"/>
      <c r="R798" s="864"/>
      <c r="S798" s="864"/>
      <c r="T798" s="864"/>
      <c r="U798" s="864"/>
      <c r="V798" s="864"/>
      <c r="W798" s="864"/>
      <c r="X798" s="90"/>
      <c r="Y798" s="90"/>
      <c r="Z798" s="90"/>
    </row>
    <row r="799" ht="15.75" customHeight="1">
      <c r="A799" s="90"/>
      <c r="B799" s="90"/>
      <c r="C799" s="864"/>
      <c r="D799" s="90"/>
      <c r="E799" s="90"/>
      <c r="F799" s="90"/>
      <c r="G799" s="90"/>
      <c r="H799" s="90"/>
      <c r="I799" s="90"/>
      <c r="J799" s="90"/>
      <c r="K799" s="90"/>
      <c r="L799" s="90"/>
      <c r="M799" s="864"/>
      <c r="N799" s="864"/>
      <c r="O799" s="864"/>
      <c r="P799" s="864"/>
      <c r="Q799" s="864"/>
      <c r="R799" s="864"/>
      <c r="S799" s="864"/>
      <c r="T799" s="864"/>
      <c r="U799" s="864"/>
      <c r="V799" s="864"/>
      <c r="W799" s="864"/>
      <c r="X799" s="90"/>
      <c r="Y799" s="90"/>
      <c r="Z799" s="90"/>
    </row>
    <row r="800" ht="15.75" customHeight="1">
      <c r="A800" s="90"/>
      <c r="B800" s="90"/>
      <c r="C800" s="864"/>
      <c r="D800" s="90"/>
      <c r="E800" s="90"/>
      <c r="F800" s="90"/>
      <c r="G800" s="90"/>
      <c r="H800" s="90"/>
      <c r="I800" s="90"/>
      <c r="J800" s="90"/>
      <c r="K800" s="90"/>
      <c r="L800" s="90"/>
      <c r="M800" s="864"/>
      <c r="N800" s="864"/>
      <c r="O800" s="864"/>
      <c r="P800" s="864"/>
      <c r="Q800" s="864"/>
      <c r="R800" s="864"/>
      <c r="S800" s="864"/>
      <c r="T800" s="864"/>
      <c r="U800" s="864"/>
      <c r="V800" s="864"/>
      <c r="W800" s="864"/>
      <c r="X800" s="90"/>
      <c r="Y800" s="90"/>
      <c r="Z800" s="90"/>
    </row>
    <row r="801" ht="15.75" customHeight="1">
      <c r="A801" s="90"/>
      <c r="B801" s="90"/>
      <c r="C801" s="864"/>
      <c r="D801" s="90"/>
      <c r="E801" s="90"/>
      <c r="F801" s="90"/>
      <c r="G801" s="90"/>
      <c r="H801" s="90"/>
      <c r="I801" s="90"/>
      <c r="J801" s="90"/>
      <c r="K801" s="90"/>
      <c r="L801" s="90"/>
      <c r="M801" s="864"/>
      <c r="N801" s="864"/>
      <c r="O801" s="864"/>
      <c r="P801" s="864"/>
      <c r="Q801" s="864"/>
      <c r="R801" s="864"/>
      <c r="S801" s="864"/>
      <c r="T801" s="864"/>
      <c r="U801" s="864"/>
      <c r="V801" s="864"/>
      <c r="W801" s="864"/>
      <c r="X801" s="90"/>
      <c r="Y801" s="90"/>
      <c r="Z801" s="90"/>
    </row>
    <row r="802" ht="15.75" customHeight="1">
      <c r="A802" s="90"/>
      <c r="B802" s="90"/>
      <c r="C802" s="864"/>
      <c r="D802" s="90"/>
      <c r="E802" s="90"/>
      <c r="F802" s="90"/>
      <c r="G802" s="90"/>
      <c r="H802" s="90"/>
      <c r="I802" s="90"/>
      <c r="J802" s="90"/>
      <c r="K802" s="90"/>
      <c r="L802" s="90"/>
      <c r="M802" s="864"/>
      <c r="N802" s="864"/>
      <c r="O802" s="864"/>
      <c r="P802" s="864"/>
      <c r="Q802" s="864"/>
      <c r="R802" s="864"/>
      <c r="S802" s="864"/>
      <c r="T802" s="864"/>
      <c r="U802" s="864"/>
      <c r="V802" s="864"/>
      <c r="W802" s="864"/>
      <c r="X802" s="90"/>
      <c r="Y802" s="90"/>
      <c r="Z802" s="90"/>
    </row>
    <row r="803" ht="15.75" customHeight="1">
      <c r="A803" s="90"/>
      <c r="B803" s="90"/>
      <c r="C803" s="864"/>
      <c r="D803" s="90"/>
      <c r="E803" s="90"/>
      <c r="F803" s="90"/>
      <c r="G803" s="90"/>
      <c r="H803" s="90"/>
      <c r="I803" s="90"/>
      <c r="J803" s="90"/>
      <c r="K803" s="90"/>
      <c r="L803" s="90"/>
      <c r="M803" s="864"/>
      <c r="N803" s="864"/>
      <c r="O803" s="864"/>
      <c r="P803" s="864"/>
      <c r="Q803" s="864"/>
      <c r="R803" s="864"/>
      <c r="S803" s="864"/>
      <c r="T803" s="864"/>
      <c r="U803" s="864"/>
      <c r="V803" s="864"/>
      <c r="W803" s="864"/>
      <c r="X803" s="90"/>
      <c r="Y803" s="90"/>
      <c r="Z803" s="90"/>
    </row>
    <row r="804" ht="15.75" customHeight="1">
      <c r="A804" s="90"/>
      <c r="B804" s="90"/>
      <c r="C804" s="864"/>
      <c r="D804" s="90"/>
      <c r="E804" s="90"/>
      <c r="F804" s="90"/>
      <c r="G804" s="90"/>
      <c r="H804" s="90"/>
      <c r="I804" s="90"/>
      <c r="J804" s="90"/>
      <c r="K804" s="90"/>
      <c r="L804" s="90"/>
      <c r="M804" s="864"/>
      <c r="N804" s="864"/>
      <c r="O804" s="864"/>
      <c r="P804" s="864"/>
      <c r="Q804" s="864"/>
      <c r="R804" s="864"/>
      <c r="S804" s="864"/>
      <c r="T804" s="864"/>
      <c r="U804" s="864"/>
      <c r="V804" s="864"/>
      <c r="W804" s="864"/>
      <c r="X804" s="90"/>
      <c r="Y804" s="90"/>
      <c r="Z804" s="90"/>
    </row>
    <row r="805" ht="15.75" customHeight="1">
      <c r="A805" s="90"/>
      <c r="B805" s="90"/>
      <c r="C805" s="864"/>
      <c r="D805" s="90"/>
      <c r="E805" s="90"/>
      <c r="F805" s="90"/>
      <c r="G805" s="90"/>
      <c r="H805" s="90"/>
      <c r="I805" s="90"/>
      <c r="J805" s="90"/>
      <c r="K805" s="90"/>
      <c r="L805" s="90"/>
      <c r="M805" s="864"/>
      <c r="N805" s="864"/>
      <c r="O805" s="864"/>
      <c r="P805" s="864"/>
      <c r="Q805" s="864"/>
      <c r="R805" s="864"/>
      <c r="S805" s="864"/>
      <c r="T805" s="864"/>
      <c r="U805" s="864"/>
      <c r="V805" s="864"/>
      <c r="W805" s="864"/>
      <c r="X805" s="90"/>
      <c r="Y805" s="90"/>
      <c r="Z805" s="90"/>
    </row>
    <row r="806" ht="15.75" customHeight="1">
      <c r="A806" s="90"/>
      <c r="B806" s="90"/>
      <c r="C806" s="864"/>
      <c r="D806" s="90"/>
      <c r="E806" s="90"/>
      <c r="F806" s="90"/>
      <c r="G806" s="90"/>
      <c r="H806" s="90"/>
      <c r="I806" s="90"/>
      <c r="J806" s="90"/>
      <c r="K806" s="90"/>
      <c r="L806" s="90"/>
      <c r="M806" s="864"/>
      <c r="N806" s="864"/>
      <c r="O806" s="864"/>
      <c r="P806" s="864"/>
      <c r="Q806" s="864"/>
      <c r="R806" s="864"/>
      <c r="S806" s="864"/>
      <c r="T806" s="864"/>
      <c r="U806" s="864"/>
      <c r="V806" s="864"/>
      <c r="W806" s="864"/>
      <c r="X806" s="90"/>
      <c r="Y806" s="90"/>
      <c r="Z806" s="90"/>
    </row>
    <row r="807" ht="15.75" customHeight="1">
      <c r="A807" s="90"/>
      <c r="B807" s="90"/>
      <c r="C807" s="864"/>
      <c r="D807" s="90"/>
      <c r="E807" s="90"/>
      <c r="F807" s="90"/>
      <c r="G807" s="90"/>
      <c r="H807" s="90"/>
      <c r="I807" s="90"/>
      <c r="J807" s="90"/>
      <c r="K807" s="90"/>
      <c r="L807" s="90"/>
      <c r="M807" s="864"/>
      <c r="N807" s="864"/>
      <c r="O807" s="864"/>
      <c r="P807" s="864"/>
      <c r="Q807" s="864"/>
      <c r="R807" s="864"/>
      <c r="S807" s="864"/>
      <c r="T807" s="864"/>
      <c r="U807" s="864"/>
      <c r="V807" s="864"/>
      <c r="W807" s="864"/>
      <c r="X807" s="90"/>
      <c r="Y807" s="90"/>
      <c r="Z807" s="90"/>
    </row>
    <row r="808" ht="15.75" customHeight="1">
      <c r="A808" s="90"/>
      <c r="B808" s="90"/>
      <c r="C808" s="864"/>
      <c r="D808" s="90"/>
      <c r="E808" s="90"/>
      <c r="F808" s="90"/>
      <c r="G808" s="90"/>
      <c r="H808" s="90"/>
      <c r="I808" s="90"/>
      <c r="J808" s="90"/>
      <c r="K808" s="90"/>
      <c r="L808" s="90"/>
      <c r="M808" s="864"/>
      <c r="N808" s="864"/>
      <c r="O808" s="864"/>
      <c r="P808" s="864"/>
      <c r="Q808" s="864"/>
      <c r="R808" s="864"/>
      <c r="S808" s="864"/>
      <c r="T808" s="864"/>
      <c r="U808" s="864"/>
      <c r="V808" s="864"/>
      <c r="W808" s="864"/>
      <c r="X808" s="90"/>
      <c r="Y808" s="90"/>
      <c r="Z808" s="90"/>
    </row>
    <row r="809" ht="15.75" customHeight="1">
      <c r="A809" s="90"/>
      <c r="B809" s="90"/>
      <c r="C809" s="864"/>
      <c r="D809" s="90"/>
      <c r="E809" s="90"/>
      <c r="F809" s="90"/>
      <c r="G809" s="90"/>
      <c r="H809" s="90"/>
      <c r="I809" s="90"/>
      <c r="J809" s="90"/>
      <c r="K809" s="90"/>
      <c r="L809" s="90"/>
      <c r="M809" s="864"/>
      <c r="N809" s="864"/>
      <c r="O809" s="864"/>
      <c r="P809" s="864"/>
      <c r="Q809" s="864"/>
      <c r="R809" s="864"/>
      <c r="S809" s="864"/>
      <c r="T809" s="864"/>
      <c r="U809" s="864"/>
      <c r="V809" s="864"/>
      <c r="W809" s="864"/>
      <c r="X809" s="90"/>
      <c r="Y809" s="90"/>
      <c r="Z809" s="90"/>
    </row>
    <row r="810" ht="15.75" customHeight="1">
      <c r="A810" s="90"/>
      <c r="B810" s="90"/>
      <c r="C810" s="864"/>
      <c r="D810" s="90"/>
      <c r="E810" s="90"/>
      <c r="F810" s="90"/>
      <c r="G810" s="90"/>
      <c r="H810" s="90"/>
      <c r="I810" s="90"/>
      <c r="J810" s="90"/>
      <c r="K810" s="90"/>
      <c r="L810" s="90"/>
      <c r="M810" s="864"/>
      <c r="N810" s="864"/>
      <c r="O810" s="864"/>
      <c r="P810" s="864"/>
      <c r="Q810" s="864"/>
      <c r="R810" s="864"/>
      <c r="S810" s="864"/>
      <c r="T810" s="864"/>
      <c r="U810" s="864"/>
      <c r="V810" s="864"/>
      <c r="W810" s="864"/>
      <c r="X810" s="90"/>
      <c r="Y810" s="90"/>
      <c r="Z810" s="90"/>
    </row>
    <row r="811" ht="15.75" customHeight="1">
      <c r="A811" s="90"/>
      <c r="B811" s="90"/>
      <c r="C811" s="864"/>
      <c r="D811" s="90"/>
      <c r="E811" s="90"/>
      <c r="F811" s="90"/>
      <c r="G811" s="90"/>
      <c r="H811" s="90"/>
      <c r="I811" s="90"/>
      <c r="J811" s="90"/>
      <c r="K811" s="90"/>
      <c r="L811" s="90"/>
      <c r="M811" s="864"/>
      <c r="N811" s="864"/>
      <c r="O811" s="864"/>
      <c r="P811" s="864"/>
      <c r="Q811" s="864"/>
      <c r="R811" s="864"/>
      <c r="S811" s="864"/>
      <c r="T811" s="864"/>
      <c r="U811" s="864"/>
      <c r="V811" s="864"/>
      <c r="W811" s="864"/>
      <c r="X811" s="90"/>
      <c r="Y811" s="90"/>
      <c r="Z811" s="90"/>
    </row>
    <row r="812" ht="15.75" customHeight="1">
      <c r="A812" s="90"/>
      <c r="B812" s="90"/>
      <c r="C812" s="864"/>
      <c r="D812" s="90"/>
      <c r="E812" s="90"/>
      <c r="F812" s="90"/>
      <c r="G812" s="90"/>
      <c r="H812" s="90"/>
      <c r="I812" s="90"/>
      <c r="J812" s="90"/>
      <c r="K812" s="90"/>
      <c r="L812" s="90"/>
      <c r="M812" s="864"/>
      <c r="N812" s="864"/>
      <c r="O812" s="864"/>
      <c r="P812" s="864"/>
      <c r="Q812" s="864"/>
      <c r="R812" s="864"/>
      <c r="S812" s="864"/>
      <c r="T812" s="864"/>
      <c r="U812" s="864"/>
      <c r="V812" s="864"/>
      <c r="W812" s="864"/>
      <c r="X812" s="90"/>
      <c r="Y812" s="90"/>
      <c r="Z812" s="90"/>
    </row>
    <row r="813" ht="15.75" customHeight="1">
      <c r="A813" s="90"/>
      <c r="B813" s="90"/>
      <c r="C813" s="864"/>
      <c r="D813" s="90"/>
      <c r="E813" s="90"/>
      <c r="F813" s="90"/>
      <c r="G813" s="90"/>
      <c r="H813" s="90"/>
      <c r="I813" s="90"/>
      <c r="J813" s="90"/>
      <c r="K813" s="90"/>
      <c r="L813" s="90"/>
      <c r="M813" s="864"/>
      <c r="N813" s="864"/>
      <c r="O813" s="864"/>
      <c r="P813" s="864"/>
      <c r="Q813" s="864"/>
      <c r="R813" s="864"/>
      <c r="S813" s="864"/>
      <c r="T813" s="864"/>
      <c r="U813" s="864"/>
      <c r="V813" s="864"/>
      <c r="W813" s="864"/>
      <c r="X813" s="90"/>
      <c r="Y813" s="90"/>
      <c r="Z813" s="90"/>
    </row>
    <row r="814" ht="15.75" customHeight="1">
      <c r="A814" s="90"/>
      <c r="B814" s="90"/>
      <c r="C814" s="864"/>
      <c r="D814" s="90"/>
      <c r="E814" s="90"/>
      <c r="F814" s="90"/>
      <c r="G814" s="90"/>
      <c r="H814" s="90"/>
      <c r="I814" s="90"/>
      <c r="J814" s="90"/>
      <c r="K814" s="90"/>
      <c r="L814" s="90"/>
      <c r="M814" s="864"/>
      <c r="N814" s="864"/>
      <c r="O814" s="864"/>
      <c r="P814" s="864"/>
      <c r="Q814" s="864"/>
      <c r="R814" s="864"/>
      <c r="S814" s="864"/>
      <c r="T814" s="864"/>
      <c r="U814" s="864"/>
      <c r="V814" s="864"/>
      <c r="W814" s="864"/>
      <c r="X814" s="90"/>
      <c r="Y814" s="90"/>
      <c r="Z814" s="90"/>
    </row>
    <row r="815" ht="15.75" customHeight="1">
      <c r="A815" s="90"/>
      <c r="B815" s="90"/>
      <c r="C815" s="864"/>
      <c r="D815" s="90"/>
      <c r="E815" s="90"/>
      <c r="F815" s="90"/>
      <c r="G815" s="90"/>
      <c r="H815" s="90"/>
      <c r="I815" s="90"/>
      <c r="J815" s="90"/>
      <c r="K815" s="90"/>
      <c r="L815" s="90"/>
      <c r="M815" s="864"/>
      <c r="N815" s="864"/>
      <c r="O815" s="864"/>
      <c r="P815" s="864"/>
      <c r="Q815" s="864"/>
      <c r="R815" s="864"/>
      <c r="S815" s="864"/>
      <c r="T815" s="864"/>
      <c r="U815" s="864"/>
      <c r="V815" s="864"/>
      <c r="W815" s="864"/>
      <c r="X815" s="90"/>
      <c r="Y815" s="90"/>
      <c r="Z815" s="90"/>
    </row>
    <row r="816" ht="15.75" customHeight="1">
      <c r="A816" s="90"/>
      <c r="B816" s="90"/>
      <c r="C816" s="864"/>
      <c r="D816" s="90"/>
      <c r="E816" s="90"/>
      <c r="F816" s="90"/>
      <c r="G816" s="90"/>
      <c r="H816" s="90"/>
      <c r="I816" s="90"/>
      <c r="J816" s="90"/>
      <c r="K816" s="90"/>
      <c r="L816" s="90"/>
      <c r="M816" s="864"/>
      <c r="N816" s="864"/>
      <c r="O816" s="864"/>
      <c r="P816" s="864"/>
      <c r="Q816" s="864"/>
      <c r="R816" s="864"/>
      <c r="S816" s="864"/>
      <c r="T816" s="864"/>
      <c r="U816" s="864"/>
      <c r="V816" s="864"/>
      <c r="W816" s="864"/>
      <c r="X816" s="90"/>
      <c r="Y816" s="90"/>
      <c r="Z816" s="90"/>
    </row>
    <row r="817" ht="15.75" customHeight="1">
      <c r="A817" s="90"/>
      <c r="B817" s="90"/>
      <c r="C817" s="864"/>
      <c r="D817" s="90"/>
      <c r="E817" s="90"/>
      <c r="F817" s="90"/>
      <c r="G817" s="90"/>
      <c r="H817" s="90"/>
      <c r="I817" s="90"/>
      <c r="J817" s="90"/>
      <c r="K817" s="90"/>
      <c r="L817" s="90"/>
      <c r="M817" s="864"/>
      <c r="N817" s="864"/>
      <c r="O817" s="864"/>
      <c r="P817" s="864"/>
      <c r="Q817" s="864"/>
      <c r="R817" s="864"/>
      <c r="S817" s="864"/>
      <c r="T817" s="864"/>
      <c r="U817" s="864"/>
      <c r="V817" s="864"/>
      <c r="W817" s="864"/>
      <c r="X817" s="90"/>
      <c r="Y817" s="90"/>
      <c r="Z817" s="90"/>
    </row>
    <row r="818" ht="15.75" customHeight="1">
      <c r="A818" s="90"/>
      <c r="B818" s="90"/>
      <c r="C818" s="864"/>
      <c r="D818" s="90"/>
      <c r="E818" s="90"/>
      <c r="F818" s="90"/>
      <c r="G818" s="90"/>
      <c r="H818" s="90"/>
      <c r="I818" s="90"/>
      <c r="J818" s="90"/>
      <c r="K818" s="90"/>
      <c r="L818" s="90"/>
      <c r="M818" s="864"/>
      <c r="N818" s="864"/>
      <c r="O818" s="864"/>
      <c r="P818" s="864"/>
      <c r="Q818" s="864"/>
      <c r="R818" s="864"/>
      <c r="S818" s="864"/>
      <c r="T818" s="864"/>
      <c r="U818" s="864"/>
      <c r="V818" s="864"/>
      <c r="W818" s="864"/>
      <c r="X818" s="90"/>
      <c r="Y818" s="90"/>
      <c r="Z818" s="90"/>
    </row>
    <row r="819" ht="15.75" customHeight="1">
      <c r="A819" s="90"/>
      <c r="B819" s="90"/>
      <c r="C819" s="864"/>
      <c r="D819" s="90"/>
      <c r="E819" s="90"/>
      <c r="F819" s="90"/>
      <c r="G819" s="90"/>
      <c r="H819" s="90"/>
      <c r="I819" s="90"/>
      <c r="J819" s="90"/>
      <c r="K819" s="90"/>
      <c r="L819" s="90"/>
      <c r="M819" s="864"/>
      <c r="N819" s="864"/>
      <c r="O819" s="864"/>
      <c r="P819" s="864"/>
      <c r="Q819" s="864"/>
      <c r="R819" s="864"/>
      <c r="S819" s="864"/>
      <c r="T819" s="864"/>
      <c r="U819" s="864"/>
      <c r="V819" s="864"/>
      <c r="W819" s="864"/>
      <c r="X819" s="90"/>
      <c r="Y819" s="90"/>
      <c r="Z819" s="90"/>
    </row>
    <row r="820" ht="15.75" customHeight="1">
      <c r="A820" s="90"/>
      <c r="B820" s="90"/>
      <c r="C820" s="864"/>
      <c r="D820" s="90"/>
      <c r="E820" s="90"/>
      <c r="F820" s="90"/>
      <c r="G820" s="90"/>
      <c r="H820" s="90"/>
      <c r="I820" s="90"/>
      <c r="J820" s="90"/>
      <c r="K820" s="90"/>
      <c r="L820" s="90"/>
      <c r="M820" s="864"/>
      <c r="N820" s="864"/>
      <c r="O820" s="864"/>
      <c r="P820" s="864"/>
      <c r="Q820" s="864"/>
      <c r="R820" s="864"/>
      <c r="S820" s="864"/>
      <c r="T820" s="864"/>
      <c r="U820" s="864"/>
      <c r="V820" s="864"/>
      <c r="W820" s="864"/>
      <c r="X820" s="90"/>
      <c r="Y820" s="90"/>
      <c r="Z820" s="90"/>
    </row>
    <row r="821" ht="15.75" customHeight="1">
      <c r="A821" s="90"/>
      <c r="B821" s="90"/>
      <c r="C821" s="864"/>
      <c r="D821" s="90"/>
      <c r="E821" s="90"/>
      <c r="F821" s="90"/>
      <c r="G821" s="90"/>
      <c r="H821" s="90"/>
      <c r="I821" s="90"/>
      <c r="J821" s="90"/>
      <c r="K821" s="90"/>
      <c r="L821" s="90"/>
      <c r="M821" s="864"/>
      <c r="N821" s="864"/>
      <c r="O821" s="864"/>
      <c r="P821" s="864"/>
      <c r="Q821" s="864"/>
      <c r="R821" s="864"/>
      <c r="S821" s="864"/>
      <c r="T821" s="864"/>
      <c r="U821" s="864"/>
      <c r="V821" s="864"/>
      <c r="W821" s="864"/>
      <c r="X821" s="90"/>
      <c r="Y821" s="90"/>
      <c r="Z821" s="90"/>
    </row>
    <row r="822" ht="15.75" customHeight="1">
      <c r="A822" s="90"/>
      <c r="B822" s="90"/>
      <c r="C822" s="864"/>
      <c r="D822" s="90"/>
      <c r="E822" s="90"/>
      <c r="F822" s="90"/>
      <c r="G822" s="90"/>
      <c r="H822" s="90"/>
      <c r="I822" s="90"/>
      <c r="J822" s="90"/>
      <c r="K822" s="90"/>
      <c r="L822" s="90"/>
      <c r="M822" s="864"/>
      <c r="N822" s="864"/>
      <c r="O822" s="864"/>
      <c r="P822" s="864"/>
      <c r="Q822" s="864"/>
      <c r="R822" s="864"/>
      <c r="S822" s="864"/>
      <c r="T822" s="864"/>
      <c r="U822" s="864"/>
      <c r="V822" s="864"/>
      <c r="W822" s="864"/>
      <c r="X822" s="90"/>
      <c r="Y822" s="90"/>
      <c r="Z822" s="90"/>
    </row>
    <row r="823" ht="15.75" customHeight="1">
      <c r="A823" s="90"/>
      <c r="B823" s="90"/>
      <c r="C823" s="864"/>
      <c r="D823" s="90"/>
      <c r="E823" s="90"/>
      <c r="F823" s="90"/>
      <c r="G823" s="90"/>
      <c r="H823" s="90"/>
      <c r="I823" s="90"/>
      <c r="J823" s="90"/>
      <c r="K823" s="90"/>
      <c r="L823" s="90"/>
      <c r="M823" s="864"/>
      <c r="N823" s="864"/>
      <c r="O823" s="864"/>
      <c r="P823" s="864"/>
      <c r="Q823" s="864"/>
      <c r="R823" s="864"/>
      <c r="S823" s="864"/>
      <c r="T823" s="864"/>
      <c r="U823" s="864"/>
      <c r="V823" s="864"/>
      <c r="W823" s="864"/>
      <c r="X823" s="90"/>
      <c r="Y823" s="90"/>
      <c r="Z823" s="90"/>
    </row>
    <row r="824" ht="15.75" customHeight="1">
      <c r="A824" s="90"/>
      <c r="B824" s="90"/>
      <c r="C824" s="864"/>
      <c r="D824" s="90"/>
      <c r="E824" s="90"/>
      <c r="F824" s="90"/>
      <c r="G824" s="90"/>
      <c r="H824" s="90"/>
      <c r="I824" s="90"/>
      <c r="J824" s="90"/>
      <c r="K824" s="90"/>
      <c r="L824" s="90"/>
      <c r="M824" s="864"/>
      <c r="N824" s="864"/>
      <c r="O824" s="864"/>
      <c r="P824" s="864"/>
      <c r="Q824" s="864"/>
      <c r="R824" s="864"/>
      <c r="S824" s="864"/>
      <c r="T824" s="864"/>
      <c r="U824" s="864"/>
      <c r="V824" s="864"/>
      <c r="W824" s="864"/>
      <c r="X824" s="90"/>
      <c r="Y824" s="90"/>
      <c r="Z824" s="90"/>
    </row>
    <row r="825" ht="15.75" customHeight="1">
      <c r="A825" s="90"/>
      <c r="B825" s="90"/>
      <c r="C825" s="864"/>
      <c r="D825" s="90"/>
      <c r="E825" s="90"/>
      <c r="F825" s="90"/>
      <c r="G825" s="90"/>
      <c r="H825" s="90"/>
      <c r="I825" s="90"/>
      <c r="J825" s="90"/>
      <c r="K825" s="90"/>
      <c r="L825" s="90"/>
      <c r="M825" s="864"/>
      <c r="N825" s="864"/>
      <c r="O825" s="864"/>
      <c r="P825" s="864"/>
      <c r="Q825" s="864"/>
      <c r="R825" s="864"/>
      <c r="S825" s="864"/>
      <c r="T825" s="864"/>
      <c r="U825" s="864"/>
      <c r="V825" s="864"/>
      <c r="W825" s="864"/>
      <c r="X825" s="90"/>
      <c r="Y825" s="90"/>
      <c r="Z825" s="90"/>
    </row>
    <row r="826" ht="15.75" customHeight="1">
      <c r="A826" s="90"/>
      <c r="B826" s="90"/>
      <c r="C826" s="864"/>
      <c r="D826" s="90"/>
      <c r="E826" s="90"/>
      <c r="F826" s="90"/>
      <c r="G826" s="90"/>
      <c r="H826" s="90"/>
      <c r="I826" s="90"/>
      <c r="J826" s="90"/>
      <c r="K826" s="90"/>
      <c r="L826" s="90"/>
      <c r="M826" s="864"/>
      <c r="N826" s="864"/>
      <c r="O826" s="864"/>
      <c r="P826" s="864"/>
      <c r="Q826" s="864"/>
      <c r="R826" s="864"/>
      <c r="S826" s="864"/>
      <c r="T826" s="864"/>
      <c r="U826" s="864"/>
      <c r="V826" s="864"/>
      <c r="W826" s="864"/>
      <c r="X826" s="90"/>
      <c r="Y826" s="90"/>
      <c r="Z826" s="90"/>
    </row>
    <row r="827" ht="15.75" customHeight="1">
      <c r="A827" s="90"/>
      <c r="B827" s="90"/>
      <c r="C827" s="864"/>
      <c r="D827" s="90"/>
      <c r="E827" s="90"/>
      <c r="F827" s="90"/>
      <c r="G827" s="90"/>
      <c r="H827" s="90"/>
      <c r="I827" s="90"/>
      <c r="J827" s="90"/>
      <c r="K827" s="90"/>
      <c r="L827" s="90"/>
      <c r="M827" s="864"/>
      <c r="N827" s="864"/>
      <c r="O827" s="864"/>
      <c r="P827" s="864"/>
      <c r="Q827" s="864"/>
      <c r="R827" s="864"/>
      <c r="S827" s="864"/>
      <c r="T827" s="864"/>
      <c r="U827" s="864"/>
      <c r="V827" s="864"/>
      <c r="W827" s="864"/>
      <c r="X827" s="90"/>
      <c r="Y827" s="90"/>
      <c r="Z827" s="90"/>
    </row>
    <row r="828" ht="15.75" customHeight="1">
      <c r="A828" s="90"/>
      <c r="B828" s="90"/>
      <c r="C828" s="864"/>
      <c r="D828" s="90"/>
      <c r="E828" s="90"/>
      <c r="F828" s="90"/>
      <c r="G828" s="90"/>
      <c r="H828" s="90"/>
      <c r="I828" s="90"/>
      <c r="J828" s="90"/>
      <c r="K828" s="90"/>
      <c r="L828" s="90"/>
      <c r="M828" s="864"/>
      <c r="N828" s="864"/>
      <c r="O828" s="864"/>
      <c r="P828" s="864"/>
      <c r="Q828" s="864"/>
      <c r="R828" s="864"/>
      <c r="S828" s="864"/>
      <c r="T828" s="864"/>
      <c r="U828" s="864"/>
      <c r="V828" s="864"/>
      <c r="W828" s="864"/>
      <c r="X828" s="90"/>
      <c r="Y828" s="90"/>
      <c r="Z828" s="90"/>
    </row>
    <row r="829" ht="15.75" customHeight="1">
      <c r="A829" s="90"/>
      <c r="B829" s="90"/>
      <c r="C829" s="864"/>
      <c r="D829" s="90"/>
      <c r="E829" s="90"/>
      <c r="F829" s="90"/>
      <c r="G829" s="90"/>
      <c r="H829" s="90"/>
      <c r="I829" s="90"/>
      <c r="J829" s="90"/>
      <c r="K829" s="90"/>
      <c r="L829" s="90"/>
      <c r="M829" s="864"/>
      <c r="N829" s="864"/>
      <c r="O829" s="864"/>
      <c r="P829" s="864"/>
      <c r="Q829" s="864"/>
      <c r="R829" s="864"/>
      <c r="S829" s="864"/>
      <c r="T829" s="864"/>
      <c r="U829" s="864"/>
      <c r="V829" s="864"/>
      <c r="W829" s="864"/>
      <c r="X829" s="90"/>
      <c r="Y829" s="90"/>
      <c r="Z829" s="90"/>
    </row>
    <row r="830" ht="15.75" customHeight="1">
      <c r="A830" s="90"/>
      <c r="B830" s="90"/>
      <c r="C830" s="864"/>
      <c r="D830" s="90"/>
      <c r="E830" s="90"/>
      <c r="F830" s="90"/>
      <c r="G830" s="90"/>
      <c r="H830" s="90"/>
      <c r="I830" s="90"/>
      <c r="J830" s="90"/>
      <c r="K830" s="90"/>
      <c r="L830" s="90"/>
      <c r="M830" s="864"/>
      <c r="N830" s="864"/>
      <c r="O830" s="864"/>
      <c r="P830" s="864"/>
      <c r="Q830" s="864"/>
      <c r="R830" s="864"/>
      <c r="S830" s="864"/>
      <c r="T830" s="864"/>
      <c r="U830" s="864"/>
      <c r="V830" s="864"/>
      <c r="W830" s="864"/>
      <c r="X830" s="90"/>
      <c r="Y830" s="90"/>
      <c r="Z830" s="90"/>
    </row>
    <row r="831" ht="15.75" customHeight="1">
      <c r="A831" s="90"/>
      <c r="B831" s="90"/>
      <c r="C831" s="864"/>
      <c r="D831" s="90"/>
      <c r="E831" s="90"/>
      <c r="F831" s="90"/>
      <c r="G831" s="90"/>
      <c r="H831" s="90"/>
      <c r="I831" s="90"/>
      <c r="J831" s="90"/>
      <c r="K831" s="90"/>
      <c r="L831" s="90"/>
      <c r="M831" s="864"/>
      <c r="N831" s="864"/>
      <c r="O831" s="864"/>
      <c r="P831" s="864"/>
      <c r="Q831" s="864"/>
      <c r="R831" s="864"/>
      <c r="S831" s="864"/>
      <c r="T831" s="864"/>
      <c r="U831" s="864"/>
      <c r="V831" s="864"/>
      <c r="W831" s="864"/>
      <c r="X831" s="90"/>
      <c r="Y831" s="90"/>
      <c r="Z831" s="90"/>
    </row>
    <row r="832" ht="15.75" customHeight="1">
      <c r="A832" s="90"/>
      <c r="B832" s="90"/>
      <c r="C832" s="864"/>
      <c r="D832" s="90"/>
      <c r="E832" s="90"/>
      <c r="F832" s="90"/>
      <c r="G832" s="90"/>
      <c r="H832" s="90"/>
      <c r="I832" s="90"/>
      <c r="J832" s="90"/>
      <c r="K832" s="90"/>
      <c r="L832" s="90"/>
      <c r="M832" s="864"/>
      <c r="N832" s="864"/>
      <c r="O832" s="864"/>
      <c r="P832" s="864"/>
      <c r="Q832" s="864"/>
      <c r="R832" s="864"/>
      <c r="S832" s="864"/>
      <c r="T832" s="864"/>
      <c r="U832" s="864"/>
      <c r="V832" s="864"/>
      <c r="W832" s="864"/>
      <c r="X832" s="90"/>
      <c r="Y832" s="90"/>
      <c r="Z832" s="90"/>
    </row>
    <row r="833" ht="15.75" customHeight="1">
      <c r="A833" s="90"/>
      <c r="B833" s="90"/>
      <c r="C833" s="864"/>
      <c r="D833" s="90"/>
      <c r="E833" s="90"/>
      <c r="F833" s="90"/>
      <c r="G833" s="90"/>
      <c r="H833" s="90"/>
      <c r="I833" s="90"/>
      <c r="J833" s="90"/>
      <c r="K833" s="90"/>
      <c r="L833" s="90"/>
      <c r="M833" s="864"/>
      <c r="N833" s="864"/>
      <c r="O833" s="864"/>
      <c r="P833" s="864"/>
      <c r="Q833" s="864"/>
      <c r="R833" s="864"/>
      <c r="S833" s="864"/>
      <c r="T833" s="864"/>
      <c r="U833" s="864"/>
      <c r="V833" s="864"/>
      <c r="W833" s="864"/>
      <c r="X833" s="90"/>
      <c r="Y833" s="90"/>
      <c r="Z833" s="90"/>
    </row>
    <row r="834" ht="15.75" customHeight="1">
      <c r="A834" s="90"/>
      <c r="B834" s="90"/>
      <c r="C834" s="864"/>
      <c r="D834" s="90"/>
      <c r="E834" s="90"/>
      <c r="F834" s="90"/>
      <c r="G834" s="90"/>
      <c r="H834" s="90"/>
      <c r="I834" s="90"/>
      <c r="J834" s="90"/>
      <c r="K834" s="90"/>
      <c r="L834" s="90"/>
      <c r="M834" s="864"/>
      <c r="N834" s="864"/>
      <c r="O834" s="864"/>
      <c r="P834" s="864"/>
      <c r="Q834" s="864"/>
      <c r="R834" s="864"/>
      <c r="S834" s="864"/>
      <c r="T834" s="864"/>
      <c r="U834" s="864"/>
      <c r="V834" s="864"/>
      <c r="W834" s="864"/>
      <c r="X834" s="90"/>
      <c r="Y834" s="90"/>
      <c r="Z834" s="90"/>
    </row>
    <row r="835" ht="15.75" customHeight="1">
      <c r="A835" s="90"/>
      <c r="B835" s="90"/>
      <c r="C835" s="864"/>
      <c r="D835" s="90"/>
      <c r="E835" s="90"/>
      <c r="F835" s="90"/>
      <c r="G835" s="90"/>
      <c r="H835" s="90"/>
      <c r="I835" s="90"/>
      <c r="J835" s="90"/>
      <c r="K835" s="90"/>
      <c r="L835" s="90"/>
      <c r="M835" s="864"/>
      <c r="N835" s="864"/>
      <c r="O835" s="864"/>
      <c r="P835" s="864"/>
      <c r="Q835" s="864"/>
      <c r="R835" s="864"/>
      <c r="S835" s="864"/>
      <c r="T835" s="864"/>
      <c r="U835" s="864"/>
      <c r="V835" s="864"/>
      <c r="W835" s="864"/>
      <c r="X835" s="90"/>
      <c r="Y835" s="90"/>
      <c r="Z835" s="90"/>
    </row>
    <row r="836" ht="15.75" customHeight="1">
      <c r="A836" s="90"/>
      <c r="B836" s="90"/>
      <c r="C836" s="864"/>
      <c r="D836" s="90"/>
      <c r="E836" s="90"/>
      <c r="F836" s="90"/>
      <c r="G836" s="90"/>
      <c r="H836" s="90"/>
      <c r="I836" s="90"/>
      <c r="J836" s="90"/>
      <c r="K836" s="90"/>
      <c r="L836" s="90"/>
      <c r="M836" s="864"/>
      <c r="N836" s="864"/>
      <c r="O836" s="864"/>
      <c r="P836" s="864"/>
      <c r="Q836" s="864"/>
      <c r="R836" s="864"/>
      <c r="S836" s="864"/>
      <c r="T836" s="864"/>
      <c r="U836" s="864"/>
      <c r="V836" s="864"/>
      <c r="W836" s="864"/>
      <c r="X836" s="90"/>
      <c r="Y836" s="90"/>
      <c r="Z836" s="90"/>
    </row>
    <row r="837" ht="15.75" customHeight="1">
      <c r="A837" s="90"/>
      <c r="B837" s="90"/>
      <c r="C837" s="864"/>
      <c r="D837" s="90"/>
      <c r="E837" s="90"/>
      <c r="F837" s="90"/>
      <c r="G837" s="90"/>
      <c r="H837" s="90"/>
      <c r="I837" s="90"/>
      <c r="J837" s="90"/>
      <c r="K837" s="90"/>
      <c r="L837" s="90"/>
      <c r="M837" s="864"/>
      <c r="N837" s="864"/>
      <c r="O837" s="864"/>
      <c r="P837" s="864"/>
      <c r="Q837" s="864"/>
      <c r="R837" s="864"/>
      <c r="S837" s="864"/>
      <c r="T837" s="864"/>
      <c r="U837" s="864"/>
      <c r="V837" s="864"/>
      <c r="W837" s="864"/>
      <c r="X837" s="90"/>
      <c r="Y837" s="90"/>
      <c r="Z837" s="90"/>
    </row>
    <row r="838" ht="15.75" customHeight="1">
      <c r="A838" s="90"/>
      <c r="B838" s="90"/>
      <c r="C838" s="864"/>
      <c r="D838" s="90"/>
      <c r="E838" s="90"/>
      <c r="F838" s="90"/>
      <c r="G838" s="90"/>
      <c r="H838" s="90"/>
      <c r="I838" s="90"/>
      <c r="J838" s="90"/>
      <c r="K838" s="90"/>
      <c r="L838" s="90"/>
      <c r="M838" s="864"/>
      <c r="N838" s="864"/>
      <c r="O838" s="864"/>
      <c r="P838" s="864"/>
      <c r="Q838" s="864"/>
      <c r="R838" s="864"/>
      <c r="S838" s="864"/>
      <c r="T838" s="864"/>
      <c r="U838" s="864"/>
      <c r="V838" s="864"/>
      <c r="W838" s="864"/>
      <c r="X838" s="90"/>
      <c r="Y838" s="90"/>
      <c r="Z838" s="90"/>
    </row>
    <row r="839" ht="15.75" customHeight="1">
      <c r="A839" s="90"/>
      <c r="B839" s="90"/>
      <c r="C839" s="864"/>
      <c r="D839" s="90"/>
      <c r="E839" s="90"/>
      <c r="F839" s="90"/>
      <c r="G839" s="90"/>
      <c r="H839" s="90"/>
      <c r="I839" s="90"/>
      <c r="J839" s="90"/>
      <c r="K839" s="90"/>
      <c r="L839" s="90"/>
      <c r="M839" s="864"/>
      <c r="N839" s="864"/>
      <c r="O839" s="864"/>
      <c r="P839" s="864"/>
      <c r="Q839" s="864"/>
      <c r="R839" s="864"/>
      <c r="S839" s="864"/>
      <c r="T839" s="864"/>
      <c r="U839" s="864"/>
      <c r="V839" s="864"/>
      <c r="W839" s="864"/>
      <c r="X839" s="90"/>
      <c r="Y839" s="90"/>
      <c r="Z839" s="90"/>
    </row>
    <row r="840" ht="15.75" customHeight="1">
      <c r="A840" s="90"/>
      <c r="B840" s="90"/>
      <c r="C840" s="864"/>
      <c r="D840" s="90"/>
      <c r="E840" s="90"/>
      <c r="F840" s="90"/>
      <c r="G840" s="90"/>
      <c r="H840" s="90"/>
      <c r="I840" s="90"/>
      <c r="J840" s="90"/>
      <c r="K840" s="90"/>
      <c r="L840" s="90"/>
      <c r="M840" s="864"/>
      <c r="N840" s="864"/>
      <c r="O840" s="864"/>
      <c r="P840" s="864"/>
      <c r="Q840" s="864"/>
      <c r="R840" s="864"/>
      <c r="S840" s="864"/>
      <c r="T840" s="864"/>
      <c r="U840" s="864"/>
      <c r="V840" s="864"/>
      <c r="W840" s="864"/>
      <c r="X840" s="90"/>
      <c r="Y840" s="90"/>
      <c r="Z840" s="90"/>
    </row>
    <row r="841" ht="15.75" customHeight="1">
      <c r="A841" s="90"/>
      <c r="B841" s="90"/>
      <c r="C841" s="864"/>
      <c r="D841" s="90"/>
      <c r="E841" s="90"/>
      <c r="F841" s="90"/>
      <c r="G841" s="90"/>
      <c r="H841" s="90"/>
      <c r="I841" s="90"/>
      <c r="J841" s="90"/>
      <c r="K841" s="90"/>
      <c r="L841" s="90"/>
      <c r="M841" s="864"/>
      <c r="N841" s="864"/>
      <c r="O841" s="864"/>
      <c r="P841" s="864"/>
      <c r="Q841" s="864"/>
      <c r="R841" s="864"/>
      <c r="S841" s="864"/>
      <c r="T841" s="864"/>
      <c r="U841" s="864"/>
      <c r="V841" s="864"/>
      <c r="W841" s="864"/>
      <c r="X841" s="90"/>
      <c r="Y841" s="90"/>
      <c r="Z841" s="90"/>
    </row>
    <row r="842" ht="15.75" customHeight="1">
      <c r="A842" s="90"/>
      <c r="B842" s="90"/>
      <c r="C842" s="864"/>
      <c r="D842" s="90"/>
      <c r="E842" s="90"/>
      <c r="F842" s="90"/>
      <c r="G842" s="90"/>
      <c r="H842" s="90"/>
      <c r="I842" s="90"/>
      <c r="J842" s="90"/>
      <c r="K842" s="90"/>
      <c r="L842" s="90"/>
      <c r="M842" s="864"/>
      <c r="N842" s="864"/>
      <c r="O842" s="864"/>
      <c r="P842" s="864"/>
      <c r="Q842" s="864"/>
      <c r="R842" s="864"/>
      <c r="S842" s="864"/>
      <c r="T842" s="864"/>
      <c r="U842" s="864"/>
      <c r="V842" s="864"/>
      <c r="W842" s="864"/>
      <c r="X842" s="90"/>
      <c r="Y842" s="90"/>
      <c r="Z842" s="90"/>
    </row>
    <row r="843" ht="15.75" customHeight="1">
      <c r="A843" s="90"/>
      <c r="B843" s="90"/>
      <c r="C843" s="864"/>
      <c r="D843" s="90"/>
      <c r="E843" s="90"/>
      <c r="F843" s="90"/>
      <c r="G843" s="90"/>
      <c r="H843" s="90"/>
      <c r="I843" s="90"/>
      <c r="J843" s="90"/>
      <c r="K843" s="90"/>
      <c r="L843" s="90"/>
      <c r="M843" s="864"/>
      <c r="N843" s="864"/>
      <c r="O843" s="864"/>
      <c r="P843" s="864"/>
      <c r="Q843" s="864"/>
      <c r="R843" s="864"/>
      <c r="S843" s="864"/>
      <c r="T843" s="864"/>
      <c r="U843" s="864"/>
      <c r="V843" s="864"/>
      <c r="W843" s="864"/>
      <c r="X843" s="90"/>
      <c r="Y843" s="90"/>
      <c r="Z843" s="90"/>
    </row>
    <row r="844" ht="15.75" customHeight="1">
      <c r="A844" s="90"/>
      <c r="B844" s="90"/>
      <c r="C844" s="864"/>
      <c r="D844" s="90"/>
      <c r="E844" s="90"/>
      <c r="F844" s="90"/>
      <c r="G844" s="90"/>
      <c r="H844" s="90"/>
      <c r="I844" s="90"/>
      <c r="J844" s="90"/>
      <c r="K844" s="90"/>
      <c r="L844" s="90"/>
      <c r="M844" s="864"/>
      <c r="N844" s="864"/>
      <c r="O844" s="864"/>
      <c r="P844" s="864"/>
      <c r="Q844" s="864"/>
      <c r="R844" s="864"/>
      <c r="S844" s="864"/>
      <c r="T844" s="864"/>
      <c r="U844" s="864"/>
      <c r="V844" s="864"/>
      <c r="W844" s="864"/>
      <c r="X844" s="90"/>
      <c r="Y844" s="90"/>
      <c r="Z844" s="90"/>
    </row>
    <row r="845" ht="15.75" customHeight="1">
      <c r="A845" s="90"/>
      <c r="B845" s="90"/>
      <c r="C845" s="864"/>
      <c r="D845" s="90"/>
      <c r="E845" s="90"/>
      <c r="F845" s="90"/>
      <c r="G845" s="90"/>
      <c r="H845" s="90"/>
      <c r="I845" s="90"/>
      <c r="J845" s="90"/>
      <c r="K845" s="90"/>
      <c r="L845" s="90"/>
      <c r="M845" s="864"/>
      <c r="N845" s="864"/>
      <c r="O845" s="864"/>
      <c r="P845" s="864"/>
      <c r="Q845" s="864"/>
      <c r="R845" s="864"/>
      <c r="S845" s="864"/>
      <c r="T845" s="864"/>
      <c r="U845" s="864"/>
      <c r="V845" s="864"/>
      <c r="W845" s="864"/>
      <c r="X845" s="90"/>
      <c r="Y845" s="90"/>
      <c r="Z845" s="90"/>
    </row>
    <row r="846" ht="15.75" customHeight="1">
      <c r="A846" s="90"/>
      <c r="B846" s="90"/>
      <c r="C846" s="864"/>
      <c r="D846" s="90"/>
      <c r="E846" s="90"/>
      <c r="F846" s="90"/>
      <c r="G846" s="90"/>
      <c r="H846" s="90"/>
      <c r="I846" s="90"/>
      <c r="J846" s="90"/>
      <c r="K846" s="90"/>
      <c r="L846" s="90"/>
      <c r="M846" s="864"/>
      <c r="N846" s="864"/>
      <c r="O846" s="864"/>
      <c r="P846" s="864"/>
      <c r="Q846" s="864"/>
      <c r="R846" s="864"/>
      <c r="S846" s="864"/>
      <c r="T846" s="864"/>
      <c r="U846" s="864"/>
      <c r="V846" s="864"/>
      <c r="W846" s="864"/>
      <c r="X846" s="90"/>
      <c r="Y846" s="90"/>
      <c r="Z846" s="90"/>
    </row>
    <row r="847" ht="15.75" customHeight="1">
      <c r="A847" s="90"/>
      <c r="B847" s="90"/>
      <c r="C847" s="864"/>
      <c r="D847" s="90"/>
      <c r="E847" s="90"/>
      <c r="F847" s="90"/>
      <c r="G847" s="90"/>
      <c r="H847" s="90"/>
      <c r="I847" s="90"/>
      <c r="J847" s="90"/>
      <c r="K847" s="90"/>
      <c r="L847" s="90"/>
      <c r="M847" s="864"/>
      <c r="N847" s="864"/>
      <c r="O847" s="864"/>
      <c r="P847" s="864"/>
      <c r="Q847" s="864"/>
      <c r="R847" s="864"/>
      <c r="S847" s="864"/>
      <c r="T847" s="864"/>
      <c r="U847" s="864"/>
      <c r="V847" s="864"/>
      <c r="W847" s="864"/>
      <c r="X847" s="90"/>
      <c r="Y847" s="90"/>
      <c r="Z847" s="90"/>
    </row>
    <row r="848" ht="15.75" customHeight="1">
      <c r="A848" s="90"/>
      <c r="B848" s="90"/>
      <c r="C848" s="864"/>
      <c r="D848" s="90"/>
      <c r="E848" s="90"/>
      <c r="F848" s="90"/>
      <c r="G848" s="90"/>
      <c r="H848" s="90"/>
      <c r="I848" s="90"/>
      <c r="J848" s="90"/>
      <c r="K848" s="90"/>
      <c r="L848" s="90"/>
      <c r="M848" s="864"/>
      <c r="N848" s="864"/>
      <c r="O848" s="864"/>
      <c r="P848" s="864"/>
      <c r="Q848" s="864"/>
      <c r="R848" s="864"/>
      <c r="S848" s="864"/>
      <c r="T848" s="864"/>
      <c r="U848" s="864"/>
      <c r="V848" s="864"/>
      <c r="W848" s="864"/>
      <c r="X848" s="90"/>
      <c r="Y848" s="90"/>
      <c r="Z848" s="90"/>
    </row>
    <row r="849" ht="15.75" customHeight="1">
      <c r="A849" s="90"/>
      <c r="B849" s="90"/>
      <c r="C849" s="864"/>
      <c r="D849" s="90"/>
      <c r="E849" s="90"/>
      <c r="F849" s="90"/>
      <c r="G849" s="90"/>
      <c r="H849" s="90"/>
      <c r="I849" s="90"/>
      <c r="J849" s="90"/>
      <c r="K849" s="90"/>
      <c r="L849" s="90"/>
      <c r="M849" s="864"/>
      <c r="N849" s="864"/>
      <c r="O849" s="864"/>
      <c r="P849" s="864"/>
      <c r="Q849" s="864"/>
      <c r="R849" s="864"/>
      <c r="S849" s="864"/>
      <c r="T849" s="864"/>
      <c r="U849" s="864"/>
      <c r="V849" s="864"/>
      <c r="W849" s="864"/>
      <c r="X849" s="90"/>
      <c r="Y849" s="90"/>
      <c r="Z849" s="90"/>
    </row>
    <row r="850" ht="15.75" customHeight="1">
      <c r="A850" s="90"/>
      <c r="B850" s="90"/>
      <c r="C850" s="864"/>
      <c r="D850" s="90"/>
      <c r="E850" s="90"/>
      <c r="F850" s="90"/>
      <c r="G850" s="90"/>
      <c r="H850" s="90"/>
      <c r="I850" s="90"/>
      <c r="J850" s="90"/>
      <c r="K850" s="90"/>
      <c r="L850" s="90"/>
      <c r="M850" s="864"/>
      <c r="N850" s="864"/>
      <c r="O850" s="864"/>
      <c r="P850" s="864"/>
      <c r="Q850" s="864"/>
      <c r="R850" s="864"/>
      <c r="S850" s="864"/>
      <c r="T850" s="864"/>
      <c r="U850" s="864"/>
      <c r="V850" s="864"/>
      <c r="W850" s="864"/>
      <c r="X850" s="90"/>
      <c r="Y850" s="90"/>
      <c r="Z850" s="90"/>
    </row>
    <row r="851" ht="15.75" customHeight="1">
      <c r="A851" s="90"/>
      <c r="B851" s="90"/>
      <c r="C851" s="864"/>
      <c r="D851" s="90"/>
      <c r="E851" s="90"/>
      <c r="F851" s="90"/>
      <c r="G851" s="90"/>
      <c r="H851" s="90"/>
      <c r="I851" s="90"/>
      <c r="J851" s="90"/>
      <c r="K851" s="90"/>
      <c r="L851" s="90"/>
      <c r="M851" s="864"/>
      <c r="N851" s="864"/>
      <c r="O851" s="864"/>
      <c r="P851" s="864"/>
      <c r="Q851" s="864"/>
      <c r="R851" s="864"/>
      <c r="S851" s="864"/>
      <c r="T851" s="864"/>
      <c r="U851" s="864"/>
      <c r="V851" s="864"/>
      <c r="W851" s="864"/>
      <c r="X851" s="90"/>
      <c r="Y851" s="90"/>
      <c r="Z851" s="90"/>
    </row>
    <row r="852" ht="15.75" customHeight="1">
      <c r="A852" s="90"/>
      <c r="B852" s="90"/>
      <c r="C852" s="864"/>
      <c r="D852" s="90"/>
      <c r="E852" s="90"/>
      <c r="F852" s="90"/>
      <c r="G852" s="90"/>
      <c r="H852" s="90"/>
      <c r="I852" s="90"/>
      <c r="J852" s="90"/>
      <c r="K852" s="90"/>
      <c r="L852" s="90"/>
      <c r="M852" s="864"/>
      <c r="N852" s="864"/>
      <c r="O852" s="864"/>
      <c r="P852" s="864"/>
      <c r="Q852" s="864"/>
      <c r="R852" s="864"/>
      <c r="S852" s="864"/>
      <c r="T852" s="864"/>
      <c r="U852" s="864"/>
      <c r="V852" s="864"/>
      <c r="W852" s="864"/>
      <c r="X852" s="90"/>
      <c r="Y852" s="90"/>
      <c r="Z852" s="90"/>
    </row>
    <row r="853" ht="15.75" customHeight="1">
      <c r="A853" s="90"/>
      <c r="B853" s="90"/>
      <c r="C853" s="864"/>
      <c r="D853" s="90"/>
      <c r="E853" s="90"/>
      <c r="F853" s="90"/>
      <c r="G853" s="90"/>
      <c r="H853" s="90"/>
      <c r="I853" s="90"/>
      <c r="J853" s="90"/>
      <c r="K853" s="90"/>
      <c r="L853" s="90"/>
      <c r="M853" s="864"/>
      <c r="N853" s="864"/>
      <c r="O853" s="864"/>
      <c r="P853" s="864"/>
      <c r="Q853" s="864"/>
      <c r="R853" s="864"/>
      <c r="S853" s="864"/>
      <c r="T853" s="864"/>
      <c r="U853" s="864"/>
      <c r="V853" s="864"/>
      <c r="W853" s="864"/>
      <c r="X853" s="90"/>
      <c r="Y853" s="90"/>
      <c r="Z853" s="90"/>
    </row>
    <row r="854" ht="15.75" customHeight="1">
      <c r="A854" s="90"/>
      <c r="B854" s="90"/>
      <c r="C854" s="864"/>
      <c r="D854" s="90"/>
      <c r="E854" s="90"/>
      <c r="F854" s="90"/>
      <c r="G854" s="90"/>
      <c r="H854" s="90"/>
      <c r="I854" s="90"/>
      <c r="J854" s="90"/>
      <c r="K854" s="90"/>
      <c r="L854" s="90"/>
      <c r="M854" s="864"/>
      <c r="N854" s="864"/>
      <c r="O854" s="864"/>
      <c r="P854" s="864"/>
      <c r="Q854" s="864"/>
      <c r="R854" s="864"/>
      <c r="S854" s="864"/>
      <c r="T854" s="864"/>
      <c r="U854" s="864"/>
      <c r="V854" s="864"/>
      <c r="W854" s="864"/>
      <c r="X854" s="90"/>
      <c r="Y854" s="90"/>
      <c r="Z854" s="90"/>
    </row>
    <row r="855" ht="15.75" customHeight="1">
      <c r="A855" s="90"/>
      <c r="B855" s="90"/>
      <c r="C855" s="864"/>
      <c r="D855" s="90"/>
      <c r="E855" s="90"/>
      <c r="F855" s="90"/>
      <c r="G855" s="90"/>
      <c r="H855" s="90"/>
      <c r="I855" s="90"/>
      <c r="J855" s="90"/>
      <c r="K855" s="90"/>
      <c r="L855" s="90"/>
      <c r="M855" s="864"/>
      <c r="N855" s="864"/>
      <c r="O855" s="864"/>
      <c r="P855" s="864"/>
      <c r="Q855" s="864"/>
      <c r="R855" s="864"/>
      <c r="S855" s="864"/>
      <c r="T855" s="864"/>
      <c r="U855" s="864"/>
      <c r="V855" s="864"/>
      <c r="W855" s="864"/>
      <c r="X855" s="90"/>
      <c r="Y855" s="90"/>
      <c r="Z855" s="90"/>
    </row>
    <row r="856" ht="15.75" customHeight="1">
      <c r="A856" s="90"/>
      <c r="B856" s="90"/>
      <c r="C856" s="864"/>
      <c r="D856" s="90"/>
      <c r="E856" s="90"/>
      <c r="F856" s="90"/>
      <c r="G856" s="90"/>
      <c r="H856" s="90"/>
      <c r="I856" s="90"/>
      <c r="J856" s="90"/>
      <c r="K856" s="90"/>
      <c r="L856" s="90"/>
      <c r="M856" s="864"/>
      <c r="N856" s="864"/>
      <c r="O856" s="864"/>
      <c r="P856" s="864"/>
      <c r="Q856" s="864"/>
      <c r="R856" s="864"/>
      <c r="S856" s="864"/>
      <c r="T856" s="864"/>
      <c r="U856" s="864"/>
      <c r="V856" s="864"/>
      <c r="W856" s="864"/>
      <c r="X856" s="90"/>
      <c r="Y856" s="90"/>
      <c r="Z856" s="90"/>
    </row>
    <row r="857" ht="15.75" customHeight="1">
      <c r="A857" s="90"/>
      <c r="B857" s="90"/>
      <c r="C857" s="864"/>
      <c r="D857" s="90"/>
      <c r="E857" s="90"/>
      <c r="F857" s="90"/>
      <c r="G857" s="90"/>
      <c r="H857" s="90"/>
      <c r="I857" s="90"/>
      <c r="J857" s="90"/>
      <c r="K857" s="90"/>
      <c r="L857" s="90"/>
      <c r="M857" s="864"/>
      <c r="N857" s="864"/>
      <c r="O857" s="864"/>
      <c r="P857" s="864"/>
      <c r="Q857" s="864"/>
      <c r="R857" s="864"/>
      <c r="S857" s="864"/>
      <c r="T857" s="864"/>
      <c r="U857" s="864"/>
      <c r="V857" s="864"/>
      <c r="W857" s="864"/>
      <c r="X857" s="90"/>
      <c r="Y857" s="90"/>
      <c r="Z857" s="90"/>
    </row>
    <row r="858" ht="15.75" customHeight="1">
      <c r="A858" s="90"/>
      <c r="B858" s="90"/>
      <c r="C858" s="864"/>
      <c r="D858" s="90"/>
      <c r="E858" s="90"/>
      <c r="F858" s="90"/>
      <c r="G858" s="90"/>
      <c r="H858" s="90"/>
      <c r="I858" s="90"/>
      <c r="J858" s="90"/>
      <c r="K858" s="90"/>
      <c r="L858" s="90"/>
      <c r="M858" s="864"/>
      <c r="N858" s="864"/>
      <c r="O858" s="864"/>
      <c r="P858" s="864"/>
      <c r="Q858" s="864"/>
      <c r="R858" s="864"/>
      <c r="S858" s="864"/>
      <c r="T858" s="864"/>
      <c r="U858" s="864"/>
      <c r="V858" s="864"/>
      <c r="W858" s="864"/>
      <c r="X858" s="90"/>
      <c r="Y858" s="90"/>
      <c r="Z858" s="90"/>
    </row>
    <row r="859" ht="15.75" customHeight="1">
      <c r="A859" s="90"/>
      <c r="B859" s="90"/>
      <c r="C859" s="864"/>
      <c r="D859" s="90"/>
      <c r="E859" s="90"/>
      <c r="F859" s="90"/>
      <c r="G859" s="90"/>
      <c r="H859" s="90"/>
      <c r="I859" s="90"/>
      <c r="J859" s="90"/>
      <c r="K859" s="90"/>
      <c r="L859" s="90"/>
      <c r="M859" s="864"/>
      <c r="N859" s="864"/>
      <c r="O859" s="864"/>
      <c r="P859" s="864"/>
      <c r="Q859" s="864"/>
      <c r="R859" s="864"/>
      <c r="S859" s="864"/>
      <c r="T859" s="864"/>
      <c r="U859" s="864"/>
      <c r="V859" s="864"/>
      <c r="W859" s="864"/>
      <c r="X859" s="90"/>
      <c r="Y859" s="90"/>
      <c r="Z859" s="90"/>
    </row>
    <row r="860" ht="15.75" customHeight="1">
      <c r="A860" s="90"/>
      <c r="B860" s="90"/>
      <c r="C860" s="864"/>
      <c r="D860" s="90"/>
      <c r="E860" s="90"/>
      <c r="F860" s="90"/>
      <c r="G860" s="90"/>
      <c r="H860" s="90"/>
      <c r="I860" s="90"/>
      <c r="J860" s="90"/>
      <c r="K860" s="90"/>
      <c r="L860" s="90"/>
      <c r="M860" s="864"/>
      <c r="N860" s="864"/>
      <c r="O860" s="864"/>
      <c r="P860" s="864"/>
      <c r="Q860" s="864"/>
      <c r="R860" s="864"/>
      <c r="S860" s="864"/>
      <c r="T860" s="864"/>
      <c r="U860" s="864"/>
      <c r="V860" s="864"/>
      <c r="W860" s="864"/>
      <c r="X860" s="90"/>
      <c r="Y860" s="90"/>
      <c r="Z860" s="90"/>
    </row>
    <row r="861" ht="15.75" customHeight="1">
      <c r="A861" s="90"/>
      <c r="B861" s="90"/>
      <c r="C861" s="864"/>
      <c r="D861" s="90"/>
      <c r="E861" s="90"/>
      <c r="F861" s="90"/>
      <c r="G861" s="90"/>
      <c r="H861" s="90"/>
      <c r="I861" s="90"/>
      <c r="J861" s="90"/>
      <c r="K861" s="90"/>
      <c r="L861" s="90"/>
      <c r="M861" s="864"/>
      <c r="N861" s="864"/>
      <c r="O861" s="864"/>
      <c r="P861" s="864"/>
      <c r="Q861" s="864"/>
      <c r="R861" s="864"/>
      <c r="S861" s="864"/>
      <c r="T861" s="864"/>
      <c r="U861" s="864"/>
      <c r="V861" s="864"/>
      <c r="W861" s="864"/>
      <c r="X861" s="90"/>
      <c r="Y861" s="90"/>
      <c r="Z861" s="90"/>
    </row>
    <row r="862" ht="15.75" customHeight="1">
      <c r="A862" s="90"/>
      <c r="B862" s="90"/>
      <c r="C862" s="864"/>
      <c r="D862" s="90"/>
      <c r="E862" s="90"/>
      <c r="F862" s="90"/>
      <c r="G862" s="90"/>
      <c r="H862" s="90"/>
      <c r="I862" s="90"/>
      <c r="J862" s="90"/>
      <c r="K862" s="90"/>
      <c r="L862" s="90"/>
      <c r="M862" s="864"/>
      <c r="N862" s="864"/>
      <c r="O862" s="864"/>
      <c r="P862" s="864"/>
      <c r="Q862" s="864"/>
      <c r="R862" s="864"/>
      <c r="S862" s="864"/>
      <c r="T862" s="864"/>
      <c r="U862" s="864"/>
      <c r="V862" s="864"/>
      <c r="W862" s="864"/>
      <c r="X862" s="90"/>
      <c r="Y862" s="90"/>
      <c r="Z862" s="90"/>
    </row>
    <row r="863" ht="15.75" customHeight="1">
      <c r="A863" s="90"/>
      <c r="B863" s="90"/>
      <c r="C863" s="864"/>
      <c r="D863" s="90"/>
      <c r="E863" s="90"/>
      <c r="F863" s="90"/>
      <c r="G863" s="90"/>
      <c r="H863" s="90"/>
      <c r="I863" s="90"/>
      <c r="J863" s="90"/>
      <c r="K863" s="90"/>
      <c r="L863" s="90"/>
      <c r="M863" s="864"/>
      <c r="N863" s="864"/>
      <c r="O863" s="864"/>
      <c r="P863" s="864"/>
      <c r="Q863" s="864"/>
      <c r="R863" s="864"/>
      <c r="S863" s="864"/>
      <c r="T863" s="864"/>
      <c r="U863" s="864"/>
      <c r="V863" s="864"/>
      <c r="W863" s="864"/>
      <c r="X863" s="90"/>
      <c r="Y863" s="90"/>
      <c r="Z863" s="90"/>
    </row>
    <row r="864" ht="15.75" customHeight="1">
      <c r="A864" s="90"/>
      <c r="B864" s="90"/>
      <c r="C864" s="864"/>
      <c r="D864" s="90"/>
      <c r="E864" s="90"/>
      <c r="F864" s="90"/>
      <c r="G864" s="90"/>
      <c r="H864" s="90"/>
      <c r="I864" s="90"/>
      <c r="J864" s="90"/>
      <c r="K864" s="90"/>
      <c r="L864" s="90"/>
      <c r="M864" s="864"/>
      <c r="N864" s="864"/>
      <c r="O864" s="864"/>
      <c r="P864" s="864"/>
      <c r="Q864" s="864"/>
      <c r="R864" s="864"/>
      <c r="S864" s="864"/>
      <c r="T864" s="864"/>
      <c r="U864" s="864"/>
      <c r="V864" s="864"/>
      <c r="W864" s="864"/>
      <c r="X864" s="90"/>
      <c r="Y864" s="90"/>
      <c r="Z864" s="90"/>
    </row>
    <row r="865" ht="15.75" customHeight="1">
      <c r="A865" s="90"/>
      <c r="B865" s="90"/>
      <c r="C865" s="864"/>
      <c r="D865" s="90"/>
      <c r="E865" s="90"/>
      <c r="F865" s="90"/>
      <c r="G865" s="90"/>
      <c r="H865" s="90"/>
      <c r="I865" s="90"/>
      <c r="J865" s="90"/>
      <c r="K865" s="90"/>
      <c r="L865" s="90"/>
      <c r="M865" s="864"/>
      <c r="N865" s="864"/>
      <c r="O865" s="864"/>
      <c r="P865" s="864"/>
      <c r="Q865" s="864"/>
      <c r="R865" s="864"/>
      <c r="S865" s="864"/>
      <c r="T865" s="864"/>
      <c r="U865" s="864"/>
      <c r="V865" s="864"/>
      <c r="W865" s="864"/>
      <c r="X865" s="90"/>
      <c r="Y865" s="90"/>
      <c r="Z865" s="90"/>
    </row>
    <row r="866" ht="15.75" customHeight="1">
      <c r="A866" s="90"/>
      <c r="B866" s="90"/>
      <c r="C866" s="864"/>
      <c r="D866" s="90"/>
      <c r="E866" s="90"/>
      <c r="F866" s="90"/>
      <c r="G866" s="90"/>
      <c r="H866" s="90"/>
      <c r="I866" s="90"/>
      <c r="J866" s="90"/>
      <c r="K866" s="90"/>
      <c r="L866" s="90"/>
      <c r="M866" s="864"/>
      <c r="N866" s="864"/>
      <c r="O866" s="864"/>
      <c r="P866" s="864"/>
      <c r="Q866" s="864"/>
      <c r="R866" s="864"/>
      <c r="S866" s="864"/>
      <c r="T866" s="864"/>
      <c r="U866" s="864"/>
      <c r="V866" s="864"/>
      <c r="W866" s="864"/>
      <c r="X866" s="90"/>
      <c r="Y866" s="90"/>
      <c r="Z866" s="90"/>
    </row>
    <row r="867" ht="15.75" customHeight="1">
      <c r="A867" s="90"/>
      <c r="B867" s="90"/>
      <c r="C867" s="864"/>
      <c r="D867" s="90"/>
      <c r="E867" s="90"/>
      <c r="F867" s="90"/>
      <c r="G867" s="90"/>
      <c r="H867" s="90"/>
      <c r="I867" s="90"/>
      <c r="J867" s="90"/>
      <c r="K867" s="90"/>
      <c r="L867" s="90"/>
      <c r="M867" s="864"/>
      <c r="N867" s="864"/>
      <c r="O867" s="864"/>
      <c r="P867" s="864"/>
      <c r="Q867" s="864"/>
      <c r="R867" s="864"/>
      <c r="S867" s="864"/>
      <c r="T867" s="864"/>
      <c r="U867" s="864"/>
      <c r="V867" s="864"/>
      <c r="W867" s="864"/>
      <c r="X867" s="90"/>
      <c r="Y867" s="90"/>
      <c r="Z867" s="90"/>
    </row>
    <row r="868" ht="15.75" customHeight="1">
      <c r="A868" s="90"/>
      <c r="B868" s="90"/>
      <c r="C868" s="864"/>
      <c r="D868" s="90"/>
      <c r="E868" s="90"/>
      <c r="F868" s="90"/>
      <c r="G868" s="90"/>
      <c r="H868" s="90"/>
      <c r="I868" s="90"/>
      <c r="J868" s="90"/>
      <c r="K868" s="90"/>
      <c r="L868" s="90"/>
      <c r="M868" s="864"/>
      <c r="N868" s="864"/>
      <c r="O868" s="864"/>
      <c r="P868" s="864"/>
      <c r="Q868" s="864"/>
      <c r="R868" s="864"/>
      <c r="S868" s="864"/>
      <c r="T868" s="864"/>
      <c r="U868" s="864"/>
      <c r="V868" s="864"/>
      <c r="W868" s="864"/>
      <c r="X868" s="90"/>
      <c r="Y868" s="90"/>
      <c r="Z868" s="90"/>
    </row>
    <row r="869" ht="15.75" customHeight="1">
      <c r="A869" s="90"/>
      <c r="B869" s="90"/>
      <c r="C869" s="864"/>
      <c r="D869" s="90"/>
      <c r="E869" s="90"/>
      <c r="F869" s="90"/>
      <c r="G869" s="90"/>
      <c r="H869" s="90"/>
      <c r="I869" s="90"/>
      <c r="J869" s="90"/>
      <c r="K869" s="90"/>
      <c r="L869" s="90"/>
      <c r="M869" s="864"/>
      <c r="N869" s="864"/>
      <c r="O869" s="864"/>
      <c r="P869" s="864"/>
      <c r="Q869" s="864"/>
      <c r="R869" s="864"/>
      <c r="S869" s="864"/>
      <c r="T869" s="864"/>
      <c r="U869" s="864"/>
      <c r="V869" s="864"/>
      <c r="W869" s="864"/>
      <c r="X869" s="90"/>
      <c r="Y869" s="90"/>
      <c r="Z869" s="90"/>
    </row>
    <row r="870" ht="15.75" customHeight="1">
      <c r="A870" s="90"/>
      <c r="B870" s="90"/>
      <c r="C870" s="864"/>
      <c r="D870" s="90"/>
      <c r="E870" s="90"/>
      <c r="F870" s="90"/>
      <c r="G870" s="90"/>
      <c r="H870" s="90"/>
      <c r="I870" s="90"/>
      <c r="J870" s="90"/>
      <c r="K870" s="90"/>
      <c r="L870" s="90"/>
      <c r="M870" s="864"/>
      <c r="N870" s="864"/>
      <c r="O870" s="864"/>
      <c r="P870" s="864"/>
      <c r="Q870" s="864"/>
      <c r="R870" s="864"/>
      <c r="S870" s="864"/>
      <c r="T870" s="864"/>
      <c r="U870" s="864"/>
      <c r="V870" s="864"/>
      <c r="W870" s="864"/>
      <c r="X870" s="90"/>
      <c r="Y870" s="90"/>
      <c r="Z870" s="90"/>
    </row>
    <row r="871" ht="15.75" customHeight="1">
      <c r="A871" s="90"/>
      <c r="B871" s="90"/>
      <c r="C871" s="864"/>
      <c r="D871" s="90"/>
      <c r="E871" s="90"/>
      <c r="F871" s="90"/>
      <c r="G871" s="90"/>
      <c r="H871" s="90"/>
      <c r="I871" s="90"/>
      <c r="J871" s="90"/>
      <c r="K871" s="90"/>
      <c r="L871" s="90"/>
      <c r="M871" s="864"/>
      <c r="N871" s="864"/>
      <c r="O871" s="864"/>
      <c r="P871" s="864"/>
      <c r="Q871" s="864"/>
      <c r="R871" s="864"/>
      <c r="S871" s="864"/>
      <c r="T871" s="864"/>
      <c r="U871" s="864"/>
      <c r="V871" s="864"/>
      <c r="W871" s="864"/>
      <c r="X871" s="90"/>
      <c r="Y871" s="90"/>
      <c r="Z871" s="90"/>
    </row>
    <row r="872" ht="15.75" customHeight="1">
      <c r="A872" s="90"/>
      <c r="B872" s="90"/>
      <c r="C872" s="864"/>
      <c r="D872" s="90"/>
      <c r="E872" s="90"/>
      <c r="F872" s="90"/>
      <c r="G872" s="90"/>
      <c r="H872" s="90"/>
      <c r="I872" s="90"/>
      <c r="J872" s="90"/>
      <c r="K872" s="90"/>
      <c r="L872" s="90"/>
      <c r="M872" s="864"/>
      <c r="N872" s="864"/>
      <c r="O872" s="864"/>
      <c r="P872" s="864"/>
      <c r="Q872" s="864"/>
      <c r="R872" s="864"/>
      <c r="S872" s="864"/>
      <c r="T872" s="864"/>
      <c r="U872" s="864"/>
      <c r="V872" s="864"/>
      <c r="W872" s="864"/>
      <c r="X872" s="90"/>
      <c r="Y872" s="90"/>
      <c r="Z872" s="90"/>
    </row>
    <row r="873" ht="15.75" customHeight="1">
      <c r="A873" s="90"/>
      <c r="B873" s="90"/>
      <c r="C873" s="864"/>
      <c r="D873" s="90"/>
      <c r="E873" s="90"/>
      <c r="F873" s="90"/>
      <c r="G873" s="90"/>
      <c r="H873" s="90"/>
      <c r="I873" s="90"/>
      <c r="J873" s="90"/>
      <c r="K873" s="90"/>
      <c r="L873" s="90"/>
      <c r="M873" s="864"/>
      <c r="N873" s="864"/>
      <c r="O873" s="864"/>
      <c r="P873" s="864"/>
      <c r="Q873" s="864"/>
      <c r="R873" s="864"/>
      <c r="S873" s="864"/>
      <c r="T873" s="864"/>
      <c r="U873" s="864"/>
      <c r="V873" s="864"/>
      <c r="W873" s="864"/>
      <c r="X873" s="90"/>
      <c r="Y873" s="90"/>
      <c r="Z873" s="90"/>
    </row>
    <row r="874" ht="15.75" customHeight="1">
      <c r="A874" s="90"/>
      <c r="B874" s="90"/>
      <c r="C874" s="864"/>
      <c r="D874" s="90"/>
      <c r="E874" s="90"/>
      <c r="F874" s="90"/>
      <c r="G874" s="90"/>
      <c r="H874" s="90"/>
      <c r="I874" s="90"/>
      <c r="J874" s="90"/>
      <c r="K874" s="90"/>
      <c r="L874" s="90"/>
      <c r="M874" s="864"/>
      <c r="N874" s="864"/>
      <c r="O874" s="864"/>
      <c r="P874" s="864"/>
      <c r="Q874" s="864"/>
      <c r="R874" s="864"/>
      <c r="S874" s="864"/>
      <c r="T874" s="864"/>
      <c r="U874" s="864"/>
      <c r="V874" s="864"/>
      <c r="W874" s="864"/>
      <c r="X874" s="90"/>
      <c r="Y874" s="90"/>
      <c r="Z874" s="90"/>
    </row>
    <row r="875" ht="15.75" customHeight="1">
      <c r="A875" s="90"/>
      <c r="B875" s="90"/>
      <c r="C875" s="864"/>
      <c r="D875" s="90"/>
      <c r="E875" s="90"/>
      <c r="F875" s="90"/>
      <c r="G875" s="90"/>
      <c r="H875" s="90"/>
      <c r="I875" s="90"/>
      <c r="J875" s="90"/>
      <c r="K875" s="90"/>
      <c r="L875" s="90"/>
      <c r="M875" s="864"/>
      <c r="N875" s="864"/>
      <c r="O875" s="864"/>
      <c r="P875" s="864"/>
      <c r="Q875" s="864"/>
      <c r="R875" s="864"/>
      <c r="S875" s="864"/>
      <c r="T875" s="864"/>
      <c r="U875" s="864"/>
      <c r="V875" s="864"/>
      <c r="W875" s="864"/>
      <c r="X875" s="90"/>
      <c r="Y875" s="90"/>
      <c r="Z875" s="90"/>
    </row>
    <row r="876" ht="15.75" customHeight="1">
      <c r="A876" s="90"/>
      <c r="B876" s="90"/>
      <c r="C876" s="864"/>
      <c r="D876" s="90"/>
      <c r="E876" s="90"/>
      <c r="F876" s="90"/>
      <c r="G876" s="90"/>
      <c r="H876" s="90"/>
      <c r="I876" s="90"/>
      <c r="J876" s="90"/>
      <c r="K876" s="90"/>
      <c r="L876" s="90"/>
      <c r="M876" s="864"/>
      <c r="N876" s="864"/>
      <c r="O876" s="864"/>
      <c r="P876" s="864"/>
      <c r="Q876" s="864"/>
      <c r="R876" s="864"/>
      <c r="S876" s="864"/>
      <c r="T876" s="864"/>
      <c r="U876" s="864"/>
      <c r="V876" s="864"/>
      <c r="W876" s="864"/>
      <c r="X876" s="90"/>
      <c r="Y876" s="90"/>
      <c r="Z876" s="90"/>
    </row>
    <row r="877" ht="15.75" customHeight="1">
      <c r="A877" s="90"/>
      <c r="B877" s="90"/>
      <c r="C877" s="864"/>
      <c r="D877" s="90"/>
      <c r="E877" s="90"/>
      <c r="F877" s="90"/>
      <c r="G877" s="90"/>
      <c r="H877" s="90"/>
      <c r="I877" s="90"/>
      <c r="J877" s="90"/>
      <c r="K877" s="90"/>
      <c r="L877" s="90"/>
      <c r="M877" s="864"/>
      <c r="N877" s="864"/>
      <c r="O877" s="864"/>
      <c r="P877" s="864"/>
      <c r="Q877" s="864"/>
      <c r="R877" s="864"/>
      <c r="S877" s="864"/>
      <c r="T877" s="864"/>
      <c r="U877" s="864"/>
      <c r="V877" s="864"/>
      <c r="W877" s="864"/>
      <c r="X877" s="90"/>
      <c r="Y877" s="90"/>
      <c r="Z877" s="90"/>
    </row>
    <row r="878" ht="15.75" customHeight="1">
      <c r="A878" s="90"/>
      <c r="B878" s="90"/>
      <c r="C878" s="864"/>
      <c r="D878" s="90"/>
      <c r="E878" s="90"/>
      <c r="F878" s="90"/>
      <c r="G878" s="90"/>
      <c r="H878" s="90"/>
      <c r="I878" s="90"/>
      <c r="J878" s="90"/>
      <c r="K878" s="90"/>
      <c r="L878" s="90"/>
      <c r="M878" s="864"/>
      <c r="N878" s="864"/>
      <c r="O878" s="864"/>
      <c r="P878" s="864"/>
      <c r="Q878" s="864"/>
      <c r="R878" s="864"/>
      <c r="S878" s="864"/>
      <c r="T878" s="864"/>
      <c r="U878" s="864"/>
      <c r="V878" s="864"/>
      <c r="W878" s="864"/>
      <c r="X878" s="90"/>
      <c r="Y878" s="90"/>
      <c r="Z878" s="90"/>
    </row>
    <row r="879" ht="15.75" customHeight="1">
      <c r="A879" s="90"/>
      <c r="B879" s="90"/>
      <c r="C879" s="864"/>
      <c r="D879" s="90"/>
      <c r="E879" s="90"/>
      <c r="F879" s="90"/>
      <c r="G879" s="90"/>
      <c r="H879" s="90"/>
      <c r="I879" s="90"/>
      <c r="J879" s="90"/>
      <c r="K879" s="90"/>
      <c r="L879" s="90"/>
      <c r="M879" s="864"/>
      <c r="N879" s="864"/>
      <c r="O879" s="864"/>
      <c r="P879" s="864"/>
      <c r="Q879" s="864"/>
      <c r="R879" s="864"/>
      <c r="S879" s="864"/>
      <c r="T879" s="864"/>
      <c r="U879" s="864"/>
      <c r="V879" s="864"/>
      <c r="W879" s="864"/>
      <c r="X879" s="90"/>
      <c r="Y879" s="90"/>
      <c r="Z879" s="90"/>
    </row>
    <row r="880" ht="15.75" customHeight="1">
      <c r="A880" s="90"/>
      <c r="B880" s="90"/>
      <c r="C880" s="864"/>
      <c r="D880" s="90"/>
      <c r="E880" s="90"/>
      <c r="F880" s="90"/>
      <c r="G880" s="90"/>
      <c r="H880" s="90"/>
      <c r="I880" s="90"/>
      <c r="J880" s="90"/>
      <c r="K880" s="90"/>
      <c r="L880" s="90"/>
      <c r="M880" s="864"/>
      <c r="N880" s="864"/>
      <c r="O880" s="864"/>
      <c r="P880" s="864"/>
      <c r="Q880" s="864"/>
      <c r="R880" s="864"/>
      <c r="S880" s="864"/>
      <c r="T880" s="864"/>
      <c r="U880" s="864"/>
      <c r="V880" s="864"/>
      <c r="W880" s="864"/>
      <c r="X880" s="90"/>
      <c r="Y880" s="90"/>
      <c r="Z880" s="90"/>
    </row>
    <row r="881" ht="15.75" customHeight="1">
      <c r="A881" s="90"/>
      <c r="B881" s="90"/>
      <c r="C881" s="864"/>
      <c r="D881" s="90"/>
      <c r="E881" s="90"/>
      <c r="F881" s="90"/>
      <c r="G881" s="90"/>
      <c r="H881" s="90"/>
      <c r="I881" s="90"/>
      <c r="J881" s="90"/>
      <c r="K881" s="90"/>
      <c r="L881" s="90"/>
      <c r="M881" s="864"/>
      <c r="N881" s="864"/>
      <c r="O881" s="864"/>
      <c r="P881" s="864"/>
      <c r="Q881" s="864"/>
      <c r="R881" s="864"/>
      <c r="S881" s="864"/>
      <c r="T881" s="864"/>
      <c r="U881" s="864"/>
      <c r="V881" s="864"/>
      <c r="W881" s="864"/>
      <c r="X881" s="90"/>
      <c r="Y881" s="90"/>
      <c r="Z881" s="90"/>
    </row>
    <row r="882" ht="15.75" customHeight="1">
      <c r="A882" s="90"/>
      <c r="B882" s="90"/>
      <c r="C882" s="864"/>
      <c r="D882" s="90"/>
      <c r="E882" s="90"/>
      <c r="F882" s="90"/>
      <c r="G882" s="90"/>
      <c r="H882" s="90"/>
      <c r="I882" s="90"/>
      <c r="J882" s="90"/>
      <c r="K882" s="90"/>
      <c r="L882" s="90"/>
      <c r="M882" s="864"/>
      <c r="N882" s="864"/>
      <c r="O882" s="864"/>
      <c r="P882" s="864"/>
      <c r="Q882" s="864"/>
      <c r="R882" s="864"/>
      <c r="S882" s="864"/>
      <c r="T882" s="864"/>
      <c r="U882" s="864"/>
      <c r="V882" s="864"/>
      <c r="W882" s="864"/>
      <c r="X882" s="90"/>
      <c r="Y882" s="90"/>
      <c r="Z882" s="90"/>
    </row>
    <row r="883" ht="15.75" customHeight="1">
      <c r="A883" s="90"/>
      <c r="B883" s="90"/>
      <c r="C883" s="864"/>
      <c r="D883" s="90"/>
      <c r="E883" s="90"/>
      <c r="F883" s="90"/>
      <c r="G883" s="90"/>
      <c r="H883" s="90"/>
      <c r="I883" s="90"/>
      <c r="J883" s="90"/>
      <c r="K883" s="90"/>
      <c r="L883" s="90"/>
      <c r="M883" s="864"/>
      <c r="N883" s="864"/>
      <c r="O883" s="864"/>
      <c r="P883" s="864"/>
      <c r="Q883" s="864"/>
      <c r="R883" s="864"/>
      <c r="S883" s="864"/>
      <c r="T883" s="864"/>
      <c r="U883" s="864"/>
      <c r="V883" s="864"/>
      <c r="W883" s="864"/>
      <c r="X883" s="90"/>
      <c r="Y883" s="90"/>
      <c r="Z883" s="90"/>
    </row>
    <row r="884" ht="15.75" customHeight="1">
      <c r="A884" s="90"/>
      <c r="B884" s="90"/>
      <c r="C884" s="864"/>
      <c r="D884" s="90"/>
      <c r="E884" s="90"/>
      <c r="F884" s="90"/>
      <c r="G884" s="90"/>
      <c r="H884" s="90"/>
      <c r="I884" s="90"/>
      <c r="J884" s="90"/>
      <c r="K884" s="90"/>
      <c r="L884" s="90"/>
      <c r="M884" s="864"/>
      <c r="N884" s="864"/>
      <c r="O884" s="864"/>
      <c r="P884" s="864"/>
      <c r="Q884" s="864"/>
      <c r="R884" s="864"/>
      <c r="S884" s="864"/>
      <c r="T884" s="864"/>
      <c r="U884" s="864"/>
      <c r="V884" s="864"/>
      <c r="W884" s="864"/>
      <c r="X884" s="90"/>
      <c r="Y884" s="90"/>
      <c r="Z884" s="90"/>
    </row>
    <row r="885" ht="15.75" customHeight="1">
      <c r="A885" s="90"/>
      <c r="B885" s="90"/>
      <c r="C885" s="864"/>
      <c r="D885" s="90"/>
      <c r="E885" s="90"/>
      <c r="F885" s="90"/>
      <c r="G885" s="90"/>
      <c r="H885" s="90"/>
      <c r="I885" s="90"/>
      <c r="J885" s="90"/>
      <c r="K885" s="90"/>
      <c r="L885" s="90"/>
      <c r="M885" s="864"/>
      <c r="N885" s="864"/>
      <c r="O885" s="864"/>
      <c r="P885" s="864"/>
      <c r="Q885" s="864"/>
      <c r="R885" s="864"/>
      <c r="S885" s="864"/>
      <c r="T885" s="864"/>
      <c r="U885" s="864"/>
      <c r="V885" s="864"/>
      <c r="W885" s="864"/>
      <c r="X885" s="90"/>
      <c r="Y885" s="90"/>
      <c r="Z885" s="90"/>
    </row>
    <row r="886" ht="15.75" customHeight="1">
      <c r="A886" s="90"/>
      <c r="B886" s="90"/>
      <c r="C886" s="864"/>
      <c r="D886" s="90"/>
      <c r="E886" s="90"/>
      <c r="F886" s="90"/>
      <c r="G886" s="90"/>
      <c r="H886" s="90"/>
      <c r="I886" s="90"/>
      <c r="J886" s="90"/>
      <c r="K886" s="90"/>
      <c r="L886" s="90"/>
      <c r="M886" s="864"/>
      <c r="N886" s="864"/>
      <c r="O886" s="864"/>
      <c r="P886" s="864"/>
      <c r="Q886" s="864"/>
      <c r="R886" s="864"/>
      <c r="S886" s="864"/>
      <c r="T886" s="864"/>
      <c r="U886" s="864"/>
      <c r="V886" s="864"/>
      <c r="W886" s="864"/>
      <c r="X886" s="90"/>
      <c r="Y886" s="90"/>
      <c r="Z886" s="90"/>
    </row>
    <row r="887" ht="15.75" customHeight="1">
      <c r="A887" s="90"/>
      <c r="B887" s="90"/>
      <c r="C887" s="864"/>
      <c r="D887" s="90"/>
      <c r="E887" s="90"/>
      <c r="F887" s="90"/>
      <c r="G887" s="90"/>
      <c r="H887" s="90"/>
      <c r="I887" s="90"/>
      <c r="J887" s="90"/>
      <c r="K887" s="90"/>
      <c r="L887" s="90"/>
      <c r="M887" s="864"/>
      <c r="N887" s="864"/>
      <c r="O887" s="864"/>
      <c r="P887" s="864"/>
      <c r="Q887" s="864"/>
      <c r="R887" s="864"/>
      <c r="S887" s="864"/>
      <c r="T887" s="864"/>
      <c r="U887" s="864"/>
      <c r="V887" s="864"/>
      <c r="W887" s="864"/>
      <c r="X887" s="90"/>
      <c r="Y887" s="90"/>
      <c r="Z887" s="90"/>
    </row>
    <row r="888" ht="15.75" customHeight="1">
      <c r="A888" s="90"/>
      <c r="B888" s="90"/>
      <c r="C888" s="864"/>
      <c r="D888" s="90"/>
      <c r="E888" s="90"/>
      <c r="F888" s="90"/>
      <c r="G888" s="90"/>
      <c r="H888" s="90"/>
      <c r="I888" s="90"/>
      <c r="J888" s="90"/>
      <c r="K888" s="90"/>
      <c r="L888" s="90"/>
      <c r="M888" s="864"/>
      <c r="N888" s="864"/>
      <c r="O888" s="864"/>
      <c r="P888" s="864"/>
      <c r="Q888" s="864"/>
      <c r="R888" s="864"/>
      <c r="S888" s="864"/>
      <c r="T888" s="864"/>
      <c r="U888" s="864"/>
      <c r="V888" s="864"/>
      <c r="W888" s="864"/>
      <c r="X888" s="90"/>
      <c r="Y888" s="90"/>
      <c r="Z888" s="90"/>
    </row>
    <row r="889" ht="15.75" customHeight="1">
      <c r="A889" s="90"/>
      <c r="B889" s="90"/>
      <c r="C889" s="864"/>
      <c r="D889" s="90"/>
      <c r="E889" s="90"/>
      <c r="F889" s="90"/>
      <c r="G889" s="90"/>
      <c r="H889" s="90"/>
      <c r="I889" s="90"/>
      <c r="J889" s="90"/>
      <c r="K889" s="90"/>
      <c r="L889" s="90"/>
      <c r="M889" s="864"/>
      <c r="N889" s="864"/>
      <c r="O889" s="864"/>
      <c r="P889" s="864"/>
      <c r="Q889" s="864"/>
      <c r="R889" s="864"/>
      <c r="S889" s="864"/>
      <c r="T889" s="864"/>
      <c r="U889" s="864"/>
      <c r="V889" s="864"/>
      <c r="W889" s="864"/>
      <c r="X889" s="90"/>
      <c r="Y889" s="90"/>
      <c r="Z889" s="90"/>
    </row>
    <row r="890" ht="15.75" customHeight="1">
      <c r="A890" s="90"/>
      <c r="B890" s="90"/>
      <c r="C890" s="864"/>
      <c r="D890" s="90"/>
      <c r="E890" s="90"/>
      <c r="F890" s="90"/>
      <c r="G890" s="90"/>
      <c r="H890" s="90"/>
      <c r="I890" s="90"/>
      <c r="J890" s="90"/>
      <c r="K890" s="90"/>
      <c r="L890" s="90"/>
      <c r="M890" s="864"/>
      <c r="N890" s="864"/>
      <c r="O890" s="864"/>
      <c r="P890" s="864"/>
      <c r="Q890" s="864"/>
      <c r="R890" s="864"/>
      <c r="S890" s="864"/>
      <c r="T890" s="864"/>
      <c r="U890" s="864"/>
      <c r="V890" s="864"/>
      <c r="W890" s="864"/>
      <c r="X890" s="90"/>
      <c r="Y890" s="90"/>
      <c r="Z890" s="90"/>
    </row>
    <row r="891" ht="15.75" customHeight="1">
      <c r="A891" s="90"/>
      <c r="B891" s="90"/>
      <c r="C891" s="864"/>
      <c r="D891" s="90"/>
      <c r="E891" s="90"/>
      <c r="F891" s="90"/>
      <c r="G891" s="90"/>
      <c r="H891" s="90"/>
      <c r="I891" s="90"/>
      <c r="J891" s="90"/>
      <c r="K891" s="90"/>
      <c r="L891" s="90"/>
      <c r="M891" s="864"/>
      <c r="N891" s="864"/>
      <c r="O891" s="864"/>
      <c r="P891" s="864"/>
      <c r="Q891" s="864"/>
      <c r="R891" s="864"/>
      <c r="S891" s="864"/>
      <c r="T891" s="864"/>
      <c r="U891" s="864"/>
      <c r="V891" s="864"/>
      <c r="W891" s="864"/>
      <c r="X891" s="90"/>
      <c r="Y891" s="90"/>
      <c r="Z891" s="90"/>
    </row>
    <row r="892" ht="15.75" customHeight="1">
      <c r="A892" s="90"/>
      <c r="B892" s="90"/>
      <c r="C892" s="864"/>
      <c r="D892" s="90"/>
      <c r="E892" s="90"/>
      <c r="F892" s="90"/>
      <c r="G892" s="90"/>
      <c r="H892" s="90"/>
      <c r="I892" s="90"/>
      <c r="J892" s="90"/>
      <c r="K892" s="90"/>
      <c r="L892" s="90"/>
      <c r="M892" s="864"/>
      <c r="N892" s="864"/>
      <c r="O892" s="864"/>
      <c r="P892" s="864"/>
      <c r="Q892" s="864"/>
      <c r="R892" s="864"/>
      <c r="S892" s="864"/>
      <c r="T892" s="864"/>
      <c r="U892" s="864"/>
      <c r="V892" s="864"/>
      <c r="W892" s="864"/>
      <c r="X892" s="90"/>
      <c r="Y892" s="90"/>
      <c r="Z892" s="90"/>
    </row>
    <row r="893" ht="15.75" customHeight="1">
      <c r="A893" s="90"/>
      <c r="B893" s="90"/>
      <c r="C893" s="864"/>
      <c r="D893" s="90"/>
      <c r="E893" s="90"/>
      <c r="F893" s="90"/>
      <c r="G893" s="90"/>
      <c r="H893" s="90"/>
      <c r="I893" s="90"/>
      <c r="J893" s="90"/>
      <c r="K893" s="90"/>
      <c r="L893" s="90"/>
      <c r="M893" s="864"/>
      <c r="N893" s="864"/>
      <c r="O893" s="864"/>
      <c r="P893" s="864"/>
      <c r="Q893" s="864"/>
      <c r="R893" s="864"/>
      <c r="S893" s="864"/>
      <c r="T893" s="864"/>
      <c r="U893" s="864"/>
      <c r="V893" s="864"/>
      <c r="W893" s="864"/>
      <c r="X893" s="90"/>
      <c r="Y893" s="90"/>
      <c r="Z893" s="90"/>
    </row>
    <row r="894" ht="15.75" customHeight="1">
      <c r="A894" s="90"/>
      <c r="B894" s="90"/>
      <c r="C894" s="864"/>
      <c r="D894" s="90"/>
      <c r="E894" s="90"/>
      <c r="F894" s="90"/>
      <c r="G894" s="90"/>
      <c r="H894" s="90"/>
      <c r="I894" s="90"/>
      <c r="J894" s="90"/>
      <c r="K894" s="90"/>
      <c r="L894" s="90"/>
      <c r="M894" s="864"/>
      <c r="N894" s="864"/>
      <c r="O894" s="864"/>
      <c r="P894" s="864"/>
      <c r="Q894" s="864"/>
      <c r="R894" s="864"/>
      <c r="S894" s="864"/>
      <c r="T894" s="864"/>
      <c r="U894" s="864"/>
      <c r="V894" s="864"/>
      <c r="W894" s="864"/>
      <c r="X894" s="90"/>
      <c r="Y894" s="90"/>
      <c r="Z894" s="90"/>
    </row>
    <row r="895" ht="15.75" customHeight="1">
      <c r="A895" s="90"/>
      <c r="B895" s="90"/>
      <c r="C895" s="864"/>
      <c r="D895" s="90"/>
      <c r="E895" s="90"/>
      <c r="F895" s="90"/>
      <c r="G895" s="90"/>
      <c r="H895" s="90"/>
      <c r="I895" s="90"/>
      <c r="J895" s="90"/>
      <c r="K895" s="90"/>
      <c r="L895" s="90"/>
      <c r="M895" s="864"/>
      <c r="N895" s="864"/>
      <c r="O895" s="864"/>
      <c r="P895" s="864"/>
      <c r="Q895" s="864"/>
      <c r="R895" s="864"/>
      <c r="S895" s="864"/>
      <c r="T895" s="864"/>
      <c r="U895" s="864"/>
      <c r="V895" s="864"/>
      <c r="W895" s="864"/>
      <c r="X895" s="90"/>
      <c r="Y895" s="90"/>
      <c r="Z895" s="90"/>
    </row>
    <row r="896" ht="15.75" customHeight="1">
      <c r="A896" s="90"/>
      <c r="B896" s="90"/>
      <c r="C896" s="864"/>
      <c r="D896" s="90"/>
      <c r="E896" s="90"/>
      <c r="F896" s="90"/>
      <c r="G896" s="90"/>
      <c r="H896" s="90"/>
      <c r="I896" s="90"/>
      <c r="J896" s="90"/>
      <c r="K896" s="90"/>
      <c r="L896" s="90"/>
      <c r="M896" s="864"/>
      <c r="N896" s="864"/>
      <c r="O896" s="864"/>
      <c r="P896" s="864"/>
      <c r="Q896" s="864"/>
      <c r="R896" s="864"/>
      <c r="S896" s="864"/>
      <c r="T896" s="864"/>
      <c r="U896" s="864"/>
      <c r="V896" s="864"/>
      <c r="W896" s="864"/>
      <c r="X896" s="90"/>
      <c r="Y896" s="90"/>
      <c r="Z896" s="90"/>
    </row>
    <row r="897" ht="15.75" customHeight="1">
      <c r="A897" s="90"/>
      <c r="B897" s="90"/>
      <c r="C897" s="864"/>
      <c r="D897" s="90"/>
      <c r="E897" s="90"/>
      <c r="F897" s="90"/>
      <c r="G897" s="90"/>
      <c r="H897" s="90"/>
      <c r="I897" s="90"/>
      <c r="J897" s="90"/>
      <c r="K897" s="90"/>
      <c r="L897" s="90"/>
      <c r="M897" s="864"/>
      <c r="N897" s="864"/>
      <c r="O897" s="864"/>
      <c r="P897" s="864"/>
      <c r="Q897" s="864"/>
      <c r="R897" s="864"/>
      <c r="S897" s="864"/>
      <c r="T897" s="864"/>
      <c r="U897" s="864"/>
      <c r="V897" s="864"/>
      <c r="W897" s="864"/>
      <c r="X897" s="90"/>
      <c r="Y897" s="90"/>
      <c r="Z897" s="90"/>
    </row>
    <row r="898" ht="15.75" customHeight="1">
      <c r="A898" s="90"/>
      <c r="B898" s="90"/>
      <c r="C898" s="864"/>
      <c r="D898" s="90"/>
      <c r="E898" s="90"/>
      <c r="F898" s="90"/>
      <c r="G898" s="90"/>
      <c r="H898" s="90"/>
      <c r="I898" s="90"/>
      <c r="J898" s="90"/>
      <c r="K898" s="90"/>
      <c r="L898" s="90"/>
      <c r="M898" s="864"/>
      <c r="N898" s="864"/>
      <c r="O898" s="864"/>
      <c r="P898" s="864"/>
      <c r="Q898" s="864"/>
      <c r="R898" s="864"/>
      <c r="S898" s="864"/>
      <c r="T898" s="864"/>
      <c r="U898" s="864"/>
      <c r="V898" s="864"/>
      <c r="W898" s="864"/>
      <c r="X898" s="90"/>
      <c r="Y898" s="90"/>
      <c r="Z898" s="90"/>
    </row>
    <row r="899" ht="15.75" customHeight="1">
      <c r="A899" s="90"/>
      <c r="B899" s="90"/>
      <c r="C899" s="864"/>
      <c r="D899" s="90"/>
      <c r="E899" s="90"/>
      <c r="F899" s="90"/>
      <c r="G899" s="90"/>
      <c r="H899" s="90"/>
      <c r="I899" s="90"/>
      <c r="J899" s="90"/>
      <c r="K899" s="90"/>
      <c r="L899" s="90"/>
      <c r="M899" s="864"/>
      <c r="N899" s="864"/>
      <c r="O899" s="864"/>
      <c r="P899" s="864"/>
      <c r="Q899" s="864"/>
      <c r="R899" s="864"/>
      <c r="S899" s="864"/>
      <c r="T899" s="864"/>
      <c r="U899" s="864"/>
      <c r="V899" s="864"/>
      <c r="W899" s="864"/>
      <c r="X899" s="90"/>
      <c r="Y899" s="90"/>
      <c r="Z899" s="90"/>
    </row>
    <row r="900" ht="15.75" customHeight="1">
      <c r="A900" s="90"/>
      <c r="B900" s="90"/>
      <c r="C900" s="864"/>
      <c r="D900" s="90"/>
      <c r="E900" s="90"/>
      <c r="F900" s="90"/>
      <c r="G900" s="90"/>
      <c r="H900" s="90"/>
      <c r="I900" s="90"/>
      <c r="J900" s="90"/>
      <c r="K900" s="90"/>
      <c r="L900" s="90"/>
      <c r="M900" s="864"/>
      <c r="N900" s="864"/>
      <c r="O900" s="864"/>
      <c r="P900" s="864"/>
      <c r="Q900" s="864"/>
      <c r="R900" s="864"/>
      <c r="S900" s="864"/>
      <c r="T900" s="864"/>
      <c r="U900" s="864"/>
      <c r="V900" s="864"/>
      <c r="W900" s="864"/>
      <c r="X900" s="90"/>
      <c r="Y900" s="90"/>
      <c r="Z900" s="90"/>
    </row>
    <row r="901" ht="15.75" customHeight="1">
      <c r="A901" s="90"/>
      <c r="B901" s="90"/>
      <c r="C901" s="864"/>
      <c r="D901" s="90"/>
      <c r="E901" s="90"/>
      <c r="F901" s="90"/>
      <c r="G901" s="90"/>
      <c r="H901" s="90"/>
      <c r="I901" s="90"/>
      <c r="J901" s="90"/>
      <c r="K901" s="90"/>
      <c r="L901" s="90"/>
      <c r="M901" s="864"/>
      <c r="N901" s="864"/>
      <c r="O901" s="864"/>
      <c r="P901" s="864"/>
      <c r="Q901" s="864"/>
      <c r="R901" s="864"/>
      <c r="S901" s="864"/>
      <c r="T901" s="864"/>
      <c r="U901" s="864"/>
      <c r="V901" s="864"/>
      <c r="W901" s="864"/>
      <c r="X901" s="90"/>
      <c r="Y901" s="90"/>
      <c r="Z901" s="90"/>
    </row>
    <row r="902" ht="15.75" customHeight="1">
      <c r="A902" s="90"/>
      <c r="B902" s="90"/>
      <c r="C902" s="864"/>
      <c r="D902" s="90"/>
      <c r="E902" s="90"/>
      <c r="F902" s="90"/>
      <c r="G902" s="90"/>
      <c r="H902" s="90"/>
      <c r="I902" s="90"/>
      <c r="J902" s="90"/>
      <c r="K902" s="90"/>
      <c r="L902" s="90"/>
      <c r="M902" s="864"/>
      <c r="N902" s="864"/>
      <c r="O902" s="864"/>
      <c r="P902" s="864"/>
      <c r="Q902" s="864"/>
      <c r="R902" s="864"/>
      <c r="S902" s="864"/>
      <c r="T902" s="864"/>
      <c r="U902" s="864"/>
      <c r="V902" s="864"/>
      <c r="W902" s="864"/>
      <c r="X902" s="90"/>
      <c r="Y902" s="90"/>
      <c r="Z902" s="90"/>
    </row>
    <row r="903" ht="15.75" customHeight="1">
      <c r="A903" s="90"/>
      <c r="B903" s="90"/>
      <c r="C903" s="864"/>
      <c r="D903" s="90"/>
      <c r="E903" s="90"/>
      <c r="F903" s="90"/>
      <c r="G903" s="90"/>
      <c r="H903" s="90"/>
      <c r="I903" s="90"/>
      <c r="J903" s="90"/>
      <c r="K903" s="90"/>
      <c r="L903" s="90"/>
      <c r="M903" s="864"/>
      <c r="N903" s="864"/>
      <c r="O903" s="864"/>
      <c r="P903" s="864"/>
      <c r="Q903" s="864"/>
      <c r="R903" s="864"/>
      <c r="S903" s="864"/>
      <c r="T903" s="864"/>
      <c r="U903" s="864"/>
      <c r="V903" s="864"/>
      <c r="W903" s="864"/>
      <c r="X903" s="90"/>
      <c r="Y903" s="90"/>
      <c r="Z903" s="90"/>
    </row>
    <row r="904" ht="15.75" customHeight="1">
      <c r="A904" s="90"/>
      <c r="B904" s="90"/>
      <c r="C904" s="864"/>
      <c r="D904" s="90"/>
      <c r="E904" s="90"/>
      <c r="F904" s="90"/>
      <c r="G904" s="90"/>
      <c r="H904" s="90"/>
      <c r="I904" s="90"/>
      <c r="J904" s="90"/>
      <c r="K904" s="90"/>
      <c r="L904" s="90"/>
      <c r="M904" s="864"/>
      <c r="N904" s="864"/>
      <c r="O904" s="864"/>
      <c r="P904" s="864"/>
      <c r="Q904" s="864"/>
      <c r="R904" s="864"/>
      <c r="S904" s="864"/>
      <c r="T904" s="864"/>
      <c r="U904" s="864"/>
      <c r="V904" s="864"/>
      <c r="W904" s="864"/>
      <c r="X904" s="90"/>
      <c r="Y904" s="90"/>
      <c r="Z904" s="90"/>
    </row>
    <row r="905" ht="15.75" customHeight="1">
      <c r="A905" s="90"/>
      <c r="B905" s="90"/>
      <c r="C905" s="864"/>
      <c r="D905" s="90"/>
      <c r="E905" s="90"/>
      <c r="F905" s="90"/>
      <c r="G905" s="90"/>
      <c r="H905" s="90"/>
      <c r="I905" s="90"/>
      <c r="J905" s="90"/>
      <c r="K905" s="90"/>
      <c r="L905" s="90"/>
      <c r="M905" s="864"/>
      <c r="N905" s="864"/>
      <c r="O905" s="864"/>
      <c r="P905" s="864"/>
      <c r="Q905" s="864"/>
      <c r="R905" s="864"/>
      <c r="S905" s="864"/>
      <c r="T905" s="864"/>
      <c r="U905" s="864"/>
      <c r="V905" s="864"/>
      <c r="W905" s="864"/>
      <c r="X905" s="90"/>
      <c r="Y905" s="90"/>
      <c r="Z905" s="90"/>
    </row>
    <row r="906" ht="15.75" customHeight="1">
      <c r="A906" s="90"/>
      <c r="B906" s="90"/>
      <c r="C906" s="864"/>
      <c r="D906" s="90"/>
      <c r="E906" s="90"/>
      <c r="F906" s="90"/>
      <c r="G906" s="90"/>
      <c r="H906" s="90"/>
      <c r="I906" s="90"/>
      <c r="J906" s="90"/>
      <c r="K906" s="90"/>
      <c r="L906" s="90"/>
      <c r="M906" s="864"/>
      <c r="N906" s="864"/>
      <c r="O906" s="864"/>
      <c r="P906" s="864"/>
      <c r="Q906" s="864"/>
      <c r="R906" s="864"/>
      <c r="S906" s="864"/>
      <c r="T906" s="864"/>
      <c r="U906" s="864"/>
      <c r="V906" s="864"/>
      <c r="W906" s="864"/>
      <c r="X906" s="90"/>
      <c r="Y906" s="90"/>
      <c r="Z906" s="90"/>
    </row>
    <row r="907" ht="15.75" customHeight="1">
      <c r="A907" s="90"/>
      <c r="B907" s="90"/>
      <c r="C907" s="864"/>
      <c r="D907" s="90"/>
      <c r="E907" s="90"/>
      <c r="F907" s="90"/>
      <c r="G907" s="90"/>
      <c r="H907" s="90"/>
      <c r="I907" s="90"/>
      <c r="J907" s="90"/>
      <c r="K907" s="90"/>
      <c r="L907" s="90"/>
      <c r="M907" s="864"/>
      <c r="N907" s="864"/>
      <c r="O907" s="864"/>
      <c r="P907" s="864"/>
      <c r="Q907" s="864"/>
      <c r="R907" s="864"/>
      <c r="S907" s="864"/>
      <c r="T907" s="864"/>
      <c r="U907" s="864"/>
      <c r="V907" s="864"/>
      <c r="W907" s="864"/>
      <c r="X907" s="90"/>
      <c r="Y907" s="90"/>
      <c r="Z907" s="90"/>
    </row>
    <row r="908" ht="15.75" customHeight="1">
      <c r="A908" s="90"/>
      <c r="B908" s="90"/>
      <c r="C908" s="864"/>
      <c r="D908" s="90"/>
      <c r="E908" s="90"/>
      <c r="F908" s="90"/>
      <c r="G908" s="90"/>
      <c r="H908" s="90"/>
      <c r="I908" s="90"/>
      <c r="J908" s="90"/>
      <c r="K908" s="90"/>
      <c r="L908" s="90"/>
      <c r="M908" s="864"/>
      <c r="N908" s="864"/>
      <c r="O908" s="864"/>
      <c r="P908" s="864"/>
      <c r="Q908" s="864"/>
      <c r="R908" s="864"/>
      <c r="S908" s="864"/>
      <c r="T908" s="864"/>
      <c r="U908" s="864"/>
      <c r="V908" s="864"/>
      <c r="W908" s="864"/>
      <c r="X908" s="90"/>
      <c r="Y908" s="90"/>
      <c r="Z908" s="90"/>
    </row>
    <row r="909" ht="15.75" customHeight="1">
      <c r="A909" s="90"/>
      <c r="B909" s="90"/>
      <c r="C909" s="864"/>
      <c r="D909" s="90"/>
      <c r="E909" s="90"/>
      <c r="F909" s="90"/>
      <c r="G909" s="90"/>
      <c r="H909" s="90"/>
      <c r="I909" s="90"/>
      <c r="J909" s="90"/>
      <c r="K909" s="90"/>
      <c r="L909" s="90"/>
      <c r="M909" s="864"/>
      <c r="N909" s="864"/>
      <c r="O909" s="864"/>
      <c r="P909" s="864"/>
      <c r="Q909" s="864"/>
      <c r="R909" s="864"/>
      <c r="S909" s="864"/>
      <c r="T909" s="864"/>
      <c r="U909" s="864"/>
      <c r="V909" s="864"/>
      <c r="W909" s="864"/>
      <c r="X909" s="90"/>
      <c r="Y909" s="90"/>
      <c r="Z909" s="90"/>
    </row>
    <row r="910" ht="15.75" customHeight="1">
      <c r="A910" s="90"/>
      <c r="B910" s="90"/>
      <c r="C910" s="864"/>
      <c r="D910" s="90"/>
      <c r="E910" s="90"/>
      <c r="F910" s="90"/>
      <c r="G910" s="90"/>
      <c r="H910" s="90"/>
      <c r="I910" s="90"/>
      <c r="J910" s="90"/>
      <c r="K910" s="90"/>
      <c r="L910" s="90"/>
      <c r="M910" s="864"/>
      <c r="N910" s="864"/>
      <c r="O910" s="864"/>
      <c r="P910" s="864"/>
      <c r="Q910" s="864"/>
      <c r="R910" s="864"/>
      <c r="S910" s="864"/>
      <c r="T910" s="864"/>
      <c r="U910" s="864"/>
      <c r="V910" s="864"/>
      <c r="W910" s="864"/>
      <c r="X910" s="90"/>
      <c r="Y910" s="90"/>
      <c r="Z910" s="90"/>
    </row>
    <row r="911" ht="15.75" customHeight="1">
      <c r="A911" s="90"/>
      <c r="B911" s="90"/>
      <c r="C911" s="864"/>
      <c r="D911" s="90"/>
      <c r="E911" s="90"/>
      <c r="F911" s="90"/>
      <c r="G911" s="90"/>
      <c r="H911" s="90"/>
      <c r="I911" s="90"/>
      <c r="J911" s="90"/>
      <c r="K911" s="90"/>
      <c r="L911" s="90"/>
      <c r="M911" s="864"/>
      <c r="N911" s="864"/>
      <c r="O911" s="864"/>
      <c r="P911" s="864"/>
      <c r="Q911" s="864"/>
      <c r="R911" s="864"/>
      <c r="S911" s="864"/>
      <c r="T911" s="864"/>
      <c r="U911" s="864"/>
      <c r="V911" s="864"/>
      <c r="W911" s="864"/>
      <c r="X911" s="90"/>
      <c r="Y911" s="90"/>
      <c r="Z911" s="90"/>
    </row>
    <row r="912" ht="15.75" customHeight="1">
      <c r="A912" s="90"/>
      <c r="B912" s="90"/>
      <c r="C912" s="864"/>
      <c r="D912" s="90"/>
      <c r="E912" s="90"/>
      <c r="F912" s="90"/>
      <c r="G912" s="90"/>
      <c r="H912" s="90"/>
      <c r="I912" s="90"/>
      <c r="J912" s="90"/>
      <c r="K912" s="90"/>
      <c r="L912" s="90"/>
      <c r="M912" s="864"/>
      <c r="N912" s="864"/>
      <c r="O912" s="864"/>
      <c r="P912" s="864"/>
      <c r="Q912" s="864"/>
      <c r="R912" s="864"/>
      <c r="S912" s="864"/>
      <c r="T912" s="864"/>
      <c r="U912" s="864"/>
      <c r="V912" s="864"/>
      <c r="W912" s="864"/>
      <c r="X912" s="90"/>
      <c r="Y912" s="90"/>
      <c r="Z912" s="90"/>
    </row>
    <row r="913" ht="15.75" customHeight="1">
      <c r="A913" s="90"/>
      <c r="B913" s="90"/>
      <c r="C913" s="864"/>
      <c r="D913" s="90"/>
      <c r="E913" s="90"/>
      <c r="F913" s="90"/>
      <c r="G913" s="90"/>
      <c r="H913" s="90"/>
      <c r="I913" s="90"/>
      <c r="J913" s="90"/>
      <c r="K913" s="90"/>
      <c r="L913" s="90"/>
      <c r="M913" s="864"/>
      <c r="N913" s="864"/>
      <c r="O913" s="864"/>
      <c r="P913" s="864"/>
      <c r="Q913" s="864"/>
      <c r="R913" s="864"/>
      <c r="S913" s="864"/>
      <c r="T913" s="864"/>
      <c r="U913" s="864"/>
      <c r="V913" s="864"/>
      <c r="W913" s="864"/>
      <c r="X913" s="90"/>
      <c r="Y913" s="90"/>
      <c r="Z913" s="90"/>
    </row>
    <row r="914" ht="15.75" customHeight="1">
      <c r="A914" s="90"/>
      <c r="B914" s="90"/>
      <c r="C914" s="864"/>
      <c r="D914" s="90"/>
      <c r="E914" s="90"/>
      <c r="F914" s="90"/>
      <c r="G914" s="90"/>
      <c r="H914" s="90"/>
      <c r="I914" s="90"/>
      <c r="J914" s="90"/>
      <c r="K914" s="90"/>
      <c r="L914" s="90"/>
      <c r="M914" s="864"/>
      <c r="N914" s="864"/>
      <c r="O914" s="864"/>
      <c r="P914" s="864"/>
      <c r="Q914" s="864"/>
      <c r="R914" s="864"/>
      <c r="S914" s="864"/>
      <c r="T914" s="864"/>
      <c r="U914" s="864"/>
      <c r="V914" s="864"/>
      <c r="W914" s="864"/>
      <c r="X914" s="90"/>
      <c r="Y914" s="90"/>
      <c r="Z914" s="90"/>
    </row>
    <row r="915" ht="15.75" customHeight="1">
      <c r="A915" s="90"/>
      <c r="B915" s="90"/>
      <c r="C915" s="864"/>
      <c r="D915" s="90"/>
      <c r="E915" s="90"/>
      <c r="F915" s="90"/>
      <c r="G915" s="90"/>
      <c r="H915" s="90"/>
      <c r="I915" s="90"/>
      <c r="J915" s="90"/>
      <c r="K915" s="90"/>
      <c r="L915" s="90"/>
      <c r="M915" s="864"/>
      <c r="N915" s="864"/>
      <c r="O915" s="864"/>
      <c r="P915" s="864"/>
      <c r="Q915" s="864"/>
      <c r="R915" s="864"/>
      <c r="S915" s="864"/>
      <c r="T915" s="864"/>
      <c r="U915" s="864"/>
      <c r="V915" s="864"/>
      <c r="W915" s="864"/>
      <c r="X915" s="90"/>
      <c r="Y915" s="90"/>
      <c r="Z915" s="90"/>
    </row>
    <row r="916" ht="15.75" customHeight="1">
      <c r="A916" s="90"/>
      <c r="B916" s="90"/>
      <c r="C916" s="864"/>
      <c r="D916" s="90"/>
      <c r="E916" s="90"/>
      <c r="F916" s="90"/>
      <c r="G916" s="90"/>
      <c r="H916" s="90"/>
      <c r="I916" s="90"/>
      <c r="J916" s="90"/>
      <c r="K916" s="90"/>
      <c r="L916" s="90"/>
      <c r="M916" s="864"/>
      <c r="N916" s="864"/>
      <c r="O916" s="864"/>
      <c r="P916" s="864"/>
      <c r="Q916" s="864"/>
      <c r="R916" s="864"/>
      <c r="S916" s="864"/>
      <c r="T916" s="864"/>
      <c r="U916" s="864"/>
      <c r="V916" s="864"/>
      <c r="W916" s="864"/>
      <c r="X916" s="90"/>
      <c r="Y916" s="90"/>
      <c r="Z916" s="90"/>
    </row>
    <row r="917" ht="15.75" customHeight="1">
      <c r="A917" s="90"/>
      <c r="B917" s="90"/>
      <c r="C917" s="864"/>
      <c r="D917" s="90"/>
      <c r="E917" s="90"/>
      <c r="F917" s="90"/>
      <c r="G917" s="90"/>
      <c r="H917" s="90"/>
      <c r="I917" s="90"/>
      <c r="J917" s="90"/>
      <c r="K917" s="90"/>
      <c r="L917" s="90"/>
      <c r="M917" s="864"/>
      <c r="N917" s="864"/>
      <c r="O917" s="864"/>
      <c r="P917" s="864"/>
      <c r="Q917" s="864"/>
      <c r="R917" s="864"/>
      <c r="S917" s="864"/>
      <c r="T917" s="864"/>
      <c r="U917" s="864"/>
      <c r="V917" s="864"/>
      <c r="W917" s="864"/>
      <c r="X917" s="90"/>
      <c r="Y917" s="90"/>
      <c r="Z917" s="90"/>
    </row>
    <row r="918" ht="15.75" customHeight="1">
      <c r="A918" s="90"/>
      <c r="B918" s="90"/>
      <c r="C918" s="864"/>
      <c r="D918" s="90"/>
      <c r="E918" s="90"/>
      <c r="F918" s="90"/>
      <c r="G918" s="90"/>
      <c r="H918" s="90"/>
      <c r="I918" s="90"/>
      <c r="J918" s="90"/>
      <c r="K918" s="90"/>
      <c r="L918" s="90"/>
      <c r="M918" s="864"/>
      <c r="N918" s="864"/>
      <c r="O918" s="864"/>
      <c r="P918" s="864"/>
      <c r="Q918" s="864"/>
      <c r="R918" s="864"/>
      <c r="S918" s="864"/>
      <c r="T918" s="864"/>
      <c r="U918" s="864"/>
      <c r="V918" s="864"/>
      <c r="W918" s="864"/>
      <c r="X918" s="90"/>
      <c r="Y918" s="90"/>
      <c r="Z918" s="90"/>
    </row>
    <row r="919" ht="15.75" customHeight="1">
      <c r="A919" s="90"/>
      <c r="B919" s="90"/>
      <c r="C919" s="864"/>
      <c r="D919" s="90"/>
      <c r="E919" s="90"/>
      <c r="F919" s="90"/>
      <c r="G919" s="90"/>
      <c r="H919" s="90"/>
      <c r="I919" s="90"/>
      <c r="J919" s="90"/>
      <c r="K919" s="90"/>
      <c r="L919" s="90"/>
      <c r="M919" s="864"/>
      <c r="N919" s="864"/>
      <c r="O919" s="864"/>
      <c r="P919" s="864"/>
      <c r="Q919" s="864"/>
      <c r="R919" s="864"/>
      <c r="S919" s="864"/>
      <c r="T919" s="864"/>
      <c r="U919" s="864"/>
      <c r="V919" s="864"/>
      <c r="W919" s="864"/>
      <c r="X919" s="90"/>
      <c r="Y919" s="90"/>
      <c r="Z919" s="90"/>
    </row>
    <row r="920" ht="15.75" customHeight="1">
      <c r="A920" s="90"/>
      <c r="B920" s="90"/>
      <c r="C920" s="864"/>
      <c r="D920" s="90"/>
      <c r="E920" s="90"/>
      <c r="F920" s="90"/>
      <c r="G920" s="90"/>
      <c r="H920" s="90"/>
      <c r="I920" s="90"/>
      <c r="J920" s="90"/>
      <c r="K920" s="90"/>
      <c r="L920" s="90"/>
      <c r="M920" s="864"/>
      <c r="N920" s="864"/>
      <c r="O920" s="864"/>
      <c r="P920" s="864"/>
      <c r="Q920" s="864"/>
      <c r="R920" s="864"/>
      <c r="S920" s="864"/>
      <c r="T920" s="864"/>
      <c r="U920" s="864"/>
      <c r="V920" s="864"/>
      <c r="W920" s="864"/>
      <c r="X920" s="90"/>
      <c r="Y920" s="90"/>
      <c r="Z920" s="90"/>
    </row>
    <row r="921" ht="15.75" customHeight="1">
      <c r="A921" s="90"/>
      <c r="B921" s="90"/>
      <c r="C921" s="864"/>
      <c r="D921" s="90"/>
      <c r="E921" s="90"/>
      <c r="F921" s="90"/>
      <c r="G921" s="90"/>
      <c r="H921" s="90"/>
      <c r="I921" s="90"/>
      <c r="J921" s="90"/>
      <c r="K921" s="90"/>
      <c r="L921" s="90"/>
      <c r="M921" s="864"/>
      <c r="N921" s="864"/>
      <c r="O921" s="864"/>
      <c r="P921" s="864"/>
      <c r="Q921" s="864"/>
      <c r="R921" s="864"/>
      <c r="S921" s="864"/>
      <c r="T921" s="864"/>
      <c r="U921" s="864"/>
      <c r="V921" s="864"/>
      <c r="W921" s="864"/>
      <c r="X921" s="90"/>
      <c r="Y921" s="90"/>
      <c r="Z921" s="90"/>
    </row>
    <row r="922" ht="15.75" customHeight="1">
      <c r="A922" s="90"/>
      <c r="B922" s="90"/>
      <c r="C922" s="864"/>
      <c r="D922" s="90"/>
      <c r="E922" s="90"/>
      <c r="F922" s="90"/>
      <c r="G922" s="90"/>
      <c r="H922" s="90"/>
      <c r="I922" s="90"/>
      <c r="J922" s="90"/>
      <c r="K922" s="90"/>
      <c r="L922" s="90"/>
      <c r="M922" s="864"/>
      <c r="N922" s="864"/>
      <c r="O922" s="864"/>
      <c r="P922" s="864"/>
      <c r="Q922" s="864"/>
      <c r="R922" s="864"/>
      <c r="S922" s="864"/>
      <c r="T922" s="864"/>
      <c r="U922" s="864"/>
      <c r="V922" s="864"/>
      <c r="W922" s="864"/>
      <c r="X922" s="90"/>
      <c r="Y922" s="90"/>
      <c r="Z922" s="90"/>
    </row>
    <row r="923" ht="15.75" customHeight="1">
      <c r="A923" s="90"/>
      <c r="B923" s="90"/>
      <c r="C923" s="864"/>
      <c r="D923" s="90"/>
      <c r="E923" s="90"/>
      <c r="F923" s="90"/>
      <c r="G923" s="90"/>
      <c r="H923" s="90"/>
      <c r="I923" s="90"/>
      <c r="J923" s="90"/>
      <c r="K923" s="90"/>
      <c r="L923" s="90"/>
      <c r="M923" s="864"/>
      <c r="N923" s="864"/>
      <c r="O923" s="864"/>
      <c r="P923" s="864"/>
      <c r="Q923" s="864"/>
      <c r="R923" s="864"/>
      <c r="S923" s="864"/>
      <c r="T923" s="864"/>
      <c r="U923" s="864"/>
      <c r="V923" s="864"/>
      <c r="W923" s="864"/>
      <c r="X923" s="90"/>
      <c r="Y923" s="90"/>
      <c r="Z923" s="90"/>
    </row>
    <row r="924" ht="15.75" customHeight="1">
      <c r="A924" s="90"/>
      <c r="B924" s="90"/>
      <c r="C924" s="864"/>
      <c r="D924" s="90"/>
      <c r="E924" s="90"/>
      <c r="F924" s="90"/>
      <c r="G924" s="90"/>
      <c r="H924" s="90"/>
      <c r="I924" s="90"/>
      <c r="J924" s="90"/>
      <c r="K924" s="90"/>
      <c r="L924" s="90"/>
      <c r="M924" s="864"/>
      <c r="N924" s="864"/>
      <c r="O924" s="864"/>
      <c r="P924" s="864"/>
      <c r="Q924" s="864"/>
      <c r="R924" s="864"/>
      <c r="S924" s="864"/>
      <c r="T924" s="864"/>
      <c r="U924" s="864"/>
      <c r="V924" s="864"/>
      <c r="W924" s="864"/>
      <c r="X924" s="90"/>
      <c r="Y924" s="90"/>
      <c r="Z924" s="90"/>
    </row>
    <row r="925" ht="15.75" customHeight="1">
      <c r="A925" s="90"/>
      <c r="B925" s="90"/>
      <c r="C925" s="864"/>
      <c r="D925" s="90"/>
      <c r="E925" s="90"/>
      <c r="F925" s="90"/>
      <c r="G925" s="90"/>
      <c r="H925" s="90"/>
      <c r="I925" s="90"/>
      <c r="J925" s="90"/>
      <c r="K925" s="90"/>
      <c r="L925" s="90"/>
      <c r="M925" s="864"/>
      <c r="N925" s="864"/>
      <c r="O925" s="864"/>
      <c r="P925" s="864"/>
      <c r="Q925" s="864"/>
      <c r="R925" s="864"/>
      <c r="S925" s="864"/>
      <c r="T925" s="864"/>
      <c r="U925" s="864"/>
      <c r="V925" s="864"/>
      <c r="W925" s="864"/>
      <c r="X925" s="90"/>
      <c r="Y925" s="90"/>
      <c r="Z925" s="90"/>
    </row>
    <row r="926" ht="15.75" customHeight="1">
      <c r="A926" s="90"/>
      <c r="B926" s="90"/>
      <c r="C926" s="864"/>
      <c r="D926" s="90"/>
      <c r="E926" s="90"/>
      <c r="F926" s="90"/>
      <c r="G926" s="90"/>
      <c r="H926" s="90"/>
      <c r="I926" s="90"/>
      <c r="J926" s="90"/>
      <c r="K926" s="90"/>
      <c r="L926" s="90"/>
      <c r="M926" s="864"/>
      <c r="N926" s="864"/>
      <c r="O926" s="864"/>
      <c r="P926" s="864"/>
      <c r="Q926" s="864"/>
      <c r="R926" s="864"/>
      <c r="S926" s="864"/>
      <c r="T926" s="864"/>
      <c r="U926" s="864"/>
      <c r="V926" s="864"/>
      <c r="W926" s="864"/>
      <c r="X926" s="90"/>
      <c r="Y926" s="90"/>
      <c r="Z926" s="90"/>
    </row>
    <row r="927" ht="15.75" customHeight="1">
      <c r="A927" s="90"/>
      <c r="B927" s="90"/>
      <c r="C927" s="864"/>
      <c r="D927" s="90"/>
      <c r="E927" s="90"/>
      <c r="F927" s="90"/>
      <c r="G927" s="90"/>
      <c r="H927" s="90"/>
      <c r="I927" s="90"/>
      <c r="J927" s="90"/>
      <c r="K927" s="90"/>
      <c r="L927" s="90"/>
      <c r="M927" s="864"/>
      <c r="N927" s="864"/>
      <c r="O927" s="864"/>
      <c r="P927" s="864"/>
      <c r="Q927" s="864"/>
      <c r="R927" s="864"/>
      <c r="S927" s="864"/>
      <c r="T927" s="864"/>
      <c r="U927" s="864"/>
      <c r="V927" s="864"/>
      <c r="W927" s="864"/>
      <c r="X927" s="90"/>
      <c r="Y927" s="90"/>
      <c r="Z927" s="90"/>
    </row>
    <row r="928" ht="15.75" customHeight="1">
      <c r="A928" s="90"/>
      <c r="B928" s="90"/>
      <c r="C928" s="864"/>
      <c r="D928" s="90"/>
      <c r="E928" s="90"/>
      <c r="F928" s="90"/>
      <c r="G928" s="90"/>
      <c r="H928" s="90"/>
      <c r="I928" s="90"/>
      <c r="J928" s="90"/>
      <c r="K928" s="90"/>
      <c r="L928" s="90"/>
      <c r="M928" s="864"/>
      <c r="N928" s="864"/>
      <c r="O928" s="864"/>
      <c r="P928" s="864"/>
      <c r="Q928" s="864"/>
      <c r="R928" s="864"/>
      <c r="S928" s="864"/>
      <c r="T928" s="864"/>
      <c r="U928" s="864"/>
      <c r="V928" s="864"/>
      <c r="W928" s="864"/>
      <c r="X928" s="90"/>
      <c r="Y928" s="90"/>
      <c r="Z928" s="90"/>
    </row>
    <row r="929" ht="15.75" customHeight="1">
      <c r="A929" s="90"/>
      <c r="B929" s="90"/>
      <c r="C929" s="864"/>
      <c r="D929" s="90"/>
      <c r="E929" s="90"/>
      <c r="F929" s="90"/>
      <c r="G929" s="90"/>
      <c r="H929" s="90"/>
      <c r="I929" s="90"/>
      <c r="J929" s="90"/>
      <c r="K929" s="90"/>
      <c r="L929" s="90"/>
      <c r="M929" s="864"/>
      <c r="N929" s="864"/>
      <c r="O929" s="864"/>
      <c r="P929" s="864"/>
      <c r="Q929" s="864"/>
      <c r="R929" s="864"/>
      <c r="S929" s="864"/>
      <c r="T929" s="864"/>
      <c r="U929" s="864"/>
      <c r="V929" s="864"/>
      <c r="W929" s="864"/>
      <c r="X929" s="90"/>
      <c r="Y929" s="90"/>
      <c r="Z929" s="90"/>
    </row>
    <row r="930" ht="15.75" customHeight="1">
      <c r="A930" s="90"/>
      <c r="B930" s="90"/>
      <c r="C930" s="864"/>
      <c r="D930" s="90"/>
      <c r="E930" s="90"/>
      <c r="F930" s="90"/>
      <c r="G930" s="90"/>
      <c r="H930" s="90"/>
      <c r="I930" s="90"/>
      <c r="J930" s="90"/>
      <c r="K930" s="90"/>
      <c r="L930" s="90"/>
      <c r="M930" s="864"/>
      <c r="N930" s="864"/>
      <c r="O930" s="864"/>
      <c r="P930" s="864"/>
      <c r="Q930" s="864"/>
      <c r="R930" s="864"/>
      <c r="S930" s="864"/>
      <c r="T930" s="864"/>
      <c r="U930" s="864"/>
      <c r="V930" s="864"/>
      <c r="W930" s="864"/>
      <c r="X930" s="90"/>
      <c r="Y930" s="90"/>
      <c r="Z930" s="90"/>
    </row>
    <row r="931" ht="15.75" customHeight="1">
      <c r="A931" s="90"/>
      <c r="B931" s="90"/>
      <c r="C931" s="864"/>
      <c r="D931" s="90"/>
      <c r="E931" s="90"/>
      <c r="F931" s="90"/>
      <c r="G931" s="90"/>
      <c r="H931" s="90"/>
      <c r="I931" s="90"/>
      <c r="J931" s="90"/>
      <c r="K931" s="90"/>
      <c r="L931" s="90"/>
      <c r="M931" s="864"/>
      <c r="N931" s="864"/>
      <c r="O931" s="864"/>
      <c r="P931" s="864"/>
      <c r="Q931" s="864"/>
      <c r="R931" s="864"/>
      <c r="S931" s="864"/>
      <c r="T931" s="864"/>
      <c r="U931" s="864"/>
      <c r="V931" s="864"/>
      <c r="W931" s="864"/>
      <c r="X931" s="90"/>
      <c r="Y931" s="90"/>
      <c r="Z931" s="90"/>
    </row>
    <row r="932" ht="15.75" customHeight="1">
      <c r="A932" s="90"/>
      <c r="B932" s="90"/>
      <c r="C932" s="864"/>
      <c r="D932" s="90"/>
      <c r="E932" s="90"/>
      <c r="F932" s="90"/>
      <c r="G932" s="90"/>
      <c r="H932" s="90"/>
      <c r="I932" s="90"/>
      <c r="J932" s="90"/>
      <c r="K932" s="90"/>
      <c r="L932" s="90"/>
      <c r="M932" s="864"/>
      <c r="N932" s="864"/>
      <c r="O932" s="864"/>
      <c r="P932" s="864"/>
      <c r="Q932" s="864"/>
      <c r="R932" s="864"/>
      <c r="S932" s="864"/>
      <c r="T932" s="864"/>
      <c r="U932" s="864"/>
      <c r="V932" s="864"/>
      <c r="W932" s="864"/>
      <c r="X932" s="90"/>
      <c r="Y932" s="90"/>
      <c r="Z932" s="90"/>
    </row>
    <row r="933" ht="15.75" customHeight="1">
      <c r="A933" s="90"/>
      <c r="B933" s="90"/>
      <c r="C933" s="864"/>
      <c r="D933" s="90"/>
      <c r="E933" s="90"/>
      <c r="F933" s="90"/>
      <c r="G933" s="90"/>
      <c r="H933" s="90"/>
      <c r="I933" s="90"/>
      <c r="J933" s="90"/>
      <c r="K933" s="90"/>
      <c r="L933" s="90"/>
      <c r="M933" s="864"/>
      <c r="N933" s="864"/>
      <c r="O933" s="864"/>
      <c r="P933" s="864"/>
      <c r="Q933" s="864"/>
      <c r="R933" s="864"/>
      <c r="S933" s="864"/>
      <c r="T933" s="864"/>
      <c r="U933" s="864"/>
      <c r="V933" s="864"/>
      <c r="W933" s="864"/>
      <c r="X933" s="90"/>
      <c r="Y933" s="90"/>
      <c r="Z933" s="90"/>
    </row>
    <row r="934" ht="15.75" customHeight="1">
      <c r="A934" s="90"/>
      <c r="B934" s="90"/>
      <c r="C934" s="864"/>
      <c r="D934" s="90"/>
      <c r="E934" s="90"/>
      <c r="F934" s="90"/>
      <c r="G934" s="90"/>
      <c r="H934" s="90"/>
      <c r="I934" s="90"/>
      <c r="J934" s="90"/>
      <c r="K934" s="90"/>
      <c r="L934" s="90"/>
      <c r="M934" s="864"/>
      <c r="N934" s="864"/>
      <c r="O934" s="864"/>
      <c r="P934" s="864"/>
      <c r="Q934" s="864"/>
      <c r="R934" s="864"/>
      <c r="S934" s="864"/>
      <c r="T934" s="864"/>
      <c r="U934" s="864"/>
      <c r="V934" s="864"/>
      <c r="W934" s="864"/>
      <c r="X934" s="90"/>
      <c r="Y934" s="90"/>
      <c r="Z934" s="90"/>
    </row>
    <row r="935" ht="15.75" customHeight="1">
      <c r="A935" s="90"/>
      <c r="B935" s="90"/>
      <c r="C935" s="864"/>
      <c r="D935" s="90"/>
      <c r="E935" s="90"/>
      <c r="F935" s="90"/>
      <c r="G935" s="90"/>
      <c r="H935" s="90"/>
      <c r="I935" s="90"/>
      <c r="J935" s="90"/>
      <c r="K935" s="90"/>
      <c r="L935" s="90"/>
      <c r="M935" s="864"/>
      <c r="N935" s="864"/>
      <c r="O935" s="864"/>
      <c r="P935" s="864"/>
      <c r="Q935" s="864"/>
      <c r="R935" s="864"/>
      <c r="S935" s="864"/>
      <c r="T935" s="864"/>
      <c r="U935" s="864"/>
      <c r="V935" s="864"/>
      <c r="W935" s="864"/>
      <c r="X935" s="90"/>
      <c r="Y935" s="90"/>
      <c r="Z935" s="90"/>
    </row>
    <row r="936" ht="15.75" customHeight="1">
      <c r="A936" s="90"/>
      <c r="B936" s="90"/>
      <c r="C936" s="864"/>
      <c r="D936" s="90"/>
      <c r="E936" s="90"/>
      <c r="F936" s="90"/>
      <c r="G936" s="90"/>
      <c r="H936" s="90"/>
      <c r="I936" s="90"/>
      <c r="J936" s="90"/>
      <c r="K936" s="90"/>
      <c r="L936" s="90"/>
      <c r="M936" s="864"/>
      <c r="N936" s="864"/>
      <c r="O936" s="864"/>
      <c r="P936" s="864"/>
      <c r="Q936" s="864"/>
      <c r="R936" s="864"/>
      <c r="S936" s="864"/>
      <c r="T936" s="864"/>
      <c r="U936" s="864"/>
      <c r="V936" s="864"/>
      <c r="W936" s="864"/>
      <c r="X936" s="90"/>
      <c r="Y936" s="90"/>
      <c r="Z936" s="90"/>
    </row>
    <row r="937" ht="15.75" customHeight="1">
      <c r="A937" s="90"/>
      <c r="B937" s="90"/>
      <c r="C937" s="864"/>
      <c r="D937" s="90"/>
      <c r="E937" s="90"/>
      <c r="F937" s="90"/>
      <c r="G937" s="90"/>
      <c r="H937" s="90"/>
      <c r="I937" s="90"/>
      <c r="J937" s="90"/>
      <c r="K937" s="90"/>
      <c r="L937" s="90"/>
      <c r="M937" s="864"/>
      <c r="N937" s="864"/>
      <c r="O937" s="864"/>
      <c r="P937" s="864"/>
      <c r="Q937" s="864"/>
      <c r="R937" s="864"/>
      <c r="S937" s="864"/>
      <c r="T937" s="864"/>
      <c r="U937" s="864"/>
      <c r="V937" s="864"/>
      <c r="W937" s="864"/>
      <c r="X937" s="90"/>
      <c r="Y937" s="90"/>
      <c r="Z937" s="90"/>
    </row>
    <row r="938" ht="15.75" customHeight="1">
      <c r="A938" s="90"/>
      <c r="B938" s="90"/>
      <c r="C938" s="864"/>
      <c r="D938" s="90"/>
      <c r="E938" s="90"/>
      <c r="F938" s="90"/>
      <c r="G938" s="90"/>
      <c r="H938" s="90"/>
      <c r="I938" s="90"/>
      <c r="J938" s="90"/>
      <c r="K938" s="90"/>
      <c r="L938" s="90"/>
      <c r="M938" s="864"/>
      <c r="N938" s="864"/>
      <c r="O938" s="864"/>
      <c r="P938" s="864"/>
      <c r="Q938" s="864"/>
      <c r="R938" s="864"/>
      <c r="S938" s="864"/>
      <c r="T938" s="864"/>
      <c r="U938" s="864"/>
      <c r="V938" s="864"/>
      <c r="W938" s="864"/>
      <c r="X938" s="90"/>
      <c r="Y938" s="90"/>
      <c r="Z938" s="90"/>
    </row>
    <row r="939" ht="15.75" customHeight="1">
      <c r="A939" s="90"/>
      <c r="B939" s="90"/>
      <c r="C939" s="864"/>
      <c r="D939" s="90"/>
      <c r="E939" s="90"/>
      <c r="F939" s="90"/>
      <c r="G939" s="90"/>
      <c r="H939" s="90"/>
      <c r="I939" s="90"/>
      <c r="J939" s="90"/>
      <c r="K939" s="90"/>
      <c r="L939" s="90"/>
      <c r="M939" s="864"/>
      <c r="N939" s="864"/>
      <c r="O939" s="864"/>
      <c r="P939" s="864"/>
      <c r="Q939" s="864"/>
      <c r="R939" s="864"/>
      <c r="S939" s="864"/>
      <c r="T939" s="864"/>
      <c r="U939" s="864"/>
      <c r="V939" s="864"/>
      <c r="W939" s="864"/>
      <c r="X939" s="90"/>
      <c r="Y939" s="90"/>
      <c r="Z939" s="90"/>
    </row>
    <row r="940" ht="15.75" customHeight="1">
      <c r="A940" s="90"/>
      <c r="B940" s="90"/>
      <c r="C940" s="864"/>
      <c r="D940" s="90"/>
      <c r="E940" s="90"/>
      <c r="F940" s="90"/>
      <c r="G940" s="90"/>
      <c r="H940" s="90"/>
      <c r="I940" s="90"/>
      <c r="J940" s="90"/>
      <c r="K940" s="90"/>
      <c r="L940" s="90"/>
      <c r="M940" s="864"/>
      <c r="N940" s="864"/>
      <c r="O940" s="864"/>
      <c r="P940" s="864"/>
      <c r="Q940" s="864"/>
      <c r="R940" s="864"/>
      <c r="S940" s="864"/>
      <c r="T940" s="864"/>
      <c r="U940" s="864"/>
      <c r="V940" s="864"/>
      <c r="W940" s="864"/>
      <c r="X940" s="90"/>
      <c r="Y940" s="90"/>
      <c r="Z940" s="90"/>
    </row>
    <row r="941" ht="15.75" customHeight="1">
      <c r="A941" s="90"/>
      <c r="B941" s="90"/>
      <c r="C941" s="864"/>
      <c r="D941" s="90"/>
      <c r="E941" s="90"/>
      <c r="F941" s="90"/>
      <c r="G941" s="90"/>
      <c r="H941" s="90"/>
      <c r="I941" s="90"/>
      <c r="J941" s="90"/>
      <c r="K941" s="90"/>
      <c r="L941" s="90"/>
      <c r="M941" s="864"/>
      <c r="N941" s="864"/>
      <c r="O941" s="864"/>
      <c r="P941" s="864"/>
      <c r="Q941" s="864"/>
      <c r="R941" s="864"/>
      <c r="S941" s="864"/>
      <c r="T941" s="864"/>
      <c r="U941" s="864"/>
      <c r="V941" s="864"/>
      <c r="W941" s="864"/>
      <c r="X941" s="90"/>
      <c r="Y941" s="90"/>
      <c r="Z941" s="90"/>
    </row>
    <row r="942" ht="15.75" customHeight="1">
      <c r="A942" s="90"/>
      <c r="B942" s="90"/>
      <c r="C942" s="864"/>
      <c r="D942" s="90"/>
      <c r="E942" s="90"/>
      <c r="F942" s="90"/>
      <c r="G942" s="90"/>
      <c r="H942" s="90"/>
      <c r="I942" s="90"/>
      <c r="J942" s="90"/>
      <c r="K942" s="90"/>
      <c r="L942" s="90"/>
      <c r="M942" s="864"/>
      <c r="N942" s="864"/>
      <c r="O942" s="864"/>
      <c r="P942" s="864"/>
      <c r="Q942" s="864"/>
      <c r="R942" s="864"/>
      <c r="S942" s="864"/>
      <c r="T942" s="864"/>
      <c r="U942" s="864"/>
      <c r="V942" s="864"/>
      <c r="W942" s="864"/>
      <c r="X942" s="90"/>
      <c r="Y942" s="90"/>
      <c r="Z942" s="90"/>
    </row>
    <row r="943" ht="15.75" customHeight="1">
      <c r="A943" s="90"/>
      <c r="B943" s="90"/>
      <c r="C943" s="864"/>
      <c r="D943" s="90"/>
      <c r="E943" s="90"/>
      <c r="F943" s="90"/>
      <c r="G943" s="90"/>
      <c r="H943" s="90"/>
      <c r="I943" s="90"/>
      <c r="J943" s="90"/>
      <c r="K943" s="90"/>
      <c r="L943" s="90"/>
      <c r="M943" s="864"/>
      <c r="N943" s="864"/>
      <c r="O943" s="864"/>
      <c r="P943" s="864"/>
      <c r="Q943" s="864"/>
      <c r="R943" s="864"/>
      <c r="S943" s="864"/>
      <c r="T943" s="864"/>
      <c r="U943" s="864"/>
      <c r="V943" s="864"/>
      <c r="W943" s="864"/>
      <c r="X943" s="90"/>
      <c r="Y943" s="90"/>
      <c r="Z943" s="90"/>
    </row>
    <row r="944" ht="15.75" customHeight="1">
      <c r="A944" s="90"/>
      <c r="B944" s="90"/>
      <c r="C944" s="864"/>
      <c r="D944" s="90"/>
      <c r="E944" s="90"/>
      <c r="F944" s="90"/>
      <c r="G944" s="90"/>
      <c r="H944" s="90"/>
      <c r="I944" s="90"/>
      <c r="J944" s="90"/>
      <c r="K944" s="90"/>
      <c r="L944" s="90"/>
      <c r="M944" s="864"/>
      <c r="N944" s="864"/>
      <c r="O944" s="864"/>
      <c r="P944" s="864"/>
      <c r="Q944" s="864"/>
      <c r="R944" s="864"/>
      <c r="S944" s="864"/>
      <c r="T944" s="864"/>
      <c r="U944" s="864"/>
      <c r="V944" s="864"/>
      <c r="W944" s="864"/>
      <c r="X944" s="90"/>
      <c r="Y944" s="90"/>
      <c r="Z944" s="90"/>
    </row>
    <row r="945" ht="15.75" customHeight="1">
      <c r="A945" s="90"/>
      <c r="B945" s="90"/>
      <c r="C945" s="864"/>
      <c r="D945" s="90"/>
      <c r="E945" s="90"/>
      <c r="F945" s="90"/>
      <c r="G945" s="90"/>
      <c r="H945" s="90"/>
      <c r="I945" s="90"/>
      <c r="J945" s="90"/>
      <c r="K945" s="90"/>
      <c r="L945" s="90"/>
      <c r="M945" s="864"/>
      <c r="N945" s="864"/>
      <c r="O945" s="864"/>
      <c r="P945" s="864"/>
      <c r="Q945" s="864"/>
      <c r="R945" s="864"/>
      <c r="S945" s="864"/>
      <c r="T945" s="864"/>
      <c r="U945" s="864"/>
      <c r="V945" s="864"/>
      <c r="W945" s="864"/>
      <c r="X945" s="90"/>
      <c r="Y945" s="90"/>
      <c r="Z945" s="90"/>
    </row>
    <row r="946" ht="15.75" customHeight="1">
      <c r="A946" s="90"/>
      <c r="B946" s="90"/>
      <c r="C946" s="864"/>
      <c r="D946" s="90"/>
      <c r="E946" s="90"/>
      <c r="F946" s="90"/>
      <c r="G946" s="90"/>
      <c r="H946" s="90"/>
      <c r="I946" s="90"/>
      <c r="J946" s="90"/>
      <c r="K946" s="90"/>
      <c r="L946" s="90"/>
      <c r="M946" s="864"/>
      <c r="N946" s="864"/>
      <c r="O946" s="864"/>
      <c r="P946" s="864"/>
      <c r="Q946" s="864"/>
      <c r="R946" s="864"/>
      <c r="S946" s="864"/>
      <c r="T946" s="864"/>
      <c r="U946" s="864"/>
      <c r="V946" s="864"/>
      <c r="W946" s="864"/>
      <c r="X946" s="90"/>
      <c r="Y946" s="90"/>
      <c r="Z946" s="90"/>
    </row>
    <row r="947" ht="15.75" customHeight="1">
      <c r="A947" s="90"/>
      <c r="B947" s="90"/>
      <c r="C947" s="864"/>
      <c r="D947" s="90"/>
      <c r="E947" s="90"/>
      <c r="F947" s="90"/>
      <c r="G947" s="90"/>
      <c r="H947" s="90"/>
      <c r="I947" s="90"/>
      <c r="J947" s="90"/>
      <c r="K947" s="90"/>
      <c r="L947" s="90"/>
      <c r="M947" s="864"/>
      <c r="N947" s="864"/>
      <c r="O947" s="864"/>
      <c r="P947" s="864"/>
      <c r="Q947" s="864"/>
      <c r="R947" s="864"/>
      <c r="S947" s="864"/>
      <c r="T947" s="864"/>
      <c r="U947" s="864"/>
      <c r="V947" s="864"/>
      <c r="W947" s="864"/>
      <c r="X947" s="90"/>
      <c r="Y947" s="90"/>
      <c r="Z947" s="90"/>
    </row>
    <row r="948" ht="15.75" customHeight="1">
      <c r="A948" s="90"/>
      <c r="B948" s="90"/>
      <c r="C948" s="864"/>
      <c r="D948" s="90"/>
      <c r="E948" s="90"/>
      <c r="F948" s="90"/>
      <c r="G948" s="90"/>
      <c r="H948" s="90"/>
      <c r="I948" s="90"/>
      <c r="J948" s="90"/>
      <c r="K948" s="90"/>
      <c r="L948" s="90"/>
      <c r="M948" s="864"/>
      <c r="N948" s="864"/>
      <c r="O948" s="864"/>
      <c r="P948" s="864"/>
      <c r="Q948" s="864"/>
      <c r="R948" s="864"/>
      <c r="S948" s="864"/>
      <c r="T948" s="864"/>
      <c r="U948" s="864"/>
      <c r="V948" s="864"/>
      <c r="W948" s="864"/>
      <c r="X948" s="90"/>
      <c r="Y948" s="90"/>
      <c r="Z948" s="90"/>
    </row>
    <row r="949" ht="15.75" customHeight="1">
      <c r="A949" s="90"/>
      <c r="B949" s="90"/>
      <c r="C949" s="864"/>
      <c r="D949" s="90"/>
      <c r="E949" s="90"/>
      <c r="F949" s="90"/>
      <c r="G949" s="90"/>
      <c r="H949" s="90"/>
      <c r="I949" s="90"/>
      <c r="J949" s="90"/>
      <c r="K949" s="90"/>
      <c r="L949" s="90"/>
      <c r="M949" s="864"/>
      <c r="N949" s="864"/>
      <c r="O949" s="864"/>
      <c r="P949" s="864"/>
      <c r="Q949" s="864"/>
      <c r="R949" s="864"/>
      <c r="S949" s="864"/>
      <c r="T949" s="864"/>
      <c r="U949" s="864"/>
      <c r="V949" s="864"/>
      <c r="W949" s="864"/>
      <c r="X949" s="90"/>
      <c r="Y949" s="90"/>
      <c r="Z949" s="90"/>
    </row>
    <row r="950" ht="15.75" customHeight="1">
      <c r="A950" s="90"/>
      <c r="B950" s="90"/>
      <c r="C950" s="864"/>
      <c r="D950" s="90"/>
      <c r="E950" s="90"/>
      <c r="F950" s="90"/>
      <c r="G950" s="90"/>
      <c r="H950" s="90"/>
      <c r="I950" s="90"/>
      <c r="J950" s="90"/>
      <c r="K950" s="90"/>
      <c r="L950" s="90"/>
      <c r="M950" s="864"/>
      <c r="N950" s="864"/>
      <c r="O950" s="864"/>
      <c r="P950" s="864"/>
      <c r="Q950" s="864"/>
      <c r="R950" s="864"/>
      <c r="S950" s="864"/>
      <c r="T950" s="864"/>
      <c r="U950" s="864"/>
      <c r="V950" s="864"/>
      <c r="W950" s="864"/>
      <c r="X950" s="90"/>
      <c r="Y950" s="90"/>
      <c r="Z950" s="90"/>
    </row>
    <row r="951" ht="15.75" customHeight="1">
      <c r="A951" s="90"/>
      <c r="B951" s="90"/>
      <c r="C951" s="864"/>
      <c r="D951" s="90"/>
      <c r="E951" s="90"/>
      <c r="F951" s="90"/>
      <c r="G951" s="90"/>
      <c r="H951" s="90"/>
      <c r="I951" s="90"/>
      <c r="J951" s="90"/>
      <c r="K951" s="90"/>
      <c r="L951" s="90"/>
      <c r="M951" s="864"/>
      <c r="N951" s="864"/>
      <c r="O951" s="864"/>
      <c r="P951" s="864"/>
      <c r="Q951" s="864"/>
      <c r="R951" s="864"/>
      <c r="S951" s="864"/>
      <c r="T951" s="864"/>
      <c r="U951" s="864"/>
      <c r="V951" s="864"/>
      <c r="W951" s="864"/>
      <c r="X951" s="90"/>
      <c r="Y951" s="90"/>
      <c r="Z951" s="90"/>
    </row>
    <row r="952" ht="15.75" customHeight="1">
      <c r="A952" s="90"/>
      <c r="B952" s="90"/>
      <c r="C952" s="864"/>
      <c r="D952" s="90"/>
      <c r="E952" s="90"/>
      <c r="F952" s="90"/>
      <c r="G952" s="90"/>
      <c r="H952" s="90"/>
      <c r="I952" s="90"/>
      <c r="J952" s="90"/>
      <c r="K952" s="90"/>
      <c r="L952" s="90"/>
      <c r="M952" s="864"/>
      <c r="N952" s="864"/>
      <c r="O952" s="864"/>
      <c r="P952" s="864"/>
      <c r="Q952" s="864"/>
      <c r="R952" s="864"/>
      <c r="S952" s="864"/>
      <c r="T952" s="864"/>
      <c r="U952" s="864"/>
      <c r="V952" s="864"/>
      <c r="W952" s="864"/>
      <c r="X952" s="90"/>
      <c r="Y952" s="90"/>
      <c r="Z952" s="90"/>
    </row>
    <row r="953" ht="15.75" customHeight="1">
      <c r="A953" s="90"/>
      <c r="B953" s="90"/>
      <c r="C953" s="864"/>
      <c r="D953" s="90"/>
      <c r="E953" s="90"/>
      <c r="F953" s="90"/>
      <c r="G953" s="90"/>
      <c r="H953" s="90"/>
      <c r="I953" s="90"/>
      <c r="J953" s="90"/>
      <c r="K953" s="90"/>
      <c r="L953" s="90"/>
      <c r="M953" s="864"/>
      <c r="N953" s="864"/>
      <c r="O953" s="864"/>
      <c r="P953" s="864"/>
      <c r="Q953" s="864"/>
      <c r="R953" s="864"/>
      <c r="S953" s="864"/>
      <c r="T953" s="864"/>
      <c r="U953" s="864"/>
      <c r="V953" s="864"/>
      <c r="W953" s="864"/>
      <c r="X953" s="90"/>
      <c r="Y953" s="90"/>
      <c r="Z953" s="90"/>
    </row>
    <row r="954" ht="15.75" customHeight="1">
      <c r="A954" s="90"/>
      <c r="B954" s="90"/>
      <c r="C954" s="864"/>
      <c r="D954" s="90"/>
      <c r="E954" s="90"/>
      <c r="F954" s="90"/>
      <c r="G954" s="90"/>
      <c r="H954" s="90"/>
      <c r="I954" s="90"/>
      <c r="J954" s="90"/>
      <c r="K954" s="90"/>
      <c r="L954" s="90"/>
      <c r="M954" s="864"/>
      <c r="N954" s="864"/>
      <c r="O954" s="864"/>
      <c r="P954" s="864"/>
      <c r="Q954" s="864"/>
      <c r="R954" s="864"/>
      <c r="S954" s="864"/>
      <c r="T954" s="864"/>
      <c r="U954" s="864"/>
      <c r="V954" s="864"/>
      <c r="W954" s="864"/>
      <c r="X954" s="90"/>
      <c r="Y954" s="90"/>
      <c r="Z954" s="90"/>
    </row>
    <row r="955" ht="15.75" customHeight="1">
      <c r="A955" s="90"/>
      <c r="B955" s="90"/>
      <c r="C955" s="864"/>
      <c r="D955" s="90"/>
      <c r="E955" s="90"/>
      <c r="F955" s="90"/>
      <c r="G955" s="90"/>
      <c r="H955" s="90"/>
      <c r="I955" s="90"/>
      <c r="J955" s="90"/>
      <c r="K955" s="90"/>
      <c r="L955" s="90"/>
      <c r="M955" s="864"/>
      <c r="N955" s="864"/>
      <c r="O955" s="864"/>
      <c r="P955" s="864"/>
      <c r="Q955" s="864"/>
      <c r="R955" s="864"/>
      <c r="S955" s="864"/>
      <c r="T955" s="864"/>
      <c r="U955" s="864"/>
      <c r="V955" s="864"/>
      <c r="W955" s="864"/>
      <c r="X955" s="90"/>
      <c r="Y955" s="90"/>
      <c r="Z955" s="90"/>
    </row>
    <row r="956" ht="15.75" customHeight="1">
      <c r="A956" s="90"/>
      <c r="B956" s="90"/>
      <c r="C956" s="864"/>
      <c r="D956" s="90"/>
      <c r="E956" s="90"/>
      <c r="F956" s="90"/>
      <c r="G956" s="90"/>
      <c r="H956" s="90"/>
      <c r="I956" s="90"/>
      <c r="J956" s="90"/>
      <c r="K956" s="90"/>
      <c r="L956" s="90"/>
      <c r="M956" s="864"/>
      <c r="N956" s="864"/>
      <c r="O956" s="864"/>
      <c r="P956" s="864"/>
      <c r="Q956" s="864"/>
      <c r="R956" s="864"/>
      <c r="S956" s="864"/>
      <c r="T956" s="864"/>
      <c r="U956" s="864"/>
      <c r="V956" s="864"/>
      <c r="W956" s="864"/>
      <c r="X956" s="90"/>
      <c r="Y956" s="90"/>
      <c r="Z956" s="90"/>
    </row>
    <row r="957" ht="15.75" customHeight="1">
      <c r="A957" s="90"/>
      <c r="B957" s="90"/>
      <c r="C957" s="864"/>
      <c r="D957" s="90"/>
      <c r="E957" s="90"/>
      <c r="F957" s="90"/>
      <c r="G957" s="90"/>
      <c r="H957" s="90"/>
      <c r="I957" s="90"/>
      <c r="J957" s="90"/>
      <c r="K957" s="90"/>
      <c r="L957" s="90"/>
      <c r="M957" s="864"/>
      <c r="N957" s="864"/>
      <c r="O957" s="864"/>
      <c r="P957" s="864"/>
      <c r="Q957" s="864"/>
      <c r="R957" s="864"/>
      <c r="S957" s="864"/>
      <c r="T957" s="864"/>
      <c r="U957" s="864"/>
      <c r="V957" s="864"/>
      <c r="W957" s="864"/>
      <c r="X957" s="90"/>
      <c r="Y957" s="90"/>
      <c r="Z957" s="90"/>
    </row>
    <row r="958" ht="15.75" customHeight="1">
      <c r="A958" s="90"/>
      <c r="B958" s="90"/>
      <c r="C958" s="864"/>
      <c r="D958" s="90"/>
      <c r="E958" s="90"/>
      <c r="F958" s="90"/>
      <c r="G958" s="90"/>
      <c r="H958" s="90"/>
      <c r="I958" s="90"/>
      <c r="J958" s="90"/>
      <c r="K958" s="90"/>
      <c r="L958" s="90"/>
      <c r="M958" s="864"/>
      <c r="N958" s="864"/>
      <c r="O958" s="864"/>
      <c r="P958" s="864"/>
      <c r="Q958" s="864"/>
      <c r="R958" s="864"/>
      <c r="S958" s="864"/>
      <c r="T958" s="864"/>
      <c r="U958" s="864"/>
      <c r="V958" s="864"/>
      <c r="W958" s="864"/>
      <c r="X958" s="90"/>
      <c r="Y958" s="90"/>
      <c r="Z958" s="90"/>
    </row>
    <row r="959" ht="15.75" customHeight="1">
      <c r="A959" s="90"/>
      <c r="B959" s="90"/>
      <c r="C959" s="864"/>
      <c r="D959" s="90"/>
      <c r="E959" s="90"/>
      <c r="F959" s="90"/>
      <c r="G959" s="90"/>
      <c r="H959" s="90"/>
      <c r="I959" s="90"/>
      <c r="J959" s="90"/>
      <c r="K959" s="90"/>
      <c r="L959" s="90"/>
      <c r="M959" s="864"/>
      <c r="N959" s="864"/>
      <c r="O959" s="864"/>
      <c r="P959" s="864"/>
      <c r="Q959" s="864"/>
      <c r="R959" s="864"/>
      <c r="S959" s="864"/>
      <c r="T959" s="864"/>
      <c r="U959" s="864"/>
      <c r="V959" s="864"/>
      <c r="W959" s="864"/>
      <c r="X959" s="90"/>
      <c r="Y959" s="90"/>
      <c r="Z959" s="90"/>
    </row>
    <row r="960" ht="15.75" customHeight="1">
      <c r="A960" s="90"/>
      <c r="B960" s="90"/>
      <c r="C960" s="864"/>
      <c r="D960" s="90"/>
      <c r="E960" s="90"/>
      <c r="F960" s="90"/>
      <c r="G960" s="90"/>
      <c r="H960" s="90"/>
      <c r="I960" s="90"/>
      <c r="J960" s="90"/>
      <c r="K960" s="90"/>
      <c r="L960" s="90"/>
      <c r="M960" s="864"/>
      <c r="N960" s="864"/>
      <c r="O960" s="864"/>
      <c r="P960" s="864"/>
      <c r="Q960" s="864"/>
      <c r="R960" s="864"/>
      <c r="S960" s="864"/>
      <c r="T960" s="864"/>
      <c r="U960" s="864"/>
      <c r="V960" s="864"/>
      <c r="W960" s="864"/>
      <c r="X960" s="90"/>
      <c r="Y960" s="90"/>
      <c r="Z960" s="90"/>
    </row>
    <row r="961" ht="15.75" customHeight="1">
      <c r="A961" s="90"/>
      <c r="B961" s="90"/>
      <c r="C961" s="864"/>
      <c r="D961" s="90"/>
      <c r="E961" s="90"/>
      <c r="F961" s="90"/>
      <c r="G961" s="90"/>
      <c r="H961" s="90"/>
      <c r="I961" s="90"/>
      <c r="J961" s="90"/>
      <c r="K961" s="90"/>
      <c r="L961" s="90"/>
      <c r="M961" s="864"/>
      <c r="N961" s="864"/>
      <c r="O961" s="864"/>
      <c r="P961" s="864"/>
      <c r="Q961" s="864"/>
      <c r="R961" s="864"/>
      <c r="S961" s="864"/>
      <c r="T961" s="864"/>
      <c r="U961" s="864"/>
      <c r="V961" s="864"/>
      <c r="W961" s="864"/>
      <c r="X961" s="90"/>
      <c r="Y961" s="90"/>
      <c r="Z961" s="90"/>
    </row>
    <row r="962" ht="15.75" customHeight="1">
      <c r="A962" s="90"/>
      <c r="B962" s="90"/>
      <c r="C962" s="864"/>
      <c r="D962" s="90"/>
      <c r="E962" s="90"/>
      <c r="F962" s="90"/>
      <c r="G962" s="90"/>
      <c r="H962" s="90"/>
      <c r="I962" s="90"/>
      <c r="J962" s="90"/>
      <c r="K962" s="90"/>
      <c r="L962" s="90"/>
      <c r="M962" s="864"/>
      <c r="N962" s="864"/>
      <c r="O962" s="864"/>
      <c r="P962" s="864"/>
      <c r="Q962" s="864"/>
      <c r="R962" s="864"/>
      <c r="S962" s="864"/>
      <c r="T962" s="864"/>
      <c r="U962" s="864"/>
      <c r="V962" s="864"/>
      <c r="W962" s="864"/>
      <c r="X962" s="90"/>
      <c r="Y962" s="90"/>
      <c r="Z962" s="90"/>
    </row>
    <row r="963" ht="15.75" customHeight="1">
      <c r="A963" s="90"/>
      <c r="B963" s="90"/>
      <c r="C963" s="864"/>
      <c r="D963" s="90"/>
      <c r="E963" s="90"/>
      <c r="F963" s="90"/>
      <c r="G963" s="90"/>
      <c r="H963" s="90"/>
      <c r="I963" s="90"/>
      <c r="J963" s="90"/>
      <c r="K963" s="90"/>
      <c r="L963" s="90"/>
      <c r="M963" s="864"/>
      <c r="N963" s="864"/>
      <c r="O963" s="864"/>
      <c r="P963" s="864"/>
      <c r="Q963" s="864"/>
      <c r="R963" s="864"/>
      <c r="S963" s="864"/>
      <c r="T963" s="864"/>
      <c r="U963" s="864"/>
      <c r="V963" s="864"/>
      <c r="W963" s="864"/>
      <c r="X963" s="90"/>
      <c r="Y963" s="90"/>
      <c r="Z963" s="90"/>
    </row>
    <row r="964" ht="15.75" customHeight="1">
      <c r="A964" s="90"/>
      <c r="B964" s="90"/>
      <c r="C964" s="864"/>
      <c r="D964" s="90"/>
      <c r="E964" s="90"/>
      <c r="F964" s="90"/>
      <c r="G964" s="90"/>
      <c r="H964" s="90"/>
      <c r="I964" s="90"/>
      <c r="J964" s="90"/>
      <c r="K964" s="90"/>
      <c r="L964" s="90"/>
      <c r="M964" s="864"/>
      <c r="N964" s="864"/>
      <c r="O964" s="864"/>
      <c r="P964" s="864"/>
      <c r="Q964" s="864"/>
      <c r="R964" s="864"/>
      <c r="S964" s="864"/>
      <c r="T964" s="864"/>
      <c r="U964" s="864"/>
      <c r="V964" s="864"/>
      <c r="W964" s="864"/>
      <c r="X964" s="90"/>
      <c r="Y964" s="90"/>
      <c r="Z964" s="90"/>
    </row>
    <row r="965" ht="15.75" customHeight="1">
      <c r="A965" s="90"/>
      <c r="B965" s="90"/>
      <c r="C965" s="864"/>
      <c r="D965" s="90"/>
      <c r="E965" s="90"/>
      <c r="F965" s="90"/>
      <c r="G965" s="90"/>
      <c r="H965" s="90"/>
      <c r="I965" s="90"/>
      <c r="J965" s="90"/>
      <c r="K965" s="90"/>
      <c r="L965" s="90"/>
      <c r="M965" s="864"/>
      <c r="N965" s="864"/>
      <c r="O965" s="864"/>
      <c r="P965" s="864"/>
      <c r="Q965" s="864"/>
      <c r="R965" s="864"/>
      <c r="S965" s="864"/>
      <c r="T965" s="864"/>
      <c r="U965" s="864"/>
      <c r="V965" s="864"/>
      <c r="W965" s="864"/>
      <c r="X965" s="90"/>
      <c r="Y965" s="90"/>
      <c r="Z965" s="90"/>
    </row>
    <row r="966" ht="15.75" customHeight="1">
      <c r="A966" s="90"/>
      <c r="B966" s="90"/>
      <c r="C966" s="864"/>
      <c r="D966" s="90"/>
      <c r="E966" s="90"/>
      <c r="F966" s="90"/>
      <c r="G966" s="90"/>
      <c r="H966" s="90"/>
      <c r="I966" s="90"/>
      <c r="J966" s="90"/>
      <c r="K966" s="90"/>
      <c r="L966" s="90"/>
      <c r="M966" s="864"/>
      <c r="N966" s="864"/>
      <c r="O966" s="864"/>
      <c r="P966" s="864"/>
      <c r="Q966" s="864"/>
      <c r="R966" s="864"/>
      <c r="S966" s="864"/>
      <c r="T966" s="864"/>
      <c r="U966" s="864"/>
      <c r="V966" s="864"/>
      <c r="W966" s="864"/>
      <c r="X966" s="90"/>
      <c r="Y966" s="90"/>
      <c r="Z966" s="90"/>
    </row>
    <row r="967" ht="15.75" customHeight="1">
      <c r="A967" s="90"/>
      <c r="B967" s="90"/>
      <c r="C967" s="864"/>
      <c r="D967" s="90"/>
      <c r="E967" s="90"/>
      <c r="F967" s="90"/>
      <c r="G967" s="90"/>
      <c r="H967" s="90"/>
      <c r="I967" s="90"/>
      <c r="J967" s="90"/>
      <c r="K967" s="90"/>
      <c r="L967" s="90"/>
      <c r="M967" s="864"/>
      <c r="N967" s="864"/>
      <c r="O967" s="864"/>
      <c r="P967" s="864"/>
      <c r="Q967" s="864"/>
      <c r="R967" s="864"/>
      <c r="S967" s="864"/>
      <c r="T967" s="864"/>
      <c r="U967" s="864"/>
      <c r="V967" s="864"/>
      <c r="W967" s="864"/>
      <c r="X967" s="90"/>
      <c r="Y967" s="90"/>
      <c r="Z967" s="90"/>
    </row>
    <row r="968" ht="15.75" customHeight="1">
      <c r="A968" s="90"/>
      <c r="B968" s="90"/>
      <c r="C968" s="864"/>
      <c r="D968" s="90"/>
      <c r="E968" s="90"/>
      <c r="F968" s="90"/>
      <c r="G968" s="90"/>
      <c r="H968" s="90"/>
      <c r="I968" s="90"/>
      <c r="J968" s="90"/>
      <c r="K968" s="90"/>
      <c r="L968" s="90"/>
      <c r="M968" s="864"/>
      <c r="N968" s="864"/>
      <c r="O968" s="864"/>
      <c r="P968" s="864"/>
      <c r="Q968" s="864"/>
      <c r="R968" s="864"/>
      <c r="S968" s="864"/>
      <c r="T968" s="864"/>
      <c r="U968" s="864"/>
      <c r="V968" s="864"/>
      <c r="W968" s="864"/>
      <c r="X968" s="90"/>
      <c r="Y968" s="90"/>
      <c r="Z968" s="90"/>
    </row>
    <row r="969" ht="15.75" customHeight="1">
      <c r="A969" s="90"/>
      <c r="B969" s="90"/>
      <c r="C969" s="864"/>
      <c r="D969" s="90"/>
      <c r="E969" s="90"/>
      <c r="F969" s="90"/>
      <c r="G969" s="90"/>
      <c r="H969" s="90"/>
      <c r="I969" s="90"/>
      <c r="J969" s="90"/>
      <c r="K969" s="90"/>
      <c r="L969" s="90"/>
      <c r="M969" s="864"/>
      <c r="N969" s="864"/>
      <c r="O969" s="864"/>
      <c r="P969" s="864"/>
      <c r="Q969" s="864"/>
      <c r="R969" s="864"/>
      <c r="S969" s="864"/>
      <c r="T969" s="864"/>
      <c r="U969" s="864"/>
      <c r="V969" s="864"/>
      <c r="W969" s="864"/>
      <c r="X969" s="90"/>
      <c r="Y969" s="90"/>
      <c r="Z969" s="90"/>
    </row>
    <row r="970" ht="15.75" customHeight="1">
      <c r="A970" s="90"/>
      <c r="B970" s="90"/>
      <c r="C970" s="864"/>
      <c r="D970" s="90"/>
      <c r="E970" s="90"/>
      <c r="F970" s="90"/>
      <c r="G970" s="90"/>
      <c r="H970" s="90"/>
      <c r="I970" s="90"/>
      <c r="J970" s="90"/>
      <c r="K970" s="90"/>
      <c r="L970" s="90"/>
      <c r="M970" s="864"/>
      <c r="N970" s="864"/>
      <c r="O970" s="864"/>
      <c r="P970" s="864"/>
      <c r="Q970" s="864"/>
      <c r="R970" s="864"/>
      <c r="S970" s="864"/>
      <c r="T970" s="864"/>
      <c r="U970" s="864"/>
      <c r="V970" s="864"/>
      <c r="W970" s="864"/>
      <c r="X970" s="90"/>
      <c r="Y970" s="90"/>
      <c r="Z970" s="90"/>
    </row>
    <row r="971" ht="15.75" customHeight="1">
      <c r="A971" s="90"/>
      <c r="B971" s="90"/>
      <c r="C971" s="864"/>
      <c r="D971" s="90"/>
      <c r="E971" s="90"/>
      <c r="F971" s="90"/>
      <c r="G971" s="90"/>
      <c r="H971" s="90"/>
      <c r="I971" s="90"/>
      <c r="J971" s="90"/>
      <c r="K971" s="90"/>
      <c r="L971" s="90"/>
      <c r="M971" s="864"/>
      <c r="N971" s="864"/>
      <c r="O971" s="864"/>
      <c r="P971" s="864"/>
      <c r="Q971" s="864"/>
      <c r="R971" s="864"/>
      <c r="S971" s="864"/>
      <c r="T971" s="864"/>
      <c r="U971" s="864"/>
      <c r="V971" s="864"/>
      <c r="W971" s="864"/>
      <c r="X971" s="90"/>
      <c r="Y971" s="90"/>
      <c r="Z971" s="90"/>
    </row>
    <row r="972" ht="15.75" customHeight="1">
      <c r="A972" s="90"/>
      <c r="B972" s="90"/>
      <c r="C972" s="864"/>
      <c r="D972" s="90"/>
      <c r="E972" s="90"/>
      <c r="F972" s="90"/>
      <c r="G972" s="90"/>
      <c r="H972" s="90"/>
      <c r="I972" s="90"/>
      <c r="J972" s="90"/>
      <c r="K972" s="90"/>
      <c r="L972" s="90"/>
      <c r="M972" s="864"/>
      <c r="N972" s="864"/>
      <c r="O972" s="864"/>
      <c r="P972" s="864"/>
      <c r="Q972" s="864"/>
      <c r="R972" s="864"/>
      <c r="S972" s="864"/>
      <c r="T972" s="864"/>
      <c r="U972" s="864"/>
      <c r="V972" s="864"/>
      <c r="W972" s="864"/>
      <c r="X972" s="90"/>
      <c r="Y972" s="90"/>
      <c r="Z972" s="90"/>
    </row>
    <row r="973" ht="15.75" customHeight="1">
      <c r="A973" s="90"/>
      <c r="B973" s="90"/>
      <c r="C973" s="864"/>
      <c r="D973" s="90"/>
      <c r="E973" s="90"/>
      <c r="F973" s="90"/>
      <c r="G973" s="90"/>
      <c r="H973" s="90"/>
      <c r="I973" s="90"/>
      <c r="J973" s="90"/>
      <c r="K973" s="90"/>
      <c r="L973" s="90"/>
      <c r="M973" s="864"/>
      <c r="N973" s="864"/>
      <c r="O973" s="864"/>
      <c r="P973" s="864"/>
      <c r="Q973" s="864"/>
      <c r="R973" s="864"/>
      <c r="S973" s="864"/>
      <c r="T973" s="864"/>
      <c r="U973" s="864"/>
      <c r="V973" s="864"/>
      <c r="W973" s="864"/>
      <c r="X973" s="90"/>
      <c r="Y973" s="90"/>
      <c r="Z973" s="90"/>
    </row>
    <row r="974" ht="15.75" customHeight="1">
      <c r="A974" s="90"/>
      <c r="B974" s="90"/>
      <c r="C974" s="864"/>
      <c r="D974" s="90"/>
      <c r="E974" s="90"/>
      <c r="F974" s="90"/>
      <c r="G974" s="90"/>
      <c r="H974" s="90"/>
      <c r="I974" s="90"/>
      <c r="J974" s="90"/>
      <c r="K974" s="90"/>
      <c r="L974" s="90"/>
      <c r="M974" s="864"/>
      <c r="N974" s="864"/>
      <c r="O974" s="864"/>
      <c r="P974" s="864"/>
      <c r="Q974" s="864"/>
      <c r="R974" s="864"/>
      <c r="S974" s="864"/>
      <c r="T974" s="864"/>
      <c r="U974" s="864"/>
      <c r="V974" s="864"/>
      <c r="W974" s="864"/>
      <c r="X974" s="90"/>
      <c r="Y974" s="90"/>
      <c r="Z974" s="90"/>
    </row>
    <row r="975" ht="15.75" customHeight="1">
      <c r="A975" s="90"/>
      <c r="B975" s="90"/>
      <c r="C975" s="864"/>
      <c r="D975" s="90"/>
      <c r="E975" s="90"/>
      <c r="F975" s="90"/>
      <c r="G975" s="90"/>
      <c r="H975" s="90"/>
      <c r="I975" s="90"/>
      <c r="J975" s="90"/>
      <c r="K975" s="90"/>
      <c r="L975" s="90"/>
      <c r="M975" s="864"/>
      <c r="N975" s="864"/>
      <c r="O975" s="864"/>
      <c r="P975" s="864"/>
      <c r="Q975" s="864"/>
      <c r="R975" s="864"/>
      <c r="S975" s="864"/>
      <c r="T975" s="864"/>
      <c r="U975" s="864"/>
      <c r="V975" s="864"/>
      <c r="W975" s="864"/>
      <c r="X975" s="90"/>
      <c r="Y975" s="90"/>
      <c r="Z975" s="90"/>
    </row>
    <row r="976" ht="15.75" customHeight="1">
      <c r="A976" s="90"/>
      <c r="B976" s="90"/>
      <c r="C976" s="864"/>
      <c r="D976" s="90"/>
      <c r="E976" s="90"/>
      <c r="F976" s="90"/>
      <c r="G976" s="90"/>
      <c r="H976" s="90"/>
      <c r="I976" s="90"/>
      <c r="J976" s="90"/>
      <c r="K976" s="90"/>
      <c r="L976" s="90"/>
      <c r="M976" s="864"/>
      <c r="N976" s="864"/>
      <c r="O976" s="864"/>
      <c r="P976" s="864"/>
      <c r="Q976" s="864"/>
      <c r="R976" s="864"/>
      <c r="S976" s="864"/>
      <c r="T976" s="864"/>
      <c r="U976" s="864"/>
      <c r="V976" s="864"/>
      <c r="W976" s="864"/>
      <c r="X976" s="90"/>
      <c r="Y976" s="90"/>
      <c r="Z976" s="90"/>
    </row>
    <row r="977" ht="15.75" customHeight="1">
      <c r="A977" s="90"/>
      <c r="B977" s="90"/>
      <c r="C977" s="864"/>
      <c r="D977" s="90"/>
      <c r="E977" s="90"/>
      <c r="F977" s="90"/>
      <c r="G977" s="90"/>
      <c r="H977" s="90"/>
      <c r="I977" s="90"/>
      <c r="J977" s="90"/>
      <c r="K977" s="90"/>
      <c r="L977" s="90"/>
      <c r="M977" s="864"/>
      <c r="N977" s="864"/>
      <c r="O977" s="864"/>
      <c r="P977" s="864"/>
      <c r="Q977" s="864"/>
      <c r="R977" s="864"/>
      <c r="S977" s="864"/>
      <c r="T977" s="864"/>
      <c r="U977" s="864"/>
      <c r="V977" s="864"/>
      <c r="W977" s="864"/>
      <c r="X977" s="90"/>
      <c r="Y977" s="90"/>
      <c r="Z977" s="90"/>
    </row>
    <row r="978" ht="15.75" customHeight="1">
      <c r="A978" s="90"/>
      <c r="B978" s="90"/>
      <c r="C978" s="864"/>
      <c r="D978" s="90"/>
      <c r="E978" s="90"/>
      <c r="F978" s="90"/>
      <c r="G978" s="90"/>
      <c r="H978" s="90"/>
      <c r="I978" s="90"/>
      <c r="J978" s="90"/>
      <c r="K978" s="90"/>
      <c r="L978" s="90"/>
      <c r="M978" s="864"/>
      <c r="N978" s="864"/>
      <c r="O978" s="864"/>
      <c r="P978" s="864"/>
      <c r="Q978" s="864"/>
      <c r="R978" s="864"/>
      <c r="S978" s="864"/>
      <c r="T978" s="864"/>
      <c r="U978" s="864"/>
      <c r="V978" s="864"/>
      <c r="W978" s="864"/>
      <c r="X978" s="90"/>
      <c r="Y978" s="90"/>
      <c r="Z978" s="90"/>
    </row>
    <row r="979" ht="15.75" customHeight="1">
      <c r="A979" s="90"/>
      <c r="B979" s="90"/>
      <c r="C979" s="864"/>
      <c r="D979" s="90"/>
      <c r="E979" s="90"/>
      <c r="F979" s="90"/>
      <c r="G979" s="90"/>
      <c r="H979" s="90"/>
      <c r="I979" s="90"/>
      <c r="J979" s="90"/>
      <c r="K979" s="90"/>
      <c r="L979" s="90"/>
      <c r="M979" s="864"/>
      <c r="N979" s="864"/>
      <c r="O979" s="864"/>
      <c r="P979" s="864"/>
      <c r="Q979" s="864"/>
      <c r="R979" s="864"/>
      <c r="S979" s="864"/>
      <c r="T979" s="864"/>
      <c r="U979" s="864"/>
      <c r="V979" s="864"/>
      <c r="W979" s="864"/>
      <c r="X979" s="90"/>
      <c r="Y979" s="90"/>
      <c r="Z979" s="90"/>
    </row>
    <row r="980" ht="15.75" customHeight="1">
      <c r="A980" s="90"/>
      <c r="B980" s="90"/>
      <c r="C980" s="864"/>
      <c r="D980" s="90"/>
      <c r="E980" s="90"/>
      <c r="F980" s="90"/>
      <c r="G980" s="90"/>
      <c r="H980" s="90"/>
      <c r="I980" s="90"/>
      <c r="J980" s="90"/>
      <c r="K980" s="90"/>
      <c r="L980" s="90"/>
      <c r="M980" s="864"/>
      <c r="N980" s="864"/>
      <c r="O980" s="864"/>
      <c r="P980" s="864"/>
      <c r="Q980" s="864"/>
      <c r="R980" s="864"/>
      <c r="S980" s="864"/>
      <c r="T980" s="864"/>
      <c r="U980" s="864"/>
      <c r="V980" s="864"/>
      <c r="W980" s="864"/>
      <c r="X980" s="90"/>
      <c r="Y980" s="90"/>
      <c r="Z980" s="90"/>
    </row>
    <row r="981" ht="15.75" customHeight="1">
      <c r="A981" s="90"/>
      <c r="B981" s="90"/>
      <c r="C981" s="864"/>
      <c r="D981" s="90"/>
      <c r="E981" s="90"/>
      <c r="F981" s="90"/>
      <c r="G981" s="90"/>
      <c r="H981" s="90"/>
      <c r="I981" s="90"/>
      <c r="J981" s="90"/>
      <c r="K981" s="90"/>
      <c r="L981" s="90"/>
      <c r="M981" s="864"/>
      <c r="N981" s="864"/>
      <c r="O981" s="864"/>
      <c r="P981" s="864"/>
      <c r="Q981" s="864"/>
      <c r="R981" s="864"/>
      <c r="S981" s="864"/>
      <c r="T981" s="864"/>
      <c r="U981" s="864"/>
      <c r="V981" s="864"/>
      <c r="W981" s="864"/>
      <c r="X981" s="90"/>
      <c r="Y981" s="90"/>
      <c r="Z981" s="90"/>
    </row>
    <row r="982" ht="15.75" customHeight="1">
      <c r="A982" s="90"/>
      <c r="B982" s="90"/>
      <c r="C982" s="864"/>
      <c r="D982" s="90"/>
      <c r="E982" s="90"/>
      <c r="F982" s="90"/>
      <c r="G982" s="90"/>
      <c r="H982" s="90"/>
      <c r="I982" s="90"/>
      <c r="J982" s="90"/>
      <c r="K982" s="90"/>
      <c r="L982" s="90"/>
      <c r="M982" s="864"/>
      <c r="N982" s="864"/>
      <c r="O982" s="864"/>
      <c r="P982" s="864"/>
      <c r="Q982" s="864"/>
      <c r="R982" s="864"/>
      <c r="S982" s="864"/>
      <c r="T982" s="864"/>
      <c r="U982" s="864"/>
      <c r="V982" s="864"/>
      <c r="W982" s="864"/>
      <c r="X982" s="90"/>
      <c r="Y982" s="90"/>
      <c r="Z982" s="90"/>
    </row>
    <row r="983" ht="15.75" customHeight="1">
      <c r="A983" s="90"/>
      <c r="B983" s="90"/>
      <c r="C983" s="864"/>
      <c r="D983" s="90"/>
      <c r="E983" s="90"/>
      <c r="F983" s="90"/>
      <c r="G983" s="90"/>
      <c r="H983" s="90"/>
      <c r="I983" s="90"/>
      <c r="J983" s="90"/>
      <c r="K983" s="90"/>
      <c r="L983" s="90"/>
      <c r="M983" s="864"/>
      <c r="N983" s="864"/>
      <c r="O983" s="864"/>
      <c r="P983" s="864"/>
      <c r="Q983" s="864"/>
      <c r="R983" s="864"/>
      <c r="S983" s="864"/>
      <c r="T983" s="864"/>
      <c r="U983" s="864"/>
      <c r="V983" s="864"/>
      <c r="W983" s="864"/>
      <c r="X983" s="90"/>
      <c r="Y983" s="90"/>
      <c r="Z983" s="90"/>
    </row>
    <row r="984" ht="15.75" customHeight="1">
      <c r="A984" s="90"/>
      <c r="B984" s="90"/>
      <c r="C984" s="864"/>
      <c r="D984" s="90"/>
      <c r="E984" s="90"/>
      <c r="F984" s="90"/>
      <c r="G984" s="90"/>
      <c r="H984" s="90"/>
      <c r="I984" s="90"/>
      <c r="J984" s="90"/>
      <c r="K984" s="90"/>
      <c r="L984" s="90"/>
      <c r="M984" s="864"/>
      <c r="N984" s="864"/>
      <c r="O984" s="864"/>
      <c r="P984" s="864"/>
      <c r="Q984" s="864"/>
      <c r="R984" s="864"/>
      <c r="S984" s="864"/>
      <c r="T984" s="864"/>
      <c r="U984" s="864"/>
      <c r="V984" s="864"/>
      <c r="W984" s="864"/>
      <c r="X984" s="90"/>
      <c r="Y984" s="90"/>
      <c r="Z984" s="90"/>
    </row>
    <row r="985" ht="15.75" customHeight="1">
      <c r="A985" s="90"/>
      <c r="B985" s="90"/>
      <c r="C985" s="864"/>
      <c r="D985" s="90"/>
      <c r="E985" s="90"/>
      <c r="F985" s="90"/>
      <c r="G985" s="90"/>
      <c r="H985" s="90"/>
      <c r="I985" s="90"/>
      <c r="J985" s="90"/>
      <c r="K985" s="90"/>
      <c r="L985" s="90"/>
      <c r="M985" s="864"/>
      <c r="N985" s="864"/>
      <c r="O985" s="864"/>
      <c r="P985" s="864"/>
      <c r="Q985" s="864"/>
      <c r="R985" s="864"/>
      <c r="S985" s="864"/>
      <c r="T985" s="864"/>
      <c r="U985" s="864"/>
      <c r="V985" s="864"/>
      <c r="W985" s="864"/>
      <c r="X985" s="90"/>
      <c r="Y985" s="90"/>
      <c r="Z985" s="90"/>
    </row>
    <row r="986" ht="15.75" customHeight="1">
      <c r="A986" s="90"/>
      <c r="B986" s="90"/>
      <c r="C986" s="864"/>
      <c r="D986" s="90"/>
      <c r="E986" s="90"/>
      <c r="F986" s="90"/>
      <c r="G986" s="90"/>
      <c r="H986" s="90"/>
      <c r="I986" s="90"/>
      <c r="J986" s="90"/>
      <c r="K986" s="90"/>
      <c r="L986" s="90"/>
      <c r="M986" s="864"/>
      <c r="N986" s="864"/>
      <c r="O986" s="864"/>
      <c r="P986" s="864"/>
      <c r="Q986" s="864"/>
      <c r="R986" s="864"/>
      <c r="S986" s="864"/>
      <c r="T986" s="864"/>
      <c r="U986" s="864"/>
      <c r="V986" s="864"/>
      <c r="W986" s="864"/>
      <c r="X986" s="90"/>
      <c r="Y986" s="90"/>
      <c r="Z986" s="90"/>
    </row>
    <row r="987" ht="15.75" customHeight="1">
      <c r="A987" s="90"/>
      <c r="B987" s="90"/>
      <c r="C987" s="864"/>
      <c r="D987" s="90"/>
      <c r="E987" s="90"/>
      <c r="F987" s="90"/>
      <c r="G987" s="90"/>
      <c r="H987" s="90"/>
      <c r="I987" s="90"/>
      <c r="J987" s="90"/>
      <c r="K987" s="90"/>
      <c r="L987" s="90"/>
      <c r="M987" s="864"/>
      <c r="N987" s="864"/>
      <c r="O987" s="864"/>
      <c r="P987" s="864"/>
      <c r="Q987" s="864"/>
      <c r="R987" s="864"/>
      <c r="S987" s="864"/>
      <c r="T987" s="864"/>
      <c r="U987" s="864"/>
      <c r="V987" s="864"/>
      <c r="W987" s="864"/>
      <c r="X987" s="90"/>
      <c r="Y987" s="90"/>
      <c r="Z987" s="90"/>
    </row>
    <row r="988" ht="15.75" customHeight="1">
      <c r="A988" s="90"/>
      <c r="B988" s="90"/>
      <c r="C988" s="864"/>
      <c r="D988" s="90"/>
      <c r="E988" s="90"/>
      <c r="F988" s="90"/>
      <c r="G988" s="90"/>
      <c r="H988" s="90"/>
      <c r="I988" s="90"/>
      <c r="J988" s="90"/>
      <c r="K988" s="90"/>
      <c r="L988" s="90"/>
      <c r="M988" s="864"/>
      <c r="N988" s="864"/>
      <c r="O988" s="864"/>
      <c r="P988" s="864"/>
      <c r="Q988" s="864"/>
      <c r="R988" s="864"/>
      <c r="S988" s="864"/>
      <c r="T988" s="864"/>
      <c r="U988" s="864"/>
      <c r="V988" s="864"/>
      <c r="W988" s="864"/>
      <c r="X988" s="90"/>
      <c r="Y988" s="90"/>
      <c r="Z988" s="90"/>
    </row>
    <row r="989" ht="15.75" customHeight="1">
      <c r="A989" s="90"/>
      <c r="B989" s="90"/>
      <c r="C989" s="864"/>
      <c r="D989" s="90"/>
      <c r="E989" s="90"/>
      <c r="F989" s="90"/>
      <c r="G989" s="90"/>
      <c r="H989" s="90"/>
      <c r="I989" s="90"/>
      <c r="J989" s="90"/>
      <c r="K989" s="90"/>
      <c r="L989" s="90"/>
      <c r="M989" s="864"/>
      <c r="N989" s="864"/>
      <c r="O989" s="864"/>
      <c r="P989" s="864"/>
      <c r="Q989" s="864"/>
      <c r="R989" s="864"/>
      <c r="S989" s="864"/>
      <c r="T989" s="864"/>
      <c r="U989" s="864"/>
      <c r="V989" s="864"/>
      <c r="W989" s="864"/>
      <c r="X989" s="90"/>
      <c r="Y989" s="90"/>
      <c r="Z989" s="90"/>
    </row>
    <row r="990" ht="15.75" customHeight="1">
      <c r="A990" s="90"/>
      <c r="B990" s="90"/>
      <c r="C990" s="864"/>
      <c r="D990" s="90"/>
      <c r="E990" s="90"/>
      <c r="F990" s="90"/>
      <c r="G990" s="90"/>
      <c r="H990" s="90"/>
      <c r="I990" s="90"/>
      <c r="J990" s="90"/>
      <c r="K990" s="90"/>
      <c r="L990" s="90"/>
      <c r="M990" s="864"/>
      <c r="N990" s="864"/>
      <c r="O990" s="864"/>
      <c r="P990" s="864"/>
      <c r="Q990" s="864"/>
      <c r="R990" s="864"/>
      <c r="S990" s="864"/>
      <c r="T990" s="864"/>
      <c r="U990" s="864"/>
      <c r="V990" s="864"/>
      <c r="W990" s="864"/>
      <c r="X990" s="90"/>
      <c r="Y990" s="90"/>
      <c r="Z990" s="90"/>
    </row>
    <row r="991" ht="15.75" customHeight="1">
      <c r="A991" s="90"/>
      <c r="B991" s="90"/>
      <c r="C991" s="864"/>
      <c r="D991" s="90"/>
      <c r="E991" s="90"/>
      <c r="F991" s="90"/>
      <c r="G991" s="90"/>
      <c r="H991" s="90"/>
      <c r="I991" s="90"/>
      <c r="J991" s="90"/>
      <c r="K991" s="90"/>
      <c r="L991" s="90"/>
      <c r="M991" s="864"/>
      <c r="N991" s="864"/>
      <c r="O991" s="864"/>
      <c r="P991" s="864"/>
      <c r="Q991" s="864"/>
      <c r="R991" s="864"/>
      <c r="S991" s="864"/>
      <c r="T991" s="864"/>
      <c r="U991" s="864"/>
      <c r="V991" s="864"/>
      <c r="W991" s="864"/>
      <c r="X991" s="90"/>
      <c r="Y991" s="90"/>
      <c r="Z991" s="90"/>
    </row>
    <row r="992" ht="15.75" customHeight="1">
      <c r="A992" s="90"/>
      <c r="B992" s="90"/>
      <c r="C992" s="864"/>
      <c r="D992" s="90"/>
      <c r="E992" s="90"/>
      <c r="F992" s="90"/>
      <c r="G992" s="90"/>
      <c r="H992" s="90"/>
      <c r="I992" s="90"/>
      <c r="J992" s="90"/>
      <c r="K992" s="90"/>
      <c r="L992" s="90"/>
      <c r="M992" s="864"/>
      <c r="N992" s="864"/>
      <c r="O992" s="864"/>
      <c r="P992" s="864"/>
      <c r="Q992" s="864"/>
      <c r="R992" s="864"/>
      <c r="S992" s="864"/>
      <c r="T992" s="864"/>
      <c r="U992" s="864"/>
      <c r="V992" s="864"/>
      <c r="W992" s="864"/>
      <c r="X992" s="90"/>
      <c r="Y992" s="90"/>
      <c r="Z992" s="90"/>
    </row>
    <row r="993" ht="15.75" customHeight="1">
      <c r="A993" s="90"/>
      <c r="B993" s="90"/>
      <c r="C993" s="864"/>
      <c r="D993" s="90"/>
      <c r="E993" s="90"/>
      <c r="F993" s="90"/>
      <c r="G993" s="90"/>
      <c r="H993" s="90"/>
      <c r="I993" s="90"/>
      <c r="J993" s="90"/>
      <c r="K993" s="90"/>
      <c r="L993" s="90"/>
      <c r="M993" s="864"/>
      <c r="N993" s="864"/>
      <c r="O993" s="864"/>
      <c r="P993" s="864"/>
      <c r="Q993" s="864"/>
      <c r="R993" s="864"/>
      <c r="S993" s="864"/>
      <c r="T993" s="864"/>
      <c r="U993" s="864"/>
      <c r="V993" s="864"/>
      <c r="W993" s="864"/>
      <c r="X993" s="90"/>
      <c r="Y993" s="90"/>
      <c r="Z993" s="90"/>
    </row>
    <row r="994" ht="15.75" customHeight="1">
      <c r="A994" s="90"/>
      <c r="B994" s="90"/>
      <c r="C994" s="864"/>
      <c r="D994" s="90"/>
      <c r="E994" s="90"/>
      <c r="F994" s="90"/>
      <c r="G994" s="90"/>
      <c r="H994" s="90"/>
      <c r="I994" s="90"/>
      <c r="J994" s="90"/>
      <c r="K994" s="90"/>
      <c r="L994" s="90"/>
      <c r="M994" s="864"/>
      <c r="N994" s="864"/>
      <c r="O994" s="864"/>
      <c r="P994" s="864"/>
      <c r="Q994" s="864"/>
      <c r="R994" s="864"/>
      <c r="S994" s="864"/>
      <c r="T994" s="864"/>
      <c r="U994" s="864"/>
      <c r="V994" s="864"/>
      <c r="W994" s="864"/>
      <c r="X994" s="90"/>
      <c r="Y994" s="90"/>
      <c r="Z994" s="90"/>
    </row>
    <row r="995" ht="15.75" customHeight="1">
      <c r="A995" s="90"/>
      <c r="B995" s="90"/>
      <c r="C995" s="864"/>
      <c r="D995" s="90"/>
      <c r="E995" s="90"/>
      <c r="F995" s="90"/>
      <c r="G995" s="90"/>
      <c r="H995" s="90"/>
      <c r="I995" s="90"/>
      <c r="J995" s="90"/>
      <c r="K995" s="90"/>
      <c r="L995" s="90"/>
      <c r="M995" s="864"/>
      <c r="N995" s="864"/>
      <c r="O995" s="864"/>
      <c r="P995" s="864"/>
      <c r="Q995" s="864"/>
      <c r="R995" s="864"/>
      <c r="S995" s="864"/>
      <c r="T995" s="864"/>
      <c r="U995" s="864"/>
      <c r="V995" s="864"/>
      <c r="W995" s="864"/>
      <c r="X995" s="90"/>
      <c r="Y995" s="90"/>
      <c r="Z995" s="90"/>
    </row>
    <row r="996" ht="15.75" customHeight="1">
      <c r="A996" s="90"/>
      <c r="B996" s="90"/>
      <c r="C996" s="864"/>
      <c r="D996" s="90"/>
      <c r="E996" s="90"/>
      <c r="F996" s="90"/>
      <c r="G996" s="90"/>
      <c r="H996" s="90"/>
      <c r="I996" s="90"/>
      <c r="J996" s="90"/>
      <c r="K996" s="90"/>
      <c r="L996" s="90"/>
      <c r="M996" s="864"/>
      <c r="N996" s="864"/>
      <c r="O996" s="864"/>
      <c r="P996" s="864"/>
      <c r="Q996" s="864"/>
      <c r="R996" s="864"/>
      <c r="S996" s="864"/>
      <c r="T996" s="864"/>
      <c r="U996" s="864"/>
      <c r="V996" s="864"/>
      <c r="W996" s="864"/>
      <c r="X996" s="90"/>
      <c r="Y996" s="90"/>
      <c r="Z996" s="90"/>
    </row>
    <row r="997" ht="15.75" customHeight="1">
      <c r="A997" s="90"/>
      <c r="B997" s="90"/>
      <c r="C997" s="864"/>
      <c r="D997" s="90"/>
      <c r="E997" s="90"/>
      <c r="F997" s="90"/>
      <c r="G997" s="90"/>
      <c r="H997" s="90"/>
      <c r="I997" s="90"/>
      <c r="J997" s="90"/>
      <c r="K997" s="90"/>
      <c r="L997" s="90"/>
      <c r="M997" s="864"/>
      <c r="N997" s="864"/>
      <c r="O997" s="864"/>
      <c r="P997" s="864"/>
      <c r="Q997" s="864"/>
      <c r="R997" s="864"/>
      <c r="S997" s="864"/>
      <c r="T997" s="864"/>
      <c r="U997" s="864"/>
      <c r="V997" s="864"/>
      <c r="W997" s="864"/>
      <c r="X997" s="90"/>
      <c r="Y997" s="90"/>
      <c r="Z997" s="90"/>
    </row>
    <row r="998" ht="15.75" customHeight="1">
      <c r="A998" s="90"/>
      <c r="B998" s="90"/>
      <c r="C998" s="864"/>
      <c r="D998" s="90"/>
      <c r="E998" s="90"/>
      <c r="F998" s="90"/>
      <c r="G998" s="90"/>
      <c r="H998" s="90"/>
      <c r="I998" s="90"/>
      <c r="J998" s="90"/>
      <c r="K998" s="90"/>
      <c r="L998" s="90"/>
      <c r="M998" s="864"/>
      <c r="N998" s="864"/>
      <c r="O998" s="864"/>
      <c r="P998" s="864"/>
      <c r="Q998" s="864"/>
      <c r="R998" s="864"/>
      <c r="S998" s="864"/>
      <c r="T998" s="864"/>
      <c r="U998" s="864"/>
      <c r="V998" s="864"/>
      <c r="W998" s="864"/>
      <c r="X998" s="90"/>
      <c r="Y998" s="90"/>
      <c r="Z998" s="90"/>
    </row>
    <row r="999" ht="15.75" customHeight="1">
      <c r="A999" s="90"/>
      <c r="B999" s="90"/>
      <c r="C999" s="864"/>
      <c r="D999" s="90"/>
      <c r="E999" s="90"/>
      <c r="F999" s="90"/>
      <c r="G999" s="90"/>
      <c r="H999" s="90"/>
      <c r="I999" s="90"/>
      <c r="J999" s="90"/>
      <c r="K999" s="90"/>
      <c r="L999" s="90"/>
      <c r="M999" s="864"/>
      <c r="N999" s="864"/>
      <c r="O999" s="864"/>
      <c r="P999" s="864"/>
      <c r="Q999" s="864"/>
      <c r="R999" s="864"/>
      <c r="S999" s="864"/>
      <c r="T999" s="864"/>
      <c r="U999" s="864"/>
      <c r="V999" s="864"/>
      <c r="W999" s="864"/>
      <c r="X999" s="90"/>
      <c r="Y999" s="90"/>
      <c r="Z999" s="90"/>
    </row>
    <row r="1000" ht="15.75" customHeight="1">
      <c r="A1000" s="90"/>
      <c r="B1000" s="90"/>
      <c r="C1000" s="864"/>
      <c r="D1000" s="90"/>
      <c r="E1000" s="90"/>
      <c r="F1000" s="90"/>
      <c r="G1000" s="90"/>
      <c r="H1000" s="90"/>
      <c r="I1000" s="90"/>
      <c r="J1000" s="90"/>
      <c r="K1000" s="90"/>
      <c r="L1000" s="90"/>
      <c r="M1000" s="864"/>
      <c r="N1000" s="864"/>
      <c r="O1000" s="864"/>
      <c r="P1000" s="864"/>
      <c r="Q1000" s="864"/>
      <c r="R1000" s="864"/>
      <c r="S1000" s="864"/>
      <c r="T1000" s="864"/>
      <c r="U1000" s="864"/>
      <c r="V1000" s="864"/>
      <c r="W1000" s="864"/>
      <c r="X1000" s="90"/>
      <c r="Y1000" s="90"/>
      <c r="Z1000" s="90"/>
    </row>
  </sheetData>
  <printOptions/>
  <pageMargins bottom="0.75" footer="0.0" header="0.0" left="0.25" right="0.25" top="0.75"/>
  <pageSetup fitToHeight="0" paperSize="9" orientation="portrait"/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hidden="1" min="2" max="2" width="8.71"/>
    <col customWidth="1" min="3" max="3" width="23.57"/>
    <col customWidth="1" min="4" max="4" width="26.29"/>
    <col customWidth="1" min="5" max="5" width="6.57"/>
    <col customWidth="1" hidden="1" min="6" max="9" width="8.71"/>
    <col customWidth="1" min="10" max="10" width="9.43"/>
    <col customWidth="1" hidden="1" min="11" max="12" width="8.71"/>
    <col customWidth="1" hidden="1" min="13" max="13" width="1.29"/>
    <col customWidth="1" min="14" max="14" width="5.57"/>
    <col customWidth="1" min="15" max="15" width="18.57"/>
    <col customWidth="1" min="16" max="26" width="8.71"/>
  </cols>
  <sheetData>
    <row r="1" ht="21.0" customHeight="1">
      <c r="A1" s="865" t="s">
        <v>2814</v>
      </c>
      <c r="B1" s="865" t="s">
        <v>1</v>
      </c>
      <c r="C1" s="866" t="s">
        <v>3060</v>
      </c>
      <c r="D1" s="867" t="s">
        <v>3061</v>
      </c>
      <c r="E1" s="865" t="s">
        <v>4</v>
      </c>
      <c r="F1" s="865" t="s">
        <v>6</v>
      </c>
      <c r="G1" s="865" t="s">
        <v>7</v>
      </c>
      <c r="H1" s="865" t="s">
        <v>3</v>
      </c>
      <c r="I1" s="865" t="s">
        <v>12</v>
      </c>
      <c r="J1" s="865" t="s">
        <v>13</v>
      </c>
      <c r="K1" s="868" t="s">
        <v>2816</v>
      </c>
      <c r="L1" s="868"/>
      <c r="M1" s="868"/>
      <c r="N1" s="865" t="s">
        <v>2767</v>
      </c>
      <c r="O1" s="867" t="s">
        <v>3062</v>
      </c>
    </row>
    <row r="2" ht="45.0" customHeight="1">
      <c r="A2" s="869">
        <v>1.0</v>
      </c>
      <c r="B2" s="869" t="s">
        <v>2830</v>
      </c>
      <c r="C2" s="870" t="s">
        <v>176</v>
      </c>
      <c r="D2" s="871" t="s">
        <v>3063</v>
      </c>
      <c r="E2" s="869">
        <v>5.0</v>
      </c>
      <c r="F2" s="869">
        <v>250.0</v>
      </c>
      <c r="G2" s="869">
        <v>1250.0</v>
      </c>
      <c r="H2" s="869" t="s">
        <v>1697</v>
      </c>
      <c r="I2" s="869" t="s">
        <v>180</v>
      </c>
      <c r="J2" s="869" t="e">
        <v>#VALUE!</v>
      </c>
      <c r="K2" s="869" t="s">
        <v>2798</v>
      </c>
      <c r="L2" s="869" t="s">
        <v>2831</v>
      </c>
      <c r="M2" s="869" t="s">
        <v>1688</v>
      </c>
      <c r="N2" s="872" t="s">
        <v>3064</v>
      </c>
      <c r="O2" s="871"/>
    </row>
    <row r="3" ht="45.0" customHeight="1">
      <c r="A3" s="869">
        <v>2.0</v>
      </c>
      <c r="B3" s="869" t="s">
        <v>2834</v>
      </c>
      <c r="C3" s="870" t="s">
        <v>2835</v>
      </c>
      <c r="D3" s="871" t="s">
        <v>3065</v>
      </c>
      <c r="E3" s="869">
        <v>20.0</v>
      </c>
      <c r="F3" s="869">
        <v>40.0</v>
      </c>
      <c r="G3" s="869">
        <v>800.0</v>
      </c>
      <c r="H3" s="869" t="s">
        <v>1697</v>
      </c>
      <c r="I3" s="869" t="s">
        <v>1422</v>
      </c>
      <c r="J3" s="869" t="e">
        <v>#VALUE!</v>
      </c>
      <c r="K3" s="869" t="s">
        <v>2696</v>
      </c>
      <c r="L3" s="869">
        <v>0.0</v>
      </c>
      <c r="M3" s="869" t="s">
        <v>1688</v>
      </c>
      <c r="N3" s="872" t="s">
        <v>3064</v>
      </c>
      <c r="O3" s="871"/>
    </row>
    <row r="4" ht="45.0" customHeight="1">
      <c r="A4" s="869">
        <v>3.0</v>
      </c>
      <c r="B4" s="869" t="s">
        <v>2836</v>
      </c>
      <c r="C4" s="870" t="s">
        <v>183</v>
      </c>
      <c r="D4" s="871" t="s">
        <v>3066</v>
      </c>
      <c r="E4" s="869">
        <v>5.0</v>
      </c>
      <c r="F4" s="869">
        <v>100.0</v>
      </c>
      <c r="G4" s="869">
        <v>500.0</v>
      </c>
      <c r="H4" s="869" t="s">
        <v>1697</v>
      </c>
      <c r="I4" s="869" t="s">
        <v>490</v>
      </c>
      <c r="J4" s="869" t="e">
        <v>#VALUE!</v>
      </c>
      <c r="K4" s="869" t="s">
        <v>2798</v>
      </c>
      <c r="L4" s="869" t="s">
        <v>2831</v>
      </c>
      <c r="M4" s="869" t="s">
        <v>1688</v>
      </c>
      <c r="N4" s="872" t="s">
        <v>3064</v>
      </c>
      <c r="O4" s="871"/>
    </row>
    <row r="5" ht="45.0" customHeight="1">
      <c r="A5" s="869">
        <v>4.0</v>
      </c>
      <c r="B5" s="869" t="s">
        <v>2837</v>
      </c>
      <c r="C5" s="870" t="s">
        <v>2838</v>
      </c>
      <c r="D5" s="871" t="s">
        <v>3067</v>
      </c>
      <c r="E5" s="869">
        <v>10.0</v>
      </c>
      <c r="F5" s="869">
        <v>300.0</v>
      </c>
      <c r="G5" s="869">
        <v>3000.0</v>
      </c>
      <c r="H5" s="869" t="s">
        <v>1697</v>
      </c>
      <c r="I5" s="869" t="s">
        <v>1427</v>
      </c>
      <c r="J5" s="869" t="e">
        <v>#VALUE!</v>
      </c>
      <c r="K5" s="869" t="s">
        <v>2839</v>
      </c>
      <c r="L5" s="869" t="s">
        <v>2831</v>
      </c>
      <c r="M5" s="869" t="s">
        <v>1688</v>
      </c>
      <c r="N5" s="872" t="s">
        <v>3064</v>
      </c>
      <c r="O5" s="871"/>
    </row>
    <row r="6" ht="45.0" customHeight="1">
      <c r="A6" s="869">
        <v>5.0</v>
      </c>
      <c r="B6" s="869" t="s">
        <v>2840</v>
      </c>
      <c r="C6" s="870" t="s">
        <v>2841</v>
      </c>
      <c r="D6" s="871" t="s">
        <v>3068</v>
      </c>
      <c r="E6" s="869">
        <v>20.0</v>
      </c>
      <c r="F6" s="869">
        <v>7.5</v>
      </c>
      <c r="G6" s="869">
        <v>150.0</v>
      </c>
      <c r="H6" s="869" t="s">
        <v>1697</v>
      </c>
      <c r="I6" s="869" t="s">
        <v>1515</v>
      </c>
      <c r="J6" s="869" t="e">
        <v>#VALUE!</v>
      </c>
      <c r="K6" s="869" t="s">
        <v>2798</v>
      </c>
      <c r="L6" s="869" t="s">
        <v>2831</v>
      </c>
      <c r="M6" s="869" t="s">
        <v>1688</v>
      </c>
      <c r="N6" s="872" t="s">
        <v>3064</v>
      </c>
      <c r="O6" s="871"/>
    </row>
    <row r="7" ht="45.0" customHeight="1">
      <c r="A7" s="869">
        <v>6.0</v>
      </c>
      <c r="B7" s="869" t="s">
        <v>2842</v>
      </c>
      <c r="C7" s="870" t="s">
        <v>890</v>
      </c>
      <c r="D7" s="871" t="s">
        <v>3069</v>
      </c>
      <c r="E7" s="869">
        <v>10.0</v>
      </c>
      <c r="F7" s="869">
        <v>300.0</v>
      </c>
      <c r="G7" s="869">
        <v>3000.0</v>
      </c>
      <c r="H7" s="869" t="s">
        <v>1697</v>
      </c>
      <c r="I7" s="869" t="s">
        <v>1440</v>
      </c>
      <c r="J7" s="869" t="e">
        <v>#VALUE!</v>
      </c>
      <c r="K7" s="869" t="s">
        <v>2839</v>
      </c>
      <c r="L7" s="869" t="s">
        <v>2831</v>
      </c>
      <c r="M7" s="869" t="s">
        <v>1688</v>
      </c>
      <c r="N7" s="872" t="s">
        <v>3064</v>
      </c>
      <c r="O7" s="871"/>
    </row>
    <row r="8" ht="45.0" customHeight="1">
      <c r="A8" s="869">
        <v>7.0</v>
      </c>
      <c r="B8" s="869" t="s">
        <v>2843</v>
      </c>
      <c r="C8" s="870" t="s">
        <v>2844</v>
      </c>
      <c r="D8" s="871" t="s">
        <v>3070</v>
      </c>
      <c r="E8" s="869">
        <v>15.0</v>
      </c>
      <c r="F8" s="869">
        <v>400.0</v>
      </c>
      <c r="G8" s="869">
        <v>6000.0</v>
      </c>
      <c r="H8" s="869" t="s">
        <v>1697</v>
      </c>
      <c r="I8" s="869" t="s">
        <v>892</v>
      </c>
      <c r="J8" s="869" t="e">
        <v>#VALUE!</v>
      </c>
      <c r="K8" s="869" t="s">
        <v>2798</v>
      </c>
      <c r="L8" s="869" t="s">
        <v>2831</v>
      </c>
      <c r="M8" s="869" t="s">
        <v>1688</v>
      </c>
      <c r="N8" s="872" t="s">
        <v>3064</v>
      </c>
      <c r="O8" s="871"/>
    </row>
    <row r="9" ht="45.0" customHeight="1">
      <c r="A9" s="869">
        <v>8.0</v>
      </c>
      <c r="B9" s="869" t="s">
        <v>2845</v>
      </c>
      <c r="C9" s="870" t="s">
        <v>2846</v>
      </c>
      <c r="D9" s="871" t="s">
        <v>3071</v>
      </c>
      <c r="E9" s="869">
        <v>10.0</v>
      </c>
      <c r="F9" s="869">
        <v>500.0</v>
      </c>
      <c r="G9" s="869">
        <v>5000.0</v>
      </c>
      <c r="H9" s="869" t="s">
        <v>1697</v>
      </c>
      <c r="I9" s="869" t="s">
        <v>422</v>
      </c>
      <c r="J9" s="869" t="e">
        <v>#VALUE!</v>
      </c>
      <c r="K9" s="869" t="s">
        <v>2798</v>
      </c>
      <c r="L9" s="869" t="s">
        <v>2831</v>
      </c>
      <c r="M9" s="869" t="s">
        <v>1688</v>
      </c>
      <c r="N9" s="872" t="s">
        <v>3064</v>
      </c>
      <c r="O9" s="871"/>
    </row>
    <row r="10" ht="45.0" customHeight="1">
      <c r="A10" s="869">
        <v>9.0</v>
      </c>
      <c r="B10" s="869" t="s">
        <v>2847</v>
      </c>
      <c r="C10" s="870" t="s">
        <v>2848</v>
      </c>
      <c r="D10" s="871" t="s">
        <v>3072</v>
      </c>
      <c r="E10" s="869">
        <v>15.0</v>
      </c>
      <c r="F10" s="869">
        <v>450.0</v>
      </c>
      <c r="G10" s="869">
        <v>6750.0</v>
      </c>
      <c r="H10" s="869" t="s">
        <v>1697</v>
      </c>
      <c r="I10" s="869" t="s">
        <v>426</v>
      </c>
      <c r="J10" s="869" t="e">
        <v>#VALUE!</v>
      </c>
      <c r="K10" s="869" t="s">
        <v>2798</v>
      </c>
      <c r="L10" s="869" t="s">
        <v>2831</v>
      </c>
      <c r="M10" s="869" t="s">
        <v>1688</v>
      </c>
      <c r="N10" s="872" t="s">
        <v>3064</v>
      </c>
      <c r="O10" s="871"/>
    </row>
    <row r="11" ht="45.0" customHeight="1">
      <c r="A11" s="869">
        <v>10.0</v>
      </c>
      <c r="B11" s="869" t="s">
        <v>2849</v>
      </c>
      <c r="C11" s="870" t="s">
        <v>2850</v>
      </c>
      <c r="D11" s="871" t="s">
        <v>3073</v>
      </c>
      <c r="E11" s="869">
        <v>10.0</v>
      </c>
      <c r="F11" s="869">
        <v>700.0</v>
      </c>
      <c r="G11" s="869">
        <v>7000.0</v>
      </c>
      <c r="H11" s="869" t="s">
        <v>1697</v>
      </c>
      <c r="I11" s="869" t="s">
        <v>431</v>
      </c>
      <c r="J11" s="869" t="e">
        <v>#VALUE!</v>
      </c>
      <c r="K11" s="869" t="s">
        <v>2798</v>
      </c>
      <c r="L11" s="869" t="s">
        <v>2831</v>
      </c>
      <c r="M11" s="869" t="s">
        <v>1688</v>
      </c>
      <c r="N11" s="872" t="s">
        <v>3064</v>
      </c>
      <c r="O11" s="871"/>
    </row>
    <row r="12" ht="45.0" customHeight="1">
      <c r="A12" s="869">
        <v>11.0</v>
      </c>
      <c r="B12" s="869" t="s">
        <v>2851</v>
      </c>
      <c r="C12" s="870" t="s">
        <v>188</v>
      </c>
      <c r="D12" s="871" t="s">
        <v>3074</v>
      </c>
      <c r="E12" s="869">
        <v>5.0</v>
      </c>
      <c r="F12" s="869">
        <v>300.0</v>
      </c>
      <c r="G12" s="869">
        <v>1500.0</v>
      </c>
      <c r="H12" s="869" t="s">
        <v>1697</v>
      </c>
      <c r="I12" s="869" t="s">
        <v>937</v>
      </c>
      <c r="J12" s="869" t="e">
        <v>#VALUE!</v>
      </c>
      <c r="K12" s="869" t="s">
        <v>2798</v>
      </c>
      <c r="L12" s="869" t="s">
        <v>2831</v>
      </c>
      <c r="M12" s="869" t="s">
        <v>1688</v>
      </c>
      <c r="N12" s="872" t="s">
        <v>3064</v>
      </c>
      <c r="O12" s="871"/>
    </row>
    <row r="13" ht="45.0" customHeight="1">
      <c r="A13" s="869">
        <v>12.0</v>
      </c>
      <c r="B13" s="869" t="s">
        <v>2852</v>
      </c>
      <c r="C13" s="870" t="s">
        <v>192</v>
      </c>
      <c r="D13" s="871" t="s">
        <v>3075</v>
      </c>
      <c r="E13" s="869">
        <v>20.0</v>
      </c>
      <c r="F13" s="869">
        <v>6.0</v>
      </c>
      <c r="G13" s="869">
        <v>120.0</v>
      </c>
      <c r="H13" s="869" t="s">
        <v>1697</v>
      </c>
      <c r="I13" s="869" t="s">
        <v>189</v>
      </c>
      <c r="J13" s="869" t="e">
        <v>#VALUE!</v>
      </c>
      <c r="K13" s="869" t="s">
        <v>2696</v>
      </c>
      <c r="L13" s="869">
        <v>0.0</v>
      </c>
      <c r="M13" s="869" t="s">
        <v>1688</v>
      </c>
      <c r="N13" s="872" t="s">
        <v>3064</v>
      </c>
      <c r="O13" s="871"/>
    </row>
    <row r="14" ht="45.0" customHeight="1">
      <c r="A14" s="869">
        <v>13.0</v>
      </c>
      <c r="B14" s="869" t="s">
        <v>2853</v>
      </c>
      <c r="C14" s="870" t="s">
        <v>198</v>
      </c>
      <c r="D14" s="871" t="s">
        <v>3076</v>
      </c>
      <c r="E14" s="869">
        <v>15.0</v>
      </c>
      <c r="F14" s="869">
        <v>20.0</v>
      </c>
      <c r="G14" s="869">
        <v>300.0</v>
      </c>
      <c r="H14" s="869" t="s">
        <v>1697</v>
      </c>
      <c r="I14" s="869" t="s">
        <v>195</v>
      </c>
      <c r="J14" s="869" t="e">
        <v>#VALUE!</v>
      </c>
      <c r="K14" s="869" t="s">
        <v>2696</v>
      </c>
      <c r="L14" s="869">
        <v>0.0</v>
      </c>
      <c r="M14" s="869" t="s">
        <v>1688</v>
      </c>
      <c r="N14" s="872" t="s">
        <v>3064</v>
      </c>
      <c r="O14" s="871"/>
    </row>
    <row r="15" ht="45.0" customHeight="1">
      <c r="A15" s="869">
        <v>14.0</v>
      </c>
      <c r="B15" s="869" t="s">
        <v>2854</v>
      </c>
      <c r="C15" s="870" t="s">
        <v>202</v>
      </c>
      <c r="D15" s="871" t="s">
        <v>3077</v>
      </c>
      <c r="E15" s="869">
        <v>10.0</v>
      </c>
      <c r="F15" s="869">
        <v>50.0</v>
      </c>
      <c r="G15" s="869">
        <v>500.0</v>
      </c>
      <c r="H15" s="869" t="s">
        <v>1697</v>
      </c>
      <c r="I15" s="869" t="s">
        <v>199</v>
      </c>
      <c r="J15" s="869" t="e">
        <v>#VALUE!</v>
      </c>
      <c r="K15" s="869" t="s">
        <v>2798</v>
      </c>
      <c r="L15" s="869" t="s">
        <v>2831</v>
      </c>
      <c r="M15" s="869" t="s">
        <v>1688</v>
      </c>
      <c r="N15" s="872" t="s">
        <v>3064</v>
      </c>
      <c r="O15" s="871"/>
    </row>
    <row r="16" ht="45.0" customHeight="1">
      <c r="A16" s="869">
        <v>15.0</v>
      </c>
      <c r="B16" s="869" t="s">
        <v>2855</v>
      </c>
      <c r="C16" s="870" t="s">
        <v>207</v>
      </c>
      <c r="D16" s="871" t="s">
        <v>3078</v>
      </c>
      <c r="E16" s="869">
        <v>30.0</v>
      </c>
      <c r="F16" s="869">
        <v>20.0</v>
      </c>
      <c r="G16" s="869">
        <v>600.0</v>
      </c>
      <c r="H16" s="869" t="s">
        <v>1697</v>
      </c>
      <c r="I16" s="869" t="s">
        <v>204</v>
      </c>
      <c r="J16" s="869" t="e">
        <v>#VALUE!</v>
      </c>
      <c r="K16" s="869" t="s">
        <v>2798</v>
      </c>
      <c r="L16" s="869" t="s">
        <v>2831</v>
      </c>
      <c r="M16" s="869" t="s">
        <v>1688</v>
      </c>
      <c r="N16" s="872" t="s">
        <v>3064</v>
      </c>
      <c r="O16" s="871"/>
    </row>
    <row r="17" ht="45.0" customHeight="1">
      <c r="A17" s="869">
        <v>16.0</v>
      </c>
      <c r="B17" s="869" t="s">
        <v>2856</v>
      </c>
      <c r="C17" s="870" t="s">
        <v>211</v>
      </c>
      <c r="D17" s="871" t="s">
        <v>3079</v>
      </c>
      <c r="E17" s="869">
        <v>20.0</v>
      </c>
      <c r="F17" s="869">
        <v>40.0</v>
      </c>
      <c r="G17" s="869">
        <v>800.0</v>
      </c>
      <c r="H17" s="869" t="s">
        <v>1697</v>
      </c>
      <c r="I17" s="869" t="s">
        <v>208</v>
      </c>
      <c r="J17" s="869" t="e">
        <v>#VALUE!</v>
      </c>
      <c r="K17" s="869" t="s">
        <v>2798</v>
      </c>
      <c r="L17" s="869" t="s">
        <v>2831</v>
      </c>
      <c r="M17" s="869" t="s">
        <v>1688</v>
      </c>
      <c r="N17" s="872" t="s">
        <v>3064</v>
      </c>
      <c r="O17" s="871"/>
    </row>
    <row r="18" ht="45.0" customHeight="1">
      <c r="A18" s="869">
        <v>17.0</v>
      </c>
      <c r="B18" s="869" t="s">
        <v>2857</v>
      </c>
      <c r="C18" s="870" t="s">
        <v>895</v>
      </c>
      <c r="D18" s="871" t="s">
        <v>3080</v>
      </c>
      <c r="E18" s="869">
        <v>10.0</v>
      </c>
      <c r="F18" s="869">
        <v>200.0</v>
      </c>
      <c r="G18" s="869">
        <v>2000.0</v>
      </c>
      <c r="H18" s="869" t="s">
        <v>1697</v>
      </c>
      <c r="I18" s="869" t="s">
        <v>990</v>
      </c>
      <c r="J18" s="869" t="e">
        <v>#VALUE!</v>
      </c>
      <c r="K18" s="869" t="s">
        <v>2839</v>
      </c>
      <c r="L18" s="869" t="s">
        <v>2831</v>
      </c>
      <c r="M18" s="869" t="s">
        <v>1688</v>
      </c>
      <c r="N18" s="872" t="s">
        <v>3064</v>
      </c>
      <c r="O18" s="871"/>
    </row>
    <row r="19" ht="45.0" customHeight="1">
      <c r="A19" s="869">
        <v>18.0</v>
      </c>
      <c r="B19" s="869" t="s">
        <v>2858</v>
      </c>
      <c r="C19" s="870" t="s">
        <v>1363</v>
      </c>
      <c r="D19" s="871" t="s">
        <v>3081</v>
      </c>
      <c r="E19" s="869">
        <v>30.0</v>
      </c>
      <c r="F19" s="869">
        <v>55.0</v>
      </c>
      <c r="G19" s="869">
        <v>1650.0</v>
      </c>
      <c r="H19" s="869" t="s">
        <v>1697</v>
      </c>
      <c r="I19" s="869" t="s">
        <v>896</v>
      </c>
      <c r="J19" s="869" t="e">
        <v>#VALUE!</v>
      </c>
      <c r="K19" s="869" t="s">
        <v>2798</v>
      </c>
      <c r="L19" s="869" t="s">
        <v>2831</v>
      </c>
      <c r="M19" s="869" t="s">
        <v>1688</v>
      </c>
      <c r="N19" s="872" t="s">
        <v>3064</v>
      </c>
      <c r="O19" s="871"/>
    </row>
    <row r="20" ht="45.0" customHeight="1">
      <c r="A20" s="869">
        <v>19.0</v>
      </c>
      <c r="B20" s="869" t="s">
        <v>2859</v>
      </c>
      <c r="C20" s="870" t="s">
        <v>1367</v>
      </c>
      <c r="D20" s="871" t="s">
        <v>3082</v>
      </c>
      <c r="E20" s="869">
        <v>30.0</v>
      </c>
      <c r="F20" s="869">
        <v>55.0</v>
      </c>
      <c r="G20" s="869">
        <v>1650.0</v>
      </c>
      <c r="H20" s="869" t="s">
        <v>1697</v>
      </c>
      <c r="I20" s="869" t="s">
        <v>1364</v>
      </c>
      <c r="J20" s="869" t="e">
        <v>#VALUE!</v>
      </c>
      <c r="K20" s="869" t="s">
        <v>2798</v>
      </c>
      <c r="L20" s="869" t="s">
        <v>2831</v>
      </c>
      <c r="M20" s="869" t="s">
        <v>1688</v>
      </c>
      <c r="N20" s="872" t="s">
        <v>3064</v>
      </c>
      <c r="O20" s="871"/>
    </row>
    <row r="21" ht="45.0" customHeight="1">
      <c r="A21" s="869">
        <v>20.0</v>
      </c>
      <c r="B21" s="869" t="s">
        <v>2860</v>
      </c>
      <c r="C21" s="870" t="s">
        <v>2861</v>
      </c>
      <c r="D21" s="871" t="s">
        <v>3083</v>
      </c>
      <c r="E21" s="869">
        <v>30.0</v>
      </c>
      <c r="F21" s="869">
        <v>30.0</v>
      </c>
      <c r="G21" s="869">
        <v>900.0</v>
      </c>
      <c r="H21" s="869" t="s">
        <v>1697</v>
      </c>
      <c r="I21" s="869" t="s">
        <v>1369</v>
      </c>
      <c r="J21" s="869" t="e">
        <v>#VALUE!</v>
      </c>
      <c r="K21" s="869" t="s">
        <v>2798</v>
      </c>
      <c r="L21" s="869">
        <v>0.0</v>
      </c>
      <c r="M21" s="869" t="s">
        <v>1688</v>
      </c>
      <c r="N21" s="872" t="s">
        <v>3064</v>
      </c>
      <c r="O21" s="871"/>
    </row>
    <row r="22" ht="45.0" customHeight="1">
      <c r="A22" s="869">
        <v>21.0</v>
      </c>
      <c r="B22" s="869" t="s">
        <v>2862</v>
      </c>
      <c r="C22" s="870" t="s">
        <v>493</v>
      </c>
      <c r="D22" s="871" t="s">
        <v>3084</v>
      </c>
      <c r="E22" s="869">
        <v>10.0</v>
      </c>
      <c r="F22" s="869">
        <v>60.0</v>
      </c>
      <c r="G22" s="869">
        <v>600.0</v>
      </c>
      <c r="H22" s="869" t="s">
        <v>1697</v>
      </c>
      <c r="I22" s="869" t="s">
        <v>2863</v>
      </c>
      <c r="J22" s="869" t="e">
        <v>#VALUE!</v>
      </c>
      <c r="K22" s="869" t="s">
        <v>2798</v>
      </c>
      <c r="L22" s="869" t="s">
        <v>2831</v>
      </c>
      <c r="M22" s="869" t="s">
        <v>1688</v>
      </c>
      <c r="N22" s="872" t="s">
        <v>3064</v>
      </c>
      <c r="O22" s="871"/>
    </row>
    <row r="23" ht="45.0" customHeight="1">
      <c r="A23" s="869">
        <v>22.0</v>
      </c>
      <c r="B23" s="869" t="s">
        <v>2864</v>
      </c>
      <c r="C23" s="870" t="s">
        <v>497</v>
      </c>
      <c r="D23" s="871" t="s">
        <v>3085</v>
      </c>
      <c r="E23" s="869">
        <v>10.0</v>
      </c>
      <c r="F23" s="869">
        <v>40.0</v>
      </c>
      <c r="G23" s="869">
        <v>400.0</v>
      </c>
      <c r="H23" s="869" t="s">
        <v>1697</v>
      </c>
      <c r="I23" s="869" t="s">
        <v>494</v>
      </c>
      <c r="J23" s="869" t="e">
        <v>#VALUE!</v>
      </c>
      <c r="K23" s="869" t="s">
        <v>2798</v>
      </c>
      <c r="L23" s="869" t="s">
        <v>2831</v>
      </c>
      <c r="M23" s="869" t="s">
        <v>1688</v>
      </c>
      <c r="N23" s="872" t="s">
        <v>3064</v>
      </c>
      <c r="O23" s="871"/>
    </row>
    <row r="24" ht="45.0" customHeight="1">
      <c r="A24" s="869">
        <v>23.0</v>
      </c>
      <c r="B24" s="869" t="s">
        <v>2865</v>
      </c>
      <c r="C24" s="870" t="s">
        <v>501</v>
      </c>
      <c r="D24" s="871" t="s">
        <v>3086</v>
      </c>
      <c r="E24" s="869">
        <v>10.0</v>
      </c>
      <c r="F24" s="869">
        <v>200.0</v>
      </c>
      <c r="G24" s="869">
        <v>2000.0</v>
      </c>
      <c r="H24" s="869" t="s">
        <v>1697</v>
      </c>
      <c r="I24" s="869" t="s">
        <v>498</v>
      </c>
      <c r="J24" s="869" t="e">
        <v>#VALUE!</v>
      </c>
      <c r="K24" s="869" t="s">
        <v>2798</v>
      </c>
      <c r="L24" s="869" t="s">
        <v>2831</v>
      </c>
      <c r="M24" s="869" t="s">
        <v>1688</v>
      </c>
      <c r="N24" s="872" t="s">
        <v>3064</v>
      </c>
      <c r="O24" s="871"/>
    </row>
    <row r="25" ht="45.0" customHeight="1">
      <c r="A25" s="869">
        <v>24.0</v>
      </c>
      <c r="B25" s="869" t="s">
        <v>2866</v>
      </c>
      <c r="C25" s="870" t="s">
        <v>505</v>
      </c>
      <c r="D25" s="871" t="s">
        <v>3087</v>
      </c>
      <c r="E25" s="869">
        <v>100.0</v>
      </c>
      <c r="F25" s="869">
        <v>10.0</v>
      </c>
      <c r="G25" s="869">
        <v>1000.0</v>
      </c>
      <c r="H25" s="869" t="s">
        <v>1697</v>
      </c>
      <c r="I25" s="869" t="s">
        <v>24</v>
      </c>
      <c r="J25" s="869" t="e">
        <v>#VALUE!</v>
      </c>
      <c r="K25" s="869" t="s">
        <v>2696</v>
      </c>
      <c r="L25" s="869">
        <v>0.0</v>
      </c>
      <c r="M25" s="869" t="s">
        <v>1688</v>
      </c>
      <c r="N25" s="872" t="s">
        <v>3064</v>
      </c>
      <c r="O25" s="871"/>
    </row>
    <row r="26" ht="45.0" customHeight="1">
      <c r="A26" s="869">
        <v>25.0</v>
      </c>
      <c r="B26" s="869" t="s">
        <v>2867</v>
      </c>
      <c r="C26" s="870" t="s">
        <v>509</v>
      </c>
      <c r="D26" s="871" t="s">
        <v>3088</v>
      </c>
      <c r="E26" s="869">
        <v>50.0</v>
      </c>
      <c r="F26" s="869">
        <v>15.0</v>
      </c>
      <c r="G26" s="869">
        <v>750.0</v>
      </c>
      <c r="H26" s="869" t="s">
        <v>1697</v>
      </c>
      <c r="I26" s="869" t="s">
        <v>506</v>
      </c>
      <c r="J26" s="869" t="e">
        <v>#VALUE!</v>
      </c>
      <c r="K26" s="869" t="s">
        <v>2696</v>
      </c>
      <c r="L26" s="869">
        <v>0.0</v>
      </c>
      <c r="M26" s="869" t="s">
        <v>1688</v>
      </c>
      <c r="N26" s="872" t="s">
        <v>3064</v>
      </c>
      <c r="O26" s="871"/>
    </row>
    <row r="27" ht="45.0" customHeight="1">
      <c r="A27" s="869">
        <v>26.0</v>
      </c>
      <c r="B27" s="869" t="s">
        <v>2868</v>
      </c>
      <c r="C27" s="870" t="s">
        <v>513</v>
      </c>
      <c r="D27" s="871" t="s">
        <v>3089</v>
      </c>
      <c r="E27" s="869">
        <v>50.0</v>
      </c>
      <c r="F27" s="869">
        <v>20.0</v>
      </c>
      <c r="G27" s="869">
        <v>1000.0</v>
      </c>
      <c r="H27" s="869" t="s">
        <v>1697</v>
      </c>
      <c r="I27" s="869" t="s">
        <v>510</v>
      </c>
      <c r="J27" s="869" t="e">
        <v>#VALUE!</v>
      </c>
      <c r="K27" s="869" t="s">
        <v>2696</v>
      </c>
      <c r="L27" s="869">
        <v>0.0</v>
      </c>
      <c r="M27" s="869" t="s">
        <v>1688</v>
      </c>
      <c r="N27" s="872" t="s">
        <v>3064</v>
      </c>
      <c r="O27" s="871"/>
    </row>
    <row r="28" ht="45.0" customHeight="1">
      <c r="A28" s="869">
        <v>27.0</v>
      </c>
      <c r="B28" s="869" t="s">
        <v>2869</v>
      </c>
      <c r="C28" s="870" t="s">
        <v>216</v>
      </c>
      <c r="D28" s="871" t="s">
        <v>3090</v>
      </c>
      <c r="E28" s="869">
        <v>20.0</v>
      </c>
      <c r="F28" s="869">
        <v>30.0</v>
      </c>
      <c r="G28" s="869">
        <v>600.0</v>
      </c>
      <c r="H28" s="869" t="s">
        <v>1697</v>
      </c>
      <c r="I28" s="869" t="s">
        <v>514</v>
      </c>
      <c r="J28" s="869" t="e">
        <v>#VALUE!</v>
      </c>
      <c r="K28" s="869" t="s">
        <v>2696</v>
      </c>
      <c r="L28" s="869">
        <v>0.0</v>
      </c>
      <c r="M28" s="869" t="s">
        <v>1688</v>
      </c>
      <c r="N28" s="872" t="s">
        <v>3064</v>
      </c>
      <c r="O28" s="871"/>
    </row>
    <row r="29" ht="45.0" customHeight="1">
      <c r="A29" s="869">
        <v>28.0</v>
      </c>
      <c r="B29" s="869" t="s">
        <v>3034</v>
      </c>
      <c r="C29" s="870" t="s">
        <v>1824</v>
      </c>
      <c r="D29" s="871" t="s">
        <v>3091</v>
      </c>
      <c r="E29" s="869">
        <v>5.0</v>
      </c>
      <c r="F29" s="869">
        <v>30.0</v>
      </c>
      <c r="G29" s="869">
        <v>150.0</v>
      </c>
      <c r="H29" s="869" t="s">
        <v>1697</v>
      </c>
      <c r="I29" s="869" t="s">
        <v>1001</v>
      </c>
      <c r="J29" s="869" t="e">
        <v>#VALUE!</v>
      </c>
      <c r="K29" s="869" t="s">
        <v>2839</v>
      </c>
      <c r="L29" s="869">
        <v>0.0</v>
      </c>
      <c r="M29" s="869" t="s">
        <v>1688</v>
      </c>
      <c r="N29" s="872" t="s">
        <v>3064</v>
      </c>
      <c r="O29" s="871"/>
    </row>
    <row r="30" ht="45.0" customHeight="1">
      <c r="A30" s="869">
        <v>29.0</v>
      </c>
      <c r="B30" s="869" t="s">
        <v>2870</v>
      </c>
      <c r="C30" s="870" t="s">
        <v>517</v>
      </c>
      <c r="D30" s="871" t="s">
        <v>3092</v>
      </c>
      <c r="E30" s="869">
        <v>100.0</v>
      </c>
      <c r="F30" s="869">
        <v>5.0</v>
      </c>
      <c r="G30" s="869">
        <v>500.0</v>
      </c>
      <c r="H30" s="869" t="s">
        <v>1697</v>
      </c>
      <c r="I30" s="869" t="s">
        <v>1519</v>
      </c>
      <c r="J30" s="869" t="e">
        <v>#VALUE!</v>
      </c>
      <c r="K30" s="869" t="s">
        <v>2655</v>
      </c>
      <c r="L30" s="869">
        <v>0.0</v>
      </c>
      <c r="M30" s="869" t="s">
        <v>1688</v>
      </c>
      <c r="N30" s="872" t="s">
        <v>3064</v>
      </c>
      <c r="O30" s="871"/>
    </row>
    <row r="31" ht="45.0" customHeight="1">
      <c r="A31" s="869">
        <v>30.0</v>
      </c>
      <c r="B31" s="869" t="s">
        <v>2871</v>
      </c>
      <c r="C31" s="870" t="s">
        <v>522</v>
      </c>
      <c r="D31" s="871" t="s">
        <v>3093</v>
      </c>
      <c r="E31" s="869">
        <v>100.0</v>
      </c>
      <c r="F31" s="869">
        <v>5.0</v>
      </c>
      <c r="G31" s="869">
        <v>500.0</v>
      </c>
      <c r="H31" s="869" t="s">
        <v>1697</v>
      </c>
      <c r="I31" s="869" t="s">
        <v>519</v>
      </c>
      <c r="J31" s="869" t="e">
        <v>#VALUE!</v>
      </c>
      <c r="K31" s="869" t="s">
        <v>2655</v>
      </c>
      <c r="L31" s="869">
        <v>0.0</v>
      </c>
      <c r="M31" s="869" t="s">
        <v>1688</v>
      </c>
      <c r="N31" s="872" t="s">
        <v>3064</v>
      </c>
      <c r="O31" s="871"/>
    </row>
    <row r="32" ht="45.0" customHeight="1">
      <c r="A32" s="869">
        <v>31.0</v>
      </c>
      <c r="B32" s="869" t="s">
        <v>2872</v>
      </c>
      <c r="C32" s="870" t="s">
        <v>526</v>
      </c>
      <c r="D32" s="871" t="s">
        <v>3094</v>
      </c>
      <c r="E32" s="869">
        <v>100.0</v>
      </c>
      <c r="F32" s="869">
        <v>5.0</v>
      </c>
      <c r="G32" s="869">
        <v>500.0</v>
      </c>
      <c r="H32" s="869" t="s">
        <v>1697</v>
      </c>
      <c r="I32" s="869" t="s">
        <v>523</v>
      </c>
      <c r="J32" s="869" t="e">
        <v>#VALUE!</v>
      </c>
      <c r="K32" s="869" t="s">
        <v>2655</v>
      </c>
      <c r="L32" s="869">
        <v>0.0</v>
      </c>
      <c r="M32" s="869" t="s">
        <v>1688</v>
      </c>
      <c r="N32" s="872" t="s">
        <v>3064</v>
      </c>
      <c r="O32" s="871"/>
    </row>
    <row r="33" ht="45.0" customHeight="1">
      <c r="A33" s="869">
        <v>32.0</v>
      </c>
      <c r="B33" s="869" t="s">
        <v>2873</v>
      </c>
      <c r="C33" s="870" t="s">
        <v>530</v>
      </c>
      <c r="D33" s="871" t="s">
        <v>3095</v>
      </c>
      <c r="E33" s="869">
        <v>100.0</v>
      </c>
      <c r="F33" s="869">
        <v>5.0</v>
      </c>
      <c r="G33" s="869">
        <v>500.0</v>
      </c>
      <c r="H33" s="869" t="s">
        <v>1697</v>
      </c>
      <c r="I33" s="869" t="s">
        <v>527</v>
      </c>
      <c r="J33" s="869" t="e">
        <v>#VALUE!</v>
      </c>
      <c r="K33" s="869" t="s">
        <v>2655</v>
      </c>
      <c r="L33" s="869">
        <v>0.0</v>
      </c>
      <c r="M33" s="869" t="s">
        <v>1688</v>
      </c>
      <c r="N33" s="872" t="s">
        <v>3064</v>
      </c>
      <c r="O33" s="871"/>
    </row>
    <row r="34" ht="45.0" customHeight="1">
      <c r="A34" s="869">
        <v>33.0</v>
      </c>
      <c r="B34" s="869" t="s">
        <v>2874</v>
      </c>
      <c r="C34" s="870" t="s">
        <v>534</v>
      </c>
      <c r="D34" s="871" t="s">
        <v>3096</v>
      </c>
      <c r="E34" s="869">
        <v>50.0</v>
      </c>
      <c r="F34" s="869">
        <v>10.0</v>
      </c>
      <c r="G34" s="869">
        <v>500.0</v>
      </c>
      <c r="H34" s="869" t="s">
        <v>1697</v>
      </c>
      <c r="I34" s="869" t="s">
        <v>531</v>
      </c>
      <c r="J34" s="869" t="e">
        <v>#VALUE!</v>
      </c>
      <c r="K34" s="869" t="s">
        <v>2655</v>
      </c>
      <c r="L34" s="869">
        <v>0.0</v>
      </c>
      <c r="M34" s="869" t="s">
        <v>1688</v>
      </c>
      <c r="N34" s="872" t="s">
        <v>3064</v>
      </c>
      <c r="O34" s="871"/>
    </row>
    <row r="35" ht="45.0" customHeight="1">
      <c r="A35" s="869">
        <v>34.0</v>
      </c>
      <c r="B35" s="869" t="s">
        <v>2875</v>
      </c>
      <c r="C35" s="870" t="s">
        <v>538</v>
      </c>
      <c r="D35" s="871" t="s">
        <v>3097</v>
      </c>
      <c r="E35" s="869">
        <v>50.0</v>
      </c>
      <c r="F35" s="869">
        <v>15.0</v>
      </c>
      <c r="G35" s="869">
        <v>750.0</v>
      </c>
      <c r="H35" s="869" t="s">
        <v>1697</v>
      </c>
      <c r="I35" s="869" t="s">
        <v>535</v>
      </c>
      <c r="J35" s="869" t="e">
        <v>#VALUE!</v>
      </c>
      <c r="K35" s="869" t="s">
        <v>2655</v>
      </c>
      <c r="L35" s="869">
        <v>0.0</v>
      </c>
      <c r="M35" s="869" t="s">
        <v>1688</v>
      </c>
      <c r="N35" s="872" t="s">
        <v>3064</v>
      </c>
      <c r="O35" s="871"/>
    </row>
    <row r="36" ht="45.0" customHeight="1">
      <c r="A36" s="869">
        <v>35.0</v>
      </c>
      <c r="B36" s="869" t="s">
        <v>2876</v>
      </c>
      <c r="C36" s="870" t="s">
        <v>542</v>
      </c>
      <c r="D36" s="871" t="s">
        <v>3098</v>
      </c>
      <c r="E36" s="869">
        <v>20.0</v>
      </c>
      <c r="F36" s="869">
        <v>20.0</v>
      </c>
      <c r="G36" s="869">
        <v>400.0</v>
      </c>
      <c r="H36" s="869" t="s">
        <v>1697</v>
      </c>
      <c r="I36" s="869" t="s">
        <v>539</v>
      </c>
      <c r="J36" s="869" t="e">
        <v>#VALUE!</v>
      </c>
      <c r="K36" s="869" t="s">
        <v>2655</v>
      </c>
      <c r="L36" s="869">
        <v>0.0</v>
      </c>
      <c r="M36" s="869" t="s">
        <v>1688</v>
      </c>
      <c r="N36" s="872" t="s">
        <v>3064</v>
      </c>
      <c r="O36" s="871"/>
    </row>
    <row r="37" ht="45.0" customHeight="1">
      <c r="A37" s="869">
        <v>36.0</v>
      </c>
      <c r="B37" s="869" t="s">
        <v>2877</v>
      </c>
      <c r="C37" s="870" t="s">
        <v>546</v>
      </c>
      <c r="D37" s="871" t="s">
        <v>3099</v>
      </c>
      <c r="E37" s="869">
        <v>20.0</v>
      </c>
      <c r="F37" s="869">
        <v>30.0</v>
      </c>
      <c r="G37" s="869">
        <v>600.0</v>
      </c>
      <c r="H37" s="869" t="s">
        <v>1697</v>
      </c>
      <c r="I37" s="869" t="s">
        <v>543</v>
      </c>
      <c r="J37" s="869" t="e">
        <v>#VALUE!</v>
      </c>
      <c r="K37" s="869" t="s">
        <v>2655</v>
      </c>
      <c r="L37" s="869">
        <v>0.0</v>
      </c>
      <c r="M37" s="869" t="s">
        <v>1688</v>
      </c>
      <c r="N37" s="872" t="s">
        <v>3064</v>
      </c>
      <c r="O37" s="871"/>
    </row>
    <row r="38" ht="45.0" customHeight="1">
      <c r="A38" s="869">
        <v>37.0</v>
      </c>
      <c r="B38" s="869" t="s">
        <v>2878</v>
      </c>
      <c r="C38" s="870" t="s">
        <v>550</v>
      </c>
      <c r="D38" s="871" t="s">
        <v>3100</v>
      </c>
      <c r="E38" s="869">
        <v>50.0</v>
      </c>
      <c r="F38" s="869">
        <v>10.0</v>
      </c>
      <c r="G38" s="869">
        <v>500.0</v>
      </c>
      <c r="H38" s="869" t="s">
        <v>1697</v>
      </c>
      <c r="I38" s="869" t="s">
        <v>547</v>
      </c>
      <c r="J38" s="869" t="e">
        <v>#VALUE!</v>
      </c>
      <c r="K38" s="869" t="s">
        <v>2655</v>
      </c>
      <c r="L38" s="869">
        <v>0.0</v>
      </c>
      <c r="M38" s="869" t="s">
        <v>1688</v>
      </c>
      <c r="N38" s="872" t="s">
        <v>3064</v>
      </c>
      <c r="O38" s="871"/>
    </row>
    <row r="39" ht="45.0" customHeight="1">
      <c r="A39" s="869">
        <v>38.0</v>
      </c>
      <c r="B39" s="869" t="s">
        <v>2879</v>
      </c>
      <c r="C39" s="870" t="s">
        <v>554</v>
      </c>
      <c r="D39" s="871" t="s">
        <v>3101</v>
      </c>
      <c r="E39" s="869">
        <v>50.0</v>
      </c>
      <c r="F39" s="869">
        <v>15.0</v>
      </c>
      <c r="G39" s="869">
        <v>750.0</v>
      </c>
      <c r="H39" s="869" t="s">
        <v>1697</v>
      </c>
      <c r="I39" s="869" t="s">
        <v>551</v>
      </c>
      <c r="J39" s="869" t="e">
        <v>#VALUE!</v>
      </c>
      <c r="K39" s="869" t="s">
        <v>2655</v>
      </c>
      <c r="L39" s="869">
        <v>0.0</v>
      </c>
      <c r="M39" s="869" t="s">
        <v>1688</v>
      </c>
      <c r="N39" s="872" t="s">
        <v>3064</v>
      </c>
      <c r="O39" s="871"/>
    </row>
    <row r="40" ht="45.0" customHeight="1">
      <c r="A40" s="869">
        <v>39.0</v>
      </c>
      <c r="B40" s="869" t="s">
        <v>2880</v>
      </c>
      <c r="C40" s="870" t="s">
        <v>558</v>
      </c>
      <c r="D40" s="871" t="s">
        <v>3102</v>
      </c>
      <c r="E40" s="869">
        <v>20.0</v>
      </c>
      <c r="F40" s="869">
        <v>20.0</v>
      </c>
      <c r="G40" s="869">
        <v>400.0</v>
      </c>
      <c r="H40" s="869" t="s">
        <v>1697</v>
      </c>
      <c r="I40" s="869" t="s">
        <v>555</v>
      </c>
      <c r="J40" s="869" t="e">
        <v>#VALUE!</v>
      </c>
      <c r="K40" s="869" t="s">
        <v>2655</v>
      </c>
      <c r="L40" s="869">
        <v>0.0</v>
      </c>
      <c r="M40" s="869" t="s">
        <v>1688</v>
      </c>
      <c r="N40" s="872" t="s">
        <v>3064</v>
      </c>
      <c r="O40" s="871"/>
    </row>
    <row r="41" ht="45.0" customHeight="1">
      <c r="A41" s="869">
        <v>40.0</v>
      </c>
      <c r="B41" s="869" t="s">
        <v>2881</v>
      </c>
      <c r="C41" s="870" t="s">
        <v>562</v>
      </c>
      <c r="D41" s="871" t="s">
        <v>3103</v>
      </c>
      <c r="E41" s="869">
        <v>20.0</v>
      </c>
      <c r="F41" s="869">
        <v>30.0</v>
      </c>
      <c r="G41" s="869">
        <v>600.0</v>
      </c>
      <c r="H41" s="869" t="s">
        <v>1697</v>
      </c>
      <c r="I41" s="869" t="s">
        <v>559</v>
      </c>
      <c r="J41" s="869" t="e">
        <v>#VALUE!</v>
      </c>
      <c r="K41" s="869" t="s">
        <v>2655</v>
      </c>
      <c r="L41" s="869">
        <v>0.0</v>
      </c>
      <c r="M41" s="869" t="s">
        <v>1688</v>
      </c>
      <c r="N41" s="872" t="s">
        <v>3064</v>
      </c>
      <c r="O41" s="871"/>
    </row>
    <row r="42" ht="45.0" customHeight="1">
      <c r="A42" s="869">
        <v>41.0</v>
      </c>
      <c r="B42" s="869" t="s">
        <v>2882</v>
      </c>
      <c r="C42" s="870" t="s">
        <v>566</v>
      </c>
      <c r="D42" s="871" t="s">
        <v>3104</v>
      </c>
      <c r="E42" s="869">
        <v>100.0</v>
      </c>
      <c r="F42" s="869">
        <v>5.0</v>
      </c>
      <c r="G42" s="869">
        <v>500.0</v>
      </c>
      <c r="H42" s="869" t="s">
        <v>1697</v>
      </c>
      <c r="I42" s="869" t="s">
        <v>563</v>
      </c>
      <c r="J42" s="869" t="e">
        <v>#VALUE!</v>
      </c>
      <c r="K42" s="869" t="s">
        <v>2655</v>
      </c>
      <c r="L42" s="869">
        <v>0.0</v>
      </c>
      <c r="M42" s="869" t="s">
        <v>1688</v>
      </c>
      <c r="N42" s="872" t="s">
        <v>3064</v>
      </c>
      <c r="O42" s="871"/>
    </row>
    <row r="43" ht="45.0" customHeight="1">
      <c r="A43" s="869">
        <v>42.0</v>
      </c>
      <c r="B43" s="869" t="s">
        <v>2883</v>
      </c>
      <c r="C43" s="870" t="s">
        <v>570</v>
      </c>
      <c r="D43" s="871" t="s">
        <v>3105</v>
      </c>
      <c r="E43" s="869">
        <v>50.0</v>
      </c>
      <c r="F43" s="869">
        <v>10.0</v>
      </c>
      <c r="G43" s="869">
        <v>500.0</v>
      </c>
      <c r="H43" s="869" t="s">
        <v>1697</v>
      </c>
      <c r="I43" s="869" t="s">
        <v>567</v>
      </c>
      <c r="J43" s="869" t="e">
        <v>#VALUE!</v>
      </c>
      <c r="K43" s="869" t="s">
        <v>2655</v>
      </c>
      <c r="L43" s="869">
        <v>0.0</v>
      </c>
      <c r="M43" s="869" t="s">
        <v>1688</v>
      </c>
      <c r="N43" s="872" t="s">
        <v>3064</v>
      </c>
      <c r="O43" s="871"/>
    </row>
    <row r="44" ht="45.0" customHeight="1">
      <c r="A44" s="869">
        <v>43.0</v>
      </c>
      <c r="B44" s="869" t="s">
        <v>2884</v>
      </c>
      <c r="C44" s="870" t="s">
        <v>574</v>
      </c>
      <c r="D44" s="871" t="s">
        <v>3106</v>
      </c>
      <c r="E44" s="869">
        <v>100.0</v>
      </c>
      <c r="F44" s="869">
        <v>5.0</v>
      </c>
      <c r="G44" s="869">
        <v>500.0</v>
      </c>
      <c r="H44" s="869" t="s">
        <v>1697</v>
      </c>
      <c r="I44" s="869" t="s">
        <v>575</v>
      </c>
      <c r="J44" s="869" t="e">
        <v>#VALUE!</v>
      </c>
      <c r="K44" s="869" t="s">
        <v>2655</v>
      </c>
      <c r="L44" s="869">
        <v>0.0</v>
      </c>
      <c r="M44" s="869" t="s">
        <v>1688</v>
      </c>
      <c r="N44" s="872" t="s">
        <v>3064</v>
      </c>
      <c r="O44" s="871"/>
    </row>
    <row r="45" ht="45.0" customHeight="1">
      <c r="A45" s="869">
        <v>44.0</v>
      </c>
      <c r="B45" s="869" t="s">
        <v>2885</v>
      </c>
      <c r="C45" s="870" t="s">
        <v>578</v>
      </c>
      <c r="D45" s="871" t="s">
        <v>3107</v>
      </c>
      <c r="E45" s="869">
        <v>50.0</v>
      </c>
      <c r="F45" s="869">
        <v>15.0</v>
      </c>
      <c r="G45" s="869">
        <v>750.0</v>
      </c>
      <c r="H45" s="869" t="s">
        <v>1697</v>
      </c>
      <c r="I45" s="869" t="s">
        <v>571</v>
      </c>
      <c r="J45" s="869" t="e">
        <v>#VALUE!</v>
      </c>
      <c r="K45" s="869" t="s">
        <v>2655</v>
      </c>
      <c r="L45" s="869">
        <v>0.0</v>
      </c>
      <c r="M45" s="869" t="s">
        <v>1688</v>
      </c>
      <c r="N45" s="872" t="s">
        <v>3064</v>
      </c>
      <c r="O45" s="871"/>
    </row>
    <row r="46" ht="45.0" customHeight="1">
      <c r="A46" s="869">
        <v>45.0</v>
      </c>
      <c r="B46" s="869" t="s">
        <v>2886</v>
      </c>
      <c r="C46" s="870" t="s">
        <v>582</v>
      </c>
      <c r="D46" s="871" t="s">
        <v>3108</v>
      </c>
      <c r="E46" s="869">
        <v>20.0</v>
      </c>
      <c r="F46" s="869">
        <v>20.0</v>
      </c>
      <c r="G46" s="869">
        <v>400.0</v>
      </c>
      <c r="H46" s="869" t="s">
        <v>1697</v>
      </c>
      <c r="I46" s="869" t="s">
        <v>579</v>
      </c>
      <c r="J46" s="869" t="e">
        <v>#VALUE!</v>
      </c>
      <c r="K46" s="869" t="s">
        <v>2655</v>
      </c>
      <c r="L46" s="869">
        <v>0.0</v>
      </c>
      <c r="M46" s="869" t="s">
        <v>1688</v>
      </c>
      <c r="N46" s="872" t="s">
        <v>3064</v>
      </c>
      <c r="O46" s="871"/>
    </row>
    <row r="47" ht="45.0" customHeight="1">
      <c r="A47" s="869">
        <v>46.0</v>
      </c>
      <c r="B47" s="869" t="s">
        <v>2887</v>
      </c>
      <c r="C47" s="870" t="s">
        <v>2888</v>
      </c>
      <c r="D47" s="871" t="s">
        <v>3109</v>
      </c>
      <c r="E47" s="869">
        <v>20.0</v>
      </c>
      <c r="F47" s="869">
        <v>50.0</v>
      </c>
      <c r="G47" s="869">
        <v>1000.0</v>
      </c>
      <c r="H47" s="869" t="s">
        <v>1697</v>
      </c>
      <c r="I47" s="869" t="s">
        <v>583</v>
      </c>
      <c r="J47" s="869" t="e">
        <v>#VALUE!</v>
      </c>
      <c r="K47" s="869" t="s">
        <v>2696</v>
      </c>
      <c r="L47" s="869">
        <v>0.0</v>
      </c>
      <c r="M47" s="869" t="s">
        <v>1688</v>
      </c>
      <c r="N47" s="872" t="s">
        <v>3064</v>
      </c>
      <c r="O47" s="871"/>
    </row>
    <row r="48" ht="45.0" customHeight="1">
      <c r="A48" s="869">
        <v>47.0</v>
      </c>
      <c r="B48" s="869" t="s">
        <v>3035</v>
      </c>
      <c r="C48" s="870" t="s">
        <v>3036</v>
      </c>
      <c r="D48" s="871" t="s">
        <v>3110</v>
      </c>
      <c r="E48" s="869">
        <v>5.0</v>
      </c>
      <c r="F48" s="869">
        <v>200.0</v>
      </c>
      <c r="G48" s="869">
        <v>1000.0</v>
      </c>
      <c r="H48" s="869" t="s">
        <v>1697</v>
      </c>
      <c r="I48" s="869" t="s">
        <v>3037</v>
      </c>
      <c r="J48" s="869" t="e">
        <v>#VALUE!</v>
      </c>
      <c r="K48" s="869" t="s">
        <v>2839</v>
      </c>
      <c r="L48" s="869">
        <v>0.0</v>
      </c>
      <c r="M48" s="869" t="s">
        <v>1688</v>
      </c>
      <c r="N48" s="872" t="s">
        <v>3064</v>
      </c>
      <c r="O48" s="871"/>
    </row>
    <row r="49" ht="45.0" customHeight="1">
      <c r="A49" s="869">
        <v>48.0</v>
      </c>
      <c r="B49" s="869" t="s">
        <v>2889</v>
      </c>
      <c r="C49" s="870" t="s">
        <v>2890</v>
      </c>
      <c r="D49" s="871" t="s">
        <v>3111</v>
      </c>
      <c r="E49" s="869">
        <v>20.0</v>
      </c>
      <c r="F49" s="869">
        <v>25.0</v>
      </c>
      <c r="G49" s="869">
        <v>500.0</v>
      </c>
      <c r="H49" s="869" t="s">
        <v>1697</v>
      </c>
      <c r="I49" s="869" t="s">
        <v>1455</v>
      </c>
      <c r="J49" s="869" t="e">
        <v>#VALUE!</v>
      </c>
      <c r="K49" s="869" t="s">
        <v>2696</v>
      </c>
      <c r="L49" s="869">
        <v>0.0</v>
      </c>
      <c r="M49" s="869" t="s">
        <v>1688</v>
      </c>
      <c r="N49" s="872" t="s">
        <v>3064</v>
      </c>
      <c r="O49" s="871"/>
    </row>
    <row r="50" ht="45.0" customHeight="1">
      <c r="A50" s="869">
        <v>49.0</v>
      </c>
      <c r="B50" s="869" t="s">
        <v>2891</v>
      </c>
      <c r="C50" s="870" t="s">
        <v>903</v>
      </c>
      <c r="D50" s="871" t="s">
        <v>3112</v>
      </c>
      <c r="E50" s="869">
        <v>5.0</v>
      </c>
      <c r="F50" s="869">
        <v>150.0</v>
      </c>
      <c r="G50" s="869">
        <v>750.0</v>
      </c>
      <c r="H50" s="869" t="s">
        <v>1697</v>
      </c>
      <c r="I50" s="869" t="s">
        <v>1056</v>
      </c>
      <c r="J50" s="869" t="e">
        <v>#VALUE!</v>
      </c>
      <c r="K50" s="869" t="s">
        <v>2798</v>
      </c>
      <c r="L50" s="869" t="s">
        <v>2831</v>
      </c>
      <c r="M50" s="869" t="s">
        <v>1688</v>
      </c>
      <c r="N50" s="872" t="s">
        <v>3064</v>
      </c>
      <c r="O50" s="871"/>
    </row>
    <row r="51" ht="45.0" customHeight="1">
      <c r="A51" s="869">
        <v>50.0</v>
      </c>
      <c r="B51" s="869" t="s">
        <v>2892</v>
      </c>
      <c r="C51" s="870" t="s">
        <v>2893</v>
      </c>
      <c r="D51" s="871" t="s">
        <v>3113</v>
      </c>
      <c r="E51" s="869">
        <v>20.0</v>
      </c>
      <c r="F51" s="869">
        <v>20.0</v>
      </c>
      <c r="G51" s="869">
        <v>400.0</v>
      </c>
      <c r="H51" s="869" t="s">
        <v>1697</v>
      </c>
      <c r="I51" s="869" t="s">
        <v>904</v>
      </c>
      <c r="J51" s="869" t="e">
        <v>#VALUE!</v>
      </c>
      <c r="K51" s="869" t="s">
        <v>2696</v>
      </c>
      <c r="L51" s="869">
        <v>0.0</v>
      </c>
      <c r="M51" s="869" t="s">
        <v>1688</v>
      </c>
      <c r="N51" s="872" t="s">
        <v>3064</v>
      </c>
      <c r="O51" s="871"/>
    </row>
    <row r="52" ht="45.0" customHeight="1">
      <c r="A52" s="869">
        <v>51.0</v>
      </c>
      <c r="B52" s="869" t="s">
        <v>2894</v>
      </c>
      <c r="C52" s="870" t="s">
        <v>2895</v>
      </c>
      <c r="D52" s="871" t="s">
        <v>3114</v>
      </c>
      <c r="E52" s="869">
        <v>10.0</v>
      </c>
      <c r="F52" s="869">
        <v>20.0</v>
      </c>
      <c r="G52" s="869">
        <v>200.0</v>
      </c>
      <c r="H52" s="869" t="s">
        <v>1697</v>
      </c>
      <c r="I52" s="869" t="s">
        <v>242</v>
      </c>
      <c r="J52" s="869" t="e">
        <v>#VALUE!</v>
      </c>
      <c r="K52" s="869" t="s">
        <v>2696</v>
      </c>
      <c r="L52" s="869">
        <v>0.0</v>
      </c>
      <c r="M52" s="869" t="s">
        <v>1688</v>
      </c>
      <c r="N52" s="872" t="s">
        <v>3064</v>
      </c>
      <c r="O52" s="871"/>
    </row>
    <row r="53" ht="45.0" customHeight="1">
      <c r="A53" s="869">
        <v>52.0</v>
      </c>
      <c r="B53" s="869" t="s">
        <v>2896</v>
      </c>
      <c r="C53" s="870" t="s">
        <v>1627</v>
      </c>
      <c r="D53" s="871" t="s">
        <v>3115</v>
      </c>
      <c r="E53" s="869">
        <v>10.0</v>
      </c>
      <c r="F53" s="869">
        <v>20.0</v>
      </c>
      <c r="G53" s="869">
        <v>200.0</v>
      </c>
      <c r="H53" s="869" t="s">
        <v>1697</v>
      </c>
      <c r="I53" s="869" t="s">
        <v>1381</v>
      </c>
      <c r="J53" s="869" t="e">
        <v>#VALUE!</v>
      </c>
      <c r="K53" s="869" t="s">
        <v>2897</v>
      </c>
      <c r="L53" s="869" t="s">
        <v>2831</v>
      </c>
      <c r="M53" s="869" t="s">
        <v>1688</v>
      </c>
      <c r="N53" s="872" t="s">
        <v>3064</v>
      </c>
      <c r="O53" s="871"/>
    </row>
    <row r="54" ht="45.0" customHeight="1">
      <c r="A54" s="869">
        <v>53.0</v>
      </c>
      <c r="B54" s="869" t="s">
        <v>2898</v>
      </c>
      <c r="C54" s="870" t="s">
        <v>1633</v>
      </c>
      <c r="D54" s="871" t="s">
        <v>3116</v>
      </c>
      <c r="E54" s="869">
        <v>10.0</v>
      </c>
      <c r="F54" s="869">
        <v>100.0</v>
      </c>
      <c r="G54" s="869">
        <v>1000.0</v>
      </c>
      <c r="H54" s="869" t="s">
        <v>1697</v>
      </c>
      <c r="I54" s="869" t="s">
        <v>1630</v>
      </c>
      <c r="J54" s="869" t="e">
        <v>#VALUE!</v>
      </c>
      <c r="K54" s="869" t="s">
        <v>2897</v>
      </c>
      <c r="L54" s="869">
        <v>0.0</v>
      </c>
      <c r="M54" s="869" t="s">
        <v>1688</v>
      </c>
      <c r="N54" s="872" t="s">
        <v>3064</v>
      </c>
      <c r="O54" s="871"/>
    </row>
    <row r="55" ht="45.0" customHeight="1">
      <c r="A55" s="869">
        <v>54.0</v>
      </c>
      <c r="B55" s="869" t="s">
        <v>2899</v>
      </c>
      <c r="C55" s="870" t="s">
        <v>590</v>
      </c>
      <c r="D55" s="871" t="s">
        <v>3117</v>
      </c>
      <c r="E55" s="869">
        <v>20.0</v>
      </c>
      <c r="F55" s="869">
        <v>5.0</v>
      </c>
      <c r="G55" s="869">
        <v>100.0</v>
      </c>
      <c r="H55" s="869" t="s">
        <v>1697</v>
      </c>
      <c r="I55" s="869" t="s">
        <v>1326</v>
      </c>
      <c r="J55" s="869" t="e">
        <v>#VALUE!</v>
      </c>
      <c r="K55" s="869" t="s">
        <v>2655</v>
      </c>
      <c r="L55" s="869">
        <v>0.0</v>
      </c>
      <c r="M55" s="869" t="s">
        <v>1688</v>
      </c>
      <c r="N55" s="872" t="s">
        <v>3064</v>
      </c>
      <c r="O55" s="871"/>
    </row>
    <row r="56" ht="45.0" customHeight="1">
      <c r="A56" s="869">
        <v>55.0</v>
      </c>
      <c r="B56" s="869" t="s">
        <v>2900</v>
      </c>
      <c r="C56" s="870" t="s">
        <v>594</v>
      </c>
      <c r="D56" s="871" t="s">
        <v>3118</v>
      </c>
      <c r="E56" s="869">
        <v>20.0</v>
      </c>
      <c r="F56" s="869">
        <v>5.0</v>
      </c>
      <c r="G56" s="869">
        <v>100.0</v>
      </c>
      <c r="H56" s="869" t="s">
        <v>1697</v>
      </c>
      <c r="I56" s="869" t="s">
        <v>591</v>
      </c>
      <c r="J56" s="869" t="e">
        <v>#VALUE!</v>
      </c>
      <c r="K56" s="869" t="s">
        <v>2655</v>
      </c>
      <c r="L56" s="869">
        <v>0.0</v>
      </c>
      <c r="M56" s="869" t="s">
        <v>1688</v>
      </c>
      <c r="N56" s="872" t="s">
        <v>3064</v>
      </c>
      <c r="O56" s="871"/>
    </row>
    <row r="57" ht="45.0" customHeight="1">
      <c r="A57" s="869">
        <v>56.0</v>
      </c>
      <c r="B57" s="869" t="s">
        <v>2901</v>
      </c>
      <c r="C57" s="870" t="s">
        <v>438</v>
      </c>
      <c r="D57" s="871" t="s">
        <v>3119</v>
      </c>
      <c r="E57" s="869">
        <v>10.0</v>
      </c>
      <c r="F57" s="869">
        <v>150.0</v>
      </c>
      <c r="G57" s="869">
        <v>1500.0</v>
      </c>
      <c r="H57" s="869" t="s">
        <v>1697</v>
      </c>
      <c r="I57" s="869" t="s">
        <v>92</v>
      </c>
      <c r="J57" s="869" t="e">
        <v>#VALUE!</v>
      </c>
      <c r="K57" s="869" t="s">
        <v>2798</v>
      </c>
      <c r="L57" s="869" t="s">
        <v>2831</v>
      </c>
      <c r="M57" s="869" t="s">
        <v>1688</v>
      </c>
      <c r="N57" s="872" t="s">
        <v>3064</v>
      </c>
      <c r="O57" s="871"/>
    </row>
    <row r="58" ht="45.0" customHeight="1">
      <c r="A58" s="869">
        <v>57.0</v>
      </c>
      <c r="B58" s="869" t="s">
        <v>2902</v>
      </c>
      <c r="C58" s="870" t="s">
        <v>441</v>
      </c>
      <c r="D58" s="871" t="s">
        <v>3120</v>
      </c>
      <c r="E58" s="869">
        <v>10.0</v>
      </c>
      <c r="F58" s="869">
        <v>300.0</v>
      </c>
      <c r="G58" s="869">
        <v>3000.0</v>
      </c>
      <c r="H58" s="869" t="s">
        <v>1697</v>
      </c>
      <c r="I58" s="869" t="s">
        <v>439</v>
      </c>
      <c r="J58" s="869" t="e">
        <v>#VALUE!</v>
      </c>
      <c r="K58" s="869" t="s">
        <v>2798</v>
      </c>
      <c r="L58" s="869" t="s">
        <v>2831</v>
      </c>
      <c r="M58" s="869" t="s">
        <v>1688</v>
      </c>
      <c r="N58" s="872" t="s">
        <v>3064</v>
      </c>
      <c r="O58" s="871"/>
    </row>
    <row r="59" ht="45.0" customHeight="1">
      <c r="A59" s="869">
        <v>58.0</v>
      </c>
      <c r="B59" s="869" t="s">
        <v>2903</v>
      </c>
      <c r="C59" s="870" t="s">
        <v>446</v>
      </c>
      <c r="D59" s="871" t="s">
        <v>3121</v>
      </c>
      <c r="E59" s="869">
        <v>10.0</v>
      </c>
      <c r="F59" s="869">
        <v>200.0</v>
      </c>
      <c r="G59" s="869">
        <v>2000.0</v>
      </c>
      <c r="H59" s="869" t="s">
        <v>1697</v>
      </c>
      <c r="I59" s="869" t="s">
        <v>443</v>
      </c>
      <c r="J59" s="869" t="e">
        <v>#VALUE!</v>
      </c>
      <c r="K59" s="869" t="s">
        <v>2798</v>
      </c>
      <c r="L59" s="869" t="s">
        <v>2831</v>
      </c>
      <c r="M59" s="869" t="s">
        <v>1688</v>
      </c>
      <c r="N59" s="872" t="s">
        <v>3064</v>
      </c>
      <c r="O59" s="871"/>
    </row>
    <row r="60" ht="45.0" customHeight="1">
      <c r="A60" s="869">
        <v>59.0</v>
      </c>
      <c r="B60" s="869" t="s">
        <v>3038</v>
      </c>
      <c r="C60" s="870" t="s">
        <v>1526</v>
      </c>
      <c r="D60" s="871" t="s">
        <v>3122</v>
      </c>
      <c r="E60" s="869">
        <v>5.0</v>
      </c>
      <c r="F60" s="869">
        <v>250.0</v>
      </c>
      <c r="G60" s="869">
        <v>1250.0</v>
      </c>
      <c r="H60" s="869" t="s">
        <v>1697</v>
      </c>
      <c r="I60" s="869" t="s">
        <v>1020</v>
      </c>
      <c r="J60" s="869" t="e">
        <v>#VALUE!</v>
      </c>
      <c r="K60" s="869" t="s">
        <v>2839</v>
      </c>
      <c r="L60" s="869">
        <v>0.0</v>
      </c>
      <c r="M60" s="869" t="s">
        <v>1688</v>
      </c>
      <c r="N60" s="872" t="s">
        <v>3064</v>
      </c>
      <c r="O60" s="871"/>
    </row>
    <row r="61" ht="45.0" customHeight="1">
      <c r="A61" s="869">
        <v>60.0</v>
      </c>
      <c r="B61" s="869" t="s">
        <v>3039</v>
      </c>
      <c r="C61" s="870" t="s">
        <v>1530</v>
      </c>
      <c r="D61" s="871" t="s">
        <v>3123</v>
      </c>
      <c r="E61" s="869">
        <v>5.0</v>
      </c>
      <c r="F61" s="869">
        <v>250.0</v>
      </c>
      <c r="G61" s="869">
        <v>1250.0</v>
      </c>
      <c r="H61" s="869" t="s">
        <v>1697</v>
      </c>
      <c r="I61" s="869" t="s">
        <v>1451</v>
      </c>
      <c r="J61" s="869" t="e">
        <v>#VALUE!</v>
      </c>
      <c r="K61" s="869" t="s">
        <v>2839</v>
      </c>
      <c r="L61" s="869">
        <v>0.0</v>
      </c>
      <c r="M61" s="869" t="s">
        <v>1688</v>
      </c>
      <c r="N61" s="872" t="s">
        <v>3064</v>
      </c>
      <c r="O61" s="871"/>
    </row>
    <row r="62" ht="45.0" customHeight="1">
      <c r="A62" s="869">
        <v>61.0</v>
      </c>
      <c r="B62" s="869" t="s">
        <v>3040</v>
      </c>
      <c r="C62" s="870" t="s">
        <v>940</v>
      </c>
      <c r="D62" s="871" t="s">
        <v>3124</v>
      </c>
      <c r="E62" s="869">
        <v>5.0</v>
      </c>
      <c r="F62" s="869">
        <v>250.0</v>
      </c>
      <c r="G62" s="869">
        <v>1250.0</v>
      </c>
      <c r="H62" s="869" t="s">
        <v>1697</v>
      </c>
      <c r="I62" s="869" t="s">
        <v>1181</v>
      </c>
      <c r="J62" s="869" t="e">
        <v>#VALUE!</v>
      </c>
      <c r="K62" s="869" t="s">
        <v>2839</v>
      </c>
      <c r="L62" s="869">
        <v>0.0</v>
      </c>
      <c r="M62" s="869" t="s">
        <v>1688</v>
      </c>
      <c r="N62" s="872" t="s">
        <v>3064</v>
      </c>
      <c r="O62" s="871"/>
    </row>
    <row r="63" ht="45.0" customHeight="1">
      <c r="A63" s="869">
        <v>62.0</v>
      </c>
      <c r="B63" s="869" t="s">
        <v>2905</v>
      </c>
      <c r="C63" s="870" t="s">
        <v>248</v>
      </c>
      <c r="D63" s="871" t="s">
        <v>3125</v>
      </c>
      <c r="E63" s="869">
        <v>15.0</v>
      </c>
      <c r="F63" s="869">
        <v>150.0</v>
      </c>
      <c r="G63" s="869">
        <v>150.0</v>
      </c>
      <c r="H63" s="869" t="s">
        <v>1697</v>
      </c>
      <c r="I63" s="869" t="s">
        <v>1341</v>
      </c>
      <c r="J63" s="869" t="e">
        <v>#VALUE!</v>
      </c>
      <c r="K63" s="869" t="s">
        <v>2798</v>
      </c>
      <c r="L63" s="869">
        <v>0.0</v>
      </c>
      <c r="M63" s="869" t="s">
        <v>1688</v>
      </c>
      <c r="N63" s="872" t="s">
        <v>3064</v>
      </c>
      <c r="O63" s="871"/>
    </row>
    <row r="64" ht="45.0" customHeight="1">
      <c r="A64" s="869">
        <v>63.0</v>
      </c>
      <c r="B64" s="869" t="s">
        <v>2906</v>
      </c>
      <c r="C64" s="870" t="s">
        <v>254</v>
      </c>
      <c r="D64" s="871" t="s">
        <v>3126</v>
      </c>
      <c r="E64" s="869">
        <v>15.0</v>
      </c>
      <c r="F64" s="869">
        <v>150.0</v>
      </c>
      <c r="G64" s="869">
        <v>150.0</v>
      </c>
      <c r="H64" s="869" t="s">
        <v>1697</v>
      </c>
      <c r="I64" s="869" t="s">
        <v>251</v>
      </c>
      <c r="J64" s="869" t="e">
        <v>#VALUE!</v>
      </c>
      <c r="K64" s="869" t="s">
        <v>2798</v>
      </c>
      <c r="L64" s="869">
        <v>0.0</v>
      </c>
      <c r="M64" s="869" t="s">
        <v>1688</v>
      </c>
      <c r="N64" s="872" t="s">
        <v>3064</v>
      </c>
      <c r="O64" s="871"/>
    </row>
    <row r="65" ht="45.0" customHeight="1">
      <c r="A65" s="869">
        <v>64.0</v>
      </c>
      <c r="B65" s="869" t="s">
        <v>2907</v>
      </c>
      <c r="C65" s="870" t="s">
        <v>258</v>
      </c>
      <c r="D65" s="871" t="s">
        <v>3127</v>
      </c>
      <c r="E65" s="869">
        <v>15.0</v>
      </c>
      <c r="F65" s="869">
        <v>150.0</v>
      </c>
      <c r="G65" s="869">
        <v>150.0</v>
      </c>
      <c r="H65" s="869" t="s">
        <v>1697</v>
      </c>
      <c r="I65" s="869" t="s">
        <v>255</v>
      </c>
      <c r="J65" s="869" t="e">
        <v>#VALUE!</v>
      </c>
      <c r="K65" s="869" t="s">
        <v>2798</v>
      </c>
      <c r="L65" s="869">
        <v>0.0</v>
      </c>
      <c r="M65" s="869" t="s">
        <v>1688</v>
      </c>
      <c r="N65" s="872" t="s">
        <v>3064</v>
      </c>
      <c r="O65" s="871"/>
    </row>
    <row r="66" ht="45.0" customHeight="1">
      <c r="A66" s="869">
        <v>65.0</v>
      </c>
      <c r="B66" s="869" t="s">
        <v>2908</v>
      </c>
      <c r="C66" s="870" t="s">
        <v>262</v>
      </c>
      <c r="D66" s="871" t="s">
        <v>3128</v>
      </c>
      <c r="E66" s="869">
        <v>15.0</v>
      </c>
      <c r="F66" s="869">
        <v>150.0</v>
      </c>
      <c r="G66" s="869">
        <v>150.0</v>
      </c>
      <c r="H66" s="869" t="s">
        <v>1697</v>
      </c>
      <c r="I66" s="869" t="s">
        <v>259</v>
      </c>
      <c r="J66" s="869" t="e">
        <v>#VALUE!</v>
      </c>
      <c r="K66" s="869" t="s">
        <v>2798</v>
      </c>
      <c r="L66" s="869">
        <v>0.0</v>
      </c>
      <c r="M66" s="869" t="s">
        <v>1688</v>
      </c>
      <c r="N66" s="872" t="s">
        <v>3064</v>
      </c>
      <c r="O66" s="871"/>
    </row>
    <row r="67" ht="45.0" customHeight="1">
      <c r="A67" s="869">
        <v>66.0</v>
      </c>
      <c r="B67" s="869" t="s">
        <v>2909</v>
      </c>
      <c r="C67" s="870" t="s">
        <v>598</v>
      </c>
      <c r="D67" s="871" t="s">
        <v>3129</v>
      </c>
      <c r="E67" s="869">
        <v>20.0</v>
      </c>
      <c r="F67" s="869">
        <v>30.0</v>
      </c>
      <c r="G67" s="869">
        <v>600.0</v>
      </c>
      <c r="H67" s="869" t="s">
        <v>1697</v>
      </c>
      <c r="I67" s="869" t="s">
        <v>263</v>
      </c>
      <c r="J67" s="869" t="e">
        <v>#VALUE!</v>
      </c>
      <c r="K67" s="869" t="s">
        <v>2839</v>
      </c>
      <c r="L67" s="869" t="s">
        <v>2831</v>
      </c>
      <c r="M67" s="869" t="s">
        <v>1688</v>
      </c>
      <c r="N67" s="872" t="s">
        <v>3064</v>
      </c>
      <c r="O67" s="871"/>
    </row>
    <row r="68" ht="45.0" customHeight="1">
      <c r="A68" s="869">
        <v>67.0</v>
      </c>
      <c r="B68" s="869" t="s">
        <v>2910</v>
      </c>
      <c r="C68" s="870" t="s">
        <v>266</v>
      </c>
      <c r="D68" s="871" t="s">
        <v>3130</v>
      </c>
      <c r="E68" s="869">
        <v>20.0</v>
      </c>
      <c r="F68" s="869">
        <v>20.0</v>
      </c>
      <c r="G68" s="869">
        <v>400.0</v>
      </c>
      <c r="H68" s="869" t="s">
        <v>1697</v>
      </c>
      <c r="I68" s="869" t="s">
        <v>600</v>
      </c>
      <c r="J68" s="869" t="e">
        <v>#VALUE!</v>
      </c>
      <c r="K68" s="869" t="s">
        <v>2798</v>
      </c>
      <c r="L68" s="869">
        <v>0.0</v>
      </c>
      <c r="M68" s="869" t="s">
        <v>1688</v>
      </c>
      <c r="N68" s="872" t="s">
        <v>3064</v>
      </c>
      <c r="O68" s="871"/>
    </row>
    <row r="69" ht="45.0" customHeight="1">
      <c r="A69" s="869">
        <v>68.0</v>
      </c>
      <c r="B69" s="869" t="s">
        <v>2911</v>
      </c>
      <c r="C69" s="870" t="s">
        <v>271</v>
      </c>
      <c r="D69" s="871" t="s">
        <v>3131</v>
      </c>
      <c r="E69" s="869">
        <v>20.0</v>
      </c>
      <c r="F69" s="869">
        <v>20.0</v>
      </c>
      <c r="G69" s="869">
        <v>400.0</v>
      </c>
      <c r="H69" s="869" t="s">
        <v>1697</v>
      </c>
      <c r="I69" s="869" t="s">
        <v>268</v>
      </c>
      <c r="J69" s="869" t="e">
        <v>#VALUE!</v>
      </c>
      <c r="K69" s="869" t="s">
        <v>2798</v>
      </c>
      <c r="L69" s="869">
        <v>0.0</v>
      </c>
      <c r="M69" s="869" t="s">
        <v>1688</v>
      </c>
      <c r="N69" s="872" t="s">
        <v>3064</v>
      </c>
      <c r="O69" s="871"/>
    </row>
    <row r="70" ht="45.0" customHeight="1">
      <c r="A70" s="869">
        <v>69.0</v>
      </c>
      <c r="B70" s="869" t="s">
        <v>2912</v>
      </c>
      <c r="C70" s="870" t="s">
        <v>275</v>
      </c>
      <c r="D70" s="871" t="s">
        <v>3132</v>
      </c>
      <c r="E70" s="869">
        <v>20.0</v>
      </c>
      <c r="F70" s="869">
        <v>20.0</v>
      </c>
      <c r="G70" s="869">
        <v>400.0</v>
      </c>
      <c r="H70" s="869" t="s">
        <v>1697</v>
      </c>
      <c r="I70" s="869" t="s">
        <v>272</v>
      </c>
      <c r="J70" s="869" t="e">
        <v>#VALUE!</v>
      </c>
      <c r="K70" s="869" t="s">
        <v>2798</v>
      </c>
      <c r="L70" s="869">
        <v>0.0</v>
      </c>
      <c r="M70" s="869" t="s">
        <v>1688</v>
      </c>
      <c r="N70" s="872" t="s">
        <v>3064</v>
      </c>
      <c r="O70" s="871"/>
    </row>
    <row r="71" ht="45.0" customHeight="1">
      <c r="A71" s="869">
        <v>70.0</v>
      </c>
      <c r="B71" s="869" t="s">
        <v>2913</v>
      </c>
      <c r="C71" s="870" t="s">
        <v>279</v>
      </c>
      <c r="D71" s="871" t="s">
        <v>3133</v>
      </c>
      <c r="E71" s="869">
        <v>20.0</v>
      </c>
      <c r="F71" s="869">
        <v>20.0</v>
      </c>
      <c r="G71" s="869">
        <v>400.0</v>
      </c>
      <c r="H71" s="869" t="s">
        <v>1697</v>
      </c>
      <c r="I71" s="869" t="s">
        <v>276</v>
      </c>
      <c r="J71" s="869" t="e">
        <v>#VALUE!</v>
      </c>
      <c r="K71" s="869" t="s">
        <v>2798</v>
      </c>
      <c r="L71" s="869">
        <v>0.0</v>
      </c>
      <c r="M71" s="869" t="s">
        <v>1688</v>
      </c>
      <c r="N71" s="872" t="s">
        <v>3064</v>
      </c>
      <c r="O71" s="871"/>
    </row>
    <row r="72" ht="45.0" customHeight="1">
      <c r="A72" s="869">
        <v>71.0</v>
      </c>
      <c r="B72" s="869" t="s">
        <v>2914</v>
      </c>
      <c r="C72" s="870" t="s">
        <v>283</v>
      </c>
      <c r="D72" s="871" t="s">
        <v>3134</v>
      </c>
      <c r="E72" s="869">
        <v>20.0</v>
      </c>
      <c r="F72" s="869">
        <v>20.0</v>
      </c>
      <c r="G72" s="869">
        <v>400.0</v>
      </c>
      <c r="H72" s="869" t="s">
        <v>1697</v>
      </c>
      <c r="I72" s="869" t="s">
        <v>280</v>
      </c>
      <c r="J72" s="869" t="e">
        <v>#VALUE!</v>
      </c>
      <c r="K72" s="869" t="s">
        <v>2798</v>
      </c>
      <c r="L72" s="869">
        <v>0.0</v>
      </c>
      <c r="M72" s="869" t="s">
        <v>1688</v>
      </c>
      <c r="N72" s="872" t="s">
        <v>3064</v>
      </c>
      <c r="O72" s="871"/>
    </row>
    <row r="73" ht="45.0" customHeight="1">
      <c r="A73" s="869">
        <v>72.0</v>
      </c>
      <c r="B73" s="869" t="s">
        <v>2915</v>
      </c>
      <c r="C73" s="870" t="s">
        <v>2916</v>
      </c>
      <c r="D73" s="871" t="s">
        <v>3135</v>
      </c>
      <c r="E73" s="869">
        <v>10.0</v>
      </c>
      <c r="F73" s="869">
        <v>300.0</v>
      </c>
      <c r="G73" s="869">
        <v>3000.0</v>
      </c>
      <c r="H73" s="869" t="s">
        <v>1697</v>
      </c>
      <c r="I73" s="869" t="s">
        <v>2917</v>
      </c>
      <c r="J73" s="869" t="e">
        <v>#VALUE!</v>
      </c>
      <c r="K73" s="869" t="s">
        <v>2839</v>
      </c>
      <c r="L73" s="869" t="s">
        <v>2831</v>
      </c>
      <c r="M73" s="869" t="s">
        <v>1688</v>
      </c>
      <c r="N73" s="872" t="s">
        <v>3064</v>
      </c>
      <c r="O73" s="871"/>
    </row>
    <row r="74" ht="45.0" customHeight="1">
      <c r="A74" s="869">
        <v>73.0</v>
      </c>
      <c r="B74" s="869" t="s">
        <v>3041</v>
      </c>
      <c r="C74" s="870" t="s">
        <v>3042</v>
      </c>
      <c r="D74" s="871" t="s">
        <v>3136</v>
      </c>
      <c r="E74" s="869">
        <v>5.0</v>
      </c>
      <c r="F74" s="869">
        <v>30.0</v>
      </c>
      <c r="G74" s="869">
        <v>150.0</v>
      </c>
      <c r="H74" s="869" t="s">
        <v>1697</v>
      </c>
      <c r="I74" s="869" t="s">
        <v>1535</v>
      </c>
      <c r="J74" s="869" t="e">
        <v>#VALUE!</v>
      </c>
      <c r="K74" s="869" t="s">
        <v>2839</v>
      </c>
      <c r="L74" s="869">
        <v>0.0</v>
      </c>
      <c r="M74" s="869" t="s">
        <v>1688</v>
      </c>
      <c r="N74" s="872" t="s">
        <v>3064</v>
      </c>
      <c r="O74" s="871"/>
    </row>
    <row r="75" ht="45.0" customHeight="1">
      <c r="A75" s="869">
        <v>74.0</v>
      </c>
      <c r="B75" s="869" t="s">
        <v>3043</v>
      </c>
      <c r="C75" s="870" t="s">
        <v>3044</v>
      </c>
      <c r="D75" s="871" t="s">
        <v>3137</v>
      </c>
      <c r="E75" s="869">
        <v>5.0</v>
      </c>
      <c r="F75" s="869">
        <v>250.0</v>
      </c>
      <c r="G75" s="869">
        <v>1250.0</v>
      </c>
      <c r="H75" s="869" t="s">
        <v>1697</v>
      </c>
      <c r="I75" s="869" t="s">
        <v>1539</v>
      </c>
      <c r="J75" s="869" t="e">
        <v>#VALUE!</v>
      </c>
      <c r="K75" s="869" t="s">
        <v>2839</v>
      </c>
      <c r="L75" s="869">
        <v>0.0</v>
      </c>
      <c r="M75" s="869" t="s">
        <v>1688</v>
      </c>
      <c r="N75" s="872" t="s">
        <v>3064</v>
      </c>
      <c r="O75" s="871"/>
    </row>
    <row r="76" ht="45.0" customHeight="1">
      <c r="A76" s="869">
        <v>75.0</v>
      </c>
      <c r="B76" s="869" t="s">
        <v>3045</v>
      </c>
      <c r="C76" s="870" t="s">
        <v>943</v>
      </c>
      <c r="D76" s="871" t="s">
        <v>3138</v>
      </c>
      <c r="E76" s="869">
        <v>5.0</v>
      </c>
      <c r="F76" s="869">
        <v>40.0</v>
      </c>
      <c r="G76" s="869">
        <v>200.0</v>
      </c>
      <c r="H76" s="869" t="s">
        <v>1697</v>
      </c>
      <c r="I76" s="869" t="s">
        <v>1311</v>
      </c>
      <c r="J76" s="869" t="e">
        <v>#VALUE!</v>
      </c>
      <c r="K76" s="869" t="s">
        <v>2839</v>
      </c>
      <c r="L76" s="869">
        <v>0.0</v>
      </c>
      <c r="M76" s="869" t="s">
        <v>1688</v>
      </c>
      <c r="N76" s="872" t="s">
        <v>3064</v>
      </c>
      <c r="O76" s="871"/>
    </row>
    <row r="77" ht="45.0" customHeight="1">
      <c r="A77" s="869">
        <v>76.0</v>
      </c>
      <c r="B77" s="869" t="s">
        <v>2918</v>
      </c>
      <c r="C77" s="870" t="s">
        <v>287</v>
      </c>
      <c r="D77" s="871" t="s">
        <v>3139</v>
      </c>
      <c r="E77" s="869">
        <v>20.0</v>
      </c>
      <c r="F77" s="869">
        <v>40.0</v>
      </c>
      <c r="G77" s="869">
        <v>800.0</v>
      </c>
      <c r="H77" s="869" t="s">
        <v>1697</v>
      </c>
      <c r="I77" s="869" t="s">
        <v>944</v>
      </c>
      <c r="J77" s="869" t="e">
        <v>#VALUE!</v>
      </c>
      <c r="K77" s="869" t="s">
        <v>2798</v>
      </c>
      <c r="L77" s="869" t="s">
        <v>2831</v>
      </c>
      <c r="M77" s="869" t="s">
        <v>1688</v>
      </c>
      <c r="N77" s="872" t="s">
        <v>3064</v>
      </c>
      <c r="O77" s="871"/>
    </row>
    <row r="78" ht="45.0" customHeight="1">
      <c r="A78" s="869">
        <v>77.0</v>
      </c>
      <c r="B78" s="869" t="s">
        <v>2919</v>
      </c>
      <c r="C78" s="870" t="s">
        <v>292</v>
      </c>
      <c r="D78" s="871" t="s">
        <v>3140</v>
      </c>
      <c r="E78" s="869">
        <v>20.0</v>
      </c>
      <c r="F78" s="869">
        <v>40.0</v>
      </c>
      <c r="G78" s="869">
        <v>800.0</v>
      </c>
      <c r="H78" s="869" t="s">
        <v>1697</v>
      </c>
      <c r="I78" s="869" t="s">
        <v>289</v>
      </c>
      <c r="J78" s="869" t="e">
        <v>#VALUE!</v>
      </c>
      <c r="K78" s="869" t="s">
        <v>2798</v>
      </c>
      <c r="L78" s="869" t="s">
        <v>2831</v>
      </c>
      <c r="M78" s="869" t="s">
        <v>1688</v>
      </c>
      <c r="N78" s="872" t="s">
        <v>3064</v>
      </c>
      <c r="O78" s="871"/>
    </row>
    <row r="79" ht="45.0" customHeight="1">
      <c r="A79" s="869">
        <v>78.0</v>
      </c>
      <c r="B79" s="869" t="s">
        <v>2920</v>
      </c>
      <c r="C79" s="870" t="s">
        <v>296</v>
      </c>
      <c r="D79" s="871" t="s">
        <v>3141</v>
      </c>
      <c r="E79" s="869">
        <v>20.0</v>
      </c>
      <c r="F79" s="869">
        <v>40.0</v>
      </c>
      <c r="G79" s="869">
        <v>800.0</v>
      </c>
      <c r="H79" s="869" t="s">
        <v>1697</v>
      </c>
      <c r="I79" s="869" t="s">
        <v>293</v>
      </c>
      <c r="J79" s="869" t="e">
        <v>#VALUE!</v>
      </c>
      <c r="K79" s="869" t="s">
        <v>2798</v>
      </c>
      <c r="L79" s="869" t="s">
        <v>2831</v>
      </c>
      <c r="M79" s="869" t="s">
        <v>1688</v>
      </c>
      <c r="N79" s="872" t="s">
        <v>3064</v>
      </c>
      <c r="O79" s="871"/>
    </row>
    <row r="80" ht="45.0" customHeight="1">
      <c r="A80" s="869">
        <v>79.0</v>
      </c>
      <c r="B80" s="869" t="s">
        <v>3046</v>
      </c>
      <c r="C80" s="870" t="s">
        <v>947</v>
      </c>
      <c r="D80" s="871" t="s">
        <v>3142</v>
      </c>
      <c r="E80" s="869">
        <v>5.0</v>
      </c>
      <c r="F80" s="869">
        <v>40.0</v>
      </c>
      <c r="G80" s="869">
        <v>200.0</v>
      </c>
      <c r="H80" s="869" t="s">
        <v>1697</v>
      </c>
      <c r="I80" s="869" t="s">
        <v>297</v>
      </c>
      <c r="J80" s="869" t="e">
        <v>#VALUE!</v>
      </c>
      <c r="K80" s="869" t="s">
        <v>2839</v>
      </c>
      <c r="L80" s="869">
        <v>0.0</v>
      </c>
      <c r="M80" s="869" t="s">
        <v>1688</v>
      </c>
      <c r="N80" s="872" t="s">
        <v>3064</v>
      </c>
      <c r="O80" s="871"/>
    </row>
    <row r="81" ht="45.0" customHeight="1">
      <c r="A81" s="869">
        <v>80.0</v>
      </c>
      <c r="B81" s="869" t="s">
        <v>2921</v>
      </c>
      <c r="C81" s="870" t="s">
        <v>1955</v>
      </c>
      <c r="D81" s="871" t="s">
        <v>3143</v>
      </c>
      <c r="E81" s="869">
        <v>10.0</v>
      </c>
      <c r="F81" s="869">
        <v>200.0</v>
      </c>
      <c r="G81" s="869">
        <v>2000.0</v>
      </c>
      <c r="H81" s="869" t="s">
        <v>1697</v>
      </c>
      <c r="I81" s="869" t="s">
        <v>152</v>
      </c>
      <c r="J81" s="869" t="e">
        <v>#VALUE!</v>
      </c>
      <c r="K81" s="869" t="s">
        <v>2798</v>
      </c>
      <c r="L81" s="869" t="s">
        <v>2831</v>
      </c>
      <c r="M81" s="869" t="s">
        <v>1688</v>
      </c>
      <c r="N81" s="872" t="s">
        <v>3064</v>
      </c>
      <c r="O81" s="871"/>
    </row>
    <row r="82" ht="45.0" customHeight="1">
      <c r="A82" s="869">
        <v>81.0</v>
      </c>
      <c r="B82" s="869" t="s">
        <v>3047</v>
      </c>
      <c r="C82" s="870" t="s">
        <v>1546</v>
      </c>
      <c r="D82" s="871" t="s">
        <v>3144</v>
      </c>
      <c r="E82" s="869">
        <v>10.0</v>
      </c>
      <c r="F82" s="869">
        <v>30.0</v>
      </c>
      <c r="G82" s="869">
        <v>300.0</v>
      </c>
      <c r="H82" s="869" t="s">
        <v>1697</v>
      </c>
      <c r="I82" s="869" t="s">
        <v>908</v>
      </c>
      <c r="J82" s="869" t="e">
        <v>#VALUE!</v>
      </c>
      <c r="K82" s="869" t="s">
        <v>2839</v>
      </c>
      <c r="L82" s="869">
        <v>0.0</v>
      </c>
      <c r="M82" s="869" t="s">
        <v>1688</v>
      </c>
      <c r="N82" s="872" t="s">
        <v>3064</v>
      </c>
      <c r="O82" s="871"/>
    </row>
    <row r="83" ht="45.0" customHeight="1">
      <c r="A83" s="869">
        <v>82.0</v>
      </c>
      <c r="B83" s="869" t="s">
        <v>2922</v>
      </c>
      <c r="C83" s="870" t="s">
        <v>603</v>
      </c>
      <c r="D83" s="873" t="s">
        <v>3145</v>
      </c>
      <c r="E83" s="869">
        <v>500.0</v>
      </c>
      <c r="F83" s="869">
        <v>1.5</v>
      </c>
      <c r="G83" s="869">
        <v>750.0</v>
      </c>
      <c r="H83" s="869" t="s">
        <v>1697</v>
      </c>
      <c r="I83" s="869" t="s">
        <v>1547</v>
      </c>
      <c r="J83" s="869" t="e">
        <v>#VALUE!</v>
      </c>
      <c r="K83" s="869" t="s">
        <v>2655</v>
      </c>
      <c r="L83" s="869">
        <v>0.0</v>
      </c>
      <c r="M83" s="869" t="s">
        <v>1688</v>
      </c>
      <c r="N83" s="872" t="s">
        <v>3064</v>
      </c>
      <c r="O83" s="871"/>
    </row>
    <row r="84" ht="45.0" customHeight="1">
      <c r="A84" s="869">
        <v>83.0</v>
      </c>
      <c r="B84" s="869" t="s">
        <v>2923</v>
      </c>
      <c r="C84" s="870" t="s">
        <v>607</v>
      </c>
      <c r="D84" s="871" t="s">
        <v>3146</v>
      </c>
      <c r="E84" s="869">
        <v>500.0</v>
      </c>
      <c r="F84" s="869">
        <v>1.5</v>
      </c>
      <c r="G84" s="869">
        <v>750.0</v>
      </c>
      <c r="H84" s="869" t="s">
        <v>1697</v>
      </c>
      <c r="I84" s="869" t="s">
        <v>1347</v>
      </c>
      <c r="J84" s="869" t="e">
        <v>#VALUE!</v>
      </c>
      <c r="K84" s="869" t="s">
        <v>2655</v>
      </c>
      <c r="L84" s="869">
        <v>0.0</v>
      </c>
      <c r="M84" s="869" t="s">
        <v>1688</v>
      </c>
      <c r="N84" s="872" t="s">
        <v>3064</v>
      </c>
      <c r="O84" s="871"/>
    </row>
    <row r="85" ht="45.0" customHeight="1">
      <c r="A85" s="869">
        <v>84.0</v>
      </c>
      <c r="B85" s="869" t="s">
        <v>2924</v>
      </c>
      <c r="C85" s="870" t="s">
        <v>610</v>
      </c>
      <c r="D85" s="871" t="s">
        <v>3147</v>
      </c>
      <c r="E85" s="869">
        <v>500.0</v>
      </c>
      <c r="F85" s="869">
        <v>1.5</v>
      </c>
      <c r="G85" s="869">
        <v>750.0</v>
      </c>
      <c r="H85" s="869" t="s">
        <v>1697</v>
      </c>
      <c r="I85" s="869" t="s">
        <v>1351</v>
      </c>
      <c r="J85" s="869" t="e">
        <v>#VALUE!</v>
      </c>
      <c r="K85" s="869" t="s">
        <v>2655</v>
      </c>
      <c r="L85" s="869">
        <v>0.0</v>
      </c>
      <c r="M85" s="869" t="s">
        <v>1688</v>
      </c>
      <c r="N85" s="872" t="s">
        <v>3064</v>
      </c>
      <c r="O85" s="871"/>
    </row>
    <row r="86" ht="45.0" customHeight="1">
      <c r="A86" s="869">
        <v>85.0</v>
      </c>
      <c r="B86" s="869" t="s">
        <v>2925</v>
      </c>
      <c r="C86" s="870" t="s">
        <v>614</v>
      </c>
      <c r="D86" s="871" t="s">
        <v>3148</v>
      </c>
      <c r="E86" s="869">
        <v>500.0</v>
      </c>
      <c r="F86" s="869">
        <v>1.5</v>
      </c>
      <c r="G86" s="869">
        <v>750.0</v>
      </c>
      <c r="H86" s="869" t="s">
        <v>1697</v>
      </c>
      <c r="I86" s="869" t="s">
        <v>2926</v>
      </c>
      <c r="J86" s="869" t="e">
        <v>#VALUE!</v>
      </c>
      <c r="K86" s="869" t="s">
        <v>2655</v>
      </c>
      <c r="L86" s="869">
        <v>0.0</v>
      </c>
      <c r="M86" s="869" t="s">
        <v>1688</v>
      </c>
      <c r="N86" s="872" t="s">
        <v>3064</v>
      </c>
      <c r="O86" s="871"/>
    </row>
    <row r="87" ht="45.0" customHeight="1">
      <c r="A87" s="869">
        <v>86.0</v>
      </c>
      <c r="B87" s="869" t="s">
        <v>2927</v>
      </c>
      <c r="C87" s="870" t="s">
        <v>618</v>
      </c>
      <c r="D87" s="871" t="s">
        <v>3149</v>
      </c>
      <c r="E87" s="869">
        <v>500.0</v>
      </c>
      <c r="F87" s="869">
        <v>1.5</v>
      </c>
      <c r="G87" s="869">
        <v>750.0</v>
      </c>
      <c r="H87" s="869" t="s">
        <v>1697</v>
      </c>
      <c r="I87" s="869" t="s">
        <v>615</v>
      </c>
      <c r="J87" s="869" t="e">
        <v>#VALUE!</v>
      </c>
      <c r="K87" s="869" t="s">
        <v>2655</v>
      </c>
      <c r="L87" s="869">
        <v>0.0</v>
      </c>
      <c r="M87" s="869" t="s">
        <v>1688</v>
      </c>
      <c r="N87" s="872" t="s">
        <v>3064</v>
      </c>
      <c r="O87" s="871"/>
    </row>
    <row r="88" ht="45.0" customHeight="1">
      <c r="A88" s="869">
        <v>87.0</v>
      </c>
      <c r="B88" s="869" t="s">
        <v>3048</v>
      </c>
      <c r="C88" s="870" t="s">
        <v>1550</v>
      </c>
      <c r="D88" s="871" t="s">
        <v>3150</v>
      </c>
      <c r="E88" s="869">
        <v>5.0</v>
      </c>
      <c r="F88" s="869">
        <v>90.0</v>
      </c>
      <c r="G88" s="869">
        <v>450.0</v>
      </c>
      <c r="H88" s="869" t="s">
        <v>1697</v>
      </c>
      <c r="I88" s="869" t="s">
        <v>1060</v>
      </c>
      <c r="J88" s="869" t="e">
        <v>#VALUE!</v>
      </c>
      <c r="K88" s="869" t="s">
        <v>2839</v>
      </c>
      <c r="L88" s="869">
        <v>0.0</v>
      </c>
      <c r="M88" s="869" t="s">
        <v>1688</v>
      </c>
      <c r="N88" s="872" t="s">
        <v>3064</v>
      </c>
      <c r="O88" s="871"/>
    </row>
    <row r="89" ht="45.0" customHeight="1">
      <c r="A89" s="869">
        <v>88.0</v>
      </c>
      <c r="B89" s="869" t="s">
        <v>2928</v>
      </c>
      <c r="C89" s="870" t="s">
        <v>626</v>
      </c>
      <c r="D89" s="871" t="s">
        <v>3151</v>
      </c>
      <c r="E89" s="869">
        <v>20.0</v>
      </c>
      <c r="F89" s="869">
        <v>15.0</v>
      </c>
      <c r="G89" s="869">
        <v>300.0</v>
      </c>
      <c r="H89" s="869" t="s">
        <v>1697</v>
      </c>
      <c r="I89" s="869" t="s">
        <v>1551</v>
      </c>
      <c r="J89" s="869" t="e">
        <v>#VALUE!</v>
      </c>
      <c r="K89" s="869" t="s">
        <v>2655</v>
      </c>
      <c r="L89" s="869">
        <v>0.0</v>
      </c>
      <c r="M89" s="869" t="s">
        <v>1688</v>
      </c>
      <c r="N89" s="872" t="s">
        <v>3064</v>
      </c>
      <c r="O89" s="871"/>
    </row>
    <row r="90" ht="45.0" customHeight="1">
      <c r="A90" s="869">
        <v>89.0</v>
      </c>
      <c r="B90" s="869" t="s">
        <v>3049</v>
      </c>
      <c r="C90" s="870" t="s">
        <v>3050</v>
      </c>
      <c r="D90" s="871" t="s">
        <v>3152</v>
      </c>
      <c r="E90" s="869">
        <v>5.0</v>
      </c>
      <c r="F90" s="869">
        <v>150.0</v>
      </c>
      <c r="G90" s="869">
        <v>750.0</v>
      </c>
      <c r="H90" s="869" t="s">
        <v>1697</v>
      </c>
      <c r="I90" s="869" t="s">
        <v>627</v>
      </c>
      <c r="J90" s="869" t="e">
        <v>#VALUE!</v>
      </c>
      <c r="K90" s="869" t="s">
        <v>2839</v>
      </c>
      <c r="L90" s="869">
        <v>0.0</v>
      </c>
      <c r="M90" s="869" t="s">
        <v>1688</v>
      </c>
      <c r="N90" s="872" t="s">
        <v>3064</v>
      </c>
      <c r="O90" s="871"/>
    </row>
    <row r="91" ht="45.0" customHeight="1">
      <c r="A91" s="869">
        <v>90.0</v>
      </c>
      <c r="B91" s="869" t="s">
        <v>2929</v>
      </c>
      <c r="C91" s="870" t="s">
        <v>950</v>
      </c>
      <c r="D91" s="871" t="s">
        <v>3153</v>
      </c>
      <c r="E91" s="869">
        <v>10.0</v>
      </c>
      <c r="F91" s="869">
        <v>40.0</v>
      </c>
      <c r="G91" s="869">
        <v>400.0</v>
      </c>
      <c r="H91" s="869" t="s">
        <v>1697</v>
      </c>
      <c r="I91" s="869" t="s">
        <v>1193</v>
      </c>
      <c r="J91" s="869" t="e">
        <v>#VALUE!</v>
      </c>
      <c r="K91" s="869" t="s">
        <v>2839</v>
      </c>
      <c r="L91" s="869" t="s">
        <v>2831</v>
      </c>
      <c r="M91" s="869" t="s">
        <v>1688</v>
      </c>
      <c r="N91" s="872" t="s">
        <v>3064</v>
      </c>
      <c r="O91" s="871"/>
    </row>
    <row r="92" ht="45.0" customHeight="1">
      <c r="A92" s="869">
        <v>91.0</v>
      </c>
      <c r="B92" s="869" t="s">
        <v>2930</v>
      </c>
      <c r="C92" s="870" t="s">
        <v>1558</v>
      </c>
      <c r="D92" s="871" t="s">
        <v>3154</v>
      </c>
      <c r="E92" s="869">
        <v>10.0</v>
      </c>
      <c r="F92" s="869">
        <v>40.0</v>
      </c>
      <c r="G92" s="869">
        <v>400.0</v>
      </c>
      <c r="H92" s="869" t="s">
        <v>1697</v>
      </c>
      <c r="I92" s="869" t="s">
        <v>951</v>
      </c>
      <c r="J92" s="869" t="e">
        <v>#VALUE!</v>
      </c>
      <c r="K92" s="869" t="s">
        <v>2839</v>
      </c>
      <c r="L92" s="869" t="s">
        <v>2831</v>
      </c>
      <c r="M92" s="869" t="s">
        <v>1688</v>
      </c>
      <c r="N92" s="872" t="s">
        <v>3064</v>
      </c>
      <c r="O92" s="871"/>
    </row>
    <row r="93" ht="45.0" customHeight="1">
      <c r="A93" s="869">
        <v>92.0</v>
      </c>
      <c r="B93" s="869" t="s">
        <v>2931</v>
      </c>
      <c r="C93" s="870" t="s">
        <v>911</v>
      </c>
      <c r="D93" s="871" t="s">
        <v>3155</v>
      </c>
      <c r="E93" s="869">
        <v>20.0</v>
      </c>
      <c r="F93" s="869">
        <v>15.0</v>
      </c>
      <c r="G93" s="869">
        <v>300.0</v>
      </c>
      <c r="H93" s="869" t="s">
        <v>1697</v>
      </c>
      <c r="I93" s="869" t="s">
        <v>376</v>
      </c>
      <c r="J93" s="869" t="e">
        <v>#VALUE!</v>
      </c>
      <c r="K93" s="869" t="s">
        <v>2696</v>
      </c>
      <c r="L93" s="869">
        <v>0.0</v>
      </c>
      <c r="M93" s="869" t="s">
        <v>1688</v>
      </c>
      <c r="N93" s="872" t="s">
        <v>3064</v>
      </c>
      <c r="O93" s="871"/>
    </row>
    <row r="94" ht="45.0" customHeight="1">
      <c r="A94" s="869">
        <v>93.0</v>
      </c>
      <c r="B94" s="869" t="s">
        <v>2932</v>
      </c>
      <c r="C94" s="870" t="s">
        <v>630</v>
      </c>
      <c r="D94" s="871" t="s">
        <v>3156</v>
      </c>
      <c r="E94" s="869">
        <v>20.0</v>
      </c>
      <c r="F94" s="869">
        <v>20.0</v>
      </c>
      <c r="G94" s="869">
        <v>400.0</v>
      </c>
      <c r="H94" s="869" t="s">
        <v>1697</v>
      </c>
      <c r="I94" s="869" t="s">
        <v>912</v>
      </c>
      <c r="J94" s="869" t="e">
        <v>#VALUE!</v>
      </c>
      <c r="K94" s="869" t="s">
        <v>2655</v>
      </c>
      <c r="L94" s="869">
        <v>0.0</v>
      </c>
      <c r="M94" s="869" t="s">
        <v>1688</v>
      </c>
      <c r="N94" s="872" t="s">
        <v>3064</v>
      </c>
      <c r="O94" s="871"/>
    </row>
    <row r="95" ht="45.0" customHeight="1">
      <c r="A95" s="869">
        <v>94.0</v>
      </c>
      <c r="B95" s="869" t="s">
        <v>2933</v>
      </c>
      <c r="C95" s="870" t="s">
        <v>634</v>
      </c>
      <c r="D95" s="871" t="s">
        <v>3157</v>
      </c>
      <c r="E95" s="869">
        <v>20.0</v>
      </c>
      <c r="F95" s="869">
        <v>30.0</v>
      </c>
      <c r="G95" s="869">
        <v>600.0</v>
      </c>
      <c r="H95" s="869" t="s">
        <v>1697</v>
      </c>
      <c r="I95" s="869" t="s">
        <v>631</v>
      </c>
      <c r="J95" s="869" t="e">
        <v>#VALUE!</v>
      </c>
      <c r="K95" s="869" t="s">
        <v>2655</v>
      </c>
      <c r="L95" s="869">
        <v>0.0</v>
      </c>
      <c r="M95" s="869" t="s">
        <v>1688</v>
      </c>
      <c r="N95" s="872" t="s">
        <v>3064</v>
      </c>
      <c r="O95" s="871"/>
    </row>
    <row r="96" ht="45.0" customHeight="1">
      <c r="A96" s="869">
        <v>95.0</v>
      </c>
      <c r="B96" s="869" t="s">
        <v>2934</v>
      </c>
      <c r="C96" s="870" t="s">
        <v>954</v>
      </c>
      <c r="D96" s="871" t="s">
        <v>3158</v>
      </c>
      <c r="E96" s="869">
        <v>10.0</v>
      </c>
      <c r="F96" s="869">
        <v>200.0</v>
      </c>
      <c r="G96" s="869">
        <v>2000.0</v>
      </c>
      <c r="H96" s="869" t="s">
        <v>1697</v>
      </c>
      <c r="I96" s="869" t="s">
        <v>635</v>
      </c>
      <c r="J96" s="869" t="e">
        <v>#VALUE!</v>
      </c>
      <c r="K96" s="869" t="s">
        <v>2798</v>
      </c>
      <c r="L96" s="869" t="s">
        <v>2831</v>
      </c>
      <c r="M96" s="869" t="s">
        <v>1688</v>
      </c>
      <c r="N96" s="872" t="s">
        <v>3064</v>
      </c>
      <c r="O96" s="871"/>
    </row>
    <row r="97" ht="45.0" customHeight="1">
      <c r="A97" s="869">
        <v>96.0</v>
      </c>
      <c r="B97" s="869" t="s">
        <v>2935</v>
      </c>
      <c r="C97" s="870" t="s">
        <v>915</v>
      </c>
      <c r="D97" s="871" t="s">
        <v>3159</v>
      </c>
      <c r="E97" s="869">
        <v>10.0</v>
      </c>
      <c r="F97" s="869">
        <v>10.0</v>
      </c>
      <c r="G97" s="869">
        <v>10.0</v>
      </c>
      <c r="H97" s="869">
        <v>10.0</v>
      </c>
      <c r="I97" s="869">
        <v>10.0</v>
      </c>
      <c r="J97" s="869" t="str">
        <f>IMAGE("https://m.media-amazon.com/images/I/51l+Qhaiu3L._SL1000_.jpg",1)</f>
        <v/>
      </c>
      <c r="K97" s="869" t="s">
        <v>2798</v>
      </c>
      <c r="L97" s="869" t="s">
        <v>2831</v>
      </c>
      <c r="M97" s="869" t="s">
        <v>1688</v>
      </c>
      <c r="N97" s="872" t="s">
        <v>3064</v>
      </c>
      <c r="O97" s="871"/>
    </row>
    <row r="98" ht="45.0" customHeight="1">
      <c r="A98" s="869">
        <v>97.0</v>
      </c>
      <c r="B98" s="869" t="s">
        <v>2936</v>
      </c>
      <c r="C98" s="870" t="s">
        <v>638</v>
      </c>
      <c r="D98" s="871" t="s">
        <v>3160</v>
      </c>
      <c r="E98" s="869">
        <v>20.0</v>
      </c>
      <c r="F98" s="869">
        <v>50.0</v>
      </c>
      <c r="G98" s="869">
        <v>1000.0</v>
      </c>
      <c r="H98" s="869" t="s">
        <v>1697</v>
      </c>
      <c r="I98" s="869" t="s">
        <v>1206</v>
      </c>
      <c r="J98" s="869" t="e">
        <v>#VALUE!</v>
      </c>
      <c r="K98" s="869" t="s">
        <v>2696</v>
      </c>
      <c r="L98" s="869">
        <v>0.0</v>
      </c>
      <c r="M98" s="869" t="s">
        <v>1688</v>
      </c>
      <c r="N98" s="872" t="s">
        <v>3064</v>
      </c>
      <c r="O98" s="871"/>
    </row>
    <row r="99" ht="45.0" customHeight="1">
      <c r="A99" s="869">
        <v>98.0</v>
      </c>
      <c r="B99" s="869" t="s">
        <v>2937</v>
      </c>
      <c r="C99" s="870" t="s">
        <v>1789</v>
      </c>
      <c r="D99" s="871" t="s">
        <v>3161</v>
      </c>
      <c r="E99" s="869">
        <v>10.0</v>
      </c>
      <c r="F99" s="869">
        <v>200.0</v>
      </c>
      <c r="G99" s="869">
        <v>2000.0</v>
      </c>
      <c r="H99" s="869" t="s">
        <v>1697</v>
      </c>
      <c r="I99" s="869" t="s">
        <v>1210</v>
      </c>
      <c r="J99" s="869" t="e">
        <v>#VALUE!</v>
      </c>
      <c r="K99" s="869" t="s">
        <v>2839</v>
      </c>
      <c r="L99" s="869" t="s">
        <v>2831</v>
      </c>
      <c r="M99" s="869" t="s">
        <v>1688</v>
      </c>
      <c r="N99" s="872" t="s">
        <v>3064</v>
      </c>
      <c r="O99" s="871"/>
    </row>
    <row r="100" ht="45.0" customHeight="1">
      <c r="A100" s="869">
        <v>99.0</v>
      </c>
      <c r="B100" s="869" t="s">
        <v>2938</v>
      </c>
      <c r="C100" s="870" t="s">
        <v>3162</v>
      </c>
      <c r="D100" s="871" t="s">
        <v>3163</v>
      </c>
      <c r="E100" s="869">
        <v>20.0</v>
      </c>
      <c r="F100" s="869">
        <v>20.0</v>
      </c>
      <c r="G100" s="869">
        <v>400.0</v>
      </c>
      <c r="H100" s="869" t="s">
        <v>1697</v>
      </c>
      <c r="I100" s="869" t="s">
        <v>112</v>
      </c>
      <c r="J100" s="869" t="e">
        <v>#VALUE!</v>
      </c>
      <c r="K100" s="869" t="s">
        <v>2696</v>
      </c>
      <c r="L100" s="869">
        <v>0.0</v>
      </c>
      <c r="M100" s="869" t="s">
        <v>1688</v>
      </c>
      <c r="N100" s="872" t="s">
        <v>3064</v>
      </c>
      <c r="O100" s="871"/>
    </row>
    <row r="101" ht="45.0" customHeight="1">
      <c r="A101" s="869">
        <v>100.0</v>
      </c>
      <c r="B101" s="869" t="s">
        <v>2939</v>
      </c>
      <c r="C101" s="870" t="s">
        <v>3164</v>
      </c>
      <c r="D101" s="871" t="s">
        <v>3165</v>
      </c>
      <c r="E101" s="869">
        <v>20.0</v>
      </c>
      <c r="F101" s="869">
        <v>15.0</v>
      </c>
      <c r="G101" s="869">
        <v>300.0</v>
      </c>
      <c r="H101" s="869" t="s">
        <v>1697</v>
      </c>
      <c r="I101" s="869" t="s">
        <v>643</v>
      </c>
      <c r="J101" s="869" t="e">
        <v>#VALUE!</v>
      </c>
      <c r="K101" s="869" t="s">
        <v>2696</v>
      </c>
      <c r="L101" s="869">
        <v>0.0</v>
      </c>
      <c r="M101" s="869" t="s">
        <v>1688</v>
      </c>
      <c r="N101" s="872" t="s">
        <v>3064</v>
      </c>
      <c r="O101" s="871"/>
    </row>
    <row r="102" ht="45.0" customHeight="1">
      <c r="A102" s="869">
        <v>101.0</v>
      </c>
      <c r="B102" s="869" t="s">
        <v>2940</v>
      </c>
      <c r="C102" s="870" t="s">
        <v>3166</v>
      </c>
      <c r="D102" s="871" t="s">
        <v>3167</v>
      </c>
      <c r="E102" s="869">
        <v>20.0</v>
      </c>
      <c r="F102" s="869">
        <v>10.0</v>
      </c>
      <c r="G102" s="869">
        <v>200.0</v>
      </c>
      <c r="H102" s="869" t="s">
        <v>1697</v>
      </c>
      <c r="I102" s="869" t="s">
        <v>647</v>
      </c>
      <c r="J102" s="869" t="e">
        <v>#VALUE!</v>
      </c>
      <c r="K102" s="869" t="s">
        <v>2696</v>
      </c>
      <c r="L102" s="869">
        <v>0.0</v>
      </c>
      <c r="M102" s="869" t="s">
        <v>1688</v>
      </c>
      <c r="N102" s="872" t="s">
        <v>3064</v>
      </c>
      <c r="O102" s="871"/>
    </row>
    <row r="103" ht="45.0" customHeight="1">
      <c r="A103" s="869">
        <v>102.0</v>
      </c>
      <c r="B103" s="869" t="s">
        <v>2941</v>
      </c>
      <c r="C103" s="870" t="s">
        <v>3168</v>
      </c>
      <c r="D103" s="871" t="s">
        <v>3169</v>
      </c>
      <c r="E103" s="869">
        <v>20.0</v>
      </c>
      <c r="F103" s="869">
        <v>25.0</v>
      </c>
      <c r="G103" s="869">
        <v>500.0</v>
      </c>
      <c r="H103" s="869" t="s">
        <v>1697</v>
      </c>
      <c r="I103" s="869" t="s">
        <v>651</v>
      </c>
      <c r="J103" s="869" t="e">
        <v>#VALUE!</v>
      </c>
      <c r="K103" s="869" t="s">
        <v>2696</v>
      </c>
      <c r="L103" s="869">
        <v>0.0</v>
      </c>
      <c r="M103" s="869" t="s">
        <v>1688</v>
      </c>
      <c r="N103" s="872" t="s">
        <v>3064</v>
      </c>
      <c r="O103" s="871"/>
    </row>
    <row r="104" ht="45.0" customHeight="1">
      <c r="A104" s="869">
        <v>103.0</v>
      </c>
      <c r="B104" s="869" t="s">
        <v>2942</v>
      </c>
      <c r="C104" s="870" t="s">
        <v>220</v>
      </c>
      <c r="D104" s="871" t="s">
        <v>3170</v>
      </c>
      <c r="E104" s="869">
        <v>5.0</v>
      </c>
      <c r="F104" s="869">
        <v>500.0</v>
      </c>
      <c r="G104" s="869">
        <v>2500.0</v>
      </c>
      <c r="H104" s="869" t="s">
        <v>1697</v>
      </c>
      <c r="I104" s="869" t="s">
        <v>655</v>
      </c>
      <c r="J104" s="869" t="e">
        <v>#VALUE!</v>
      </c>
      <c r="K104" s="869" t="s">
        <v>2798</v>
      </c>
      <c r="L104" s="869" t="s">
        <v>2831</v>
      </c>
      <c r="M104" s="869" t="s">
        <v>1688</v>
      </c>
      <c r="N104" s="872" t="s">
        <v>3064</v>
      </c>
      <c r="O104" s="871"/>
    </row>
    <row r="105" ht="45.0" customHeight="1">
      <c r="A105" s="869">
        <v>104.0</v>
      </c>
      <c r="B105" s="869" t="s">
        <v>3051</v>
      </c>
      <c r="C105" s="870" t="s">
        <v>3052</v>
      </c>
      <c r="D105" s="871" t="s">
        <v>3171</v>
      </c>
      <c r="E105" s="869">
        <v>5.0</v>
      </c>
      <c r="F105" s="869">
        <v>95.0</v>
      </c>
      <c r="G105" s="869">
        <v>475.0</v>
      </c>
      <c r="H105" s="869" t="s">
        <v>1697</v>
      </c>
      <c r="I105" s="869" t="s">
        <v>2813</v>
      </c>
      <c r="J105" s="869" t="e">
        <v>#VALUE!</v>
      </c>
      <c r="K105" s="869" t="s">
        <v>2839</v>
      </c>
      <c r="L105" s="869">
        <v>0.0</v>
      </c>
      <c r="M105" s="869" t="s">
        <v>1688</v>
      </c>
      <c r="N105" s="872" t="s">
        <v>3064</v>
      </c>
      <c r="O105" s="871"/>
    </row>
    <row r="106" ht="45.0" customHeight="1">
      <c r="A106" s="869">
        <v>105.0</v>
      </c>
      <c r="B106" s="869" t="s">
        <v>3053</v>
      </c>
      <c r="C106" s="870" t="s">
        <v>1569</v>
      </c>
      <c r="D106" s="871" t="s">
        <v>3172</v>
      </c>
      <c r="E106" s="869">
        <v>5.0</v>
      </c>
      <c r="F106" s="869">
        <v>125.0</v>
      </c>
      <c r="G106" s="869">
        <v>625.0</v>
      </c>
      <c r="H106" s="869" t="s">
        <v>1697</v>
      </c>
      <c r="I106" s="869" t="s">
        <v>1566</v>
      </c>
      <c r="J106" s="869" t="e">
        <v>#VALUE!</v>
      </c>
      <c r="K106" s="869" t="s">
        <v>2839</v>
      </c>
      <c r="L106" s="869">
        <v>0.0</v>
      </c>
      <c r="M106" s="869" t="s">
        <v>1688</v>
      </c>
      <c r="N106" s="872" t="s">
        <v>3064</v>
      </c>
      <c r="O106" s="871"/>
    </row>
    <row r="107" ht="45.0" customHeight="1">
      <c r="A107" s="869">
        <v>106.0</v>
      </c>
      <c r="B107" s="869" t="s">
        <v>2943</v>
      </c>
      <c r="C107" s="870" t="s">
        <v>454</v>
      </c>
      <c r="D107" s="871" t="s">
        <v>3173</v>
      </c>
      <c r="E107" s="869">
        <v>15.0</v>
      </c>
      <c r="F107" s="869">
        <v>400.0</v>
      </c>
      <c r="G107" s="869">
        <v>6000.0</v>
      </c>
      <c r="H107" s="869" t="s">
        <v>1697</v>
      </c>
      <c r="I107" s="869" t="s">
        <v>1409</v>
      </c>
      <c r="J107" s="869" t="e">
        <v>#VALUE!</v>
      </c>
      <c r="K107" s="869" t="s">
        <v>2798</v>
      </c>
      <c r="L107" s="869" t="s">
        <v>2831</v>
      </c>
      <c r="M107" s="869" t="s">
        <v>1688</v>
      </c>
      <c r="N107" s="872" t="s">
        <v>3064</v>
      </c>
      <c r="O107" s="871"/>
    </row>
    <row r="108" ht="45.0" customHeight="1">
      <c r="A108" s="869">
        <v>107.0</v>
      </c>
      <c r="B108" s="869" t="s">
        <v>2944</v>
      </c>
      <c r="C108" s="870" t="s">
        <v>459</v>
      </c>
      <c r="D108" s="871" t="s">
        <v>3174</v>
      </c>
      <c r="E108" s="869">
        <v>10.0</v>
      </c>
      <c r="F108" s="869">
        <v>500.0</v>
      </c>
      <c r="G108" s="869">
        <v>5000.0</v>
      </c>
      <c r="H108" s="869" t="s">
        <v>1697</v>
      </c>
      <c r="I108" s="869" t="s">
        <v>456</v>
      </c>
      <c r="J108" s="869" t="e">
        <v>#VALUE!</v>
      </c>
      <c r="K108" s="869" t="s">
        <v>2798</v>
      </c>
      <c r="L108" s="869" t="s">
        <v>2831</v>
      </c>
      <c r="M108" s="869" t="s">
        <v>1688</v>
      </c>
      <c r="N108" s="872" t="s">
        <v>3064</v>
      </c>
      <c r="O108" s="871"/>
    </row>
    <row r="109" ht="45.0" customHeight="1">
      <c r="A109" s="869">
        <v>108.0</v>
      </c>
      <c r="B109" s="869" t="s">
        <v>2945</v>
      </c>
      <c r="C109" s="870" t="s">
        <v>1741</v>
      </c>
      <c r="D109" s="871" t="s">
        <v>3175</v>
      </c>
      <c r="E109" s="869">
        <v>10.0</v>
      </c>
      <c r="F109" s="869">
        <v>150.0</v>
      </c>
      <c r="G109" s="869">
        <v>1500.0</v>
      </c>
      <c r="H109" s="869" t="s">
        <v>1697</v>
      </c>
      <c r="I109" s="869" t="s">
        <v>460</v>
      </c>
      <c r="J109" s="869" t="str">
        <f>IMAGE("https://rukminim2.flixcart.com/image/850/1000/xif0q/solar-battery/n/y/l/osl-901-oseltech-3-7-original-imagvp3dcfvrzwzt.jpeg?q=20&amp;crop=false",1)</f>
        <v/>
      </c>
      <c r="K109" s="869" t="s">
        <v>2798</v>
      </c>
      <c r="L109" s="869" t="s">
        <v>2831</v>
      </c>
      <c r="M109" s="869" t="s">
        <v>1688</v>
      </c>
      <c r="N109" s="872" t="s">
        <v>3064</v>
      </c>
      <c r="O109" s="871"/>
    </row>
    <row r="110" ht="45.0" customHeight="1">
      <c r="A110" s="869">
        <v>109.0</v>
      </c>
      <c r="B110" s="869" t="s">
        <v>2946</v>
      </c>
      <c r="C110" s="870" t="s">
        <v>228</v>
      </c>
      <c r="D110" s="871" t="s">
        <v>3176</v>
      </c>
      <c r="E110" s="869">
        <v>10.0</v>
      </c>
      <c r="F110" s="869">
        <v>200.0</v>
      </c>
      <c r="G110" s="869">
        <v>2000.0</v>
      </c>
      <c r="H110" s="869" t="s">
        <v>1697</v>
      </c>
      <c r="I110" s="869" t="s">
        <v>225</v>
      </c>
      <c r="J110" s="869" t="str">
        <f>IMAGE("https://m.media-amazon.com/images/I/41PLSJcdalL.jpg",1)</f>
        <v/>
      </c>
      <c r="K110" s="869" t="s">
        <v>2798</v>
      </c>
      <c r="L110" s="869" t="s">
        <v>2831</v>
      </c>
      <c r="M110" s="869" t="s">
        <v>1688</v>
      </c>
      <c r="N110" s="872" t="s">
        <v>3064</v>
      </c>
      <c r="O110" s="871"/>
    </row>
    <row r="111" ht="45.0" customHeight="1">
      <c r="A111" s="869">
        <v>110.0</v>
      </c>
      <c r="B111" s="869" t="s">
        <v>2947</v>
      </c>
      <c r="C111" s="870" t="s">
        <v>232</v>
      </c>
      <c r="D111" s="871" t="s">
        <v>3177</v>
      </c>
      <c r="E111" s="869">
        <v>10.0</v>
      </c>
      <c r="F111" s="869">
        <v>100.0</v>
      </c>
      <c r="G111" s="869">
        <v>2000.0</v>
      </c>
      <c r="H111" s="869" t="s">
        <v>1697</v>
      </c>
      <c r="I111" s="869" t="s">
        <v>229</v>
      </c>
      <c r="J111" s="869" t="str">
        <f>IMAGE("https://m.media-amazon.com/images/I/415RSFml90L.jpg",1)</f>
        <v/>
      </c>
      <c r="K111" s="869" t="s">
        <v>2798</v>
      </c>
      <c r="L111" s="869" t="s">
        <v>2831</v>
      </c>
      <c r="M111" s="869" t="s">
        <v>1688</v>
      </c>
      <c r="N111" s="872" t="s">
        <v>3064</v>
      </c>
      <c r="O111" s="871"/>
    </row>
    <row r="112" ht="45.0" customHeight="1">
      <c r="A112" s="869">
        <v>111.0</v>
      </c>
      <c r="B112" s="869" t="s">
        <v>2948</v>
      </c>
      <c r="C112" s="870" t="s">
        <v>658</v>
      </c>
      <c r="D112" s="871" t="s">
        <v>3178</v>
      </c>
      <c r="E112" s="869">
        <v>100.0</v>
      </c>
      <c r="F112" s="869">
        <v>1.0</v>
      </c>
      <c r="G112" s="869">
        <v>100.0</v>
      </c>
      <c r="H112" s="869" t="s">
        <v>1697</v>
      </c>
      <c r="I112" s="869" t="s">
        <v>1263</v>
      </c>
      <c r="J112" s="869" t="e">
        <v>#VALUE!</v>
      </c>
      <c r="K112" s="869" t="s">
        <v>2655</v>
      </c>
      <c r="L112" s="869">
        <v>0.0</v>
      </c>
      <c r="M112" s="869" t="s">
        <v>1688</v>
      </c>
      <c r="N112" s="872" t="s">
        <v>3064</v>
      </c>
      <c r="O112" s="871"/>
    </row>
    <row r="113" ht="45.0" customHeight="1">
      <c r="A113" s="869">
        <v>112.0</v>
      </c>
      <c r="B113" s="869" t="s">
        <v>2949</v>
      </c>
      <c r="C113" s="870" t="s">
        <v>662</v>
      </c>
      <c r="D113" s="871" t="s">
        <v>3179</v>
      </c>
      <c r="E113" s="869">
        <v>100.0</v>
      </c>
      <c r="F113" s="869">
        <v>1.0</v>
      </c>
      <c r="G113" s="869">
        <v>100.0</v>
      </c>
      <c r="H113" s="869" t="s">
        <v>1697</v>
      </c>
      <c r="I113" s="869" t="s">
        <v>659</v>
      </c>
      <c r="J113" s="869" t="e">
        <v>#VALUE!</v>
      </c>
      <c r="K113" s="869" t="s">
        <v>2655</v>
      </c>
      <c r="L113" s="869">
        <v>0.0</v>
      </c>
      <c r="M113" s="869" t="s">
        <v>1688</v>
      </c>
      <c r="N113" s="872" t="s">
        <v>3064</v>
      </c>
      <c r="O113" s="871"/>
    </row>
    <row r="114" ht="45.0" customHeight="1">
      <c r="A114" s="869">
        <v>113.0</v>
      </c>
      <c r="B114" s="869" t="s">
        <v>2950</v>
      </c>
      <c r="C114" s="870" t="s">
        <v>666</v>
      </c>
      <c r="D114" s="871" t="s">
        <v>3180</v>
      </c>
      <c r="E114" s="869">
        <v>100.0</v>
      </c>
      <c r="F114" s="869">
        <v>1.0</v>
      </c>
      <c r="G114" s="869">
        <v>100.0</v>
      </c>
      <c r="H114" s="869" t="s">
        <v>1697</v>
      </c>
      <c r="I114" s="869" t="s">
        <v>663</v>
      </c>
      <c r="J114" s="869" t="e">
        <v>#VALUE!</v>
      </c>
      <c r="K114" s="869" t="s">
        <v>2655</v>
      </c>
      <c r="L114" s="869">
        <v>0.0</v>
      </c>
      <c r="M114" s="869" t="s">
        <v>1688</v>
      </c>
      <c r="N114" s="872" t="s">
        <v>3064</v>
      </c>
      <c r="O114" s="871"/>
    </row>
    <row r="115" ht="45.0" customHeight="1">
      <c r="A115" s="869">
        <v>114.0</v>
      </c>
      <c r="B115" s="869" t="s">
        <v>2951</v>
      </c>
      <c r="C115" s="870" t="s">
        <v>670</v>
      </c>
      <c r="D115" s="871" t="s">
        <v>3181</v>
      </c>
      <c r="E115" s="869">
        <v>100.0</v>
      </c>
      <c r="F115" s="869">
        <v>1.0</v>
      </c>
      <c r="G115" s="869">
        <v>100.0</v>
      </c>
      <c r="H115" s="869" t="s">
        <v>1697</v>
      </c>
      <c r="I115" s="869" t="s">
        <v>667</v>
      </c>
      <c r="J115" s="869" t="e">
        <v>#VALUE!</v>
      </c>
      <c r="K115" s="869" t="s">
        <v>2655</v>
      </c>
      <c r="L115" s="869">
        <v>0.0</v>
      </c>
      <c r="M115" s="869" t="s">
        <v>1688</v>
      </c>
      <c r="N115" s="872" t="s">
        <v>3064</v>
      </c>
      <c r="O115" s="871"/>
    </row>
    <row r="116" ht="45.0" customHeight="1">
      <c r="A116" s="869">
        <v>115.0</v>
      </c>
      <c r="B116" s="869" t="s">
        <v>2952</v>
      </c>
      <c r="C116" s="870" t="s">
        <v>674</v>
      </c>
      <c r="D116" s="871" t="s">
        <v>3182</v>
      </c>
      <c r="E116" s="869">
        <v>100.0</v>
      </c>
      <c r="F116" s="869">
        <v>1.0</v>
      </c>
      <c r="G116" s="869">
        <v>100.0</v>
      </c>
      <c r="H116" s="869" t="s">
        <v>1697</v>
      </c>
      <c r="I116" s="869" t="s">
        <v>671</v>
      </c>
      <c r="J116" s="869" t="e">
        <v>#VALUE!</v>
      </c>
      <c r="K116" s="869" t="s">
        <v>2655</v>
      </c>
      <c r="L116" s="869">
        <v>0.0</v>
      </c>
      <c r="M116" s="869" t="s">
        <v>1688</v>
      </c>
      <c r="N116" s="872" t="s">
        <v>3064</v>
      </c>
      <c r="O116" s="871"/>
    </row>
    <row r="117" ht="45.0" customHeight="1">
      <c r="A117" s="869">
        <v>116.0</v>
      </c>
      <c r="B117" s="869" t="s">
        <v>2953</v>
      </c>
      <c r="C117" s="870" t="s">
        <v>678</v>
      </c>
      <c r="D117" s="871" t="s">
        <v>3183</v>
      </c>
      <c r="E117" s="869">
        <v>100.0</v>
      </c>
      <c r="F117" s="869">
        <v>1.0</v>
      </c>
      <c r="G117" s="869">
        <v>100.0</v>
      </c>
      <c r="H117" s="869" t="s">
        <v>1697</v>
      </c>
      <c r="I117" s="869" t="s">
        <v>675</v>
      </c>
      <c r="J117" s="869" t="e">
        <v>#VALUE!</v>
      </c>
      <c r="K117" s="869" t="s">
        <v>2655</v>
      </c>
      <c r="L117" s="869">
        <v>0.0</v>
      </c>
      <c r="M117" s="869" t="s">
        <v>1688</v>
      </c>
      <c r="N117" s="872" t="s">
        <v>3064</v>
      </c>
      <c r="O117" s="871"/>
    </row>
    <row r="118" ht="45.0" customHeight="1">
      <c r="A118" s="869">
        <v>117.0</v>
      </c>
      <c r="B118" s="869" t="s">
        <v>2954</v>
      </c>
      <c r="C118" s="870" t="s">
        <v>682</v>
      </c>
      <c r="D118" s="871" t="s">
        <v>3184</v>
      </c>
      <c r="E118" s="869">
        <v>100.0</v>
      </c>
      <c r="F118" s="869">
        <v>1.0</v>
      </c>
      <c r="G118" s="869">
        <v>100.0</v>
      </c>
      <c r="H118" s="869" t="s">
        <v>1697</v>
      </c>
      <c r="I118" s="869" t="s">
        <v>679</v>
      </c>
      <c r="J118" s="869" t="e">
        <v>#VALUE!</v>
      </c>
      <c r="K118" s="869" t="s">
        <v>2655</v>
      </c>
      <c r="L118" s="869">
        <v>0.0</v>
      </c>
      <c r="M118" s="869" t="s">
        <v>1688</v>
      </c>
      <c r="N118" s="872" t="s">
        <v>3064</v>
      </c>
      <c r="O118" s="871"/>
    </row>
    <row r="119" ht="45.0" customHeight="1">
      <c r="A119" s="869">
        <v>118.0</v>
      </c>
      <c r="B119" s="869" t="s">
        <v>2955</v>
      </c>
      <c r="C119" s="870" t="s">
        <v>686</v>
      </c>
      <c r="D119" s="871" t="s">
        <v>3185</v>
      </c>
      <c r="E119" s="869">
        <v>100.0</v>
      </c>
      <c r="F119" s="869">
        <v>1.0</v>
      </c>
      <c r="G119" s="869">
        <v>100.0</v>
      </c>
      <c r="H119" s="869" t="s">
        <v>1697</v>
      </c>
      <c r="I119" s="869" t="s">
        <v>683</v>
      </c>
      <c r="J119" s="869" t="e">
        <v>#VALUE!</v>
      </c>
      <c r="K119" s="869" t="s">
        <v>2655</v>
      </c>
      <c r="L119" s="869">
        <v>0.0</v>
      </c>
      <c r="M119" s="869" t="s">
        <v>1688</v>
      </c>
      <c r="N119" s="872" t="s">
        <v>3064</v>
      </c>
      <c r="O119" s="871"/>
    </row>
    <row r="120" ht="45.0" customHeight="1">
      <c r="A120" s="869">
        <v>119.0</v>
      </c>
      <c r="B120" s="869" t="s">
        <v>2956</v>
      </c>
      <c r="C120" s="870" t="s">
        <v>690</v>
      </c>
      <c r="D120" s="871" t="s">
        <v>3186</v>
      </c>
      <c r="E120" s="869">
        <v>100.0</v>
      </c>
      <c r="F120" s="869">
        <v>1.0</v>
      </c>
      <c r="G120" s="869">
        <v>100.0</v>
      </c>
      <c r="H120" s="869" t="s">
        <v>1697</v>
      </c>
      <c r="I120" s="869" t="s">
        <v>687</v>
      </c>
      <c r="J120" s="869" t="e">
        <v>#VALUE!</v>
      </c>
      <c r="K120" s="869" t="s">
        <v>2655</v>
      </c>
      <c r="L120" s="869">
        <v>0.0</v>
      </c>
      <c r="M120" s="869" t="s">
        <v>1688</v>
      </c>
      <c r="N120" s="872" t="s">
        <v>3064</v>
      </c>
      <c r="O120" s="871"/>
    </row>
    <row r="121" ht="45.0" customHeight="1">
      <c r="A121" s="869">
        <v>120.0</v>
      </c>
      <c r="B121" s="869" t="s">
        <v>2957</v>
      </c>
      <c r="C121" s="870" t="s">
        <v>694</v>
      </c>
      <c r="D121" s="871" t="s">
        <v>3187</v>
      </c>
      <c r="E121" s="869">
        <v>100.0</v>
      </c>
      <c r="F121" s="869">
        <v>1.0</v>
      </c>
      <c r="G121" s="869">
        <v>100.0</v>
      </c>
      <c r="H121" s="869" t="s">
        <v>1697</v>
      </c>
      <c r="I121" s="869" t="s">
        <v>691</v>
      </c>
      <c r="J121" s="869" t="e">
        <v>#VALUE!</v>
      </c>
      <c r="K121" s="869" t="s">
        <v>2655</v>
      </c>
      <c r="L121" s="869">
        <v>0.0</v>
      </c>
      <c r="M121" s="869" t="s">
        <v>1688</v>
      </c>
      <c r="N121" s="872" t="s">
        <v>3064</v>
      </c>
      <c r="O121" s="871"/>
    </row>
    <row r="122" ht="45.0" customHeight="1">
      <c r="A122" s="869">
        <v>121.0</v>
      </c>
      <c r="B122" s="869" t="s">
        <v>2958</v>
      </c>
      <c r="C122" s="870" t="s">
        <v>698</v>
      </c>
      <c r="D122" s="871" t="s">
        <v>3188</v>
      </c>
      <c r="E122" s="869">
        <v>100.0</v>
      </c>
      <c r="F122" s="869">
        <v>1.0</v>
      </c>
      <c r="G122" s="869">
        <v>100.0</v>
      </c>
      <c r="H122" s="869" t="s">
        <v>1697</v>
      </c>
      <c r="I122" s="869" t="s">
        <v>695</v>
      </c>
      <c r="J122" s="869" t="e">
        <v>#VALUE!</v>
      </c>
      <c r="K122" s="869" t="s">
        <v>2655</v>
      </c>
      <c r="L122" s="869">
        <v>0.0</v>
      </c>
      <c r="M122" s="869" t="s">
        <v>1688</v>
      </c>
      <c r="N122" s="872" t="s">
        <v>3064</v>
      </c>
      <c r="O122" s="871"/>
    </row>
    <row r="123" ht="45.0" customHeight="1">
      <c r="A123" s="869">
        <v>122.0</v>
      </c>
      <c r="B123" s="869" t="s">
        <v>2959</v>
      </c>
      <c r="C123" s="870" t="s">
        <v>702</v>
      </c>
      <c r="D123" s="871" t="s">
        <v>3189</v>
      </c>
      <c r="E123" s="869">
        <v>100.0</v>
      </c>
      <c r="F123" s="869">
        <v>1.0</v>
      </c>
      <c r="G123" s="869">
        <v>100.0</v>
      </c>
      <c r="H123" s="869" t="s">
        <v>1697</v>
      </c>
      <c r="I123" s="869" t="s">
        <v>699</v>
      </c>
      <c r="J123" s="869" t="e">
        <v>#VALUE!</v>
      </c>
      <c r="K123" s="869" t="s">
        <v>2655</v>
      </c>
      <c r="L123" s="869">
        <v>0.0</v>
      </c>
      <c r="M123" s="869" t="s">
        <v>1688</v>
      </c>
      <c r="N123" s="872" t="s">
        <v>3064</v>
      </c>
      <c r="O123" s="871"/>
    </row>
    <row r="124" ht="45.0" customHeight="1">
      <c r="A124" s="869">
        <v>123.0</v>
      </c>
      <c r="B124" s="869" t="s">
        <v>2960</v>
      </c>
      <c r="C124" s="870" t="s">
        <v>706</v>
      </c>
      <c r="D124" s="871" t="s">
        <v>3190</v>
      </c>
      <c r="E124" s="869">
        <v>100.0</v>
      </c>
      <c r="F124" s="869">
        <v>1.0</v>
      </c>
      <c r="G124" s="869">
        <v>100.0</v>
      </c>
      <c r="H124" s="869" t="s">
        <v>1697</v>
      </c>
      <c r="I124" s="869" t="s">
        <v>703</v>
      </c>
      <c r="J124" s="869" t="e">
        <v>#VALUE!</v>
      </c>
      <c r="K124" s="869" t="s">
        <v>2655</v>
      </c>
      <c r="L124" s="869">
        <v>0.0</v>
      </c>
      <c r="M124" s="869" t="s">
        <v>1688</v>
      </c>
      <c r="N124" s="872" t="s">
        <v>3064</v>
      </c>
      <c r="O124" s="871"/>
    </row>
    <row r="125" ht="45.0" customHeight="1">
      <c r="A125" s="869">
        <v>124.0</v>
      </c>
      <c r="B125" s="869" t="s">
        <v>2961</v>
      </c>
      <c r="C125" s="870" t="s">
        <v>710</v>
      </c>
      <c r="D125" s="871" t="s">
        <v>3191</v>
      </c>
      <c r="E125" s="869">
        <v>100.0</v>
      </c>
      <c r="F125" s="869">
        <v>1.0</v>
      </c>
      <c r="G125" s="869">
        <v>100.0</v>
      </c>
      <c r="H125" s="869" t="s">
        <v>1697</v>
      </c>
      <c r="I125" s="869" t="s">
        <v>707</v>
      </c>
      <c r="J125" s="869" t="e">
        <v>#VALUE!</v>
      </c>
      <c r="K125" s="869" t="s">
        <v>2655</v>
      </c>
      <c r="L125" s="869">
        <v>0.0</v>
      </c>
      <c r="M125" s="869" t="s">
        <v>1688</v>
      </c>
      <c r="N125" s="872" t="s">
        <v>3064</v>
      </c>
      <c r="O125" s="871"/>
    </row>
    <row r="126" ht="45.0" customHeight="1">
      <c r="A126" s="869">
        <v>125.0</v>
      </c>
      <c r="B126" s="869" t="s">
        <v>2962</v>
      </c>
      <c r="C126" s="870" t="s">
        <v>714</v>
      </c>
      <c r="D126" s="871" t="s">
        <v>3192</v>
      </c>
      <c r="E126" s="869">
        <v>100.0</v>
      </c>
      <c r="F126" s="869">
        <v>1.0</v>
      </c>
      <c r="G126" s="869">
        <v>100.0</v>
      </c>
      <c r="H126" s="869" t="s">
        <v>1697</v>
      </c>
      <c r="I126" s="869" t="s">
        <v>711</v>
      </c>
      <c r="J126" s="869" t="e">
        <v>#VALUE!</v>
      </c>
      <c r="K126" s="869" t="s">
        <v>2655</v>
      </c>
      <c r="L126" s="869">
        <v>0.0</v>
      </c>
      <c r="M126" s="869" t="s">
        <v>1688</v>
      </c>
      <c r="N126" s="872" t="s">
        <v>3064</v>
      </c>
      <c r="O126" s="871"/>
    </row>
    <row r="127" ht="45.0" customHeight="1">
      <c r="A127" s="869">
        <v>126.0</v>
      </c>
      <c r="B127" s="869" t="s">
        <v>2963</v>
      </c>
      <c r="C127" s="870" t="s">
        <v>718</v>
      </c>
      <c r="D127" s="871" t="s">
        <v>3193</v>
      </c>
      <c r="E127" s="869">
        <v>100.0</v>
      </c>
      <c r="F127" s="869">
        <v>1.0</v>
      </c>
      <c r="G127" s="869">
        <v>100.0</v>
      </c>
      <c r="H127" s="869" t="s">
        <v>1697</v>
      </c>
      <c r="I127" s="869" t="s">
        <v>715</v>
      </c>
      <c r="J127" s="869" t="e">
        <v>#VALUE!</v>
      </c>
      <c r="K127" s="869" t="s">
        <v>2655</v>
      </c>
      <c r="L127" s="869">
        <v>0.0</v>
      </c>
      <c r="M127" s="869" t="s">
        <v>1688</v>
      </c>
      <c r="N127" s="872" t="s">
        <v>3064</v>
      </c>
      <c r="O127" s="871"/>
    </row>
    <row r="128" ht="45.0" customHeight="1">
      <c r="A128" s="869">
        <v>127.0</v>
      </c>
      <c r="B128" s="869" t="s">
        <v>2964</v>
      </c>
      <c r="C128" s="870" t="s">
        <v>722</v>
      </c>
      <c r="D128" s="871" t="s">
        <v>3194</v>
      </c>
      <c r="E128" s="869">
        <v>100.0</v>
      </c>
      <c r="F128" s="869">
        <v>1.0</v>
      </c>
      <c r="G128" s="869">
        <v>100.0</v>
      </c>
      <c r="H128" s="869" t="s">
        <v>1697</v>
      </c>
      <c r="I128" s="869" t="s">
        <v>719</v>
      </c>
      <c r="J128" s="869" t="e">
        <v>#VALUE!</v>
      </c>
      <c r="K128" s="869" t="s">
        <v>2655</v>
      </c>
      <c r="L128" s="869">
        <v>0.0</v>
      </c>
      <c r="M128" s="869" t="s">
        <v>1688</v>
      </c>
      <c r="N128" s="872" t="s">
        <v>3064</v>
      </c>
      <c r="O128" s="871"/>
    </row>
    <row r="129" ht="45.0" customHeight="1">
      <c r="A129" s="869">
        <v>128.0</v>
      </c>
      <c r="B129" s="869" t="s">
        <v>2965</v>
      </c>
      <c r="C129" s="870" t="s">
        <v>726</v>
      </c>
      <c r="D129" s="871" t="s">
        <v>3195</v>
      </c>
      <c r="E129" s="869">
        <v>100.0</v>
      </c>
      <c r="F129" s="869">
        <v>1.0</v>
      </c>
      <c r="G129" s="869">
        <v>100.0</v>
      </c>
      <c r="H129" s="869" t="s">
        <v>1697</v>
      </c>
      <c r="I129" s="869" t="s">
        <v>723</v>
      </c>
      <c r="J129" s="869" t="e">
        <v>#VALUE!</v>
      </c>
      <c r="K129" s="869" t="s">
        <v>2655</v>
      </c>
      <c r="L129" s="869">
        <v>0.0</v>
      </c>
      <c r="M129" s="869" t="s">
        <v>1688</v>
      </c>
      <c r="N129" s="872" t="s">
        <v>3064</v>
      </c>
      <c r="O129" s="871"/>
    </row>
    <row r="130" ht="45.0" customHeight="1">
      <c r="A130" s="869">
        <v>129.0</v>
      </c>
      <c r="B130" s="869" t="s">
        <v>2966</v>
      </c>
      <c r="C130" s="870" t="s">
        <v>730</v>
      </c>
      <c r="D130" s="871" t="s">
        <v>3196</v>
      </c>
      <c r="E130" s="869">
        <v>100.0</v>
      </c>
      <c r="F130" s="869">
        <v>1.0</v>
      </c>
      <c r="G130" s="869">
        <v>100.0</v>
      </c>
      <c r="H130" s="869" t="s">
        <v>1697</v>
      </c>
      <c r="I130" s="869" t="s">
        <v>727</v>
      </c>
      <c r="J130" s="869" t="e">
        <v>#VALUE!</v>
      </c>
      <c r="K130" s="869" t="s">
        <v>2655</v>
      </c>
      <c r="L130" s="869">
        <v>0.0</v>
      </c>
      <c r="M130" s="869" t="s">
        <v>1688</v>
      </c>
      <c r="N130" s="872" t="s">
        <v>3064</v>
      </c>
      <c r="O130" s="871"/>
    </row>
    <row r="131" ht="45.0" customHeight="1">
      <c r="A131" s="869">
        <v>130.0</v>
      </c>
      <c r="B131" s="869" t="s">
        <v>2967</v>
      </c>
      <c r="C131" s="870" t="s">
        <v>734</v>
      </c>
      <c r="D131" s="871" t="s">
        <v>3197</v>
      </c>
      <c r="E131" s="869">
        <v>100.0</v>
      </c>
      <c r="F131" s="869">
        <v>1.0</v>
      </c>
      <c r="G131" s="869">
        <v>100.0</v>
      </c>
      <c r="H131" s="869" t="s">
        <v>1697</v>
      </c>
      <c r="I131" s="869" t="s">
        <v>731</v>
      </c>
      <c r="J131" s="869" t="e">
        <v>#VALUE!</v>
      </c>
      <c r="K131" s="869" t="s">
        <v>2655</v>
      </c>
      <c r="L131" s="869">
        <v>0.0</v>
      </c>
      <c r="M131" s="869" t="s">
        <v>1688</v>
      </c>
      <c r="N131" s="872" t="s">
        <v>3064</v>
      </c>
      <c r="O131" s="871"/>
    </row>
    <row r="132" ht="45.0" customHeight="1">
      <c r="A132" s="869">
        <v>131.0</v>
      </c>
      <c r="B132" s="869" t="s">
        <v>2968</v>
      </c>
      <c r="C132" s="870" t="s">
        <v>738</v>
      </c>
      <c r="D132" s="871" t="s">
        <v>3198</v>
      </c>
      <c r="E132" s="869">
        <v>100.0</v>
      </c>
      <c r="F132" s="869">
        <v>1.0</v>
      </c>
      <c r="G132" s="869">
        <v>100.0</v>
      </c>
      <c r="H132" s="869" t="s">
        <v>1697</v>
      </c>
      <c r="I132" s="869" t="s">
        <v>735</v>
      </c>
      <c r="J132" s="869" t="e">
        <v>#VALUE!</v>
      </c>
      <c r="K132" s="869" t="s">
        <v>2655</v>
      </c>
      <c r="L132" s="869">
        <v>0.0</v>
      </c>
      <c r="M132" s="869" t="s">
        <v>1688</v>
      </c>
      <c r="N132" s="872" t="s">
        <v>3064</v>
      </c>
      <c r="O132" s="871"/>
    </row>
    <row r="133" ht="45.0" customHeight="1">
      <c r="A133" s="869">
        <v>132.0</v>
      </c>
      <c r="B133" s="869" t="s">
        <v>2969</v>
      </c>
      <c r="C133" s="870" t="s">
        <v>742</v>
      </c>
      <c r="D133" s="871" t="s">
        <v>3199</v>
      </c>
      <c r="E133" s="869">
        <v>100.0</v>
      </c>
      <c r="F133" s="869">
        <v>1.0</v>
      </c>
      <c r="G133" s="869">
        <v>100.0</v>
      </c>
      <c r="H133" s="869" t="s">
        <v>1697</v>
      </c>
      <c r="I133" s="869" t="s">
        <v>739</v>
      </c>
      <c r="J133" s="869" t="e">
        <v>#VALUE!</v>
      </c>
      <c r="K133" s="869" t="s">
        <v>2655</v>
      </c>
      <c r="L133" s="869">
        <v>0.0</v>
      </c>
      <c r="M133" s="869" t="s">
        <v>1688</v>
      </c>
      <c r="N133" s="872" t="s">
        <v>3064</v>
      </c>
      <c r="O133" s="871"/>
    </row>
    <row r="134" ht="45.0" customHeight="1">
      <c r="A134" s="869">
        <v>133.0</v>
      </c>
      <c r="B134" s="869" t="s">
        <v>2970</v>
      </c>
      <c r="C134" s="870" t="s">
        <v>746</v>
      </c>
      <c r="D134" s="871" t="s">
        <v>3200</v>
      </c>
      <c r="E134" s="869">
        <v>100.0</v>
      </c>
      <c r="F134" s="869">
        <v>1.0</v>
      </c>
      <c r="G134" s="869">
        <v>100.0</v>
      </c>
      <c r="H134" s="869" t="s">
        <v>1697</v>
      </c>
      <c r="I134" s="869" t="s">
        <v>743</v>
      </c>
      <c r="J134" s="869" t="e">
        <v>#VALUE!</v>
      </c>
      <c r="K134" s="869" t="s">
        <v>2655</v>
      </c>
      <c r="L134" s="869">
        <v>0.0</v>
      </c>
      <c r="M134" s="869" t="s">
        <v>1688</v>
      </c>
      <c r="N134" s="872" t="s">
        <v>3064</v>
      </c>
      <c r="O134" s="871"/>
    </row>
    <row r="135" ht="45.0" customHeight="1">
      <c r="A135" s="869">
        <v>134.0</v>
      </c>
      <c r="B135" s="869" t="s">
        <v>2971</v>
      </c>
      <c r="C135" s="870" t="s">
        <v>750</v>
      </c>
      <c r="D135" s="871" t="s">
        <v>3201</v>
      </c>
      <c r="E135" s="869">
        <v>100.0</v>
      </c>
      <c r="F135" s="869">
        <v>1.0</v>
      </c>
      <c r="G135" s="869">
        <v>100.0</v>
      </c>
      <c r="H135" s="869" t="s">
        <v>1697</v>
      </c>
      <c r="I135" s="869" t="s">
        <v>747</v>
      </c>
      <c r="J135" s="869" t="e">
        <v>#VALUE!</v>
      </c>
      <c r="K135" s="869" t="s">
        <v>2655</v>
      </c>
      <c r="L135" s="869">
        <v>0.0</v>
      </c>
      <c r="M135" s="869" t="s">
        <v>1688</v>
      </c>
      <c r="N135" s="872" t="s">
        <v>3064</v>
      </c>
      <c r="O135" s="871"/>
    </row>
    <row r="136" ht="45.0" customHeight="1">
      <c r="A136" s="869">
        <v>135.0</v>
      </c>
      <c r="B136" s="869" t="s">
        <v>2972</v>
      </c>
      <c r="C136" s="870" t="s">
        <v>754</v>
      </c>
      <c r="D136" s="871" t="s">
        <v>3202</v>
      </c>
      <c r="E136" s="869">
        <v>100.0</v>
      </c>
      <c r="F136" s="869">
        <v>1.0</v>
      </c>
      <c r="G136" s="869">
        <v>100.0</v>
      </c>
      <c r="H136" s="869" t="s">
        <v>1697</v>
      </c>
      <c r="I136" s="869" t="s">
        <v>751</v>
      </c>
      <c r="J136" s="869" t="e">
        <v>#VALUE!</v>
      </c>
      <c r="K136" s="869" t="s">
        <v>2655</v>
      </c>
      <c r="L136" s="869">
        <v>0.0</v>
      </c>
      <c r="M136" s="869" t="s">
        <v>1688</v>
      </c>
      <c r="N136" s="872" t="s">
        <v>3064</v>
      </c>
      <c r="O136" s="871"/>
    </row>
    <row r="137" ht="45.0" customHeight="1">
      <c r="A137" s="869">
        <v>136.0</v>
      </c>
      <c r="B137" s="869" t="s">
        <v>2973</v>
      </c>
      <c r="C137" s="870" t="s">
        <v>758</v>
      </c>
      <c r="D137" s="871" t="s">
        <v>3203</v>
      </c>
      <c r="E137" s="869">
        <v>100.0</v>
      </c>
      <c r="F137" s="869">
        <v>1.0</v>
      </c>
      <c r="G137" s="869">
        <v>100.0</v>
      </c>
      <c r="H137" s="869" t="s">
        <v>1697</v>
      </c>
      <c r="I137" s="869" t="s">
        <v>755</v>
      </c>
      <c r="J137" s="869" t="e">
        <v>#VALUE!</v>
      </c>
      <c r="K137" s="869" t="s">
        <v>2655</v>
      </c>
      <c r="L137" s="869">
        <v>0.0</v>
      </c>
      <c r="M137" s="869" t="s">
        <v>1688</v>
      </c>
      <c r="N137" s="872" t="s">
        <v>3064</v>
      </c>
      <c r="O137" s="871"/>
    </row>
    <row r="138" ht="45.0" customHeight="1">
      <c r="A138" s="869">
        <v>137.0</v>
      </c>
      <c r="B138" s="869" t="s">
        <v>2974</v>
      </c>
      <c r="C138" s="870" t="s">
        <v>762</v>
      </c>
      <c r="D138" s="871" t="s">
        <v>3204</v>
      </c>
      <c r="E138" s="869">
        <v>100.0</v>
      </c>
      <c r="F138" s="869">
        <v>1.0</v>
      </c>
      <c r="G138" s="869">
        <v>100.0</v>
      </c>
      <c r="H138" s="869" t="s">
        <v>1697</v>
      </c>
      <c r="I138" s="869" t="s">
        <v>759</v>
      </c>
      <c r="J138" s="869" t="e">
        <v>#VALUE!</v>
      </c>
      <c r="K138" s="869" t="s">
        <v>2655</v>
      </c>
      <c r="L138" s="869">
        <v>0.0</v>
      </c>
      <c r="M138" s="869" t="s">
        <v>1688</v>
      </c>
      <c r="N138" s="872" t="s">
        <v>3064</v>
      </c>
      <c r="O138" s="871"/>
    </row>
    <row r="139" ht="45.0" customHeight="1">
      <c r="A139" s="869">
        <v>138.0</v>
      </c>
      <c r="B139" s="869" t="s">
        <v>2975</v>
      </c>
      <c r="C139" s="870" t="s">
        <v>766</v>
      </c>
      <c r="D139" s="871" t="s">
        <v>3205</v>
      </c>
      <c r="E139" s="869">
        <v>100.0</v>
      </c>
      <c r="F139" s="869">
        <v>1.0</v>
      </c>
      <c r="G139" s="869">
        <v>100.0</v>
      </c>
      <c r="H139" s="869" t="s">
        <v>1697</v>
      </c>
      <c r="I139" s="869" t="s">
        <v>763</v>
      </c>
      <c r="J139" s="869" t="e">
        <v>#VALUE!</v>
      </c>
      <c r="K139" s="869" t="s">
        <v>2655</v>
      </c>
      <c r="L139" s="869">
        <v>0.0</v>
      </c>
      <c r="M139" s="869" t="s">
        <v>1688</v>
      </c>
      <c r="N139" s="872" t="s">
        <v>3064</v>
      </c>
      <c r="O139" s="871"/>
    </row>
    <row r="140" ht="45.0" customHeight="1">
      <c r="A140" s="869">
        <v>139.0</v>
      </c>
      <c r="B140" s="869" t="s">
        <v>2976</v>
      </c>
      <c r="C140" s="870" t="s">
        <v>770</v>
      </c>
      <c r="D140" s="871" t="s">
        <v>3206</v>
      </c>
      <c r="E140" s="869">
        <v>100.0</v>
      </c>
      <c r="F140" s="869">
        <v>1.0</v>
      </c>
      <c r="G140" s="869">
        <v>100.0</v>
      </c>
      <c r="H140" s="869" t="s">
        <v>1697</v>
      </c>
      <c r="I140" s="869" t="s">
        <v>767</v>
      </c>
      <c r="J140" s="869" t="e">
        <v>#VALUE!</v>
      </c>
      <c r="K140" s="869" t="s">
        <v>2655</v>
      </c>
      <c r="L140" s="869">
        <v>0.0</v>
      </c>
      <c r="M140" s="869" t="s">
        <v>1688</v>
      </c>
      <c r="N140" s="872" t="s">
        <v>3064</v>
      </c>
      <c r="O140" s="871"/>
    </row>
    <row r="141" ht="45.0" customHeight="1">
      <c r="A141" s="869">
        <v>140.0</v>
      </c>
      <c r="B141" s="869" t="s">
        <v>2977</v>
      </c>
      <c r="C141" s="870" t="s">
        <v>774</v>
      </c>
      <c r="D141" s="871" t="s">
        <v>3207</v>
      </c>
      <c r="E141" s="869">
        <v>100.0</v>
      </c>
      <c r="F141" s="869">
        <v>1.0</v>
      </c>
      <c r="G141" s="869">
        <v>100.0</v>
      </c>
      <c r="H141" s="869" t="s">
        <v>1697</v>
      </c>
      <c r="I141" s="869" t="s">
        <v>771</v>
      </c>
      <c r="J141" s="869" t="e">
        <v>#VALUE!</v>
      </c>
      <c r="K141" s="869" t="s">
        <v>2655</v>
      </c>
      <c r="L141" s="869">
        <v>0.0</v>
      </c>
      <c r="M141" s="869" t="s">
        <v>1688</v>
      </c>
      <c r="N141" s="872" t="s">
        <v>3064</v>
      </c>
      <c r="O141" s="871"/>
    </row>
    <row r="142" ht="45.0" customHeight="1">
      <c r="A142" s="869">
        <v>141.0</v>
      </c>
      <c r="B142" s="869" t="s">
        <v>2978</v>
      </c>
      <c r="C142" s="870" t="s">
        <v>778</v>
      </c>
      <c r="D142" s="871" t="s">
        <v>3208</v>
      </c>
      <c r="E142" s="869">
        <v>100.0</v>
      </c>
      <c r="F142" s="869">
        <v>1.0</v>
      </c>
      <c r="G142" s="869">
        <v>100.0</v>
      </c>
      <c r="H142" s="869" t="s">
        <v>1697</v>
      </c>
      <c r="I142" s="869" t="s">
        <v>775</v>
      </c>
      <c r="J142" s="869" t="e">
        <v>#VALUE!</v>
      </c>
      <c r="K142" s="869" t="s">
        <v>2655</v>
      </c>
      <c r="L142" s="869">
        <v>0.0</v>
      </c>
      <c r="M142" s="869" t="s">
        <v>1688</v>
      </c>
      <c r="N142" s="872" t="s">
        <v>3064</v>
      </c>
      <c r="O142" s="871"/>
    </row>
    <row r="143" ht="45.0" customHeight="1">
      <c r="A143" s="869">
        <v>142.0</v>
      </c>
      <c r="B143" s="869" t="s">
        <v>2979</v>
      </c>
      <c r="C143" s="870" t="s">
        <v>782</v>
      </c>
      <c r="D143" s="871" t="s">
        <v>3209</v>
      </c>
      <c r="E143" s="869">
        <v>100.0</v>
      </c>
      <c r="F143" s="869">
        <v>1.0</v>
      </c>
      <c r="G143" s="869">
        <v>100.0</v>
      </c>
      <c r="H143" s="869" t="s">
        <v>1697</v>
      </c>
      <c r="I143" s="869" t="s">
        <v>779</v>
      </c>
      <c r="J143" s="869" t="e">
        <v>#VALUE!</v>
      </c>
      <c r="K143" s="869" t="s">
        <v>2655</v>
      </c>
      <c r="L143" s="869">
        <v>0.0</v>
      </c>
      <c r="M143" s="869" t="s">
        <v>1688</v>
      </c>
      <c r="N143" s="872" t="s">
        <v>3064</v>
      </c>
      <c r="O143" s="871"/>
    </row>
    <row r="144" ht="45.0" customHeight="1">
      <c r="A144" s="869">
        <v>143.0</v>
      </c>
      <c r="B144" s="869" t="s">
        <v>2980</v>
      </c>
      <c r="C144" s="870" t="s">
        <v>786</v>
      </c>
      <c r="D144" s="871" t="s">
        <v>3210</v>
      </c>
      <c r="E144" s="869">
        <v>100.0</v>
      </c>
      <c r="F144" s="869">
        <v>1.0</v>
      </c>
      <c r="G144" s="869">
        <v>100.0</v>
      </c>
      <c r="H144" s="869" t="s">
        <v>1697</v>
      </c>
      <c r="I144" s="869" t="s">
        <v>783</v>
      </c>
      <c r="J144" s="869" t="e">
        <v>#VALUE!</v>
      </c>
      <c r="K144" s="869" t="s">
        <v>2655</v>
      </c>
      <c r="L144" s="869">
        <v>0.0</v>
      </c>
      <c r="M144" s="869" t="s">
        <v>1688</v>
      </c>
      <c r="N144" s="872" t="s">
        <v>3064</v>
      </c>
      <c r="O144" s="871"/>
    </row>
    <row r="145" ht="45.0" customHeight="1">
      <c r="A145" s="869">
        <v>144.0</v>
      </c>
      <c r="B145" s="869" t="s">
        <v>2981</v>
      </c>
      <c r="C145" s="870" t="s">
        <v>790</v>
      </c>
      <c r="D145" s="871" t="s">
        <v>3209</v>
      </c>
      <c r="E145" s="869">
        <v>100.0</v>
      </c>
      <c r="F145" s="869">
        <v>1.0</v>
      </c>
      <c r="G145" s="869">
        <v>100.0</v>
      </c>
      <c r="H145" s="869" t="s">
        <v>1697</v>
      </c>
      <c r="I145" s="869" t="s">
        <v>787</v>
      </c>
      <c r="J145" s="869" t="e">
        <v>#VALUE!</v>
      </c>
      <c r="K145" s="869" t="s">
        <v>2655</v>
      </c>
      <c r="L145" s="869">
        <v>0.0</v>
      </c>
      <c r="M145" s="869" t="s">
        <v>1688</v>
      </c>
      <c r="N145" s="872" t="s">
        <v>3064</v>
      </c>
      <c r="O145" s="871"/>
    </row>
    <row r="146" ht="45.0" customHeight="1">
      <c r="A146" s="869">
        <v>145.0</v>
      </c>
      <c r="B146" s="869" t="s">
        <v>2982</v>
      </c>
      <c r="C146" s="870" t="s">
        <v>794</v>
      </c>
      <c r="D146" s="871" t="s">
        <v>3210</v>
      </c>
      <c r="E146" s="869">
        <v>100.0</v>
      </c>
      <c r="F146" s="869">
        <v>1.0</v>
      </c>
      <c r="G146" s="869">
        <v>100.0</v>
      </c>
      <c r="H146" s="869" t="s">
        <v>1697</v>
      </c>
      <c r="I146" s="869" t="s">
        <v>791</v>
      </c>
      <c r="J146" s="869" t="e">
        <v>#VALUE!</v>
      </c>
      <c r="K146" s="869" t="s">
        <v>2655</v>
      </c>
      <c r="L146" s="869">
        <v>0.0</v>
      </c>
      <c r="M146" s="869" t="s">
        <v>1688</v>
      </c>
      <c r="N146" s="872" t="s">
        <v>3064</v>
      </c>
      <c r="O146" s="871"/>
    </row>
    <row r="147" ht="45.0" customHeight="1">
      <c r="A147" s="869">
        <v>146.0</v>
      </c>
      <c r="B147" s="869" t="s">
        <v>2983</v>
      </c>
      <c r="C147" s="870" t="s">
        <v>798</v>
      </c>
      <c r="D147" s="871" t="s">
        <v>3211</v>
      </c>
      <c r="E147" s="869">
        <v>100.0</v>
      </c>
      <c r="F147" s="869">
        <v>1.0</v>
      </c>
      <c r="G147" s="869">
        <v>100.0</v>
      </c>
      <c r="H147" s="869" t="s">
        <v>1697</v>
      </c>
      <c r="I147" s="869" t="s">
        <v>795</v>
      </c>
      <c r="J147" s="869" t="e">
        <v>#VALUE!</v>
      </c>
      <c r="K147" s="869" t="s">
        <v>2655</v>
      </c>
      <c r="L147" s="869">
        <v>0.0</v>
      </c>
      <c r="M147" s="869" t="s">
        <v>1688</v>
      </c>
      <c r="N147" s="872" t="s">
        <v>3064</v>
      </c>
      <c r="O147" s="871"/>
    </row>
    <row r="148" ht="45.0" customHeight="1">
      <c r="A148" s="869">
        <v>147.0</v>
      </c>
      <c r="B148" s="869" t="s">
        <v>2984</v>
      </c>
      <c r="C148" s="870" t="s">
        <v>802</v>
      </c>
      <c r="D148" s="871" t="s">
        <v>3212</v>
      </c>
      <c r="E148" s="869">
        <v>100.0</v>
      </c>
      <c r="F148" s="869">
        <v>1.0</v>
      </c>
      <c r="G148" s="869">
        <v>100.0</v>
      </c>
      <c r="H148" s="869" t="s">
        <v>1697</v>
      </c>
      <c r="I148" s="869" t="s">
        <v>799</v>
      </c>
      <c r="J148" s="869" t="e">
        <v>#VALUE!</v>
      </c>
      <c r="K148" s="869" t="s">
        <v>2655</v>
      </c>
      <c r="L148" s="869">
        <v>0.0</v>
      </c>
      <c r="M148" s="869" t="s">
        <v>1688</v>
      </c>
      <c r="N148" s="872" t="s">
        <v>3064</v>
      </c>
      <c r="O148" s="871"/>
    </row>
    <row r="149" ht="45.0" customHeight="1">
      <c r="A149" s="869">
        <v>148.0</v>
      </c>
      <c r="B149" s="869" t="s">
        <v>2985</v>
      </c>
      <c r="C149" s="870" t="s">
        <v>806</v>
      </c>
      <c r="D149" s="871" t="s">
        <v>3213</v>
      </c>
      <c r="E149" s="869">
        <v>100.0</v>
      </c>
      <c r="F149" s="869">
        <v>1.0</v>
      </c>
      <c r="G149" s="869">
        <v>100.0</v>
      </c>
      <c r="H149" s="869" t="s">
        <v>1697</v>
      </c>
      <c r="I149" s="869" t="s">
        <v>803</v>
      </c>
      <c r="J149" s="869" t="e">
        <v>#VALUE!</v>
      </c>
      <c r="K149" s="869" t="s">
        <v>2655</v>
      </c>
      <c r="L149" s="869">
        <v>0.0</v>
      </c>
      <c r="M149" s="869" t="s">
        <v>1688</v>
      </c>
      <c r="N149" s="872" t="s">
        <v>3064</v>
      </c>
      <c r="O149" s="871"/>
    </row>
    <row r="150" ht="45.0" customHeight="1">
      <c r="A150" s="869">
        <v>149.0</v>
      </c>
      <c r="B150" s="869" t="s">
        <v>2986</v>
      </c>
      <c r="C150" s="870" t="s">
        <v>810</v>
      </c>
      <c r="D150" s="871" t="s">
        <v>3214</v>
      </c>
      <c r="E150" s="869">
        <v>100.0</v>
      </c>
      <c r="F150" s="869">
        <v>1.0</v>
      </c>
      <c r="G150" s="869">
        <v>100.0</v>
      </c>
      <c r="H150" s="869" t="s">
        <v>1697</v>
      </c>
      <c r="I150" s="869" t="s">
        <v>807</v>
      </c>
      <c r="J150" s="869" t="e">
        <v>#VALUE!</v>
      </c>
      <c r="K150" s="869" t="s">
        <v>2655</v>
      </c>
      <c r="L150" s="869">
        <v>0.0</v>
      </c>
      <c r="M150" s="869" t="s">
        <v>1688</v>
      </c>
      <c r="N150" s="872" t="s">
        <v>3064</v>
      </c>
      <c r="O150" s="871"/>
    </row>
    <row r="151" ht="45.0" customHeight="1">
      <c r="A151" s="869">
        <v>150.0</v>
      </c>
      <c r="B151" s="869" t="s">
        <v>2987</v>
      </c>
      <c r="C151" s="870" t="s">
        <v>814</v>
      </c>
      <c r="D151" s="871" t="s">
        <v>3215</v>
      </c>
      <c r="E151" s="869">
        <v>100.0</v>
      </c>
      <c r="F151" s="869">
        <v>1.0</v>
      </c>
      <c r="G151" s="869">
        <v>100.0</v>
      </c>
      <c r="H151" s="869" t="s">
        <v>1697</v>
      </c>
      <c r="I151" s="869" t="s">
        <v>811</v>
      </c>
      <c r="J151" s="869" t="e">
        <v>#VALUE!</v>
      </c>
      <c r="K151" s="869" t="s">
        <v>2655</v>
      </c>
      <c r="L151" s="869">
        <v>0.0</v>
      </c>
      <c r="M151" s="869" t="s">
        <v>1688</v>
      </c>
      <c r="N151" s="872" t="s">
        <v>3064</v>
      </c>
      <c r="O151" s="871"/>
    </row>
    <row r="152" ht="45.0" customHeight="1">
      <c r="A152" s="869">
        <v>151.0</v>
      </c>
      <c r="B152" s="869" t="s">
        <v>2988</v>
      </c>
      <c r="C152" s="870" t="s">
        <v>818</v>
      </c>
      <c r="D152" s="871" t="s">
        <v>3216</v>
      </c>
      <c r="E152" s="869">
        <v>100.0</v>
      </c>
      <c r="F152" s="869">
        <v>1.0</v>
      </c>
      <c r="G152" s="869">
        <v>100.0</v>
      </c>
      <c r="H152" s="869" t="s">
        <v>1697</v>
      </c>
      <c r="I152" s="869" t="s">
        <v>815</v>
      </c>
      <c r="J152" s="869" t="e">
        <v>#VALUE!</v>
      </c>
      <c r="K152" s="869" t="s">
        <v>2655</v>
      </c>
      <c r="L152" s="869">
        <v>0.0</v>
      </c>
      <c r="M152" s="869" t="s">
        <v>1688</v>
      </c>
      <c r="N152" s="872" t="s">
        <v>3064</v>
      </c>
      <c r="O152" s="871"/>
    </row>
    <row r="153" ht="45.0" customHeight="1">
      <c r="A153" s="869">
        <v>152.0</v>
      </c>
      <c r="B153" s="869" t="s">
        <v>2989</v>
      </c>
      <c r="C153" s="870" t="s">
        <v>822</v>
      </c>
      <c r="D153" s="871" t="s">
        <v>3217</v>
      </c>
      <c r="E153" s="869">
        <v>100.0</v>
      </c>
      <c r="F153" s="869">
        <v>1.0</v>
      </c>
      <c r="G153" s="869">
        <v>100.0</v>
      </c>
      <c r="H153" s="869" t="s">
        <v>1697</v>
      </c>
      <c r="I153" s="869" t="s">
        <v>819</v>
      </c>
      <c r="J153" s="869" t="e">
        <v>#VALUE!</v>
      </c>
      <c r="K153" s="869" t="s">
        <v>2655</v>
      </c>
      <c r="L153" s="869">
        <v>0.0</v>
      </c>
      <c r="M153" s="869" t="s">
        <v>1688</v>
      </c>
      <c r="N153" s="872" t="s">
        <v>3064</v>
      </c>
      <c r="O153" s="871"/>
    </row>
    <row r="154" ht="45.0" customHeight="1">
      <c r="A154" s="869">
        <v>153.0</v>
      </c>
      <c r="B154" s="869" t="s">
        <v>3054</v>
      </c>
      <c r="C154" s="870" t="s">
        <v>1760</v>
      </c>
      <c r="D154" s="871" t="s">
        <v>3218</v>
      </c>
      <c r="E154" s="869">
        <v>5.0</v>
      </c>
      <c r="F154" s="869">
        <v>95.0</v>
      </c>
      <c r="G154" s="869">
        <v>475.0</v>
      </c>
      <c r="H154" s="869" t="s">
        <v>1697</v>
      </c>
      <c r="I154" s="869" t="s">
        <v>1091</v>
      </c>
      <c r="J154" s="869" t="e">
        <v>#VALUE!</v>
      </c>
      <c r="K154" s="869" t="s">
        <v>2839</v>
      </c>
      <c r="L154" s="869">
        <v>0.0</v>
      </c>
      <c r="M154" s="869" t="s">
        <v>1688</v>
      </c>
      <c r="N154" s="872" t="s">
        <v>3064</v>
      </c>
      <c r="O154" s="871"/>
    </row>
    <row r="155" ht="45.0" customHeight="1">
      <c r="A155" s="869">
        <v>154.0</v>
      </c>
      <c r="B155" s="869" t="s">
        <v>2990</v>
      </c>
      <c r="C155" s="870" t="s">
        <v>962</v>
      </c>
      <c r="D155" s="871" t="s">
        <v>3219</v>
      </c>
      <c r="E155" s="869">
        <v>10.0</v>
      </c>
      <c r="F155" s="869">
        <v>500.0</v>
      </c>
      <c r="G155" s="869">
        <v>5000.0</v>
      </c>
      <c r="H155" s="869" t="s">
        <v>1697</v>
      </c>
      <c r="I155" s="869" t="s">
        <v>959</v>
      </c>
      <c r="J155" s="869" t="e">
        <v>#VALUE!</v>
      </c>
      <c r="K155" s="869" t="s">
        <v>2839</v>
      </c>
      <c r="L155" s="869" t="s">
        <v>2831</v>
      </c>
      <c r="M155" s="869" t="s">
        <v>1688</v>
      </c>
      <c r="N155" s="872" t="s">
        <v>3064</v>
      </c>
      <c r="O155" s="871"/>
    </row>
    <row r="156" ht="45.0" customHeight="1">
      <c r="A156" s="869">
        <v>155.0</v>
      </c>
      <c r="B156" s="869" t="s">
        <v>2991</v>
      </c>
      <c r="C156" s="870" t="s">
        <v>2992</v>
      </c>
      <c r="D156" s="871" t="s">
        <v>3220</v>
      </c>
      <c r="E156" s="869">
        <v>100.0</v>
      </c>
      <c r="F156" s="869">
        <v>20.0</v>
      </c>
      <c r="G156" s="869">
        <v>2000.0</v>
      </c>
      <c r="H156" s="869" t="s">
        <v>1697</v>
      </c>
      <c r="I156" s="869" t="s">
        <v>963</v>
      </c>
      <c r="J156" s="869" t="e">
        <v>#VALUE!</v>
      </c>
      <c r="K156" s="869" t="s">
        <v>2655</v>
      </c>
      <c r="L156" s="869">
        <v>0.0</v>
      </c>
      <c r="M156" s="869" t="s">
        <v>1688</v>
      </c>
      <c r="N156" s="872" t="s">
        <v>3064</v>
      </c>
      <c r="O156" s="871"/>
    </row>
    <row r="157" ht="45.0" customHeight="1">
      <c r="A157" s="869">
        <v>156.0</v>
      </c>
      <c r="B157" s="869" t="s">
        <v>2993</v>
      </c>
      <c r="C157" s="870" t="s">
        <v>2994</v>
      </c>
      <c r="D157" s="871" t="s">
        <v>3221</v>
      </c>
      <c r="E157" s="869">
        <v>30.0</v>
      </c>
      <c r="F157" s="869">
        <v>250.0</v>
      </c>
      <c r="G157" s="869">
        <v>7500.0</v>
      </c>
      <c r="H157" s="869" t="s">
        <v>1697</v>
      </c>
      <c r="I157" s="869" t="s">
        <v>971</v>
      </c>
      <c r="J157" s="869" t="e">
        <v>#VALUE!</v>
      </c>
      <c r="K157" s="869" t="s">
        <v>2798</v>
      </c>
      <c r="L157" s="869" t="s">
        <v>2831</v>
      </c>
      <c r="M157" s="869" t="s">
        <v>1688</v>
      </c>
      <c r="N157" s="872" t="s">
        <v>3064</v>
      </c>
      <c r="O157" s="871"/>
    </row>
    <row r="158" ht="45.0" customHeight="1">
      <c r="A158" s="869">
        <v>157.0</v>
      </c>
      <c r="B158" s="869" t="s">
        <v>2832</v>
      </c>
      <c r="C158" s="870" t="s">
        <v>3222</v>
      </c>
      <c r="D158" s="871" t="s">
        <v>3223</v>
      </c>
      <c r="E158" s="869">
        <v>15.0</v>
      </c>
      <c r="F158" s="869">
        <v>250.0</v>
      </c>
      <c r="G158" s="869">
        <v>3750.0</v>
      </c>
      <c r="H158" s="869" t="s">
        <v>1697</v>
      </c>
      <c r="I158" s="869" t="s">
        <v>1360</v>
      </c>
      <c r="J158" s="869" t="e">
        <v>#VALUE!</v>
      </c>
      <c r="K158" s="869" t="s">
        <v>2798</v>
      </c>
      <c r="L158" s="869" t="s">
        <v>2831</v>
      </c>
      <c r="M158" s="869" t="s">
        <v>1688</v>
      </c>
      <c r="N158" s="872" t="s">
        <v>3064</v>
      </c>
      <c r="O158" s="871"/>
    </row>
    <row r="159" ht="45.0" customHeight="1">
      <c r="A159" s="869">
        <v>158.0</v>
      </c>
      <c r="B159" s="869" t="s">
        <v>2995</v>
      </c>
      <c r="C159" s="870" t="s">
        <v>1388</v>
      </c>
      <c r="D159" s="871" t="s">
        <v>3224</v>
      </c>
      <c r="E159" s="869">
        <v>5.0</v>
      </c>
      <c r="F159" s="869">
        <v>90.0</v>
      </c>
      <c r="G159" s="869">
        <v>450.0</v>
      </c>
      <c r="H159" s="869" t="s">
        <v>1697</v>
      </c>
      <c r="I159" s="869" t="s">
        <v>1385</v>
      </c>
      <c r="J159" s="869" t="e">
        <v>#VALUE!</v>
      </c>
      <c r="K159" s="869" t="s">
        <v>2798</v>
      </c>
      <c r="L159" s="869" t="s">
        <v>2831</v>
      </c>
      <c r="M159" s="869" t="s">
        <v>1688</v>
      </c>
      <c r="N159" s="872" t="s">
        <v>3064</v>
      </c>
      <c r="O159" s="871"/>
    </row>
    <row r="160" ht="45.0" customHeight="1">
      <c r="A160" s="869">
        <v>159.0</v>
      </c>
      <c r="B160" s="869" t="s">
        <v>2996</v>
      </c>
      <c r="C160" s="870" t="s">
        <v>1747</v>
      </c>
      <c r="D160" s="871" t="s">
        <v>3225</v>
      </c>
      <c r="E160" s="869">
        <v>5.0</v>
      </c>
      <c r="F160" s="869">
        <v>75.0</v>
      </c>
      <c r="G160" s="869">
        <v>375.0</v>
      </c>
      <c r="H160" s="869" t="s">
        <v>1697</v>
      </c>
      <c r="I160" s="869" t="s">
        <v>164</v>
      </c>
      <c r="J160" s="869" t="e">
        <v>#VALUE!</v>
      </c>
      <c r="K160" s="869" t="s">
        <v>2839</v>
      </c>
      <c r="L160" s="869" t="s">
        <v>2831</v>
      </c>
      <c r="M160" s="869" t="s">
        <v>1688</v>
      </c>
      <c r="N160" s="872" t="s">
        <v>3064</v>
      </c>
      <c r="O160" s="871"/>
    </row>
    <row r="161" ht="45.0" customHeight="1">
      <c r="A161" s="869">
        <v>160.0</v>
      </c>
      <c r="B161" s="869" t="s">
        <v>2997</v>
      </c>
      <c r="C161" s="870" t="s">
        <v>2998</v>
      </c>
      <c r="D161" s="871" t="s">
        <v>3226</v>
      </c>
      <c r="E161" s="869">
        <v>10.0</v>
      </c>
      <c r="F161" s="869">
        <v>40.0</v>
      </c>
      <c r="G161" s="869">
        <v>400.0</v>
      </c>
      <c r="H161" s="869" t="s">
        <v>1697</v>
      </c>
      <c r="I161" s="869" t="s">
        <v>1573</v>
      </c>
      <c r="J161" s="869" t="e">
        <v>#VALUE!</v>
      </c>
      <c r="K161" s="869" t="s">
        <v>2839</v>
      </c>
      <c r="L161" s="869" t="s">
        <v>2831</v>
      </c>
      <c r="M161" s="869" t="s">
        <v>1688</v>
      </c>
      <c r="N161" s="872" t="s">
        <v>3064</v>
      </c>
      <c r="O161" s="871"/>
    </row>
    <row r="162" ht="45.0" customHeight="1">
      <c r="A162" s="869">
        <v>161.0</v>
      </c>
      <c r="B162" s="869" t="s">
        <v>2999</v>
      </c>
      <c r="C162" s="870" t="s">
        <v>919</v>
      </c>
      <c r="D162" s="871" t="s">
        <v>3227</v>
      </c>
      <c r="E162" s="869">
        <v>10.0</v>
      </c>
      <c r="F162" s="869">
        <v>100.0</v>
      </c>
      <c r="G162" s="869">
        <v>1000.0</v>
      </c>
      <c r="H162" s="869" t="s">
        <v>1697</v>
      </c>
      <c r="I162" s="869" t="s">
        <v>1577</v>
      </c>
      <c r="J162" s="869" t="str">
        <f>IMAGE("https://5.imimg.com/data5/UA/VJ/KT/SELLER-27177284/mini-solar-panel-500x500.jpg",1)</f>
        <v/>
      </c>
      <c r="K162" s="869" t="s">
        <v>2798</v>
      </c>
      <c r="L162" s="869" t="s">
        <v>2831</v>
      </c>
      <c r="M162" s="869" t="s">
        <v>1688</v>
      </c>
      <c r="N162" s="872" t="s">
        <v>3064</v>
      </c>
      <c r="O162" s="871"/>
    </row>
    <row r="163" ht="45.0" customHeight="1">
      <c r="A163" s="869">
        <v>162.0</v>
      </c>
      <c r="B163" s="869" t="s">
        <v>3000</v>
      </c>
      <c r="C163" s="870" t="s">
        <v>1742</v>
      </c>
      <c r="D163" s="871" t="s">
        <v>3228</v>
      </c>
      <c r="E163" s="869">
        <v>30.0</v>
      </c>
      <c r="F163" s="869">
        <v>20.0</v>
      </c>
      <c r="G163" s="869">
        <v>600.0</v>
      </c>
      <c r="H163" s="869" t="s">
        <v>1697</v>
      </c>
      <c r="I163" s="869" t="s">
        <v>920</v>
      </c>
      <c r="J163" s="869" t="e">
        <v>#VALUE!</v>
      </c>
      <c r="K163" s="869" t="s">
        <v>2897</v>
      </c>
      <c r="L163" s="869" t="s">
        <v>2831</v>
      </c>
      <c r="M163" s="869" t="s">
        <v>1688</v>
      </c>
      <c r="N163" s="872" t="s">
        <v>3064</v>
      </c>
      <c r="O163" s="871"/>
    </row>
    <row r="164" ht="45.0" customHeight="1">
      <c r="A164" s="869">
        <v>163.0</v>
      </c>
      <c r="B164" s="869" t="s">
        <v>3001</v>
      </c>
      <c r="C164" s="870" t="s">
        <v>1743</v>
      </c>
      <c r="D164" s="871" t="s">
        <v>3229</v>
      </c>
      <c r="E164" s="869">
        <v>10.0</v>
      </c>
      <c r="F164" s="869">
        <v>30.0</v>
      </c>
      <c r="G164" s="869">
        <v>300.0</v>
      </c>
      <c r="H164" s="869" t="s">
        <v>1697</v>
      </c>
      <c r="I164" s="869" t="s">
        <v>1639</v>
      </c>
      <c r="J164" s="869" t="e">
        <v>#VALUE!</v>
      </c>
      <c r="K164" s="869" t="s">
        <v>2897</v>
      </c>
      <c r="L164" s="869" t="s">
        <v>2831</v>
      </c>
      <c r="M164" s="869" t="s">
        <v>1688</v>
      </c>
      <c r="N164" s="872" t="s">
        <v>3064</v>
      </c>
      <c r="O164" s="871"/>
    </row>
    <row r="165" ht="45.0" customHeight="1">
      <c r="A165" s="869">
        <v>164.0</v>
      </c>
      <c r="B165" s="869" t="s">
        <v>3002</v>
      </c>
      <c r="C165" s="870" t="s">
        <v>1658</v>
      </c>
      <c r="D165" s="871" t="s">
        <v>3230</v>
      </c>
      <c r="E165" s="869">
        <v>10.0</v>
      </c>
      <c r="F165" s="869">
        <v>50.0</v>
      </c>
      <c r="G165" s="869">
        <v>500.0</v>
      </c>
      <c r="H165" s="869" t="s">
        <v>1697</v>
      </c>
      <c r="I165" s="869" t="s">
        <v>1655</v>
      </c>
      <c r="J165" s="869" t="e">
        <v>#VALUE!</v>
      </c>
      <c r="K165" s="869" t="s">
        <v>2897</v>
      </c>
      <c r="L165" s="869">
        <v>0.0</v>
      </c>
      <c r="M165" s="869" t="s">
        <v>1688</v>
      </c>
      <c r="N165" s="872" t="s">
        <v>3064</v>
      </c>
      <c r="O165" s="871"/>
    </row>
    <row r="166" ht="45.0" customHeight="1">
      <c r="A166" s="869">
        <v>165.0</v>
      </c>
      <c r="B166" s="869" t="s">
        <v>3003</v>
      </c>
      <c r="C166" s="870" t="s">
        <v>1678</v>
      </c>
      <c r="D166" s="871" t="s">
        <v>3231</v>
      </c>
      <c r="E166" s="869">
        <v>10.0</v>
      </c>
      <c r="F166" s="869">
        <v>100.0</v>
      </c>
      <c r="G166" s="869">
        <v>1000.0</v>
      </c>
      <c r="H166" s="869" t="s">
        <v>1697</v>
      </c>
      <c r="I166" s="869" t="s">
        <v>1267</v>
      </c>
      <c r="J166" s="869" t="e">
        <v>#VALUE!</v>
      </c>
      <c r="K166" s="869" t="s">
        <v>2897</v>
      </c>
      <c r="L166" s="869" t="s">
        <v>2831</v>
      </c>
      <c r="M166" s="869" t="s">
        <v>1688</v>
      </c>
      <c r="N166" s="872" t="s">
        <v>3064</v>
      </c>
      <c r="O166" s="871"/>
    </row>
    <row r="167" ht="45.0" customHeight="1">
      <c r="A167" s="869">
        <v>166.0</v>
      </c>
      <c r="B167" s="869" t="s">
        <v>3004</v>
      </c>
      <c r="C167" s="870" t="s">
        <v>923</v>
      </c>
      <c r="D167" s="871" t="s">
        <v>3232</v>
      </c>
      <c r="E167" s="869">
        <v>5.0</v>
      </c>
      <c r="F167" s="869">
        <v>250.0</v>
      </c>
      <c r="G167" s="869">
        <v>1250.0</v>
      </c>
      <c r="H167" s="869" t="s">
        <v>1697</v>
      </c>
      <c r="I167" s="869" t="s">
        <v>1679</v>
      </c>
      <c r="J167" s="869" t="e">
        <v>#VALUE!</v>
      </c>
      <c r="K167" s="869" t="s">
        <v>2798</v>
      </c>
      <c r="L167" s="869" t="s">
        <v>2831</v>
      </c>
      <c r="M167" s="869" t="s">
        <v>1688</v>
      </c>
      <c r="N167" s="872" t="s">
        <v>3064</v>
      </c>
      <c r="O167" s="871"/>
    </row>
    <row r="168" ht="45.0" customHeight="1">
      <c r="A168" s="869">
        <v>167.0</v>
      </c>
      <c r="B168" s="869" t="s">
        <v>3055</v>
      </c>
      <c r="C168" s="870" t="s">
        <v>3056</v>
      </c>
      <c r="D168" s="871" t="s">
        <v>3233</v>
      </c>
      <c r="E168" s="869">
        <v>5.0</v>
      </c>
      <c r="F168" s="869">
        <v>130.0</v>
      </c>
      <c r="G168" s="869">
        <v>650.0</v>
      </c>
      <c r="H168" s="869" t="s">
        <v>1697</v>
      </c>
      <c r="I168" s="869" t="s">
        <v>924</v>
      </c>
      <c r="J168" s="869" t="e">
        <v>#VALUE!</v>
      </c>
      <c r="K168" s="869" t="s">
        <v>2839</v>
      </c>
      <c r="L168" s="869">
        <v>0.0</v>
      </c>
      <c r="M168" s="869" t="s">
        <v>1688</v>
      </c>
      <c r="N168" s="872" t="s">
        <v>3064</v>
      </c>
      <c r="O168" s="871"/>
    </row>
    <row r="169" ht="45.0" customHeight="1">
      <c r="A169" s="869">
        <v>168.0</v>
      </c>
      <c r="B169" s="869" t="s">
        <v>3005</v>
      </c>
      <c r="C169" s="870" t="s">
        <v>927</v>
      </c>
      <c r="D169" s="871" t="s">
        <v>3234</v>
      </c>
      <c r="E169" s="869">
        <v>10.0</v>
      </c>
      <c r="F169" s="869">
        <v>50.0</v>
      </c>
      <c r="G169" s="869">
        <v>500.0</v>
      </c>
      <c r="H169" s="869" t="s">
        <v>1697</v>
      </c>
      <c r="I169" s="869" t="s">
        <v>1581</v>
      </c>
      <c r="J169" s="869" t="e">
        <v>#VALUE!</v>
      </c>
      <c r="K169" s="869" t="s">
        <v>2798</v>
      </c>
      <c r="L169" s="869" t="s">
        <v>2831</v>
      </c>
      <c r="M169" s="869" t="s">
        <v>1688</v>
      </c>
      <c r="N169" s="872" t="s">
        <v>3064</v>
      </c>
      <c r="O169" s="871"/>
    </row>
    <row r="170" ht="45.0" customHeight="1">
      <c r="A170" s="869">
        <v>169.0</v>
      </c>
      <c r="B170" s="869" t="s">
        <v>3006</v>
      </c>
      <c r="C170" s="870" t="s">
        <v>1395</v>
      </c>
      <c r="D170" s="871" t="s">
        <v>3235</v>
      </c>
      <c r="E170" s="869">
        <v>15.0</v>
      </c>
      <c r="F170" s="869">
        <v>400.0</v>
      </c>
      <c r="G170" s="869">
        <v>6000.0</v>
      </c>
      <c r="H170" s="869" t="s">
        <v>1697</v>
      </c>
      <c r="I170" s="869" t="s">
        <v>1392</v>
      </c>
      <c r="J170" s="869" t="e">
        <v>#VALUE!</v>
      </c>
      <c r="K170" s="869" t="s">
        <v>2798</v>
      </c>
      <c r="L170" s="869" t="s">
        <v>2831</v>
      </c>
      <c r="M170" s="869" t="s">
        <v>1688</v>
      </c>
      <c r="N170" s="872" t="s">
        <v>3064</v>
      </c>
      <c r="O170" s="871"/>
    </row>
    <row r="171" ht="45.0" customHeight="1">
      <c r="A171" s="869">
        <v>170.0</v>
      </c>
      <c r="B171" s="869" t="s">
        <v>3007</v>
      </c>
      <c r="C171" s="870" t="s">
        <v>319</v>
      </c>
      <c r="D171" s="871" t="s">
        <v>3236</v>
      </c>
      <c r="E171" s="869">
        <v>10.0</v>
      </c>
      <c r="F171" s="869">
        <v>50.0</v>
      </c>
      <c r="G171" s="869">
        <v>500.0</v>
      </c>
      <c r="H171" s="869" t="s">
        <v>1697</v>
      </c>
      <c r="I171" s="869" t="s">
        <v>1396</v>
      </c>
      <c r="J171" s="869" t="str">
        <f>IMAGE("https://m.media-amazon.com/images/I/51Ld4dOkXgL._SL1001_.jpg",1)</f>
        <v/>
      </c>
      <c r="K171" s="869" t="s">
        <v>2696</v>
      </c>
      <c r="L171" s="869">
        <v>0.0</v>
      </c>
      <c r="M171" s="869" t="s">
        <v>1688</v>
      </c>
      <c r="N171" s="872" t="s">
        <v>3064</v>
      </c>
      <c r="O171" s="871"/>
    </row>
    <row r="172" ht="45.0" customHeight="1">
      <c r="A172" s="869">
        <v>171.0</v>
      </c>
      <c r="B172" s="869" t="s">
        <v>3008</v>
      </c>
      <c r="C172" s="870" t="s">
        <v>826</v>
      </c>
      <c r="D172" s="871" t="s">
        <v>3237</v>
      </c>
      <c r="E172" s="869">
        <v>100.0</v>
      </c>
      <c r="F172" s="869">
        <v>3.0</v>
      </c>
      <c r="G172" s="869">
        <v>300.0</v>
      </c>
      <c r="H172" s="869" t="s">
        <v>1697</v>
      </c>
      <c r="I172" s="869" t="s">
        <v>60</v>
      </c>
      <c r="J172" s="869" t="e">
        <v>#VALUE!</v>
      </c>
      <c r="K172" s="869" t="s">
        <v>2696</v>
      </c>
      <c r="L172" s="869">
        <v>0.0</v>
      </c>
      <c r="M172" s="869" t="s">
        <v>1688</v>
      </c>
      <c r="N172" s="872" t="s">
        <v>3064</v>
      </c>
      <c r="O172" s="871"/>
    </row>
    <row r="173" ht="45.0" customHeight="1">
      <c r="A173" s="869">
        <v>172.0</v>
      </c>
      <c r="B173" s="869" t="s">
        <v>3009</v>
      </c>
      <c r="C173" s="870" t="s">
        <v>830</v>
      </c>
      <c r="D173" s="871" t="s">
        <v>3238</v>
      </c>
      <c r="E173" s="869">
        <v>50.0</v>
      </c>
      <c r="F173" s="869">
        <v>10.0</v>
      </c>
      <c r="G173" s="869">
        <v>500.0</v>
      </c>
      <c r="H173" s="869" t="s">
        <v>1697</v>
      </c>
      <c r="I173" s="869" t="s">
        <v>827</v>
      </c>
      <c r="J173" s="869" t="e">
        <v>#VALUE!</v>
      </c>
      <c r="K173" s="869" t="s">
        <v>2696</v>
      </c>
      <c r="L173" s="869">
        <v>0.0</v>
      </c>
      <c r="M173" s="869" t="s">
        <v>1688</v>
      </c>
      <c r="N173" s="872" t="s">
        <v>3064</v>
      </c>
      <c r="O173" s="871"/>
    </row>
    <row r="174" ht="45.0" customHeight="1">
      <c r="A174" s="869">
        <v>173.0</v>
      </c>
      <c r="B174" s="869" t="s">
        <v>3010</v>
      </c>
      <c r="C174" s="870" t="s">
        <v>834</v>
      </c>
      <c r="D174" s="871" t="s">
        <v>3239</v>
      </c>
      <c r="E174" s="869">
        <v>50.0</v>
      </c>
      <c r="F174" s="869">
        <v>10.0</v>
      </c>
      <c r="G174" s="869">
        <v>500.0</v>
      </c>
      <c r="H174" s="869" t="s">
        <v>1697</v>
      </c>
      <c r="I174" s="869" t="s">
        <v>831</v>
      </c>
      <c r="J174" s="869" t="e">
        <v>#VALUE!</v>
      </c>
      <c r="K174" s="869" t="s">
        <v>2696</v>
      </c>
      <c r="L174" s="869">
        <v>0.0</v>
      </c>
      <c r="M174" s="869" t="s">
        <v>1688</v>
      </c>
      <c r="N174" s="872" t="s">
        <v>3064</v>
      </c>
      <c r="O174" s="871"/>
    </row>
    <row r="175" ht="45.0" customHeight="1">
      <c r="A175" s="869">
        <v>174.0</v>
      </c>
      <c r="B175" s="869" t="s">
        <v>3011</v>
      </c>
      <c r="C175" s="870" t="s">
        <v>838</v>
      </c>
      <c r="D175" s="871" t="s">
        <v>3240</v>
      </c>
      <c r="E175" s="869">
        <v>50.0</v>
      </c>
      <c r="F175" s="869">
        <v>10.0</v>
      </c>
      <c r="G175" s="869">
        <v>500.0</v>
      </c>
      <c r="H175" s="869" t="s">
        <v>1697</v>
      </c>
      <c r="I175" s="869" t="s">
        <v>835</v>
      </c>
      <c r="J175" s="869" t="e">
        <v>#VALUE!</v>
      </c>
      <c r="K175" s="869" t="s">
        <v>2696</v>
      </c>
      <c r="L175" s="869">
        <v>0.0</v>
      </c>
      <c r="M175" s="869" t="s">
        <v>1688</v>
      </c>
      <c r="N175" s="872" t="s">
        <v>3064</v>
      </c>
      <c r="O175" s="871"/>
    </row>
    <row r="176" ht="45.0" customHeight="1">
      <c r="A176" s="869">
        <v>175.0</v>
      </c>
      <c r="B176" s="869" t="s">
        <v>3012</v>
      </c>
      <c r="C176" s="870" t="s">
        <v>842</v>
      </c>
      <c r="D176" s="871" t="s">
        <v>3241</v>
      </c>
      <c r="E176" s="869">
        <v>50.0</v>
      </c>
      <c r="F176" s="869">
        <v>10.0</v>
      </c>
      <c r="G176" s="869">
        <v>500.0</v>
      </c>
      <c r="H176" s="869" t="s">
        <v>1697</v>
      </c>
      <c r="I176" s="869" t="s">
        <v>839</v>
      </c>
      <c r="J176" s="869" t="e">
        <v>#VALUE!</v>
      </c>
      <c r="K176" s="869" t="s">
        <v>2696</v>
      </c>
      <c r="L176" s="869">
        <v>0.0</v>
      </c>
      <c r="M176" s="869" t="s">
        <v>1688</v>
      </c>
      <c r="N176" s="872" t="s">
        <v>3064</v>
      </c>
      <c r="O176" s="871"/>
    </row>
    <row r="177" ht="45.0" customHeight="1">
      <c r="A177" s="869">
        <v>176.0</v>
      </c>
      <c r="B177" s="869" t="s">
        <v>3013</v>
      </c>
      <c r="C177" s="870" t="s">
        <v>3014</v>
      </c>
      <c r="D177" s="871" t="s">
        <v>3242</v>
      </c>
      <c r="E177" s="869">
        <v>10.0</v>
      </c>
      <c r="F177" s="869">
        <v>60.0</v>
      </c>
      <c r="G177" s="869">
        <v>600.0</v>
      </c>
      <c r="H177" s="869" t="s">
        <v>1697</v>
      </c>
      <c r="I177" s="869" t="s">
        <v>1141</v>
      </c>
      <c r="J177" s="869" t="e">
        <v>#VALUE!</v>
      </c>
      <c r="K177" s="869" t="s">
        <v>2839</v>
      </c>
      <c r="L177" s="869" t="s">
        <v>2831</v>
      </c>
      <c r="M177" s="869" t="s">
        <v>1688</v>
      </c>
      <c r="N177" s="872" t="s">
        <v>3064</v>
      </c>
      <c r="O177" s="871"/>
    </row>
    <row r="178" ht="45.0" customHeight="1">
      <c r="A178" s="869">
        <v>177.0</v>
      </c>
      <c r="B178" s="869" t="s">
        <v>3015</v>
      </c>
      <c r="C178" s="870" t="s">
        <v>3016</v>
      </c>
      <c r="D178" s="871" t="s">
        <v>3243</v>
      </c>
      <c r="E178" s="869">
        <v>10.0</v>
      </c>
      <c r="F178" s="869">
        <v>50.0</v>
      </c>
      <c r="G178" s="869">
        <v>500.0</v>
      </c>
      <c r="H178" s="869" t="s">
        <v>1697</v>
      </c>
      <c r="I178" s="869" t="s">
        <v>1145</v>
      </c>
      <c r="J178" s="869" t="e">
        <v>#VALUE!</v>
      </c>
      <c r="K178" s="869" t="s">
        <v>2655</v>
      </c>
      <c r="L178" s="869">
        <v>0.0</v>
      </c>
      <c r="M178" s="869" t="s">
        <v>1688</v>
      </c>
      <c r="N178" s="872" t="s">
        <v>3064</v>
      </c>
      <c r="O178" s="871"/>
    </row>
    <row r="179" ht="45.0" customHeight="1">
      <c r="A179" s="869">
        <v>178.0</v>
      </c>
      <c r="B179" s="869" t="s">
        <v>3017</v>
      </c>
      <c r="C179" s="870" t="s">
        <v>1592</v>
      </c>
      <c r="D179" s="871" t="s">
        <v>3244</v>
      </c>
      <c r="E179" s="869">
        <v>20.0</v>
      </c>
      <c r="F179" s="869">
        <v>5.0</v>
      </c>
      <c r="G179" s="869">
        <v>100.0</v>
      </c>
      <c r="H179" s="869" t="s">
        <v>1697</v>
      </c>
      <c r="I179" s="869" t="s">
        <v>1238</v>
      </c>
      <c r="J179" s="869" t="e">
        <v>#VALUE!</v>
      </c>
      <c r="K179" s="869" t="s">
        <v>2655</v>
      </c>
      <c r="L179" s="869">
        <v>0.0</v>
      </c>
      <c r="M179" s="869" t="s">
        <v>1688</v>
      </c>
      <c r="N179" s="872" t="s">
        <v>3064</v>
      </c>
      <c r="O179" s="871"/>
    </row>
    <row r="180" ht="45.0" customHeight="1">
      <c r="A180" s="869">
        <v>179.0</v>
      </c>
      <c r="B180" s="869" t="s">
        <v>3018</v>
      </c>
      <c r="C180" s="870" t="s">
        <v>846</v>
      </c>
      <c r="D180" s="871" t="s">
        <v>3245</v>
      </c>
      <c r="E180" s="869">
        <v>20.0</v>
      </c>
      <c r="F180" s="869">
        <v>5.0</v>
      </c>
      <c r="G180" s="869">
        <v>100.0</v>
      </c>
      <c r="H180" s="869" t="s">
        <v>1697</v>
      </c>
      <c r="I180" s="869" t="s">
        <v>1355</v>
      </c>
      <c r="J180" s="869" t="e">
        <v>#VALUE!</v>
      </c>
      <c r="K180" s="869" t="s">
        <v>2696</v>
      </c>
      <c r="L180" s="869">
        <v>0.0</v>
      </c>
      <c r="M180" s="869" t="s">
        <v>1688</v>
      </c>
      <c r="N180" s="872" t="s">
        <v>3064</v>
      </c>
      <c r="O180" s="871"/>
    </row>
    <row r="181" ht="45.0" customHeight="1">
      <c r="A181" s="869">
        <v>180.0</v>
      </c>
      <c r="B181" s="869" t="s">
        <v>3019</v>
      </c>
      <c r="C181" s="870" t="s">
        <v>850</v>
      </c>
      <c r="D181" s="871" t="s">
        <v>3246</v>
      </c>
      <c r="E181" s="869">
        <v>100.0</v>
      </c>
      <c r="F181" s="869">
        <v>5.0</v>
      </c>
      <c r="G181" s="869">
        <v>500.0</v>
      </c>
      <c r="H181" s="869" t="s">
        <v>1697</v>
      </c>
      <c r="I181" s="869" t="s">
        <v>128</v>
      </c>
      <c r="J181" s="869" t="e">
        <v>#VALUE!</v>
      </c>
      <c r="K181" s="869" t="s">
        <v>2655</v>
      </c>
      <c r="L181" s="869">
        <v>0.0</v>
      </c>
      <c r="M181" s="869" t="s">
        <v>1688</v>
      </c>
      <c r="N181" s="872" t="s">
        <v>3064</v>
      </c>
      <c r="O181" s="871"/>
    </row>
    <row r="182" ht="45.0" customHeight="1">
      <c r="A182" s="869">
        <v>181.0</v>
      </c>
      <c r="B182" s="869" t="s">
        <v>3020</v>
      </c>
      <c r="C182" s="870" t="s">
        <v>854</v>
      </c>
      <c r="D182" s="871" t="s">
        <v>3247</v>
      </c>
      <c r="E182" s="869">
        <v>100.0</v>
      </c>
      <c r="F182" s="869">
        <v>5.0</v>
      </c>
      <c r="G182" s="869">
        <v>500.0</v>
      </c>
      <c r="H182" s="869" t="s">
        <v>1697</v>
      </c>
      <c r="I182" s="869" t="s">
        <v>851</v>
      </c>
      <c r="J182" s="869" t="e">
        <v>#VALUE!</v>
      </c>
      <c r="K182" s="869" t="s">
        <v>2655</v>
      </c>
      <c r="L182" s="869">
        <v>0.0</v>
      </c>
      <c r="M182" s="869" t="s">
        <v>1688</v>
      </c>
      <c r="N182" s="872" t="s">
        <v>3064</v>
      </c>
      <c r="O182" s="871"/>
    </row>
    <row r="183" ht="45.0" customHeight="1">
      <c r="A183" s="869">
        <v>182.0</v>
      </c>
      <c r="B183" s="869" t="s">
        <v>3021</v>
      </c>
      <c r="C183" s="870" t="s">
        <v>858</v>
      </c>
      <c r="D183" s="871" t="s">
        <v>3248</v>
      </c>
      <c r="E183" s="869">
        <v>100.0</v>
      </c>
      <c r="F183" s="869">
        <v>5.0</v>
      </c>
      <c r="G183" s="869">
        <v>500.0</v>
      </c>
      <c r="H183" s="869" t="s">
        <v>1697</v>
      </c>
      <c r="I183" s="869" t="s">
        <v>855</v>
      </c>
      <c r="J183" s="869" t="e">
        <v>#VALUE!</v>
      </c>
      <c r="K183" s="869" t="s">
        <v>2655</v>
      </c>
      <c r="L183" s="869">
        <v>0.0</v>
      </c>
      <c r="M183" s="869" t="s">
        <v>1688</v>
      </c>
      <c r="N183" s="872" t="s">
        <v>3064</v>
      </c>
      <c r="O183" s="871"/>
    </row>
    <row r="184" ht="45.0" customHeight="1">
      <c r="A184" s="869">
        <v>183.0</v>
      </c>
      <c r="B184" s="869" t="s">
        <v>3022</v>
      </c>
      <c r="C184" s="870" t="s">
        <v>862</v>
      </c>
      <c r="D184" s="871" t="s">
        <v>3249</v>
      </c>
      <c r="E184" s="869">
        <v>100.0</v>
      </c>
      <c r="F184" s="869">
        <v>5.0</v>
      </c>
      <c r="G184" s="869">
        <v>500.0</v>
      </c>
      <c r="H184" s="869" t="s">
        <v>1697</v>
      </c>
      <c r="I184" s="869" t="s">
        <v>859</v>
      </c>
      <c r="J184" s="869" t="e">
        <v>#VALUE!</v>
      </c>
      <c r="K184" s="869" t="s">
        <v>2655</v>
      </c>
      <c r="L184" s="869">
        <v>0.0</v>
      </c>
      <c r="M184" s="869" t="s">
        <v>1688</v>
      </c>
      <c r="N184" s="872" t="s">
        <v>3064</v>
      </c>
      <c r="O184" s="871"/>
    </row>
    <row r="185" ht="45.0" customHeight="1">
      <c r="A185" s="869">
        <v>184.0</v>
      </c>
      <c r="B185" s="869" t="s">
        <v>3023</v>
      </c>
      <c r="C185" s="870" t="s">
        <v>866</v>
      </c>
      <c r="D185" s="871" t="s">
        <v>3250</v>
      </c>
      <c r="E185" s="869">
        <v>100.0</v>
      </c>
      <c r="F185" s="869">
        <v>5.0</v>
      </c>
      <c r="G185" s="869">
        <v>500.0</v>
      </c>
      <c r="H185" s="869" t="s">
        <v>1697</v>
      </c>
      <c r="I185" s="869" t="s">
        <v>863</v>
      </c>
      <c r="J185" s="869" t="e">
        <v>#VALUE!</v>
      </c>
      <c r="K185" s="869" t="s">
        <v>2655</v>
      </c>
      <c r="L185" s="869">
        <v>0.0</v>
      </c>
      <c r="M185" s="869" t="s">
        <v>1688</v>
      </c>
      <c r="N185" s="872" t="s">
        <v>3064</v>
      </c>
      <c r="O185" s="871"/>
    </row>
    <row r="186" ht="45.0" customHeight="1">
      <c r="A186" s="869">
        <v>185.0</v>
      </c>
      <c r="B186" s="869" t="s">
        <v>3024</v>
      </c>
      <c r="C186" s="870" t="s">
        <v>870</v>
      </c>
      <c r="D186" s="871" t="s">
        <v>3251</v>
      </c>
      <c r="E186" s="869">
        <v>100.0</v>
      </c>
      <c r="F186" s="869">
        <v>5.0</v>
      </c>
      <c r="G186" s="869">
        <v>500.0</v>
      </c>
      <c r="H186" s="869" t="s">
        <v>1697</v>
      </c>
      <c r="I186" s="869" t="s">
        <v>867</v>
      </c>
      <c r="J186" s="869" t="e">
        <v>#VALUE!</v>
      </c>
      <c r="K186" s="869" t="s">
        <v>2655</v>
      </c>
      <c r="L186" s="869">
        <v>0.0</v>
      </c>
      <c r="M186" s="869" t="s">
        <v>1688</v>
      </c>
      <c r="N186" s="872" t="s">
        <v>3064</v>
      </c>
      <c r="O186" s="871"/>
    </row>
    <row r="187" ht="45.0" customHeight="1">
      <c r="A187" s="869">
        <v>186.0</v>
      </c>
      <c r="B187" s="869" t="s">
        <v>3025</v>
      </c>
      <c r="C187" s="870" t="s">
        <v>878</v>
      </c>
      <c r="D187" s="871" t="s">
        <v>3252</v>
      </c>
      <c r="E187" s="869">
        <v>20.0</v>
      </c>
      <c r="F187" s="869">
        <v>10.0</v>
      </c>
      <c r="G187" s="869">
        <v>200.0</v>
      </c>
      <c r="H187" s="869" t="s">
        <v>1697</v>
      </c>
      <c r="I187" s="869" t="s">
        <v>132</v>
      </c>
      <c r="J187" s="869" t="e">
        <v>#VALUE!</v>
      </c>
      <c r="K187" s="869" t="s">
        <v>2655</v>
      </c>
      <c r="L187" s="869">
        <v>0.0</v>
      </c>
      <c r="M187" s="869" t="s">
        <v>1688</v>
      </c>
      <c r="N187" s="872" t="s">
        <v>3064</v>
      </c>
      <c r="O187" s="871"/>
    </row>
    <row r="188" ht="45.0" customHeight="1">
      <c r="A188" s="869">
        <v>187.0</v>
      </c>
      <c r="B188" s="869" t="s">
        <v>3026</v>
      </c>
      <c r="C188" s="870" t="s">
        <v>874</v>
      </c>
      <c r="D188" s="871" t="s">
        <v>3253</v>
      </c>
      <c r="E188" s="869">
        <v>20.0</v>
      </c>
      <c r="F188" s="869">
        <v>10.0</v>
      </c>
      <c r="G188" s="869">
        <v>200.0</v>
      </c>
      <c r="H188" s="869" t="s">
        <v>1697</v>
      </c>
      <c r="I188" s="869" t="s">
        <v>875</v>
      </c>
      <c r="J188" s="869" t="e">
        <v>#VALUE!</v>
      </c>
      <c r="K188" s="869" t="s">
        <v>2655</v>
      </c>
      <c r="L188" s="869">
        <v>0.0</v>
      </c>
      <c r="M188" s="869" t="s">
        <v>1688</v>
      </c>
      <c r="N188" s="872" t="s">
        <v>3064</v>
      </c>
      <c r="O188" s="871"/>
    </row>
    <row r="189" ht="45.0" customHeight="1">
      <c r="A189" s="869">
        <v>188.0</v>
      </c>
      <c r="B189" s="869" t="s">
        <v>3027</v>
      </c>
      <c r="C189" s="870" t="s">
        <v>882</v>
      </c>
      <c r="D189" s="871" t="s">
        <v>3254</v>
      </c>
      <c r="E189" s="869">
        <v>20.0</v>
      </c>
      <c r="F189" s="869">
        <v>10.0</v>
      </c>
      <c r="G189" s="869">
        <v>200.0</v>
      </c>
      <c r="H189" s="869" t="s">
        <v>1697</v>
      </c>
      <c r="I189" s="869" t="s">
        <v>879</v>
      </c>
      <c r="J189" s="869" t="e">
        <v>#VALUE!</v>
      </c>
      <c r="K189" s="869" t="s">
        <v>2655</v>
      </c>
      <c r="L189" s="869">
        <v>0.0</v>
      </c>
      <c r="M189" s="869" t="s">
        <v>1688</v>
      </c>
      <c r="N189" s="872" t="s">
        <v>3064</v>
      </c>
      <c r="O189" s="871"/>
    </row>
    <row r="190" ht="45.0" customHeight="1">
      <c r="A190" s="869">
        <v>189.0</v>
      </c>
      <c r="B190" s="869" t="s">
        <v>3057</v>
      </c>
      <c r="C190" s="870" t="s">
        <v>3058</v>
      </c>
      <c r="D190" s="871" t="s">
        <v>3255</v>
      </c>
      <c r="E190" s="869">
        <v>5.0</v>
      </c>
      <c r="F190" s="869">
        <v>150.0</v>
      </c>
      <c r="G190" s="869">
        <v>750.0</v>
      </c>
      <c r="H190" s="869" t="s">
        <v>1697</v>
      </c>
      <c r="I190" s="869" t="s">
        <v>883</v>
      </c>
      <c r="J190" s="869" t="e">
        <v>#VALUE!</v>
      </c>
      <c r="K190" s="869" t="s">
        <v>2839</v>
      </c>
      <c r="L190" s="869">
        <v>0.0</v>
      </c>
      <c r="M190" s="869" t="s">
        <v>1688</v>
      </c>
      <c r="N190" s="872" t="s">
        <v>3064</v>
      </c>
      <c r="O190" s="871"/>
    </row>
    <row r="191" ht="45.0" customHeight="1">
      <c r="A191" s="869">
        <v>190.0</v>
      </c>
      <c r="B191" s="869" t="s">
        <v>3028</v>
      </c>
      <c r="C191" s="870" t="s">
        <v>1619</v>
      </c>
      <c r="D191" s="871" t="s">
        <v>3256</v>
      </c>
      <c r="E191" s="869">
        <v>10.0</v>
      </c>
      <c r="F191" s="869">
        <v>50.0</v>
      </c>
      <c r="G191" s="869">
        <v>500.0</v>
      </c>
      <c r="H191" s="869" t="s">
        <v>1697</v>
      </c>
      <c r="I191" s="869" t="s">
        <v>168</v>
      </c>
      <c r="J191" s="869" t="e">
        <v>#VALUE!</v>
      </c>
      <c r="K191" s="869" t="s">
        <v>2839</v>
      </c>
      <c r="L191" s="869" t="s">
        <v>2831</v>
      </c>
      <c r="M191" s="869" t="s">
        <v>1688</v>
      </c>
      <c r="N191" s="872" t="s">
        <v>3064</v>
      </c>
      <c r="O191" s="871"/>
    </row>
    <row r="192" ht="45.0" customHeight="1">
      <c r="A192" s="869">
        <v>191.0</v>
      </c>
      <c r="B192" s="869" t="s">
        <v>3029</v>
      </c>
      <c r="C192" s="870" t="s">
        <v>300</v>
      </c>
      <c r="D192" s="871" t="s">
        <v>3257</v>
      </c>
      <c r="E192" s="869">
        <v>10.0</v>
      </c>
      <c r="F192" s="869">
        <v>50.0</v>
      </c>
      <c r="G192" s="869">
        <v>500.0</v>
      </c>
      <c r="H192" s="869" t="s">
        <v>1697</v>
      </c>
      <c r="I192" s="869" t="s">
        <v>1620</v>
      </c>
      <c r="J192" s="869" t="e">
        <v>#VALUE!</v>
      </c>
      <c r="K192" s="869" t="s">
        <v>2798</v>
      </c>
      <c r="L192" s="869" t="s">
        <v>2831</v>
      </c>
      <c r="M192" s="869" t="s">
        <v>1688</v>
      </c>
      <c r="N192" s="872" t="s">
        <v>3064</v>
      </c>
      <c r="O192" s="871"/>
    </row>
    <row r="193" ht="45.0" customHeight="1">
      <c r="A193" s="869">
        <v>192.0</v>
      </c>
      <c r="B193" s="869" t="s">
        <v>3030</v>
      </c>
      <c r="C193" s="870" t="s">
        <v>305</v>
      </c>
      <c r="D193" s="873" t="s">
        <v>3258</v>
      </c>
      <c r="E193" s="869">
        <v>10.0</v>
      </c>
      <c r="F193" s="869">
        <v>50.0</v>
      </c>
      <c r="G193" s="869">
        <v>500.0</v>
      </c>
      <c r="H193" s="869" t="s">
        <v>1697</v>
      </c>
      <c r="I193" s="869" t="s">
        <v>301</v>
      </c>
      <c r="J193" s="869" t="e">
        <v>#VALUE!</v>
      </c>
      <c r="K193" s="869" t="s">
        <v>2798</v>
      </c>
      <c r="L193" s="869" t="s">
        <v>2831</v>
      </c>
      <c r="M193" s="869" t="s">
        <v>1688</v>
      </c>
      <c r="N193" s="872" t="s">
        <v>3064</v>
      </c>
      <c r="O193" s="871"/>
    </row>
    <row r="194" ht="45.0" customHeight="1">
      <c r="A194" s="869">
        <v>193.0</v>
      </c>
      <c r="B194" s="869" t="s">
        <v>3032</v>
      </c>
      <c r="C194" s="870" t="s">
        <v>886</v>
      </c>
      <c r="D194" s="871" t="s">
        <v>3259</v>
      </c>
      <c r="E194" s="869">
        <v>20.0</v>
      </c>
      <c r="F194" s="869">
        <v>20.0</v>
      </c>
      <c r="G194" s="869">
        <v>400.0</v>
      </c>
      <c r="H194" s="869" t="s">
        <v>1697</v>
      </c>
      <c r="I194" s="869" t="s">
        <v>338</v>
      </c>
      <c r="J194" s="869" t="e">
        <v>#VALUE!</v>
      </c>
      <c r="K194" s="869" t="s">
        <v>2696</v>
      </c>
      <c r="L194" s="869">
        <v>0.0</v>
      </c>
      <c r="M194" s="869" t="s">
        <v>1688</v>
      </c>
      <c r="N194" s="872" t="s">
        <v>3064</v>
      </c>
      <c r="O194" s="871"/>
    </row>
    <row r="195" ht="45.0" customHeight="1">
      <c r="A195" s="869">
        <v>194.0</v>
      </c>
      <c r="B195" s="869" t="s">
        <v>3059</v>
      </c>
      <c r="C195" s="870" t="s">
        <v>1623</v>
      </c>
      <c r="D195" s="871" t="s">
        <v>3260</v>
      </c>
      <c r="E195" s="869">
        <v>5.0</v>
      </c>
      <c r="F195" s="869">
        <v>150.0</v>
      </c>
      <c r="G195" s="869">
        <v>750.0</v>
      </c>
      <c r="H195" s="869" t="s">
        <v>1697</v>
      </c>
      <c r="I195" s="869" t="s">
        <v>1246</v>
      </c>
      <c r="J195" s="869" t="e">
        <v>#VALUE!</v>
      </c>
      <c r="K195" s="869" t="s">
        <v>2839</v>
      </c>
      <c r="L195" s="869">
        <v>0.0</v>
      </c>
      <c r="M195" s="869" t="s">
        <v>1688</v>
      </c>
      <c r="N195" s="872" t="s">
        <v>3064</v>
      </c>
      <c r="O195" s="871"/>
    </row>
    <row r="196" ht="45.0" customHeight="1">
      <c r="A196" s="869">
        <v>195.0</v>
      </c>
      <c r="B196" s="869" t="s">
        <v>3033</v>
      </c>
      <c r="C196" s="870" t="s">
        <v>930</v>
      </c>
      <c r="D196" s="871" t="s">
        <v>3261</v>
      </c>
      <c r="E196" s="869">
        <v>10.0</v>
      </c>
      <c r="F196" s="869">
        <v>40.0</v>
      </c>
      <c r="G196" s="869">
        <v>400.0</v>
      </c>
      <c r="H196" s="869" t="s">
        <v>1697</v>
      </c>
      <c r="I196" s="869" t="s">
        <v>1624</v>
      </c>
      <c r="J196" s="869" t="e">
        <v>#VALUE!</v>
      </c>
      <c r="K196" s="869" t="s">
        <v>2696</v>
      </c>
      <c r="L196" s="869">
        <v>0.0</v>
      </c>
      <c r="M196" s="869" t="s">
        <v>1688</v>
      </c>
      <c r="N196" s="872" t="s">
        <v>3064</v>
      </c>
      <c r="O196" s="871"/>
    </row>
    <row r="197" ht="46.5" customHeight="1">
      <c r="C197" s="35"/>
      <c r="D197" s="874"/>
      <c r="J197" s="875"/>
      <c r="N197" s="876"/>
    </row>
    <row r="198" ht="46.5" customHeight="1">
      <c r="C198" s="35"/>
      <c r="D198" s="874"/>
      <c r="J198" s="875"/>
      <c r="N198" s="876"/>
    </row>
    <row r="199" ht="46.5" customHeight="1">
      <c r="C199" s="35"/>
      <c r="D199" s="874"/>
      <c r="J199" s="875"/>
      <c r="N199" s="876"/>
    </row>
    <row r="200" ht="46.5" customHeight="1">
      <c r="C200" s="35"/>
      <c r="D200" s="874"/>
      <c r="J200" s="875"/>
      <c r="N200" s="876"/>
    </row>
    <row r="201" ht="46.5" customHeight="1">
      <c r="C201" s="35"/>
      <c r="D201" s="874"/>
      <c r="J201" s="875"/>
      <c r="N201" s="876"/>
    </row>
    <row r="202" ht="46.5" customHeight="1">
      <c r="C202" s="35"/>
      <c r="D202" s="874"/>
      <c r="J202" s="875"/>
      <c r="N202" s="876"/>
    </row>
    <row r="203" ht="46.5" customHeight="1">
      <c r="C203" s="35"/>
      <c r="D203" s="874"/>
      <c r="J203" s="875"/>
      <c r="N203" s="876"/>
    </row>
    <row r="204" ht="46.5" customHeight="1">
      <c r="C204" s="35"/>
      <c r="D204" s="874"/>
      <c r="J204" s="875"/>
      <c r="N204" s="876"/>
    </row>
    <row r="205" ht="46.5" customHeight="1">
      <c r="C205" s="35"/>
      <c r="D205" s="874"/>
      <c r="J205" s="875"/>
      <c r="N205" s="876"/>
    </row>
    <row r="206" ht="46.5" customHeight="1">
      <c r="C206" s="35"/>
      <c r="D206" s="874"/>
      <c r="J206" s="875"/>
      <c r="N206" s="876"/>
    </row>
    <row r="207" ht="46.5" customHeight="1">
      <c r="C207" s="35"/>
      <c r="D207" s="874"/>
      <c r="J207" s="875"/>
      <c r="N207" s="876"/>
    </row>
    <row r="208" ht="46.5" customHeight="1">
      <c r="C208" s="35"/>
      <c r="D208" s="874"/>
      <c r="J208" s="875"/>
      <c r="N208" s="876"/>
    </row>
    <row r="209" ht="46.5" customHeight="1">
      <c r="C209" s="35"/>
      <c r="D209" s="874"/>
      <c r="J209" s="875"/>
      <c r="N209" s="876"/>
    </row>
    <row r="210" ht="46.5" customHeight="1">
      <c r="C210" s="35"/>
      <c r="D210" s="874"/>
      <c r="J210" s="875"/>
      <c r="N210" s="876"/>
    </row>
    <row r="211" ht="46.5" customHeight="1">
      <c r="C211" s="35"/>
      <c r="D211" s="874"/>
      <c r="J211" s="875"/>
      <c r="N211" s="876"/>
    </row>
    <row r="212" ht="46.5" customHeight="1">
      <c r="C212" s="35"/>
      <c r="D212" s="874"/>
      <c r="J212" s="875"/>
      <c r="N212" s="876"/>
    </row>
    <row r="213" ht="46.5" customHeight="1">
      <c r="C213" s="35"/>
      <c r="D213" s="874"/>
      <c r="J213" s="875"/>
      <c r="N213" s="876"/>
    </row>
    <row r="214" ht="46.5" customHeight="1">
      <c r="C214" s="35"/>
      <c r="D214" s="874"/>
      <c r="J214" s="875"/>
      <c r="N214" s="876"/>
    </row>
    <row r="215" ht="46.5" customHeight="1">
      <c r="C215" s="35"/>
      <c r="D215" s="874"/>
      <c r="J215" s="875"/>
      <c r="N215" s="876"/>
    </row>
    <row r="216" ht="46.5" customHeight="1">
      <c r="C216" s="35"/>
      <c r="D216" s="874"/>
      <c r="J216" s="875"/>
      <c r="N216" s="876"/>
    </row>
    <row r="217" ht="46.5" customHeight="1">
      <c r="C217" s="35"/>
      <c r="D217" s="874"/>
      <c r="J217" s="875"/>
      <c r="N217" s="876"/>
    </row>
    <row r="218" ht="46.5" customHeight="1">
      <c r="C218" s="35"/>
      <c r="D218" s="874"/>
      <c r="J218" s="875"/>
      <c r="N218" s="876"/>
    </row>
    <row r="219" ht="46.5" customHeight="1">
      <c r="C219" s="35"/>
      <c r="D219" s="874"/>
      <c r="J219" s="875"/>
      <c r="N219" s="876"/>
    </row>
    <row r="220" ht="46.5" customHeight="1">
      <c r="C220" s="35"/>
      <c r="D220" s="874"/>
      <c r="J220" s="875"/>
      <c r="N220" s="876"/>
    </row>
    <row r="221" ht="46.5" customHeight="1">
      <c r="C221" s="35"/>
      <c r="D221" s="874"/>
      <c r="J221" s="875"/>
      <c r="N221" s="876"/>
    </row>
    <row r="222" ht="46.5" customHeight="1">
      <c r="C222" s="35"/>
      <c r="D222" s="874"/>
      <c r="J222" s="875"/>
      <c r="N222" s="876"/>
    </row>
    <row r="223" ht="46.5" customHeight="1">
      <c r="C223" s="35"/>
      <c r="D223" s="874"/>
      <c r="J223" s="875"/>
      <c r="N223" s="876"/>
    </row>
    <row r="224" ht="46.5" customHeight="1">
      <c r="C224" s="35"/>
      <c r="D224" s="874"/>
      <c r="J224" s="875"/>
      <c r="N224" s="876"/>
    </row>
    <row r="225" ht="46.5" customHeight="1">
      <c r="C225" s="35"/>
      <c r="D225" s="874"/>
      <c r="J225" s="875"/>
      <c r="N225" s="876"/>
    </row>
    <row r="226" ht="46.5" customHeight="1">
      <c r="C226" s="35"/>
      <c r="D226" s="874"/>
      <c r="J226" s="875"/>
      <c r="N226" s="876"/>
    </row>
    <row r="227" ht="46.5" customHeight="1">
      <c r="C227" s="35"/>
      <c r="D227" s="874"/>
      <c r="J227" s="875"/>
      <c r="N227" s="876"/>
    </row>
    <row r="228" ht="46.5" customHeight="1">
      <c r="C228" s="35"/>
      <c r="D228" s="874"/>
      <c r="J228" s="875"/>
      <c r="N228" s="876"/>
    </row>
    <row r="229" ht="46.5" customHeight="1">
      <c r="C229" s="35"/>
      <c r="D229" s="874"/>
      <c r="J229" s="875"/>
      <c r="N229" s="876"/>
    </row>
    <row r="230" ht="46.5" customHeight="1">
      <c r="C230" s="35"/>
      <c r="D230" s="874"/>
      <c r="J230" s="875"/>
      <c r="N230" s="876"/>
    </row>
    <row r="231" ht="46.5" customHeight="1">
      <c r="C231" s="35"/>
      <c r="D231" s="874"/>
      <c r="J231" s="875"/>
      <c r="N231" s="876"/>
    </row>
    <row r="232" ht="46.5" customHeight="1">
      <c r="C232" s="35"/>
      <c r="D232" s="874"/>
      <c r="J232" s="875"/>
      <c r="N232" s="876"/>
    </row>
    <row r="233" ht="46.5" customHeight="1">
      <c r="C233" s="35"/>
      <c r="D233" s="874"/>
      <c r="J233" s="875"/>
      <c r="N233" s="876"/>
    </row>
    <row r="234" ht="46.5" customHeight="1">
      <c r="C234" s="35"/>
      <c r="D234" s="874"/>
      <c r="J234" s="875"/>
      <c r="N234" s="876"/>
    </row>
    <row r="235" ht="46.5" customHeight="1">
      <c r="C235" s="35"/>
      <c r="D235" s="874"/>
      <c r="J235" s="875"/>
      <c r="N235" s="876"/>
    </row>
    <row r="236" ht="46.5" customHeight="1">
      <c r="C236" s="35"/>
      <c r="D236" s="874"/>
      <c r="J236" s="875"/>
      <c r="N236" s="876"/>
    </row>
    <row r="237" ht="46.5" customHeight="1">
      <c r="C237" s="35"/>
      <c r="D237" s="874"/>
      <c r="J237" s="875"/>
      <c r="N237" s="876"/>
    </row>
    <row r="238" ht="46.5" customHeight="1">
      <c r="C238" s="35"/>
      <c r="D238" s="874"/>
      <c r="J238" s="875"/>
      <c r="N238" s="876"/>
    </row>
    <row r="239" ht="46.5" customHeight="1">
      <c r="C239" s="35"/>
      <c r="D239" s="874"/>
      <c r="J239" s="875"/>
      <c r="N239" s="876"/>
    </row>
    <row r="240" ht="46.5" customHeight="1">
      <c r="C240" s="35"/>
      <c r="D240" s="874"/>
      <c r="J240" s="875"/>
      <c r="N240" s="876"/>
    </row>
    <row r="241" ht="46.5" customHeight="1">
      <c r="C241" s="35"/>
      <c r="D241" s="874"/>
      <c r="J241" s="875"/>
      <c r="N241" s="876"/>
    </row>
    <row r="242" ht="46.5" customHeight="1">
      <c r="C242" s="35"/>
      <c r="D242" s="874"/>
      <c r="J242" s="875"/>
      <c r="N242" s="876"/>
    </row>
    <row r="243" ht="46.5" customHeight="1">
      <c r="C243" s="35"/>
      <c r="D243" s="874"/>
      <c r="J243" s="875"/>
      <c r="N243" s="876"/>
    </row>
    <row r="244" ht="46.5" customHeight="1">
      <c r="C244" s="35"/>
      <c r="D244" s="874"/>
      <c r="J244" s="875"/>
      <c r="N244" s="876"/>
    </row>
    <row r="245" ht="46.5" customHeight="1">
      <c r="C245" s="35"/>
      <c r="D245" s="874"/>
      <c r="J245" s="875"/>
      <c r="N245" s="876"/>
    </row>
    <row r="246" ht="46.5" customHeight="1">
      <c r="C246" s="35"/>
      <c r="D246" s="874"/>
      <c r="J246" s="875"/>
      <c r="N246" s="876"/>
    </row>
    <row r="247" ht="46.5" customHeight="1">
      <c r="C247" s="35"/>
      <c r="D247" s="874"/>
      <c r="J247" s="875"/>
      <c r="N247" s="876"/>
    </row>
    <row r="248" ht="46.5" customHeight="1">
      <c r="C248" s="35"/>
      <c r="D248" s="874"/>
      <c r="J248" s="875"/>
      <c r="N248" s="876"/>
    </row>
    <row r="249" ht="46.5" customHeight="1">
      <c r="C249" s="35"/>
      <c r="D249" s="874"/>
      <c r="J249" s="875"/>
      <c r="N249" s="876"/>
    </row>
    <row r="250" ht="46.5" customHeight="1">
      <c r="C250" s="35"/>
      <c r="D250" s="874"/>
      <c r="J250" s="875"/>
      <c r="N250" s="876"/>
    </row>
    <row r="251" ht="46.5" customHeight="1">
      <c r="C251" s="35"/>
      <c r="D251" s="874"/>
      <c r="J251" s="875"/>
      <c r="N251" s="876"/>
    </row>
    <row r="252" ht="46.5" customHeight="1">
      <c r="C252" s="35"/>
      <c r="D252" s="874"/>
      <c r="J252" s="875"/>
      <c r="N252" s="876"/>
    </row>
    <row r="253" ht="46.5" customHeight="1">
      <c r="C253" s="35"/>
      <c r="D253" s="874"/>
      <c r="J253" s="875"/>
      <c r="N253" s="876"/>
    </row>
    <row r="254" ht="46.5" customHeight="1">
      <c r="C254" s="35"/>
      <c r="D254" s="874"/>
      <c r="J254" s="875"/>
      <c r="N254" s="876"/>
    </row>
    <row r="255" ht="46.5" customHeight="1">
      <c r="C255" s="35"/>
      <c r="D255" s="874"/>
      <c r="J255" s="875"/>
      <c r="N255" s="876"/>
    </row>
    <row r="256" ht="46.5" customHeight="1">
      <c r="C256" s="35"/>
      <c r="D256" s="874"/>
      <c r="J256" s="875"/>
      <c r="N256" s="876"/>
    </row>
    <row r="257" ht="46.5" customHeight="1">
      <c r="C257" s="35"/>
      <c r="D257" s="874"/>
      <c r="J257" s="875"/>
      <c r="N257" s="876"/>
    </row>
    <row r="258" ht="46.5" customHeight="1">
      <c r="C258" s="35"/>
      <c r="D258" s="874"/>
      <c r="J258" s="875"/>
      <c r="N258" s="876"/>
    </row>
    <row r="259" ht="46.5" customHeight="1">
      <c r="C259" s="35"/>
      <c r="D259" s="874"/>
      <c r="J259" s="875"/>
      <c r="N259" s="876"/>
    </row>
    <row r="260" ht="46.5" customHeight="1">
      <c r="C260" s="35"/>
      <c r="D260" s="874"/>
      <c r="J260" s="875"/>
      <c r="N260" s="876"/>
    </row>
    <row r="261" ht="46.5" customHeight="1">
      <c r="C261" s="35"/>
      <c r="D261" s="874"/>
      <c r="J261" s="875"/>
      <c r="N261" s="876"/>
    </row>
    <row r="262" ht="46.5" customHeight="1">
      <c r="C262" s="35"/>
      <c r="D262" s="874"/>
      <c r="J262" s="875"/>
      <c r="N262" s="876"/>
    </row>
    <row r="263" ht="46.5" customHeight="1">
      <c r="C263" s="35"/>
      <c r="D263" s="874"/>
      <c r="J263" s="875"/>
      <c r="N263" s="876"/>
    </row>
    <row r="264" ht="46.5" customHeight="1">
      <c r="C264" s="35"/>
      <c r="D264" s="874"/>
      <c r="J264" s="875"/>
      <c r="N264" s="876"/>
    </row>
    <row r="265" ht="46.5" customHeight="1">
      <c r="C265" s="35"/>
      <c r="D265" s="874"/>
      <c r="J265" s="875"/>
      <c r="N265" s="876"/>
    </row>
    <row r="266" ht="46.5" customHeight="1">
      <c r="C266" s="35"/>
      <c r="D266" s="874"/>
      <c r="J266" s="875"/>
      <c r="N266" s="876"/>
    </row>
    <row r="267" ht="46.5" customHeight="1">
      <c r="C267" s="35"/>
      <c r="D267" s="874"/>
      <c r="J267" s="875"/>
      <c r="N267" s="876"/>
    </row>
    <row r="268" ht="46.5" customHeight="1">
      <c r="C268" s="35"/>
      <c r="D268" s="874"/>
      <c r="J268" s="875"/>
      <c r="N268" s="876"/>
    </row>
    <row r="269" ht="46.5" customHeight="1">
      <c r="C269" s="35"/>
      <c r="D269" s="874"/>
      <c r="J269" s="875"/>
      <c r="N269" s="876"/>
    </row>
    <row r="270" ht="46.5" customHeight="1">
      <c r="C270" s="35"/>
      <c r="D270" s="874"/>
      <c r="J270" s="875"/>
      <c r="N270" s="876"/>
    </row>
    <row r="271" ht="46.5" customHeight="1">
      <c r="C271" s="35"/>
      <c r="D271" s="874"/>
      <c r="J271" s="875"/>
      <c r="N271" s="876"/>
    </row>
    <row r="272" ht="46.5" customHeight="1">
      <c r="C272" s="35"/>
      <c r="D272" s="874"/>
      <c r="J272" s="875"/>
      <c r="N272" s="876"/>
    </row>
    <row r="273" ht="46.5" customHeight="1">
      <c r="C273" s="35"/>
      <c r="D273" s="874"/>
      <c r="J273" s="875"/>
      <c r="N273" s="876"/>
    </row>
    <row r="274" ht="46.5" customHeight="1">
      <c r="C274" s="35"/>
      <c r="D274" s="874"/>
      <c r="J274" s="875"/>
      <c r="N274" s="876"/>
    </row>
    <row r="275" ht="46.5" customHeight="1">
      <c r="C275" s="35"/>
      <c r="D275" s="874"/>
      <c r="J275" s="875"/>
      <c r="N275" s="876"/>
    </row>
    <row r="276" ht="46.5" customHeight="1">
      <c r="C276" s="35"/>
      <c r="D276" s="874"/>
      <c r="J276" s="875"/>
      <c r="N276" s="876"/>
    </row>
    <row r="277" ht="46.5" customHeight="1">
      <c r="C277" s="35"/>
      <c r="D277" s="874"/>
      <c r="J277" s="875"/>
      <c r="N277" s="876"/>
    </row>
    <row r="278" ht="46.5" customHeight="1">
      <c r="C278" s="35"/>
      <c r="D278" s="874"/>
      <c r="J278" s="875"/>
      <c r="N278" s="876"/>
    </row>
    <row r="279" ht="46.5" customHeight="1">
      <c r="C279" s="35"/>
      <c r="D279" s="874"/>
      <c r="J279" s="875"/>
      <c r="N279" s="876"/>
    </row>
    <row r="280" ht="46.5" customHeight="1">
      <c r="C280" s="35"/>
      <c r="D280" s="874"/>
      <c r="J280" s="875"/>
      <c r="N280" s="876"/>
    </row>
    <row r="281" ht="46.5" customHeight="1">
      <c r="C281" s="35"/>
      <c r="D281" s="874"/>
      <c r="J281" s="875"/>
      <c r="N281" s="876"/>
    </row>
    <row r="282" ht="46.5" customHeight="1">
      <c r="C282" s="35"/>
      <c r="D282" s="874"/>
      <c r="J282" s="875"/>
      <c r="N282" s="876"/>
    </row>
    <row r="283" ht="46.5" customHeight="1">
      <c r="C283" s="35"/>
      <c r="D283" s="874"/>
      <c r="J283" s="875"/>
      <c r="N283" s="876"/>
    </row>
    <row r="284" ht="46.5" customHeight="1">
      <c r="C284" s="35"/>
      <c r="D284" s="874"/>
      <c r="J284" s="875"/>
      <c r="N284" s="876"/>
    </row>
    <row r="285" ht="46.5" customHeight="1">
      <c r="C285" s="35"/>
      <c r="D285" s="874"/>
      <c r="J285" s="875"/>
      <c r="N285" s="876"/>
    </row>
    <row r="286" ht="46.5" customHeight="1">
      <c r="C286" s="35"/>
      <c r="D286" s="874"/>
      <c r="J286" s="875"/>
      <c r="N286" s="876"/>
    </row>
    <row r="287" ht="46.5" customHeight="1">
      <c r="C287" s="35"/>
      <c r="D287" s="874"/>
      <c r="J287" s="875"/>
      <c r="N287" s="876"/>
    </row>
    <row r="288" ht="46.5" customHeight="1">
      <c r="C288" s="35"/>
      <c r="D288" s="874"/>
      <c r="J288" s="875"/>
      <c r="N288" s="876"/>
    </row>
    <row r="289" ht="46.5" customHeight="1">
      <c r="C289" s="35"/>
      <c r="D289" s="874"/>
      <c r="J289" s="875"/>
      <c r="N289" s="876"/>
    </row>
    <row r="290" ht="46.5" customHeight="1">
      <c r="C290" s="35"/>
      <c r="D290" s="874"/>
      <c r="J290" s="875"/>
      <c r="N290" s="876"/>
    </row>
    <row r="291" ht="46.5" customHeight="1">
      <c r="C291" s="35"/>
      <c r="D291" s="874"/>
      <c r="J291" s="875"/>
      <c r="N291" s="876"/>
    </row>
    <row r="292" ht="46.5" customHeight="1">
      <c r="C292" s="35"/>
      <c r="D292" s="874"/>
      <c r="J292" s="875"/>
      <c r="N292" s="876"/>
    </row>
    <row r="293" ht="46.5" customHeight="1">
      <c r="C293" s="35"/>
      <c r="D293" s="874"/>
      <c r="J293" s="875"/>
      <c r="N293" s="876"/>
    </row>
    <row r="294" ht="46.5" customHeight="1">
      <c r="C294" s="35"/>
      <c r="D294" s="874"/>
      <c r="J294" s="875"/>
      <c r="N294" s="876"/>
    </row>
    <row r="295" ht="46.5" customHeight="1">
      <c r="C295" s="35"/>
      <c r="D295" s="874"/>
      <c r="J295" s="875"/>
      <c r="N295" s="876"/>
    </row>
    <row r="296" ht="46.5" customHeight="1">
      <c r="C296" s="35"/>
      <c r="D296" s="874"/>
      <c r="J296" s="875"/>
      <c r="N296" s="876"/>
    </row>
    <row r="297" ht="46.5" customHeight="1">
      <c r="C297" s="35"/>
      <c r="D297" s="874"/>
      <c r="J297" s="875"/>
      <c r="N297" s="876"/>
    </row>
    <row r="298" ht="46.5" customHeight="1">
      <c r="C298" s="35"/>
      <c r="D298" s="874"/>
      <c r="J298" s="875"/>
      <c r="N298" s="876"/>
    </row>
    <row r="299" ht="46.5" customHeight="1">
      <c r="C299" s="35"/>
      <c r="D299" s="874"/>
      <c r="J299" s="875"/>
      <c r="N299" s="876"/>
    </row>
    <row r="300" ht="46.5" customHeight="1">
      <c r="C300" s="35"/>
      <c r="D300" s="874"/>
      <c r="J300" s="875"/>
      <c r="N300" s="876"/>
    </row>
    <row r="301" ht="46.5" customHeight="1">
      <c r="C301" s="35"/>
      <c r="D301" s="874"/>
      <c r="J301" s="875"/>
      <c r="N301" s="876"/>
    </row>
    <row r="302" ht="46.5" customHeight="1">
      <c r="C302" s="35"/>
      <c r="D302" s="874"/>
      <c r="J302" s="875"/>
      <c r="N302" s="876"/>
    </row>
    <row r="303" ht="46.5" customHeight="1">
      <c r="C303" s="35"/>
      <c r="D303" s="874"/>
      <c r="J303" s="875"/>
      <c r="N303" s="876"/>
    </row>
    <row r="304" ht="46.5" customHeight="1">
      <c r="C304" s="35"/>
      <c r="D304" s="874"/>
      <c r="J304" s="875"/>
      <c r="N304" s="876"/>
    </row>
    <row r="305" ht="46.5" customHeight="1">
      <c r="C305" s="35"/>
      <c r="D305" s="874"/>
      <c r="J305" s="875"/>
      <c r="N305" s="876"/>
    </row>
    <row r="306" ht="46.5" customHeight="1">
      <c r="C306" s="35"/>
      <c r="D306" s="874"/>
      <c r="J306" s="875"/>
      <c r="N306" s="876"/>
    </row>
    <row r="307" ht="46.5" customHeight="1">
      <c r="C307" s="35"/>
      <c r="D307" s="874"/>
      <c r="J307" s="875"/>
      <c r="N307" s="876"/>
    </row>
    <row r="308" ht="46.5" customHeight="1">
      <c r="C308" s="35"/>
      <c r="D308" s="874"/>
      <c r="J308" s="875"/>
      <c r="N308" s="876"/>
    </row>
    <row r="309" ht="46.5" customHeight="1">
      <c r="C309" s="35"/>
      <c r="D309" s="874"/>
      <c r="J309" s="875"/>
      <c r="N309" s="876"/>
    </row>
    <row r="310" ht="46.5" customHeight="1">
      <c r="C310" s="35"/>
      <c r="D310" s="874"/>
      <c r="J310" s="875"/>
      <c r="N310" s="876"/>
    </row>
    <row r="311" ht="46.5" customHeight="1">
      <c r="C311" s="35"/>
      <c r="D311" s="874"/>
      <c r="J311" s="875"/>
      <c r="N311" s="876"/>
    </row>
    <row r="312" ht="46.5" customHeight="1">
      <c r="C312" s="35"/>
      <c r="D312" s="874"/>
      <c r="J312" s="875"/>
      <c r="N312" s="876"/>
    </row>
    <row r="313" ht="46.5" customHeight="1">
      <c r="C313" s="35"/>
      <c r="D313" s="874"/>
      <c r="J313" s="875"/>
      <c r="N313" s="876"/>
    </row>
    <row r="314" ht="46.5" customHeight="1">
      <c r="C314" s="35"/>
      <c r="D314" s="874"/>
      <c r="J314" s="875"/>
      <c r="N314" s="876"/>
    </row>
    <row r="315" ht="46.5" customHeight="1">
      <c r="C315" s="35"/>
      <c r="D315" s="874"/>
      <c r="J315" s="875"/>
      <c r="N315" s="876"/>
    </row>
    <row r="316" ht="46.5" customHeight="1">
      <c r="C316" s="35"/>
      <c r="D316" s="874"/>
      <c r="J316" s="875"/>
      <c r="N316" s="876"/>
    </row>
    <row r="317" ht="46.5" customHeight="1">
      <c r="C317" s="35"/>
      <c r="D317" s="874"/>
      <c r="J317" s="875"/>
      <c r="N317" s="876"/>
    </row>
    <row r="318" ht="46.5" customHeight="1">
      <c r="C318" s="35"/>
      <c r="D318" s="874"/>
      <c r="J318" s="875"/>
      <c r="N318" s="876"/>
    </row>
    <row r="319" ht="46.5" customHeight="1">
      <c r="C319" s="35"/>
      <c r="D319" s="874"/>
      <c r="J319" s="875"/>
      <c r="N319" s="876"/>
    </row>
    <row r="320" ht="46.5" customHeight="1">
      <c r="C320" s="35"/>
      <c r="D320" s="874"/>
      <c r="J320" s="875"/>
      <c r="N320" s="876"/>
    </row>
    <row r="321" ht="46.5" customHeight="1">
      <c r="C321" s="35"/>
      <c r="D321" s="874"/>
      <c r="J321" s="875"/>
      <c r="N321" s="876"/>
    </row>
    <row r="322" ht="46.5" customHeight="1">
      <c r="C322" s="35"/>
      <c r="D322" s="874"/>
      <c r="J322" s="875"/>
      <c r="N322" s="876"/>
    </row>
    <row r="323" ht="46.5" customHeight="1">
      <c r="C323" s="35"/>
      <c r="D323" s="874"/>
      <c r="J323" s="875"/>
      <c r="N323" s="876"/>
    </row>
    <row r="324" ht="46.5" customHeight="1">
      <c r="C324" s="35"/>
      <c r="D324" s="874"/>
      <c r="J324" s="875"/>
      <c r="N324" s="876"/>
    </row>
    <row r="325" ht="46.5" customHeight="1">
      <c r="C325" s="35"/>
      <c r="D325" s="874"/>
      <c r="J325" s="875"/>
      <c r="N325" s="876"/>
    </row>
    <row r="326" ht="46.5" customHeight="1">
      <c r="C326" s="35"/>
      <c r="D326" s="874"/>
      <c r="J326" s="875"/>
      <c r="N326" s="876"/>
    </row>
    <row r="327" ht="46.5" customHeight="1">
      <c r="C327" s="35"/>
      <c r="D327" s="874"/>
      <c r="J327" s="875"/>
      <c r="N327" s="876"/>
    </row>
    <row r="328" ht="46.5" customHeight="1">
      <c r="C328" s="35"/>
      <c r="D328" s="874"/>
      <c r="J328" s="875"/>
      <c r="N328" s="876"/>
    </row>
    <row r="329" ht="46.5" customHeight="1">
      <c r="C329" s="35"/>
      <c r="D329" s="874"/>
      <c r="J329" s="875"/>
      <c r="N329" s="876"/>
    </row>
    <row r="330" ht="46.5" customHeight="1">
      <c r="C330" s="35"/>
      <c r="D330" s="874"/>
      <c r="J330" s="875"/>
      <c r="N330" s="876"/>
    </row>
    <row r="331" ht="46.5" customHeight="1">
      <c r="C331" s="35"/>
      <c r="D331" s="874"/>
      <c r="J331" s="875"/>
      <c r="N331" s="876"/>
    </row>
    <row r="332" ht="46.5" customHeight="1">
      <c r="C332" s="35"/>
      <c r="D332" s="874"/>
      <c r="J332" s="875"/>
      <c r="N332" s="876"/>
    </row>
    <row r="333" ht="46.5" customHeight="1">
      <c r="C333" s="35"/>
      <c r="D333" s="874"/>
      <c r="J333" s="875"/>
      <c r="N333" s="876"/>
    </row>
    <row r="334" ht="46.5" customHeight="1">
      <c r="C334" s="35"/>
      <c r="D334" s="874"/>
      <c r="J334" s="875"/>
      <c r="N334" s="876"/>
    </row>
    <row r="335" ht="46.5" customHeight="1">
      <c r="C335" s="35"/>
      <c r="D335" s="874"/>
      <c r="J335" s="875"/>
      <c r="N335" s="876"/>
    </row>
    <row r="336" ht="46.5" customHeight="1">
      <c r="C336" s="35"/>
      <c r="D336" s="874"/>
      <c r="J336" s="875"/>
      <c r="N336" s="876"/>
    </row>
    <row r="337" ht="46.5" customHeight="1">
      <c r="C337" s="35"/>
      <c r="D337" s="874"/>
      <c r="J337" s="875"/>
      <c r="N337" s="876"/>
    </row>
    <row r="338" ht="46.5" customHeight="1">
      <c r="C338" s="35"/>
      <c r="D338" s="874"/>
      <c r="J338" s="875"/>
      <c r="N338" s="876"/>
    </row>
    <row r="339" ht="46.5" customHeight="1">
      <c r="C339" s="35"/>
      <c r="D339" s="874"/>
      <c r="J339" s="875"/>
      <c r="N339" s="876"/>
    </row>
    <row r="340" ht="46.5" customHeight="1">
      <c r="C340" s="35"/>
      <c r="D340" s="874"/>
      <c r="J340" s="875"/>
      <c r="N340" s="876"/>
    </row>
    <row r="341" ht="46.5" customHeight="1">
      <c r="C341" s="35"/>
      <c r="D341" s="874"/>
      <c r="J341" s="875"/>
      <c r="N341" s="876"/>
    </row>
    <row r="342" ht="46.5" customHeight="1">
      <c r="C342" s="35"/>
      <c r="D342" s="874"/>
      <c r="J342" s="875"/>
      <c r="N342" s="876"/>
    </row>
    <row r="343" ht="46.5" customHeight="1">
      <c r="C343" s="35"/>
      <c r="D343" s="874"/>
      <c r="J343" s="875"/>
      <c r="N343" s="876"/>
    </row>
    <row r="344" ht="46.5" customHeight="1">
      <c r="C344" s="35"/>
      <c r="D344" s="874"/>
      <c r="J344" s="875"/>
      <c r="N344" s="876"/>
    </row>
    <row r="345" ht="46.5" customHeight="1">
      <c r="C345" s="35"/>
      <c r="D345" s="874"/>
      <c r="J345" s="875"/>
      <c r="N345" s="876"/>
    </row>
    <row r="346" ht="46.5" customHeight="1">
      <c r="C346" s="35"/>
      <c r="D346" s="874"/>
      <c r="J346" s="875"/>
      <c r="N346" s="876"/>
    </row>
    <row r="347" ht="46.5" customHeight="1">
      <c r="C347" s="35"/>
      <c r="D347" s="874"/>
      <c r="J347" s="875"/>
      <c r="N347" s="876"/>
    </row>
    <row r="348" ht="46.5" customHeight="1">
      <c r="C348" s="35"/>
      <c r="D348" s="874"/>
      <c r="J348" s="875"/>
      <c r="N348" s="876"/>
    </row>
    <row r="349" ht="46.5" customHeight="1">
      <c r="C349" s="35"/>
      <c r="D349" s="874"/>
      <c r="J349" s="875"/>
      <c r="N349" s="876"/>
    </row>
    <row r="350" ht="46.5" customHeight="1">
      <c r="C350" s="35"/>
      <c r="D350" s="874"/>
      <c r="J350" s="875"/>
      <c r="N350" s="876"/>
    </row>
    <row r="351" ht="46.5" customHeight="1">
      <c r="C351" s="35"/>
      <c r="D351" s="874"/>
      <c r="J351" s="875"/>
      <c r="N351" s="876"/>
    </row>
    <row r="352" ht="46.5" customHeight="1">
      <c r="C352" s="35"/>
      <c r="D352" s="874"/>
      <c r="J352" s="875"/>
      <c r="N352" s="876"/>
    </row>
    <row r="353" ht="46.5" customHeight="1">
      <c r="C353" s="35"/>
      <c r="D353" s="874"/>
      <c r="J353" s="875"/>
      <c r="N353" s="876"/>
    </row>
    <row r="354" ht="46.5" customHeight="1">
      <c r="C354" s="35"/>
      <c r="D354" s="874"/>
      <c r="J354" s="875"/>
      <c r="N354" s="876"/>
    </row>
    <row r="355" ht="46.5" customHeight="1">
      <c r="C355" s="35"/>
      <c r="D355" s="874"/>
      <c r="J355" s="875"/>
      <c r="N355" s="876"/>
    </row>
    <row r="356" ht="46.5" customHeight="1">
      <c r="C356" s="35"/>
      <c r="D356" s="874"/>
      <c r="J356" s="875"/>
      <c r="N356" s="876"/>
    </row>
    <row r="357" ht="46.5" customHeight="1">
      <c r="C357" s="35"/>
      <c r="D357" s="874"/>
      <c r="J357" s="875"/>
      <c r="N357" s="876"/>
    </row>
    <row r="358" ht="46.5" customHeight="1">
      <c r="C358" s="35"/>
      <c r="D358" s="874"/>
      <c r="J358" s="875"/>
      <c r="N358" s="876"/>
    </row>
    <row r="359" ht="46.5" customHeight="1">
      <c r="C359" s="35"/>
      <c r="D359" s="874"/>
      <c r="J359" s="875"/>
      <c r="N359" s="876"/>
    </row>
    <row r="360" ht="46.5" customHeight="1">
      <c r="C360" s="35"/>
      <c r="D360" s="874"/>
      <c r="J360" s="875"/>
      <c r="N360" s="876"/>
    </row>
    <row r="361" ht="46.5" customHeight="1">
      <c r="C361" s="35"/>
      <c r="D361" s="874"/>
      <c r="J361" s="875"/>
      <c r="N361" s="876"/>
    </row>
    <row r="362" ht="46.5" customHeight="1">
      <c r="C362" s="35"/>
      <c r="D362" s="874"/>
      <c r="J362" s="875"/>
      <c r="N362" s="876"/>
    </row>
    <row r="363" ht="46.5" customHeight="1">
      <c r="C363" s="35"/>
      <c r="D363" s="874"/>
      <c r="J363" s="875"/>
      <c r="N363" s="876"/>
    </row>
    <row r="364" ht="46.5" customHeight="1">
      <c r="C364" s="35"/>
      <c r="D364" s="874"/>
      <c r="J364" s="875"/>
      <c r="N364" s="876"/>
    </row>
    <row r="365" ht="46.5" customHeight="1">
      <c r="C365" s="35"/>
      <c r="D365" s="874"/>
      <c r="J365" s="875"/>
      <c r="N365" s="876"/>
    </row>
    <row r="366" ht="46.5" customHeight="1">
      <c r="C366" s="35"/>
      <c r="D366" s="874"/>
      <c r="J366" s="875"/>
      <c r="N366" s="876"/>
    </row>
    <row r="367" ht="46.5" customHeight="1">
      <c r="C367" s="35"/>
      <c r="D367" s="874"/>
      <c r="J367" s="875"/>
      <c r="N367" s="876"/>
    </row>
    <row r="368" ht="46.5" customHeight="1">
      <c r="C368" s="35"/>
      <c r="D368" s="874"/>
      <c r="J368" s="875"/>
      <c r="N368" s="876"/>
    </row>
    <row r="369" ht="46.5" customHeight="1">
      <c r="C369" s="35"/>
      <c r="D369" s="874"/>
      <c r="J369" s="875"/>
      <c r="N369" s="876"/>
    </row>
    <row r="370" ht="46.5" customHeight="1">
      <c r="C370" s="35"/>
      <c r="D370" s="874"/>
      <c r="J370" s="875"/>
      <c r="N370" s="876"/>
    </row>
    <row r="371" ht="46.5" customHeight="1">
      <c r="C371" s="35"/>
      <c r="D371" s="874"/>
      <c r="J371" s="875"/>
      <c r="N371" s="876"/>
    </row>
    <row r="372" ht="46.5" customHeight="1">
      <c r="C372" s="35"/>
      <c r="D372" s="874"/>
      <c r="J372" s="875"/>
      <c r="N372" s="876"/>
    </row>
    <row r="373" ht="46.5" customHeight="1">
      <c r="C373" s="35"/>
      <c r="D373" s="874"/>
      <c r="J373" s="875"/>
      <c r="N373" s="876"/>
    </row>
    <row r="374" ht="46.5" customHeight="1">
      <c r="C374" s="35"/>
      <c r="D374" s="874"/>
      <c r="J374" s="875"/>
      <c r="N374" s="876"/>
    </row>
    <row r="375" ht="46.5" customHeight="1">
      <c r="C375" s="35"/>
      <c r="D375" s="874"/>
      <c r="J375" s="875"/>
      <c r="N375" s="876"/>
    </row>
    <row r="376" ht="46.5" customHeight="1">
      <c r="C376" s="35"/>
      <c r="D376" s="874"/>
      <c r="J376" s="875"/>
      <c r="N376" s="876"/>
    </row>
    <row r="377" ht="46.5" customHeight="1">
      <c r="C377" s="35"/>
      <c r="D377" s="874"/>
      <c r="J377" s="875"/>
      <c r="N377" s="876"/>
    </row>
    <row r="378" ht="46.5" customHeight="1">
      <c r="C378" s="35"/>
      <c r="D378" s="874"/>
      <c r="J378" s="875"/>
      <c r="N378" s="876"/>
    </row>
    <row r="379" ht="46.5" customHeight="1">
      <c r="C379" s="35"/>
      <c r="D379" s="874"/>
      <c r="J379" s="875"/>
      <c r="N379" s="876"/>
    </row>
    <row r="380" ht="46.5" customHeight="1">
      <c r="C380" s="35"/>
      <c r="D380" s="874"/>
      <c r="J380" s="875"/>
      <c r="N380" s="876"/>
    </row>
    <row r="381" ht="46.5" customHeight="1">
      <c r="C381" s="35"/>
      <c r="D381" s="874"/>
      <c r="J381" s="875"/>
      <c r="N381" s="876"/>
    </row>
    <row r="382" ht="46.5" customHeight="1">
      <c r="C382" s="35"/>
      <c r="D382" s="874"/>
      <c r="J382" s="875"/>
      <c r="N382" s="876"/>
    </row>
    <row r="383" ht="46.5" customHeight="1">
      <c r="C383" s="35"/>
      <c r="D383" s="874"/>
      <c r="J383" s="875"/>
      <c r="N383" s="876"/>
    </row>
    <row r="384" ht="46.5" customHeight="1">
      <c r="C384" s="35"/>
      <c r="D384" s="874"/>
      <c r="J384" s="875"/>
      <c r="N384" s="876"/>
    </row>
    <row r="385" ht="46.5" customHeight="1">
      <c r="C385" s="35"/>
      <c r="D385" s="874"/>
      <c r="J385" s="875"/>
      <c r="N385" s="876"/>
    </row>
    <row r="386" ht="46.5" customHeight="1">
      <c r="C386" s="35"/>
      <c r="D386" s="874"/>
      <c r="J386" s="875"/>
      <c r="N386" s="876"/>
    </row>
    <row r="387" ht="46.5" customHeight="1">
      <c r="C387" s="35"/>
      <c r="D387" s="874"/>
      <c r="J387" s="875"/>
      <c r="N387" s="876"/>
    </row>
    <row r="388" ht="46.5" customHeight="1">
      <c r="C388" s="35"/>
      <c r="D388" s="874"/>
      <c r="J388" s="875"/>
      <c r="N388" s="876"/>
    </row>
    <row r="389" ht="46.5" customHeight="1">
      <c r="C389" s="35"/>
      <c r="D389" s="874"/>
      <c r="J389" s="875"/>
      <c r="N389" s="876"/>
    </row>
    <row r="390" ht="46.5" customHeight="1">
      <c r="C390" s="35"/>
      <c r="D390" s="874"/>
      <c r="J390" s="875"/>
      <c r="N390" s="876"/>
    </row>
    <row r="391" ht="46.5" customHeight="1">
      <c r="C391" s="35"/>
      <c r="D391" s="874"/>
      <c r="J391" s="875"/>
      <c r="N391" s="876"/>
    </row>
    <row r="392" ht="46.5" customHeight="1">
      <c r="C392" s="35"/>
      <c r="D392" s="874"/>
      <c r="J392" s="875"/>
      <c r="N392" s="876"/>
    </row>
    <row r="393" ht="46.5" customHeight="1">
      <c r="C393" s="35"/>
      <c r="D393" s="874"/>
      <c r="J393" s="875"/>
      <c r="N393" s="876"/>
    </row>
    <row r="394" ht="46.5" customHeight="1">
      <c r="C394" s="35"/>
      <c r="D394" s="874"/>
      <c r="J394" s="875"/>
      <c r="N394" s="876"/>
    </row>
    <row r="395" ht="46.5" customHeight="1">
      <c r="C395" s="35"/>
      <c r="D395" s="874"/>
      <c r="J395" s="875"/>
      <c r="N395" s="876"/>
    </row>
    <row r="396" ht="46.5" customHeight="1">
      <c r="C396" s="35"/>
      <c r="D396" s="874"/>
      <c r="J396" s="875"/>
      <c r="N396" s="876"/>
    </row>
    <row r="397" ht="46.5" customHeight="1">
      <c r="C397" s="35"/>
      <c r="D397" s="874"/>
      <c r="J397" s="875"/>
      <c r="N397" s="876"/>
    </row>
    <row r="398" ht="46.5" customHeight="1">
      <c r="C398" s="35"/>
      <c r="D398" s="874"/>
      <c r="J398" s="875"/>
      <c r="N398" s="876"/>
    </row>
    <row r="399" ht="46.5" customHeight="1">
      <c r="C399" s="35"/>
      <c r="D399" s="874"/>
      <c r="J399" s="875"/>
      <c r="N399" s="876"/>
    </row>
    <row r="400" ht="46.5" customHeight="1">
      <c r="C400" s="35"/>
      <c r="D400" s="874"/>
      <c r="J400" s="875"/>
      <c r="N400" s="876"/>
    </row>
    <row r="401" ht="46.5" customHeight="1">
      <c r="C401" s="35"/>
      <c r="D401" s="874"/>
      <c r="J401" s="875"/>
      <c r="N401" s="876"/>
    </row>
    <row r="402" ht="46.5" customHeight="1">
      <c r="C402" s="35"/>
      <c r="D402" s="874"/>
      <c r="J402" s="875"/>
      <c r="N402" s="876"/>
    </row>
    <row r="403" ht="46.5" customHeight="1">
      <c r="C403" s="35"/>
      <c r="D403" s="874"/>
      <c r="J403" s="875"/>
      <c r="N403" s="876"/>
    </row>
    <row r="404" ht="46.5" customHeight="1">
      <c r="C404" s="35"/>
      <c r="D404" s="874"/>
      <c r="J404" s="875"/>
      <c r="N404" s="876"/>
    </row>
    <row r="405" ht="46.5" customHeight="1">
      <c r="C405" s="35"/>
      <c r="D405" s="874"/>
      <c r="J405" s="875"/>
      <c r="N405" s="876"/>
    </row>
    <row r="406" ht="46.5" customHeight="1">
      <c r="C406" s="35"/>
      <c r="D406" s="874"/>
      <c r="J406" s="875"/>
      <c r="N406" s="876"/>
    </row>
    <row r="407" ht="46.5" customHeight="1">
      <c r="C407" s="35"/>
      <c r="D407" s="874"/>
      <c r="J407" s="875"/>
      <c r="N407" s="876"/>
    </row>
    <row r="408" ht="46.5" customHeight="1">
      <c r="C408" s="35"/>
      <c r="D408" s="874"/>
      <c r="J408" s="875"/>
      <c r="N408" s="876"/>
    </row>
    <row r="409" ht="46.5" customHeight="1">
      <c r="C409" s="35"/>
      <c r="D409" s="874"/>
      <c r="J409" s="875"/>
      <c r="N409" s="876"/>
    </row>
    <row r="410" ht="46.5" customHeight="1">
      <c r="C410" s="35"/>
      <c r="D410" s="874"/>
      <c r="J410" s="875"/>
      <c r="N410" s="876"/>
    </row>
    <row r="411" ht="46.5" customHeight="1">
      <c r="C411" s="35"/>
      <c r="D411" s="874"/>
      <c r="J411" s="875"/>
      <c r="N411" s="876"/>
    </row>
    <row r="412" ht="46.5" customHeight="1">
      <c r="C412" s="35"/>
      <c r="D412" s="874"/>
      <c r="J412" s="875"/>
      <c r="N412" s="876"/>
    </row>
    <row r="413" ht="46.5" customHeight="1">
      <c r="C413" s="35"/>
      <c r="D413" s="874"/>
      <c r="J413" s="875"/>
      <c r="N413" s="876"/>
    </row>
    <row r="414" ht="46.5" customHeight="1">
      <c r="C414" s="35"/>
      <c r="D414" s="874"/>
      <c r="J414" s="875"/>
      <c r="N414" s="876"/>
    </row>
    <row r="415" ht="46.5" customHeight="1">
      <c r="C415" s="35"/>
      <c r="D415" s="874"/>
      <c r="J415" s="875"/>
      <c r="N415" s="876"/>
    </row>
    <row r="416" ht="46.5" customHeight="1">
      <c r="C416" s="35"/>
      <c r="D416" s="874"/>
      <c r="J416" s="875"/>
      <c r="N416" s="876"/>
    </row>
    <row r="417" ht="46.5" customHeight="1">
      <c r="C417" s="35"/>
      <c r="D417" s="874"/>
      <c r="J417" s="875"/>
      <c r="N417" s="876"/>
    </row>
    <row r="418" ht="46.5" customHeight="1">
      <c r="C418" s="35"/>
      <c r="D418" s="874"/>
      <c r="J418" s="875"/>
      <c r="N418" s="876"/>
    </row>
    <row r="419" ht="46.5" customHeight="1">
      <c r="C419" s="35"/>
      <c r="D419" s="874"/>
      <c r="J419" s="875"/>
      <c r="N419" s="876"/>
    </row>
    <row r="420" ht="46.5" customHeight="1">
      <c r="C420" s="35"/>
      <c r="D420" s="874"/>
      <c r="J420" s="875"/>
      <c r="N420" s="876"/>
    </row>
    <row r="421" ht="46.5" customHeight="1">
      <c r="C421" s="35"/>
      <c r="D421" s="874"/>
      <c r="J421" s="875"/>
      <c r="N421" s="876"/>
    </row>
    <row r="422" ht="46.5" customHeight="1">
      <c r="C422" s="35"/>
      <c r="D422" s="874"/>
      <c r="J422" s="875"/>
      <c r="N422" s="876"/>
    </row>
    <row r="423" ht="46.5" customHeight="1">
      <c r="C423" s="35"/>
      <c r="D423" s="874"/>
      <c r="J423" s="875"/>
      <c r="N423" s="876"/>
    </row>
    <row r="424" ht="46.5" customHeight="1">
      <c r="C424" s="35"/>
      <c r="D424" s="874"/>
      <c r="J424" s="875"/>
      <c r="N424" s="876"/>
    </row>
    <row r="425" ht="46.5" customHeight="1">
      <c r="C425" s="35"/>
      <c r="D425" s="874"/>
      <c r="J425" s="875"/>
      <c r="N425" s="876"/>
    </row>
    <row r="426" ht="46.5" customHeight="1">
      <c r="C426" s="35"/>
      <c r="D426" s="874"/>
      <c r="J426" s="875"/>
      <c r="N426" s="876"/>
    </row>
    <row r="427" ht="46.5" customHeight="1">
      <c r="C427" s="35"/>
      <c r="D427" s="874"/>
      <c r="J427" s="875"/>
      <c r="N427" s="876"/>
    </row>
    <row r="428" ht="46.5" customHeight="1">
      <c r="C428" s="35"/>
      <c r="D428" s="874"/>
      <c r="J428" s="875"/>
      <c r="N428" s="876"/>
    </row>
    <row r="429" ht="46.5" customHeight="1">
      <c r="C429" s="35"/>
      <c r="D429" s="874"/>
      <c r="J429" s="875"/>
      <c r="N429" s="876"/>
    </row>
    <row r="430" ht="46.5" customHeight="1">
      <c r="C430" s="35"/>
      <c r="D430" s="874"/>
      <c r="J430" s="875"/>
      <c r="N430" s="876"/>
    </row>
    <row r="431" ht="46.5" customHeight="1">
      <c r="C431" s="35"/>
      <c r="D431" s="874"/>
      <c r="J431" s="875"/>
      <c r="N431" s="876"/>
    </row>
    <row r="432" ht="46.5" customHeight="1">
      <c r="C432" s="35"/>
      <c r="D432" s="874"/>
      <c r="J432" s="875"/>
      <c r="N432" s="876"/>
    </row>
    <row r="433" ht="46.5" customHeight="1">
      <c r="C433" s="35"/>
      <c r="D433" s="874"/>
      <c r="J433" s="875"/>
      <c r="N433" s="876"/>
    </row>
    <row r="434" ht="46.5" customHeight="1">
      <c r="C434" s="35"/>
      <c r="D434" s="874"/>
      <c r="J434" s="875"/>
      <c r="N434" s="876"/>
    </row>
    <row r="435" ht="46.5" customHeight="1">
      <c r="C435" s="35"/>
      <c r="D435" s="874"/>
      <c r="J435" s="875"/>
      <c r="N435" s="876"/>
    </row>
    <row r="436" ht="46.5" customHeight="1">
      <c r="C436" s="35"/>
      <c r="D436" s="874"/>
      <c r="J436" s="875"/>
      <c r="N436" s="876"/>
    </row>
    <row r="437" ht="46.5" customHeight="1">
      <c r="C437" s="35"/>
      <c r="D437" s="874"/>
      <c r="J437" s="875"/>
      <c r="N437" s="876"/>
    </row>
    <row r="438" ht="46.5" customHeight="1">
      <c r="C438" s="35"/>
      <c r="D438" s="874"/>
      <c r="J438" s="875"/>
      <c r="N438" s="876"/>
    </row>
    <row r="439" ht="46.5" customHeight="1">
      <c r="C439" s="35"/>
      <c r="D439" s="874"/>
      <c r="J439" s="875"/>
      <c r="N439" s="876"/>
    </row>
    <row r="440" ht="46.5" customHeight="1">
      <c r="C440" s="35"/>
      <c r="D440" s="874"/>
      <c r="J440" s="875"/>
      <c r="N440" s="876"/>
    </row>
    <row r="441" ht="46.5" customHeight="1">
      <c r="C441" s="35"/>
      <c r="D441" s="874"/>
      <c r="J441" s="875"/>
      <c r="N441" s="876"/>
    </row>
    <row r="442" ht="46.5" customHeight="1">
      <c r="C442" s="35"/>
      <c r="D442" s="874"/>
      <c r="J442" s="875"/>
      <c r="N442" s="876"/>
    </row>
    <row r="443" ht="46.5" customHeight="1">
      <c r="C443" s="35"/>
      <c r="D443" s="874"/>
      <c r="J443" s="875"/>
      <c r="N443" s="876"/>
    </row>
    <row r="444" ht="46.5" customHeight="1">
      <c r="C444" s="35"/>
      <c r="D444" s="874"/>
      <c r="J444" s="875"/>
      <c r="N444" s="876"/>
    </row>
    <row r="445" ht="46.5" customHeight="1">
      <c r="C445" s="35"/>
      <c r="D445" s="874"/>
      <c r="J445" s="875"/>
      <c r="N445" s="876"/>
    </row>
    <row r="446" ht="46.5" customHeight="1">
      <c r="C446" s="35"/>
      <c r="D446" s="874"/>
      <c r="J446" s="875"/>
      <c r="N446" s="876"/>
    </row>
    <row r="447" ht="46.5" customHeight="1">
      <c r="C447" s="35"/>
      <c r="D447" s="874"/>
      <c r="J447" s="875"/>
      <c r="N447" s="876"/>
    </row>
    <row r="448" ht="46.5" customHeight="1">
      <c r="C448" s="35"/>
      <c r="D448" s="874"/>
      <c r="J448" s="875"/>
      <c r="N448" s="876"/>
    </row>
    <row r="449" ht="46.5" customHeight="1">
      <c r="C449" s="35"/>
      <c r="D449" s="874"/>
      <c r="J449" s="875"/>
      <c r="N449" s="876"/>
    </row>
    <row r="450" ht="46.5" customHeight="1">
      <c r="C450" s="35"/>
      <c r="D450" s="874"/>
      <c r="J450" s="875"/>
      <c r="N450" s="876"/>
    </row>
    <row r="451" ht="46.5" customHeight="1">
      <c r="C451" s="35"/>
      <c r="D451" s="874"/>
      <c r="J451" s="875"/>
      <c r="N451" s="876"/>
    </row>
    <row r="452" ht="46.5" customHeight="1">
      <c r="C452" s="35"/>
      <c r="D452" s="874"/>
      <c r="J452" s="875"/>
      <c r="N452" s="876"/>
    </row>
    <row r="453" ht="46.5" customHeight="1">
      <c r="C453" s="35"/>
      <c r="D453" s="874"/>
      <c r="J453" s="875"/>
      <c r="N453" s="876"/>
    </row>
    <row r="454" ht="46.5" customHeight="1">
      <c r="C454" s="35"/>
      <c r="D454" s="874"/>
      <c r="J454" s="875"/>
      <c r="N454" s="876"/>
    </row>
    <row r="455" ht="46.5" customHeight="1">
      <c r="C455" s="35"/>
      <c r="D455" s="874"/>
      <c r="J455" s="875"/>
      <c r="N455" s="876"/>
    </row>
    <row r="456" ht="46.5" customHeight="1">
      <c r="C456" s="35"/>
      <c r="D456" s="874"/>
      <c r="J456" s="875"/>
      <c r="N456" s="876"/>
    </row>
    <row r="457" ht="46.5" customHeight="1">
      <c r="C457" s="35"/>
      <c r="D457" s="874"/>
      <c r="J457" s="875"/>
      <c r="N457" s="876"/>
    </row>
    <row r="458" ht="46.5" customHeight="1">
      <c r="C458" s="35"/>
      <c r="D458" s="874"/>
      <c r="J458" s="875"/>
      <c r="N458" s="876"/>
    </row>
    <row r="459" ht="46.5" customHeight="1">
      <c r="C459" s="35"/>
      <c r="D459" s="874"/>
      <c r="J459" s="875"/>
      <c r="N459" s="876"/>
    </row>
    <row r="460" ht="46.5" customHeight="1">
      <c r="C460" s="35"/>
      <c r="D460" s="874"/>
      <c r="J460" s="875"/>
      <c r="N460" s="876"/>
    </row>
    <row r="461" ht="46.5" customHeight="1">
      <c r="C461" s="35"/>
      <c r="D461" s="874"/>
      <c r="J461" s="875"/>
      <c r="N461" s="876"/>
    </row>
    <row r="462" ht="46.5" customHeight="1">
      <c r="C462" s="35"/>
      <c r="D462" s="874"/>
      <c r="J462" s="875"/>
      <c r="N462" s="876"/>
    </row>
    <row r="463" ht="46.5" customHeight="1">
      <c r="C463" s="35"/>
      <c r="D463" s="874"/>
      <c r="J463" s="875"/>
      <c r="N463" s="876"/>
    </row>
    <row r="464" ht="46.5" customHeight="1">
      <c r="C464" s="35"/>
      <c r="D464" s="874"/>
      <c r="J464" s="875"/>
      <c r="N464" s="876"/>
    </row>
    <row r="465" ht="46.5" customHeight="1">
      <c r="C465" s="35"/>
      <c r="D465" s="874"/>
      <c r="J465" s="875"/>
      <c r="N465" s="876"/>
    </row>
    <row r="466" ht="46.5" customHeight="1">
      <c r="C466" s="35"/>
      <c r="D466" s="874"/>
      <c r="J466" s="875"/>
      <c r="N466" s="876"/>
    </row>
    <row r="467" ht="46.5" customHeight="1">
      <c r="C467" s="35"/>
      <c r="D467" s="874"/>
      <c r="J467" s="875"/>
      <c r="N467" s="876"/>
    </row>
    <row r="468" ht="46.5" customHeight="1">
      <c r="C468" s="35"/>
      <c r="D468" s="874"/>
      <c r="J468" s="875"/>
      <c r="N468" s="876"/>
    </row>
    <row r="469" ht="46.5" customHeight="1">
      <c r="C469" s="35"/>
      <c r="D469" s="874"/>
      <c r="J469" s="875"/>
      <c r="N469" s="876"/>
    </row>
    <row r="470" ht="46.5" customHeight="1">
      <c r="C470" s="35"/>
      <c r="D470" s="874"/>
      <c r="J470" s="875"/>
      <c r="N470" s="876"/>
    </row>
    <row r="471" ht="46.5" customHeight="1">
      <c r="C471" s="35"/>
      <c r="D471" s="874"/>
      <c r="J471" s="875"/>
      <c r="N471" s="876"/>
    </row>
    <row r="472" ht="46.5" customHeight="1">
      <c r="C472" s="35"/>
      <c r="D472" s="874"/>
      <c r="J472" s="875"/>
      <c r="N472" s="876"/>
    </row>
    <row r="473" ht="46.5" customHeight="1">
      <c r="C473" s="35"/>
      <c r="D473" s="874"/>
      <c r="J473" s="875"/>
      <c r="N473" s="876"/>
    </row>
    <row r="474" ht="46.5" customHeight="1">
      <c r="C474" s="35"/>
      <c r="D474" s="874"/>
      <c r="J474" s="875"/>
      <c r="N474" s="876"/>
    </row>
    <row r="475" ht="46.5" customHeight="1">
      <c r="C475" s="35"/>
      <c r="D475" s="874"/>
      <c r="J475" s="875"/>
      <c r="N475" s="876"/>
    </row>
    <row r="476" ht="46.5" customHeight="1">
      <c r="C476" s="35"/>
      <c r="D476" s="874"/>
      <c r="J476" s="875"/>
      <c r="N476" s="876"/>
    </row>
    <row r="477" ht="46.5" customHeight="1">
      <c r="C477" s="35"/>
      <c r="D477" s="874"/>
      <c r="J477" s="875"/>
      <c r="N477" s="876"/>
    </row>
    <row r="478" ht="46.5" customHeight="1">
      <c r="C478" s="35"/>
      <c r="D478" s="874"/>
      <c r="J478" s="875"/>
      <c r="N478" s="876"/>
    </row>
    <row r="479" ht="46.5" customHeight="1">
      <c r="C479" s="35"/>
      <c r="D479" s="874"/>
      <c r="J479" s="875"/>
      <c r="N479" s="876"/>
    </row>
    <row r="480" ht="46.5" customHeight="1">
      <c r="C480" s="35"/>
      <c r="D480" s="874"/>
      <c r="J480" s="875"/>
      <c r="N480" s="876"/>
    </row>
    <row r="481" ht="46.5" customHeight="1">
      <c r="C481" s="35"/>
      <c r="D481" s="874"/>
      <c r="J481" s="875"/>
      <c r="N481" s="876"/>
    </row>
    <row r="482" ht="46.5" customHeight="1">
      <c r="C482" s="35"/>
      <c r="D482" s="874"/>
      <c r="J482" s="875"/>
      <c r="N482" s="876"/>
    </row>
    <row r="483" ht="46.5" customHeight="1">
      <c r="C483" s="35"/>
      <c r="D483" s="874"/>
      <c r="J483" s="875"/>
      <c r="N483" s="876"/>
    </row>
    <row r="484" ht="46.5" customHeight="1">
      <c r="C484" s="35"/>
      <c r="D484" s="874"/>
      <c r="J484" s="875"/>
      <c r="N484" s="876"/>
    </row>
    <row r="485" ht="46.5" customHeight="1">
      <c r="C485" s="35"/>
      <c r="D485" s="874"/>
      <c r="J485" s="875"/>
      <c r="N485" s="876"/>
    </row>
    <row r="486" ht="46.5" customHeight="1">
      <c r="C486" s="35"/>
      <c r="D486" s="874"/>
      <c r="J486" s="875"/>
      <c r="N486" s="876"/>
    </row>
    <row r="487" ht="46.5" customHeight="1">
      <c r="C487" s="35"/>
      <c r="D487" s="874"/>
      <c r="J487" s="875"/>
      <c r="N487" s="876"/>
    </row>
    <row r="488" ht="46.5" customHeight="1">
      <c r="C488" s="35"/>
      <c r="D488" s="874"/>
      <c r="J488" s="875"/>
      <c r="N488" s="876"/>
    </row>
    <row r="489" ht="46.5" customHeight="1">
      <c r="C489" s="35"/>
      <c r="D489" s="874"/>
      <c r="J489" s="875"/>
      <c r="N489" s="876"/>
    </row>
    <row r="490" ht="46.5" customHeight="1">
      <c r="C490" s="35"/>
      <c r="D490" s="874"/>
      <c r="J490" s="875"/>
      <c r="N490" s="876"/>
    </row>
    <row r="491" ht="46.5" customHeight="1">
      <c r="C491" s="35"/>
      <c r="D491" s="874"/>
      <c r="J491" s="875"/>
      <c r="N491" s="876"/>
    </row>
    <row r="492" ht="46.5" customHeight="1">
      <c r="C492" s="35"/>
      <c r="D492" s="874"/>
      <c r="J492" s="875"/>
      <c r="N492" s="876"/>
    </row>
    <row r="493" ht="46.5" customHeight="1">
      <c r="C493" s="35"/>
      <c r="D493" s="874"/>
      <c r="J493" s="875"/>
      <c r="N493" s="876"/>
    </row>
    <row r="494" ht="46.5" customHeight="1">
      <c r="C494" s="35"/>
      <c r="D494" s="874"/>
      <c r="J494" s="875"/>
      <c r="N494" s="876"/>
    </row>
    <row r="495" ht="46.5" customHeight="1">
      <c r="C495" s="35"/>
      <c r="D495" s="874"/>
      <c r="J495" s="875"/>
      <c r="N495" s="876"/>
    </row>
    <row r="496" ht="46.5" customHeight="1">
      <c r="C496" s="35"/>
      <c r="D496" s="874"/>
      <c r="J496" s="875"/>
      <c r="N496" s="876"/>
    </row>
    <row r="497" ht="46.5" customHeight="1">
      <c r="C497" s="35"/>
      <c r="D497" s="874"/>
      <c r="J497" s="875"/>
      <c r="N497" s="876"/>
    </row>
    <row r="498" ht="46.5" customHeight="1">
      <c r="C498" s="35"/>
      <c r="D498" s="874"/>
      <c r="J498" s="875"/>
      <c r="N498" s="876"/>
    </row>
    <row r="499" ht="46.5" customHeight="1">
      <c r="C499" s="35"/>
      <c r="D499" s="874"/>
      <c r="J499" s="875"/>
      <c r="N499" s="876"/>
    </row>
    <row r="500" ht="46.5" customHeight="1">
      <c r="C500" s="35"/>
      <c r="D500" s="874"/>
      <c r="J500" s="875"/>
      <c r="N500" s="876"/>
    </row>
    <row r="501" ht="46.5" customHeight="1">
      <c r="C501" s="35"/>
      <c r="D501" s="874"/>
      <c r="J501" s="875"/>
      <c r="N501" s="876"/>
    </row>
    <row r="502" ht="46.5" customHeight="1">
      <c r="C502" s="35"/>
      <c r="D502" s="874"/>
      <c r="J502" s="875"/>
      <c r="N502" s="876"/>
    </row>
    <row r="503" ht="46.5" customHeight="1">
      <c r="C503" s="35"/>
      <c r="D503" s="874"/>
      <c r="J503" s="875"/>
      <c r="N503" s="876"/>
    </row>
    <row r="504" ht="46.5" customHeight="1">
      <c r="C504" s="35"/>
      <c r="D504" s="874"/>
      <c r="J504" s="875"/>
      <c r="N504" s="876"/>
    </row>
    <row r="505" ht="46.5" customHeight="1">
      <c r="C505" s="35"/>
      <c r="D505" s="874"/>
      <c r="J505" s="875"/>
      <c r="N505" s="876"/>
    </row>
    <row r="506" ht="46.5" customHeight="1">
      <c r="C506" s="35"/>
      <c r="D506" s="874"/>
      <c r="J506" s="875"/>
      <c r="N506" s="876"/>
    </row>
    <row r="507" ht="46.5" customHeight="1">
      <c r="C507" s="35"/>
      <c r="D507" s="874"/>
      <c r="J507" s="875"/>
      <c r="N507" s="876"/>
    </row>
    <row r="508" ht="46.5" customHeight="1">
      <c r="C508" s="35"/>
      <c r="D508" s="874"/>
      <c r="J508" s="875"/>
      <c r="N508" s="876"/>
    </row>
    <row r="509" ht="46.5" customHeight="1">
      <c r="C509" s="35"/>
      <c r="D509" s="874"/>
      <c r="J509" s="875"/>
      <c r="N509" s="876"/>
    </row>
    <row r="510" ht="46.5" customHeight="1">
      <c r="C510" s="35"/>
      <c r="D510" s="874"/>
      <c r="J510" s="875"/>
      <c r="N510" s="876"/>
    </row>
    <row r="511" ht="46.5" customHeight="1">
      <c r="C511" s="35"/>
      <c r="D511" s="874"/>
      <c r="J511" s="875"/>
      <c r="N511" s="876"/>
    </row>
    <row r="512" ht="46.5" customHeight="1">
      <c r="C512" s="35"/>
      <c r="D512" s="874"/>
      <c r="J512" s="875"/>
      <c r="N512" s="876"/>
    </row>
    <row r="513" ht="46.5" customHeight="1">
      <c r="C513" s="35"/>
      <c r="D513" s="874"/>
      <c r="J513" s="875"/>
      <c r="N513" s="876"/>
    </row>
    <row r="514" ht="46.5" customHeight="1">
      <c r="C514" s="35"/>
      <c r="D514" s="874"/>
      <c r="J514" s="875"/>
      <c r="N514" s="876"/>
    </row>
    <row r="515" ht="46.5" customHeight="1">
      <c r="C515" s="35"/>
      <c r="D515" s="874"/>
      <c r="J515" s="875"/>
      <c r="N515" s="876"/>
    </row>
    <row r="516" ht="46.5" customHeight="1">
      <c r="C516" s="35"/>
      <c r="D516" s="874"/>
      <c r="J516" s="875"/>
      <c r="N516" s="876"/>
    </row>
    <row r="517" ht="46.5" customHeight="1">
      <c r="C517" s="35"/>
      <c r="D517" s="874"/>
      <c r="J517" s="875"/>
      <c r="N517" s="876"/>
    </row>
    <row r="518" ht="46.5" customHeight="1">
      <c r="C518" s="35"/>
      <c r="D518" s="874"/>
      <c r="J518" s="875"/>
      <c r="N518" s="876"/>
    </row>
    <row r="519" ht="46.5" customHeight="1">
      <c r="C519" s="35"/>
      <c r="D519" s="874"/>
      <c r="J519" s="875"/>
      <c r="N519" s="876"/>
    </row>
    <row r="520" ht="46.5" customHeight="1">
      <c r="C520" s="35"/>
      <c r="D520" s="874"/>
      <c r="J520" s="875"/>
      <c r="N520" s="876"/>
    </row>
    <row r="521" ht="46.5" customHeight="1">
      <c r="C521" s="35"/>
      <c r="D521" s="874"/>
      <c r="J521" s="875"/>
      <c r="N521" s="876"/>
    </row>
    <row r="522" ht="46.5" customHeight="1">
      <c r="C522" s="35"/>
      <c r="D522" s="874"/>
      <c r="J522" s="875"/>
      <c r="N522" s="876"/>
    </row>
    <row r="523" ht="46.5" customHeight="1">
      <c r="C523" s="35"/>
      <c r="D523" s="874"/>
      <c r="J523" s="875"/>
      <c r="N523" s="876"/>
    </row>
    <row r="524" ht="46.5" customHeight="1">
      <c r="C524" s="35"/>
      <c r="D524" s="874"/>
      <c r="J524" s="875"/>
      <c r="N524" s="876"/>
    </row>
    <row r="525" ht="46.5" customHeight="1">
      <c r="C525" s="35"/>
      <c r="D525" s="874"/>
      <c r="J525" s="875"/>
      <c r="N525" s="876"/>
    </row>
    <row r="526" ht="46.5" customHeight="1">
      <c r="C526" s="35"/>
      <c r="D526" s="874"/>
      <c r="J526" s="875"/>
      <c r="N526" s="876"/>
    </row>
    <row r="527" ht="46.5" customHeight="1">
      <c r="C527" s="35"/>
      <c r="D527" s="874"/>
      <c r="J527" s="875"/>
      <c r="N527" s="876"/>
    </row>
    <row r="528" ht="46.5" customHeight="1">
      <c r="C528" s="35"/>
      <c r="D528" s="874"/>
      <c r="J528" s="875"/>
      <c r="N528" s="876"/>
    </row>
    <row r="529" ht="46.5" customHeight="1">
      <c r="C529" s="35"/>
      <c r="D529" s="874"/>
      <c r="J529" s="875"/>
      <c r="N529" s="876"/>
    </row>
    <row r="530" ht="46.5" customHeight="1">
      <c r="C530" s="35"/>
      <c r="D530" s="874"/>
      <c r="J530" s="875"/>
      <c r="N530" s="876"/>
    </row>
    <row r="531" ht="46.5" customHeight="1">
      <c r="C531" s="35"/>
      <c r="D531" s="874"/>
      <c r="J531" s="875"/>
      <c r="N531" s="876"/>
    </row>
    <row r="532" ht="46.5" customHeight="1">
      <c r="C532" s="35"/>
      <c r="D532" s="874"/>
      <c r="J532" s="875"/>
      <c r="N532" s="876"/>
    </row>
    <row r="533" ht="46.5" customHeight="1">
      <c r="C533" s="35"/>
      <c r="D533" s="874"/>
      <c r="J533" s="875"/>
      <c r="N533" s="876"/>
    </row>
    <row r="534" ht="46.5" customHeight="1">
      <c r="C534" s="35"/>
      <c r="D534" s="874"/>
      <c r="J534" s="875"/>
      <c r="N534" s="876"/>
    </row>
    <row r="535" ht="46.5" customHeight="1">
      <c r="C535" s="35"/>
      <c r="D535" s="874"/>
      <c r="J535" s="875"/>
      <c r="N535" s="876"/>
    </row>
    <row r="536" ht="46.5" customHeight="1">
      <c r="C536" s="35"/>
      <c r="D536" s="874"/>
      <c r="J536" s="875"/>
      <c r="N536" s="876"/>
    </row>
    <row r="537" ht="46.5" customHeight="1">
      <c r="C537" s="35"/>
      <c r="D537" s="874"/>
      <c r="J537" s="875"/>
      <c r="N537" s="876"/>
    </row>
    <row r="538" ht="46.5" customHeight="1">
      <c r="C538" s="35"/>
      <c r="D538" s="874"/>
      <c r="J538" s="875"/>
      <c r="N538" s="876"/>
    </row>
    <row r="539" ht="46.5" customHeight="1">
      <c r="C539" s="35"/>
      <c r="D539" s="874"/>
      <c r="J539" s="875"/>
      <c r="N539" s="876"/>
    </row>
    <row r="540" ht="46.5" customHeight="1">
      <c r="C540" s="35"/>
      <c r="D540" s="874"/>
      <c r="J540" s="875"/>
      <c r="N540" s="876"/>
    </row>
    <row r="541" ht="46.5" customHeight="1">
      <c r="C541" s="35"/>
      <c r="D541" s="874"/>
      <c r="J541" s="875"/>
      <c r="N541" s="876"/>
    </row>
    <row r="542" ht="46.5" customHeight="1">
      <c r="C542" s="35"/>
      <c r="D542" s="874"/>
      <c r="J542" s="875"/>
      <c r="N542" s="876"/>
    </row>
    <row r="543" ht="46.5" customHeight="1">
      <c r="C543" s="35"/>
      <c r="D543" s="874"/>
      <c r="J543" s="875"/>
      <c r="N543" s="876"/>
    </row>
    <row r="544" ht="46.5" customHeight="1">
      <c r="C544" s="35"/>
      <c r="D544" s="874"/>
      <c r="J544" s="875"/>
      <c r="N544" s="876"/>
    </row>
    <row r="545" ht="46.5" customHeight="1">
      <c r="C545" s="35"/>
      <c r="D545" s="874"/>
      <c r="J545" s="875"/>
      <c r="N545" s="876"/>
    </row>
    <row r="546" ht="46.5" customHeight="1">
      <c r="C546" s="35"/>
      <c r="D546" s="874"/>
      <c r="J546" s="875"/>
      <c r="N546" s="876"/>
    </row>
    <row r="547" ht="46.5" customHeight="1">
      <c r="C547" s="35"/>
      <c r="D547" s="874"/>
      <c r="J547" s="875"/>
      <c r="N547" s="876"/>
    </row>
    <row r="548" ht="46.5" customHeight="1">
      <c r="C548" s="35"/>
      <c r="D548" s="874"/>
      <c r="J548" s="875"/>
      <c r="N548" s="876"/>
    </row>
    <row r="549" ht="46.5" customHeight="1">
      <c r="C549" s="35"/>
      <c r="D549" s="874"/>
      <c r="J549" s="875"/>
      <c r="N549" s="876"/>
    </row>
    <row r="550" ht="46.5" customHeight="1">
      <c r="C550" s="35"/>
      <c r="D550" s="874"/>
      <c r="J550" s="875"/>
      <c r="N550" s="876"/>
    </row>
    <row r="551" ht="46.5" customHeight="1">
      <c r="C551" s="35"/>
      <c r="D551" s="874"/>
      <c r="J551" s="875"/>
      <c r="N551" s="876"/>
    </row>
    <row r="552" ht="46.5" customHeight="1">
      <c r="C552" s="35"/>
      <c r="D552" s="874"/>
      <c r="J552" s="875"/>
      <c r="N552" s="876"/>
    </row>
    <row r="553" ht="46.5" customHeight="1">
      <c r="C553" s="35"/>
      <c r="D553" s="874"/>
      <c r="J553" s="875"/>
      <c r="N553" s="876"/>
    </row>
    <row r="554" ht="46.5" customHeight="1">
      <c r="C554" s="35"/>
      <c r="D554" s="874"/>
      <c r="J554" s="875"/>
      <c r="N554" s="876"/>
    </row>
    <row r="555" ht="46.5" customHeight="1">
      <c r="C555" s="35"/>
      <c r="D555" s="874"/>
      <c r="J555" s="875"/>
      <c r="N555" s="876"/>
    </row>
    <row r="556" ht="46.5" customHeight="1">
      <c r="C556" s="35"/>
      <c r="D556" s="874"/>
      <c r="J556" s="875"/>
      <c r="N556" s="876"/>
    </row>
    <row r="557" ht="46.5" customHeight="1">
      <c r="C557" s="35"/>
      <c r="D557" s="874"/>
      <c r="J557" s="875"/>
      <c r="N557" s="876"/>
    </row>
    <row r="558" ht="46.5" customHeight="1">
      <c r="C558" s="35"/>
      <c r="D558" s="874"/>
      <c r="J558" s="875"/>
      <c r="N558" s="876"/>
    </row>
    <row r="559" ht="46.5" customHeight="1">
      <c r="C559" s="35"/>
      <c r="D559" s="874"/>
      <c r="J559" s="875"/>
      <c r="N559" s="876"/>
    </row>
    <row r="560" ht="46.5" customHeight="1">
      <c r="C560" s="35"/>
      <c r="D560" s="874"/>
      <c r="J560" s="875"/>
      <c r="N560" s="876"/>
    </row>
    <row r="561" ht="46.5" customHeight="1">
      <c r="C561" s="35"/>
      <c r="D561" s="874"/>
      <c r="J561" s="875"/>
      <c r="N561" s="876"/>
    </row>
    <row r="562" ht="46.5" customHeight="1">
      <c r="C562" s="35"/>
      <c r="D562" s="874"/>
      <c r="J562" s="875"/>
      <c r="N562" s="876"/>
    </row>
    <row r="563" ht="46.5" customHeight="1">
      <c r="C563" s="35"/>
      <c r="D563" s="874"/>
      <c r="J563" s="875"/>
      <c r="N563" s="876"/>
    </row>
    <row r="564" ht="46.5" customHeight="1">
      <c r="C564" s="35"/>
      <c r="D564" s="874"/>
      <c r="J564" s="875"/>
      <c r="N564" s="876"/>
    </row>
    <row r="565" ht="46.5" customHeight="1">
      <c r="C565" s="35"/>
      <c r="D565" s="874"/>
      <c r="J565" s="875"/>
      <c r="N565" s="876"/>
    </row>
    <row r="566" ht="46.5" customHeight="1">
      <c r="C566" s="35"/>
      <c r="D566" s="874"/>
      <c r="J566" s="875"/>
      <c r="N566" s="876"/>
    </row>
    <row r="567" ht="46.5" customHeight="1">
      <c r="C567" s="35"/>
      <c r="D567" s="874"/>
      <c r="J567" s="875"/>
      <c r="N567" s="876"/>
    </row>
    <row r="568" ht="46.5" customHeight="1">
      <c r="C568" s="35"/>
      <c r="D568" s="874"/>
      <c r="J568" s="875"/>
      <c r="N568" s="876"/>
    </row>
    <row r="569" ht="46.5" customHeight="1">
      <c r="C569" s="35"/>
      <c r="D569" s="874"/>
      <c r="J569" s="875"/>
      <c r="N569" s="876"/>
    </row>
    <row r="570" ht="46.5" customHeight="1">
      <c r="C570" s="35"/>
      <c r="D570" s="874"/>
      <c r="J570" s="875"/>
      <c r="N570" s="876"/>
    </row>
    <row r="571" ht="46.5" customHeight="1">
      <c r="C571" s="35"/>
      <c r="D571" s="874"/>
      <c r="J571" s="875"/>
      <c r="N571" s="876"/>
    </row>
    <row r="572" ht="46.5" customHeight="1">
      <c r="C572" s="35"/>
      <c r="D572" s="874"/>
      <c r="J572" s="875"/>
      <c r="N572" s="876"/>
    </row>
    <row r="573" ht="46.5" customHeight="1">
      <c r="C573" s="35"/>
      <c r="D573" s="874"/>
      <c r="J573" s="875"/>
      <c r="N573" s="876"/>
    </row>
    <row r="574" ht="46.5" customHeight="1">
      <c r="C574" s="35"/>
      <c r="D574" s="874"/>
      <c r="J574" s="875"/>
      <c r="N574" s="876"/>
    </row>
    <row r="575" ht="46.5" customHeight="1">
      <c r="C575" s="35"/>
      <c r="D575" s="874"/>
      <c r="J575" s="875"/>
      <c r="N575" s="876"/>
    </row>
    <row r="576" ht="46.5" customHeight="1">
      <c r="C576" s="35"/>
      <c r="D576" s="874"/>
      <c r="J576" s="875"/>
      <c r="N576" s="876"/>
    </row>
    <row r="577" ht="46.5" customHeight="1">
      <c r="C577" s="35"/>
      <c r="D577" s="874"/>
      <c r="J577" s="875"/>
      <c r="N577" s="876"/>
    </row>
    <row r="578" ht="46.5" customHeight="1">
      <c r="C578" s="35"/>
      <c r="D578" s="874"/>
      <c r="J578" s="875"/>
      <c r="N578" s="876"/>
    </row>
    <row r="579" ht="46.5" customHeight="1">
      <c r="C579" s="35"/>
      <c r="D579" s="874"/>
      <c r="J579" s="875"/>
      <c r="N579" s="876"/>
    </row>
    <row r="580" ht="46.5" customHeight="1">
      <c r="C580" s="35"/>
      <c r="D580" s="874"/>
      <c r="J580" s="875"/>
      <c r="N580" s="876"/>
    </row>
    <row r="581" ht="46.5" customHeight="1">
      <c r="C581" s="35"/>
      <c r="D581" s="874"/>
      <c r="J581" s="875"/>
      <c r="N581" s="876"/>
    </row>
    <row r="582" ht="46.5" customHeight="1">
      <c r="C582" s="35"/>
      <c r="D582" s="874"/>
      <c r="J582" s="875"/>
      <c r="N582" s="876"/>
    </row>
    <row r="583" ht="46.5" customHeight="1">
      <c r="C583" s="35"/>
      <c r="D583" s="874"/>
      <c r="J583" s="875"/>
      <c r="N583" s="876"/>
    </row>
    <row r="584" ht="46.5" customHeight="1">
      <c r="C584" s="35"/>
      <c r="D584" s="874"/>
      <c r="J584" s="875"/>
      <c r="N584" s="876"/>
    </row>
    <row r="585" ht="46.5" customHeight="1">
      <c r="C585" s="35"/>
      <c r="D585" s="874"/>
      <c r="J585" s="875"/>
      <c r="N585" s="876"/>
    </row>
    <row r="586" ht="46.5" customHeight="1">
      <c r="C586" s="35"/>
      <c r="D586" s="874"/>
      <c r="J586" s="875"/>
      <c r="N586" s="876"/>
    </row>
    <row r="587" ht="46.5" customHeight="1">
      <c r="C587" s="35"/>
      <c r="D587" s="874"/>
      <c r="J587" s="875"/>
      <c r="N587" s="876"/>
    </row>
    <row r="588" ht="46.5" customHeight="1">
      <c r="C588" s="35"/>
      <c r="D588" s="874"/>
      <c r="J588" s="875"/>
      <c r="N588" s="876"/>
    </row>
    <row r="589" ht="46.5" customHeight="1">
      <c r="C589" s="35"/>
      <c r="D589" s="874"/>
      <c r="J589" s="875"/>
      <c r="N589" s="876"/>
    </row>
    <row r="590" ht="46.5" customHeight="1">
      <c r="C590" s="35"/>
      <c r="D590" s="874"/>
      <c r="J590" s="875"/>
      <c r="N590" s="876"/>
    </row>
    <row r="591" ht="46.5" customHeight="1">
      <c r="C591" s="35"/>
      <c r="D591" s="874"/>
      <c r="J591" s="875"/>
      <c r="N591" s="876"/>
    </row>
    <row r="592" ht="46.5" customHeight="1">
      <c r="C592" s="35"/>
      <c r="D592" s="874"/>
      <c r="J592" s="875"/>
      <c r="N592" s="876"/>
    </row>
    <row r="593" ht="46.5" customHeight="1">
      <c r="C593" s="35"/>
      <c r="D593" s="874"/>
      <c r="J593" s="875"/>
      <c r="N593" s="876"/>
    </row>
    <row r="594" ht="46.5" customHeight="1">
      <c r="C594" s="35"/>
      <c r="D594" s="874"/>
      <c r="J594" s="875"/>
      <c r="N594" s="876"/>
    </row>
    <row r="595" ht="46.5" customHeight="1">
      <c r="C595" s="35"/>
      <c r="D595" s="874"/>
      <c r="J595" s="875"/>
      <c r="N595" s="876"/>
    </row>
    <row r="596" ht="46.5" customHeight="1">
      <c r="C596" s="35"/>
      <c r="D596" s="874"/>
      <c r="J596" s="875"/>
      <c r="N596" s="876"/>
    </row>
    <row r="597" ht="46.5" customHeight="1">
      <c r="C597" s="35"/>
      <c r="D597" s="874"/>
      <c r="J597" s="875"/>
      <c r="N597" s="876"/>
    </row>
    <row r="598" ht="46.5" customHeight="1">
      <c r="C598" s="35"/>
      <c r="D598" s="874"/>
      <c r="J598" s="875"/>
      <c r="N598" s="876"/>
    </row>
    <row r="599" ht="46.5" customHeight="1">
      <c r="C599" s="35"/>
      <c r="D599" s="874"/>
      <c r="J599" s="875"/>
      <c r="N599" s="876"/>
    </row>
    <row r="600" ht="46.5" customHeight="1">
      <c r="C600" s="35"/>
      <c r="D600" s="874"/>
      <c r="J600" s="875"/>
      <c r="N600" s="876"/>
    </row>
    <row r="601" ht="46.5" customHeight="1">
      <c r="C601" s="35"/>
      <c r="D601" s="874"/>
      <c r="J601" s="875"/>
      <c r="N601" s="876"/>
    </row>
    <row r="602" ht="46.5" customHeight="1">
      <c r="C602" s="35"/>
      <c r="D602" s="874"/>
      <c r="J602" s="875"/>
      <c r="N602" s="876"/>
    </row>
    <row r="603" ht="46.5" customHeight="1">
      <c r="C603" s="35"/>
      <c r="D603" s="874"/>
      <c r="J603" s="875"/>
      <c r="N603" s="876"/>
    </row>
    <row r="604" ht="46.5" customHeight="1">
      <c r="C604" s="35"/>
      <c r="D604" s="874"/>
      <c r="J604" s="875"/>
      <c r="N604" s="876"/>
    </row>
    <row r="605" ht="46.5" customHeight="1">
      <c r="C605" s="35"/>
      <c r="D605" s="874"/>
      <c r="J605" s="875"/>
      <c r="N605" s="876"/>
    </row>
    <row r="606" ht="46.5" customHeight="1">
      <c r="C606" s="35"/>
      <c r="D606" s="874"/>
      <c r="J606" s="875"/>
      <c r="N606" s="876"/>
    </row>
    <row r="607" ht="46.5" customHeight="1">
      <c r="C607" s="35"/>
      <c r="D607" s="874"/>
      <c r="J607" s="875"/>
      <c r="N607" s="876"/>
    </row>
    <row r="608" ht="46.5" customHeight="1">
      <c r="C608" s="35"/>
      <c r="D608" s="874"/>
      <c r="J608" s="875"/>
      <c r="N608" s="876"/>
    </row>
    <row r="609" ht="46.5" customHeight="1">
      <c r="C609" s="35"/>
      <c r="D609" s="874"/>
      <c r="J609" s="875"/>
      <c r="N609" s="876"/>
    </row>
    <row r="610" ht="46.5" customHeight="1">
      <c r="C610" s="35"/>
      <c r="D610" s="874"/>
      <c r="J610" s="875"/>
      <c r="N610" s="876"/>
    </row>
    <row r="611" ht="46.5" customHeight="1">
      <c r="C611" s="35"/>
      <c r="D611" s="874"/>
      <c r="J611" s="875"/>
      <c r="N611" s="876"/>
    </row>
    <row r="612" ht="46.5" customHeight="1">
      <c r="C612" s="35"/>
      <c r="D612" s="874"/>
      <c r="J612" s="875"/>
      <c r="N612" s="876"/>
    </row>
    <row r="613" ht="46.5" customHeight="1">
      <c r="C613" s="35"/>
      <c r="D613" s="874"/>
      <c r="J613" s="875"/>
      <c r="N613" s="876"/>
    </row>
    <row r="614" ht="46.5" customHeight="1">
      <c r="C614" s="35"/>
      <c r="D614" s="874"/>
      <c r="J614" s="875"/>
      <c r="N614" s="876"/>
    </row>
    <row r="615" ht="46.5" customHeight="1">
      <c r="C615" s="35"/>
      <c r="D615" s="874"/>
      <c r="J615" s="875"/>
      <c r="N615" s="876"/>
    </row>
    <row r="616" ht="46.5" customHeight="1">
      <c r="C616" s="35"/>
      <c r="D616" s="874"/>
      <c r="J616" s="875"/>
      <c r="N616" s="876"/>
    </row>
    <row r="617" ht="46.5" customHeight="1">
      <c r="C617" s="35"/>
      <c r="D617" s="874"/>
      <c r="J617" s="875"/>
      <c r="N617" s="876"/>
    </row>
    <row r="618" ht="46.5" customHeight="1">
      <c r="C618" s="35"/>
      <c r="D618" s="874"/>
      <c r="J618" s="875"/>
      <c r="N618" s="876"/>
    </row>
    <row r="619" ht="46.5" customHeight="1">
      <c r="C619" s="35"/>
      <c r="D619" s="874"/>
      <c r="J619" s="875"/>
      <c r="N619" s="876"/>
    </row>
    <row r="620" ht="46.5" customHeight="1">
      <c r="C620" s="35"/>
      <c r="D620" s="874"/>
      <c r="J620" s="875"/>
      <c r="N620" s="876"/>
    </row>
    <row r="621" ht="46.5" customHeight="1">
      <c r="C621" s="35"/>
      <c r="D621" s="874"/>
      <c r="J621" s="875"/>
      <c r="N621" s="876"/>
    </row>
    <row r="622" ht="46.5" customHeight="1">
      <c r="C622" s="35"/>
      <c r="D622" s="874"/>
      <c r="J622" s="875"/>
      <c r="N622" s="876"/>
    </row>
    <row r="623" ht="46.5" customHeight="1">
      <c r="C623" s="35"/>
      <c r="D623" s="874"/>
      <c r="J623" s="875"/>
      <c r="N623" s="876"/>
    </row>
    <row r="624" ht="46.5" customHeight="1">
      <c r="C624" s="35"/>
      <c r="D624" s="874"/>
      <c r="J624" s="875"/>
      <c r="N624" s="876"/>
    </row>
    <row r="625" ht="46.5" customHeight="1">
      <c r="C625" s="35"/>
      <c r="D625" s="874"/>
      <c r="J625" s="875"/>
      <c r="N625" s="876"/>
    </row>
    <row r="626" ht="46.5" customHeight="1">
      <c r="C626" s="35"/>
      <c r="D626" s="874"/>
      <c r="J626" s="875"/>
      <c r="N626" s="876"/>
    </row>
    <row r="627" ht="46.5" customHeight="1">
      <c r="C627" s="35"/>
      <c r="D627" s="874"/>
      <c r="J627" s="875"/>
      <c r="N627" s="876"/>
    </row>
    <row r="628" ht="46.5" customHeight="1">
      <c r="C628" s="35"/>
      <c r="D628" s="874"/>
      <c r="J628" s="875"/>
      <c r="N628" s="876"/>
    </row>
    <row r="629" ht="46.5" customHeight="1">
      <c r="C629" s="35"/>
      <c r="D629" s="874"/>
      <c r="J629" s="875"/>
      <c r="N629" s="876"/>
    </row>
    <row r="630" ht="46.5" customHeight="1">
      <c r="C630" s="35"/>
      <c r="D630" s="874"/>
      <c r="J630" s="875"/>
      <c r="N630" s="876"/>
    </row>
    <row r="631" ht="46.5" customHeight="1">
      <c r="C631" s="35"/>
      <c r="D631" s="874"/>
      <c r="J631" s="875"/>
      <c r="N631" s="876"/>
    </row>
    <row r="632" ht="46.5" customHeight="1">
      <c r="C632" s="35"/>
      <c r="D632" s="874"/>
      <c r="J632" s="875"/>
      <c r="N632" s="876"/>
    </row>
    <row r="633" ht="46.5" customHeight="1">
      <c r="C633" s="35"/>
      <c r="D633" s="874"/>
      <c r="J633" s="875"/>
      <c r="N633" s="876"/>
    </row>
    <row r="634" ht="46.5" customHeight="1">
      <c r="C634" s="35"/>
      <c r="D634" s="874"/>
      <c r="J634" s="875"/>
      <c r="N634" s="876"/>
    </row>
    <row r="635" ht="46.5" customHeight="1">
      <c r="C635" s="35"/>
      <c r="D635" s="874"/>
      <c r="J635" s="875"/>
      <c r="N635" s="876"/>
    </row>
    <row r="636" ht="46.5" customHeight="1">
      <c r="C636" s="35"/>
      <c r="D636" s="874"/>
      <c r="J636" s="875"/>
      <c r="N636" s="876"/>
    </row>
    <row r="637" ht="46.5" customHeight="1">
      <c r="C637" s="35"/>
      <c r="D637" s="874"/>
      <c r="J637" s="875"/>
      <c r="N637" s="876"/>
    </row>
    <row r="638" ht="46.5" customHeight="1">
      <c r="C638" s="35"/>
      <c r="D638" s="874"/>
      <c r="J638" s="875"/>
      <c r="N638" s="876"/>
    </row>
    <row r="639" ht="46.5" customHeight="1">
      <c r="C639" s="35"/>
      <c r="D639" s="874"/>
      <c r="J639" s="875"/>
      <c r="N639" s="876"/>
    </row>
    <row r="640" ht="46.5" customHeight="1">
      <c r="C640" s="35"/>
      <c r="D640" s="874"/>
      <c r="J640" s="875"/>
      <c r="N640" s="876"/>
    </row>
    <row r="641" ht="46.5" customHeight="1">
      <c r="C641" s="35"/>
      <c r="D641" s="874"/>
      <c r="J641" s="875"/>
      <c r="N641" s="876"/>
    </row>
    <row r="642" ht="46.5" customHeight="1">
      <c r="C642" s="35"/>
      <c r="D642" s="874"/>
      <c r="J642" s="875"/>
      <c r="N642" s="876"/>
    </row>
    <row r="643" ht="46.5" customHeight="1">
      <c r="C643" s="35"/>
      <c r="D643" s="874"/>
      <c r="J643" s="875"/>
      <c r="N643" s="876"/>
    </row>
    <row r="644" ht="46.5" customHeight="1">
      <c r="C644" s="35"/>
      <c r="D644" s="874"/>
      <c r="J644" s="875"/>
      <c r="N644" s="876"/>
    </row>
    <row r="645" ht="46.5" customHeight="1">
      <c r="C645" s="35"/>
      <c r="D645" s="874"/>
      <c r="J645" s="875"/>
      <c r="N645" s="876"/>
    </row>
    <row r="646" ht="46.5" customHeight="1">
      <c r="C646" s="35"/>
      <c r="D646" s="874"/>
      <c r="J646" s="875"/>
      <c r="N646" s="876"/>
    </row>
    <row r="647" ht="46.5" customHeight="1">
      <c r="C647" s="35"/>
      <c r="D647" s="874"/>
      <c r="J647" s="875"/>
      <c r="N647" s="876"/>
    </row>
    <row r="648" ht="46.5" customHeight="1">
      <c r="C648" s="35"/>
      <c r="D648" s="874"/>
      <c r="J648" s="875"/>
      <c r="N648" s="876"/>
    </row>
    <row r="649" ht="46.5" customHeight="1">
      <c r="C649" s="35"/>
      <c r="D649" s="874"/>
      <c r="J649" s="875"/>
      <c r="N649" s="876"/>
    </row>
    <row r="650" ht="46.5" customHeight="1">
      <c r="C650" s="35"/>
      <c r="D650" s="874"/>
      <c r="J650" s="875"/>
      <c r="N650" s="876"/>
    </row>
    <row r="651" ht="46.5" customHeight="1">
      <c r="C651" s="35"/>
      <c r="D651" s="874"/>
      <c r="J651" s="875"/>
      <c r="N651" s="876"/>
    </row>
    <row r="652" ht="46.5" customHeight="1">
      <c r="C652" s="35"/>
      <c r="D652" s="874"/>
      <c r="J652" s="875"/>
      <c r="N652" s="876"/>
    </row>
    <row r="653" ht="46.5" customHeight="1">
      <c r="C653" s="35"/>
      <c r="D653" s="874"/>
      <c r="J653" s="875"/>
      <c r="N653" s="876"/>
    </row>
    <row r="654" ht="46.5" customHeight="1">
      <c r="C654" s="35"/>
      <c r="D654" s="874"/>
      <c r="J654" s="875"/>
      <c r="N654" s="876"/>
    </row>
    <row r="655" ht="46.5" customHeight="1">
      <c r="C655" s="35"/>
      <c r="D655" s="874"/>
      <c r="J655" s="875"/>
      <c r="N655" s="876"/>
    </row>
    <row r="656" ht="46.5" customHeight="1">
      <c r="C656" s="35"/>
      <c r="D656" s="874"/>
      <c r="J656" s="875"/>
      <c r="N656" s="876"/>
    </row>
    <row r="657" ht="46.5" customHeight="1">
      <c r="C657" s="35"/>
      <c r="D657" s="874"/>
      <c r="J657" s="875"/>
      <c r="N657" s="876"/>
    </row>
    <row r="658" ht="46.5" customHeight="1">
      <c r="C658" s="35"/>
      <c r="D658" s="874"/>
      <c r="J658" s="875"/>
      <c r="N658" s="876"/>
    </row>
    <row r="659" ht="46.5" customHeight="1">
      <c r="C659" s="35"/>
      <c r="D659" s="874"/>
      <c r="J659" s="875"/>
      <c r="N659" s="876"/>
    </row>
    <row r="660" ht="46.5" customHeight="1">
      <c r="C660" s="35"/>
      <c r="D660" s="874"/>
      <c r="J660" s="875"/>
      <c r="N660" s="876"/>
    </row>
    <row r="661" ht="46.5" customHeight="1">
      <c r="C661" s="35"/>
      <c r="D661" s="874"/>
      <c r="J661" s="875"/>
      <c r="N661" s="876"/>
    </row>
    <row r="662" ht="46.5" customHeight="1">
      <c r="C662" s="35"/>
      <c r="D662" s="874"/>
      <c r="J662" s="875"/>
      <c r="N662" s="876"/>
    </row>
    <row r="663" ht="46.5" customHeight="1">
      <c r="C663" s="35"/>
      <c r="D663" s="874"/>
      <c r="J663" s="875"/>
      <c r="N663" s="876"/>
    </row>
    <row r="664" ht="46.5" customHeight="1">
      <c r="C664" s="35"/>
      <c r="D664" s="874"/>
      <c r="J664" s="875"/>
      <c r="N664" s="876"/>
    </row>
    <row r="665" ht="46.5" customHeight="1">
      <c r="C665" s="35"/>
      <c r="D665" s="874"/>
      <c r="J665" s="875"/>
      <c r="N665" s="876"/>
    </row>
    <row r="666" ht="46.5" customHeight="1">
      <c r="C666" s="35"/>
      <c r="D666" s="874"/>
      <c r="J666" s="875"/>
      <c r="N666" s="876"/>
    </row>
    <row r="667" ht="46.5" customHeight="1">
      <c r="C667" s="35"/>
      <c r="D667" s="874"/>
      <c r="J667" s="875"/>
      <c r="N667" s="876"/>
    </row>
    <row r="668" ht="46.5" customHeight="1">
      <c r="C668" s="35"/>
      <c r="D668" s="874"/>
      <c r="J668" s="875"/>
      <c r="N668" s="876"/>
    </row>
    <row r="669" ht="46.5" customHeight="1">
      <c r="C669" s="35"/>
      <c r="D669" s="874"/>
      <c r="J669" s="875"/>
      <c r="N669" s="876"/>
    </row>
    <row r="670" ht="46.5" customHeight="1">
      <c r="C670" s="35"/>
      <c r="D670" s="874"/>
      <c r="J670" s="875"/>
      <c r="N670" s="876"/>
    </row>
    <row r="671" ht="46.5" customHeight="1">
      <c r="C671" s="35"/>
      <c r="D671" s="874"/>
      <c r="J671" s="875"/>
      <c r="N671" s="876"/>
    </row>
    <row r="672" ht="46.5" customHeight="1">
      <c r="C672" s="35"/>
      <c r="D672" s="874"/>
      <c r="J672" s="875"/>
      <c r="N672" s="876"/>
    </row>
    <row r="673" ht="46.5" customHeight="1">
      <c r="C673" s="35"/>
      <c r="D673" s="874"/>
      <c r="J673" s="875"/>
      <c r="N673" s="876"/>
    </row>
    <row r="674" ht="46.5" customHeight="1">
      <c r="C674" s="35"/>
      <c r="D674" s="874"/>
      <c r="J674" s="875"/>
      <c r="N674" s="876"/>
    </row>
    <row r="675" ht="46.5" customHeight="1">
      <c r="C675" s="35"/>
      <c r="D675" s="874"/>
      <c r="J675" s="875"/>
      <c r="N675" s="876"/>
    </row>
    <row r="676" ht="46.5" customHeight="1">
      <c r="C676" s="35"/>
      <c r="D676" s="874"/>
      <c r="J676" s="875"/>
      <c r="N676" s="876"/>
    </row>
    <row r="677" ht="46.5" customHeight="1">
      <c r="C677" s="35"/>
      <c r="D677" s="874"/>
      <c r="J677" s="875"/>
      <c r="N677" s="876"/>
    </row>
    <row r="678" ht="46.5" customHeight="1">
      <c r="C678" s="35"/>
      <c r="D678" s="874"/>
      <c r="J678" s="875"/>
      <c r="N678" s="876"/>
    </row>
    <row r="679" ht="46.5" customHeight="1">
      <c r="C679" s="35"/>
      <c r="D679" s="874"/>
      <c r="J679" s="875"/>
      <c r="N679" s="876"/>
    </row>
    <row r="680" ht="46.5" customHeight="1">
      <c r="C680" s="35"/>
      <c r="D680" s="874"/>
      <c r="J680" s="875"/>
      <c r="N680" s="876"/>
    </row>
    <row r="681" ht="46.5" customHeight="1">
      <c r="C681" s="35"/>
      <c r="D681" s="874"/>
      <c r="J681" s="875"/>
      <c r="N681" s="876"/>
    </row>
    <row r="682" ht="46.5" customHeight="1">
      <c r="C682" s="35"/>
      <c r="D682" s="874"/>
      <c r="J682" s="875"/>
      <c r="N682" s="876"/>
    </row>
    <row r="683" ht="46.5" customHeight="1">
      <c r="C683" s="35"/>
      <c r="D683" s="874"/>
      <c r="J683" s="875"/>
      <c r="N683" s="876"/>
    </row>
    <row r="684" ht="46.5" customHeight="1">
      <c r="C684" s="35"/>
      <c r="D684" s="874"/>
      <c r="J684" s="875"/>
      <c r="N684" s="876"/>
    </row>
    <row r="685" ht="46.5" customHeight="1">
      <c r="C685" s="35"/>
      <c r="D685" s="874"/>
      <c r="J685" s="875"/>
      <c r="N685" s="876"/>
    </row>
    <row r="686" ht="46.5" customHeight="1">
      <c r="C686" s="35"/>
      <c r="D686" s="874"/>
      <c r="J686" s="875"/>
      <c r="N686" s="876"/>
    </row>
    <row r="687" ht="46.5" customHeight="1">
      <c r="C687" s="35"/>
      <c r="D687" s="874"/>
      <c r="J687" s="875"/>
      <c r="N687" s="876"/>
    </row>
    <row r="688" ht="46.5" customHeight="1">
      <c r="C688" s="35"/>
      <c r="D688" s="874"/>
      <c r="J688" s="875"/>
      <c r="N688" s="876"/>
    </row>
    <row r="689" ht="46.5" customHeight="1">
      <c r="C689" s="35"/>
      <c r="D689" s="874"/>
      <c r="J689" s="875"/>
      <c r="N689" s="876"/>
    </row>
    <row r="690" ht="46.5" customHeight="1">
      <c r="C690" s="35"/>
      <c r="D690" s="874"/>
      <c r="J690" s="875"/>
      <c r="N690" s="876"/>
    </row>
    <row r="691" ht="46.5" customHeight="1">
      <c r="C691" s="35"/>
      <c r="D691" s="874"/>
      <c r="J691" s="875"/>
      <c r="N691" s="876"/>
    </row>
    <row r="692" ht="46.5" customHeight="1">
      <c r="C692" s="35"/>
      <c r="D692" s="874"/>
      <c r="J692" s="875"/>
      <c r="N692" s="876"/>
    </row>
    <row r="693" ht="46.5" customHeight="1">
      <c r="C693" s="35"/>
      <c r="D693" s="874"/>
      <c r="J693" s="875"/>
      <c r="N693" s="876"/>
    </row>
    <row r="694" ht="46.5" customHeight="1">
      <c r="C694" s="35"/>
      <c r="D694" s="874"/>
      <c r="J694" s="875"/>
      <c r="N694" s="876"/>
    </row>
    <row r="695" ht="46.5" customHeight="1">
      <c r="C695" s="35"/>
      <c r="D695" s="874"/>
      <c r="J695" s="875"/>
      <c r="N695" s="876"/>
    </row>
    <row r="696" ht="46.5" customHeight="1">
      <c r="C696" s="35"/>
      <c r="D696" s="874"/>
      <c r="J696" s="875"/>
      <c r="N696" s="876"/>
    </row>
    <row r="697" ht="46.5" customHeight="1">
      <c r="C697" s="35"/>
      <c r="D697" s="874"/>
      <c r="J697" s="875"/>
      <c r="N697" s="876"/>
    </row>
    <row r="698" ht="46.5" customHeight="1">
      <c r="C698" s="35"/>
      <c r="D698" s="874"/>
      <c r="J698" s="875"/>
      <c r="N698" s="876"/>
    </row>
    <row r="699" ht="46.5" customHeight="1">
      <c r="C699" s="35"/>
      <c r="D699" s="874"/>
      <c r="J699" s="875"/>
      <c r="N699" s="876"/>
    </row>
    <row r="700" ht="46.5" customHeight="1">
      <c r="C700" s="35"/>
      <c r="D700" s="874"/>
      <c r="J700" s="875"/>
      <c r="N700" s="876"/>
    </row>
    <row r="701" ht="46.5" customHeight="1">
      <c r="C701" s="35"/>
      <c r="D701" s="874"/>
      <c r="J701" s="875"/>
      <c r="N701" s="876"/>
    </row>
    <row r="702" ht="46.5" customHeight="1">
      <c r="C702" s="35"/>
      <c r="D702" s="874"/>
      <c r="J702" s="875"/>
      <c r="N702" s="876"/>
    </row>
    <row r="703" ht="46.5" customHeight="1">
      <c r="C703" s="35"/>
      <c r="D703" s="874"/>
      <c r="J703" s="875"/>
      <c r="N703" s="876"/>
    </row>
    <row r="704" ht="46.5" customHeight="1">
      <c r="C704" s="35"/>
      <c r="D704" s="874"/>
      <c r="J704" s="875"/>
      <c r="N704" s="876"/>
    </row>
    <row r="705" ht="46.5" customHeight="1">
      <c r="C705" s="35"/>
      <c r="D705" s="874"/>
      <c r="J705" s="875"/>
      <c r="N705" s="876"/>
    </row>
    <row r="706" ht="46.5" customHeight="1">
      <c r="C706" s="35"/>
      <c r="D706" s="874"/>
      <c r="J706" s="875"/>
      <c r="N706" s="876"/>
    </row>
    <row r="707" ht="46.5" customHeight="1">
      <c r="C707" s="35"/>
      <c r="D707" s="874"/>
      <c r="J707" s="875"/>
      <c r="N707" s="876"/>
    </row>
    <row r="708" ht="46.5" customHeight="1">
      <c r="C708" s="35"/>
      <c r="D708" s="874"/>
      <c r="J708" s="875"/>
      <c r="N708" s="876"/>
    </row>
    <row r="709" ht="46.5" customHeight="1">
      <c r="C709" s="35"/>
      <c r="D709" s="874"/>
      <c r="J709" s="875"/>
      <c r="N709" s="876"/>
    </row>
    <row r="710" ht="46.5" customHeight="1">
      <c r="C710" s="35"/>
      <c r="D710" s="874"/>
      <c r="J710" s="875"/>
      <c r="N710" s="876"/>
    </row>
    <row r="711" ht="46.5" customHeight="1">
      <c r="C711" s="35"/>
      <c r="D711" s="874"/>
      <c r="J711" s="875"/>
      <c r="N711" s="876"/>
    </row>
    <row r="712" ht="46.5" customHeight="1">
      <c r="C712" s="35"/>
      <c r="D712" s="874"/>
      <c r="J712" s="875"/>
      <c r="N712" s="876"/>
    </row>
    <row r="713" ht="46.5" customHeight="1">
      <c r="C713" s="35"/>
      <c r="D713" s="874"/>
      <c r="J713" s="875"/>
      <c r="N713" s="876"/>
    </row>
    <row r="714" ht="46.5" customHeight="1">
      <c r="C714" s="35"/>
      <c r="D714" s="874"/>
      <c r="J714" s="875"/>
      <c r="N714" s="876"/>
    </row>
    <row r="715" ht="46.5" customHeight="1">
      <c r="C715" s="35"/>
      <c r="D715" s="874"/>
      <c r="J715" s="875"/>
      <c r="N715" s="876"/>
    </row>
    <row r="716" ht="46.5" customHeight="1">
      <c r="C716" s="35"/>
      <c r="D716" s="874"/>
      <c r="J716" s="875"/>
      <c r="N716" s="876"/>
    </row>
    <row r="717" ht="46.5" customHeight="1">
      <c r="C717" s="35"/>
      <c r="D717" s="874"/>
      <c r="J717" s="875"/>
      <c r="N717" s="876"/>
    </row>
    <row r="718" ht="46.5" customHeight="1">
      <c r="C718" s="35"/>
      <c r="D718" s="874"/>
      <c r="J718" s="875"/>
      <c r="N718" s="876"/>
    </row>
    <row r="719" ht="46.5" customHeight="1">
      <c r="C719" s="35"/>
      <c r="D719" s="874"/>
      <c r="J719" s="875"/>
      <c r="N719" s="876"/>
    </row>
    <row r="720" ht="46.5" customHeight="1">
      <c r="C720" s="35"/>
      <c r="D720" s="874"/>
      <c r="J720" s="875"/>
      <c r="N720" s="876"/>
    </row>
    <row r="721" ht="46.5" customHeight="1">
      <c r="C721" s="35"/>
      <c r="D721" s="874"/>
      <c r="J721" s="875"/>
      <c r="N721" s="876"/>
    </row>
    <row r="722" ht="46.5" customHeight="1">
      <c r="C722" s="35"/>
      <c r="D722" s="874"/>
      <c r="J722" s="875"/>
      <c r="N722" s="876"/>
    </row>
    <row r="723" ht="46.5" customHeight="1">
      <c r="C723" s="35"/>
      <c r="D723" s="874"/>
      <c r="J723" s="875"/>
      <c r="N723" s="876"/>
    </row>
    <row r="724" ht="46.5" customHeight="1">
      <c r="C724" s="35"/>
      <c r="D724" s="874"/>
      <c r="J724" s="875"/>
      <c r="N724" s="876"/>
    </row>
    <row r="725" ht="46.5" customHeight="1">
      <c r="C725" s="35"/>
      <c r="D725" s="874"/>
      <c r="J725" s="875"/>
      <c r="N725" s="876"/>
    </row>
    <row r="726" ht="46.5" customHeight="1">
      <c r="C726" s="35"/>
      <c r="D726" s="874"/>
      <c r="J726" s="875"/>
      <c r="N726" s="876"/>
    </row>
    <row r="727" ht="46.5" customHeight="1">
      <c r="C727" s="35"/>
      <c r="D727" s="874"/>
      <c r="J727" s="875"/>
      <c r="N727" s="876"/>
    </row>
    <row r="728" ht="46.5" customHeight="1">
      <c r="C728" s="35"/>
      <c r="D728" s="874"/>
      <c r="J728" s="875"/>
      <c r="N728" s="876"/>
    </row>
    <row r="729" ht="46.5" customHeight="1">
      <c r="C729" s="35"/>
      <c r="D729" s="874"/>
      <c r="J729" s="875"/>
      <c r="N729" s="876"/>
    </row>
    <row r="730" ht="46.5" customHeight="1">
      <c r="C730" s="35"/>
      <c r="D730" s="874"/>
      <c r="J730" s="875"/>
      <c r="N730" s="876"/>
    </row>
    <row r="731" ht="46.5" customHeight="1">
      <c r="C731" s="35"/>
      <c r="D731" s="874"/>
      <c r="J731" s="875"/>
      <c r="N731" s="876"/>
    </row>
    <row r="732" ht="46.5" customHeight="1">
      <c r="C732" s="35"/>
      <c r="D732" s="874"/>
      <c r="J732" s="875"/>
      <c r="N732" s="876"/>
    </row>
    <row r="733" ht="46.5" customHeight="1">
      <c r="C733" s="35"/>
      <c r="D733" s="874"/>
      <c r="J733" s="875"/>
      <c r="N733" s="876"/>
    </row>
    <row r="734" ht="46.5" customHeight="1">
      <c r="C734" s="35"/>
      <c r="D734" s="874"/>
      <c r="J734" s="875"/>
      <c r="N734" s="876"/>
    </row>
    <row r="735" ht="46.5" customHeight="1">
      <c r="C735" s="35"/>
      <c r="D735" s="874"/>
      <c r="J735" s="875"/>
      <c r="N735" s="876"/>
    </row>
    <row r="736" ht="46.5" customHeight="1">
      <c r="C736" s="35"/>
      <c r="D736" s="874"/>
      <c r="J736" s="875"/>
      <c r="N736" s="876"/>
    </row>
    <row r="737" ht="46.5" customHeight="1">
      <c r="C737" s="35"/>
      <c r="D737" s="874"/>
      <c r="J737" s="875"/>
      <c r="N737" s="876"/>
    </row>
    <row r="738" ht="46.5" customHeight="1">
      <c r="C738" s="35"/>
      <c r="D738" s="874"/>
      <c r="J738" s="875"/>
      <c r="N738" s="876"/>
    </row>
    <row r="739" ht="46.5" customHeight="1">
      <c r="C739" s="35"/>
      <c r="D739" s="874"/>
      <c r="J739" s="875"/>
      <c r="N739" s="876"/>
    </row>
    <row r="740" ht="46.5" customHeight="1">
      <c r="C740" s="35"/>
      <c r="D740" s="874"/>
      <c r="J740" s="875"/>
      <c r="N740" s="876"/>
    </row>
    <row r="741" ht="46.5" customHeight="1">
      <c r="C741" s="35"/>
      <c r="D741" s="874"/>
      <c r="J741" s="875"/>
      <c r="N741" s="876"/>
    </row>
    <row r="742" ht="46.5" customHeight="1">
      <c r="C742" s="35"/>
      <c r="D742" s="874"/>
      <c r="J742" s="875"/>
      <c r="N742" s="876"/>
    </row>
    <row r="743" ht="46.5" customHeight="1">
      <c r="C743" s="35"/>
      <c r="D743" s="874"/>
      <c r="J743" s="875"/>
      <c r="N743" s="876"/>
    </row>
    <row r="744" ht="46.5" customHeight="1">
      <c r="C744" s="35"/>
      <c r="D744" s="874"/>
      <c r="J744" s="875"/>
      <c r="N744" s="876"/>
    </row>
    <row r="745" ht="46.5" customHeight="1">
      <c r="C745" s="35"/>
      <c r="D745" s="874"/>
      <c r="J745" s="875"/>
      <c r="N745" s="876"/>
    </row>
    <row r="746" ht="46.5" customHeight="1">
      <c r="C746" s="35"/>
      <c r="D746" s="874"/>
      <c r="J746" s="875"/>
      <c r="N746" s="876"/>
    </row>
    <row r="747" ht="46.5" customHeight="1">
      <c r="C747" s="35"/>
      <c r="D747" s="874"/>
      <c r="J747" s="875"/>
      <c r="N747" s="876"/>
    </row>
    <row r="748" ht="46.5" customHeight="1">
      <c r="C748" s="35"/>
      <c r="D748" s="874"/>
      <c r="J748" s="875"/>
      <c r="N748" s="876"/>
    </row>
    <row r="749" ht="46.5" customHeight="1">
      <c r="C749" s="35"/>
      <c r="D749" s="874"/>
      <c r="J749" s="875"/>
      <c r="N749" s="876"/>
    </row>
    <row r="750" ht="46.5" customHeight="1">
      <c r="C750" s="35"/>
      <c r="D750" s="874"/>
      <c r="J750" s="875"/>
      <c r="N750" s="876"/>
    </row>
    <row r="751" ht="46.5" customHeight="1">
      <c r="C751" s="35"/>
      <c r="D751" s="874"/>
      <c r="J751" s="875"/>
      <c r="N751" s="876"/>
    </row>
    <row r="752" ht="46.5" customHeight="1">
      <c r="C752" s="35"/>
      <c r="D752" s="874"/>
      <c r="J752" s="875"/>
      <c r="N752" s="876"/>
    </row>
    <row r="753" ht="46.5" customHeight="1">
      <c r="C753" s="35"/>
      <c r="D753" s="874"/>
      <c r="J753" s="875"/>
      <c r="N753" s="876"/>
    </row>
    <row r="754" ht="46.5" customHeight="1">
      <c r="C754" s="35"/>
      <c r="D754" s="874"/>
      <c r="J754" s="875"/>
      <c r="N754" s="876"/>
    </row>
    <row r="755" ht="46.5" customHeight="1">
      <c r="C755" s="35"/>
      <c r="D755" s="874"/>
      <c r="J755" s="875"/>
      <c r="N755" s="876"/>
    </row>
    <row r="756" ht="46.5" customHeight="1">
      <c r="C756" s="35"/>
      <c r="D756" s="874"/>
      <c r="J756" s="875"/>
      <c r="N756" s="876"/>
    </row>
    <row r="757" ht="46.5" customHeight="1">
      <c r="C757" s="35"/>
      <c r="D757" s="874"/>
      <c r="J757" s="875"/>
      <c r="N757" s="876"/>
    </row>
    <row r="758" ht="46.5" customHeight="1">
      <c r="C758" s="35"/>
      <c r="D758" s="874"/>
      <c r="J758" s="875"/>
      <c r="N758" s="876"/>
    </row>
    <row r="759" ht="46.5" customHeight="1">
      <c r="C759" s="35"/>
      <c r="D759" s="874"/>
      <c r="J759" s="875"/>
      <c r="N759" s="876"/>
    </row>
    <row r="760" ht="46.5" customHeight="1">
      <c r="C760" s="35"/>
      <c r="D760" s="874"/>
      <c r="J760" s="875"/>
      <c r="N760" s="876"/>
    </row>
    <row r="761" ht="46.5" customHeight="1">
      <c r="C761" s="35"/>
      <c r="D761" s="874"/>
      <c r="J761" s="875"/>
      <c r="N761" s="876"/>
    </row>
    <row r="762" ht="46.5" customHeight="1">
      <c r="C762" s="35"/>
      <c r="D762" s="874"/>
      <c r="J762" s="875"/>
      <c r="N762" s="876"/>
    </row>
    <row r="763" ht="46.5" customHeight="1">
      <c r="C763" s="35"/>
      <c r="D763" s="874"/>
      <c r="J763" s="875"/>
      <c r="N763" s="876"/>
    </row>
    <row r="764" ht="46.5" customHeight="1">
      <c r="C764" s="35"/>
      <c r="D764" s="874"/>
      <c r="J764" s="875"/>
      <c r="N764" s="876"/>
    </row>
    <row r="765" ht="46.5" customHeight="1">
      <c r="C765" s="35"/>
      <c r="D765" s="874"/>
      <c r="J765" s="875"/>
      <c r="N765" s="876"/>
    </row>
    <row r="766" ht="46.5" customHeight="1">
      <c r="C766" s="35"/>
      <c r="D766" s="874"/>
      <c r="J766" s="875"/>
      <c r="N766" s="876"/>
    </row>
    <row r="767" ht="46.5" customHeight="1">
      <c r="C767" s="35"/>
      <c r="D767" s="874"/>
      <c r="J767" s="875"/>
      <c r="N767" s="876"/>
    </row>
    <row r="768" ht="46.5" customHeight="1">
      <c r="C768" s="35"/>
      <c r="D768" s="874"/>
      <c r="J768" s="875"/>
      <c r="N768" s="876"/>
    </row>
    <row r="769" ht="46.5" customHeight="1">
      <c r="C769" s="35"/>
      <c r="D769" s="874"/>
      <c r="J769" s="875"/>
      <c r="N769" s="876"/>
    </row>
    <row r="770" ht="46.5" customHeight="1">
      <c r="C770" s="35"/>
      <c r="D770" s="874"/>
      <c r="J770" s="875"/>
      <c r="N770" s="876"/>
    </row>
    <row r="771" ht="46.5" customHeight="1">
      <c r="C771" s="35"/>
      <c r="D771" s="874"/>
      <c r="J771" s="875"/>
      <c r="N771" s="876"/>
    </row>
    <row r="772" ht="46.5" customHeight="1">
      <c r="C772" s="35"/>
      <c r="D772" s="874"/>
      <c r="J772" s="875"/>
      <c r="N772" s="876"/>
    </row>
    <row r="773" ht="46.5" customHeight="1">
      <c r="C773" s="35"/>
      <c r="D773" s="874"/>
      <c r="J773" s="875"/>
      <c r="N773" s="876"/>
    </row>
    <row r="774" ht="46.5" customHeight="1">
      <c r="C774" s="35"/>
      <c r="D774" s="874"/>
      <c r="J774" s="875"/>
      <c r="N774" s="876"/>
    </row>
    <row r="775" ht="46.5" customHeight="1">
      <c r="C775" s="35"/>
      <c r="D775" s="874"/>
      <c r="J775" s="875"/>
      <c r="N775" s="876"/>
    </row>
    <row r="776" ht="46.5" customHeight="1">
      <c r="C776" s="35"/>
      <c r="D776" s="874"/>
      <c r="J776" s="875"/>
      <c r="N776" s="876"/>
    </row>
    <row r="777" ht="46.5" customHeight="1">
      <c r="C777" s="35"/>
      <c r="D777" s="874"/>
      <c r="J777" s="875"/>
      <c r="N777" s="876"/>
    </row>
    <row r="778" ht="46.5" customHeight="1">
      <c r="C778" s="35"/>
      <c r="D778" s="874"/>
      <c r="J778" s="875"/>
      <c r="N778" s="876"/>
    </row>
    <row r="779" ht="46.5" customHeight="1">
      <c r="C779" s="35"/>
      <c r="D779" s="874"/>
      <c r="J779" s="875"/>
      <c r="N779" s="876"/>
    </row>
    <row r="780" ht="46.5" customHeight="1">
      <c r="C780" s="35"/>
      <c r="D780" s="874"/>
      <c r="J780" s="875"/>
      <c r="N780" s="876"/>
    </row>
    <row r="781" ht="46.5" customHeight="1">
      <c r="C781" s="35"/>
      <c r="D781" s="874"/>
      <c r="J781" s="875"/>
      <c r="N781" s="876"/>
    </row>
    <row r="782" ht="46.5" customHeight="1">
      <c r="C782" s="35"/>
      <c r="D782" s="874"/>
      <c r="J782" s="875"/>
      <c r="N782" s="876"/>
    </row>
    <row r="783" ht="46.5" customHeight="1">
      <c r="C783" s="35"/>
      <c r="D783" s="874"/>
      <c r="J783" s="875"/>
      <c r="N783" s="876"/>
    </row>
    <row r="784" ht="46.5" customHeight="1">
      <c r="C784" s="35"/>
      <c r="D784" s="874"/>
      <c r="J784" s="875"/>
      <c r="N784" s="876"/>
    </row>
    <row r="785" ht="46.5" customHeight="1">
      <c r="C785" s="35"/>
      <c r="D785" s="874"/>
      <c r="J785" s="875"/>
      <c r="N785" s="876"/>
    </row>
    <row r="786" ht="46.5" customHeight="1">
      <c r="C786" s="35"/>
      <c r="D786" s="874"/>
      <c r="J786" s="875"/>
      <c r="N786" s="876"/>
    </row>
    <row r="787" ht="46.5" customHeight="1">
      <c r="C787" s="35"/>
      <c r="D787" s="874"/>
      <c r="J787" s="875"/>
      <c r="N787" s="876"/>
    </row>
    <row r="788" ht="46.5" customHeight="1">
      <c r="C788" s="35"/>
      <c r="D788" s="874"/>
      <c r="J788" s="875"/>
      <c r="N788" s="876"/>
    </row>
    <row r="789" ht="46.5" customHeight="1">
      <c r="C789" s="35"/>
      <c r="D789" s="874"/>
      <c r="J789" s="875"/>
      <c r="N789" s="876"/>
    </row>
    <row r="790" ht="46.5" customHeight="1">
      <c r="C790" s="35"/>
      <c r="D790" s="874"/>
      <c r="J790" s="875"/>
      <c r="N790" s="876"/>
    </row>
    <row r="791" ht="46.5" customHeight="1">
      <c r="C791" s="35"/>
      <c r="D791" s="874"/>
      <c r="J791" s="875"/>
      <c r="N791" s="876"/>
    </row>
    <row r="792" ht="46.5" customHeight="1">
      <c r="C792" s="35"/>
      <c r="D792" s="874"/>
      <c r="J792" s="875"/>
      <c r="N792" s="876"/>
    </row>
    <row r="793" ht="46.5" customHeight="1">
      <c r="C793" s="35"/>
      <c r="D793" s="874"/>
      <c r="J793" s="875"/>
      <c r="N793" s="876"/>
    </row>
    <row r="794" ht="46.5" customHeight="1">
      <c r="C794" s="35"/>
      <c r="D794" s="874"/>
      <c r="J794" s="875"/>
      <c r="N794" s="876"/>
    </row>
    <row r="795" ht="46.5" customHeight="1">
      <c r="C795" s="35"/>
      <c r="D795" s="874"/>
      <c r="J795" s="875"/>
      <c r="N795" s="876"/>
    </row>
    <row r="796" ht="46.5" customHeight="1">
      <c r="C796" s="35"/>
      <c r="D796" s="874"/>
      <c r="J796" s="875"/>
      <c r="N796" s="876"/>
    </row>
    <row r="797" ht="46.5" customHeight="1">
      <c r="C797" s="35"/>
      <c r="D797" s="874"/>
      <c r="J797" s="875"/>
      <c r="N797" s="876"/>
    </row>
    <row r="798" ht="46.5" customHeight="1">
      <c r="C798" s="35"/>
      <c r="D798" s="874"/>
      <c r="J798" s="875"/>
      <c r="N798" s="876"/>
    </row>
    <row r="799" ht="46.5" customHeight="1">
      <c r="C799" s="35"/>
      <c r="D799" s="874"/>
      <c r="J799" s="875"/>
      <c r="N799" s="876"/>
    </row>
    <row r="800" ht="46.5" customHeight="1">
      <c r="C800" s="35"/>
      <c r="D800" s="874"/>
      <c r="J800" s="875"/>
      <c r="N800" s="876"/>
    </row>
    <row r="801" ht="46.5" customHeight="1">
      <c r="C801" s="35"/>
      <c r="D801" s="874"/>
      <c r="J801" s="875"/>
      <c r="N801" s="876"/>
    </row>
    <row r="802" ht="46.5" customHeight="1">
      <c r="C802" s="35"/>
      <c r="D802" s="874"/>
      <c r="J802" s="875"/>
      <c r="N802" s="876"/>
    </row>
    <row r="803" ht="46.5" customHeight="1">
      <c r="C803" s="35"/>
      <c r="D803" s="874"/>
      <c r="J803" s="875"/>
      <c r="N803" s="876"/>
    </row>
    <row r="804" ht="46.5" customHeight="1">
      <c r="C804" s="35"/>
      <c r="D804" s="874"/>
      <c r="J804" s="875"/>
      <c r="N804" s="876"/>
    </row>
    <row r="805" ht="46.5" customHeight="1">
      <c r="C805" s="35"/>
      <c r="D805" s="874"/>
      <c r="J805" s="875"/>
      <c r="N805" s="876"/>
    </row>
    <row r="806" ht="46.5" customHeight="1">
      <c r="C806" s="35"/>
      <c r="D806" s="874"/>
      <c r="J806" s="875"/>
      <c r="N806" s="876"/>
    </row>
    <row r="807" ht="46.5" customHeight="1">
      <c r="C807" s="35"/>
      <c r="D807" s="874"/>
      <c r="J807" s="875"/>
      <c r="N807" s="876"/>
    </row>
    <row r="808" ht="46.5" customHeight="1">
      <c r="C808" s="35"/>
      <c r="D808" s="874"/>
      <c r="J808" s="875"/>
      <c r="N808" s="876"/>
    </row>
    <row r="809" ht="46.5" customHeight="1">
      <c r="C809" s="35"/>
      <c r="D809" s="874"/>
      <c r="J809" s="875"/>
      <c r="N809" s="876"/>
    </row>
    <row r="810" ht="46.5" customHeight="1">
      <c r="C810" s="35"/>
      <c r="D810" s="874"/>
      <c r="J810" s="875"/>
      <c r="N810" s="876"/>
    </row>
    <row r="811" ht="46.5" customHeight="1">
      <c r="C811" s="35"/>
      <c r="D811" s="874"/>
      <c r="J811" s="875"/>
      <c r="N811" s="876"/>
    </row>
    <row r="812" ht="46.5" customHeight="1">
      <c r="C812" s="35"/>
      <c r="D812" s="874"/>
      <c r="J812" s="875"/>
      <c r="N812" s="876"/>
    </row>
    <row r="813" ht="46.5" customHeight="1">
      <c r="C813" s="35"/>
      <c r="D813" s="874"/>
      <c r="J813" s="875"/>
      <c r="N813" s="876"/>
    </row>
    <row r="814" ht="46.5" customHeight="1">
      <c r="C814" s="35"/>
      <c r="D814" s="874"/>
      <c r="J814" s="875"/>
      <c r="N814" s="876"/>
    </row>
    <row r="815" ht="46.5" customHeight="1">
      <c r="C815" s="35"/>
      <c r="D815" s="874"/>
      <c r="J815" s="875"/>
      <c r="N815" s="876"/>
    </row>
    <row r="816" ht="46.5" customHeight="1">
      <c r="C816" s="35"/>
      <c r="D816" s="874"/>
      <c r="J816" s="875"/>
      <c r="N816" s="876"/>
    </row>
    <row r="817" ht="46.5" customHeight="1">
      <c r="C817" s="35"/>
      <c r="D817" s="874"/>
      <c r="J817" s="875"/>
      <c r="N817" s="876"/>
    </row>
    <row r="818" ht="46.5" customHeight="1">
      <c r="C818" s="35"/>
      <c r="D818" s="874"/>
      <c r="J818" s="875"/>
      <c r="N818" s="876"/>
    </row>
    <row r="819" ht="46.5" customHeight="1">
      <c r="C819" s="35"/>
      <c r="D819" s="874"/>
      <c r="J819" s="875"/>
      <c r="N819" s="876"/>
    </row>
    <row r="820" ht="46.5" customHeight="1">
      <c r="C820" s="35"/>
      <c r="D820" s="874"/>
      <c r="J820" s="875"/>
      <c r="N820" s="876"/>
    </row>
    <row r="821" ht="46.5" customHeight="1">
      <c r="C821" s="35"/>
      <c r="D821" s="874"/>
      <c r="J821" s="875"/>
      <c r="N821" s="876"/>
    </row>
    <row r="822" ht="46.5" customHeight="1">
      <c r="C822" s="35"/>
      <c r="D822" s="874"/>
      <c r="J822" s="875"/>
      <c r="N822" s="876"/>
    </row>
    <row r="823" ht="46.5" customHeight="1">
      <c r="C823" s="35"/>
      <c r="D823" s="874"/>
      <c r="J823" s="875"/>
      <c r="N823" s="876"/>
    </row>
    <row r="824" ht="46.5" customHeight="1">
      <c r="C824" s="35"/>
      <c r="D824" s="874"/>
      <c r="J824" s="875"/>
      <c r="N824" s="876"/>
    </row>
    <row r="825" ht="46.5" customHeight="1">
      <c r="C825" s="35"/>
      <c r="D825" s="874"/>
      <c r="J825" s="875"/>
      <c r="N825" s="876"/>
    </row>
    <row r="826" ht="46.5" customHeight="1">
      <c r="C826" s="35"/>
      <c r="D826" s="874"/>
      <c r="J826" s="875"/>
      <c r="N826" s="876"/>
    </row>
    <row r="827" ht="46.5" customHeight="1">
      <c r="C827" s="35"/>
      <c r="D827" s="874"/>
      <c r="J827" s="875"/>
      <c r="N827" s="876"/>
    </row>
    <row r="828" ht="46.5" customHeight="1">
      <c r="C828" s="35"/>
      <c r="D828" s="874"/>
      <c r="J828" s="875"/>
      <c r="N828" s="876"/>
    </row>
    <row r="829" ht="46.5" customHeight="1">
      <c r="C829" s="35"/>
      <c r="D829" s="874"/>
      <c r="J829" s="875"/>
      <c r="N829" s="876"/>
    </row>
    <row r="830" ht="46.5" customHeight="1">
      <c r="C830" s="35"/>
      <c r="D830" s="874"/>
      <c r="J830" s="875"/>
      <c r="N830" s="876"/>
    </row>
    <row r="831" ht="46.5" customHeight="1">
      <c r="C831" s="35"/>
      <c r="D831" s="874"/>
      <c r="J831" s="875"/>
      <c r="N831" s="876"/>
    </row>
    <row r="832" ht="46.5" customHeight="1">
      <c r="C832" s="35"/>
      <c r="D832" s="874"/>
      <c r="J832" s="875"/>
      <c r="N832" s="876"/>
    </row>
    <row r="833" ht="46.5" customHeight="1">
      <c r="C833" s="35"/>
      <c r="D833" s="874"/>
      <c r="J833" s="875"/>
      <c r="N833" s="876"/>
    </row>
    <row r="834" ht="46.5" customHeight="1">
      <c r="C834" s="35"/>
      <c r="D834" s="874"/>
      <c r="J834" s="875"/>
      <c r="N834" s="876"/>
    </row>
    <row r="835" ht="46.5" customHeight="1">
      <c r="C835" s="35"/>
      <c r="D835" s="874"/>
      <c r="J835" s="875"/>
      <c r="N835" s="876"/>
    </row>
    <row r="836" ht="46.5" customHeight="1">
      <c r="C836" s="35"/>
      <c r="D836" s="874"/>
      <c r="J836" s="875"/>
      <c r="N836" s="876"/>
    </row>
    <row r="837" ht="46.5" customHeight="1">
      <c r="C837" s="35"/>
      <c r="D837" s="874"/>
      <c r="J837" s="875"/>
      <c r="N837" s="876"/>
    </row>
    <row r="838" ht="46.5" customHeight="1">
      <c r="C838" s="35"/>
      <c r="D838" s="874"/>
      <c r="J838" s="875"/>
      <c r="N838" s="876"/>
    </row>
    <row r="839" ht="46.5" customHeight="1">
      <c r="C839" s="35"/>
      <c r="D839" s="874"/>
      <c r="J839" s="875"/>
      <c r="N839" s="876"/>
    </row>
    <row r="840" ht="46.5" customHeight="1">
      <c r="C840" s="35"/>
      <c r="D840" s="874"/>
      <c r="J840" s="875"/>
      <c r="N840" s="876"/>
    </row>
    <row r="841" ht="46.5" customHeight="1">
      <c r="C841" s="35"/>
      <c r="D841" s="874"/>
      <c r="J841" s="875"/>
      <c r="N841" s="876"/>
    </row>
    <row r="842" ht="46.5" customHeight="1">
      <c r="C842" s="35"/>
      <c r="D842" s="874"/>
      <c r="J842" s="875"/>
      <c r="N842" s="876"/>
    </row>
    <row r="843" ht="46.5" customHeight="1">
      <c r="C843" s="35"/>
      <c r="D843" s="874"/>
      <c r="J843" s="875"/>
      <c r="N843" s="876"/>
    </row>
    <row r="844" ht="46.5" customHeight="1">
      <c r="C844" s="35"/>
      <c r="D844" s="874"/>
      <c r="J844" s="875"/>
      <c r="N844" s="876"/>
    </row>
    <row r="845" ht="46.5" customHeight="1">
      <c r="C845" s="35"/>
      <c r="D845" s="874"/>
      <c r="J845" s="875"/>
      <c r="N845" s="876"/>
    </row>
    <row r="846" ht="46.5" customHeight="1">
      <c r="C846" s="35"/>
      <c r="D846" s="874"/>
      <c r="J846" s="875"/>
      <c r="N846" s="876"/>
    </row>
    <row r="847" ht="46.5" customHeight="1">
      <c r="C847" s="35"/>
      <c r="D847" s="874"/>
      <c r="J847" s="875"/>
      <c r="N847" s="876"/>
    </row>
    <row r="848" ht="46.5" customHeight="1">
      <c r="C848" s="35"/>
      <c r="D848" s="874"/>
      <c r="J848" s="875"/>
      <c r="N848" s="876"/>
    </row>
    <row r="849" ht="46.5" customHeight="1">
      <c r="C849" s="35"/>
      <c r="D849" s="874"/>
      <c r="J849" s="875"/>
      <c r="N849" s="876"/>
    </row>
    <row r="850" ht="46.5" customHeight="1">
      <c r="C850" s="35"/>
      <c r="D850" s="874"/>
      <c r="J850" s="875"/>
      <c r="N850" s="876"/>
    </row>
    <row r="851" ht="46.5" customHeight="1">
      <c r="C851" s="35"/>
      <c r="D851" s="874"/>
      <c r="J851" s="875"/>
      <c r="N851" s="876"/>
    </row>
    <row r="852" ht="46.5" customHeight="1">
      <c r="C852" s="35"/>
      <c r="D852" s="874"/>
      <c r="J852" s="875"/>
      <c r="N852" s="876"/>
    </row>
    <row r="853" ht="46.5" customHeight="1">
      <c r="C853" s="35"/>
      <c r="D853" s="874"/>
      <c r="J853" s="875"/>
      <c r="N853" s="876"/>
    </row>
    <row r="854" ht="46.5" customHeight="1">
      <c r="C854" s="35"/>
      <c r="D854" s="874"/>
      <c r="J854" s="875"/>
      <c r="N854" s="876"/>
    </row>
    <row r="855" ht="46.5" customHeight="1">
      <c r="C855" s="35"/>
      <c r="D855" s="874"/>
      <c r="J855" s="875"/>
      <c r="N855" s="876"/>
    </row>
    <row r="856" ht="46.5" customHeight="1">
      <c r="C856" s="35"/>
      <c r="D856" s="874"/>
      <c r="J856" s="875"/>
      <c r="N856" s="876"/>
    </row>
    <row r="857" ht="46.5" customHeight="1">
      <c r="C857" s="35"/>
      <c r="D857" s="874"/>
      <c r="J857" s="875"/>
      <c r="N857" s="876"/>
    </row>
    <row r="858" ht="46.5" customHeight="1">
      <c r="C858" s="35"/>
      <c r="D858" s="874"/>
      <c r="J858" s="875"/>
      <c r="N858" s="876"/>
    </row>
    <row r="859" ht="46.5" customHeight="1">
      <c r="C859" s="35"/>
      <c r="D859" s="874"/>
      <c r="J859" s="875"/>
      <c r="N859" s="876"/>
    </row>
    <row r="860" ht="46.5" customHeight="1">
      <c r="C860" s="35"/>
      <c r="D860" s="874"/>
      <c r="J860" s="875"/>
      <c r="N860" s="876"/>
    </row>
    <row r="861" ht="46.5" customHeight="1">
      <c r="C861" s="35"/>
      <c r="D861" s="874"/>
      <c r="J861" s="875"/>
      <c r="N861" s="876"/>
    </row>
    <row r="862" ht="46.5" customHeight="1">
      <c r="C862" s="35"/>
      <c r="D862" s="874"/>
      <c r="J862" s="875"/>
      <c r="N862" s="876"/>
    </row>
    <row r="863" ht="46.5" customHeight="1">
      <c r="C863" s="35"/>
      <c r="D863" s="874"/>
      <c r="J863" s="875"/>
      <c r="N863" s="876"/>
    </row>
    <row r="864" ht="46.5" customHeight="1">
      <c r="C864" s="35"/>
      <c r="D864" s="874"/>
      <c r="J864" s="875"/>
      <c r="N864" s="876"/>
    </row>
    <row r="865" ht="46.5" customHeight="1">
      <c r="C865" s="35"/>
      <c r="D865" s="874"/>
      <c r="J865" s="875"/>
      <c r="N865" s="876"/>
    </row>
    <row r="866" ht="46.5" customHeight="1">
      <c r="C866" s="35"/>
      <c r="D866" s="874"/>
      <c r="J866" s="875"/>
      <c r="N866" s="876"/>
    </row>
    <row r="867" ht="46.5" customHeight="1">
      <c r="C867" s="35"/>
      <c r="D867" s="874"/>
      <c r="J867" s="875"/>
      <c r="N867" s="876"/>
    </row>
    <row r="868" ht="46.5" customHeight="1">
      <c r="C868" s="35"/>
      <c r="D868" s="874"/>
      <c r="J868" s="875"/>
      <c r="N868" s="876"/>
    </row>
    <row r="869" ht="46.5" customHeight="1">
      <c r="C869" s="35"/>
      <c r="D869" s="874"/>
      <c r="J869" s="875"/>
      <c r="N869" s="876"/>
    </row>
    <row r="870" ht="46.5" customHeight="1">
      <c r="C870" s="35"/>
      <c r="D870" s="874"/>
      <c r="J870" s="875"/>
      <c r="N870" s="876"/>
    </row>
    <row r="871" ht="46.5" customHeight="1">
      <c r="C871" s="35"/>
      <c r="D871" s="874"/>
      <c r="J871" s="875"/>
      <c r="N871" s="876"/>
    </row>
    <row r="872" ht="46.5" customHeight="1">
      <c r="C872" s="35"/>
      <c r="D872" s="874"/>
      <c r="J872" s="875"/>
      <c r="N872" s="876"/>
    </row>
    <row r="873" ht="46.5" customHeight="1">
      <c r="C873" s="35"/>
      <c r="D873" s="874"/>
      <c r="J873" s="875"/>
      <c r="N873" s="876"/>
    </row>
    <row r="874" ht="46.5" customHeight="1">
      <c r="C874" s="35"/>
      <c r="D874" s="874"/>
      <c r="J874" s="875"/>
      <c r="N874" s="876"/>
    </row>
    <row r="875" ht="46.5" customHeight="1">
      <c r="C875" s="35"/>
      <c r="D875" s="874"/>
      <c r="J875" s="875"/>
      <c r="N875" s="876"/>
    </row>
    <row r="876" ht="46.5" customHeight="1">
      <c r="C876" s="35"/>
      <c r="D876" s="874"/>
      <c r="J876" s="875"/>
      <c r="N876" s="876"/>
    </row>
    <row r="877" ht="46.5" customHeight="1">
      <c r="C877" s="35"/>
      <c r="D877" s="874"/>
      <c r="J877" s="875"/>
      <c r="N877" s="876"/>
    </row>
    <row r="878" ht="46.5" customHeight="1">
      <c r="C878" s="35"/>
      <c r="D878" s="874"/>
      <c r="J878" s="875"/>
      <c r="N878" s="876"/>
    </row>
    <row r="879" ht="46.5" customHeight="1">
      <c r="C879" s="35"/>
      <c r="D879" s="874"/>
      <c r="J879" s="875"/>
      <c r="N879" s="876"/>
    </row>
    <row r="880" ht="46.5" customHeight="1">
      <c r="C880" s="35"/>
      <c r="D880" s="874"/>
      <c r="J880" s="875"/>
      <c r="N880" s="876"/>
    </row>
    <row r="881" ht="46.5" customHeight="1">
      <c r="C881" s="35"/>
      <c r="D881" s="874"/>
      <c r="J881" s="875"/>
      <c r="N881" s="876"/>
    </row>
    <row r="882" ht="46.5" customHeight="1">
      <c r="C882" s="35"/>
      <c r="D882" s="874"/>
      <c r="J882" s="875"/>
      <c r="N882" s="876"/>
    </row>
    <row r="883" ht="46.5" customHeight="1">
      <c r="C883" s="35"/>
      <c r="D883" s="874"/>
      <c r="J883" s="875"/>
      <c r="N883" s="876"/>
    </row>
    <row r="884" ht="46.5" customHeight="1">
      <c r="C884" s="35"/>
      <c r="D884" s="874"/>
      <c r="J884" s="875"/>
      <c r="N884" s="876"/>
    </row>
    <row r="885" ht="46.5" customHeight="1">
      <c r="C885" s="35"/>
      <c r="D885" s="874"/>
      <c r="J885" s="875"/>
      <c r="N885" s="876"/>
    </row>
    <row r="886" ht="46.5" customHeight="1">
      <c r="C886" s="35"/>
      <c r="D886" s="874"/>
      <c r="J886" s="875"/>
      <c r="N886" s="876"/>
    </row>
    <row r="887" ht="46.5" customHeight="1">
      <c r="C887" s="35"/>
      <c r="D887" s="874"/>
      <c r="J887" s="875"/>
      <c r="N887" s="876"/>
    </row>
    <row r="888" ht="46.5" customHeight="1">
      <c r="C888" s="35"/>
      <c r="D888" s="874"/>
      <c r="J888" s="875"/>
      <c r="N888" s="876"/>
    </row>
    <row r="889" ht="46.5" customHeight="1">
      <c r="C889" s="35"/>
      <c r="D889" s="874"/>
      <c r="J889" s="875"/>
      <c r="N889" s="876"/>
    </row>
    <row r="890" ht="46.5" customHeight="1">
      <c r="C890" s="35"/>
      <c r="D890" s="874"/>
      <c r="J890" s="875"/>
      <c r="N890" s="876"/>
    </row>
    <row r="891" ht="46.5" customHeight="1">
      <c r="C891" s="35"/>
      <c r="D891" s="874"/>
      <c r="J891" s="875"/>
      <c r="N891" s="876"/>
    </row>
    <row r="892" ht="46.5" customHeight="1">
      <c r="C892" s="35"/>
      <c r="D892" s="874"/>
      <c r="J892" s="875"/>
      <c r="N892" s="876"/>
    </row>
    <row r="893" ht="46.5" customHeight="1">
      <c r="C893" s="35"/>
      <c r="D893" s="874"/>
      <c r="J893" s="875"/>
      <c r="N893" s="876"/>
    </row>
    <row r="894" ht="46.5" customHeight="1">
      <c r="C894" s="35"/>
      <c r="D894" s="874"/>
      <c r="J894" s="875"/>
      <c r="N894" s="876"/>
    </row>
    <row r="895" ht="46.5" customHeight="1">
      <c r="C895" s="35"/>
      <c r="D895" s="874"/>
      <c r="J895" s="875"/>
      <c r="N895" s="876"/>
    </row>
    <row r="896" ht="46.5" customHeight="1">
      <c r="C896" s="35"/>
      <c r="D896" s="874"/>
      <c r="J896" s="875"/>
      <c r="N896" s="876"/>
    </row>
    <row r="897" ht="46.5" customHeight="1">
      <c r="C897" s="35"/>
      <c r="D897" s="874"/>
      <c r="J897" s="875"/>
      <c r="N897" s="876"/>
    </row>
    <row r="898" ht="46.5" customHeight="1">
      <c r="C898" s="35"/>
      <c r="D898" s="874"/>
      <c r="J898" s="875"/>
      <c r="N898" s="876"/>
    </row>
    <row r="899" ht="46.5" customHeight="1">
      <c r="C899" s="35"/>
      <c r="D899" s="874"/>
      <c r="J899" s="875"/>
      <c r="N899" s="876"/>
    </row>
    <row r="900" ht="46.5" customHeight="1">
      <c r="C900" s="35"/>
      <c r="D900" s="874"/>
      <c r="J900" s="875"/>
      <c r="N900" s="876"/>
    </row>
    <row r="901" ht="46.5" customHeight="1">
      <c r="C901" s="35"/>
      <c r="D901" s="874"/>
      <c r="J901" s="875"/>
      <c r="N901" s="876"/>
    </row>
    <row r="902" ht="46.5" customHeight="1">
      <c r="C902" s="35"/>
      <c r="D902" s="874"/>
      <c r="J902" s="875"/>
      <c r="N902" s="876"/>
    </row>
    <row r="903" ht="46.5" customHeight="1">
      <c r="C903" s="35"/>
      <c r="D903" s="874"/>
      <c r="J903" s="875"/>
      <c r="N903" s="876"/>
    </row>
    <row r="904" ht="46.5" customHeight="1">
      <c r="C904" s="35"/>
      <c r="D904" s="874"/>
      <c r="J904" s="875"/>
      <c r="N904" s="876"/>
    </row>
    <row r="905" ht="46.5" customHeight="1">
      <c r="C905" s="35"/>
      <c r="D905" s="874"/>
      <c r="J905" s="875"/>
      <c r="N905" s="876"/>
    </row>
    <row r="906" ht="46.5" customHeight="1">
      <c r="C906" s="35"/>
      <c r="D906" s="874"/>
      <c r="J906" s="875"/>
      <c r="N906" s="876"/>
    </row>
    <row r="907" ht="46.5" customHeight="1">
      <c r="C907" s="35"/>
      <c r="D907" s="874"/>
      <c r="J907" s="875"/>
      <c r="N907" s="876"/>
    </row>
    <row r="908" ht="46.5" customHeight="1">
      <c r="C908" s="35"/>
      <c r="D908" s="874"/>
      <c r="J908" s="875"/>
      <c r="N908" s="876"/>
    </row>
    <row r="909" ht="46.5" customHeight="1">
      <c r="C909" s="35"/>
      <c r="D909" s="874"/>
      <c r="J909" s="875"/>
      <c r="N909" s="876"/>
    </row>
    <row r="910" ht="46.5" customHeight="1">
      <c r="C910" s="35"/>
      <c r="D910" s="874"/>
      <c r="J910" s="875"/>
      <c r="N910" s="876"/>
    </row>
    <row r="911" ht="46.5" customHeight="1">
      <c r="C911" s="35"/>
      <c r="D911" s="874"/>
      <c r="J911" s="875"/>
      <c r="N911" s="876"/>
    </row>
    <row r="912" ht="46.5" customHeight="1">
      <c r="C912" s="35"/>
      <c r="D912" s="874"/>
      <c r="J912" s="875"/>
      <c r="N912" s="876"/>
    </row>
    <row r="913" ht="46.5" customHeight="1">
      <c r="C913" s="35"/>
      <c r="D913" s="874"/>
      <c r="J913" s="875"/>
      <c r="N913" s="876"/>
    </row>
    <row r="914" ht="46.5" customHeight="1">
      <c r="C914" s="35"/>
      <c r="D914" s="874"/>
      <c r="J914" s="875"/>
      <c r="N914" s="876"/>
    </row>
    <row r="915" ht="46.5" customHeight="1">
      <c r="C915" s="35"/>
      <c r="D915" s="874"/>
      <c r="J915" s="875"/>
      <c r="N915" s="876"/>
    </row>
    <row r="916" ht="46.5" customHeight="1">
      <c r="C916" s="35"/>
      <c r="D916" s="874"/>
      <c r="J916" s="875"/>
      <c r="N916" s="876"/>
    </row>
    <row r="917" ht="46.5" customHeight="1">
      <c r="C917" s="35"/>
      <c r="D917" s="874"/>
      <c r="J917" s="875"/>
      <c r="N917" s="876"/>
    </row>
    <row r="918" ht="46.5" customHeight="1">
      <c r="C918" s="35"/>
      <c r="D918" s="874"/>
      <c r="J918" s="875"/>
      <c r="N918" s="876"/>
    </row>
    <row r="919" ht="46.5" customHeight="1">
      <c r="C919" s="35"/>
      <c r="D919" s="874"/>
      <c r="J919" s="875"/>
      <c r="N919" s="876"/>
    </row>
    <row r="920" ht="46.5" customHeight="1">
      <c r="C920" s="35"/>
      <c r="D920" s="874"/>
      <c r="J920" s="875"/>
      <c r="N920" s="876"/>
    </row>
    <row r="921" ht="46.5" customHeight="1">
      <c r="C921" s="35"/>
      <c r="D921" s="874"/>
      <c r="J921" s="875"/>
      <c r="N921" s="876"/>
    </row>
    <row r="922" ht="46.5" customHeight="1">
      <c r="C922" s="35"/>
      <c r="D922" s="874"/>
      <c r="J922" s="875"/>
      <c r="N922" s="876"/>
    </row>
    <row r="923" ht="46.5" customHeight="1">
      <c r="C923" s="35"/>
      <c r="D923" s="874"/>
      <c r="J923" s="875"/>
      <c r="N923" s="876"/>
    </row>
    <row r="924" ht="46.5" customHeight="1">
      <c r="C924" s="35"/>
      <c r="D924" s="874"/>
      <c r="J924" s="875"/>
      <c r="N924" s="876"/>
    </row>
    <row r="925" ht="46.5" customHeight="1">
      <c r="C925" s="35"/>
      <c r="D925" s="874"/>
      <c r="J925" s="875"/>
      <c r="N925" s="876"/>
    </row>
    <row r="926" ht="46.5" customHeight="1">
      <c r="C926" s="35"/>
      <c r="D926" s="874"/>
      <c r="J926" s="875"/>
      <c r="N926" s="876"/>
    </row>
    <row r="927" ht="46.5" customHeight="1">
      <c r="C927" s="35"/>
      <c r="D927" s="874"/>
      <c r="J927" s="875"/>
      <c r="N927" s="876"/>
    </row>
    <row r="928" ht="46.5" customHeight="1">
      <c r="C928" s="35"/>
      <c r="D928" s="874"/>
      <c r="J928" s="875"/>
      <c r="N928" s="876"/>
    </row>
    <row r="929" ht="46.5" customHeight="1">
      <c r="C929" s="35"/>
      <c r="D929" s="874"/>
      <c r="J929" s="875"/>
      <c r="N929" s="876"/>
    </row>
    <row r="930" ht="46.5" customHeight="1">
      <c r="C930" s="35"/>
      <c r="D930" s="874"/>
      <c r="J930" s="875"/>
      <c r="N930" s="876"/>
    </row>
    <row r="931" ht="46.5" customHeight="1">
      <c r="C931" s="35"/>
      <c r="D931" s="874"/>
      <c r="J931" s="875"/>
      <c r="N931" s="876"/>
    </row>
    <row r="932" ht="46.5" customHeight="1">
      <c r="C932" s="35"/>
      <c r="D932" s="874"/>
      <c r="J932" s="875"/>
      <c r="N932" s="876"/>
    </row>
    <row r="933" ht="46.5" customHeight="1">
      <c r="C933" s="35"/>
      <c r="D933" s="874"/>
      <c r="J933" s="875"/>
      <c r="N933" s="876"/>
    </row>
    <row r="934" ht="46.5" customHeight="1">
      <c r="C934" s="35"/>
      <c r="D934" s="874"/>
      <c r="J934" s="875"/>
      <c r="N934" s="876"/>
    </row>
    <row r="935" ht="46.5" customHeight="1">
      <c r="C935" s="35"/>
      <c r="D935" s="874"/>
      <c r="J935" s="875"/>
      <c r="N935" s="876"/>
    </row>
    <row r="936" ht="46.5" customHeight="1">
      <c r="C936" s="35"/>
      <c r="D936" s="874"/>
      <c r="J936" s="875"/>
      <c r="N936" s="876"/>
    </row>
    <row r="937" ht="46.5" customHeight="1">
      <c r="C937" s="35"/>
      <c r="D937" s="874"/>
      <c r="J937" s="875"/>
      <c r="N937" s="876"/>
    </row>
    <row r="938" ht="46.5" customHeight="1">
      <c r="C938" s="35"/>
      <c r="D938" s="874"/>
      <c r="J938" s="875"/>
      <c r="N938" s="876"/>
    </row>
    <row r="939" ht="46.5" customHeight="1">
      <c r="C939" s="35"/>
      <c r="D939" s="874"/>
      <c r="J939" s="875"/>
      <c r="N939" s="876"/>
    </row>
    <row r="940" ht="46.5" customHeight="1">
      <c r="C940" s="35"/>
      <c r="D940" s="874"/>
      <c r="J940" s="875"/>
      <c r="N940" s="876"/>
    </row>
    <row r="941" ht="46.5" customHeight="1">
      <c r="C941" s="35"/>
      <c r="D941" s="874"/>
      <c r="J941" s="875"/>
      <c r="N941" s="876"/>
    </row>
    <row r="942" ht="46.5" customHeight="1">
      <c r="C942" s="35"/>
      <c r="D942" s="874"/>
      <c r="J942" s="875"/>
      <c r="N942" s="876"/>
    </row>
    <row r="943" ht="46.5" customHeight="1">
      <c r="C943" s="35"/>
      <c r="D943" s="874"/>
      <c r="J943" s="875"/>
      <c r="N943" s="876"/>
    </row>
    <row r="944" ht="46.5" customHeight="1">
      <c r="C944" s="35"/>
      <c r="D944" s="874"/>
      <c r="J944" s="875"/>
      <c r="N944" s="876"/>
    </row>
    <row r="945" ht="46.5" customHeight="1">
      <c r="C945" s="35"/>
      <c r="D945" s="874"/>
      <c r="J945" s="875"/>
      <c r="N945" s="876"/>
    </row>
    <row r="946" ht="46.5" customHeight="1">
      <c r="C946" s="35"/>
      <c r="D946" s="874"/>
      <c r="J946" s="875"/>
      <c r="N946" s="876"/>
    </row>
    <row r="947" ht="46.5" customHeight="1">
      <c r="C947" s="35"/>
      <c r="D947" s="874"/>
      <c r="J947" s="875"/>
      <c r="N947" s="876"/>
    </row>
    <row r="948" ht="46.5" customHeight="1">
      <c r="C948" s="35"/>
      <c r="D948" s="874"/>
      <c r="J948" s="875"/>
      <c r="N948" s="876"/>
    </row>
    <row r="949" ht="46.5" customHeight="1">
      <c r="C949" s="35"/>
      <c r="D949" s="874"/>
      <c r="J949" s="875"/>
      <c r="N949" s="876"/>
    </row>
    <row r="950" ht="46.5" customHeight="1">
      <c r="C950" s="35"/>
      <c r="D950" s="874"/>
      <c r="J950" s="875"/>
      <c r="N950" s="876"/>
    </row>
    <row r="951" ht="46.5" customHeight="1">
      <c r="C951" s="35"/>
      <c r="D951" s="874"/>
      <c r="J951" s="875"/>
      <c r="N951" s="876"/>
    </row>
    <row r="952" ht="46.5" customHeight="1">
      <c r="C952" s="35"/>
      <c r="D952" s="874"/>
      <c r="J952" s="875"/>
      <c r="N952" s="876"/>
    </row>
    <row r="953" ht="46.5" customHeight="1">
      <c r="C953" s="35"/>
      <c r="D953" s="874"/>
      <c r="J953" s="875"/>
      <c r="N953" s="876"/>
    </row>
    <row r="954" ht="46.5" customHeight="1">
      <c r="C954" s="35"/>
      <c r="D954" s="874"/>
      <c r="J954" s="875"/>
      <c r="N954" s="876"/>
    </row>
    <row r="955" ht="46.5" customHeight="1">
      <c r="C955" s="35"/>
      <c r="D955" s="874"/>
      <c r="J955" s="875"/>
      <c r="N955" s="876"/>
    </row>
    <row r="956" ht="46.5" customHeight="1">
      <c r="C956" s="35"/>
      <c r="D956" s="874"/>
      <c r="J956" s="875"/>
      <c r="N956" s="876"/>
    </row>
    <row r="957" ht="46.5" customHeight="1">
      <c r="C957" s="35"/>
      <c r="D957" s="874"/>
      <c r="J957" s="875"/>
      <c r="N957" s="876"/>
    </row>
    <row r="958" ht="46.5" customHeight="1">
      <c r="C958" s="35"/>
      <c r="D958" s="874"/>
      <c r="J958" s="875"/>
      <c r="N958" s="876"/>
    </row>
    <row r="959" ht="46.5" customHeight="1">
      <c r="C959" s="35"/>
      <c r="D959" s="874"/>
      <c r="J959" s="875"/>
      <c r="N959" s="876"/>
    </row>
    <row r="960" ht="46.5" customHeight="1">
      <c r="C960" s="35"/>
      <c r="D960" s="874"/>
      <c r="J960" s="875"/>
      <c r="N960" s="876"/>
    </row>
    <row r="961" ht="46.5" customHeight="1">
      <c r="C961" s="35"/>
      <c r="D961" s="874"/>
      <c r="J961" s="875"/>
      <c r="N961" s="876"/>
    </row>
    <row r="962" ht="46.5" customHeight="1">
      <c r="C962" s="35"/>
      <c r="D962" s="874"/>
      <c r="J962" s="875"/>
      <c r="N962" s="876"/>
    </row>
    <row r="963" ht="46.5" customHeight="1">
      <c r="C963" s="35"/>
      <c r="D963" s="874"/>
      <c r="J963" s="875"/>
      <c r="N963" s="876"/>
    </row>
    <row r="964" ht="46.5" customHeight="1">
      <c r="C964" s="35"/>
      <c r="D964" s="874"/>
      <c r="J964" s="875"/>
      <c r="N964" s="876"/>
    </row>
    <row r="965" ht="46.5" customHeight="1">
      <c r="C965" s="35"/>
      <c r="D965" s="874"/>
      <c r="J965" s="875"/>
      <c r="N965" s="876"/>
    </row>
    <row r="966" ht="46.5" customHeight="1">
      <c r="C966" s="35"/>
      <c r="D966" s="874"/>
      <c r="J966" s="875"/>
      <c r="N966" s="876"/>
    </row>
    <row r="967" ht="46.5" customHeight="1">
      <c r="C967" s="35"/>
      <c r="D967" s="874"/>
      <c r="J967" s="875"/>
      <c r="N967" s="876"/>
    </row>
    <row r="968" ht="46.5" customHeight="1">
      <c r="C968" s="35"/>
      <c r="D968" s="874"/>
      <c r="J968" s="875"/>
      <c r="N968" s="876"/>
    </row>
    <row r="969" ht="46.5" customHeight="1">
      <c r="C969" s="35"/>
      <c r="D969" s="874"/>
      <c r="J969" s="875"/>
      <c r="N969" s="876"/>
    </row>
    <row r="970" ht="46.5" customHeight="1">
      <c r="C970" s="35"/>
      <c r="D970" s="874"/>
      <c r="J970" s="875"/>
      <c r="N970" s="876"/>
    </row>
    <row r="971" ht="46.5" customHeight="1">
      <c r="C971" s="35"/>
      <c r="D971" s="874"/>
      <c r="J971" s="875"/>
      <c r="N971" s="876"/>
    </row>
    <row r="972" ht="46.5" customHeight="1">
      <c r="C972" s="35"/>
      <c r="D972" s="874"/>
      <c r="J972" s="875"/>
      <c r="N972" s="876"/>
    </row>
    <row r="973" ht="46.5" customHeight="1">
      <c r="C973" s="35"/>
      <c r="D973" s="874"/>
      <c r="J973" s="875"/>
      <c r="N973" s="876"/>
    </row>
    <row r="974" ht="46.5" customHeight="1">
      <c r="C974" s="35"/>
      <c r="D974" s="874"/>
      <c r="J974" s="875"/>
      <c r="N974" s="876"/>
    </row>
    <row r="975" ht="46.5" customHeight="1">
      <c r="C975" s="35"/>
      <c r="D975" s="874"/>
      <c r="J975" s="875"/>
      <c r="N975" s="876"/>
    </row>
    <row r="976" ht="46.5" customHeight="1">
      <c r="C976" s="35"/>
      <c r="D976" s="874"/>
      <c r="J976" s="875"/>
      <c r="N976" s="876"/>
    </row>
    <row r="977" ht="46.5" customHeight="1">
      <c r="C977" s="35"/>
      <c r="D977" s="874"/>
      <c r="J977" s="875"/>
      <c r="N977" s="876"/>
    </row>
    <row r="978" ht="46.5" customHeight="1">
      <c r="C978" s="35"/>
      <c r="D978" s="874"/>
      <c r="J978" s="875"/>
      <c r="N978" s="876"/>
    </row>
    <row r="979" ht="46.5" customHeight="1">
      <c r="C979" s="35"/>
      <c r="D979" s="874"/>
      <c r="J979" s="875"/>
      <c r="N979" s="876"/>
    </row>
    <row r="980" ht="46.5" customHeight="1">
      <c r="C980" s="35"/>
      <c r="D980" s="874"/>
      <c r="J980" s="875"/>
      <c r="N980" s="876"/>
    </row>
    <row r="981" ht="46.5" customHeight="1">
      <c r="C981" s="35"/>
      <c r="D981" s="874"/>
      <c r="J981" s="875"/>
      <c r="N981" s="876"/>
    </row>
    <row r="982" ht="46.5" customHeight="1">
      <c r="C982" s="35"/>
      <c r="D982" s="874"/>
      <c r="J982" s="875"/>
      <c r="N982" s="876"/>
    </row>
    <row r="983" ht="46.5" customHeight="1">
      <c r="C983" s="35"/>
      <c r="D983" s="874"/>
      <c r="J983" s="875"/>
      <c r="N983" s="876"/>
    </row>
    <row r="984" ht="46.5" customHeight="1">
      <c r="C984" s="35"/>
      <c r="D984" s="874"/>
      <c r="J984" s="875"/>
      <c r="N984" s="876"/>
    </row>
    <row r="985" ht="46.5" customHeight="1">
      <c r="C985" s="35"/>
      <c r="D985" s="874"/>
      <c r="J985" s="875"/>
      <c r="N985" s="876"/>
    </row>
    <row r="986" ht="46.5" customHeight="1">
      <c r="C986" s="35"/>
      <c r="D986" s="874"/>
      <c r="J986" s="875"/>
      <c r="N986" s="876"/>
    </row>
    <row r="987" ht="46.5" customHeight="1">
      <c r="C987" s="35"/>
      <c r="D987" s="874"/>
      <c r="J987" s="875"/>
      <c r="N987" s="876"/>
    </row>
    <row r="988" ht="46.5" customHeight="1">
      <c r="C988" s="35"/>
      <c r="D988" s="874"/>
      <c r="J988" s="875"/>
      <c r="N988" s="876"/>
    </row>
    <row r="989" ht="46.5" customHeight="1">
      <c r="C989" s="35"/>
      <c r="D989" s="874"/>
      <c r="J989" s="875"/>
      <c r="N989" s="876"/>
    </row>
    <row r="990" ht="46.5" customHeight="1">
      <c r="C990" s="35"/>
      <c r="D990" s="874"/>
      <c r="J990" s="875"/>
      <c r="N990" s="876"/>
    </row>
    <row r="991" ht="46.5" customHeight="1">
      <c r="C991" s="35"/>
      <c r="D991" s="874"/>
      <c r="J991" s="875"/>
      <c r="N991" s="876"/>
    </row>
    <row r="992" ht="46.5" customHeight="1">
      <c r="C992" s="35"/>
      <c r="D992" s="874"/>
      <c r="J992" s="875"/>
      <c r="N992" s="876"/>
    </row>
    <row r="993" ht="46.5" customHeight="1">
      <c r="C993" s="35"/>
      <c r="D993" s="874"/>
      <c r="J993" s="875"/>
      <c r="N993" s="876"/>
    </row>
    <row r="994" ht="46.5" customHeight="1">
      <c r="C994" s="35"/>
      <c r="D994" s="874"/>
      <c r="J994" s="875"/>
      <c r="N994" s="876"/>
    </row>
    <row r="995" ht="46.5" customHeight="1">
      <c r="C995" s="35"/>
      <c r="D995" s="874"/>
      <c r="J995" s="875"/>
      <c r="N995" s="876"/>
    </row>
    <row r="996" ht="46.5" customHeight="1">
      <c r="C996" s="35"/>
      <c r="D996" s="874"/>
      <c r="J996" s="875"/>
      <c r="N996" s="876"/>
    </row>
    <row r="997" ht="46.5" customHeight="1">
      <c r="C997" s="35"/>
      <c r="D997" s="874"/>
      <c r="J997" s="875"/>
      <c r="N997" s="876"/>
    </row>
    <row r="998" ht="46.5" customHeight="1">
      <c r="C998" s="35"/>
      <c r="D998" s="874"/>
      <c r="J998" s="875"/>
      <c r="N998" s="876"/>
    </row>
    <row r="999" ht="46.5" customHeight="1">
      <c r="C999" s="35"/>
      <c r="D999" s="874"/>
      <c r="J999" s="875"/>
      <c r="N999" s="876"/>
    </row>
    <row r="1000" ht="46.5" customHeight="1">
      <c r="C1000" s="35"/>
      <c r="D1000" s="874"/>
      <c r="J1000" s="875"/>
      <c r="N1000" s="876"/>
    </row>
  </sheetData>
  <printOptions/>
  <pageMargins bottom="0.3937007874015748" footer="0.0" header="0.0" left="0.2362204724409449" right="0.2362204724409449" top="0.3937007874015748"/>
  <pageSetup fitToHeight="0"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27.29"/>
    <col customWidth="1" min="3" max="3" width="4.43"/>
    <col customWidth="1" min="4" max="4" width="9.43"/>
    <col customWidth="1" min="5" max="5" width="5.71"/>
    <col customWidth="1" min="6" max="6" width="9.29"/>
    <col customWidth="1" min="7" max="7" width="29.71"/>
    <col customWidth="1" min="8" max="8" width="17.43"/>
    <col customWidth="1" min="9" max="9" width="11.43"/>
    <col customWidth="1" min="10" max="10" width="6.71"/>
    <col customWidth="1" min="11" max="11" width="8.71"/>
    <col customWidth="1" min="12" max="26" width="9.29"/>
  </cols>
  <sheetData>
    <row r="1" ht="19.5" customHeight="1">
      <c r="A1" s="877" t="s">
        <v>1</v>
      </c>
      <c r="B1" s="877" t="s">
        <v>2815</v>
      </c>
      <c r="C1" s="877" t="s">
        <v>4</v>
      </c>
      <c r="D1" s="878" t="s">
        <v>6</v>
      </c>
      <c r="E1" s="877" t="s">
        <v>7</v>
      </c>
      <c r="F1" s="877" t="s">
        <v>3</v>
      </c>
      <c r="G1" s="877" t="s">
        <v>12</v>
      </c>
      <c r="H1" s="879" t="s">
        <v>13</v>
      </c>
      <c r="I1" s="879" t="s">
        <v>13</v>
      </c>
      <c r="J1" s="879"/>
      <c r="K1" s="880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</row>
    <row r="2" ht="63.75" customHeight="1">
      <c r="A2" s="880" t="str">
        <f>ARRAY_CONSTRAIN(ARRAYFORMULA(_xlfn._xlws.FILTER(Main!E4:P383,Main!#REF!="Mercy")), 1, 1)</f>
        <v>#ERROR!</v>
      </c>
      <c r="B2" s="880"/>
      <c r="C2" s="880"/>
      <c r="D2" s="881"/>
      <c r="E2" s="880"/>
      <c r="F2" s="880"/>
      <c r="G2" s="219"/>
      <c r="H2" s="880"/>
      <c r="I2" s="880"/>
      <c r="J2" s="880"/>
      <c r="K2" s="880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4"/>
      <c r="W2" s="874"/>
      <c r="X2" s="874"/>
      <c r="Y2" s="874"/>
      <c r="Z2" s="874"/>
    </row>
    <row r="3" ht="63.75" customHeight="1">
      <c r="A3" s="880"/>
      <c r="B3" s="880"/>
      <c r="C3" s="880"/>
      <c r="D3" s="881"/>
      <c r="E3" s="880"/>
      <c r="F3" s="880"/>
      <c r="G3" s="219"/>
      <c r="H3" s="880"/>
      <c r="I3" s="880"/>
      <c r="J3" s="880"/>
      <c r="K3" s="880"/>
      <c r="L3" s="874"/>
      <c r="M3" s="874"/>
      <c r="N3" s="874"/>
      <c r="O3" s="874"/>
      <c r="P3" s="874"/>
      <c r="Q3" s="874"/>
      <c r="R3" s="874"/>
      <c r="S3" s="874"/>
      <c r="T3" s="874"/>
      <c r="U3" s="874"/>
      <c r="V3" s="874"/>
      <c r="W3" s="874"/>
      <c r="X3" s="874"/>
      <c r="Y3" s="874"/>
      <c r="Z3" s="874"/>
    </row>
    <row r="4" ht="63.75" customHeight="1">
      <c r="A4" s="880"/>
      <c r="B4" s="880"/>
      <c r="C4" s="880"/>
      <c r="D4" s="881"/>
      <c r="E4" s="880"/>
      <c r="F4" s="880"/>
      <c r="G4" s="219"/>
      <c r="H4" s="880"/>
      <c r="I4" s="880"/>
      <c r="J4" s="880"/>
      <c r="K4" s="880"/>
      <c r="L4" s="874"/>
      <c r="M4" s="874"/>
      <c r="N4" s="874"/>
      <c r="O4" s="874"/>
      <c r="P4" s="874"/>
      <c r="Q4" s="874"/>
      <c r="R4" s="874"/>
      <c r="S4" s="874"/>
      <c r="T4" s="874"/>
      <c r="U4" s="874"/>
      <c r="V4" s="874"/>
      <c r="W4" s="874"/>
      <c r="X4" s="874"/>
      <c r="Y4" s="874"/>
      <c r="Z4" s="874"/>
    </row>
    <row r="5" ht="63.75" customHeight="1">
      <c r="A5" s="880"/>
      <c r="B5" s="880"/>
      <c r="C5" s="880"/>
      <c r="D5" s="881"/>
      <c r="E5" s="880"/>
      <c r="F5" s="880"/>
      <c r="G5" s="219"/>
      <c r="H5" s="880"/>
      <c r="I5" s="880"/>
      <c r="J5" s="880"/>
      <c r="K5" s="880"/>
      <c r="L5" s="874"/>
      <c r="M5" s="874"/>
      <c r="N5" s="874"/>
      <c r="O5" s="874"/>
      <c r="P5" s="874"/>
      <c r="Q5" s="874"/>
      <c r="R5" s="874"/>
      <c r="S5" s="874"/>
      <c r="T5" s="874"/>
      <c r="U5" s="874"/>
      <c r="V5" s="874"/>
      <c r="W5" s="874"/>
      <c r="X5" s="874"/>
      <c r="Y5" s="874"/>
      <c r="Z5" s="874"/>
    </row>
    <row r="6" ht="63.75" customHeight="1">
      <c r="A6" s="880"/>
      <c r="B6" s="880"/>
      <c r="C6" s="880"/>
      <c r="D6" s="881"/>
      <c r="E6" s="880"/>
      <c r="F6" s="880"/>
      <c r="G6" s="219"/>
      <c r="H6" s="880"/>
      <c r="I6" s="880"/>
      <c r="J6" s="880"/>
      <c r="K6" s="880"/>
      <c r="L6" s="874"/>
      <c r="M6" s="874"/>
      <c r="N6" s="874"/>
      <c r="O6" s="874"/>
      <c r="P6" s="874"/>
      <c r="Q6" s="874"/>
      <c r="R6" s="874"/>
      <c r="S6" s="874"/>
      <c r="T6" s="874"/>
      <c r="U6" s="874"/>
      <c r="V6" s="874"/>
      <c r="W6" s="874"/>
      <c r="X6" s="874"/>
      <c r="Y6" s="874"/>
      <c r="Z6" s="874"/>
    </row>
    <row r="7" ht="63.75" customHeight="1">
      <c r="A7" s="880"/>
      <c r="B7" s="880"/>
      <c r="C7" s="880"/>
      <c r="D7" s="881"/>
      <c r="E7" s="880"/>
      <c r="F7" s="880"/>
      <c r="G7" s="219"/>
      <c r="H7" s="880"/>
      <c r="I7" s="880"/>
      <c r="J7" s="880"/>
      <c r="K7" s="880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874"/>
    </row>
    <row r="8" ht="63.75" customHeight="1">
      <c r="A8" s="880"/>
      <c r="B8" s="880"/>
      <c r="C8" s="880"/>
      <c r="D8" s="881"/>
      <c r="E8" s="880"/>
      <c r="F8" s="880"/>
      <c r="G8" s="219"/>
      <c r="H8" s="880"/>
      <c r="I8" s="880"/>
      <c r="J8" s="880"/>
      <c r="K8" s="880"/>
      <c r="L8" s="874"/>
      <c r="M8" s="874"/>
      <c r="N8" s="874"/>
      <c r="O8" s="874"/>
      <c r="P8" s="874"/>
      <c r="Q8" s="874"/>
      <c r="R8" s="874"/>
      <c r="S8" s="874"/>
      <c r="T8" s="874"/>
      <c r="U8" s="874"/>
      <c r="V8" s="874"/>
      <c r="W8" s="874"/>
      <c r="X8" s="874"/>
      <c r="Y8" s="874"/>
      <c r="Z8" s="874"/>
    </row>
    <row r="9" ht="63.75" customHeight="1">
      <c r="A9" s="880"/>
      <c r="B9" s="880"/>
      <c r="C9" s="880"/>
      <c r="D9" s="881"/>
      <c r="E9" s="880"/>
      <c r="F9" s="880"/>
      <c r="G9" s="219"/>
      <c r="H9" s="880"/>
      <c r="I9" s="880"/>
      <c r="J9" s="880"/>
      <c r="K9" s="880"/>
      <c r="L9" s="874"/>
      <c r="M9" s="874"/>
      <c r="N9" s="874"/>
      <c r="O9" s="874"/>
      <c r="P9" s="874"/>
      <c r="Q9" s="874"/>
      <c r="R9" s="874"/>
      <c r="S9" s="874"/>
      <c r="T9" s="874"/>
      <c r="U9" s="874"/>
      <c r="V9" s="874"/>
      <c r="W9" s="874"/>
      <c r="X9" s="874"/>
      <c r="Y9" s="874"/>
      <c r="Z9" s="874"/>
    </row>
    <row r="10" ht="63.75" customHeight="1">
      <c r="A10" s="880"/>
      <c r="B10" s="880"/>
      <c r="C10" s="880"/>
      <c r="D10" s="881"/>
      <c r="E10" s="880"/>
      <c r="F10" s="880"/>
      <c r="G10" s="219"/>
      <c r="H10" s="880"/>
      <c r="I10" s="880"/>
      <c r="J10" s="880"/>
      <c r="K10" s="880"/>
      <c r="L10" s="874"/>
      <c r="M10" s="874"/>
      <c r="N10" s="874"/>
      <c r="O10" s="874"/>
      <c r="P10" s="874"/>
      <c r="Q10" s="874"/>
      <c r="R10" s="874"/>
      <c r="S10" s="874"/>
      <c r="T10" s="874"/>
      <c r="U10" s="874"/>
      <c r="V10" s="874"/>
      <c r="W10" s="874"/>
      <c r="X10" s="874"/>
      <c r="Y10" s="874"/>
      <c r="Z10" s="874"/>
    </row>
    <row r="11" ht="63.75" customHeight="1">
      <c r="A11" s="880"/>
      <c r="B11" s="880"/>
      <c r="C11" s="880"/>
      <c r="D11" s="881"/>
      <c r="E11" s="880"/>
      <c r="F11" s="880"/>
      <c r="G11" s="219"/>
      <c r="H11" s="880"/>
      <c r="I11" s="880"/>
      <c r="J11" s="880"/>
      <c r="K11" s="880"/>
      <c r="L11" s="874"/>
      <c r="M11" s="874"/>
      <c r="N11" s="874"/>
      <c r="O11" s="874"/>
      <c r="P11" s="874"/>
      <c r="Q11" s="874"/>
      <c r="R11" s="874"/>
      <c r="S11" s="874"/>
      <c r="T11" s="874"/>
      <c r="U11" s="874"/>
      <c r="V11" s="874"/>
      <c r="W11" s="874"/>
      <c r="X11" s="874"/>
      <c r="Y11" s="874"/>
      <c r="Z11" s="874"/>
    </row>
    <row r="12" ht="63.75" customHeight="1">
      <c r="A12" s="880"/>
      <c r="B12" s="880"/>
      <c r="C12" s="880"/>
      <c r="D12" s="881"/>
      <c r="E12" s="880"/>
      <c r="F12" s="880"/>
      <c r="G12" s="219"/>
      <c r="H12" s="880"/>
      <c r="I12" s="880"/>
      <c r="J12" s="880"/>
      <c r="K12" s="880"/>
      <c r="L12" s="874"/>
      <c r="M12" s="874"/>
      <c r="N12" s="874"/>
      <c r="O12" s="874"/>
      <c r="P12" s="874"/>
      <c r="Q12" s="874"/>
      <c r="R12" s="874"/>
      <c r="S12" s="874"/>
      <c r="T12" s="874"/>
      <c r="U12" s="874"/>
      <c r="V12" s="874"/>
      <c r="W12" s="874"/>
      <c r="X12" s="874"/>
      <c r="Y12" s="874"/>
      <c r="Z12" s="874"/>
    </row>
    <row r="13" ht="63.75" customHeight="1">
      <c r="A13" s="880"/>
      <c r="B13" s="880"/>
      <c r="C13" s="880"/>
      <c r="D13" s="881"/>
      <c r="E13" s="880"/>
      <c r="F13" s="880"/>
      <c r="G13" s="219"/>
      <c r="H13" s="880"/>
      <c r="I13" s="880"/>
      <c r="J13" s="880"/>
      <c r="K13" s="880"/>
      <c r="L13" s="874"/>
      <c r="M13" s="874"/>
      <c r="N13" s="874"/>
      <c r="O13" s="874"/>
      <c r="P13" s="874"/>
      <c r="Q13" s="874"/>
      <c r="R13" s="874"/>
      <c r="S13" s="874"/>
      <c r="T13" s="874"/>
      <c r="U13" s="874"/>
      <c r="V13" s="874"/>
      <c r="W13" s="874"/>
      <c r="X13" s="874"/>
      <c r="Y13" s="874"/>
      <c r="Z13" s="874"/>
    </row>
    <row r="14" ht="63.75" customHeight="1">
      <c r="A14" s="880"/>
      <c r="B14" s="880"/>
      <c r="C14" s="880"/>
      <c r="D14" s="881"/>
      <c r="E14" s="880"/>
      <c r="F14" s="880"/>
      <c r="G14" s="219"/>
      <c r="H14" s="880"/>
      <c r="I14" s="880"/>
      <c r="J14" s="880"/>
      <c r="K14" s="880"/>
      <c r="L14" s="874"/>
      <c r="M14" s="874"/>
      <c r="N14" s="874"/>
      <c r="O14" s="874"/>
      <c r="P14" s="874"/>
      <c r="Q14" s="874"/>
      <c r="R14" s="874"/>
      <c r="S14" s="874"/>
      <c r="T14" s="874"/>
      <c r="U14" s="874"/>
      <c r="V14" s="874"/>
      <c r="W14" s="874"/>
      <c r="X14" s="874"/>
      <c r="Y14" s="874"/>
      <c r="Z14" s="874"/>
    </row>
    <row r="15" ht="63.75" customHeight="1">
      <c r="A15" s="880"/>
      <c r="B15" s="880"/>
      <c r="C15" s="880"/>
      <c r="D15" s="881"/>
      <c r="E15" s="880"/>
      <c r="F15" s="880"/>
      <c r="G15" s="219"/>
      <c r="H15" s="880"/>
      <c r="I15" s="880"/>
      <c r="J15" s="880"/>
      <c r="K15" s="880"/>
      <c r="L15" s="874"/>
      <c r="M15" s="874"/>
      <c r="N15" s="874"/>
      <c r="O15" s="874"/>
      <c r="P15" s="874"/>
      <c r="Q15" s="874"/>
      <c r="R15" s="874"/>
      <c r="S15" s="874"/>
      <c r="T15" s="874"/>
      <c r="U15" s="874"/>
      <c r="V15" s="874"/>
      <c r="W15" s="874"/>
      <c r="X15" s="874"/>
      <c r="Y15" s="874"/>
      <c r="Z15" s="874"/>
    </row>
    <row r="16" ht="63.75" customHeight="1">
      <c r="A16" s="880"/>
      <c r="B16" s="880"/>
      <c r="C16" s="880"/>
      <c r="D16" s="881"/>
      <c r="E16" s="880"/>
      <c r="F16" s="880"/>
      <c r="G16" s="219"/>
      <c r="H16" s="880"/>
      <c r="I16" s="880"/>
      <c r="J16" s="880"/>
      <c r="K16" s="880"/>
      <c r="L16" s="874"/>
      <c r="M16" s="874"/>
      <c r="N16" s="874"/>
      <c r="O16" s="874"/>
      <c r="P16" s="874"/>
      <c r="Q16" s="874"/>
      <c r="R16" s="874"/>
      <c r="S16" s="874"/>
      <c r="T16" s="874"/>
      <c r="U16" s="874"/>
      <c r="V16" s="874"/>
      <c r="W16" s="874"/>
      <c r="X16" s="874"/>
      <c r="Y16" s="874"/>
      <c r="Z16" s="874"/>
    </row>
    <row r="17" ht="63.75" customHeight="1">
      <c r="A17" s="880"/>
      <c r="B17" s="880"/>
      <c r="C17" s="880"/>
      <c r="D17" s="881"/>
      <c r="E17" s="880"/>
      <c r="F17" s="880"/>
      <c r="G17" s="219"/>
      <c r="H17" s="880"/>
      <c r="I17" s="880"/>
      <c r="J17" s="880"/>
      <c r="K17" s="880"/>
      <c r="L17" s="874"/>
      <c r="M17" s="874"/>
      <c r="N17" s="874"/>
      <c r="O17" s="874"/>
      <c r="P17" s="874"/>
      <c r="Q17" s="874"/>
      <c r="R17" s="874"/>
      <c r="S17" s="874"/>
      <c r="T17" s="874"/>
      <c r="U17" s="874"/>
      <c r="V17" s="874"/>
      <c r="W17" s="874"/>
      <c r="X17" s="874"/>
      <c r="Y17" s="874"/>
      <c r="Z17" s="874"/>
    </row>
    <row r="18" ht="63.75" customHeight="1">
      <c r="A18" s="880"/>
      <c r="B18" s="880"/>
      <c r="C18" s="880"/>
      <c r="D18" s="881"/>
      <c r="E18" s="880"/>
      <c r="F18" s="880"/>
      <c r="G18" s="219"/>
      <c r="H18" s="880"/>
      <c r="I18" s="880"/>
      <c r="J18" s="880"/>
      <c r="K18" s="880"/>
      <c r="L18" s="874"/>
      <c r="M18" s="874"/>
      <c r="N18" s="874"/>
      <c r="O18" s="874"/>
      <c r="P18" s="874"/>
      <c r="Q18" s="874"/>
      <c r="R18" s="874"/>
      <c r="S18" s="874"/>
      <c r="T18" s="874"/>
      <c r="U18" s="874"/>
      <c r="V18" s="874"/>
      <c r="W18" s="874"/>
      <c r="X18" s="874"/>
      <c r="Y18" s="874"/>
      <c r="Z18" s="874"/>
    </row>
    <row r="19" ht="63.75" customHeight="1">
      <c r="A19" s="880"/>
      <c r="B19" s="880"/>
      <c r="C19" s="880"/>
      <c r="D19" s="881"/>
      <c r="E19" s="880"/>
      <c r="F19" s="880"/>
      <c r="G19" s="219"/>
      <c r="H19" s="880"/>
      <c r="I19" s="880"/>
      <c r="J19" s="880"/>
      <c r="K19" s="880"/>
      <c r="L19" s="874"/>
      <c r="M19" s="874"/>
      <c r="N19" s="874"/>
      <c r="O19" s="874"/>
      <c r="P19" s="874"/>
      <c r="Q19" s="874"/>
      <c r="R19" s="874"/>
      <c r="S19" s="874"/>
      <c r="T19" s="874"/>
      <c r="U19" s="874"/>
      <c r="V19" s="874"/>
      <c r="W19" s="874"/>
      <c r="X19" s="874"/>
      <c r="Y19" s="874"/>
      <c r="Z19" s="874"/>
    </row>
    <row r="20" ht="63.75" customHeight="1">
      <c r="A20" s="880"/>
      <c r="B20" s="880"/>
      <c r="C20" s="880"/>
      <c r="D20" s="881"/>
      <c r="E20" s="880"/>
      <c r="F20" s="880"/>
      <c r="G20" s="219"/>
      <c r="H20" s="880"/>
      <c r="I20" s="880"/>
      <c r="J20" s="880"/>
      <c r="K20" s="880"/>
      <c r="L20" s="874"/>
      <c r="M20" s="874"/>
      <c r="N20" s="874"/>
      <c r="O20" s="874"/>
      <c r="P20" s="874"/>
      <c r="Q20" s="874"/>
      <c r="R20" s="874"/>
      <c r="S20" s="874"/>
      <c r="T20" s="874"/>
      <c r="U20" s="874"/>
      <c r="V20" s="874"/>
      <c r="W20" s="874"/>
      <c r="X20" s="874"/>
      <c r="Y20" s="874"/>
      <c r="Z20" s="874"/>
    </row>
    <row r="21" ht="63.75" customHeight="1">
      <c r="A21" s="880"/>
      <c r="B21" s="880"/>
      <c r="C21" s="880"/>
      <c r="D21" s="881"/>
      <c r="E21" s="880"/>
      <c r="F21" s="880"/>
      <c r="G21" s="219"/>
      <c r="H21" s="880"/>
      <c r="I21" s="880"/>
      <c r="J21" s="880"/>
      <c r="K21" s="880"/>
      <c r="L21" s="874"/>
      <c r="M21" s="874"/>
      <c r="N21" s="874"/>
      <c r="O21" s="874"/>
      <c r="P21" s="874"/>
      <c r="Q21" s="874"/>
      <c r="R21" s="874"/>
      <c r="S21" s="874"/>
      <c r="T21" s="874"/>
      <c r="U21" s="874"/>
      <c r="V21" s="874"/>
      <c r="W21" s="874"/>
      <c r="X21" s="874"/>
      <c r="Y21" s="874"/>
      <c r="Z21" s="874"/>
    </row>
    <row r="22" ht="63.75" customHeight="1">
      <c r="A22" s="880"/>
      <c r="B22" s="880"/>
      <c r="C22" s="880"/>
      <c r="D22" s="881"/>
      <c r="E22" s="880"/>
      <c r="F22" s="880"/>
      <c r="G22" s="219"/>
      <c r="H22" s="880"/>
      <c r="I22" s="880"/>
      <c r="J22" s="880"/>
      <c r="K22" s="880"/>
      <c r="L22" s="874"/>
      <c r="M22" s="874"/>
      <c r="N22" s="874"/>
      <c r="O22" s="874"/>
      <c r="P22" s="874"/>
      <c r="Q22" s="874"/>
      <c r="R22" s="874"/>
      <c r="S22" s="874"/>
      <c r="T22" s="874"/>
      <c r="U22" s="874"/>
      <c r="V22" s="874"/>
      <c r="W22" s="874"/>
      <c r="X22" s="874"/>
      <c r="Y22" s="874"/>
      <c r="Z22" s="874"/>
    </row>
    <row r="23" ht="63.75" customHeight="1">
      <c r="A23" s="880"/>
      <c r="B23" s="880"/>
      <c r="C23" s="880"/>
      <c r="D23" s="881"/>
      <c r="E23" s="880"/>
      <c r="F23" s="880"/>
      <c r="G23" s="219"/>
      <c r="H23" s="880"/>
      <c r="I23" s="880"/>
      <c r="J23" s="880"/>
      <c r="K23" s="880"/>
      <c r="L23" s="874"/>
      <c r="M23" s="874"/>
      <c r="N23" s="874"/>
      <c r="O23" s="874"/>
      <c r="P23" s="874"/>
      <c r="Q23" s="874"/>
      <c r="R23" s="874"/>
      <c r="S23" s="874"/>
      <c r="T23" s="874"/>
      <c r="U23" s="874"/>
      <c r="V23" s="874"/>
      <c r="W23" s="874"/>
      <c r="X23" s="874"/>
      <c r="Y23" s="874"/>
      <c r="Z23" s="874"/>
    </row>
    <row r="24" ht="63.75" customHeight="1">
      <c r="A24" s="880"/>
      <c r="B24" s="880"/>
      <c r="C24" s="880"/>
      <c r="D24" s="881"/>
      <c r="E24" s="880"/>
      <c r="F24" s="880"/>
      <c r="G24" s="219"/>
      <c r="H24" s="880"/>
      <c r="I24" s="880"/>
      <c r="J24" s="880"/>
      <c r="K24" s="880"/>
      <c r="L24" s="874"/>
      <c r="M24" s="874"/>
      <c r="N24" s="874"/>
      <c r="O24" s="874"/>
      <c r="P24" s="874"/>
      <c r="Q24" s="874"/>
      <c r="R24" s="874"/>
      <c r="S24" s="874"/>
      <c r="T24" s="874"/>
      <c r="U24" s="874"/>
      <c r="V24" s="874"/>
      <c r="W24" s="874"/>
      <c r="X24" s="874"/>
      <c r="Y24" s="874"/>
      <c r="Z24" s="874"/>
    </row>
    <row r="25" ht="63.75" customHeight="1">
      <c r="A25" s="880"/>
      <c r="B25" s="880"/>
      <c r="C25" s="880"/>
      <c r="D25" s="881"/>
      <c r="E25" s="880"/>
      <c r="F25" s="880"/>
      <c r="G25" s="219"/>
      <c r="H25" s="880"/>
      <c r="I25" s="880"/>
      <c r="J25" s="880"/>
      <c r="K25" s="880"/>
      <c r="L25" s="874"/>
      <c r="M25" s="874"/>
      <c r="N25" s="874"/>
      <c r="O25" s="874"/>
      <c r="P25" s="874"/>
      <c r="Q25" s="874"/>
      <c r="R25" s="874"/>
      <c r="S25" s="874"/>
      <c r="T25" s="874"/>
      <c r="U25" s="874"/>
      <c r="V25" s="874"/>
      <c r="W25" s="874"/>
      <c r="X25" s="874"/>
      <c r="Y25" s="874"/>
      <c r="Z25" s="874"/>
    </row>
    <row r="26" ht="63.75" customHeight="1">
      <c r="A26" s="880"/>
      <c r="B26" s="880"/>
      <c r="C26" s="880"/>
      <c r="D26" s="881"/>
      <c r="E26" s="880"/>
      <c r="F26" s="880"/>
      <c r="G26" s="219"/>
      <c r="H26" s="880"/>
      <c r="I26" s="880"/>
      <c r="J26" s="880"/>
      <c r="K26" s="880"/>
      <c r="L26" s="874"/>
      <c r="M26" s="874"/>
      <c r="N26" s="874"/>
      <c r="O26" s="874"/>
      <c r="P26" s="874"/>
      <c r="Q26" s="874"/>
      <c r="R26" s="874"/>
      <c r="S26" s="874"/>
      <c r="T26" s="874"/>
      <c r="U26" s="874"/>
      <c r="V26" s="874"/>
      <c r="W26" s="874"/>
      <c r="X26" s="874"/>
      <c r="Y26" s="874"/>
      <c r="Z26" s="874"/>
    </row>
    <row r="27" ht="63.75" customHeight="1">
      <c r="A27" s="880"/>
      <c r="B27" s="880"/>
      <c r="C27" s="880"/>
      <c r="D27" s="881"/>
      <c r="E27" s="880"/>
      <c r="F27" s="880"/>
      <c r="G27" s="219"/>
      <c r="H27" s="218"/>
      <c r="I27" s="880"/>
      <c r="J27" s="880"/>
      <c r="K27" s="880"/>
      <c r="L27" s="874"/>
      <c r="M27" s="874"/>
      <c r="N27" s="874"/>
      <c r="O27" s="874"/>
      <c r="P27" s="874"/>
      <c r="Q27" s="874"/>
      <c r="R27" s="874"/>
      <c r="S27" s="874"/>
      <c r="T27" s="874"/>
      <c r="U27" s="874"/>
      <c r="V27" s="874"/>
      <c r="W27" s="874"/>
      <c r="X27" s="874"/>
      <c r="Y27" s="874"/>
      <c r="Z27" s="874"/>
    </row>
    <row r="28" ht="63.75" customHeight="1">
      <c r="A28" s="880"/>
      <c r="B28" s="880"/>
      <c r="C28" s="880"/>
      <c r="D28" s="881"/>
      <c r="E28" s="880"/>
      <c r="F28" s="880"/>
      <c r="G28" s="219"/>
      <c r="H28" s="218"/>
      <c r="I28" s="880"/>
      <c r="J28" s="880"/>
      <c r="K28" s="880"/>
      <c r="L28" s="874"/>
      <c r="M28" s="874"/>
      <c r="N28" s="874"/>
      <c r="O28" s="874"/>
      <c r="P28" s="874"/>
      <c r="Q28" s="874"/>
      <c r="R28" s="874"/>
      <c r="S28" s="874"/>
      <c r="T28" s="874"/>
      <c r="U28" s="874"/>
      <c r="V28" s="874"/>
      <c r="W28" s="874"/>
      <c r="X28" s="874"/>
      <c r="Y28" s="874"/>
      <c r="Z28" s="874"/>
    </row>
    <row r="29" ht="63.75" customHeight="1">
      <c r="A29" s="880"/>
      <c r="B29" s="880"/>
      <c r="C29" s="880"/>
      <c r="D29" s="881"/>
      <c r="E29" s="880"/>
      <c r="F29" s="880"/>
      <c r="G29" s="219"/>
      <c r="H29" s="218"/>
      <c r="I29" s="880"/>
      <c r="J29" s="880"/>
      <c r="K29" s="880"/>
      <c r="L29" s="874"/>
      <c r="M29" s="874"/>
      <c r="N29" s="874"/>
      <c r="O29" s="874"/>
      <c r="P29" s="874"/>
      <c r="Q29" s="874"/>
      <c r="R29" s="874"/>
      <c r="S29" s="874"/>
      <c r="T29" s="874"/>
      <c r="U29" s="874"/>
      <c r="V29" s="874"/>
      <c r="W29" s="874"/>
      <c r="X29" s="874"/>
      <c r="Y29" s="874"/>
      <c r="Z29" s="874"/>
    </row>
    <row r="30" ht="63.75" customHeight="1">
      <c r="A30" s="880"/>
      <c r="B30" s="880"/>
      <c r="C30" s="880"/>
      <c r="D30" s="881"/>
      <c r="E30" s="880"/>
      <c r="F30" s="880"/>
      <c r="G30" s="219"/>
      <c r="H30" s="218"/>
      <c r="I30" s="880"/>
      <c r="J30" s="880"/>
      <c r="K30" s="880"/>
      <c r="L30" s="874"/>
      <c r="M30" s="874"/>
      <c r="N30" s="874"/>
      <c r="O30" s="874"/>
      <c r="P30" s="874"/>
      <c r="Q30" s="874"/>
      <c r="R30" s="874"/>
      <c r="S30" s="874"/>
      <c r="T30" s="874"/>
      <c r="U30" s="874"/>
      <c r="V30" s="874"/>
      <c r="W30" s="874"/>
      <c r="X30" s="874"/>
      <c r="Y30" s="874"/>
      <c r="Z30" s="874"/>
    </row>
    <row r="31" ht="63.75" customHeight="1">
      <c r="A31" s="880"/>
      <c r="B31" s="880"/>
      <c r="C31" s="880"/>
      <c r="D31" s="881"/>
      <c r="E31" s="880"/>
      <c r="F31" s="880"/>
      <c r="G31" s="219"/>
      <c r="H31" s="218"/>
      <c r="I31" s="880"/>
      <c r="J31" s="880"/>
      <c r="K31" s="880"/>
      <c r="L31" s="874"/>
      <c r="M31" s="874"/>
      <c r="N31" s="874"/>
      <c r="O31" s="874"/>
      <c r="P31" s="874"/>
      <c r="Q31" s="874"/>
      <c r="R31" s="874"/>
      <c r="S31" s="874"/>
      <c r="T31" s="874"/>
      <c r="U31" s="874"/>
      <c r="V31" s="874"/>
      <c r="W31" s="874"/>
      <c r="X31" s="874"/>
      <c r="Y31" s="874"/>
      <c r="Z31" s="874"/>
    </row>
    <row r="32" ht="63.75" customHeight="1">
      <c r="A32" s="880"/>
      <c r="B32" s="880"/>
      <c r="C32" s="880"/>
      <c r="D32" s="881"/>
      <c r="E32" s="880"/>
      <c r="F32" s="880"/>
      <c r="G32" s="219"/>
      <c r="H32" s="880"/>
      <c r="I32" s="880"/>
      <c r="J32" s="880"/>
      <c r="K32" s="880"/>
      <c r="L32" s="874"/>
      <c r="M32" s="874"/>
      <c r="N32" s="874"/>
      <c r="O32" s="874"/>
      <c r="P32" s="874"/>
      <c r="Q32" s="874"/>
      <c r="R32" s="874"/>
      <c r="S32" s="874"/>
      <c r="T32" s="874"/>
      <c r="U32" s="874"/>
      <c r="V32" s="874"/>
      <c r="W32" s="874"/>
      <c r="X32" s="874"/>
      <c r="Y32" s="874"/>
      <c r="Z32" s="874"/>
    </row>
    <row r="33" ht="63.75" customHeight="1">
      <c r="A33" s="880"/>
      <c r="B33" s="880"/>
      <c r="C33" s="880"/>
      <c r="D33" s="881"/>
      <c r="E33" s="880"/>
      <c r="F33" s="880"/>
      <c r="G33" s="219"/>
      <c r="H33" s="880"/>
      <c r="I33" s="880"/>
      <c r="J33" s="880"/>
      <c r="K33" s="880"/>
      <c r="L33" s="874"/>
      <c r="M33" s="874"/>
      <c r="N33" s="874"/>
      <c r="O33" s="874"/>
      <c r="P33" s="874"/>
      <c r="Q33" s="874"/>
      <c r="R33" s="874"/>
      <c r="S33" s="874"/>
      <c r="T33" s="874"/>
      <c r="U33" s="874"/>
      <c r="V33" s="874"/>
      <c r="W33" s="874"/>
      <c r="X33" s="874"/>
      <c r="Y33" s="874"/>
      <c r="Z33" s="874"/>
    </row>
    <row r="34" ht="63.75" customHeight="1">
      <c r="A34" s="880"/>
      <c r="B34" s="880"/>
      <c r="C34" s="880"/>
      <c r="D34" s="881"/>
      <c r="E34" s="880"/>
      <c r="F34" s="880"/>
      <c r="G34" s="219"/>
      <c r="H34" s="880"/>
      <c r="I34" s="880"/>
      <c r="J34" s="880"/>
      <c r="K34" s="880"/>
      <c r="L34" s="874"/>
      <c r="M34" s="874"/>
      <c r="N34" s="874"/>
      <c r="O34" s="874"/>
      <c r="P34" s="874"/>
      <c r="Q34" s="874"/>
      <c r="R34" s="874"/>
      <c r="S34" s="874"/>
      <c r="T34" s="874"/>
      <c r="U34" s="874"/>
      <c r="V34" s="874"/>
      <c r="W34" s="874"/>
      <c r="X34" s="874"/>
      <c r="Y34" s="874"/>
      <c r="Z34" s="874"/>
    </row>
    <row r="35" ht="63.75" customHeight="1">
      <c r="A35" s="874"/>
      <c r="B35" s="874"/>
      <c r="C35" s="874"/>
      <c r="D35" s="882"/>
      <c r="E35" s="874"/>
      <c r="F35" s="874"/>
      <c r="G35" s="864"/>
      <c r="H35" s="874"/>
      <c r="I35" s="874"/>
      <c r="J35" s="874"/>
      <c r="K35" s="874"/>
      <c r="L35" s="874"/>
      <c r="M35" s="874"/>
      <c r="N35" s="874"/>
      <c r="O35" s="874"/>
      <c r="P35" s="874"/>
      <c r="Q35" s="874"/>
      <c r="R35" s="874"/>
      <c r="S35" s="874"/>
      <c r="T35" s="874"/>
      <c r="U35" s="874"/>
      <c r="V35" s="874"/>
      <c r="W35" s="874"/>
      <c r="X35" s="874"/>
      <c r="Y35" s="874"/>
      <c r="Z35" s="874"/>
    </row>
    <row r="36" ht="63.75" customHeight="1">
      <c r="A36" s="874"/>
      <c r="B36" s="874"/>
      <c r="C36" s="874"/>
      <c r="D36" s="882"/>
      <c r="E36" s="874"/>
      <c r="F36" s="874"/>
      <c r="G36" s="864"/>
      <c r="H36" s="874"/>
      <c r="I36" s="874"/>
      <c r="J36" s="874"/>
      <c r="K36" s="874"/>
      <c r="L36" s="874"/>
      <c r="M36" s="874"/>
      <c r="N36" s="874"/>
      <c r="O36" s="874"/>
      <c r="P36" s="874"/>
      <c r="Q36" s="874"/>
      <c r="R36" s="874"/>
      <c r="S36" s="874"/>
      <c r="T36" s="874"/>
      <c r="U36" s="874"/>
      <c r="V36" s="874"/>
      <c r="W36" s="874"/>
      <c r="X36" s="874"/>
      <c r="Y36" s="874"/>
      <c r="Z36" s="874"/>
    </row>
    <row r="37" ht="63.75" customHeight="1">
      <c r="A37" s="874"/>
      <c r="B37" s="874"/>
      <c r="C37" s="874"/>
      <c r="D37" s="882"/>
      <c r="E37" s="874"/>
      <c r="F37" s="874"/>
      <c r="G37" s="864"/>
      <c r="H37" s="874"/>
      <c r="I37" s="874"/>
      <c r="J37" s="874"/>
      <c r="K37" s="874"/>
      <c r="L37" s="874"/>
      <c r="M37" s="874"/>
      <c r="N37" s="874"/>
      <c r="O37" s="874"/>
      <c r="P37" s="874"/>
      <c r="Q37" s="874"/>
      <c r="R37" s="874"/>
      <c r="S37" s="874"/>
      <c r="T37" s="874"/>
      <c r="U37" s="874"/>
      <c r="V37" s="874"/>
      <c r="W37" s="874"/>
      <c r="X37" s="874"/>
      <c r="Y37" s="874"/>
      <c r="Z37" s="874"/>
    </row>
    <row r="38" ht="63.75" customHeight="1">
      <c r="A38" s="874"/>
      <c r="B38" s="874"/>
      <c r="C38" s="874"/>
      <c r="D38" s="882"/>
      <c r="E38" s="874"/>
      <c r="F38" s="874"/>
      <c r="G38" s="864"/>
      <c r="H38" s="874"/>
      <c r="I38" s="874"/>
      <c r="J38" s="874"/>
      <c r="K38" s="874"/>
      <c r="L38" s="874"/>
      <c r="M38" s="874"/>
      <c r="N38" s="874"/>
      <c r="O38" s="874"/>
      <c r="P38" s="874"/>
      <c r="Q38" s="874"/>
      <c r="R38" s="874"/>
      <c r="S38" s="874"/>
      <c r="T38" s="874"/>
      <c r="U38" s="874"/>
      <c r="V38" s="874"/>
      <c r="W38" s="874"/>
      <c r="X38" s="874"/>
      <c r="Y38" s="874"/>
      <c r="Z38" s="874"/>
    </row>
    <row r="39" ht="63.75" customHeight="1">
      <c r="A39" s="874"/>
      <c r="B39" s="874"/>
      <c r="C39" s="874"/>
      <c r="D39" s="882"/>
      <c r="E39" s="874"/>
      <c r="F39" s="874"/>
      <c r="G39" s="864"/>
      <c r="H39" s="874"/>
      <c r="I39" s="874"/>
      <c r="J39" s="874"/>
      <c r="K39" s="874"/>
      <c r="L39" s="874"/>
      <c r="M39" s="874"/>
      <c r="N39" s="874"/>
      <c r="O39" s="874"/>
      <c r="P39" s="874"/>
      <c r="Q39" s="874"/>
      <c r="R39" s="874"/>
      <c r="S39" s="874"/>
      <c r="T39" s="874"/>
      <c r="U39" s="874"/>
      <c r="V39" s="874"/>
      <c r="W39" s="874"/>
      <c r="X39" s="874"/>
      <c r="Y39" s="874"/>
      <c r="Z39" s="874"/>
    </row>
    <row r="40" ht="63.75" customHeight="1">
      <c r="A40" s="874"/>
      <c r="B40" s="874"/>
      <c r="C40" s="874"/>
      <c r="D40" s="882"/>
      <c r="E40" s="874"/>
      <c r="F40" s="874"/>
      <c r="G40" s="864"/>
      <c r="H40" s="874"/>
      <c r="I40" s="874"/>
      <c r="J40" s="874"/>
      <c r="K40" s="874"/>
      <c r="L40" s="874"/>
      <c r="M40" s="874"/>
      <c r="N40" s="874"/>
      <c r="O40" s="874"/>
      <c r="P40" s="874"/>
      <c r="Q40" s="874"/>
      <c r="R40" s="874"/>
      <c r="S40" s="874"/>
      <c r="T40" s="874"/>
      <c r="U40" s="874"/>
      <c r="V40" s="874"/>
      <c r="W40" s="874"/>
      <c r="X40" s="874"/>
      <c r="Y40" s="874"/>
      <c r="Z40" s="874"/>
    </row>
    <row r="41" ht="63.75" customHeight="1">
      <c r="A41" s="874"/>
      <c r="B41" s="874"/>
      <c r="C41" s="874"/>
      <c r="D41" s="882"/>
      <c r="E41" s="874"/>
      <c r="F41" s="874"/>
      <c r="G41" s="864"/>
      <c r="H41" s="874"/>
      <c r="I41" s="874"/>
      <c r="J41" s="874"/>
      <c r="K41" s="874"/>
      <c r="L41" s="874"/>
      <c r="M41" s="874"/>
      <c r="N41" s="874"/>
      <c r="O41" s="874"/>
      <c r="P41" s="874"/>
      <c r="Q41" s="874"/>
      <c r="R41" s="874"/>
      <c r="S41" s="874"/>
      <c r="T41" s="874"/>
      <c r="U41" s="874"/>
      <c r="V41" s="874"/>
      <c r="W41" s="874"/>
      <c r="X41" s="874"/>
      <c r="Y41" s="874"/>
      <c r="Z41" s="874"/>
    </row>
    <row r="42" ht="63.75" customHeight="1">
      <c r="A42" s="874"/>
      <c r="B42" s="874"/>
      <c r="C42" s="874"/>
      <c r="D42" s="882"/>
      <c r="E42" s="874"/>
      <c r="F42" s="874"/>
      <c r="G42" s="864"/>
      <c r="H42" s="874"/>
      <c r="I42" s="874"/>
      <c r="J42" s="874"/>
      <c r="K42" s="874"/>
      <c r="L42" s="874"/>
      <c r="M42" s="874"/>
      <c r="N42" s="874"/>
      <c r="O42" s="874"/>
      <c r="P42" s="874"/>
      <c r="Q42" s="874"/>
      <c r="R42" s="874"/>
      <c r="S42" s="874"/>
      <c r="T42" s="874"/>
      <c r="U42" s="874"/>
      <c r="V42" s="874"/>
      <c r="W42" s="874"/>
      <c r="X42" s="874"/>
      <c r="Y42" s="874"/>
      <c r="Z42" s="874"/>
    </row>
    <row r="43" ht="63.75" customHeight="1">
      <c r="A43" s="874"/>
      <c r="B43" s="874"/>
      <c r="C43" s="874"/>
      <c r="D43" s="882"/>
      <c r="E43" s="874"/>
      <c r="F43" s="874"/>
      <c r="G43" s="864"/>
      <c r="H43" s="874"/>
      <c r="I43" s="874"/>
      <c r="J43" s="874"/>
      <c r="K43" s="874"/>
      <c r="L43" s="874"/>
      <c r="M43" s="874"/>
      <c r="N43" s="874"/>
      <c r="O43" s="874"/>
      <c r="P43" s="874"/>
      <c r="Q43" s="874"/>
      <c r="R43" s="874"/>
      <c r="S43" s="874"/>
      <c r="T43" s="874"/>
      <c r="U43" s="874"/>
      <c r="V43" s="874"/>
      <c r="W43" s="874"/>
      <c r="X43" s="874"/>
      <c r="Y43" s="874"/>
      <c r="Z43" s="874"/>
    </row>
    <row r="44" ht="63.75" customHeight="1">
      <c r="A44" s="874"/>
      <c r="B44" s="874"/>
      <c r="C44" s="874"/>
      <c r="D44" s="882"/>
      <c r="E44" s="874"/>
      <c r="F44" s="874"/>
      <c r="G44" s="864"/>
      <c r="H44" s="874"/>
      <c r="I44" s="874"/>
      <c r="J44" s="874"/>
      <c r="K44" s="874"/>
      <c r="L44" s="874"/>
      <c r="M44" s="874"/>
      <c r="N44" s="874"/>
      <c r="O44" s="874"/>
      <c r="P44" s="874"/>
      <c r="Q44" s="874"/>
      <c r="R44" s="874"/>
      <c r="S44" s="874"/>
      <c r="T44" s="874"/>
      <c r="U44" s="874"/>
      <c r="V44" s="874"/>
      <c r="W44" s="874"/>
      <c r="X44" s="874"/>
      <c r="Y44" s="874"/>
      <c r="Z44" s="874"/>
    </row>
    <row r="45" ht="63.75" customHeight="1">
      <c r="A45" s="874"/>
      <c r="B45" s="874"/>
      <c r="C45" s="874"/>
      <c r="D45" s="882"/>
      <c r="E45" s="874"/>
      <c r="F45" s="874"/>
      <c r="G45" s="864"/>
      <c r="H45" s="874"/>
      <c r="I45" s="874"/>
      <c r="J45" s="874"/>
      <c r="K45" s="874"/>
      <c r="L45" s="874"/>
      <c r="M45" s="874"/>
      <c r="N45" s="874"/>
      <c r="O45" s="874"/>
      <c r="P45" s="874"/>
      <c r="Q45" s="874"/>
      <c r="R45" s="874"/>
      <c r="S45" s="874"/>
      <c r="T45" s="874"/>
      <c r="U45" s="874"/>
      <c r="V45" s="874"/>
      <c r="W45" s="874"/>
      <c r="X45" s="874"/>
      <c r="Y45" s="874"/>
      <c r="Z45" s="874"/>
    </row>
    <row r="46" ht="63.75" customHeight="1">
      <c r="A46" s="874"/>
      <c r="B46" s="874"/>
      <c r="C46" s="874"/>
      <c r="D46" s="882"/>
      <c r="E46" s="874"/>
      <c r="F46" s="874"/>
      <c r="G46" s="864"/>
      <c r="H46" s="874"/>
      <c r="I46" s="874"/>
      <c r="J46" s="874"/>
      <c r="K46" s="874"/>
      <c r="L46" s="874"/>
      <c r="M46" s="874"/>
      <c r="N46" s="874"/>
      <c r="O46" s="874"/>
      <c r="P46" s="874"/>
      <c r="Q46" s="874"/>
      <c r="R46" s="874"/>
      <c r="S46" s="874"/>
      <c r="T46" s="874"/>
      <c r="U46" s="874"/>
      <c r="V46" s="874"/>
      <c r="W46" s="874"/>
      <c r="X46" s="874"/>
      <c r="Y46" s="874"/>
      <c r="Z46" s="874"/>
    </row>
    <row r="47" ht="63.75" customHeight="1">
      <c r="A47" s="874"/>
      <c r="B47" s="874"/>
      <c r="C47" s="874"/>
      <c r="D47" s="882"/>
      <c r="E47" s="874"/>
      <c r="F47" s="874"/>
      <c r="G47" s="864"/>
      <c r="H47" s="874"/>
      <c r="I47" s="874"/>
      <c r="J47" s="874"/>
      <c r="K47" s="874"/>
      <c r="L47" s="874"/>
      <c r="M47" s="874"/>
      <c r="N47" s="874"/>
      <c r="O47" s="874"/>
      <c r="P47" s="874"/>
      <c r="Q47" s="874"/>
      <c r="R47" s="874"/>
      <c r="S47" s="874"/>
      <c r="T47" s="874"/>
      <c r="U47" s="874"/>
      <c r="V47" s="874"/>
      <c r="W47" s="874"/>
      <c r="X47" s="874"/>
      <c r="Y47" s="874"/>
      <c r="Z47" s="874"/>
    </row>
    <row r="48" ht="63.75" customHeight="1">
      <c r="A48" s="874"/>
      <c r="B48" s="874"/>
      <c r="C48" s="874"/>
      <c r="D48" s="882"/>
      <c r="E48" s="874"/>
      <c r="F48" s="874"/>
      <c r="G48" s="864"/>
      <c r="H48" s="874"/>
      <c r="I48" s="874"/>
      <c r="J48" s="874"/>
      <c r="K48" s="874"/>
      <c r="L48" s="874"/>
      <c r="M48" s="874"/>
      <c r="N48" s="874"/>
      <c r="O48" s="874"/>
      <c r="P48" s="874"/>
      <c r="Q48" s="874"/>
      <c r="R48" s="874"/>
      <c r="S48" s="874"/>
      <c r="T48" s="874"/>
      <c r="U48" s="874"/>
      <c r="V48" s="874"/>
      <c r="W48" s="874"/>
      <c r="X48" s="874"/>
      <c r="Y48" s="874"/>
      <c r="Z48" s="874"/>
    </row>
    <row r="49" ht="63.75" customHeight="1">
      <c r="A49" s="874"/>
      <c r="B49" s="874"/>
      <c r="C49" s="874"/>
      <c r="D49" s="882"/>
      <c r="E49" s="874"/>
      <c r="F49" s="874"/>
      <c r="G49" s="864"/>
      <c r="H49" s="874"/>
      <c r="I49" s="874"/>
      <c r="J49" s="874"/>
      <c r="K49" s="874"/>
      <c r="L49" s="874"/>
      <c r="M49" s="874"/>
      <c r="N49" s="874"/>
      <c r="O49" s="874"/>
      <c r="P49" s="874"/>
      <c r="Q49" s="874"/>
      <c r="R49" s="874"/>
      <c r="S49" s="874"/>
      <c r="T49" s="874"/>
      <c r="U49" s="874"/>
      <c r="V49" s="874"/>
      <c r="W49" s="874"/>
      <c r="X49" s="874"/>
      <c r="Y49" s="874"/>
      <c r="Z49" s="874"/>
    </row>
    <row r="50" ht="63.75" customHeight="1">
      <c r="A50" s="874"/>
      <c r="B50" s="874"/>
      <c r="C50" s="874"/>
      <c r="D50" s="882"/>
      <c r="E50" s="874"/>
      <c r="F50" s="874"/>
      <c r="G50" s="864"/>
      <c r="H50" s="874"/>
      <c r="I50" s="874"/>
      <c r="J50" s="874"/>
      <c r="K50" s="874"/>
      <c r="L50" s="874"/>
      <c r="M50" s="874"/>
      <c r="N50" s="874"/>
      <c r="O50" s="874"/>
      <c r="P50" s="874"/>
      <c r="Q50" s="874"/>
      <c r="R50" s="874"/>
      <c r="S50" s="874"/>
      <c r="T50" s="874"/>
      <c r="U50" s="874"/>
      <c r="V50" s="874"/>
      <c r="W50" s="874"/>
      <c r="X50" s="874"/>
      <c r="Y50" s="874"/>
      <c r="Z50" s="874"/>
    </row>
    <row r="51" ht="63.75" customHeight="1">
      <c r="A51" s="874"/>
      <c r="B51" s="874"/>
      <c r="C51" s="874"/>
      <c r="D51" s="882"/>
      <c r="E51" s="874"/>
      <c r="F51" s="874"/>
      <c r="G51" s="864"/>
      <c r="H51" s="874"/>
      <c r="I51" s="874"/>
      <c r="J51" s="874"/>
      <c r="K51" s="874"/>
      <c r="L51" s="874"/>
      <c r="M51" s="874"/>
      <c r="N51" s="874"/>
      <c r="O51" s="874"/>
      <c r="P51" s="874"/>
      <c r="Q51" s="874"/>
      <c r="R51" s="874"/>
      <c r="S51" s="874"/>
      <c r="T51" s="874"/>
      <c r="U51" s="874"/>
      <c r="V51" s="874"/>
      <c r="W51" s="874"/>
      <c r="X51" s="874"/>
      <c r="Y51" s="874"/>
      <c r="Z51" s="874"/>
    </row>
    <row r="52" ht="63.75" customHeight="1">
      <c r="A52" s="874"/>
      <c r="B52" s="874"/>
      <c r="C52" s="874"/>
      <c r="D52" s="882"/>
      <c r="E52" s="874"/>
      <c r="F52" s="874"/>
      <c r="G52" s="864"/>
      <c r="H52" s="874"/>
      <c r="I52" s="874"/>
      <c r="J52" s="874"/>
      <c r="K52" s="874"/>
      <c r="L52" s="874"/>
      <c r="M52" s="874"/>
      <c r="N52" s="874"/>
      <c r="O52" s="874"/>
      <c r="P52" s="874"/>
      <c r="Q52" s="874"/>
      <c r="R52" s="874"/>
      <c r="S52" s="874"/>
      <c r="T52" s="874"/>
      <c r="U52" s="874"/>
      <c r="V52" s="874"/>
      <c r="W52" s="874"/>
      <c r="X52" s="874"/>
      <c r="Y52" s="874"/>
      <c r="Z52" s="874"/>
    </row>
    <row r="53" ht="63.75" customHeight="1">
      <c r="A53" s="874"/>
      <c r="B53" s="874"/>
      <c r="C53" s="874"/>
      <c r="D53" s="882"/>
      <c r="E53" s="874"/>
      <c r="F53" s="874"/>
      <c r="G53" s="864"/>
      <c r="H53" s="874"/>
      <c r="I53" s="874"/>
      <c r="J53" s="874"/>
      <c r="K53" s="874"/>
      <c r="L53" s="874"/>
      <c r="M53" s="874"/>
      <c r="N53" s="874"/>
      <c r="O53" s="874"/>
      <c r="P53" s="874"/>
      <c r="Q53" s="874"/>
      <c r="R53" s="874"/>
      <c r="S53" s="874"/>
      <c r="T53" s="874"/>
      <c r="U53" s="874"/>
      <c r="V53" s="874"/>
      <c r="W53" s="874"/>
      <c r="X53" s="874"/>
      <c r="Y53" s="874"/>
      <c r="Z53" s="874"/>
    </row>
    <row r="54" ht="63.75" customHeight="1">
      <c r="A54" s="874"/>
      <c r="B54" s="874"/>
      <c r="C54" s="874"/>
      <c r="D54" s="882"/>
      <c r="E54" s="874"/>
      <c r="F54" s="874"/>
      <c r="G54" s="864"/>
      <c r="H54" s="874"/>
      <c r="I54" s="874"/>
      <c r="J54" s="874"/>
      <c r="K54" s="874"/>
      <c r="L54" s="874"/>
      <c r="M54" s="874"/>
      <c r="N54" s="874"/>
      <c r="O54" s="874"/>
      <c r="P54" s="874"/>
      <c r="Q54" s="874"/>
      <c r="R54" s="874"/>
      <c r="S54" s="874"/>
      <c r="T54" s="874"/>
      <c r="U54" s="874"/>
      <c r="V54" s="874"/>
      <c r="W54" s="874"/>
      <c r="X54" s="874"/>
      <c r="Y54" s="874"/>
      <c r="Z54" s="874"/>
    </row>
    <row r="55" ht="63.75" customHeight="1">
      <c r="A55" s="874"/>
      <c r="B55" s="874"/>
      <c r="C55" s="874"/>
      <c r="D55" s="882"/>
      <c r="E55" s="874"/>
      <c r="F55" s="874"/>
      <c r="G55" s="864"/>
      <c r="H55" s="874"/>
      <c r="I55" s="874"/>
      <c r="J55" s="874"/>
      <c r="K55" s="874"/>
      <c r="L55" s="874"/>
      <c r="M55" s="874"/>
      <c r="N55" s="874"/>
      <c r="O55" s="874"/>
      <c r="P55" s="874"/>
      <c r="Q55" s="874"/>
      <c r="R55" s="874"/>
      <c r="S55" s="874"/>
      <c r="T55" s="874"/>
      <c r="U55" s="874"/>
      <c r="V55" s="874"/>
      <c r="W55" s="874"/>
      <c r="X55" s="874"/>
      <c r="Y55" s="874"/>
      <c r="Z55" s="874"/>
    </row>
    <row r="56" ht="63.75" customHeight="1">
      <c r="A56" s="874"/>
      <c r="B56" s="874"/>
      <c r="C56" s="874"/>
      <c r="D56" s="882"/>
      <c r="E56" s="874"/>
      <c r="F56" s="874"/>
      <c r="G56" s="864"/>
      <c r="H56" s="874"/>
      <c r="I56" s="874"/>
      <c r="J56" s="874"/>
      <c r="K56" s="874"/>
      <c r="L56" s="874"/>
      <c r="M56" s="874"/>
      <c r="N56" s="874"/>
      <c r="O56" s="874"/>
      <c r="P56" s="874"/>
      <c r="Q56" s="874"/>
      <c r="R56" s="874"/>
      <c r="S56" s="874"/>
      <c r="T56" s="874"/>
      <c r="U56" s="874"/>
      <c r="V56" s="874"/>
      <c r="W56" s="874"/>
      <c r="X56" s="874"/>
      <c r="Y56" s="874"/>
      <c r="Z56" s="874"/>
    </row>
    <row r="57" ht="63.75" customHeight="1">
      <c r="A57" s="874"/>
      <c r="B57" s="874"/>
      <c r="C57" s="874"/>
      <c r="D57" s="882"/>
      <c r="E57" s="874"/>
      <c r="F57" s="874"/>
      <c r="G57" s="864"/>
      <c r="H57" s="874"/>
      <c r="I57" s="874"/>
      <c r="J57" s="874"/>
      <c r="K57" s="874"/>
      <c r="L57" s="874"/>
      <c r="M57" s="874"/>
      <c r="N57" s="874"/>
      <c r="O57" s="874"/>
      <c r="P57" s="874"/>
      <c r="Q57" s="874"/>
      <c r="R57" s="874"/>
      <c r="S57" s="874"/>
      <c r="T57" s="874"/>
      <c r="U57" s="874"/>
      <c r="V57" s="874"/>
      <c r="W57" s="874"/>
      <c r="X57" s="874"/>
      <c r="Y57" s="874"/>
      <c r="Z57" s="874"/>
    </row>
    <row r="58" ht="63.75" customHeight="1">
      <c r="A58" s="874"/>
      <c r="B58" s="874"/>
      <c r="C58" s="874"/>
      <c r="D58" s="882"/>
      <c r="E58" s="874"/>
      <c r="F58" s="874"/>
      <c r="G58" s="864"/>
      <c r="H58" s="874"/>
      <c r="I58" s="874"/>
      <c r="J58" s="874"/>
      <c r="K58" s="874"/>
      <c r="L58" s="874"/>
      <c r="M58" s="874"/>
      <c r="N58" s="874"/>
      <c r="O58" s="874"/>
      <c r="P58" s="874"/>
      <c r="Q58" s="874"/>
      <c r="R58" s="874"/>
      <c r="S58" s="874"/>
      <c r="T58" s="874"/>
      <c r="U58" s="874"/>
      <c r="V58" s="874"/>
      <c r="W58" s="874"/>
      <c r="X58" s="874"/>
      <c r="Y58" s="874"/>
      <c r="Z58" s="874"/>
    </row>
    <row r="59" ht="63.75" customHeight="1">
      <c r="A59" s="874"/>
      <c r="B59" s="874"/>
      <c r="C59" s="874"/>
      <c r="D59" s="882"/>
      <c r="E59" s="874"/>
      <c r="F59" s="874"/>
      <c r="G59" s="864"/>
      <c r="H59" s="874"/>
      <c r="I59" s="874"/>
      <c r="J59" s="874"/>
      <c r="K59" s="874"/>
      <c r="L59" s="874"/>
      <c r="M59" s="874"/>
      <c r="N59" s="874"/>
      <c r="O59" s="874"/>
      <c r="P59" s="874"/>
      <c r="Q59" s="874"/>
      <c r="R59" s="874"/>
      <c r="S59" s="874"/>
      <c r="T59" s="874"/>
      <c r="U59" s="874"/>
      <c r="V59" s="874"/>
      <c r="W59" s="874"/>
      <c r="X59" s="874"/>
      <c r="Y59" s="874"/>
      <c r="Z59" s="874"/>
    </row>
    <row r="60" ht="63.75" customHeight="1">
      <c r="A60" s="874"/>
      <c r="B60" s="874"/>
      <c r="C60" s="874"/>
      <c r="D60" s="882"/>
      <c r="E60" s="874"/>
      <c r="F60" s="874"/>
      <c r="G60" s="864"/>
      <c r="H60" s="874"/>
      <c r="I60" s="874"/>
      <c r="J60" s="874"/>
      <c r="K60" s="874"/>
      <c r="L60" s="874"/>
      <c r="M60" s="874"/>
      <c r="N60" s="874"/>
      <c r="O60" s="874"/>
      <c r="P60" s="874"/>
      <c r="Q60" s="874"/>
      <c r="R60" s="874"/>
      <c r="S60" s="874"/>
      <c r="T60" s="874"/>
      <c r="U60" s="874"/>
      <c r="V60" s="874"/>
      <c r="W60" s="874"/>
      <c r="X60" s="874"/>
      <c r="Y60" s="874"/>
      <c r="Z60" s="874"/>
    </row>
    <row r="61" ht="63.75" customHeight="1">
      <c r="A61" s="874"/>
      <c r="B61" s="874"/>
      <c r="C61" s="874"/>
      <c r="D61" s="882"/>
      <c r="E61" s="874"/>
      <c r="F61" s="874"/>
      <c r="G61" s="864"/>
      <c r="H61" s="874"/>
      <c r="I61" s="874"/>
      <c r="J61" s="874"/>
      <c r="K61" s="874"/>
      <c r="L61" s="874"/>
      <c r="M61" s="874"/>
      <c r="N61" s="874"/>
      <c r="O61" s="874"/>
      <c r="P61" s="874"/>
      <c r="Q61" s="874"/>
      <c r="R61" s="874"/>
      <c r="S61" s="874"/>
      <c r="T61" s="874"/>
      <c r="U61" s="874"/>
      <c r="V61" s="874"/>
      <c r="W61" s="874"/>
      <c r="X61" s="874"/>
      <c r="Y61" s="874"/>
      <c r="Z61" s="874"/>
    </row>
    <row r="62" ht="63.75" customHeight="1">
      <c r="A62" s="874"/>
      <c r="B62" s="874"/>
      <c r="C62" s="874"/>
      <c r="D62" s="882"/>
      <c r="E62" s="874"/>
      <c r="F62" s="874"/>
      <c r="G62" s="864"/>
      <c r="H62" s="874"/>
      <c r="I62" s="874"/>
      <c r="J62" s="874"/>
      <c r="K62" s="874"/>
      <c r="L62" s="874"/>
      <c r="M62" s="874"/>
      <c r="N62" s="874"/>
      <c r="O62" s="874"/>
      <c r="P62" s="874"/>
      <c r="Q62" s="874"/>
      <c r="R62" s="874"/>
      <c r="S62" s="874"/>
      <c r="T62" s="874"/>
      <c r="U62" s="874"/>
      <c r="V62" s="874"/>
      <c r="W62" s="874"/>
      <c r="X62" s="874"/>
      <c r="Y62" s="874"/>
      <c r="Z62" s="874"/>
    </row>
    <row r="63" ht="63.75" customHeight="1">
      <c r="A63" s="874"/>
      <c r="B63" s="874"/>
      <c r="C63" s="874"/>
      <c r="D63" s="882"/>
      <c r="E63" s="874"/>
      <c r="F63" s="874"/>
      <c r="G63" s="864"/>
      <c r="H63" s="874"/>
      <c r="I63" s="874"/>
      <c r="J63" s="874"/>
      <c r="K63" s="874"/>
      <c r="L63" s="874"/>
      <c r="M63" s="874"/>
      <c r="N63" s="874"/>
      <c r="O63" s="874"/>
      <c r="P63" s="874"/>
      <c r="Q63" s="874"/>
      <c r="R63" s="874"/>
      <c r="S63" s="874"/>
      <c r="T63" s="874"/>
      <c r="U63" s="874"/>
      <c r="V63" s="874"/>
      <c r="W63" s="874"/>
      <c r="X63" s="874"/>
      <c r="Y63" s="874"/>
      <c r="Z63" s="874"/>
    </row>
    <row r="64" ht="63.75" customHeight="1">
      <c r="A64" s="874"/>
      <c r="B64" s="874"/>
      <c r="C64" s="874"/>
      <c r="D64" s="882"/>
      <c r="E64" s="874"/>
      <c r="F64" s="874"/>
      <c r="G64" s="864"/>
      <c r="H64" s="874"/>
      <c r="I64" s="874"/>
      <c r="J64" s="874"/>
      <c r="K64" s="874"/>
      <c r="L64" s="874"/>
      <c r="M64" s="874"/>
      <c r="N64" s="874"/>
      <c r="O64" s="874"/>
      <c r="P64" s="874"/>
      <c r="Q64" s="874"/>
      <c r="R64" s="874"/>
      <c r="S64" s="874"/>
      <c r="T64" s="874"/>
      <c r="U64" s="874"/>
      <c r="V64" s="874"/>
      <c r="W64" s="874"/>
      <c r="X64" s="874"/>
      <c r="Y64" s="874"/>
      <c r="Z64" s="874"/>
    </row>
    <row r="65" ht="63.75" customHeight="1">
      <c r="A65" s="874"/>
      <c r="B65" s="874"/>
      <c r="C65" s="874"/>
      <c r="D65" s="882"/>
      <c r="E65" s="874"/>
      <c r="F65" s="874"/>
      <c r="G65" s="864"/>
      <c r="H65" s="874"/>
      <c r="I65" s="874"/>
      <c r="J65" s="874"/>
      <c r="K65" s="874"/>
      <c r="L65" s="874"/>
      <c r="M65" s="874"/>
      <c r="N65" s="874"/>
      <c r="O65" s="874"/>
      <c r="P65" s="874"/>
      <c r="Q65" s="874"/>
      <c r="R65" s="874"/>
      <c r="S65" s="874"/>
      <c r="T65" s="874"/>
      <c r="U65" s="874"/>
      <c r="V65" s="874"/>
      <c r="W65" s="874"/>
      <c r="X65" s="874"/>
      <c r="Y65" s="874"/>
      <c r="Z65" s="874"/>
    </row>
    <row r="66" ht="63.75" customHeight="1">
      <c r="A66" s="874"/>
      <c r="B66" s="874"/>
      <c r="C66" s="874"/>
      <c r="D66" s="882"/>
      <c r="E66" s="874"/>
      <c r="F66" s="874"/>
      <c r="G66" s="864"/>
      <c r="H66" s="874"/>
      <c r="I66" s="874"/>
      <c r="J66" s="874"/>
      <c r="K66" s="874"/>
      <c r="L66" s="874"/>
      <c r="M66" s="874"/>
      <c r="N66" s="874"/>
      <c r="O66" s="874"/>
      <c r="P66" s="874"/>
      <c r="Q66" s="874"/>
      <c r="R66" s="874"/>
      <c r="S66" s="874"/>
      <c r="T66" s="874"/>
      <c r="U66" s="874"/>
      <c r="V66" s="874"/>
      <c r="W66" s="874"/>
      <c r="X66" s="874"/>
      <c r="Y66" s="874"/>
      <c r="Z66" s="874"/>
    </row>
    <row r="67" ht="63.75" customHeight="1">
      <c r="A67" s="874"/>
      <c r="B67" s="874"/>
      <c r="C67" s="874"/>
      <c r="D67" s="882"/>
      <c r="E67" s="874"/>
      <c r="F67" s="874"/>
      <c r="G67" s="864"/>
      <c r="H67" s="874"/>
      <c r="I67" s="874"/>
      <c r="J67" s="874"/>
      <c r="K67" s="874"/>
      <c r="L67" s="874"/>
      <c r="M67" s="874"/>
      <c r="N67" s="874"/>
      <c r="O67" s="874"/>
      <c r="P67" s="874"/>
      <c r="Q67" s="874"/>
      <c r="R67" s="874"/>
      <c r="S67" s="874"/>
      <c r="T67" s="874"/>
      <c r="U67" s="874"/>
      <c r="V67" s="874"/>
      <c r="W67" s="874"/>
      <c r="X67" s="874"/>
      <c r="Y67" s="874"/>
      <c r="Z67" s="874"/>
    </row>
    <row r="68" ht="63.75" customHeight="1">
      <c r="A68" s="874"/>
      <c r="B68" s="874"/>
      <c r="C68" s="874"/>
      <c r="D68" s="882"/>
      <c r="E68" s="874"/>
      <c r="F68" s="874"/>
      <c r="G68" s="864"/>
      <c r="H68" s="874"/>
      <c r="I68" s="874"/>
      <c r="J68" s="874"/>
      <c r="K68" s="874"/>
      <c r="L68" s="874"/>
      <c r="M68" s="874"/>
      <c r="N68" s="874"/>
      <c r="O68" s="874"/>
      <c r="P68" s="874"/>
      <c r="Q68" s="874"/>
      <c r="R68" s="874"/>
      <c r="S68" s="874"/>
      <c r="T68" s="874"/>
      <c r="U68" s="874"/>
      <c r="V68" s="874"/>
      <c r="W68" s="874"/>
      <c r="X68" s="874"/>
      <c r="Y68" s="874"/>
      <c r="Z68" s="874"/>
    </row>
    <row r="69" ht="63.75" customHeight="1">
      <c r="A69" s="874"/>
      <c r="B69" s="874"/>
      <c r="C69" s="874"/>
      <c r="D69" s="882"/>
      <c r="E69" s="874"/>
      <c r="F69" s="874"/>
      <c r="G69" s="864"/>
      <c r="H69" s="874"/>
      <c r="I69" s="874"/>
      <c r="J69" s="874"/>
      <c r="K69" s="874"/>
      <c r="L69" s="874"/>
      <c r="M69" s="874"/>
      <c r="N69" s="874"/>
      <c r="O69" s="874"/>
      <c r="P69" s="874"/>
      <c r="Q69" s="874"/>
      <c r="R69" s="874"/>
      <c r="S69" s="874"/>
      <c r="T69" s="874"/>
      <c r="U69" s="874"/>
      <c r="V69" s="874"/>
      <c r="W69" s="874"/>
      <c r="X69" s="874"/>
      <c r="Y69" s="874"/>
      <c r="Z69" s="874"/>
    </row>
    <row r="70" ht="63.75" customHeight="1">
      <c r="A70" s="874"/>
      <c r="B70" s="874"/>
      <c r="C70" s="874"/>
      <c r="D70" s="882"/>
      <c r="E70" s="874"/>
      <c r="F70" s="874"/>
      <c r="G70" s="864"/>
      <c r="H70" s="874"/>
      <c r="I70" s="874"/>
      <c r="J70" s="874"/>
      <c r="K70" s="874"/>
      <c r="L70" s="874"/>
      <c r="M70" s="874"/>
      <c r="N70" s="874"/>
      <c r="O70" s="874"/>
      <c r="P70" s="874"/>
      <c r="Q70" s="874"/>
      <c r="R70" s="874"/>
      <c r="S70" s="874"/>
      <c r="T70" s="874"/>
      <c r="U70" s="874"/>
      <c r="V70" s="874"/>
      <c r="W70" s="874"/>
      <c r="X70" s="874"/>
      <c r="Y70" s="874"/>
      <c r="Z70" s="874"/>
    </row>
    <row r="71" ht="63.75" customHeight="1">
      <c r="A71" s="874"/>
      <c r="B71" s="874"/>
      <c r="C71" s="874"/>
      <c r="D71" s="882"/>
      <c r="E71" s="874"/>
      <c r="F71" s="874"/>
      <c r="G71" s="864"/>
      <c r="H71" s="874"/>
      <c r="I71" s="874"/>
      <c r="J71" s="874"/>
      <c r="K71" s="874"/>
      <c r="L71" s="874"/>
      <c r="M71" s="874"/>
      <c r="N71" s="874"/>
      <c r="O71" s="874"/>
      <c r="P71" s="874"/>
      <c r="Q71" s="874"/>
      <c r="R71" s="874"/>
      <c r="S71" s="874"/>
      <c r="T71" s="874"/>
      <c r="U71" s="874"/>
      <c r="V71" s="874"/>
      <c r="W71" s="874"/>
      <c r="X71" s="874"/>
      <c r="Y71" s="874"/>
      <c r="Z71" s="874"/>
    </row>
    <row r="72" ht="63.75" customHeight="1">
      <c r="A72" s="874"/>
      <c r="B72" s="874"/>
      <c r="C72" s="874"/>
      <c r="D72" s="882"/>
      <c r="E72" s="874"/>
      <c r="F72" s="874"/>
      <c r="G72" s="864"/>
      <c r="H72" s="874"/>
      <c r="I72" s="874"/>
      <c r="J72" s="874"/>
      <c r="K72" s="874"/>
      <c r="L72" s="874"/>
      <c r="M72" s="874"/>
      <c r="N72" s="874"/>
      <c r="O72" s="874"/>
      <c r="P72" s="874"/>
      <c r="Q72" s="874"/>
      <c r="R72" s="874"/>
      <c r="S72" s="874"/>
      <c r="T72" s="874"/>
      <c r="U72" s="874"/>
      <c r="V72" s="874"/>
      <c r="W72" s="874"/>
      <c r="X72" s="874"/>
      <c r="Y72" s="874"/>
      <c r="Z72" s="874"/>
    </row>
    <row r="73" ht="63.75" customHeight="1">
      <c r="A73" s="874"/>
      <c r="B73" s="874"/>
      <c r="C73" s="874"/>
      <c r="D73" s="882"/>
      <c r="E73" s="874"/>
      <c r="F73" s="874"/>
      <c r="G73" s="864"/>
      <c r="H73" s="874"/>
      <c r="I73" s="874"/>
      <c r="J73" s="874"/>
      <c r="K73" s="874"/>
      <c r="L73" s="874"/>
      <c r="M73" s="874"/>
      <c r="N73" s="874"/>
      <c r="O73" s="874"/>
      <c r="P73" s="874"/>
      <c r="Q73" s="874"/>
      <c r="R73" s="874"/>
      <c r="S73" s="874"/>
      <c r="T73" s="874"/>
      <c r="U73" s="874"/>
      <c r="V73" s="874"/>
      <c r="W73" s="874"/>
      <c r="X73" s="874"/>
      <c r="Y73" s="874"/>
      <c r="Z73" s="874"/>
    </row>
    <row r="74" ht="63.75" customHeight="1">
      <c r="A74" s="874"/>
      <c r="B74" s="874"/>
      <c r="C74" s="874"/>
      <c r="D74" s="882"/>
      <c r="E74" s="874"/>
      <c r="F74" s="874"/>
      <c r="G74" s="864"/>
      <c r="H74" s="874"/>
      <c r="I74" s="874"/>
      <c r="J74" s="874"/>
      <c r="K74" s="874"/>
      <c r="L74" s="874"/>
      <c r="M74" s="874"/>
      <c r="N74" s="874"/>
      <c r="O74" s="874"/>
      <c r="P74" s="874"/>
      <c r="Q74" s="874"/>
      <c r="R74" s="874"/>
      <c r="S74" s="874"/>
      <c r="T74" s="874"/>
      <c r="U74" s="874"/>
      <c r="V74" s="874"/>
      <c r="W74" s="874"/>
      <c r="X74" s="874"/>
      <c r="Y74" s="874"/>
      <c r="Z74" s="874"/>
    </row>
    <row r="75" ht="63.75" customHeight="1">
      <c r="A75" s="874"/>
      <c r="B75" s="874"/>
      <c r="C75" s="874"/>
      <c r="D75" s="882"/>
      <c r="E75" s="874"/>
      <c r="F75" s="874"/>
      <c r="G75" s="864"/>
      <c r="H75" s="874"/>
      <c r="I75" s="874"/>
      <c r="J75" s="874"/>
      <c r="K75" s="874"/>
      <c r="L75" s="874"/>
      <c r="M75" s="874"/>
      <c r="N75" s="874"/>
      <c r="O75" s="874"/>
      <c r="P75" s="874"/>
      <c r="Q75" s="874"/>
      <c r="R75" s="874"/>
      <c r="S75" s="874"/>
      <c r="T75" s="874"/>
      <c r="U75" s="874"/>
      <c r="V75" s="874"/>
      <c r="W75" s="874"/>
      <c r="X75" s="874"/>
      <c r="Y75" s="874"/>
      <c r="Z75" s="874"/>
    </row>
    <row r="76" ht="63.75" customHeight="1">
      <c r="A76" s="874"/>
      <c r="B76" s="874"/>
      <c r="C76" s="874"/>
      <c r="D76" s="882"/>
      <c r="E76" s="874"/>
      <c r="F76" s="874"/>
      <c r="G76" s="864"/>
      <c r="H76" s="874"/>
      <c r="I76" s="874"/>
      <c r="J76" s="874"/>
      <c r="K76" s="874"/>
      <c r="L76" s="874"/>
      <c r="M76" s="874"/>
      <c r="N76" s="874"/>
      <c r="O76" s="874"/>
      <c r="P76" s="874"/>
      <c r="Q76" s="874"/>
      <c r="R76" s="874"/>
      <c r="S76" s="874"/>
      <c r="T76" s="874"/>
      <c r="U76" s="874"/>
      <c r="V76" s="874"/>
      <c r="W76" s="874"/>
      <c r="X76" s="874"/>
      <c r="Y76" s="874"/>
      <c r="Z76" s="874"/>
    </row>
    <row r="77" ht="63.75" customHeight="1">
      <c r="A77" s="874"/>
      <c r="B77" s="874"/>
      <c r="C77" s="874"/>
      <c r="D77" s="882"/>
      <c r="E77" s="874"/>
      <c r="F77" s="874"/>
      <c r="G77" s="864"/>
      <c r="H77" s="874"/>
      <c r="I77" s="874"/>
      <c r="J77" s="874"/>
      <c r="K77" s="874"/>
      <c r="L77" s="874"/>
      <c r="M77" s="874"/>
      <c r="N77" s="874"/>
      <c r="O77" s="874"/>
      <c r="P77" s="874"/>
      <c r="Q77" s="874"/>
      <c r="R77" s="874"/>
      <c r="S77" s="874"/>
      <c r="T77" s="874"/>
      <c r="U77" s="874"/>
      <c r="V77" s="874"/>
      <c r="W77" s="874"/>
      <c r="X77" s="874"/>
      <c r="Y77" s="874"/>
      <c r="Z77" s="874"/>
    </row>
    <row r="78" ht="63.75" customHeight="1">
      <c r="A78" s="874"/>
      <c r="B78" s="874"/>
      <c r="C78" s="874"/>
      <c r="D78" s="882"/>
      <c r="E78" s="874"/>
      <c r="F78" s="874"/>
      <c r="G78" s="864"/>
      <c r="H78" s="874"/>
      <c r="I78" s="874"/>
      <c r="J78" s="874"/>
      <c r="K78" s="874"/>
      <c r="L78" s="874"/>
      <c r="M78" s="874"/>
      <c r="N78" s="874"/>
      <c r="O78" s="874"/>
      <c r="P78" s="874"/>
      <c r="Q78" s="874"/>
      <c r="R78" s="874"/>
      <c r="S78" s="874"/>
      <c r="T78" s="874"/>
      <c r="U78" s="874"/>
      <c r="V78" s="874"/>
      <c r="W78" s="874"/>
      <c r="X78" s="874"/>
      <c r="Y78" s="874"/>
      <c r="Z78" s="874"/>
    </row>
    <row r="79" ht="63.75" customHeight="1">
      <c r="A79" s="874"/>
      <c r="B79" s="874"/>
      <c r="C79" s="874"/>
      <c r="D79" s="882"/>
      <c r="E79" s="874"/>
      <c r="F79" s="874"/>
      <c r="G79" s="864"/>
      <c r="H79" s="874"/>
      <c r="I79" s="874"/>
      <c r="J79" s="874"/>
      <c r="K79" s="874"/>
      <c r="L79" s="874"/>
      <c r="M79" s="874"/>
      <c r="N79" s="874"/>
      <c r="O79" s="874"/>
      <c r="P79" s="874"/>
      <c r="Q79" s="874"/>
      <c r="R79" s="874"/>
      <c r="S79" s="874"/>
      <c r="T79" s="874"/>
      <c r="U79" s="874"/>
      <c r="V79" s="874"/>
      <c r="W79" s="874"/>
      <c r="X79" s="874"/>
      <c r="Y79" s="874"/>
      <c r="Z79" s="874"/>
    </row>
    <row r="80" ht="63.75" customHeight="1">
      <c r="A80" s="874"/>
      <c r="B80" s="874"/>
      <c r="C80" s="874"/>
      <c r="D80" s="882"/>
      <c r="E80" s="874"/>
      <c r="F80" s="874"/>
      <c r="G80" s="864"/>
      <c r="H80" s="874"/>
      <c r="I80" s="874"/>
      <c r="J80" s="874"/>
      <c r="K80" s="874"/>
      <c r="L80" s="874"/>
      <c r="M80" s="874"/>
      <c r="N80" s="874"/>
      <c r="O80" s="874"/>
      <c r="P80" s="874"/>
      <c r="Q80" s="874"/>
      <c r="R80" s="874"/>
      <c r="S80" s="874"/>
      <c r="T80" s="874"/>
      <c r="U80" s="874"/>
      <c r="V80" s="874"/>
      <c r="W80" s="874"/>
      <c r="X80" s="874"/>
      <c r="Y80" s="874"/>
      <c r="Z80" s="874"/>
    </row>
    <row r="81" ht="63.75" customHeight="1">
      <c r="A81" s="874"/>
      <c r="B81" s="874"/>
      <c r="C81" s="874"/>
      <c r="D81" s="882"/>
      <c r="E81" s="874"/>
      <c r="F81" s="874"/>
      <c r="G81" s="864"/>
      <c r="H81" s="874"/>
      <c r="I81" s="874"/>
      <c r="J81" s="874"/>
      <c r="K81" s="874"/>
      <c r="L81" s="874"/>
      <c r="M81" s="874"/>
      <c r="N81" s="874"/>
      <c r="O81" s="874"/>
      <c r="P81" s="874"/>
      <c r="Q81" s="874"/>
      <c r="R81" s="874"/>
      <c r="S81" s="874"/>
      <c r="T81" s="874"/>
      <c r="U81" s="874"/>
      <c r="V81" s="874"/>
      <c r="W81" s="874"/>
      <c r="X81" s="874"/>
      <c r="Y81" s="874"/>
      <c r="Z81" s="874"/>
    </row>
    <row r="82" ht="63.75" customHeight="1">
      <c r="A82" s="874"/>
      <c r="B82" s="874"/>
      <c r="C82" s="874"/>
      <c r="D82" s="882"/>
      <c r="E82" s="874"/>
      <c r="F82" s="874"/>
      <c r="G82" s="864"/>
      <c r="H82" s="874"/>
      <c r="I82" s="874"/>
      <c r="J82" s="874"/>
      <c r="K82" s="874"/>
      <c r="L82" s="874"/>
      <c r="M82" s="874"/>
      <c r="N82" s="874"/>
      <c r="O82" s="874"/>
      <c r="P82" s="874"/>
      <c r="Q82" s="874"/>
      <c r="R82" s="874"/>
      <c r="S82" s="874"/>
      <c r="T82" s="874"/>
      <c r="U82" s="874"/>
      <c r="V82" s="874"/>
      <c r="W82" s="874"/>
      <c r="X82" s="874"/>
      <c r="Y82" s="874"/>
      <c r="Z82" s="874"/>
    </row>
    <row r="83" ht="63.75" customHeight="1">
      <c r="A83" s="874"/>
      <c r="B83" s="874"/>
      <c r="C83" s="874"/>
      <c r="D83" s="882"/>
      <c r="E83" s="874"/>
      <c r="F83" s="874"/>
      <c r="G83" s="864"/>
      <c r="H83" s="874"/>
      <c r="I83" s="874"/>
      <c r="J83" s="874"/>
      <c r="K83" s="874"/>
      <c r="L83" s="874"/>
      <c r="M83" s="874"/>
      <c r="N83" s="874"/>
      <c r="O83" s="874"/>
      <c r="P83" s="874"/>
      <c r="Q83" s="874"/>
      <c r="R83" s="874"/>
      <c r="S83" s="874"/>
      <c r="T83" s="874"/>
      <c r="U83" s="874"/>
      <c r="V83" s="874"/>
      <c r="W83" s="874"/>
      <c r="X83" s="874"/>
      <c r="Y83" s="874"/>
      <c r="Z83" s="874"/>
    </row>
    <row r="84" ht="63.75" customHeight="1">
      <c r="A84" s="874"/>
      <c r="B84" s="874"/>
      <c r="C84" s="874"/>
      <c r="D84" s="882"/>
      <c r="E84" s="874"/>
      <c r="F84" s="874"/>
      <c r="G84" s="864"/>
      <c r="H84" s="874"/>
      <c r="I84" s="874"/>
      <c r="J84" s="874"/>
      <c r="K84" s="874"/>
      <c r="L84" s="874"/>
      <c r="M84" s="874"/>
      <c r="N84" s="874"/>
      <c r="O84" s="874"/>
      <c r="P84" s="874"/>
      <c r="Q84" s="874"/>
      <c r="R84" s="874"/>
      <c r="S84" s="874"/>
      <c r="T84" s="874"/>
      <c r="U84" s="874"/>
      <c r="V84" s="874"/>
      <c r="W84" s="874"/>
      <c r="X84" s="874"/>
      <c r="Y84" s="874"/>
      <c r="Z84" s="874"/>
    </row>
    <row r="85" ht="63.75" customHeight="1">
      <c r="A85" s="874"/>
      <c r="B85" s="874"/>
      <c r="C85" s="874"/>
      <c r="D85" s="882"/>
      <c r="E85" s="874"/>
      <c r="F85" s="874"/>
      <c r="G85" s="864"/>
      <c r="H85" s="874"/>
      <c r="I85" s="874"/>
      <c r="J85" s="874"/>
      <c r="K85" s="874"/>
      <c r="L85" s="874"/>
      <c r="M85" s="874"/>
      <c r="N85" s="874"/>
      <c r="O85" s="874"/>
      <c r="P85" s="874"/>
      <c r="Q85" s="874"/>
      <c r="R85" s="874"/>
      <c r="S85" s="874"/>
      <c r="T85" s="874"/>
      <c r="U85" s="874"/>
      <c r="V85" s="874"/>
      <c r="W85" s="874"/>
      <c r="X85" s="874"/>
      <c r="Y85" s="874"/>
      <c r="Z85" s="874"/>
    </row>
    <row r="86" ht="63.75" customHeight="1">
      <c r="A86" s="874"/>
      <c r="B86" s="874"/>
      <c r="C86" s="874"/>
      <c r="D86" s="882"/>
      <c r="E86" s="874"/>
      <c r="F86" s="874"/>
      <c r="G86" s="864"/>
      <c r="H86" s="874"/>
      <c r="I86" s="874"/>
      <c r="J86" s="874"/>
      <c r="K86" s="874"/>
      <c r="L86" s="874"/>
      <c r="M86" s="874"/>
      <c r="N86" s="874"/>
      <c r="O86" s="874"/>
      <c r="P86" s="874"/>
      <c r="Q86" s="874"/>
      <c r="R86" s="874"/>
      <c r="S86" s="874"/>
      <c r="T86" s="874"/>
      <c r="U86" s="874"/>
      <c r="V86" s="874"/>
      <c r="W86" s="874"/>
      <c r="X86" s="874"/>
      <c r="Y86" s="874"/>
      <c r="Z86" s="874"/>
    </row>
    <row r="87" ht="63.75" customHeight="1">
      <c r="A87" s="874"/>
      <c r="B87" s="874"/>
      <c r="C87" s="874"/>
      <c r="D87" s="882"/>
      <c r="E87" s="874"/>
      <c r="F87" s="874"/>
      <c r="G87" s="864"/>
      <c r="H87" s="874"/>
      <c r="I87" s="874"/>
      <c r="J87" s="874"/>
      <c r="K87" s="874"/>
      <c r="L87" s="874"/>
      <c r="M87" s="874"/>
      <c r="N87" s="874"/>
      <c r="O87" s="874"/>
      <c r="P87" s="874"/>
      <c r="Q87" s="874"/>
      <c r="R87" s="874"/>
      <c r="S87" s="874"/>
      <c r="T87" s="874"/>
      <c r="U87" s="874"/>
      <c r="V87" s="874"/>
      <c r="W87" s="874"/>
      <c r="X87" s="874"/>
      <c r="Y87" s="874"/>
      <c r="Z87" s="874"/>
    </row>
    <row r="88" ht="63.75" customHeight="1">
      <c r="A88" s="874"/>
      <c r="B88" s="874"/>
      <c r="C88" s="874"/>
      <c r="D88" s="882"/>
      <c r="E88" s="874"/>
      <c r="F88" s="874"/>
      <c r="G88" s="864"/>
      <c r="H88" s="874"/>
      <c r="I88" s="874"/>
      <c r="J88" s="874"/>
      <c r="K88" s="874"/>
      <c r="L88" s="874"/>
      <c r="M88" s="874"/>
      <c r="N88" s="874"/>
      <c r="O88" s="874"/>
      <c r="P88" s="874"/>
      <c r="Q88" s="874"/>
      <c r="R88" s="874"/>
      <c r="S88" s="874"/>
      <c r="T88" s="874"/>
      <c r="U88" s="874"/>
      <c r="V88" s="874"/>
      <c r="W88" s="874"/>
      <c r="X88" s="874"/>
      <c r="Y88" s="874"/>
      <c r="Z88" s="874"/>
    </row>
    <row r="89" ht="63.75" customHeight="1">
      <c r="A89" s="874"/>
      <c r="B89" s="874"/>
      <c r="C89" s="874"/>
      <c r="D89" s="882"/>
      <c r="E89" s="874"/>
      <c r="F89" s="874"/>
      <c r="G89" s="864"/>
      <c r="H89" s="874"/>
      <c r="I89" s="874"/>
      <c r="J89" s="874"/>
      <c r="K89" s="874"/>
      <c r="L89" s="874"/>
      <c r="M89" s="874"/>
      <c r="N89" s="874"/>
      <c r="O89" s="874"/>
      <c r="P89" s="874"/>
      <c r="Q89" s="874"/>
      <c r="R89" s="874"/>
      <c r="S89" s="874"/>
      <c r="T89" s="874"/>
      <c r="U89" s="874"/>
      <c r="V89" s="874"/>
      <c r="W89" s="874"/>
      <c r="X89" s="874"/>
      <c r="Y89" s="874"/>
      <c r="Z89" s="874"/>
    </row>
    <row r="90" ht="63.75" customHeight="1">
      <c r="A90" s="874"/>
      <c r="B90" s="874"/>
      <c r="C90" s="874"/>
      <c r="D90" s="882"/>
      <c r="E90" s="874"/>
      <c r="F90" s="874"/>
      <c r="G90" s="864"/>
      <c r="H90" s="874"/>
      <c r="I90" s="874"/>
      <c r="J90" s="874"/>
      <c r="K90" s="874"/>
      <c r="L90" s="874"/>
      <c r="M90" s="874"/>
      <c r="N90" s="874"/>
      <c r="O90" s="874"/>
      <c r="P90" s="874"/>
      <c r="Q90" s="874"/>
      <c r="R90" s="874"/>
      <c r="S90" s="874"/>
      <c r="T90" s="874"/>
      <c r="U90" s="874"/>
      <c r="V90" s="874"/>
      <c r="W90" s="874"/>
      <c r="X90" s="874"/>
      <c r="Y90" s="874"/>
      <c r="Z90" s="874"/>
    </row>
    <row r="91" ht="63.75" customHeight="1">
      <c r="A91" s="874"/>
      <c r="B91" s="874"/>
      <c r="C91" s="874"/>
      <c r="D91" s="882"/>
      <c r="E91" s="874"/>
      <c r="F91" s="874"/>
      <c r="G91" s="864"/>
      <c r="H91" s="874"/>
      <c r="I91" s="874"/>
      <c r="J91" s="874"/>
      <c r="K91" s="874"/>
      <c r="L91" s="874"/>
      <c r="M91" s="874"/>
      <c r="N91" s="874"/>
      <c r="O91" s="874"/>
      <c r="P91" s="874"/>
      <c r="Q91" s="874"/>
      <c r="R91" s="874"/>
      <c r="S91" s="874"/>
      <c r="T91" s="874"/>
      <c r="U91" s="874"/>
      <c r="V91" s="874"/>
      <c r="W91" s="874"/>
      <c r="X91" s="874"/>
      <c r="Y91" s="874"/>
      <c r="Z91" s="874"/>
    </row>
    <row r="92" ht="63.75" customHeight="1">
      <c r="A92" s="874"/>
      <c r="B92" s="874"/>
      <c r="C92" s="874"/>
      <c r="D92" s="882"/>
      <c r="E92" s="874"/>
      <c r="F92" s="874"/>
      <c r="G92" s="864"/>
      <c r="H92" s="874"/>
      <c r="I92" s="874"/>
      <c r="J92" s="874"/>
      <c r="K92" s="874"/>
      <c r="L92" s="874"/>
      <c r="M92" s="874"/>
      <c r="N92" s="874"/>
      <c r="O92" s="874"/>
      <c r="P92" s="874"/>
      <c r="Q92" s="874"/>
      <c r="R92" s="874"/>
      <c r="S92" s="874"/>
      <c r="T92" s="874"/>
      <c r="U92" s="874"/>
      <c r="V92" s="874"/>
      <c r="W92" s="874"/>
      <c r="X92" s="874"/>
      <c r="Y92" s="874"/>
      <c r="Z92" s="874"/>
    </row>
    <row r="93" ht="63.75" customHeight="1">
      <c r="A93" s="874"/>
      <c r="B93" s="874"/>
      <c r="C93" s="874"/>
      <c r="D93" s="882"/>
      <c r="E93" s="874"/>
      <c r="F93" s="874"/>
      <c r="G93" s="864"/>
      <c r="H93" s="874"/>
      <c r="I93" s="874"/>
      <c r="J93" s="874"/>
      <c r="K93" s="874"/>
      <c r="L93" s="874"/>
      <c r="M93" s="874"/>
      <c r="N93" s="874"/>
      <c r="O93" s="874"/>
      <c r="P93" s="874"/>
      <c r="Q93" s="874"/>
      <c r="R93" s="874"/>
      <c r="S93" s="874"/>
      <c r="T93" s="874"/>
      <c r="U93" s="874"/>
      <c r="V93" s="874"/>
      <c r="W93" s="874"/>
      <c r="X93" s="874"/>
      <c r="Y93" s="874"/>
      <c r="Z93" s="874"/>
    </row>
    <row r="94" ht="63.75" customHeight="1">
      <c r="A94" s="874"/>
      <c r="B94" s="874"/>
      <c r="C94" s="874"/>
      <c r="D94" s="882"/>
      <c r="E94" s="874"/>
      <c r="F94" s="874"/>
      <c r="G94" s="864"/>
      <c r="H94" s="874"/>
      <c r="I94" s="874"/>
      <c r="J94" s="874"/>
      <c r="K94" s="874"/>
      <c r="L94" s="874"/>
      <c r="M94" s="874"/>
      <c r="N94" s="874"/>
      <c r="O94" s="874"/>
      <c r="P94" s="874"/>
      <c r="Q94" s="874"/>
      <c r="R94" s="874"/>
      <c r="S94" s="874"/>
      <c r="T94" s="874"/>
      <c r="U94" s="874"/>
      <c r="V94" s="874"/>
      <c r="W94" s="874"/>
      <c r="X94" s="874"/>
      <c r="Y94" s="874"/>
      <c r="Z94" s="874"/>
    </row>
    <row r="95" ht="63.75" customHeight="1">
      <c r="A95" s="874"/>
      <c r="B95" s="874"/>
      <c r="C95" s="874"/>
      <c r="D95" s="882"/>
      <c r="E95" s="874"/>
      <c r="F95" s="874"/>
      <c r="G95" s="864"/>
      <c r="H95" s="874"/>
      <c r="I95" s="874"/>
      <c r="J95" s="874"/>
      <c r="K95" s="874"/>
      <c r="L95" s="874"/>
      <c r="M95" s="874"/>
      <c r="N95" s="874"/>
      <c r="O95" s="874"/>
      <c r="P95" s="874"/>
      <c r="Q95" s="874"/>
      <c r="R95" s="874"/>
      <c r="S95" s="874"/>
      <c r="T95" s="874"/>
      <c r="U95" s="874"/>
      <c r="V95" s="874"/>
      <c r="W95" s="874"/>
      <c r="X95" s="874"/>
      <c r="Y95" s="874"/>
      <c r="Z95" s="874"/>
    </row>
    <row r="96" ht="63.75" customHeight="1">
      <c r="A96" s="874"/>
      <c r="B96" s="874"/>
      <c r="C96" s="874"/>
      <c r="D96" s="882"/>
      <c r="E96" s="874"/>
      <c r="F96" s="874"/>
      <c r="G96" s="864"/>
      <c r="H96" s="874"/>
      <c r="I96" s="874"/>
      <c r="J96" s="874"/>
      <c r="K96" s="874"/>
      <c r="L96" s="874"/>
      <c r="M96" s="874"/>
      <c r="N96" s="874"/>
      <c r="O96" s="874"/>
      <c r="P96" s="874"/>
      <c r="Q96" s="874"/>
      <c r="R96" s="874"/>
      <c r="S96" s="874"/>
      <c r="T96" s="874"/>
      <c r="U96" s="874"/>
      <c r="V96" s="874"/>
      <c r="W96" s="874"/>
      <c r="X96" s="874"/>
      <c r="Y96" s="874"/>
      <c r="Z96" s="874"/>
    </row>
    <row r="97" ht="63.75" customHeight="1">
      <c r="A97" s="874"/>
      <c r="B97" s="874"/>
      <c r="C97" s="874"/>
      <c r="D97" s="882"/>
      <c r="E97" s="874"/>
      <c r="F97" s="874"/>
      <c r="G97" s="864"/>
      <c r="H97" s="874"/>
      <c r="I97" s="874"/>
      <c r="J97" s="874"/>
      <c r="K97" s="874"/>
      <c r="L97" s="874"/>
      <c r="M97" s="874"/>
      <c r="N97" s="874"/>
      <c r="O97" s="874"/>
      <c r="P97" s="874"/>
      <c r="Q97" s="874"/>
      <c r="R97" s="874"/>
      <c r="S97" s="874"/>
      <c r="T97" s="874"/>
      <c r="U97" s="874"/>
      <c r="V97" s="874"/>
      <c r="W97" s="874"/>
      <c r="X97" s="874"/>
      <c r="Y97" s="874"/>
      <c r="Z97" s="874"/>
    </row>
    <row r="98" ht="63.75" customHeight="1">
      <c r="A98" s="874"/>
      <c r="B98" s="874"/>
      <c r="C98" s="874"/>
      <c r="D98" s="882"/>
      <c r="E98" s="874"/>
      <c r="F98" s="874"/>
      <c r="G98" s="864"/>
      <c r="H98" s="874"/>
      <c r="I98" s="874"/>
      <c r="J98" s="874"/>
      <c r="K98" s="874"/>
      <c r="L98" s="874"/>
      <c r="M98" s="874"/>
      <c r="N98" s="874"/>
      <c r="O98" s="874"/>
      <c r="P98" s="874"/>
      <c r="Q98" s="874"/>
      <c r="R98" s="874"/>
      <c r="S98" s="874"/>
      <c r="T98" s="874"/>
      <c r="U98" s="874"/>
      <c r="V98" s="874"/>
      <c r="W98" s="874"/>
      <c r="X98" s="874"/>
      <c r="Y98" s="874"/>
      <c r="Z98" s="874"/>
    </row>
    <row r="99" ht="63.75" customHeight="1">
      <c r="A99" s="874"/>
      <c r="B99" s="874"/>
      <c r="C99" s="874"/>
      <c r="D99" s="882"/>
      <c r="E99" s="874"/>
      <c r="F99" s="874"/>
      <c r="G99" s="864"/>
      <c r="H99" s="874"/>
      <c r="I99" s="874"/>
      <c r="J99" s="874"/>
      <c r="K99" s="874"/>
      <c r="L99" s="874"/>
      <c r="M99" s="874"/>
      <c r="N99" s="874"/>
      <c r="O99" s="874"/>
      <c r="P99" s="874"/>
      <c r="Q99" s="874"/>
      <c r="R99" s="874"/>
      <c r="S99" s="874"/>
      <c r="T99" s="874"/>
      <c r="U99" s="874"/>
      <c r="V99" s="874"/>
      <c r="W99" s="874"/>
      <c r="X99" s="874"/>
      <c r="Y99" s="874"/>
      <c r="Z99" s="874"/>
    </row>
    <row r="100" ht="63.75" customHeight="1">
      <c r="A100" s="874"/>
      <c r="B100" s="874"/>
      <c r="C100" s="874"/>
      <c r="D100" s="882"/>
      <c r="E100" s="874"/>
      <c r="F100" s="874"/>
      <c r="G100" s="864"/>
      <c r="H100" s="874"/>
      <c r="I100" s="874"/>
      <c r="J100" s="874"/>
      <c r="K100" s="874"/>
      <c r="L100" s="874"/>
      <c r="M100" s="874"/>
      <c r="N100" s="874"/>
      <c r="O100" s="874"/>
      <c r="P100" s="874"/>
      <c r="Q100" s="874"/>
      <c r="R100" s="874"/>
      <c r="S100" s="874"/>
      <c r="T100" s="874"/>
      <c r="U100" s="874"/>
      <c r="V100" s="874"/>
      <c r="W100" s="874"/>
      <c r="X100" s="874"/>
      <c r="Y100" s="874"/>
      <c r="Z100" s="874"/>
    </row>
    <row r="101" ht="63.75" customHeight="1">
      <c r="A101" s="874"/>
      <c r="B101" s="874"/>
      <c r="C101" s="874"/>
      <c r="D101" s="882"/>
      <c r="E101" s="874"/>
      <c r="F101" s="874"/>
      <c r="G101" s="864"/>
      <c r="H101" s="874"/>
      <c r="I101" s="874"/>
      <c r="J101" s="874"/>
      <c r="K101" s="874"/>
      <c r="L101" s="874"/>
      <c r="M101" s="874"/>
      <c r="N101" s="874"/>
      <c r="O101" s="874"/>
      <c r="P101" s="874"/>
      <c r="Q101" s="874"/>
      <c r="R101" s="874"/>
      <c r="S101" s="874"/>
      <c r="T101" s="874"/>
      <c r="U101" s="874"/>
      <c r="V101" s="874"/>
      <c r="W101" s="874"/>
      <c r="X101" s="874"/>
      <c r="Y101" s="874"/>
      <c r="Z101" s="874"/>
    </row>
    <row r="102" ht="63.75" customHeight="1">
      <c r="A102" s="874"/>
      <c r="B102" s="874"/>
      <c r="C102" s="874"/>
      <c r="D102" s="882"/>
      <c r="E102" s="874"/>
      <c r="F102" s="874"/>
      <c r="G102" s="864"/>
      <c r="H102" s="874"/>
      <c r="I102" s="874"/>
      <c r="J102" s="874"/>
      <c r="K102" s="874"/>
      <c r="L102" s="874"/>
      <c r="M102" s="874"/>
      <c r="N102" s="874"/>
      <c r="O102" s="874"/>
      <c r="P102" s="874"/>
      <c r="Q102" s="874"/>
      <c r="R102" s="874"/>
      <c r="S102" s="874"/>
      <c r="T102" s="874"/>
      <c r="U102" s="874"/>
      <c r="V102" s="874"/>
      <c r="W102" s="874"/>
      <c r="X102" s="874"/>
      <c r="Y102" s="874"/>
      <c r="Z102" s="874"/>
    </row>
    <row r="103" ht="63.75" customHeight="1">
      <c r="A103" s="874"/>
      <c r="B103" s="874"/>
      <c r="C103" s="874"/>
      <c r="D103" s="882"/>
      <c r="E103" s="874"/>
      <c r="F103" s="874"/>
      <c r="G103" s="864"/>
      <c r="H103" s="874"/>
      <c r="I103" s="874"/>
      <c r="J103" s="874"/>
      <c r="K103" s="874"/>
      <c r="L103" s="874"/>
      <c r="M103" s="874"/>
      <c r="N103" s="874"/>
      <c r="O103" s="874"/>
      <c r="P103" s="874"/>
      <c r="Q103" s="874"/>
      <c r="R103" s="874"/>
      <c r="S103" s="874"/>
      <c r="T103" s="874"/>
      <c r="U103" s="874"/>
      <c r="V103" s="874"/>
      <c r="W103" s="874"/>
      <c r="X103" s="874"/>
      <c r="Y103" s="874"/>
      <c r="Z103" s="874"/>
    </row>
    <row r="104" ht="63.75" customHeight="1">
      <c r="A104" s="874"/>
      <c r="B104" s="874"/>
      <c r="C104" s="874"/>
      <c r="D104" s="882"/>
      <c r="E104" s="874"/>
      <c r="F104" s="874"/>
      <c r="G104" s="864"/>
      <c r="H104" s="874"/>
      <c r="I104" s="874"/>
      <c r="J104" s="874"/>
      <c r="K104" s="874"/>
      <c r="L104" s="874"/>
      <c r="M104" s="874"/>
      <c r="N104" s="874"/>
      <c r="O104" s="874"/>
      <c r="P104" s="874"/>
      <c r="Q104" s="874"/>
      <c r="R104" s="874"/>
      <c r="S104" s="874"/>
      <c r="T104" s="874"/>
      <c r="U104" s="874"/>
      <c r="V104" s="874"/>
      <c r="W104" s="874"/>
      <c r="X104" s="874"/>
      <c r="Y104" s="874"/>
      <c r="Z104" s="874"/>
    </row>
    <row r="105" ht="63.75" customHeight="1">
      <c r="A105" s="874"/>
      <c r="B105" s="874"/>
      <c r="C105" s="874"/>
      <c r="D105" s="882"/>
      <c r="E105" s="874"/>
      <c r="F105" s="874"/>
      <c r="G105" s="864"/>
      <c r="H105" s="874"/>
      <c r="I105" s="874"/>
      <c r="J105" s="874"/>
      <c r="K105" s="874"/>
      <c r="L105" s="874"/>
      <c r="M105" s="874"/>
      <c r="N105" s="874"/>
      <c r="O105" s="874"/>
      <c r="P105" s="874"/>
      <c r="Q105" s="874"/>
      <c r="R105" s="874"/>
      <c r="S105" s="874"/>
      <c r="T105" s="874"/>
      <c r="U105" s="874"/>
      <c r="V105" s="874"/>
      <c r="W105" s="874"/>
      <c r="X105" s="874"/>
      <c r="Y105" s="874"/>
      <c r="Z105" s="874"/>
    </row>
    <row r="106" ht="63.75" customHeight="1">
      <c r="A106" s="874"/>
      <c r="B106" s="874"/>
      <c r="C106" s="874"/>
      <c r="D106" s="882"/>
      <c r="E106" s="874"/>
      <c r="F106" s="874"/>
      <c r="G106" s="864"/>
      <c r="H106" s="874"/>
      <c r="I106" s="874"/>
      <c r="J106" s="874"/>
      <c r="K106" s="874"/>
      <c r="L106" s="874"/>
      <c r="M106" s="874"/>
      <c r="N106" s="874"/>
      <c r="O106" s="874"/>
      <c r="P106" s="874"/>
      <c r="Q106" s="874"/>
      <c r="R106" s="874"/>
      <c r="S106" s="874"/>
      <c r="T106" s="874"/>
      <c r="U106" s="874"/>
      <c r="V106" s="874"/>
      <c r="W106" s="874"/>
      <c r="X106" s="874"/>
      <c r="Y106" s="874"/>
      <c r="Z106" s="874"/>
    </row>
    <row r="107" ht="63.75" customHeight="1">
      <c r="A107" s="874"/>
      <c r="B107" s="874"/>
      <c r="C107" s="874"/>
      <c r="D107" s="882"/>
      <c r="E107" s="874"/>
      <c r="F107" s="874"/>
      <c r="G107" s="864"/>
      <c r="H107" s="874"/>
      <c r="I107" s="874"/>
      <c r="J107" s="874"/>
      <c r="K107" s="874"/>
      <c r="L107" s="874"/>
      <c r="M107" s="874"/>
      <c r="N107" s="874"/>
      <c r="O107" s="874"/>
      <c r="P107" s="874"/>
      <c r="Q107" s="874"/>
      <c r="R107" s="874"/>
      <c r="S107" s="874"/>
      <c r="T107" s="874"/>
      <c r="U107" s="874"/>
      <c r="V107" s="874"/>
      <c r="W107" s="874"/>
      <c r="X107" s="874"/>
      <c r="Y107" s="874"/>
      <c r="Z107" s="874"/>
    </row>
    <row r="108" ht="63.75" customHeight="1">
      <c r="A108" s="874"/>
      <c r="B108" s="874"/>
      <c r="C108" s="874"/>
      <c r="D108" s="882"/>
      <c r="E108" s="874"/>
      <c r="F108" s="874"/>
      <c r="G108" s="864"/>
      <c r="H108" s="874"/>
      <c r="I108" s="874"/>
      <c r="J108" s="874"/>
      <c r="K108" s="874"/>
      <c r="L108" s="874"/>
      <c r="M108" s="874"/>
      <c r="N108" s="874"/>
      <c r="O108" s="874"/>
      <c r="P108" s="874"/>
      <c r="Q108" s="874"/>
      <c r="R108" s="874"/>
      <c r="S108" s="874"/>
      <c r="T108" s="874"/>
      <c r="U108" s="874"/>
      <c r="V108" s="874"/>
      <c r="W108" s="874"/>
      <c r="X108" s="874"/>
      <c r="Y108" s="874"/>
      <c r="Z108" s="874"/>
    </row>
    <row r="109" ht="63.75" customHeight="1">
      <c r="A109" s="874"/>
      <c r="B109" s="874"/>
      <c r="C109" s="874"/>
      <c r="D109" s="882"/>
      <c r="E109" s="874"/>
      <c r="F109" s="874"/>
      <c r="G109" s="864"/>
      <c r="H109" s="874"/>
      <c r="I109" s="874"/>
      <c r="J109" s="874"/>
      <c r="K109" s="874"/>
      <c r="L109" s="874"/>
      <c r="M109" s="874"/>
      <c r="N109" s="874"/>
      <c r="O109" s="874"/>
      <c r="P109" s="874"/>
      <c r="Q109" s="874"/>
      <c r="R109" s="874"/>
      <c r="S109" s="874"/>
      <c r="T109" s="874"/>
      <c r="U109" s="874"/>
      <c r="V109" s="874"/>
      <c r="W109" s="874"/>
      <c r="X109" s="874"/>
      <c r="Y109" s="874"/>
      <c r="Z109" s="874"/>
    </row>
    <row r="110" ht="63.75" customHeight="1">
      <c r="A110" s="874"/>
      <c r="B110" s="874"/>
      <c r="C110" s="874"/>
      <c r="D110" s="882"/>
      <c r="E110" s="874"/>
      <c r="F110" s="874"/>
      <c r="G110" s="864"/>
      <c r="H110" s="874"/>
      <c r="I110" s="874"/>
      <c r="J110" s="874"/>
      <c r="K110" s="874"/>
      <c r="L110" s="874"/>
      <c r="M110" s="874"/>
      <c r="N110" s="874"/>
      <c r="O110" s="874"/>
      <c r="P110" s="874"/>
      <c r="Q110" s="874"/>
      <c r="R110" s="874"/>
      <c r="S110" s="874"/>
      <c r="T110" s="874"/>
      <c r="U110" s="874"/>
      <c r="V110" s="874"/>
      <c r="W110" s="874"/>
      <c r="X110" s="874"/>
      <c r="Y110" s="874"/>
      <c r="Z110" s="874"/>
    </row>
    <row r="111" ht="63.75" customHeight="1">
      <c r="A111" s="874"/>
      <c r="B111" s="874"/>
      <c r="C111" s="874"/>
      <c r="D111" s="882"/>
      <c r="E111" s="874"/>
      <c r="F111" s="874"/>
      <c r="G111" s="864"/>
      <c r="H111" s="874"/>
      <c r="I111" s="874"/>
      <c r="J111" s="874"/>
      <c r="K111" s="874"/>
      <c r="L111" s="874"/>
      <c r="M111" s="874"/>
      <c r="N111" s="874"/>
      <c r="O111" s="874"/>
      <c r="P111" s="874"/>
      <c r="Q111" s="874"/>
      <c r="R111" s="874"/>
      <c r="S111" s="874"/>
      <c r="T111" s="874"/>
      <c r="U111" s="874"/>
      <c r="V111" s="874"/>
      <c r="W111" s="874"/>
      <c r="X111" s="874"/>
      <c r="Y111" s="874"/>
      <c r="Z111" s="874"/>
    </row>
    <row r="112" ht="63.75" customHeight="1">
      <c r="A112" s="874"/>
      <c r="B112" s="874"/>
      <c r="C112" s="874"/>
      <c r="D112" s="882"/>
      <c r="E112" s="874"/>
      <c r="F112" s="874"/>
      <c r="G112" s="864"/>
      <c r="H112" s="874"/>
      <c r="I112" s="874"/>
      <c r="J112" s="874"/>
      <c r="K112" s="874"/>
      <c r="L112" s="874"/>
      <c r="M112" s="874"/>
      <c r="N112" s="874"/>
      <c r="O112" s="874"/>
      <c r="P112" s="874"/>
      <c r="Q112" s="874"/>
      <c r="R112" s="874"/>
      <c r="S112" s="874"/>
      <c r="T112" s="874"/>
      <c r="U112" s="874"/>
      <c r="V112" s="874"/>
      <c r="W112" s="874"/>
      <c r="X112" s="874"/>
      <c r="Y112" s="874"/>
      <c r="Z112" s="874"/>
    </row>
    <row r="113" ht="63.75" customHeight="1">
      <c r="A113" s="874"/>
      <c r="B113" s="874"/>
      <c r="C113" s="874"/>
      <c r="D113" s="882"/>
      <c r="E113" s="874"/>
      <c r="F113" s="874"/>
      <c r="G113" s="864"/>
      <c r="H113" s="874"/>
      <c r="I113" s="874"/>
      <c r="J113" s="874"/>
      <c r="K113" s="874"/>
      <c r="L113" s="874"/>
      <c r="M113" s="874"/>
      <c r="N113" s="874"/>
      <c r="O113" s="874"/>
      <c r="P113" s="874"/>
      <c r="Q113" s="874"/>
      <c r="R113" s="874"/>
      <c r="S113" s="874"/>
      <c r="T113" s="874"/>
      <c r="U113" s="874"/>
      <c r="V113" s="874"/>
      <c r="W113" s="874"/>
      <c r="X113" s="874"/>
      <c r="Y113" s="874"/>
      <c r="Z113" s="874"/>
    </row>
    <row r="114" ht="63.75" customHeight="1">
      <c r="A114" s="874"/>
      <c r="B114" s="874"/>
      <c r="C114" s="874"/>
      <c r="D114" s="882"/>
      <c r="E114" s="874"/>
      <c r="F114" s="874"/>
      <c r="G114" s="864"/>
      <c r="H114" s="874"/>
      <c r="I114" s="874"/>
      <c r="J114" s="874"/>
      <c r="K114" s="874"/>
      <c r="L114" s="874"/>
      <c r="M114" s="874"/>
      <c r="N114" s="874"/>
      <c r="O114" s="874"/>
      <c r="P114" s="874"/>
      <c r="Q114" s="874"/>
      <c r="R114" s="874"/>
      <c r="S114" s="874"/>
      <c r="T114" s="874"/>
      <c r="U114" s="874"/>
      <c r="V114" s="874"/>
      <c r="W114" s="874"/>
      <c r="X114" s="874"/>
      <c r="Y114" s="874"/>
      <c r="Z114" s="874"/>
    </row>
    <row r="115" ht="63.75" customHeight="1">
      <c r="A115" s="874"/>
      <c r="B115" s="874"/>
      <c r="C115" s="874"/>
      <c r="D115" s="882"/>
      <c r="E115" s="874"/>
      <c r="F115" s="874"/>
      <c r="G115" s="864"/>
      <c r="H115" s="874"/>
      <c r="I115" s="874"/>
      <c r="J115" s="874"/>
      <c r="K115" s="874"/>
      <c r="L115" s="874"/>
      <c r="M115" s="874"/>
      <c r="N115" s="874"/>
      <c r="O115" s="874"/>
      <c r="P115" s="874"/>
      <c r="Q115" s="874"/>
      <c r="R115" s="874"/>
      <c r="S115" s="874"/>
      <c r="T115" s="874"/>
      <c r="U115" s="874"/>
      <c r="V115" s="874"/>
      <c r="W115" s="874"/>
      <c r="X115" s="874"/>
      <c r="Y115" s="874"/>
      <c r="Z115" s="874"/>
    </row>
    <row r="116" ht="63.75" customHeight="1">
      <c r="A116" s="874"/>
      <c r="B116" s="874"/>
      <c r="C116" s="874"/>
      <c r="D116" s="882"/>
      <c r="E116" s="874"/>
      <c r="F116" s="874"/>
      <c r="G116" s="864"/>
      <c r="H116" s="874"/>
      <c r="I116" s="874"/>
      <c r="J116" s="874"/>
      <c r="K116" s="874"/>
      <c r="L116" s="874"/>
      <c r="M116" s="874"/>
      <c r="N116" s="874"/>
      <c r="O116" s="874"/>
      <c r="P116" s="874"/>
      <c r="Q116" s="874"/>
      <c r="R116" s="874"/>
      <c r="S116" s="874"/>
      <c r="T116" s="874"/>
      <c r="U116" s="874"/>
      <c r="V116" s="874"/>
      <c r="W116" s="874"/>
      <c r="X116" s="874"/>
      <c r="Y116" s="874"/>
      <c r="Z116" s="874"/>
    </row>
    <row r="117" ht="63.75" customHeight="1">
      <c r="A117" s="874"/>
      <c r="B117" s="874"/>
      <c r="C117" s="874"/>
      <c r="D117" s="882"/>
      <c r="E117" s="874"/>
      <c r="F117" s="874"/>
      <c r="G117" s="864"/>
      <c r="H117" s="874"/>
      <c r="I117" s="874"/>
      <c r="J117" s="874"/>
      <c r="K117" s="874"/>
      <c r="L117" s="874"/>
      <c r="M117" s="874"/>
      <c r="N117" s="874"/>
      <c r="O117" s="874"/>
      <c r="P117" s="874"/>
      <c r="Q117" s="874"/>
      <c r="R117" s="874"/>
      <c r="S117" s="874"/>
      <c r="T117" s="874"/>
      <c r="U117" s="874"/>
      <c r="V117" s="874"/>
      <c r="W117" s="874"/>
      <c r="X117" s="874"/>
      <c r="Y117" s="874"/>
      <c r="Z117" s="874"/>
    </row>
    <row r="118" ht="63.75" customHeight="1">
      <c r="A118" s="874"/>
      <c r="B118" s="874"/>
      <c r="C118" s="874"/>
      <c r="D118" s="882"/>
      <c r="E118" s="874"/>
      <c r="F118" s="874"/>
      <c r="G118" s="864"/>
      <c r="H118" s="874"/>
      <c r="I118" s="874"/>
      <c r="J118" s="874"/>
      <c r="K118" s="874"/>
      <c r="L118" s="874"/>
      <c r="M118" s="874"/>
      <c r="N118" s="874"/>
      <c r="O118" s="874"/>
      <c r="P118" s="874"/>
      <c r="Q118" s="874"/>
      <c r="R118" s="874"/>
      <c r="S118" s="874"/>
      <c r="T118" s="874"/>
      <c r="U118" s="874"/>
      <c r="V118" s="874"/>
      <c r="W118" s="874"/>
      <c r="X118" s="874"/>
      <c r="Y118" s="874"/>
      <c r="Z118" s="874"/>
    </row>
    <row r="119" ht="63.75" customHeight="1">
      <c r="A119" s="874"/>
      <c r="B119" s="874"/>
      <c r="C119" s="874"/>
      <c r="D119" s="882"/>
      <c r="E119" s="874"/>
      <c r="F119" s="874"/>
      <c r="G119" s="864"/>
      <c r="H119" s="874"/>
      <c r="I119" s="874"/>
      <c r="J119" s="874"/>
      <c r="K119" s="874"/>
      <c r="L119" s="874"/>
      <c r="M119" s="874"/>
      <c r="N119" s="874"/>
      <c r="O119" s="874"/>
      <c r="P119" s="874"/>
      <c r="Q119" s="874"/>
      <c r="R119" s="874"/>
      <c r="S119" s="874"/>
      <c r="T119" s="874"/>
      <c r="U119" s="874"/>
      <c r="V119" s="874"/>
      <c r="W119" s="874"/>
      <c r="X119" s="874"/>
      <c r="Y119" s="874"/>
      <c r="Z119" s="874"/>
    </row>
    <row r="120" ht="63.75" customHeight="1">
      <c r="A120" s="874"/>
      <c r="B120" s="874"/>
      <c r="C120" s="874"/>
      <c r="D120" s="882"/>
      <c r="E120" s="874"/>
      <c r="F120" s="874"/>
      <c r="G120" s="864"/>
      <c r="H120" s="874"/>
      <c r="I120" s="874"/>
      <c r="J120" s="874"/>
      <c r="K120" s="874"/>
      <c r="L120" s="874"/>
      <c r="M120" s="874"/>
      <c r="N120" s="874"/>
      <c r="O120" s="874"/>
      <c r="P120" s="874"/>
      <c r="Q120" s="874"/>
      <c r="R120" s="874"/>
      <c r="S120" s="874"/>
      <c r="T120" s="874"/>
      <c r="U120" s="874"/>
      <c r="V120" s="874"/>
      <c r="W120" s="874"/>
      <c r="X120" s="874"/>
      <c r="Y120" s="874"/>
      <c r="Z120" s="874"/>
    </row>
    <row r="121" ht="63.75" customHeight="1">
      <c r="A121" s="874"/>
      <c r="B121" s="874"/>
      <c r="C121" s="874"/>
      <c r="D121" s="882"/>
      <c r="E121" s="874"/>
      <c r="F121" s="874"/>
      <c r="G121" s="864"/>
      <c r="H121" s="874"/>
      <c r="I121" s="874"/>
      <c r="J121" s="874"/>
      <c r="K121" s="874"/>
      <c r="L121" s="874"/>
      <c r="M121" s="874"/>
      <c r="N121" s="874"/>
      <c r="O121" s="874"/>
      <c r="P121" s="874"/>
      <c r="Q121" s="874"/>
      <c r="R121" s="874"/>
      <c r="S121" s="874"/>
      <c r="T121" s="874"/>
      <c r="U121" s="874"/>
      <c r="V121" s="874"/>
      <c r="W121" s="874"/>
      <c r="X121" s="874"/>
      <c r="Y121" s="874"/>
      <c r="Z121" s="874"/>
    </row>
    <row r="122" ht="63.75" customHeight="1">
      <c r="A122" s="874"/>
      <c r="B122" s="874"/>
      <c r="C122" s="874"/>
      <c r="D122" s="882"/>
      <c r="E122" s="874"/>
      <c r="F122" s="874"/>
      <c r="G122" s="864"/>
      <c r="H122" s="874"/>
      <c r="I122" s="874"/>
      <c r="J122" s="874"/>
      <c r="K122" s="874"/>
      <c r="L122" s="874"/>
      <c r="M122" s="874"/>
      <c r="N122" s="874"/>
      <c r="O122" s="874"/>
      <c r="P122" s="874"/>
      <c r="Q122" s="874"/>
      <c r="R122" s="874"/>
      <c r="S122" s="874"/>
      <c r="T122" s="874"/>
      <c r="U122" s="874"/>
      <c r="V122" s="874"/>
      <c r="W122" s="874"/>
      <c r="X122" s="874"/>
      <c r="Y122" s="874"/>
      <c r="Z122" s="874"/>
    </row>
    <row r="123" ht="63.75" customHeight="1">
      <c r="A123" s="874"/>
      <c r="B123" s="874"/>
      <c r="C123" s="874"/>
      <c r="D123" s="882"/>
      <c r="E123" s="874"/>
      <c r="F123" s="874"/>
      <c r="G123" s="864"/>
      <c r="H123" s="874"/>
      <c r="I123" s="874"/>
      <c r="J123" s="874"/>
      <c r="K123" s="874"/>
      <c r="L123" s="874"/>
      <c r="M123" s="874"/>
      <c r="N123" s="874"/>
      <c r="O123" s="874"/>
      <c r="P123" s="874"/>
      <c r="Q123" s="874"/>
      <c r="R123" s="874"/>
      <c r="S123" s="874"/>
      <c r="T123" s="874"/>
      <c r="U123" s="874"/>
      <c r="V123" s="874"/>
      <c r="W123" s="874"/>
      <c r="X123" s="874"/>
      <c r="Y123" s="874"/>
      <c r="Z123" s="874"/>
    </row>
    <row r="124" ht="63.75" customHeight="1">
      <c r="A124" s="874"/>
      <c r="B124" s="874"/>
      <c r="C124" s="874"/>
      <c r="D124" s="882"/>
      <c r="E124" s="874"/>
      <c r="F124" s="874"/>
      <c r="G124" s="864"/>
      <c r="H124" s="874"/>
      <c r="I124" s="874"/>
      <c r="J124" s="874"/>
      <c r="K124" s="874"/>
      <c r="L124" s="874"/>
      <c r="M124" s="874"/>
      <c r="N124" s="874"/>
      <c r="O124" s="874"/>
      <c r="P124" s="874"/>
      <c r="Q124" s="874"/>
      <c r="R124" s="874"/>
      <c r="S124" s="874"/>
      <c r="T124" s="874"/>
      <c r="U124" s="874"/>
      <c r="V124" s="874"/>
      <c r="W124" s="874"/>
      <c r="X124" s="874"/>
      <c r="Y124" s="874"/>
      <c r="Z124" s="874"/>
    </row>
    <row r="125" ht="63.75" customHeight="1">
      <c r="A125" s="874"/>
      <c r="B125" s="874"/>
      <c r="C125" s="874"/>
      <c r="D125" s="882"/>
      <c r="E125" s="874"/>
      <c r="F125" s="874"/>
      <c r="G125" s="864"/>
      <c r="H125" s="874"/>
      <c r="I125" s="874"/>
      <c r="J125" s="874"/>
      <c r="K125" s="874"/>
      <c r="L125" s="874"/>
      <c r="M125" s="874"/>
      <c r="N125" s="874"/>
      <c r="O125" s="874"/>
      <c r="P125" s="874"/>
      <c r="Q125" s="874"/>
      <c r="R125" s="874"/>
      <c r="S125" s="874"/>
      <c r="T125" s="874"/>
      <c r="U125" s="874"/>
      <c r="V125" s="874"/>
      <c r="W125" s="874"/>
      <c r="X125" s="874"/>
      <c r="Y125" s="874"/>
      <c r="Z125" s="874"/>
    </row>
    <row r="126" ht="63.75" customHeight="1">
      <c r="A126" s="874"/>
      <c r="B126" s="874"/>
      <c r="C126" s="874"/>
      <c r="D126" s="882"/>
      <c r="E126" s="874"/>
      <c r="F126" s="874"/>
      <c r="G126" s="864"/>
      <c r="H126" s="874"/>
      <c r="I126" s="874"/>
      <c r="J126" s="874"/>
      <c r="K126" s="874"/>
      <c r="L126" s="874"/>
      <c r="M126" s="874"/>
      <c r="N126" s="874"/>
      <c r="O126" s="874"/>
      <c r="P126" s="874"/>
      <c r="Q126" s="874"/>
      <c r="R126" s="874"/>
      <c r="S126" s="874"/>
      <c r="T126" s="874"/>
      <c r="U126" s="874"/>
      <c r="V126" s="874"/>
      <c r="W126" s="874"/>
      <c r="X126" s="874"/>
      <c r="Y126" s="874"/>
      <c r="Z126" s="874"/>
    </row>
    <row r="127" ht="63.75" customHeight="1">
      <c r="A127" s="874"/>
      <c r="B127" s="874"/>
      <c r="C127" s="874"/>
      <c r="D127" s="882"/>
      <c r="E127" s="874"/>
      <c r="F127" s="874"/>
      <c r="G127" s="864"/>
      <c r="H127" s="874"/>
      <c r="I127" s="874"/>
      <c r="J127" s="874"/>
      <c r="K127" s="874"/>
      <c r="L127" s="874"/>
      <c r="M127" s="874"/>
      <c r="N127" s="874"/>
      <c r="O127" s="874"/>
      <c r="P127" s="874"/>
      <c r="Q127" s="874"/>
      <c r="R127" s="874"/>
      <c r="S127" s="874"/>
      <c r="T127" s="874"/>
      <c r="U127" s="874"/>
      <c r="V127" s="874"/>
      <c r="W127" s="874"/>
      <c r="X127" s="874"/>
      <c r="Y127" s="874"/>
      <c r="Z127" s="874"/>
    </row>
    <row r="128" ht="63.75" customHeight="1">
      <c r="A128" s="874"/>
      <c r="B128" s="874"/>
      <c r="C128" s="874"/>
      <c r="D128" s="882"/>
      <c r="E128" s="874"/>
      <c r="F128" s="874"/>
      <c r="G128" s="864"/>
      <c r="H128" s="874"/>
      <c r="I128" s="874"/>
      <c r="J128" s="874"/>
      <c r="K128" s="874"/>
      <c r="L128" s="874"/>
      <c r="M128" s="874"/>
      <c r="N128" s="874"/>
      <c r="O128" s="874"/>
      <c r="P128" s="874"/>
      <c r="Q128" s="874"/>
      <c r="R128" s="874"/>
      <c r="S128" s="874"/>
      <c r="T128" s="874"/>
      <c r="U128" s="874"/>
      <c r="V128" s="874"/>
      <c r="W128" s="874"/>
      <c r="X128" s="874"/>
      <c r="Y128" s="874"/>
      <c r="Z128" s="874"/>
    </row>
    <row r="129" ht="63.75" customHeight="1">
      <c r="A129" s="874"/>
      <c r="B129" s="874"/>
      <c r="C129" s="874"/>
      <c r="D129" s="882"/>
      <c r="E129" s="874"/>
      <c r="F129" s="874"/>
      <c r="G129" s="864"/>
      <c r="H129" s="874"/>
      <c r="I129" s="874"/>
      <c r="J129" s="874"/>
      <c r="K129" s="874"/>
      <c r="L129" s="874"/>
      <c r="M129" s="874"/>
      <c r="N129" s="874"/>
      <c r="O129" s="874"/>
      <c r="P129" s="874"/>
      <c r="Q129" s="874"/>
      <c r="R129" s="874"/>
      <c r="S129" s="874"/>
      <c r="T129" s="874"/>
      <c r="U129" s="874"/>
      <c r="V129" s="874"/>
      <c r="W129" s="874"/>
      <c r="X129" s="874"/>
      <c r="Y129" s="874"/>
      <c r="Z129" s="874"/>
    </row>
    <row r="130" ht="63.75" customHeight="1">
      <c r="A130" s="874"/>
      <c r="B130" s="874"/>
      <c r="C130" s="874"/>
      <c r="D130" s="882"/>
      <c r="E130" s="874"/>
      <c r="F130" s="874"/>
      <c r="G130" s="864"/>
      <c r="H130" s="874"/>
      <c r="I130" s="874"/>
      <c r="J130" s="874"/>
      <c r="K130" s="874"/>
      <c r="L130" s="874"/>
      <c r="M130" s="874"/>
      <c r="N130" s="874"/>
      <c r="O130" s="874"/>
      <c r="P130" s="874"/>
      <c r="Q130" s="874"/>
      <c r="R130" s="874"/>
      <c r="S130" s="874"/>
      <c r="T130" s="874"/>
      <c r="U130" s="874"/>
      <c r="V130" s="874"/>
      <c r="W130" s="874"/>
      <c r="X130" s="874"/>
      <c r="Y130" s="874"/>
      <c r="Z130" s="874"/>
    </row>
    <row r="131" ht="63.75" customHeight="1">
      <c r="A131" s="874"/>
      <c r="B131" s="874"/>
      <c r="C131" s="874"/>
      <c r="D131" s="882"/>
      <c r="E131" s="874"/>
      <c r="F131" s="874"/>
      <c r="G131" s="864"/>
      <c r="H131" s="874"/>
      <c r="I131" s="874"/>
      <c r="J131" s="874"/>
      <c r="K131" s="874"/>
      <c r="L131" s="874"/>
      <c r="M131" s="874"/>
      <c r="N131" s="874"/>
      <c r="O131" s="874"/>
      <c r="P131" s="874"/>
      <c r="Q131" s="874"/>
      <c r="R131" s="874"/>
      <c r="S131" s="874"/>
      <c r="T131" s="874"/>
      <c r="U131" s="874"/>
      <c r="V131" s="874"/>
      <c r="W131" s="874"/>
      <c r="X131" s="874"/>
      <c r="Y131" s="874"/>
      <c r="Z131" s="874"/>
    </row>
    <row r="132" ht="63.75" customHeight="1">
      <c r="A132" s="874"/>
      <c r="B132" s="874"/>
      <c r="C132" s="874"/>
      <c r="D132" s="882"/>
      <c r="E132" s="874"/>
      <c r="F132" s="874"/>
      <c r="G132" s="864"/>
      <c r="H132" s="874"/>
      <c r="I132" s="874"/>
      <c r="J132" s="874"/>
      <c r="K132" s="874"/>
      <c r="L132" s="874"/>
      <c r="M132" s="874"/>
      <c r="N132" s="874"/>
      <c r="O132" s="874"/>
      <c r="P132" s="874"/>
      <c r="Q132" s="874"/>
      <c r="R132" s="874"/>
      <c r="S132" s="874"/>
      <c r="T132" s="874"/>
      <c r="U132" s="874"/>
      <c r="V132" s="874"/>
      <c r="W132" s="874"/>
      <c r="X132" s="874"/>
      <c r="Y132" s="874"/>
      <c r="Z132" s="874"/>
    </row>
    <row r="133" ht="63.75" customHeight="1">
      <c r="A133" s="874"/>
      <c r="B133" s="874"/>
      <c r="C133" s="874"/>
      <c r="D133" s="882"/>
      <c r="E133" s="874"/>
      <c r="F133" s="874"/>
      <c r="G133" s="864"/>
      <c r="H133" s="874"/>
      <c r="I133" s="874"/>
      <c r="J133" s="874"/>
      <c r="K133" s="874"/>
      <c r="L133" s="874"/>
      <c r="M133" s="874"/>
      <c r="N133" s="874"/>
      <c r="O133" s="874"/>
      <c r="P133" s="874"/>
      <c r="Q133" s="874"/>
      <c r="R133" s="874"/>
      <c r="S133" s="874"/>
      <c r="T133" s="874"/>
      <c r="U133" s="874"/>
      <c r="V133" s="874"/>
      <c r="W133" s="874"/>
      <c r="X133" s="874"/>
      <c r="Y133" s="874"/>
      <c r="Z133" s="874"/>
    </row>
    <row r="134" ht="63.75" customHeight="1">
      <c r="A134" s="874"/>
      <c r="B134" s="874"/>
      <c r="C134" s="874"/>
      <c r="D134" s="882"/>
      <c r="E134" s="874"/>
      <c r="F134" s="874"/>
      <c r="G134" s="864"/>
      <c r="H134" s="874"/>
      <c r="I134" s="874"/>
      <c r="J134" s="874"/>
      <c r="K134" s="874"/>
      <c r="L134" s="874"/>
      <c r="M134" s="874"/>
      <c r="N134" s="874"/>
      <c r="O134" s="874"/>
      <c r="P134" s="874"/>
      <c r="Q134" s="874"/>
      <c r="R134" s="874"/>
      <c r="S134" s="874"/>
      <c r="T134" s="874"/>
      <c r="U134" s="874"/>
      <c r="V134" s="874"/>
      <c r="W134" s="874"/>
      <c r="X134" s="874"/>
      <c r="Y134" s="874"/>
      <c r="Z134" s="874"/>
    </row>
    <row r="135" ht="63.75" customHeight="1">
      <c r="A135" s="874"/>
      <c r="B135" s="874"/>
      <c r="C135" s="874"/>
      <c r="D135" s="882"/>
      <c r="E135" s="874"/>
      <c r="F135" s="874"/>
      <c r="G135" s="864"/>
      <c r="H135" s="874"/>
      <c r="I135" s="874"/>
      <c r="J135" s="874"/>
      <c r="K135" s="874"/>
      <c r="L135" s="874"/>
      <c r="M135" s="874"/>
      <c r="N135" s="874"/>
      <c r="O135" s="874"/>
      <c r="P135" s="874"/>
      <c r="Q135" s="874"/>
      <c r="R135" s="874"/>
      <c r="S135" s="874"/>
      <c r="T135" s="874"/>
      <c r="U135" s="874"/>
      <c r="V135" s="874"/>
      <c r="W135" s="874"/>
      <c r="X135" s="874"/>
      <c r="Y135" s="874"/>
      <c r="Z135" s="874"/>
    </row>
    <row r="136" ht="63.75" customHeight="1">
      <c r="A136" s="874"/>
      <c r="B136" s="874"/>
      <c r="C136" s="874"/>
      <c r="D136" s="882"/>
      <c r="E136" s="874"/>
      <c r="F136" s="874"/>
      <c r="G136" s="864"/>
      <c r="H136" s="874"/>
      <c r="I136" s="874"/>
      <c r="J136" s="874"/>
      <c r="K136" s="874"/>
      <c r="L136" s="874"/>
      <c r="M136" s="874"/>
      <c r="N136" s="874"/>
      <c r="O136" s="874"/>
      <c r="P136" s="874"/>
      <c r="Q136" s="874"/>
      <c r="R136" s="874"/>
      <c r="S136" s="874"/>
      <c r="T136" s="874"/>
      <c r="U136" s="874"/>
      <c r="V136" s="874"/>
      <c r="W136" s="874"/>
      <c r="X136" s="874"/>
      <c r="Y136" s="874"/>
      <c r="Z136" s="874"/>
    </row>
    <row r="137" ht="63.75" customHeight="1">
      <c r="A137" s="874"/>
      <c r="B137" s="874"/>
      <c r="C137" s="874"/>
      <c r="D137" s="882"/>
      <c r="E137" s="874"/>
      <c r="F137" s="874"/>
      <c r="G137" s="864"/>
      <c r="H137" s="874"/>
      <c r="I137" s="874"/>
      <c r="J137" s="874"/>
      <c r="K137" s="874"/>
      <c r="L137" s="874"/>
      <c r="M137" s="874"/>
      <c r="N137" s="874"/>
      <c r="O137" s="874"/>
      <c r="P137" s="874"/>
      <c r="Q137" s="874"/>
      <c r="R137" s="874"/>
      <c r="S137" s="874"/>
      <c r="T137" s="874"/>
      <c r="U137" s="874"/>
      <c r="V137" s="874"/>
      <c r="W137" s="874"/>
      <c r="X137" s="874"/>
      <c r="Y137" s="874"/>
      <c r="Z137" s="874"/>
    </row>
    <row r="138" ht="63.75" customHeight="1">
      <c r="A138" s="874"/>
      <c r="B138" s="874"/>
      <c r="C138" s="874"/>
      <c r="D138" s="882"/>
      <c r="E138" s="874"/>
      <c r="F138" s="874"/>
      <c r="G138" s="864"/>
      <c r="H138" s="874"/>
      <c r="I138" s="874"/>
      <c r="J138" s="874"/>
      <c r="K138" s="874"/>
      <c r="L138" s="874"/>
      <c r="M138" s="874"/>
      <c r="N138" s="874"/>
      <c r="O138" s="874"/>
      <c r="P138" s="874"/>
      <c r="Q138" s="874"/>
      <c r="R138" s="874"/>
      <c r="S138" s="874"/>
      <c r="T138" s="874"/>
      <c r="U138" s="874"/>
      <c r="V138" s="874"/>
      <c r="W138" s="874"/>
      <c r="X138" s="874"/>
      <c r="Y138" s="874"/>
      <c r="Z138" s="874"/>
    </row>
    <row r="139" ht="63.75" customHeight="1">
      <c r="A139" s="874"/>
      <c r="B139" s="874"/>
      <c r="C139" s="874"/>
      <c r="D139" s="882"/>
      <c r="E139" s="874"/>
      <c r="F139" s="874"/>
      <c r="G139" s="864"/>
      <c r="H139" s="874"/>
      <c r="I139" s="874"/>
      <c r="J139" s="874"/>
      <c r="K139" s="874"/>
      <c r="L139" s="874"/>
      <c r="M139" s="874"/>
      <c r="N139" s="874"/>
      <c r="O139" s="874"/>
      <c r="P139" s="874"/>
      <c r="Q139" s="874"/>
      <c r="R139" s="874"/>
      <c r="S139" s="874"/>
      <c r="T139" s="874"/>
      <c r="U139" s="874"/>
      <c r="V139" s="874"/>
      <c r="W139" s="874"/>
      <c r="X139" s="874"/>
      <c r="Y139" s="874"/>
      <c r="Z139" s="874"/>
    </row>
    <row r="140" ht="63.75" customHeight="1">
      <c r="A140" s="874"/>
      <c r="B140" s="874"/>
      <c r="C140" s="874"/>
      <c r="D140" s="882"/>
      <c r="E140" s="874"/>
      <c r="F140" s="874"/>
      <c r="G140" s="864"/>
      <c r="H140" s="874"/>
      <c r="I140" s="874"/>
      <c r="J140" s="874"/>
      <c r="K140" s="874"/>
      <c r="L140" s="874"/>
      <c r="M140" s="874"/>
      <c r="N140" s="874"/>
      <c r="O140" s="874"/>
      <c r="P140" s="874"/>
      <c r="Q140" s="874"/>
      <c r="R140" s="874"/>
      <c r="S140" s="874"/>
      <c r="T140" s="874"/>
      <c r="U140" s="874"/>
      <c r="V140" s="874"/>
      <c r="W140" s="874"/>
      <c r="X140" s="874"/>
      <c r="Y140" s="874"/>
      <c r="Z140" s="874"/>
    </row>
    <row r="141" ht="63.75" customHeight="1">
      <c r="A141" s="874"/>
      <c r="B141" s="874"/>
      <c r="C141" s="874"/>
      <c r="D141" s="882"/>
      <c r="E141" s="874"/>
      <c r="F141" s="874"/>
      <c r="G141" s="864"/>
      <c r="H141" s="874"/>
      <c r="I141" s="874"/>
      <c r="J141" s="874"/>
      <c r="K141" s="874"/>
      <c r="L141" s="874"/>
      <c r="M141" s="874"/>
      <c r="N141" s="874"/>
      <c r="O141" s="874"/>
      <c r="P141" s="874"/>
      <c r="Q141" s="874"/>
      <c r="R141" s="874"/>
      <c r="S141" s="874"/>
      <c r="T141" s="874"/>
      <c r="U141" s="874"/>
      <c r="V141" s="874"/>
      <c r="W141" s="874"/>
      <c r="X141" s="874"/>
      <c r="Y141" s="874"/>
      <c r="Z141" s="874"/>
    </row>
    <row r="142" ht="63.75" customHeight="1">
      <c r="A142" s="874"/>
      <c r="B142" s="874"/>
      <c r="C142" s="874"/>
      <c r="D142" s="882"/>
      <c r="E142" s="874"/>
      <c r="F142" s="874"/>
      <c r="G142" s="864"/>
      <c r="H142" s="874"/>
      <c r="I142" s="874"/>
      <c r="J142" s="874"/>
      <c r="K142" s="874"/>
      <c r="L142" s="874"/>
      <c r="M142" s="874"/>
      <c r="N142" s="874"/>
      <c r="O142" s="874"/>
      <c r="P142" s="874"/>
      <c r="Q142" s="874"/>
      <c r="R142" s="874"/>
      <c r="S142" s="874"/>
      <c r="T142" s="874"/>
      <c r="U142" s="874"/>
      <c r="V142" s="874"/>
      <c r="W142" s="874"/>
      <c r="X142" s="874"/>
      <c r="Y142" s="874"/>
      <c r="Z142" s="874"/>
    </row>
    <row r="143" ht="63.75" customHeight="1">
      <c r="A143" s="874"/>
      <c r="B143" s="874"/>
      <c r="C143" s="874"/>
      <c r="D143" s="882"/>
      <c r="E143" s="874"/>
      <c r="F143" s="874"/>
      <c r="G143" s="864"/>
      <c r="H143" s="874"/>
      <c r="I143" s="874"/>
      <c r="J143" s="874"/>
      <c r="K143" s="874"/>
      <c r="L143" s="874"/>
      <c r="M143" s="874"/>
      <c r="N143" s="874"/>
      <c r="O143" s="874"/>
      <c r="P143" s="874"/>
      <c r="Q143" s="874"/>
      <c r="R143" s="874"/>
      <c r="S143" s="874"/>
      <c r="T143" s="874"/>
      <c r="U143" s="874"/>
      <c r="V143" s="874"/>
      <c r="W143" s="874"/>
      <c r="X143" s="874"/>
      <c r="Y143" s="874"/>
      <c r="Z143" s="874"/>
    </row>
    <row r="144" ht="63.75" customHeight="1">
      <c r="A144" s="874"/>
      <c r="B144" s="874"/>
      <c r="C144" s="874"/>
      <c r="D144" s="882"/>
      <c r="E144" s="874"/>
      <c r="F144" s="874"/>
      <c r="G144" s="864"/>
      <c r="H144" s="874"/>
      <c r="I144" s="874"/>
      <c r="J144" s="874"/>
      <c r="K144" s="874"/>
      <c r="L144" s="874"/>
      <c r="M144" s="874"/>
      <c r="N144" s="874"/>
      <c r="O144" s="874"/>
      <c r="P144" s="874"/>
      <c r="Q144" s="874"/>
      <c r="R144" s="874"/>
      <c r="S144" s="874"/>
      <c r="T144" s="874"/>
      <c r="U144" s="874"/>
      <c r="V144" s="874"/>
      <c r="W144" s="874"/>
      <c r="X144" s="874"/>
      <c r="Y144" s="874"/>
      <c r="Z144" s="874"/>
    </row>
    <row r="145" ht="63.75" customHeight="1">
      <c r="A145" s="874"/>
      <c r="B145" s="874"/>
      <c r="C145" s="874"/>
      <c r="D145" s="882"/>
      <c r="E145" s="874"/>
      <c r="F145" s="874"/>
      <c r="G145" s="864"/>
      <c r="H145" s="874"/>
      <c r="I145" s="874"/>
      <c r="J145" s="874"/>
      <c r="K145" s="874"/>
      <c r="L145" s="874"/>
      <c r="M145" s="874"/>
      <c r="N145" s="874"/>
      <c r="O145" s="874"/>
      <c r="P145" s="874"/>
      <c r="Q145" s="874"/>
      <c r="R145" s="874"/>
      <c r="S145" s="874"/>
      <c r="T145" s="874"/>
      <c r="U145" s="874"/>
      <c r="V145" s="874"/>
      <c r="W145" s="874"/>
      <c r="X145" s="874"/>
      <c r="Y145" s="874"/>
      <c r="Z145" s="874"/>
    </row>
    <row r="146" ht="63.75" customHeight="1">
      <c r="A146" s="874"/>
      <c r="B146" s="874"/>
      <c r="C146" s="874"/>
      <c r="D146" s="882"/>
      <c r="E146" s="874"/>
      <c r="F146" s="874"/>
      <c r="G146" s="864"/>
      <c r="H146" s="874"/>
      <c r="I146" s="874"/>
      <c r="J146" s="874"/>
      <c r="K146" s="874"/>
      <c r="L146" s="874"/>
      <c r="M146" s="874"/>
      <c r="N146" s="874"/>
      <c r="O146" s="874"/>
      <c r="P146" s="874"/>
      <c r="Q146" s="874"/>
      <c r="R146" s="874"/>
      <c r="S146" s="874"/>
      <c r="T146" s="874"/>
      <c r="U146" s="874"/>
      <c r="V146" s="874"/>
      <c r="W146" s="874"/>
      <c r="X146" s="874"/>
      <c r="Y146" s="874"/>
      <c r="Z146" s="874"/>
    </row>
    <row r="147" ht="63.75" customHeight="1">
      <c r="A147" s="874"/>
      <c r="B147" s="874"/>
      <c r="C147" s="874"/>
      <c r="D147" s="882"/>
      <c r="E147" s="874"/>
      <c r="F147" s="874"/>
      <c r="G147" s="864"/>
      <c r="H147" s="874"/>
      <c r="I147" s="874"/>
      <c r="J147" s="874"/>
      <c r="K147" s="874"/>
      <c r="L147" s="874"/>
      <c r="M147" s="874"/>
      <c r="N147" s="874"/>
      <c r="O147" s="874"/>
      <c r="P147" s="874"/>
      <c r="Q147" s="874"/>
      <c r="R147" s="874"/>
      <c r="S147" s="874"/>
      <c r="T147" s="874"/>
      <c r="U147" s="874"/>
      <c r="V147" s="874"/>
      <c r="W147" s="874"/>
      <c r="X147" s="874"/>
      <c r="Y147" s="874"/>
      <c r="Z147" s="874"/>
    </row>
    <row r="148" ht="63.75" customHeight="1">
      <c r="A148" s="874"/>
      <c r="B148" s="874"/>
      <c r="C148" s="874"/>
      <c r="D148" s="882"/>
      <c r="E148" s="874"/>
      <c r="F148" s="874"/>
      <c r="G148" s="864"/>
      <c r="H148" s="874"/>
      <c r="I148" s="874"/>
      <c r="J148" s="874"/>
      <c r="K148" s="874"/>
      <c r="L148" s="874"/>
      <c r="M148" s="874"/>
      <c r="N148" s="874"/>
      <c r="O148" s="874"/>
      <c r="P148" s="874"/>
      <c r="Q148" s="874"/>
      <c r="R148" s="874"/>
      <c r="S148" s="874"/>
      <c r="T148" s="874"/>
      <c r="U148" s="874"/>
      <c r="V148" s="874"/>
      <c r="W148" s="874"/>
      <c r="X148" s="874"/>
      <c r="Y148" s="874"/>
      <c r="Z148" s="874"/>
    </row>
    <row r="149" ht="63.75" customHeight="1">
      <c r="A149" s="874"/>
      <c r="B149" s="874"/>
      <c r="C149" s="874"/>
      <c r="D149" s="882"/>
      <c r="E149" s="874"/>
      <c r="F149" s="874"/>
      <c r="G149" s="864"/>
      <c r="H149" s="874"/>
      <c r="I149" s="874"/>
      <c r="J149" s="874"/>
      <c r="K149" s="874"/>
      <c r="L149" s="874"/>
      <c r="M149" s="874"/>
      <c r="N149" s="874"/>
      <c r="O149" s="874"/>
      <c r="P149" s="874"/>
      <c r="Q149" s="874"/>
      <c r="R149" s="874"/>
      <c r="S149" s="874"/>
      <c r="T149" s="874"/>
      <c r="U149" s="874"/>
      <c r="V149" s="874"/>
      <c r="W149" s="874"/>
      <c r="X149" s="874"/>
      <c r="Y149" s="874"/>
      <c r="Z149" s="874"/>
    </row>
    <row r="150" ht="63.75" customHeight="1">
      <c r="A150" s="874"/>
      <c r="B150" s="874"/>
      <c r="C150" s="874"/>
      <c r="D150" s="882"/>
      <c r="E150" s="874"/>
      <c r="F150" s="874"/>
      <c r="G150" s="864"/>
      <c r="H150" s="874"/>
      <c r="I150" s="874"/>
      <c r="J150" s="874"/>
      <c r="K150" s="874"/>
      <c r="L150" s="874"/>
      <c r="M150" s="874"/>
      <c r="N150" s="874"/>
      <c r="O150" s="874"/>
      <c r="P150" s="874"/>
      <c r="Q150" s="874"/>
      <c r="R150" s="874"/>
      <c r="S150" s="874"/>
      <c r="T150" s="874"/>
      <c r="U150" s="874"/>
      <c r="V150" s="874"/>
      <c r="W150" s="874"/>
      <c r="X150" s="874"/>
      <c r="Y150" s="874"/>
      <c r="Z150" s="874"/>
    </row>
    <row r="151" ht="63.75" customHeight="1">
      <c r="A151" s="874"/>
      <c r="B151" s="874"/>
      <c r="C151" s="874"/>
      <c r="D151" s="882"/>
      <c r="E151" s="874"/>
      <c r="F151" s="874"/>
      <c r="G151" s="864"/>
      <c r="H151" s="874"/>
      <c r="I151" s="874"/>
      <c r="J151" s="874"/>
      <c r="K151" s="874"/>
      <c r="L151" s="874"/>
      <c r="M151" s="874"/>
      <c r="N151" s="874"/>
      <c r="O151" s="874"/>
      <c r="P151" s="874"/>
      <c r="Q151" s="874"/>
      <c r="R151" s="874"/>
      <c r="S151" s="874"/>
      <c r="T151" s="874"/>
      <c r="U151" s="874"/>
      <c r="V151" s="874"/>
      <c r="W151" s="874"/>
      <c r="X151" s="874"/>
      <c r="Y151" s="874"/>
      <c r="Z151" s="874"/>
    </row>
    <row r="152" ht="63.75" customHeight="1">
      <c r="A152" s="874"/>
      <c r="B152" s="874"/>
      <c r="C152" s="874"/>
      <c r="D152" s="882"/>
      <c r="E152" s="874"/>
      <c r="F152" s="874"/>
      <c r="G152" s="864"/>
      <c r="H152" s="874"/>
      <c r="I152" s="874"/>
      <c r="J152" s="874"/>
      <c r="K152" s="874"/>
      <c r="L152" s="874"/>
      <c r="M152" s="874"/>
      <c r="N152" s="874"/>
      <c r="O152" s="874"/>
      <c r="P152" s="874"/>
      <c r="Q152" s="874"/>
      <c r="R152" s="874"/>
      <c r="S152" s="874"/>
      <c r="T152" s="874"/>
      <c r="U152" s="874"/>
      <c r="V152" s="874"/>
      <c r="W152" s="874"/>
      <c r="X152" s="874"/>
      <c r="Y152" s="874"/>
      <c r="Z152" s="874"/>
    </row>
    <row r="153" ht="63.75" customHeight="1">
      <c r="A153" s="874"/>
      <c r="B153" s="874"/>
      <c r="C153" s="874"/>
      <c r="D153" s="882"/>
      <c r="E153" s="874"/>
      <c r="F153" s="874"/>
      <c r="G153" s="864"/>
      <c r="H153" s="874"/>
      <c r="I153" s="874"/>
      <c r="J153" s="874"/>
      <c r="K153" s="874"/>
      <c r="L153" s="874"/>
      <c r="M153" s="874"/>
      <c r="N153" s="874"/>
      <c r="O153" s="874"/>
      <c r="P153" s="874"/>
      <c r="Q153" s="874"/>
      <c r="R153" s="874"/>
      <c r="S153" s="874"/>
      <c r="T153" s="874"/>
      <c r="U153" s="874"/>
      <c r="V153" s="874"/>
      <c r="W153" s="874"/>
      <c r="X153" s="874"/>
      <c r="Y153" s="874"/>
      <c r="Z153" s="874"/>
    </row>
    <row r="154" ht="63.75" customHeight="1">
      <c r="A154" s="874"/>
      <c r="B154" s="874"/>
      <c r="C154" s="874"/>
      <c r="D154" s="882"/>
      <c r="E154" s="874"/>
      <c r="F154" s="874"/>
      <c r="G154" s="864"/>
      <c r="H154" s="874"/>
      <c r="I154" s="874"/>
      <c r="J154" s="874"/>
      <c r="K154" s="874"/>
      <c r="L154" s="874"/>
      <c r="M154" s="874"/>
      <c r="N154" s="874"/>
      <c r="O154" s="874"/>
      <c r="P154" s="874"/>
      <c r="Q154" s="874"/>
      <c r="R154" s="874"/>
      <c r="S154" s="874"/>
      <c r="T154" s="874"/>
      <c r="U154" s="874"/>
      <c r="V154" s="874"/>
      <c r="W154" s="874"/>
      <c r="X154" s="874"/>
      <c r="Y154" s="874"/>
      <c r="Z154" s="874"/>
    </row>
    <row r="155" ht="63.75" customHeight="1">
      <c r="A155" s="874"/>
      <c r="B155" s="874"/>
      <c r="C155" s="874"/>
      <c r="D155" s="882"/>
      <c r="E155" s="874"/>
      <c r="F155" s="874"/>
      <c r="G155" s="864"/>
      <c r="H155" s="874"/>
      <c r="I155" s="874"/>
      <c r="J155" s="874"/>
      <c r="K155" s="874"/>
      <c r="L155" s="874"/>
      <c r="M155" s="874"/>
      <c r="N155" s="874"/>
      <c r="O155" s="874"/>
      <c r="P155" s="874"/>
      <c r="Q155" s="874"/>
      <c r="R155" s="874"/>
      <c r="S155" s="874"/>
      <c r="T155" s="874"/>
      <c r="U155" s="874"/>
      <c r="V155" s="874"/>
      <c r="W155" s="874"/>
      <c r="X155" s="874"/>
      <c r="Y155" s="874"/>
      <c r="Z155" s="874"/>
    </row>
    <row r="156" ht="63.75" customHeight="1">
      <c r="A156" s="874"/>
      <c r="B156" s="874"/>
      <c r="C156" s="874"/>
      <c r="D156" s="882"/>
      <c r="E156" s="874"/>
      <c r="F156" s="874"/>
      <c r="G156" s="864"/>
      <c r="H156" s="874"/>
      <c r="I156" s="874"/>
      <c r="J156" s="874"/>
      <c r="K156" s="874"/>
      <c r="L156" s="874"/>
      <c r="M156" s="874"/>
      <c r="N156" s="874"/>
      <c r="O156" s="874"/>
      <c r="P156" s="874"/>
      <c r="Q156" s="874"/>
      <c r="R156" s="874"/>
      <c r="S156" s="874"/>
      <c r="T156" s="874"/>
      <c r="U156" s="874"/>
      <c r="V156" s="874"/>
      <c r="W156" s="874"/>
      <c r="X156" s="874"/>
      <c r="Y156" s="874"/>
      <c r="Z156" s="874"/>
    </row>
    <row r="157" ht="63.75" customHeight="1">
      <c r="A157" s="874"/>
      <c r="B157" s="874"/>
      <c r="C157" s="874"/>
      <c r="D157" s="882"/>
      <c r="E157" s="874"/>
      <c r="F157" s="874"/>
      <c r="G157" s="864"/>
      <c r="H157" s="874"/>
      <c r="I157" s="874"/>
      <c r="J157" s="874"/>
      <c r="K157" s="874"/>
      <c r="L157" s="874"/>
      <c r="M157" s="874"/>
      <c r="N157" s="874"/>
      <c r="O157" s="874"/>
      <c r="P157" s="874"/>
      <c r="Q157" s="874"/>
      <c r="R157" s="874"/>
      <c r="S157" s="874"/>
      <c r="T157" s="874"/>
      <c r="U157" s="874"/>
      <c r="V157" s="874"/>
      <c r="W157" s="874"/>
      <c r="X157" s="874"/>
      <c r="Y157" s="874"/>
      <c r="Z157" s="874"/>
    </row>
    <row r="158" ht="63.75" customHeight="1">
      <c r="A158" s="874"/>
      <c r="B158" s="874"/>
      <c r="C158" s="874"/>
      <c r="D158" s="882"/>
      <c r="E158" s="874"/>
      <c r="F158" s="874"/>
      <c r="G158" s="864"/>
      <c r="H158" s="874"/>
      <c r="I158" s="874"/>
      <c r="J158" s="874"/>
      <c r="K158" s="874"/>
      <c r="L158" s="874"/>
      <c r="M158" s="874"/>
      <c r="N158" s="874"/>
      <c r="O158" s="874"/>
      <c r="P158" s="874"/>
      <c r="Q158" s="874"/>
      <c r="R158" s="874"/>
      <c r="S158" s="874"/>
      <c r="T158" s="874"/>
      <c r="U158" s="874"/>
      <c r="V158" s="874"/>
      <c r="W158" s="874"/>
      <c r="X158" s="874"/>
      <c r="Y158" s="874"/>
      <c r="Z158" s="874"/>
    </row>
    <row r="159" ht="63.75" customHeight="1">
      <c r="A159" s="874"/>
      <c r="B159" s="874"/>
      <c r="C159" s="874"/>
      <c r="D159" s="882"/>
      <c r="E159" s="874"/>
      <c r="F159" s="874"/>
      <c r="G159" s="864"/>
      <c r="H159" s="874"/>
      <c r="I159" s="874"/>
      <c r="J159" s="874"/>
      <c r="K159" s="874"/>
      <c r="L159" s="874"/>
      <c r="M159" s="874"/>
      <c r="N159" s="874"/>
      <c r="O159" s="874"/>
      <c r="P159" s="874"/>
      <c r="Q159" s="874"/>
      <c r="R159" s="874"/>
      <c r="S159" s="874"/>
      <c r="T159" s="874"/>
      <c r="U159" s="874"/>
      <c r="V159" s="874"/>
      <c r="W159" s="874"/>
      <c r="X159" s="874"/>
      <c r="Y159" s="874"/>
      <c r="Z159" s="874"/>
    </row>
    <row r="160" ht="63.75" customHeight="1">
      <c r="A160" s="874"/>
      <c r="B160" s="874"/>
      <c r="C160" s="874"/>
      <c r="D160" s="882"/>
      <c r="E160" s="874"/>
      <c r="F160" s="874"/>
      <c r="G160" s="864"/>
      <c r="H160" s="874"/>
      <c r="I160" s="874"/>
      <c r="J160" s="874"/>
      <c r="K160" s="874"/>
      <c r="L160" s="874"/>
      <c r="M160" s="874"/>
      <c r="N160" s="874"/>
      <c r="O160" s="874"/>
      <c r="P160" s="874"/>
      <c r="Q160" s="874"/>
      <c r="R160" s="874"/>
      <c r="S160" s="874"/>
      <c r="T160" s="874"/>
      <c r="U160" s="874"/>
      <c r="V160" s="874"/>
      <c r="W160" s="874"/>
      <c r="X160" s="874"/>
      <c r="Y160" s="874"/>
      <c r="Z160" s="874"/>
    </row>
    <row r="161" ht="63.75" customHeight="1">
      <c r="A161" s="874"/>
      <c r="B161" s="874"/>
      <c r="C161" s="874"/>
      <c r="D161" s="882"/>
      <c r="E161" s="874"/>
      <c r="F161" s="874"/>
      <c r="G161" s="864"/>
      <c r="H161" s="874"/>
      <c r="I161" s="874"/>
      <c r="J161" s="874"/>
      <c r="K161" s="874"/>
      <c r="L161" s="874"/>
      <c r="M161" s="874"/>
      <c r="N161" s="874"/>
      <c r="O161" s="874"/>
      <c r="P161" s="874"/>
      <c r="Q161" s="874"/>
      <c r="R161" s="874"/>
      <c r="S161" s="874"/>
      <c r="T161" s="874"/>
      <c r="U161" s="874"/>
      <c r="V161" s="874"/>
      <c r="W161" s="874"/>
      <c r="X161" s="874"/>
      <c r="Y161" s="874"/>
      <c r="Z161" s="874"/>
    </row>
    <row r="162" ht="63.75" customHeight="1">
      <c r="A162" s="874"/>
      <c r="B162" s="874"/>
      <c r="C162" s="874"/>
      <c r="D162" s="882"/>
      <c r="E162" s="874"/>
      <c r="F162" s="874"/>
      <c r="G162" s="864"/>
      <c r="H162" s="874"/>
      <c r="I162" s="874"/>
      <c r="J162" s="874"/>
      <c r="K162" s="874"/>
      <c r="L162" s="874"/>
      <c r="M162" s="874"/>
      <c r="N162" s="874"/>
      <c r="O162" s="874"/>
      <c r="P162" s="874"/>
      <c r="Q162" s="874"/>
      <c r="R162" s="874"/>
      <c r="S162" s="874"/>
      <c r="T162" s="874"/>
      <c r="U162" s="874"/>
      <c r="V162" s="874"/>
      <c r="W162" s="874"/>
      <c r="X162" s="874"/>
      <c r="Y162" s="874"/>
      <c r="Z162" s="874"/>
    </row>
    <row r="163" ht="63.75" customHeight="1">
      <c r="A163" s="874"/>
      <c r="B163" s="874"/>
      <c r="C163" s="874"/>
      <c r="D163" s="882"/>
      <c r="E163" s="874"/>
      <c r="F163" s="874"/>
      <c r="G163" s="864"/>
      <c r="H163" s="874"/>
      <c r="I163" s="874"/>
      <c r="J163" s="874"/>
      <c r="K163" s="874"/>
      <c r="L163" s="874"/>
      <c r="M163" s="874"/>
      <c r="N163" s="874"/>
      <c r="O163" s="874"/>
      <c r="P163" s="874"/>
      <c r="Q163" s="874"/>
      <c r="R163" s="874"/>
      <c r="S163" s="874"/>
      <c r="T163" s="874"/>
      <c r="U163" s="874"/>
      <c r="V163" s="874"/>
      <c r="W163" s="874"/>
      <c r="X163" s="874"/>
      <c r="Y163" s="874"/>
      <c r="Z163" s="874"/>
    </row>
    <row r="164" ht="63.75" customHeight="1">
      <c r="A164" s="874"/>
      <c r="B164" s="874"/>
      <c r="C164" s="874"/>
      <c r="D164" s="882"/>
      <c r="E164" s="874"/>
      <c r="F164" s="874"/>
      <c r="G164" s="864"/>
      <c r="H164" s="874"/>
      <c r="I164" s="874"/>
      <c r="J164" s="874"/>
      <c r="K164" s="874"/>
      <c r="L164" s="874"/>
      <c r="M164" s="874"/>
      <c r="N164" s="874"/>
      <c r="O164" s="874"/>
      <c r="P164" s="874"/>
      <c r="Q164" s="874"/>
      <c r="R164" s="874"/>
      <c r="S164" s="874"/>
      <c r="T164" s="874"/>
      <c r="U164" s="874"/>
      <c r="V164" s="874"/>
      <c r="W164" s="874"/>
      <c r="X164" s="874"/>
      <c r="Y164" s="874"/>
      <c r="Z164" s="874"/>
    </row>
    <row r="165" ht="63.75" customHeight="1">
      <c r="A165" s="874"/>
      <c r="B165" s="874"/>
      <c r="C165" s="874"/>
      <c r="D165" s="882"/>
      <c r="E165" s="874"/>
      <c r="F165" s="874"/>
      <c r="G165" s="864"/>
      <c r="H165" s="874"/>
      <c r="I165" s="874"/>
      <c r="J165" s="874"/>
      <c r="K165" s="874"/>
      <c r="L165" s="874"/>
      <c r="M165" s="874"/>
      <c r="N165" s="874"/>
      <c r="O165" s="874"/>
      <c r="P165" s="874"/>
      <c r="Q165" s="874"/>
      <c r="R165" s="874"/>
      <c r="S165" s="874"/>
      <c r="T165" s="874"/>
      <c r="U165" s="874"/>
      <c r="V165" s="874"/>
      <c r="W165" s="874"/>
      <c r="X165" s="874"/>
      <c r="Y165" s="874"/>
      <c r="Z165" s="874"/>
    </row>
    <row r="166" ht="63.75" customHeight="1">
      <c r="A166" s="874"/>
      <c r="B166" s="874"/>
      <c r="C166" s="874"/>
      <c r="D166" s="882"/>
      <c r="E166" s="874"/>
      <c r="F166" s="874"/>
      <c r="G166" s="864"/>
      <c r="H166" s="874"/>
      <c r="I166" s="874"/>
      <c r="J166" s="874"/>
      <c r="K166" s="874"/>
      <c r="L166" s="874"/>
      <c r="M166" s="874"/>
      <c r="N166" s="874"/>
      <c r="O166" s="874"/>
      <c r="P166" s="874"/>
      <c r="Q166" s="874"/>
      <c r="R166" s="874"/>
      <c r="S166" s="874"/>
      <c r="T166" s="874"/>
      <c r="U166" s="874"/>
      <c r="V166" s="874"/>
      <c r="W166" s="874"/>
      <c r="X166" s="874"/>
      <c r="Y166" s="874"/>
      <c r="Z166" s="874"/>
    </row>
    <row r="167" ht="63.75" customHeight="1">
      <c r="A167" s="874"/>
      <c r="B167" s="874"/>
      <c r="C167" s="874"/>
      <c r="D167" s="882"/>
      <c r="E167" s="874"/>
      <c r="F167" s="874"/>
      <c r="G167" s="864"/>
      <c r="H167" s="874"/>
      <c r="I167" s="874"/>
      <c r="J167" s="874"/>
      <c r="K167" s="874"/>
      <c r="L167" s="874"/>
      <c r="M167" s="874"/>
      <c r="N167" s="874"/>
      <c r="O167" s="874"/>
      <c r="P167" s="874"/>
      <c r="Q167" s="874"/>
      <c r="R167" s="874"/>
      <c r="S167" s="874"/>
      <c r="T167" s="874"/>
      <c r="U167" s="874"/>
      <c r="V167" s="874"/>
      <c r="W167" s="874"/>
      <c r="X167" s="874"/>
      <c r="Y167" s="874"/>
      <c r="Z167" s="874"/>
    </row>
    <row r="168" ht="63.75" customHeight="1">
      <c r="A168" s="874"/>
      <c r="B168" s="874"/>
      <c r="C168" s="874"/>
      <c r="D168" s="882"/>
      <c r="E168" s="874"/>
      <c r="F168" s="874"/>
      <c r="G168" s="864"/>
      <c r="H168" s="874"/>
      <c r="I168" s="874"/>
      <c r="J168" s="874"/>
      <c r="K168" s="874"/>
      <c r="L168" s="874"/>
      <c r="M168" s="874"/>
      <c r="N168" s="874"/>
      <c r="O168" s="874"/>
      <c r="P168" s="874"/>
      <c r="Q168" s="874"/>
      <c r="R168" s="874"/>
      <c r="S168" s="874"/>
      <c r="T168" s="874"/>
      <c r="U168" s="874"/>
      <c r="V168" s="874"/>
      <c r="W168" s="874"/>
      <c r="X168" s="874"/>
      <c r="Y168" s="874"/>
      <c r="Z168" s="874"/>
    </row>
    <row r="169" ht="63.75" customHeight="1">
      <c r="A169" s="874"/>
      <c r="B169" s="874"/>
      <c r="C169" s="874"/>
      <c r="D169" s="882"/>
      <c r="E169" s="874"/>
      <c r="F169" s="874"/>
      <c r="G169" s="864"/>
      <c r="H169" s="874"/>
      <c r="I169" s="874"/>
      <c r="J169" s="874"/>
      <c r="K169" s="874"/>
      <c r="L169" s="874"/>
      <c r="M169" s="874"/>
      <c r="N169" s="874"/>
      <c r="O169" s="874"/>
      <c r="P169" s="874"/>
      <c r="Q169" s="874"/>
      <c r="R169" s="874"/>
      <c r="S169" s="874"/>
      <c r="T169" s="874"/>
      <c r="U169" s="874"/>
      <c r="V169" s="874"/>
      <c r="W169" s="874"/>
      <c r="X169" s="874"/>
      <c r="Y169" s="874"/>
      <c r="Z169" s="874"/>
    </row>
    <row r="170" ht="63.75" customHeight="1">
      <c r="A170" s="874"/>
      <c r="B170" s="874"/>
      <c r="C170" s="874"/>
      <c r="D170" s="882"/>
      <c r="E170" s="874"/>
      <c r="F170" s="874"/>
      <c r="G170" s="864"/>
      <c r="H170" s="874"/>
      <c r="I170" s="874"/>
      <c r="J170" s="874"/>
      <c r="K170" s="874"/>
      <c r="L170" s="874"/>
      <c r="M170" s="874"/>
      <c r="N170" s="874"/>
      <c r="O170" s="874"/>
      <c r="P170" s="874"/>
      <c r="Q170" s="874"/>
      <c r="R170" s="874"/>
      <c r="S170" s="874"/>
      <c r="T170" s="874"/>
      <c r="U170" s="874"/>
      <c r="V170" s="874"/>
      <c r="W170" s="874"/>
      <c r="X170" s="874"/>
      <c r="Y170" s="874"/>
      <c r="Z170" s="874"/>
    </row>
    <row r="171" ht="63.75" customHeight="1">
      <c r="A171" s="874"/>
      <c r="B171" s="874"/>
      <c r="C171" s="874"/>
      <c r="D171" s="882"/>
      <c r="E171" s="874"/>
      <c r="F171" s="874"/>
      <c r="G171" s="864"/>
      <c r="H171" s="874"/>
      <c r="I171" s="874"/>
      <c r="J171" s="874"/>
      <c r="K171" s="874"/>
      <c r="L171" s="874"/>
      <c r="M171" s="874"/>
      <c r="N171" s="874"/>
      <c r="O171" s="874"/>
      <c r="P171" s="874"/>
      <c r="Q171" s="874"/>
      <c r="R171" s="874"/>
      <c r="S171" s="874"/>
      <c r="T171" s="874"/>
      <c r="U171" s="874"/>
      <c r="V171" s="874"/>
      <c r="W171" s="874"/>
      <c r="X171" s="874"/>
      <c r="Y171" s="874"/>
      <c r="Z171" s="874"/>
    </row>
    <row r="172" ht="63.75" customHeight="1">
      <c r="A172" s="874"/>
      <c r="B172" s="874"/>
      <c r="C172" s="874"/>
      <c r="D172" s="882"/>
      <c r="E172" s="874"/>
      <c r="F172" s="874"/>
      <c r="G172" s="864"/>
      <c r="H172" s="874"/>
      <c r="I172" s="874"/>
      <c r="J172" s="874"/>
      <c r="K172" s="874"/>
      <c r="L172" s="874"/>
      <c r="M172" s="874"/>
      <c r="N172" s="874"/>
      <c r="O172" s="874"/>
      <c r="P172" s="874"/>
      <c r="Q172" s="874"/>
      <c r="R172" s="874"/>
      <c r="S172" s="874"/>
      <c r="T172" s="874"/>
      <c r="U172" s="874"/>
      <c r="V172" s="874"/>
      <c r="W172" s="874"/>
      <c r="X172" s="874"/>
      <c r="Y172" s="874"/>
      <c r="Z172" s="874"/>
    </row>
    <row r="173" ht="63.75" customHeight="1">
      <c r="A173" s="874"/>
      <c r="B173" s="874"/>
      <c r="C173" s="874"/>
      <c r="D173" s="882"/>
      <c r="E173" s="874"/>
      <c r="F173" s="874"/>
      <c r="G173" s="864"/>
      <c r="H173" s="874"/>
      <c r="I173" s="874"/>
      <c r="J173" s="874"/>
      <c r="K173" s="874"/>
      <c r="L173" s="874"/>
      <c r="M173" s="874"/>
      <c r="N173" s="874"/>
      <c r="O173" s="874"/>
      <c r="P173" s="874"/>
      <c r="Q173" s="874"/>
      <c r="R173" s="874"/>
      <c r="S173" s="874"/>
      <c r="T173" s="874"/>
      <c r="U173" s="874"/>
      <c r="V173" s="874"/>
      <c r="W173" s="874"/>
      <c r="X173" s="874"/>
      <c r="Y173" s="874"/>
      <c r="Z173" s="874"/>
    </row>
    <row r="174" ht="63.75" customHeight="1">
      <c r="A174" s="874"/>
      <c r="B174" s="874"/>
      <c r="C174" s="874"/>
      <c r="D174" s="882"/>
      <c r="E174" s="874"/>
      <c r="F174" s="874"/>
      <c r="G174" s="864"/>
      <c r="H174" s="874"/>
      <c r="I174" s="874"/>
      <c r="J174" s="874"/>
      <c r="K174" s="874"/>
      <c r="L174" s="874"/>
      <c r="M174" s="874"/>
      <c r="N174" s="874"/>
      <c r="O174" s="874"/>
      <c r="P174" s="874"/>
      <c r="Q174" s="874"/>
      <c r="R174" s="874"/>
      <c r="S174" s="874"/>
      <c r="T174" s="874"/>
      <c r="U174" s="874"/>
      <c r="V174" s="874"/>
      <c r="W174" s="874"/>
      <c r="X174" s="874"/>
      <c r="Y174" s="874"/>
      <c r="Z174" s="874"/>
    </row>
    <row r="175" ht="63.75" customHeight="1">
      <c r="A175" s="874"/>
      <c r="B175" s="874"/>
      <c r="C175" s="874"/>
      <c r="D175" s="882"/>
      <c r="E175" s="874"/>
      <c r="F175" s="874"/>
      <c r="G175" s="864"/>
      <c r="H175" s="874"/>
      <c r="I175" s="874"/>
      <c r="J175" s="874"/>
      <c r="K175" s="874"/>
      <c r="L175" s="874"/>
      <c r="M175" s="874"/>
      <c r="N175" s="874"/>
      <c r="O175" s="874"/>
      <c r="P175" s="874"/>
      <c r="Q175" s="874"/>
      <c r="R175" s="874"/>
      <c r="S175" s="874"/>
      <c r="T175" s="874"/>
      <c r="U175" s="874"/>
      <c r="V175" s="874"/>
      <c r="W175" s="874"/>
      <c r="X175" s="874"/>
      <c r="Y175" s="874"/>
      <c r="Z175" s="874"/>
    </row>
    <row r="176" ht="63.75" customHeight="1">
      <c r="A176" s="874"/>
      <c r="B176" s="874"/>
      <c r="C176" s="874"/>
      <c r="D176" s="882"/>
      <c r="E176" s="874"/>
      <c r="F176" s="874"/>
      <c r="G176" s="864"/>
      <c r="H176" s="874"/>
      <c r="I176" s="874"/>
      <c r="J176" s="874"/>
      <c r="K176" s="874"/>
      <c r="L176" s="874"/>
      <c r="M176" s="874"/>
      <c r="N176" s="874"/>
      <c r="O176" s="874"/>
      <c r="P176" s="874"/>
      <c r="Q176" s="874"/>
      <c r="R176" s="874"/>
      <c r="S176" s="874"/>
      <c r="T176" s="874"/>
      <c r="U176" s="874"/>
      <c r="V176" s="874"/>
      <c r="W176" s="874"/>
      <c r="X176" s="874"/>
      <c r="Y176" s="874"/>
      <c r="Z176" s="874"/>
    </row>
    <row r="177" ht="63.75" customHeight="1">
      <c r="A177" s="874"/>
      <c r="B177" s="874"/>
      <c r="C177" s="874"/>
      <c r="D177" s="882"/>
      <c r="E177" s="874"/>
      <c r="F177" s="874"/>
      <c r="G177" s="864"/>
      <c r="H177" s="874"/>
      <c r="I177" s="874"/>
      <c r="J177" s="874"/>
      <c r="K177" s="874"/>
      <c r="L177" s="874"/>
      <c r="M177" s="874"/>
      <c r="N177" s="874"/>
      <c r="O177" s="874"/>
      <c r="P177" s="874"/>
      <c r="Q177" s="874"/>
      <c r="R177" s="874"/>
      <c r="S177" s="874"/>
      <c r="T177" s="874"/>
      <c r="U177" s="874"/>
      <c r="V177" s="874"/>
      <c r="W177" s="874"/>
      <c r="X177" s="874"/>
      <c r="Y177" s="874"/>
      <c r="Z177" s="874"/>
    </row>
    <row r="178" ht="63.75" customHeight="1">
      <c r="A178" s="874"/>
      <c r="B178" s="874"/>
      <c r="C178" s="874"/>
      <c r="D178" s="882"/>
      <c r="E178" s="874"/>
      <c r="F178" s="874"/>
      <c r="G178" s="864"/>
      <c r="H178" s="874"/>
      <c r="I178" s="874"/>
      <c r="J178" s="874"/>
      <c r="K178" s="874"/>
      <c r="L178" s="874"/>
      <c r="M178" s="874"/>
      <c r="N178" s="874"/>
      <c r="O178" s="874"/>
      <c r="P178" s="874"/>
      <c r="Q178" s="874"/>
      <c r="R178" s="874"/>
      <c r="S178" s="874"/>
      <c r="T178" s="874"/>
      <c r="U178" s="874"/>
      <c r="V178" s="874"/>
      <c r="W178" s="874"/>
      <c r="X178" s="874"/>
      <c r="Y178" s="874"/>
      <c r="Z178" s="874"/>
    </row>
    <row r="179" ht="63.75" customHeight="1">
      <c r="A179" s="874"/>
      <c r="B179" s="874"/>
      <c r="C179" s="874"/>
      <c r="D179" s="882"/>
      <c r="E179" s="874"/>
      <c r="F179" s="874"/>
      <c r="G179" s="864"/>
      <c r="H179" s="874"/>
      <c r="I179" s="874"/>
      <c r="J179" s="874"/>
      <c r="K179" s="874"/>
      <c r="L179" s="874"/>
      <c r="M179" s="874"/>
      <c r="N179" s="874"/>
      <c r="O179" s="874"/>
      <c r="P179" s="874"/>
      <c r="Q179" s="874"/>
      <c r="R179" s="874"/>
      <c r="S179" s="874"/>
      <c r="T179" s="874"/>
      <c r="U179" s="874"/>
      <c r="V179" s="874"/>
      <c r="W179" s="874"/>
      <c r="X179" s="874"/>
      <c r="Y179" s="874"/>
      <c r="Z179" s="874"/>
    </row>
    <row r="180" ht="63.75" customHeight="1">
      <c r="A180" s="874"/>
      <c r="B180" s="874"/>
      <c r="C180" s="874"/>
      <c r="D180" s="882"/>
      <c r="E180" s="874"/>
      <c r="F180" s="874"/>
      <c r="G180" s="864"/>
      <c r="H180" s="874"/>
      <c r="I180" s="874"/>
      <c r="J180" s="874"/>
      <c r="K180" s="874"/>
      <c r="L180" s="874"/>
      <c r="M180" s="874"/>
      <c r="N180" s="874"/>
      <c r="O180" s="874"/>
      <c r="P180" s="874"/>
      <c r="Q180" s="874"/>
      <c r="R180" s="874"/>
      <c r="S180" s="874"/>
      <c r="T180" s="874"/>
      <c r="U180" s="874"/>
      <c r="V180" s="874"/>
      <c r="W180" s="874"/>
      <c r="X180" s="874"/>
      <c r="Y180" s="874"/>
      <c r="Z180" s="874"/>
    </row>
    <row r="181" ht="63.75" customHeight="1">
      <c r="A181" s="874"/>
      <c r="B181" s="874"/>
      <c r="C181" s="874"/>
      <c r="D181" s="882"/>
      <c r="E181" s="874"/>
      <c r="F181" s="874"/>
      <c r="G181" s="864"/>
      <c r="H181" s="874"/>
      <c r="I181" s="874"/>
      <c r="J181" s="874"/>
      <c r="K181" s="874"/>
      <c r="L181" s="874"/>
      <c r="M181" s="874"/>
      <c r="N181" s="874"/>
      <c r="O181" s="874"/>
      <c r="P181" s="874"/>
      <c r="Q181" s="874"/>
      <c r="R181" s="874"/>
      <c r="S181" s="874"/>
      <c r="T181" s="874"/>
      <c r="U181" s="874"/>
      <c r="V181" s="874"/>
      <c r="W181" s="874"/>
      <c r="X181" s="874"/>
      <c r="Y181" s="874"/>
      <c r="Z181" s="874"/>
    </row>
    <row r="182" ht="63.75" customHeight="1">
      <c r="A182" s="874"/>
      <c r="B182" s="874"/>
      <c r="C182" s="874"/>
      <c r="D182" s="882"/>
      <c r="E182" s="874"/>
      <c r="F182" s="874"/>
      <c r="G182" s="864"/>
      <c r="H182" s="874"/>
      <c r="I182" s="874"/>
      <c r="J182" s="874"/>
      <c r="K182" s="874"/>
      <c r="L182" s="874"/>
      <c r="M182" s="874"/>
      <c r="N182" s="874"/>
      <c r="O182" s="874"/>
      <c r="P182" s="874"/>
      <c r="Q182" s="874"/>
      <c r="R182" s="874"/>
      <c r="S182" s="874"/>
      <c r="T182" s="874"/>
      <c r="U182" s="874"/>
      <c r="V182" s="874"/>
      <c r="W182" s="874"/>
      <c r="X182" s="874"/>
      <c r="Y182" s="874"/>
      <c r="Z182" s="874"/>
    </row>
    <row r="183" ht="63.75" customHeight="1">
      <c r="A183" s="874"/>
      <c r="B183" s="874"/>
      <c r="C183" s="874"/>
      <c r="D183" s="882"/>
      <c r="E183" s="874"/>
      <c r="F183" s="874"/>
      <c r="G183" s="864"/>
      <c r="H183" s="874"/>
      <c r="I183" s="874"/>
      <c r="J183" s="874"/>
      <c r="K183" s="874"/>
      <c r="L183" s="874"/>
      <c r="M183" s="874"/>
      <c r="N183" s="874"/>
      <c r="O183" s="874"/>
      <c r="P183" s="874"/>
      <c r="Q183" s="874"/>
      <c r="R183" s="874"/>
      <c r="S183" s="874"/>
      <c r="T183" s="874"/>
      <c r="U183" s="874"/>
      <c r="V183" s="874"/>
      <c r="W183" s="874"/>
      <c r="X183" s="874"/>
      <c r="Y183" s="874"/>
      <c r="Z183" s="874"/>
    </row>
    <row r="184" ht="63.75" customHeight="1">
      <c r="A184" s="874"/>
      <c r="B184" s="874"/>
      <c r="C184" s="874"/>
      <c r="D184" s="882"/>
      <c r="E184" s="874"/>
      <c r="F184" s="874"/>
      <c r="G184" s="864"/>
      <c r="H184" s="874"/>
      <c r="I184" s="874"/>
      <c r="J184" s="874"/>
      <c r="K184" s="874"/>
      <c r="L184" s="874"/>
      <c r="M184" s="874"/>
      <c r="N184" s="874"/>
      <c r="O184" s="874"/>
      <c r="P184" s="874"/>
      <c r="Q184" s="874"/>
      <c r="R184" s="874"/>
      <c r="S184" s="874"/>
      <c r="T184" s="874"/>
      <c r="U184" s="874"/>
      <c r="V184" s="874"/>
      <c r="W184" s="874"/>
      <c r="X184" s="874"/>
      <c r="Y184" s="874"/>
      <c r="Z184" s="874"/>
    </row>
    <row r="185" ht="63.75" customHeight="1">
      <c r="A185" s="874"/>
      <c r="B185" s="874"/>
      <c r="C185" s="874"/>
      <c r="D185" s="882"/>
      <c r="E185" s="874"/>
      <c r="F185" s="874"/>
      <c r="G185" s="864"/>
      <c r="H185" s="874"/>
      <c r="I185" s="874"/>
      <c r="J185" s="874"/>
      <c r="K185" s="874"/>
      <c r="L185" s="874"/>
      <c r="M185" s="874"/>
      <c r="N185" s="874"/>
      <c r="O185" s="874"/>
      <c r="P185" s="874"/>
      <c r="Q185" s="874"/>
      <c r="R185" s="874"/>
      <c r="S185" s="874"/>
      <c r="T185" s="874"/>
      <c r="U185" s="874"/>
      <c r="V185" s="874"/>
      <c r="W185" s="874"/>
      <c r="X185" s="874"/>
      <c r="Y185" s="874"/>
      <c r="Z185" s="874"/>
    </row>
    <row r="186" ht="63.75" customHeight="1">
      <c r="A186" s="874"/>
      <c r="B186" s="874"/>
      <c r="C186" s="874"/>
      <c r="D186" s="882"/>
      <c r="E186" s="874"/>
      <c r="F186" s="874"/>
      <c r="G186" s="864"/>
      <c r="H186" s="874"/>
      <c r="I186" s="874"/>
      <c r="J186" s="874"/>
      <c r="K186" s="874"/>
      <c r="L186" s="874"/>
      <c r="M186" s="874"/>
      <c r="N186" s="874"/>
      <c r="O186" s="874"/>
      <c r="P186" s="874"/>
      <c r="Q186" s="874"/>
      <c r="R186" s="874"/>
      <c r="S186" s="874"/>
      <c r="T186" s="874"/>
      <c r="U186" s="874"/>
      <c r="V186" s="874"/>
      <c r="W186" s="874"/>
      <c r="X186" s="874"/>
      <c r="Y186" s="874"/>
      <c r="Z186" s="874"/>
    </row>
    <row r="187" ht="63.75" customHeight="1">
      <c r="A187" s="874"/>
      <c r="B187" s="874"/>
      <c r="C187" s="874"/>
      <c r="D187" s="882"/>
      <c r="E187" s="874"/>
      <c r="F187" s="874"/>
      <c r="G187" s="864"/>
      <c r="H187" s="874"/>
      <c r="I187" s="874"/>
      <c r="J187" s="874"/>
      <c r="K187" s="874"/>
      <c r="L187" s="874"/>
      <c r="M187" s="874"/>
      <c r="N187" s="874"/>
      <c r="O187" s="874"/>
      <c r="P187" s="874"/>
      <c r="Q187" s="874"/>
      <c r="R187" s="874"/>
      <c r="S187" s="874"/>
      <c r="T187" s="874"/>
      <c r="U187" s="874"/>
      <c r="V187" s="874"/>
      <c r="W187" s="874"/>
      <c r="X187" s="874"/>
      <c r="Y187" s="874"/>
      <c r="Z187" s="874"/>
    </row>
    <row r="188" ht="63.75" customHeight="1">
      <c r="A188" s="874"/>
      <c r="B188" s="874"/>
      <c r="C188" s="874"/>
      <c r="D188" s="882"/>
      <c r="E188" s="874"/>
      <c r="F188" s="874"/>
      <c r="G188" s="864"/>
      <c r="H188" s="874"/>
      <c r="I188" s="874"/>
      <c r="J188" s="874"/>
      <c r="K188" s="874"/>
      <c r="L188" s="874"/>
      <c r="M188" s="874"/>
      <c r="N188" s="874"/>
      <c r="O188" s="874"/>
      <c r="P188" s="874"/>
      <c r="Q188" s="874"/>
      <c r="R188" s="874"/>
      <c r="S188" s="874"/>
      <c r="T188" s="874"/>
      <c r="U188" s="874"/>
      <c r="V188" s="874"/>
      <c r="W188" s="874"/>
      <c r="X188" s="874"/>
      <c r="Y188" s="874"/>
      <c r="Z188" s="874"/>
    </row>
    <row r="189" ht="63.75" customHeight="1">
      <c r="A189" s="874"/>
      <c r="B189" s="874"/>
      <c r="C189" s="874"/>
      <c r="D189" s="882"/>
      <c r="E189" s="874"/>
      <c r="F189" s="874"/>
      <c r="G189" s="864"/>
      <c r="H189" s="874"/>
      <c r="I189" s="874"/>
      <c r="J189" s="874"/>
      <c r="K189" s="874"/>
      <c r="L189" s="874"/>
      <c r="M189" s="874"/>
      <c r="N189" s="874"/>
      <c r="O189" s="874"/>
      <c r="P189" s="874"/>
      <c r="Q189" s="874"/>
      <c r="R189" s="874"/>
      <c r="S189" s="874"/>
      <c r="T189" s="874"/>
      <c r="U189" s="874"/>
      <c r="V189" s="874"/>
      <c r="W189" s="874"/>
      <c r="X189" s="874"/>
      <c r="Y189" s="874"/>
      <c r="Z189" s="874"/>
    </row>
    <row r="190" ht="63.75" customHeight="1">
      <c r="A190" s="874"/>
      <c r="B190" s="874"/>
      <c r="C190" s="874"/>
      <c r="D190" s="882"/>
      <c r="E190" s="874"/>
      <c r="F190" s="874"/>
      <c r="G190" s="864"/>
      <c r="H190" s="874"/>
      <c r="I190" s="874"/>
      <c r="J190" s="874"/>
      <c r="K190" s="874"/>
      <c r="L190" s="874"/>
      <c r="M190" s="874"/>
      <c r="N190" s="874"/>
      <c r="O190" s="874"/>
      <c r="P190" s="874"/>
      <c r="Q190" s="874"/>
      <c r="R190" s="874"/>
      <c r="S190" s="874"/>
      <c r="T190" s="874"/>
      <c r="U190" s="874"/>
      <c r="V190" s="874"/>
      <c r="W190" s="874"/>
      <c r="X190" s="874"/>
      <c r="Y190" s="874"/>
      <c r="Z190" s="874"/>
    </row>
    <row r="191" ht="63.75" customHeight="1">
      <c r="A191" s="874"/>
      <c r="B191" s="874"/>
      <c r="C191" s="874"/>
      <c r="D191" s="882"/>
      <c r="E191" s="874"/>
      <c r="F191" s="874"/>
      <c r="G191" s="864"/>
      <c r="H191" s="874"/>
      <c r="I191" s="874"/>
      <c r="J191" s="874"/>
      <c r="K191" s="874"/>
      <c r="L191" s="874"/>
      <c r="M191" s="874"/>
      <c r="N191" s="874"/>
      <c r="O191" s="874"/>
      <c r="P191" s="874"/>
      <c r="Q191" s="874"/>
      <c r="R191" s="874"/>
      <c r="S191" s="874"/>
      <c r="T191" s="874"/>
      <c r="U191" s="874"/>
      <c r="V191" s="874"/>
      <c r="W191" s="874"/>
      <c r="X191" s="874"/>
      <c r="Y191" s="874"/>
      <c r="Z191" s="874"/>
    </row>
    <row r="192" ht="63.75" customHeight="1">
      <c r="A192" s="874"/>
      <c r="B192" s="874"/>
      <c r="C192" s="874"/>
      <c r="D192" s="882"/>
      <c r="E192" s="874"/>
      <c r="F192" s="874"/>
      <c r="G192" s="864"/>
      <c r="H192" s="874"/>
      <c r="I192" s="874"/>
      <c r="J192" s="874"/>
      <c r="K192" s="874"/>
      <c r="L192" s="874"/>
      <c r="M192" s="874"/>
      <c r="N192" s="874"/>
      <c r="O192" s="874"/>
      <c r="P192" s="874"/>
      <c r="Q192" s="874"/>
      <c r="R192" s="874"/>
      <c r="S192" s="874"/>
      <c r="T192" s="874"/>
      <c r="U192" s="874"/>
      <c r="V192" s="874"/>
      <c r="W192" s="874"/>
      <c r="X192" s="874"/>
      <c r="Y192" s="874"/>
      <c r="Z192" s="874"/>
    </row>
    <row r="193" ht="63.75" customHeight="1">
      <c r="A193" s="874"/>
      <c r="B193" s="874"/>
      <c r="C193" s="874"/>
      <c r="D193" s="882"/>
      <c r="E193" s="874"/>
      <c r="F193" s="874"/>
      <c r="G193" s="864"/>
      <c r="H193" s="874"/>
      <c r="I193" s="874"/>
      <c r="J193" s="874"/>
      <c r="K193" s="874"/>
      <c r="L193" s="874"/>
      <c r="M193" s="874"/>
      <c r="N193" s="874"/>
      <c r="O193" s="874"/>
      <c r="P193" s="874"/>
      <c r="Q193" s="874"/>
      <c r="R193" s="874"/>
      <c r="S193" s="874"/>
      <c r="T193" s="874"/>
      <c r="U193" s="874"/>
      <c r="V193" s="874"/>
      <c r="W193" s="874"/>
      <c r="X193" s="874"/>
      <c r="Y193" s="874"/>
      <c r="Z193" s="874"/>
    </row>
    <row r="194" ht="63.75" customHeight="1">
      <c r="A194" s="874"/>
      <c r="B194" s="874"/>
      <c r="C194" s="874"/>
      <c r="D194" s="882"/>
      <c r="E194" s="874"/>
      <c r="F194" s="874"/>
      <c r="G194" s="864"/>
      <c r="H194" s="874"/>
      <c r="I194" s="874"/>
      <c r="J194" s="874"/>
      <c r="K194" s="874"/>
      <c r="L194" s="874"/>
      <c r="M194" s="874"/>
      <c r="N194" s="874"/>
      <c r="O194" s="874"/>
      <c r="P194" s="874"/>
      <c r="Q194" s="874"/>
      <c r="R194" s="874"/>
      <c r="S194" s="874"/>
      <c r="T194" s="874"/>
      <c r="U194" s="874"/>
      <c r="V194" s="874"/>
      <c r="W194" s="874"/>
      <c r="X194" s="874"/>
      <c r="Y194" s="874"/>
      <c r="Z194" s="874"/>
    </row>
    <row r="195" ht="63.75" customHeight="1">
      <c r="A195" s="874"/>
      <c r="B195" s="874"/>
      <c r="C195" s="874"/>
      <c r="D195" s="882"/>
      <c r="E195" s="874"/>
      <c r="F195" s="874"/>
      <c r="G195" s="864"/>
      <c r="H195" s="874"/>
      <c r="I195" s="874"/>
      <c r="J195" s="874"/>
      <c r="K195" s="874"/>
      <c r="L195" s="874"/>
      <c r="M195" s="874"/>
      <c r="N195" s="874"/>
      <c r="O195" s="874"/>
      <c r="P195" s="874"/>
      <c r="Q195" s="874"/>
      <c r="R195" s="874"/>
      <c r="S195" s="874"/>
      <c r="T195" s="874"/>
      <c r="U195" s="874"/>
      <c r="V195" s="874"/>
      <c r="W195" s="874"/>
      <c r="X195" s="874"/>
      <c r="Y195" s="874"/>
      <c r="Z195" s="874"/>
    </row>
    <row r="196" ht="63.75" customHeight="1">
      <c r="A196" s="874"/>
      <c r="B196" s="874"/>
      <c r="C196" s="874"/>
      <c r="D196" s="882"/>
      <c r="E196" s="874"/>
      <c r="F196" s="874"/>
      <c r="G196" s="864"/>
      <c r="H196" s="874"/>
      <c r="I196" s="874"/>
      <c r="J196" s="874"/>
      <c r="K196" s="874"/>
      <c r="L196" s="874"/>
      <c r="M196" s="874"/>
      <c r="N196" s="874"/>
      <c r="O196" s="874"/>
      <c r="P196" s="874"/>
      <c r="Q196" s="874"/>
      <c r="R196" s="874"/>
      <c r="S196" s="874"/>
      <c r="T196" s="874"/>
      <c r="U196" s="874"/>
      <c r="V196" s="874"/>
      <c r="W196" s="874"/>
      <c r="X196" s="874"/>
      <c r="Y196" s="874"/>
      <c r="Z196" s="874"/>
    </row>
    <row r="197" ht="63.75" customHeight="1">
      <c r="A197" s="874"/>
      <c r="B197" s="874"/>
      <c r="C197" s="874"/>
      <c r="D197" s="882"/>
      <c r="E197" s="874"/>
      <c r="F197" s="874"/>
      <c r="G197" s="864"/>
      <c r="H197" s="874"/>
      <c r="I197" s="874"/>
      <c r="J197" s="874"/>
      <c r="K197" s="874"/>
      <c r="L197" s="874"/>
      <c r="M197" s="874"/>
      <c r="N197" s="874"/>
      <c r="O197" s="874"/>
      <c r="P197" s="874"/>
      <c r="Q197" s="874"/>
      <c r="R197" s="874"/>
      <c r="S197" s="874"/>
      <c r="T197" s="874"/>
      <c r="U197" s="874"/>
      <c r="V197" s="874"/>
      <c r="W197" s="874"/>
      <c r="X197" s="874"/>
      <c r="Y197" s="874"/>
      <c r="Z197" s="874"/>
    </row>
    <row r="198" ht="63.75" customHeight="1">
      <c r="A198" s="874"/>
      <c r="B198" s="874"/>
      <c r="C198" s="874"/>
      <c r="D198" s="882"/>
      <c r="E198" s="874"/>
      <c r="F198" s="874"/>
      <c r="G198" s="864"/>
      <c r="H198" s="874"/>
      <c r="I198" s="874"/>
      <c r="J198" s="874"/>
      <c r="K198" s="874"/>
      <c r="L198" s="874"/>
      <c r="M198" s="874"/>
      <c r="N198" s="874"/>
      <c r="O198" s="874"/>
      <c r="P198" s="874"/>
      <c r="Q198" s="874"/>
      <c r="R198" s="874"/>
      <c r="S198" s="874"/>
      <c r="T198" s="874"/>
      <c r="U198" s="874"/>
      <c r="V198" s="874"/>
      <c r="W198" s="874"/>
      <c r="X198" s="874"/>
      <c r="Y198" s="874"/>
      <c r="Z198" s="874"/>
    </row>
    <row r="199" ht="63.75" customHeight="1">
      <c r="A199" s="874"/>
      <c r="B199" s="874"/>
      <c r="C199" s="874"/>
      <c r="D199" s="882"/>
      <c r="E199" s="874"/>
      <c r="F199" s="874"/>
      <c r="G199" s="864"/>
      <c r="H199" s="874"/>
      <c r="I199" s="874"/>
      <c r="J199" s="874"/>
      <c r="K199" s="874"/>
      <c r="L199" s="874"/>
      <c r="M199" s="874"/>
      <c r="N199" s="874"/>
      <c r="O199" s="874"/>
      <c r="P199" s="874"/>
      <c r="Q199" s="874"/>
      <c r="R199" s="874"/>
      <c r="S199" s="874"/>
      <c r="T199" s="874"/>
      <c r="U199" s="874"/>
      <c r="V199" s="874"/>
      <c r="W199" s="874"/>
      <c r="X199" s="874"/>
      <c r="Y199" s="874"/>
      <c r="Z199" s="874"/>
    </row>
    <row r="200" ht="63.75" customHeight="1">
      <c r="A200" s="874"/>
      <c r="B200" s="874"/>
      <c r="C200" s="874"/>
      <c r="D200" s="882"/>
      <c r="E200" s="874"/>
      <c r="F200" s="874"/>
      <c r="G200" s="864"/>
      <c r="H200" s="874"/>
      <c r="I200" s="874"/>
      <c r="J200" s="874"/>
      <c r="K200" s="874"/>
      <c r="L200" s="874"/>
      <c r="M200" s="874"/>
      <c r="N200" s="874"/>
      <c r="O200" s="874"/>
      <c r="P200" s="874"/>
      <c r="Q200" s="874"/>
      <c r="R200" s="874"/>
      <c r="S200" s="874"/>
      <c r="T200" s="874"/>
      <c r="U200" s="874"/>
      <c r="V200" s="874"/>
      <c r="W200" s="874"/>
      <c r="X200" s="874"/>
      <c r="Y200" s="874"/>
      <c r="Z200" s="874"/>
    </row>
    <row r="201" ht="63.75" customHeight="1">
      <c r="A201" s="874"/>
      <c r="B201" s="874"/>
      <c r="C201" s="874"/>
      <c r="D201" s="882"/>
      <c r="E201" s="874"/>
      <c r="F201" s="874"/>
      <c r="G201" s="864"/>
      <c r="H201" s="874"/>
      <c r="I201" s="874"/>
      <c r="J201" s="874"/>
      <c r="K201" s="874"/>
      <c r="L201" s="874"/>
      <c r="M201" s="874"/>
      <c r="N201" s="874"/>
      <c r="O201" s="874"/>
      <c r="P201" s="874"/>
      <c r="Q201" s="874"/>
      <c r="R201" s="874"/>
      <c r="S201" s="874"/>
      <c r="T201" s="874"/>
      <c r="U201" s="874"/>
      <c r="V201" s="874"/>
      <c r="W201" s="874"/>
      <c r="X201" s="874"/>
      <c r="Y201" s="874"/>
      <c r="Z201" s="874"/>
    </row>
    <row r="202" ht="63.75" customHeight="1">
      <c r="A202" s="874"/>
      <c r="B202" s="874"/>
      <c r="C202" s="874"/>
      <c r="D202" s="882"/>
      <c r="E202" s="874"/>
      <c r="F202" s="874"/>
      <c r="G202" s="864"/>
      <c r="H202" s="874"/>
      <c r="I202" s="874"/>
      <c r="J202" s="874"/>
      <c r="K202" s="874"/>
      <c r="L202" s="874"/>
      <c r="M202" s="874"/>
      <c r="N202" s="874"/>
      <c r="O202" s="874"/>
      <c r="P202" s="874"/>
      <c r="Q202" s="874"/>
      <c r="R202" s="874"/>
      <c r="S202" s="874"/>
      <c r="T202" s="874"/>
      <c r="U202" s="874"/>
      <c r="V202" s="874"/>
      <c r="W202" s="874"/>
      <c r="X202" s="874"/>
      <c r="Y202" s="874"/>
      <c r="Z202" s="874"/>
    </row>
    <row r="203" ht="63.75" customHeight="1">
      <c r="A203" s="874"/>
      <c r="B203" s="874"/>
      <c r="C203" s="874"/>
      <c r="D203" s="882"/>
      <c r="E203" s="874"/>
      <c r="F203" s="874"/>
      <c r="G203" s="864"/>
      <c r="H203" s="874"/>
      <c r="I203" s="874"/>
      <c r="J203" s="874"/>
      <c r="K203" s="874"/>
      <c r="L203" s="874"/>
      <c r="M203" s="874"/>
      <c r="N203" s="874"/>
      <c r="O203" s="874"/>
      <c r="P203" s="874"/>
      <c r="Q203" s="874"/>
      <c r="R203" s="874"/>
      <c r="S203" s="874"/>
      <c r="T203" s="874"/>
      <c r="U203" s="874"/>
      <c r="V203" s="874"/>
      <c r="W203" s="874"/>
      <c r="X203" s="874"/>
      <c r="Y203" s="874"/>
      <c r="Z203" s="874"/>
    </row>
    <row r="204" ht="63.75" customHeight="1">
      <c r="A204" s="874"/>
      <c r="B204" s="874"/>
      <c r="C204" s="874"/>
      <c r="D204" s="882"/>
      <c r="E204" s="874"/>
      <c r="F204" s="874"/>
      <c r="G204" s="864"/>
      <c r="H204" s="874"/>
      <c r="I204" s="874"/>
      <c r="J204" s="874"/>
      <c r="K204" s="874"/>
      <c r="L204" s="874"/>
      <c r="M204" s="874"/>
      <c r="N204" s="874"/>
      <c r="O204" s="874"/>
      <c r="P204" s="874"/>
      <c r="Q204" s="874"/>
      <c r="R204" s="874"/>
      <c r="S204" s="874"/>
      <c r="T204" s="874"/>
      <c r="U204" s="874"/>
      <c r="V204" s="874"/>
      <c r="W204" s="874"/>
      <c r="X204" s="874"/>
      <c r="Y204" s="874"/>
      <c r="Z204" s="874"/>
    </row>
    <row r="205" ht="63.75" customHeight="1">
      <c r="A205" s="874"/>
      <c r="B205" s="874"/>
      <c r="C205" s="874"/>
      <c r="D205" s="882"/>
      <c r="E205" s="874"/>
      <c r="F205" s="874"/>
      <c r="G205" s="864"/>
      <c r="H205" s="874"/>
      <c r="I205" s="874"/>
      <c r="J205" s="874"/>
      <c r="K205" s="874"/>
      <c r="L205" s="874"/>
      <c r="M205" s="874"/>
      <c r="N205" s="874"/>
      <c r="O205" s="874"/>
      <c r="P205" s="874"/>
      <c r="Q205" s="874"/>
      <c r="R205" s="874"/>
      <c r="S205" s="874"/>
      <c r="T205" s="874"/>
      <c r="U205" s="874"/>
      <c r="V205" s="874"/>
      <c r="W205" s="874"/>
      <c r="X205" s="874"/>
      <c r="Y205" s="874"/>
      <c r="Z205" s="874"/>
    </row>
    <row r="206" ht="63.75" customHeight="1">
      <c r="A206" s="874"/>
      <c r="B206" s="874"/>
      <c r="C206" s="874"/>
      <c r="D206" s="882"/>
      <c r="E206" s="874"/>
      <c r="F206" s="874"/>
      <c r="G206" s="864"/>
      <c r="H206" s="874"/>
      <c r="I206" s="874"/>
      <c r="J206" s="874"/>
      <c r="K206" s="874"/>
      <c r="L206" s="874"/>
      <c r="M206" s="874"/>
      <c r="N206" s="874"/>
      <c r="O206" s="874"/>
      <c r="P206" s="874"/>
      <c r="Q206" s="874"/>
      <c r="R206" s="874"/>
      <c r="S206" s="874"/>
      <c r="T206" s="874"/>
      <c r="U206" s="874"/>
      <c r="V206" s="874"/>
      <c r="W206" s="874"/>
      <c r="X206" s="874"/>
      <c r="Y206" s="874"/>
      <c r="Z206" s="874"/>
    </row>
    <row r="207" ht="63.75" customHeight="1">
      <c r="A207" s="874"/>
      <c r="B207" s="874"/>
      <c r="C207" s="874"/>
      <c r="D207" s="882"/>
      <c r="E207" s="874"/>
      <c r="F207" s="874"/>
      <c r="G207" s="864"/>
      <c r="H207" s="874"/>
      <c r="I207" s="874"/>
      <c r="J207" s="874"/>
      <c r="K207" s="874"/>
      <c r="L207" s="874"/>
      <c r="M207" s="874"/>
      <c r="N207" s="874"/>
      <c r="O207" s="874"/>
      <c r="P207" s="874"/>
      <c r="Q207" s="874"/>
      <c r="R207" s="874"/>
      <c r="S207" s="874"/>
      <c r="T207" s="874"/>
      <c r="U207" s="874"/>
      <c r="V207" s="874"/>
      <c r="W207" s="874"/>
      <c r="X207" s="874"/>
      <c r="Y207" s="874"/>
      <c r="Z207" s="874"/>
    </row>
    <row r="208" ht="63.75" customHeight="1">
      <c r="A208" s="874"/>
      <c r="B208" s="874"/>
      <c r="C208" s="874"/>
      <c r="D208" s="882"/>
      <c r="E208" s="874"/>
      <c r="F208" s="874"/>
      <c r="G208" s="864"/>
      <c r="H208" s="874"/>
      <c r="I208" s="874"/>
      <c r="J208" s="874"/>
      <c r="K208" s="874"/>
      <c r="L208" s="874"/>
      <c r="M208" s="874"/>
      <c r="N208" s="874"/>
      <c r="O208" s="874"/>
      <c r="P208" s="874"/>
      <c r="Q208" s="874"/>
      <c r="R208" s="874"/>
      <c r="S208" s="874"/>
      <c r="T208" s="874"/>
      <c r="U208" s="874"/>
      <c r="V208" s="874"/>
      <c r="W208" s="874"/>
      <c r="X208" s="874"/>
      <c r="Y208" s="874"/>
      <c r="Z208" s="874"/>
    </row>
    <row r="209" ht="63.75" customHeight="1">
      <c r="A209" s="874"/>
      <c r="B209" s="874"/>
      <c r="C209" s="874"/>
      <c r="D209" s="882"/>
      <c r="E209" s="874"/>
      <c r="F209" s="874"/>
      <c r="G209" s="864"/>
      <c r="H209" s="874"/>
      <c r="I209" s="874"/>
      <c r="J209" s="874"/>
      <c r="K209" s="874"/>
      <c r="L209" s="874"/>
      <c r="M209" s="874"/>
      <c r="N209" s="874"/>
      <c r="O209" s="874"/>
      <c r="P209" s="874"/>
      <c r="Q209" s="874"/>
      <c r="R209" s="874"/>
      <c r="S209" s="874"/>
      <c r="T209" s="874"/>
      <c r="U209" s="874"/>
      <c r="V209" s="874"/>
      <c r="W209" s="874"/>
      <c r="X209" s="874"/>
      <c r="Y209" s="874"/>
      <c r="Z209" s="874"/>
    </row>
    <row r="210" ht="63.75" customHeight="1">
      <c r="A210" s="874"/>
      <c r="B210" s="874"/>
      <c r="C210" s="874"/>
      <c r="D210" s="882"/>
      <c r="E210" s="874"/>
      <c r="F210" s="874"/>
      <c r="G210" s="864"/>
      <c r="H210" s="874"/>
      <c r="I210" s="874"/>
      <c r="J210" s="874"/>
      <c r="K210" s="874"/>
      <c r="L210" s="874"/>
      <c r="M210" s="874"/>
      <c r="N210" s="874"/>
      <c r="O210" s="874"/>
      <c r="P210" s="874"/>
      <c r="Q210" s="874"/>
      <c r="R210" s="874"/>
      <c r="S210" s="874"/>
      <c r="T210" s="874"/>
      <c r="U210" s="874"/>
      <c r="V210" s="874"/>
      <c r="W210" s="874"/>
      <c r="X210" s="874"/>
      <c r="Y210" s="874"/>
      <c r="Z210" s="874"/>
    </row>
    <row r="211" ht="63.75" customHeight="1">
      <c r="A211" s="874"/>
      <c r="B211" s="874"/>
      <c r="C211" s="874"/>
      <c r="D211" s="882"/>
      <c r="E211" s="874"/>
      <c r="F211" s="874"/>
      <c r="G211" s="864"/>
      <c r="H211" s="874"/>
      <c r="I211" s="874"/>
      <c r="J211" s="874"/>
      <c r="K211" s="874"/>
      <c r="L211" s="874"/>
      <c r="M211" s="874"/>
      <c r="N211" s="874"/>
      <c r="O211" s="874"/>
      <c r="P211" s="874"/>
      <c r="Q211" s="874"/>
      <c r="R211" s="874"/>
      <c r="S211" s="874"/>
      <c r="T211" s="874"/>
      <c r="U211" s="874"/>
      <c r="V211" s="874"/>
      <c r="W211" s="874"/>
      <c r="X211" s="874"/>
      <c r="Y211" s="874"/>
      <c r="Z211" s="874"/>
    </row>
    <row r="212" ht="63.75" customHeight="1">
      <c r="A212" s="874"/>
      <c r="B212" s="874"/>
      <c r="C212" s="874"/>
      <c r="D212" s="882"/>
      <c r="E212" s="874"/>
      <c r="F212" s="874"/>
      <c r="G212" s="864"/>
      <c r="H212" s="874"/>
      <c r="I212" s="874"/>
      <c r="J212" s="874"/>
      <c r="K212" s="874"/>
      <c r="L212" s="874"/>
      <c r="M212" s="874"/>
      <c r="N212" s="874"/>
      <c r="O212" s="874"/>
      <c r="P212" s="874"/>
      <c r="Q212" s="874"/>
      <c r="R212" s="874"/>
      <c r="S212" s="874"/>
      <c r="T212" s="874"/>
      <c r="U212" s="874"/>
      <c r="V212" s="874"/>
      <c r="W212" s="874"/>
      <c r="X212" s="874"/>
      <c r="Y212" s="874"/>
      <c r="Z212" s="874"/>
    </row>
    <row r="213" ht="63.75" customHeight="1">
      <c r="A213" s="874"/>
      <c r="B213" s="874"/>
      <c r="C213" s="874"/>
      <c r="D213" s="882"/>
      <c r="E213" s="874"/>
      <c r="F213" s="874"/>
      <c r="G213" s="864"/>
      <c r="H213" s="874"/>
      <c r="I213" s="874"/>
      <c r="J213" s="874"/>
      <c r="K213" s="874"/>
      <c r="L213" s="874"/>
      <c r="M213" s="874"/>
      <c r="N213" s="874"/>
      <c r="O213" s="874"/>
      <c r="P213" s="874"/>
      <c r="Q213" s="874"/>
      <c r="R213" s="874"/>
      <c r="S213" s="874"/>
      <c r="T213" s="874"/>
      <c r="U213" s="874"/>
      <c r="V213" s="874"/>
      <c r="W213" s="874"/>
      <c r="X213" s="874"/>
      <c r="Y213" s="874"/>
      <c r="Z213" s="874"/>
    </row>
    <row r="214" ht="63.75" customHeight="1">
      <c r="A214" s="874"/>
      <c r="B214" s="874"/>
      <c r="C214" s="874"/>
      <c r="D214" s="882"/>
      <c r="E214" s="874"/>
      <c r="F214" s="874"/>
      <c r="G214" s="864"/>
      <c r="H214" s="874"/>
      <c r="I214" s="874"/>
      <c r="J214" s="874"/>
      <c r="K214" s="874"/>
      <c r="L214" s="874"/>
      <c r="M214" s="874"/>
      <c r="N214" s="874"/>
      <c r="O214" s="874"/>
      <c r="P214" s="874"/>
      <c r="Q214" s="874"/>
      <c r="R214" s="874"/>
      <c r="S214" s="874"/>
      <c r="T214" s="874"/>
      <c r="U214" s="874"/>
      <c r="V214" s="874"/>
      <c r="W214" s="874"/>
      <c r="X214" s="874"/>
      <c r="Y214" s="874"/>
      <c r="Z214" s="874"/>
    </row>
    <row r="215" ht="63.75" customHeight="1">
      <c r="A215" s="874"/>
      <c r="B215" s="874"/>
      <c r="C215" s="874"/>
      <c r="D215" s="882"/>
      <c r="E215" s="874"/>
      <c r="F215" s="874"/>
      <c r="G215" s="864"/>
      <c r="H215" s="874"/>
      <c r="I215" s="874"/>
      <c r="J215" s="874"/>
      <c r="K215" s="874"/>
      <c r="L215" s="874"/>
      <c r="M215" s="874"/>
      <c r="N215" s="874"/>
      <c r="O215" s="874"/>
      <c r="P215" s="874"/>
      <c r="Q215" s="874"/>
      <c r="R215" s="874"/>
      <c r="S215" s="874"/>
      <c r="T215" s="874"/>
      <c r="U215" s="874"/>
      <c r="V215" s="874"/>
      <c r="W215" s="874"/>
      <c r="X215" s="874"/>
      <c r="Y215" s="874"/>
      <c r="Z215" s="874"/>
    </row>
    <row r="216" ht="63.75" customHeight="1">
      <c r="A216" s="874"/>
      <c r="B216" s="874"/>
      <c r="C216" s="874"/>
      <c r="D216" s="882"/>
      <c r="E216" s="874"/>
      <c r="F216" s="874"/>
      <c r="G216" s="864"/>
      <c r="H216" s="874"/>
      <c r="I216" s="874"/>
      <c r="J216" s="874"/>
      <c r="K216" s="874"/>
      <c r="L216" s="874"/>
      <c r="M216" s="874"/>
      <c r="N216" s="874"/>
      <c r="O216" s="874"/>
      <c r="P216" s="874"/>
      <c r="Q216" s="874"/>
      <c r="R216" s="874"/>
      <c r="S216" s="874"/>
      <c r="T216" s="874"/>
      <c r="U216" s="874"/>
      <c r="V216" s="874"/>
      <c r="W216" s="874"/>
      <c r="X216" s="874"/>
      <c r="Y216" s="874"/>
      <c r="Z216" s="874"/>
    </row>
    <row r="217" ht="63.75" customHeight="1">
      <c r="A217" s="874"/>
      <c r="B217" s="874"/>
      <c r="C217" s="874"/>
      <c r="D217" s="882"/>
      <c r="E217" s="874"/>
      <c r="F217" s="874"/>
      <c r="G217" s="864"/>
      <c r="H217" s="874"/>
      <c r="I217" s="874"/>
      <c r="J217" s="874"/>
      <c r="K217" s="874"/>
      <c r="L217" s="874"/>
      <c r="M217" s="874"/>
      <c r="N217" s="874"/>
      <c r="O217" s="874"/>
      <c r="P217" s="874"/>
      <c r="Q217" s="874"/>
      <c r="R217" s="874"/>
      <c r="S217" s="874"/>
      <c r="T217" s="874"/>
      <c r="U217" s="874"/>
      <c r="V217" s="874"/>
      <c r="W217" s="874"/>
      <c r="X217" s="874"/>
      <c r="Y217" s="874"/>
      <c r="Z217" s="874"/>
    </row>
    <row r="218" ht="63.75" customHeight="1">
      <c r="A218" s="874"/>
      <c r="B218" s="874"/>
      <c r="C218" s="874"/>
      <c r="D218" s="882"/>
      <c r="E218" s="874"/>
      <c r="F218" s="874"/>
      <c r="G218" s="864"/>
      <c r="H218" s="874"/>
      <c r="I218" s="874"/>
      <c r="J218" s="874"/>
      <c r="K218" s="874"/>
      <c r="L218" s="874"/>
      <c r="M218" s="874"/>
      <c r="N218" s="874"/>
      <c r="O218" s="874"/>
      <c r="P218" s="874"/>
      <c r="Q218" s="874"/>
      <c r="R218" s="874"/>
      <c r="S218" s="874"/>
      <c r="T218" s="874"/>
      <c r="U218" s="874"/>
      <c r="V218" s="874"/>
      <c r="W218" s="874"/>
      <c r="X218" s="874"/>
      <c r="Y218" s="874"/>
      <c r="Z218" s="874"/>
    </row>
    <row r="219" ht="63.75" customHeight="1">
      <c r="A219" s="874"/>
      <c r="B219" s="874"/>
      <c r="C219" s="874"/>
      <c r="D219" s="882"/>
      <c r="E219" s="874"/>
      <c r="F219" s="874"/>
      <c r="G219" s="864"/>
      <c r="H219" s="874"/>
      <c r="I219" s="874"/>
      <c r="J219" s="874"/>
      <c r="K219" s="874"/>
      <c r="L219" s="874"/>
      <c r="M219" s="874"/>
      <c r="N219" s="874"/>
      <c r="O219" s="874"/>
      <c r="P219" s="874"/>
      <c r="Q219" s="874"/>
      <c r="R219" s="874"/>
      <c r="S219" s="874"/>
      <c r="T219" s="874"/>
      <c r="U219" s="874"/>
      <c r="V219" s="874"/>
      <c r="W219" s="874"/>
      <c r="X219" s="874"/>
      <c r="Y219" s="874"/>
      <c r="Z219" s="874"/>
    </row>
    <row r="220" ht="63.75" customHeight="1">
      <c r="A220" s="874"/>
      <c r="B220" s="874"/>
      <c r="C220" s="874"/>
      <c r="D220" s="882"/>
      <c r="E220" s="874"/>
      <c r="F220" s="874"/>
      <c r="G220" s="864"/>
      <c r="H220" s="874"/>
      <c r="I220" s="874"/>
      <c r="J220" s="874"/>
      <c r="K220" s="874"/>
      <c r="L220" s="874"/>
      <c r="M220" s="874"/>
      <c r="N220" s="874"/>
      <c r="O220" s="874"/>
      <c r="P220" s="874"/>
      <c r="Q220" s="874"/>
      <c r="R220" s="874"/>
      <c r="S220" s="874"/>
      <c r="T220" s="874"/>
      <c r="U220" s="874"/>
      <c r="V220" s="874"/>
      <c r="W220" s="874"/>
      <c r="X220" s="874"/>
      <c r="Y220" s="874"/>
      <c r="Z220" s="874"/>
    </row>
    <row r="221" ht="63.75" customHeight="1">
      <c r="A221" s="874"/>
      <c r="B221" s="874"/>
      <c r="C221" s="874"/>
      <c r="D221" s="882"/>
      <c r="E221" s="874"/>
      <c r="F221" s="874"/>
      <c r="G221" s="864"/>
      <c r="H221" s="874"/>
      <c r="I221" s="874"/>
      <c r="J221" s="874"/>
      <c r="K221" s="874"/>
      <c r="L221" s="874"/>
      <c r="M221" s="874"/>
      <c r="N221" s="874"/>
      <c r="O221" s="874"/>
      <c r="P221" s="874"/>
      <c r="Q221" s="874"/>
      <c r="R221" s="874"/>
      <c r="S221" s="874"/>
      <c r="T221" s="874"/>
      <c r="U221" s="874"/>
      <c r="V221" s="874"/>
      <c r="W221" s="874"/>
      <c r="X221" s="874"/>
      <c r="Y221" s="874"/>
      <c r="Z221" s="874"/>
    </row>
    <row r="222" ht="63.75" customHeight="1">
      <c r="A222" s="874"/>
      <c r="B222" s="874"/>
      <c r="C222" s="874"/>
      <c r="D222" s="882"/>
      <c r="E222" s="874"/>
      <c r="F222" s="874"/>
      <c r="G222" s="864"/>
      <c r="H222" s="874"/>
      <c r="I222" s="874"/>
      <c r="J222" s="874"/>
      <c r="K222" s="874"/>
      <c r="L222" s="874"/>
      <c r="M222" s="874"/>
      <c r="N222" s="874"/>
      <c r="O222" s="874"/>
      <c r="P222" s="874"/>
      <c r="Q222" s="874"/>
      <c r="R222" s="874"/>
      <c r="S222" s="874"/>
      <c r="T222" s="874"/>
      <c r="U222" s="874"/>
      <c r="V222" s="874"/>
      <c r="W222" s="874"/>
      <c r="X222" s="874"/>
      <c r="Y222" s="874"/>
      <c r="Z222" s="874"/>
    </row>
    <row r="223" ht="63.75" customHeight="1">
      <c r="A223" s="874"/>
      <c r="B223" s="874"/>
      <c r="C223" s="874"/>
      <c r="D223" s="882"/>
      <c r="E223" s="874"/>
      <c r="F223" s="874"/>
      <c r="G223" s="864"/>
      <c r="H223" s="874"/>
      <c r="I223" s="874"/>
      <c r="J223" s="874"/>
      <c r="K223" s="874"/>
      <c r="L223" s="874"/>
      <c r="M223" s="874"/>
      <c r="N223" s="874"/>
      <c r="O223" s="874"/>
      <c r="P223" s="874"/>
      <c r="Q223" s="874"/>
      <c r="R223" s="874"/>
      <c r="S223" s="874"/>
      <c r="T223" s="874"/>
      <c r="U223" s="874"/>
      <c r="V223" s="874"/>
      <c r="W223" s="874"/>
      <c r="X223" s="874"/>
      <c r="Y223" s="874"/>
      <c r="Z223" s="874"/>
    </row>
    <row r="224" ht="63.75" customHeight="1">
      <c r="A224" s="874"/>
      <c r="B224" s="874"/>
      <c r="C224" s="874"/>
      <c r="D224" s="882"/>
      <c r="E224" s="874"/>
      <c r="F224" s="874"/>
      <c r="G224" s="864"/>
      <c r="H224" s="874"/>
      <c r="I224" s="874"/>
      <c r="J224" s="874"/>
      <c r="K224" s="874"/>
      <c r="L224" s="874"/>
      <c r="M224" s="874"/>
      <c r="N224" s="874"/>
      <c r="O224" s="874"/>
      <c r="P224" s="874"/>
      <c r="Q224" s="874"/>
      <c r="R224" s="874"/>
      <c r="S224" s="874"/>
      <c r="T224" s="874"/>
      <c r="U224" s="874"/>
      <c r="V224" s="874"/>
      <c r="W224" s="874"/>
      <c r="X224" s="874"/>
      <c r="Y224" s="874"/>
      <c r="Z224" s="874"/>
    </row>
    <row r="225" ht="63.75" customHeight="1">
      <c r="A225" s="874"/>
      <c r="B225" s="874"/>
      <c r="C225" s="874"/>
      <c r="D225" s="882"/>
      <c r="E225" s="874"/>
      <c r="F225" s="874"/>
      <c r="G225" s="864"/>
      <c r="H225" s="874"/>
      <c r="I225" s="874"/>
      <c r="J225" s="874"/>
      <c r="K225" s="874"/>
      <c r="L225" s="874"/>
      <c r="M225" s="874"/>
      <c r="N225" s="874"/>
      <c r="O225" s="874"/>
      <c r="P225" s="874"/>
      <c r="Q225" s="874"/>
      <c r="R225" s="874"/>
      <c r="S225" s="874"/>
      <c r="T225" s="874"/>
      <c r="U225" s="874"/>
      <c r="V225" s="874"/>
      <c r="W225" s="874"/>
      <c r="X225" s="874"/>
      <c r="Y225" s="874"/>
      <c r="Z225" s="874"/>
    </row>
    <row r="226" ht="63.75" customHeight="1">
      <c r="A226" s="874"/>
      <c r="B226" s="874"/>
      <c r="C226" s="874"/>
      <c r="D226" s="882"/>
      <c r="E226" s="874"/>
      <c r="F226" s="874"/>
      <c r="G226" s="864"/>
      <c r="H226" s="874"/>
      <c r="I226" s="874"/>
      <c r="J226" s="874"/>
      <c r="K226" s="874"/>
      <c r="L226" s="874"/>
      <c r="M226" s="874"/>
      <c r="N226" s="874"/>
      <c r="O226" s="874"/>
      <c r="P226" s="874"/>
      <c r="Q226" s="874"/>
      <c r="R226" s="874"/>
      <c r="S226" s="874"/>
      <c r="T226" s="874"/>
      <c r="U226" s="874"/>
      <c r="V226" s="874"/>
      <c r="W226" s="874"/>
      <c r="X226" s="874"/>
      <c r="Y226" s="874"/>
      <c r="Z226" s="874"/>
    </row>
    <row r="227" ht="63.75" customHeight="1">
      <c r="A227" s="874"/>
      <c r="B227" s="874"/>
      <c r="C227" s="874"/>
      <c r="D227" s="882"/>
      <c r="E227" s="874"/>
      <c r="F227" s="874"/>
      <c r="G227" s="864"/>
      <c r="H227" s="874"/>
      <c r="I227" s="874"/>
      <c r="J227" s="874"/>
      <c r="K227" s="874"/>
      <c r="L227" s="874"/>
      <c r="M227" s="874"/>
      <c r="N227" s="874"/>
      <c r="O227" s="874"/>
      <c r="P227" s="874"/>
      <c r="Q227" s="874"/>
      <c r="R227" s="874"/>
      <c r="S227" s="874"/>
      <c r="T227" s="874"/>
      <c r="U227" s="874"/>
      <c r="V227" s="874"/>
      <c r="W227" s="874"/>
      <c r="X227" s="874"/>
      <c r="Y227" s="874"/>
      <c r="Z227" s="874"/>
    </row>
    <row r="228" ht="63.75" customHeight="1">
      <c r="A228" s="874"/>
      <c r="B228" s="874"/>
      <c r="C228" s="874"/>
      <c r="D228" s="882"/>
      <c r="E228" s="874"/>
      <c r="F228" s="874"/>
      <c r="G228" s="864"/>
      <c r="H228" s="874"/>
      <c r="I228" s="874"/>
      <c r="J228" s="874"/>
      <c r="K228" s="874"/>
      <c r="L228" s="874"/>
      <c r="M228" s="874"/>
      <c r="N228" s="874"/>
      <c r="O228" s="874"/>
      <c r="P228" s="874"/>
      <c r="Q228" s="874"/>
      <c r="R228" s="874"/>
      <c r="S228" s="874"/>
      <c r="T228" s="874"/>
      <c r="U228" s="874"/>
      <c r="V228" s="874"/>
      <c r="W228" s="874"/>
      <c r="X228" s="874"/>
      <c r="Y228" s="874"/>
      <c r="Z228" s="874"/>
    </row>
    <row r="229" ht="63.75" customHeight="1">
      <c r="A229" s="874"/>
      <c r="B229" s="874"/>
      <c r="C229" s="874"/>
      <c r="D229" s="882"/>
      <c r="E229" s="874"/>
      <c r="F229" s="874"/>
      <c r="G229" s="864"/>
      <c r="H229" s="874"/>
      <c r="I229" s="874"/>
      <c r="J229" s="874"/>
      <c r="K229" s="874"/>
      <c r="L229" s="874"/>
      <c r="M229" s="874"/>
      <c r="N229" s="874"/>
      <c r="O229" s="874"/>
      <c r="P229" s="874"/>
      <c r="Q229" s="874"/>
      <c r="R229" s="874"/>
      <c r="S229" s="874"/>
      <c r="T229" s="874"/>
      <c r="U229" s="874"/>
      <c r="V229" s="874"/>
      <c r="W229" s="874"/>
      <c r="X229" s="874"/>
      <c r="Y229" s="874"/>
      <c r="Z229" s="874"/>
    </row>
    <row r="230" ht="63.75" customHeight="1">
      <c r="A230" s="874"/>
      <c r="B230" s="874"/>
      <c r="C230" s="874"/>
      <c r="D230" s="882"/>
      <c r="E230" s="874"/>
      <c r="F230" s="874"/>
      <c r="G230" s="864"/>
      <c r="H230" s="874"/>
      <c r="I230" s="874"/>
      <c r="J230" s="874"/>
      <c r="K230" s="874"/>
      <c r="L230" s="874"/>
      <c r="M230" s="874"/>
      <c r="N230" s="874"/>
      <c r="O230" s="874"/>
      <c r="P230" s="874"/>
      <c r="Q230" s="874"/>
      <c r="R230" s="874"/>
      <c r="S230" s="874"/>
      <c r="T230" s="874"/>
      <c r="U230" s="874"/>
      <c r="V230" s="874"/>
      <c r="W230" s="874"/>
      <c r="X230" s="874"/>
      <c r="Y230" s="874"/>
      <c r="Z230" s="874"/>
    </row>
    <row r="231" ht="63.75" customHeight="1">
      <c r="A231" s="874"/>
      <c r="B231" s="874"/>
      <c r="C231" s="874"/>
      <c r="D231" s="882"/>
      <c r="E231" s="874"/>
      <c r="F231" s="874"/>
      <c r="G231" s="864"/>
      <c r="H231" s="874"/>
      <c r="I231" s="874"/>
      <c r="J231" s="874"/>
      <c r="K231" s="874"/>
      <c r="L231" s="874"/>
      <c r="M231" s="874"/>
      <c r="N231" s="874"/>
      <c r="O231" s="874"/>
      <c r="P231" s="874"/>
      <c r="Q231" s="874"/>
      <c r="R231" s="874"/>
      <c r="S231" s="874"/>
      <c r="T231" s="874"/>
      <c r="U231" s="874"/>
      <c r="V231" s="874"/>
      <c r="W231" s="874"/>
      <c r="X231" s="874"/>
      <c r="Y231" s="874"/>
      <c r="Z231" s="874"/>
    </row>
    <row r="232" ht="63.75" customHeight="1">
      <c r="A232" s="874"/>
      <c r="B232" s="874"/>
      <c r="C232" s="874"/>
      <c r="D232" s="882"/>
      <c r="E232" s="874"/>
      <c r="F232" s="874"/>
      <c r="G232" s="864"/>
      <c r="H232" s="874"/>
      <c r="I232" s="874"/>
      <c r="J232" s="874"/>
      <c r="K232" s="874"/>
      <c r="L232" s="874"/>
      <c r="M232" s="874"/>
      <c r="N232" s="874"/>
      <c r="O232" s="874"/>
      <c r="P232" s="874"/>
      <c r="Q232" s="874"/>
      <c r="R232" s="874"/>
      <c r="S232" s="874"/>
      <c r="T232" s="874"/>
      <c r="U232" s="874"/>
      <c r="V232" s="874"/>
      <c r="W232" s="874"/>
      <c r="X232" s="874"/>
      <c r="Y232" s="874"/>
      <c r="Z232" s="874"/>
    </row>
    <row r="233" ht="63.75" customHeight="1">
      <c r="A233" s="874"/>
      <c r="B233" s="874"/>
      <c r="C233" s="874"/>
      <c r="D233" s="882"/>
      <c r="E233" s="874"/>
      <c r="F233" s="874"/>
      <c r="G233" s="864"/>
      <c r="H233" s="874"/>
      <c r="I233" s="874"/>
      <c r="J233" s="874"/>
      <c r="K233" s="874"/>
      <c r="L233" s="874"/>
      <c r="M233" s="874"/>
      <c r="N233" s="874"/>
      <c r="O233" s="874"/>
      <c r="P233" s="874"/>
      <c r="Q233" s="874"/>
      <c r="R233" s="874"/>
      <c r="S233" s="874"/>
      <c r="T233" s="874"/>
      <c r="U233" s="874"/>
      <c r="V233" s="874"/>
      <c r="W233" s="874"/>
      <c r="X233" s="874"/>
      <c r="Y233" s="874"/>
      <c r="Z233" s="874"/>
    </row>
    <row r="234" ht="63.75" customHeight="1">
      <c r="A234" s="874"/>
      <c r="B234" s="874"/>
      <c r="C234" s="874"/>
      <c r="D234" s="882"/>
      <c r="E234" s="874"/>
      <c r="F234" s="874"/>
      <c r="G234" s="864"/>
      <c r="H234" s="874"/>
      <c r="I234" s="874"/>
      <c r="J234" s="874"/>
      <c r="K234" s="874"/>
      <c r="L234" s="874"/>
      <c r="M234" s="874"/>
      <c r="N234" s="874"/>
      <c r="O234" s="874"/>
      <c r="P234" s="874"/>
      <c r="Q234" s="874"/>
      <c r="R234" s="874"/>
      <c r="S234" s="874"/>
      <c r="T234" s="874"/>
      <c r="U234" s="874"/>
      <c r="V234" s="874"/>
      <c r="W234" s="874"/>
      <c r="X234" s="874"/>
      <c r="Y234" s="874"/>
      <c r="Z234" s="874"/>
    </row>
    <row r="235" ht="63.75" customHeight="1">
      <c r="A235" s="874"/>
      <c r="B235" s="874"/>
      <c r="C235" s="874"/>
      <c r="D235" s="882"/>
      <c r="E235" s="874"/>
      <c r="F235" s="874"/>
      <c r="G235" s="864"/>
      <c r="H235" s="874"/>
      <c r="I235" s="874"/>
      <c r="J235" s="874"/>
      <c r="K235" s="874"/>
      <c r="L235" s="874"/>
      <c r="M235" s="874"/>
      <c r="N235" s="874"/>
      <c r="O235" s="874"/>
      <c r="P235" s="874"/>
      <c r="Q235" s="874"/>
      <c r="R235" s="874"/>
      <c r="S235" s="874"/>
      <c r="T235" s="874"/>
      <c r="U235" s="874"/>
      <c r="V235" s="874"/>
      <c r="W235" s="874"/>
      <c r="X235" s="874"/>
      <c r="Y235" s="874"/>
      <c r="Z235" s="874"/>
    </row>
    <row r="236" ht="63.75" customHeight="1">
      <c r="A236" s="874"/>
      <c r="B236" s="874"/>
      <c r="C236" s="874"/>
      <c r="D236" s="882"/>
      <c r="E236" s="874"/>
      <c r="F236" s="874"/>
      <c r="G236" s="864"/>
      <c r="H236" s="874"/>
      <c r="I236" s="874"/>
      <c r="J236" s="874"/>
      <c r="K236" s="874"/>
      <c r="L236" s="874"/>
      <c r="M236" s="874"/>
      <c r="N236" s="874"/>
      <c r="O236" s="874"/>
      <c r="P236" s="874"/>
      <c r="Q236" s="874"/>
      <c r="R236" s="874"/>
      <c r="S236" s="874"/>
      <c r="T236" s="874"/>
      <c r="U236" s="874"/>
      <c r="V236" s="874"/>
      <c r="W236" s="874"/>
      <c r="X236" s="874"/>
      <c r="Y236" s="874"/>
      <c r="Z236" s="874"/>
    </row>
    <row r="237" ht="63.75" customHeight="1">
      <c r="A237" s="874"/>
      <c r="B237" s="874"/>
      <c r="C237" s="874"/>
      <c r="D237" s="882"/>
      <c r="E237" s="874"/>
      <c r="F237" s="874"/>
      <c r="G237" s="864"/>
      <c r="H237" s="874"/>
      <c r="I237" s="874"/>
      <c r="J237" s="874"/>
      <c r="K237" s="874"/>
      <c r="L237" s="874"/>
      <c r="M237" s="874"/>
      <c r="N237" s="874"/>
      <c r="O237" s="874"/>
      <c r="P237" s="874"/>
      <c r="Q237" s="874"/>
      <c r="R237" s="874"/>
      <c r="S237" s="874"/>
      <c r="T237" s="874"/>
      <c r="U237" s="874"/>
      <c r="V237" s="874"/>
      <c r="W237" s="874"/>
      <c r="X237" s="874"/>
      <c r="Y237" s="874"/>
      <c r="Z237" s="874"/>
    </row>
    <row r="238" ht="63.75" customHeight="1">
      <c r="A238" s="874"/>
      <c r="B238" s="874"/>
      <c r="C238" s="874"/>
      <c r="D238" s="882"/>
      <c r="E238" s="874"/>
      <c r="F238" s="874"/>
      <c r="G238" s="864"/>
      <c r="H238" s="874"/>
      <c r="I238" s="874"/>
      <c r="J238" s="874"/>
      <c r="K238" s="874"/>
      <c r="L238" s="874"/>
      <c r="M238" s="874"/>
      <c r="N238" s="874"/>
      <c r="O238" s="874"/>
      <c r="P238" s="874"/>
      <c r="Q238" s="874"/>
      <c r="R238" s="874"/>
      <c r="S238" s="874"/>
      <c r="T238" s="874"/>
      <c r="U238" s="874"/>
      <c r="V238" s="874"/>
      <c r="W238" s="874"/>
      <c r="X238" s="874"/>
      <c r="Y238" s="874"/>
      <c r="Z238" s="874"/>
    </row>
    <row r="239" ht="63.75" customHeight="1">
      <c r="A239" s="874"/>
      <c r="B239" s="874"/>
      <c r="C239" s="874"/>
      <c r="D239" s="882"/>
      <c r="E239" s="874"/>
      <c r="F239" s="874"/>
      <c r="G239" s="864"/>
      <c r="H239" s="874"/>
      <c r="I239" s="874"/>
      <c r="J239" s="874"/>
      <c r="K239" s="874"/>
      <c r="L239" s="874"/>
      <c r="M239" s="874"/>
      <c r="N239" s="874"/>
      <c r="O239" s="874"/>
      <c r="P239" s="874"/>
      <c r="Q239" s="874"/>
      <c r="R239" s="874"/>
      <c r="S239" s="874"/>
      <c r="T239" s="874"/>
      <c r="U239" s="874"/>
      <c r="V239" s="874"/>
      <c r="W239" s="874"/>
      <c r="X239" s="874"/>
      <c r="Y239" s="874"/>
      <c r="Z239" s="874"/>
    </row>
    <row r="240" ht="63.75" customHeight="1">
      <c r="A240" s="874"/>
      <c r="B240" s="874"/>
      <c r="C240" s="874"/>
      <c r="D240" s="882"/>
      <c r="E240" s="874"/>
      <c r="F240" s="874"/>
      <c r="G240" s="864"/>
      <c r="H240" s="874"/>
      <c r="I240" s="874"/>
      <c r="J240" s="874"/>
      <c r="K240" s="874"/>
      <c r="L240" s="874"/>
      <c r="M240" s="874"/>
      <c r="N240" s="874"/>
      <c r="O240" s="874"/>
      <c r="P240" s="874"/>
      <c r="Q240" s="874"/>
      <c r="R240" s="874"/>
      <c r="S240" s="874"/>
      <c r="T240" s="874"/>
      <c r="U240" s="874"/>
      <c r="V240" s="874"/>
      <c r="W240" s="874"/>
      <c r="X240" s="874"/>
      <c r="Y240" s="874"/>
      <c r="Z240" s="874"/>
    </row>
    <row r="241" ht="63.75" customHeight="1">
      <c r="A241" s="874"/>
      <c r="B241" s="874"/>
      <c r="C241" s="874"/>
      <c r="D241" s="882"/>
      <c r="E241" s="874"/>
      <c r="F241" s="874"/>
      <c r="G241" s="864"/>
      <c r="H241" s="874"/>
      <c r="I241" s="874"/>
      <c r="J241" s="874"/>
      <c r="K241" s="874"/>
      <c r="L241" s="874"/>
      <c r="M241" s="874"/>
      <c r="N241" s="874"/>
      <c r="O241" s="874"/>
      <c r="P241" s="874"/>
      <c r="Q241" s="874"/>
      <c r="R241" s="874"/>
      <c r="S241" s="874"/>
      <c r="T241" s="874"/>
      <c r="U241" s="874"/>
      <c r="V241" s="874"/>
      <c r="W241" s="874"/>
      <c r="X241" s="874"/>
      <c r="Y241" s="874"/>
      <c r="Z241" s="874"/>
    </row>
    <row r="242" ht="63.75" customHeight="1">
      <c r="A242" s="874"/>
      <c r="B242" s="874"/>
      <c r="C242" s="874"/>
      <c r="D242" s="882"/>
      <c r="E242" s="874"/>
      <c r="F242" s="874"/>
      <c r="G242" s="864"/>
      <c r="H242" s="874"/>
      <c r="I242" s="874"/>
      <c r="J242" s="874"/>
      <c r="K242" s="874"/>
      <c r="L242" s="874"/>
      <c r="M242" s="874"/>
      <c r="N242" s="874"/>
      <c r="O242" s="874"/>
      <c r="P242" s="874"/>
      <c r="Q242" s="874"/>
      <c r="R242" s="874"/>
      <c r="S242" s="874"/>
      <c r="T242" s="874"/>
      <c r="U242" s="874"/>
      <c r="V242" s="874"/>
      <c r="W242" s="874"/>
      <c r="X242" s="874"/>
      <c r="Y242" s="874"/>
      <c r="Z242" s="874"/>
    </row>
    <row r="243" ht="63.75" customHeight="1">
      <c r="A243" s="874"/>
      <c r="B243" s="874"/>
      <c r="C243" s="874"/>
      <c r="D243" s="882"/>
      <c r="E243" s="874"/>
      <c r="F243" s="874"/>
      <c r="G243" s="864"/>
      <c r="H243" s="874"/>
      <c r="I243" s="874"/>
      <c r="J243" s="874"/>
      <c r="K243" s="874"/>
      <c r="L243" s="874"/>
      <c r="M243" s="874"/>
      <c r="N243" s="874"/>
      <c r="O243" s="874"/>
      <c r="P243" s="874"/>
      <c r="Q243" s="874"/>
      <c r="R243" s="874"/>
      <c r="S243" s="874"/>
      <c r="T243" s="874"/>
      <c r="U243" s="874"/>
      <c r="V243" s="874"/>
      <c r="W243" s="874"/>
      <c r="X243" s="874"/>
      <c r="Y243" s="874"/>
      <c r="Z243" s="874"/>
    </row>
    <row r="244" ht="63.75" customHeight="1">
      <c r="A244" s="874"/>
      <c r="B244" s="874"/>
      <c r="C244" s="874"/>
      <c r="D244" s="882"/>
      <c r="E244" s="874"/>
      <c r="F244" s="874"/>
      <c r="G244" s="864"/>
      <c r="H244" s="874"/>
      <c r="I244" s="874"/>
      <c r="J244" s="874"/>
      <c r="K244" s="874"/>
      <c r="L244" s="874"/>
      <c r="M244" s="874"/>
      <c r="N244" s="874"/>
      <c r="O244" s="874"/>
      <c r="P244" s="874"/>
      <c r="Q244" s="874"/>
      <c r="R244" s="874"/>
      <c r="S244" s="874"/>
      <c r="T244" s="874"/>
      <c r="U244" s="874"/>
      <c r="V244" s="874"/>
      <c r="W244" s="874"/>
      <c r="X244" s="874"/>
      <c r="Y244" s="874"/>
      <c r="Z244" s="874"/>
    </row>
    <row r="245" ht="63.75" customHeight="1">
      <c r="A245" s="874"/>
      <c r="B245" s="874"/>
      <c r="C245" s="874"/>
      <c r="D245" s="882"/>
      <c r="E245" s="874"/>
      <c r="F245" s="874"/>
      <c r="G245" s="864"/>
      <c r="H245" s="874"/>
      <c r="I245" s="874"/>
      <c r="J245" s="874"/>
      <c r="K245" s="874"/>
      <c r="L245" s="874"/>
      <c r="M245" s="874"/>
      <c r="N245" s="874"/>
      <c r="O245" s="874"/>
      <c r="P245" s="874"/>
      <c r="Q245" s="874"/>
      <c r="R245" s="874"/>
      <c r="S245" s="874"/>
      <c r="T245" s="874"/>
      <c r="U245" s="874"/>
      <c r="V245" s="874"/>
      <c r="W245" s="874"/>
      <c r="X245" s="874"/>
      <c r="Y245" s="874"/>
      <c r="Z245" s="874"/>
    </row>
    <row r="246" ht="63.75" customHeight="1">
      <c r="A246" s="874"/>
      <c r="B246" s="874"/>
      <c r="C246" s="874"/>
      <c r="D246" s="882"/>
      <c r="E246" s="874"/>
      <c r="F246" s="874"/>
      <c r="G246" s="864"/>
      <c r="H246" s="874"/>
      <c r="I246" s="874"/>
      <c r="J246" s="874"/>
      <c r="K246" s="874"/>
      <c r="L246" s="874"/>
      <c r="M246" s="874"/>
      <c r="N246" s="874"/>
      <c r="O246" s="874"/>
      <c r="P246" s="874"/>
      <c r="Q246" s="874"/>
      <c r="R246" s="874"/>
      <c r="S246" s="874"/>
      <c r="T246" s="874"/>
      <c r="U246" s="874"/>
      <c r="V246" s="874"/>
      <c r="W246" s="874"/>
      <c r="X246" s="874"/>
      <c r="Y246" s="874"/>
      <c r="Z246" s="874"/>
    </row>
    <row r="247" ht="63.75" customHeight="1">
      <c r="A247" s="874"/>
      <c r="B247" s="874"/>
      <c r="C247" s="874"/>
      <c r="D247" s="882"/>
      <c r="E247" s="874"/>
      <c r="F247" s="874"/>
      <c r="G247" s="864"/>
      <c r="H247" s="874"/>
      <c r="I247" s="874"/>
      <c r="J247" s="874"/>
      <c r="K247" s="874"/>
      <c r="L247" s="874"/>
      <c r="M247" s="874"/>
      <c r="N247" s="874"/>
      <c r="O247" s="874"/>
      <c r="P247" s="874"/>
      <c r="Q247" s="874"/>
      <c r="R247" s="874"/>
      <c r="S247" s="874"/>
      <c r="T247" s="874"/>
      <c r="U247" s="874"/>
      <c r="V247" s="874"/>
      <c r="W247" s="874"/>
      <c r="X247" s="874"/>
      <c r="Y247" s="874"/>
      <c r="Z247" s="874"/>
    </row>
    <row r="248" ht="63.75" customHeight="1">
      <c r="A248" s="874"/>
      <c r="B248" s="874"/>
      <c r="C248" s="874"/>
      <c r="D248" s="882"/>
      <c r="E248" s="874"/>
      <c r="F248" s="874"/>
      <c r="G248" s="864"/>
      <c r="H248" s="874"/>
      <c r="I248" s="874"/>
      <c r="J248" s="874"/>
      <c r="K248" s="874"/>
      <c r="L248" s="874"/>
      <c r="M248" s="874"/>
      <c r="N248" s="874"/>
      <c r="O248" s="874"/>
      <c r="P248" s="874"/>
      <c r="Q248" s="874"/>
      <c r="R248" s="874"/>
      <c r="S248" s="874"/>
      <c r="T248" s="874"/>
      <c r="U248" s="874"/>
      <c r="V248" s="874"/>
      <c r="W248" s="874"/>
      <c r="X248" s="874"/>
      <c r="Y248" s="874"/>
      <c r="Z248" s="874"/>
    </row>
    <row r="249" ht="63.75" customHeight="1">
      <c r="A249" s="874"/>
      <c r="B249" s="874"/>
      <c r="C249" s="874"/>
      <c r="D249" s="882"/>
      <c r="E249" s="874"/>
      <c r="F249" s="874"/>
      <c r="G249" s="864"/>
      <c r="H249" s="874"/>
      <c r="I249" s="874"/>
      <c r="J249" s="874"/>
      <c r="K249" s="874"/>
      <c r="L249" s="874"/>
      <c r="M249" s="874"/>
      <c r="N249" s="874"/>
      <c r="O249" s="874"/>
      <c r="P249" s="874"/>
      <c r="Q249" s="874"/>
      <c r="R249" s="874"/>
      <c r="S249" s="874"/>
      <c r="T249" s="874"/>
      <c r="U249" s="874"/>
      <c r="V249" s="874"/>
      <c r="W249" s="874"/>
      <c r="X249" s="874"/>
      <c r="Y249" s="874"/>
      <c r="Z249" s="874"/>
    </row>
    <row r="250" ht="63.75" customHeight="1">
      <c r="A250" s="874"/>
      <c r="B250" s="874"/>
      <c r="C250" s="874"/>
      <c r="D250" s="882"/>
      <c r="E250" s="874"/>
      <c r="F250" s="874"/>
      <c r="G250" s="864"/>
      <c r="H250" s="874"/>
      <c r="I250" s="874"/>
      <c r="J250" s="874"/>
      <c r="K250" s="874"/>
      <c r="L250" s="874"/>
      <c r="M250" s="874"/>
      <c r="N250" s="874"/>
      <c r="O250" s="874"/>
      <c r="P250" s="874"/>
      <c r="Q250" s="874"/>
      <c r="R250" s="874"/>
      <c r="S250" s="874"/>
      <c r="T250" s="874"/>
      <c r="U250" s="874"/>
      <c r="V250" s="874"/>
      <c r="W250" s="874"/>
      <c r="X250" s="874"/>
      <c r="Y250" s="874"/>
      <c r="Z250" s="874"/>
    </row>
    <row r="251" ht="63.75" customHeight="1">
      <c r="A251" s="874"/>
      <c r="B251" s="874"/>
      <c r="C251" s="874"/>
      <c r="D251" s="882"/>
      <c r="E251" s="874"/>
      <c r="F251" s="874"/>
      <c r="G251" s="864"/>
      <c r="H251" s="874"/>
      <c r="I251" s="874"/>
      <c r="J251" s="874"/>
      <c r="K251" s="874"/>
      <c r="L251" s="874"/>
      <c r="M251" s="874"/>
      <c r="N251" s="874"/>
      <c r="O251" s="874"/>
      <c r="P251" s="874"/>
      <c r="Q251" s="874"/>
      <c r="R251" s="874"/>
      <c r="S251" s="874"/>
      <c r="T251" s="874"/>
      <c r="U251" s="874"/>
      <c r="V251" s="874"/>
      <c r="W251" s="874"/>
      <c r="X251" s="874"/>
      <c r="Y251" s="874"/>
      <c r="Z251" s="874"/>
    </row>
    <row r="252" ht="63.75" customHeight="1">
      <c r="A252" s="874"/>
      <c r="B252" s="874"/>
      <c r="C252" s="874"/>
      <c r="D252" s="882"/>
      <c r="E252" s="874"/>
      <c r="F252" s="874"/>
      <c r="G252" s="864"/>
      <c r="H252" s="874"/>
      <c r="I252" s="874"/>
      <c r="J252" s="874"/>
      <c r="K252" s="874"/>
      <c r="L252" s="874"/>
      <c r="M252" s="874"/>
      <c r="N252" s="874"/>
      <c r="O252" s="874"/>
      <c r="P252" s="874"/>
      <c r="Q252" s="874"/>
      <c r="R252" s="874"/>
      <c r="S252" s="874"/>
      <c r="T252" s="874"/>
      <c r="U252" s="874"/>
      <c r="V252" s="874"/>
      <c r="W252" s="874"/>
      <c r="X252" s="874"/>
      <c r="Y252" s="874"/>
      <c r="Z252" s="874"/>
    </row>
    <row r="253" ht="63.75" customHeight="1">
      <c r="A253" s="874"/>
      <c r="B253" s="874"/>
      <c r="C253" s="874"/>
      <c r="D253" s="882"/>
      <c r="E253" s="874"/>
      <c r="F253" s="874"/>
      <c r="G253" s="864"/>
      <c r="H253" s="874"/>
      <c r="I253" s="874"/>
      <c r="J253" s="874"/>
      <c r="K253" s="874"/>
      <c r="L253" s="874"/>
      <c r="M253" s="874"/>
      <c r="N253" s="874"/>
      <c r="O253" s="874"/>
      <c r="P253" s="874"/>
      <c r="Q253" s="874"/>
      <c r="R253" s="874"/>
      <c r="S253" s="874"/>
      <c r="T253" s="874"/>
      <c r="U253" s="874"/>
      <c r="V253" s="874"/>
      <c r="W253" s="874"/>
      <c r="X253" s="874"/>
      <c r="Y253" s="874"/>
      <c r="Z253" s="874"/>
    </row>
    <row r="254" ht="63.75" customHeight="1">
      <c r="A254" s="874"/>
      <c r="B254" s="874"/>
      <c r="C254" s="874"/>
      <c r="D254" s="882"/>
      <c r="E254" s="874"/>
      <c r="F254" s="874"/>
      <c r="G254" s="864"/>
      <c r="H254" s="874"/>
      <c r="I254" s="874"/>
      <c r="J254" s="874"/>
      <c r="K254" s="874"/>
      <c r="L254" s="874"/>
      <c r="M254" s="874"/>
      <c r="N254" s="874"/>
      <c r="O254" s="874"/>
      <c r="P254" s="874"/>
      <c r="Q254" s="874"/>
      <c r="R254" s="874"/>
      <c r="S254" s="874"/>
      <c r="T254" s="874"/>
      <c r="U254" s="874"/>
      <c r="V254" s="874"/>
      <c r="W254" s="874"/>
      <c r="X254" s="874"/>
      <c r="Y254" s="874"/>
      <c r="Z254" s="874"/>
    </row>
    <row r="255" ht="63.75" customHeight="1">
      <c r="A255" s="874"/>
      <c r="B255" s="874"/>
      <c r="C255" s="874"/>
      <c r="D255" s="882"/>
      <c r="E255" s="874"/>
      <c r="F255" s="874"/>
      <c r="G255" s="864"/>
      <c r="H255" s="874"/>
      <c r="I255" s="874"/>
      <c r="J255" s="874"/>
      <c r="K255" s="874"/>
      <c r="L255" s="874"/>
      <c r="M255" s="874"/>
      <c r="N255" s="874"/>
      <c r="O255" s="874"/>
      <c r="P255" s="874"/>
      <c r="Q255" s="874"/>
      <c r="R255" s="874"/>
      <c r="S255" s="874"/>
      <c r="T255" s="874"/>
      <c r="U255" s="874"/>
      <c r="V255" s="874"/>
      <c r="W255" s="874"/>
      <c r="X255" s="874"/>
      <c r="Y255" s="874"/>
      <c r="Z255" s="874"/>
    </row>
    <row r="256" ht="63.75" customHeight="1">
      <c r="A256" s="874"/>
      <c r="B256" s="874"/>
      <c r="C256" s="874"/>
      <c r="D256" s="882"/>
      <c r="E256" s="874"/>
      <c r="F256" s="874"/>
      <c r="G256" s="864"/>
      <c r="H256" s="874"/>
      <c r="I256" s="874"/>
      <c r="J256" s="874"/>
      <c r="K256" s="874"/>
      <c r="L256" s="874"/>
      <c r="M256" s="874"/>
      <c r="N256" s="874"/>
      <c r="O256" s="874"/>
      <c r="P256" s="874"/>
      <c r="Q256" s="874"/>
      <c r="R256" s="874"/>
      <c r="S256" s="874"/>
      <c r="T256" s="874"/>
      <c r="U256" s="874"/>
      <c r="V256" s="874"/>
      <c r="W256" s="874"/>
      <c r="X256" s="874"/>
      <c r="Y256" s="874"/>
      <c r="Z256" s="874"/>
    </row>
    <row r="257" ht="63.75" customHeight="1">
      <c r="A257" s="874"/>
      <c r="B257" s="874"/>
      <c r="C257" s="874"/>
      <c r="D257" s="882"/>
      <c r="E257" s="874"/>
      <c r="F257" s="874"/>
      <c r="G257" s="864"/>
      <c r="H257" s="874"/>
      <c r="I257" s="874"/>
      <c r="J257" s="874"/>
      <c r="K257" s="874"/>
      <c r="L257" s="874"/>
      <c r="M257" s="874"/>
      <c r="N257" s="874"/>
      <c r="O257" s="874"/>
      <c r="P257" s="874"/>
      <c r="Q257" s="874"/>
      <c r="R257" s="874"/>
      <c r="S257" s="874"/>
      <c r="T257" s="874"/>
      <c r="U257" s="874"/>
      <c r="V257" s="874"/>
      <c r="W257" s="874"/>
      <c r="X257" s="874"/>
      <c r="Y257" s="874"/>
      <c r="Z257" s="874"/>
    </row>
    <row r="258" ht="63.75" customHeight="1">
      <c r="A258" s="874"/>
      <c r="B258" s="874"/>
      <c r="C258" s="874"/>
      <c r="D258" s="882"/>
      <c r="E258" s="874"/>
      <c r="F258" s="874"/>
      <c r="G258" s="864"/>
      <c r="H258" s="874"/>
      <c r="I258" s="874"/>
      <c r="J258" s="874"/>
      <c r="K258" s="874"/>
      <c r="L258" s="874"/>
      <c r="M258" s="874"/>
      <c r="N258" s="874"/>
      <c r="O258" s="874"/>
      <c r="P258" s="874"/>
      <c r="Q258" s="874"/>
      <c r="R258" s="874"/>
      <c r="S258" s="874"/>
      <c r="T258" s="874"/>
      <c r="U258" s="874"/>
      <c r="V258" s="874"/>
      <c r="W258" s="874"/>
      <c r="X258" s="874"/>
      <c r="Y258" s="874"/>
      <c r="Z258" s="874"/>
    </row>
    <row r="259" ht="63.75" customHeight="1">
      <c r="A259" s="874"/>
      <c r="B259" s="874"/>
      <c r="C259" s="874"/>
      <c r="D259" s="882"/>
      <c r="E259" s="874"/>
      <c r="F259" s="874"/>
      <c r="G259" s="864"/>
      <c r="H259" s="874"/>
      <c r="I259" s="874"/>
      <c r="J259" s="874"/>
      <c r="K259" s="874"/>
      <c r="L259" s="874"/>
      <c r="M259" s="874"/>
      <c r="N259" s="874"/>
      <c r="O259" s="874"/>
      <c r="P259" s="874"/>
      <c r="Q259" s="874"/>
      <c r="R259" s="874"/>
      <c r="S259" s="874"/>
      <c r="T259" s="874"/>
      <c r="U259" s="874"/>
      <c r="V259" s="874"/>
      <c r="W259" s="874"/>
      <c r="X259" s="874"/>
      <c r="Y259" s="874"/>
      <c r="Z259" s="874"/>
    </row>
    <row r="260" ht="63.75" customHeight="1">
      <c r="A260" s="874"/>
      <c r="B260" s="874"/>
      <c r="C260" s="874"/>
      <c r="D260" s="882"/>
      <c r="E260" s="874"/>
      <c r="F260" s="874"/>
      <c r="G260" s="864"/>
      <c r="H260" s="874"/>
      <c r="I260" s="874"/>
      <c r="J260" s="874"/>
      <c r="K260" s="874"/>
      <c r="L260" s="874"/>
      <c r="M260" s="874"/>
      <c r="N260" s="874"/>
      <c r="O260" s="874"/>
      <c r="P260" s="874"/>
      <c r="Q260" s="874"/>
      <c r="R260" s="874"/>
      <c r="S260" s="874"/>
      <c r="T260" s="874"/>
      <c r="U260" s="874"/>
      <c r="V260" s="874"/>
      <c r="W260" s="874"/>
      <c r="X260" s="874"/>
      <c r="Y260" s="874"/>
      <c r="Z260" s="874"/>
    </row>
    <row r="261" ht="63.75" customHeight="1">
      <c r="A261" s="874"/>
      <c r="B261" s="874"/>
      <c r="C261" s="874"/>
      <c r="D261" s="882"/>
      <c r="E261" s="874"/>
      <c r="F261" s="874"/>
      <c r="G261" s="864"/>
      <c r="H261" s="874"/>
      <c r="I261" s="874"/>
      <c r="J261" s="874"/>
      <c r="K261" s="874"/>
      <c r="L261" s="874"/>
      <c r="M261" s="874"/>
      <c r="N261" s="874"/>
      <c r="O261" s="874"/>
      <c r="P261" s="874"/>
      <c r="Q261" s="874"/>
      <c r="R261" s="874"/>
      <c r="S261" s="874"/>
      <c r="T261" s="874"/>
      <c r="U261" s="874"/>
      <c r="V261" s="874"/>
      <c r="W261" s="874"/>
      <c r="X261" s="874"/>
      <c r="Y261" s="874"/>
      <c r="Z261" s="874"/>
    </row>
    <row r="262" ht="63.75" customHeight="1">
      <c r="A262" s="874"/>
      <c r="B262" s="874"/>
      <c r="C262" s="874"/>
      <c r="D262" s="882"/>
      <c r="E262" s="874"/>
      <c r="F262" s="874"/>
      <c r="G262" s="864"/>
      <c r="H262" s="874"/>
      <c r="I262" s="874"/>
      <c r="J262" s="874"/>
      <c r="K262" s="874"/>
      <c r="L262" s="874"/>
      <c r="M262" s="874"/>
      <c r="N262" s="874"/>
      <c r="O262" s="874"/>
      <c r="P262" s="874"/>
      <c r="Q262" s="874"/>
      <c r="R262" s="874"/>
      <c r="S262" s="874"/>
      <c r="T262" s="874"/>
      <c r="U262" s="874"/>
      <c r="V262" s="874"/>
      <c r="W262" s="874"/>
      <c r="X262" s="874"/>
      <c r="Y262" s="874"/>
      <c r="Z262" s="874"/>
    </row>
    <row r="263" ht="63.75" customHeight="1">
      <c r="A263" s="874"/>
      <c r="B263" s="874"/>
      <c r="C263" s="874"/>
      <c r="D263" s="882"/>
      <c r="E263" s="874"/>
      <c r="F263" s="874"/>
      <c r="G263" s="864"/>
      <c r="H263" s="874"/>
      <c r="I263" s="874"/>
      <c r="J263" s="874"/>
      <c r="K263" s="874"/>
      <c r="L263" s="874"/>
      <c r="M263" s="874"/>
      <c r="N263" s="874"/>
      <c r="O263" s="874"/>
      <c r="P263" s="874"/>
      <c r="Q263" s="874"/>
      <c r="R263" s="874"/>
      <c r="S263" s="874"/>
      <c r="T263" s="874"/>
      <c r="U263" s="874"/>
      <c r="V263" s="874"/>
      <c r="W263" s="874"/>
      <c r="X263" s="874"/>
      <c r="Y263" s="874"/>
      <c r="Z263" s="874"/>
    </row>
    <row r="264" ht="63.75" customHeight="1">
      <c r="A264" s="874"/>
      <c r="B264" s="874"/>
      <c r="C264" s="874"/>
      <c r="D264" s="882"/>
      <c r="E264" s="874"/>
      <c r="F264" s="874"/>
      <c r="G264" s="864"/>
      <c r="H264" s="874"/>
      <c r="I264" s="874"/>
      <c r="J264" s="874"/>
      <c r="K264" s="874"/>
      <c r="L264" s="874"/>
      <c r="M264" s="874"/>
      <c r="N264" s="874"/>
      <c r="O264" s="874"/>
      <c r="P264" s="874"/>
      <c r="Q264" s="874"/>
      <c r="R264" s="874"/>
      <c r="S264" s="874"/>
      <c r="T264" s="874"/>
      <c r="U264" s="874"/>
      <c r="V264" s="874"/>
      <c r="W264" s="874"/>
      <c r="X264" s="874"/>
      <c r="Y264" s="874"/>
      <c r="Z264" s="874"/>
    </row>
    <row r="265" ht="63.75" customHeight="1">
      <c r="A265" s="874"/>
      <c r="B265" s="874"/>
      <c r="C265" s="874"/>
      <c r="D265" s="882"/>
      <c r="E265" s="874"/>
      <c r="F265" s="874"/>
      <c r="G265" s="864"/>
      <c r="H265" s="874"/>
      <c r="I265" s="874"/>
      <c r="J265" s="874"/>
      <c r="K265" s="874"/>
      <c r="L265" s="874"/>
      <c r="M265" s="874"/>
      <c r="N265" s="874"/>
      <c r="O265" s="874"/>
      <c r="P265" s="874"/>
      <c r="Q265" s="874"/>
      <c r="R265" s="874"/>
      <c r="S265" s="874"/>
      <c r="T265" s="874"/>
      <c r="U265" s="874"/>
      <c r="V265" s="874"/>
      <c r="W265" s="874"/>
      <c r="X265" s="874"/>
      <c r="Y265" s="874"/>
      <c r="Z265" s="874"/>
    </row>
    <row r="266" ht="63.75" customHeight="1">
      <c r="A266" s="874"/>
      <c r="B266" s="874"/>
      <c r="C266" s="874"/>
      <c r="D266" s="882"/>
      <c r="E266" s="874"/>
      <c r="F266" s="874"/>
      <c r="G266" s="864"/>
      <c r="H266" s="874"/>
      <c r="I266" s="874"/>
      <c r="J266" s="874"/>
      <c r="K266" s="874"/>
      <c r="L266" s="874"/>
      <c r="M266" s="874"/>
      <c r="N266" s="874"/>
      <c r="O266" s="874"/>
      <c r="P266" s="874"/>
      <c r="Q266" s="874"/>
      <c r="R266" s="874"/>
      <c r="S266" s="874"/>
      <c r="T266" s="874"/>
      <c r="U266" s="874"/>
      <c r="V266" s="874"/>
      <c r="W266" s="874"/>
      <c r="X266" s="874"/>
      <c r="Y266" s="874"/>
      <c r="Z266" s="874"/>
    </row>
    <row r="267" ht="63.75" customHeight="1">
      <c r="A267" s="874"/>
      <c r="B267" s="874"/>
      <c r="C267" s="874"/>
      <c r="D267" s="882"/>
      <c r="E267" s="874"/>
      <c r="F267" s="874"/>
      <c r="G267" s="864"/>
      <c r="H267" s="874"/>
      <c r="I267" s="874"/>
      <c r="J267" s="874"/>
      <c r="K267" s="874"/>
      <c r="L267" s="874"/>
      <c r="M267" s="874"/>
      <c r="N267" s="874"/>
      <c r="O267" s="874"/>
      <c r="P267" s="874"/>
      <c r="Q267" s="874"/>
      <c r="R267" s="874"/>
      <c r="S267" s="874"/>
      <c r="T267" s="874"/>
      <c r="U267" s="874"/>
      <c r="V267" s="874"/>
      <c r="W267" s="874"/>
      <c r="X267" s="874"/>
      <c r="Y267" s="874"/>
      <c r="Z267" s="874"/>
    </row>
    <row r="268" ht="63.75" customHeight="1">
      <c r="A268" s="874"/>
      <c r="B268" s="874"/>
      <c r="C268" s="874"/>
      <c r="D268" s="882"/>
      <c r="E268" s="874"/>
      <c r="F268" s="874"/>
      <c r="G268" s="864"/>
      <c r="H268" s="874"/>
      <c r="I268" s="874"/>
      <c r="J268" s="874"/>
      <c r="K268" s="874"/>
      <c r="L268" s="874"/>
      <c r="M268" s="874"/>
      <c r="N268" s="874"/>
      <c r="O268" s="874"/>
      <c r="P268" s="874"/>
      <c r="Q268" s="874"/>
      <c r="R268" s="874"/>
      <c r="S268" s="874"/>
      <c r="T268" s="874"/>
      <c r="U268" s="874"/>
      <c r="V268" s="874"/>
      <c r="W268" s="874"/>
      <c r="X268" s="874"/>
      <c r="Y268" s="874"/>
      <c r="Z268" s="874"/>
    </row>
    <row r="269" ht="63.75" customHeight="1">
      <c r="A269" s="874"/>
      <c r="B269" s="874"/>
      <c r="C269" s="874"/>
      <c r="D269" s="882"/>
      <c r="E269" s="874"/>
      <c r="F269" s="874"/>
      <c r="G269" s="864"/>
      <c r="H269" s="874"/>
      <c r="I269" s="874"/>
      <c r="J269" s="874"/>
      <c r="K269" s="874"/>
      <c r="L269" s="874"/>
      <c r="M269" s="874"/>
      <c r="N269" s="874"/>
      <c r="O269" s="874"/>
      <c r="P269" s="874"/>
      <c r="Q269" s="874"/>
      <c r="R269" s="874"/>
      <c r="S269" s="874"/>
      <c r="T269" s="874"/>
      <c r="U269" s="874"/>
      <c r="V269" s="874"/>
      <c r="W269" s="874"/>
      <c r="X269" s="874"/>
      <c r="Y269" s="874"/>
      <c r="Z269" s="874"/>
    </row>
    <row r="270" ht="63.75" customHeight="1">
      <c r="A270" s="874"/>
      <c r="B270" s="874"/>
      <c r="C270" s="874"/>
      <c r="D270" s="882"/>
      <c r="E270" s="874"/>
      <c r="F270" s="874"/>
      <c r="G270" s="864"/>
      <c r="H270" s="874"/>
      <c r="I270" s="874"/>
      <c r="J270" s="874"/>
      <c r="K270" s="874"/>
      <c r="L270" s="874"/>
      <c r="M270" s="874"/>
      <c r="N270" s="874"/>
      <c r="O270" s="874"/>
      <c r="P270" s="874"/>
      <c r="Q270" s="874"/>
      <c r="R270" s="874"/>
      <c r="S270" s="874"/>
      <c r="T270" s="874"/>
      <c r="U270" s="874"/>
      <c r="V270" s="874"/>
      <c r="W270" s="874"/>
      <c r="X270" s="874"/>
      <c r="Y270" s="874"/>
      <c r="Z270" s="874"/>
    </row>
    <row r="271" ht="63.75" customHeight="1">
      <c r="A271" s="874"/>
      <c r="B271" s="874"/>
      <c r="C271" s="874"/>
      <c r="D271" s="882"/>
      <c r="E271" s="874"/>
      <c r="F271" s="874"/>
      <c r="G271" s="864"/>
      <c r="H271" s="874"/>
      <c r="I271" s="874"/>
      <c r="J271" s="874"/>
      <c r="K271" s="874"/>
      <c r="L271" s="874"/>
      <c r="M271" s="874"/>
      <c r="N271" s="874"/>
      <c r="O271" s="874"/>
      <c r="P271" s="874"/>
      <c r="Q271" s="874"/>
      <c r="R271" s="874"/>
      <c r="S271" s="874"/>
      <c r="T271" s="874"/>
      <c r="U271" s="874"/>
      <c r="V271" s="874"/>
      <c r="W271" s="874"/>
      <c r="X271" s="874"/>
      <c r="Y271" s="874"/>
      <c r="Z271" s="874"/>
    </row>
    <row r="272" ht="63.75" customHeight="1">
      <c r="A272" s="874"/>
      <c r="B272" s="874"/>
      <c r="C272" s="874"/>
      <c r="D272" s="882"/>
      <c r="E272" s="874"/>
      <c r="F272" s="874"/>
      <c r="G272" s="864"/>
      <c r="H272" s="874"/>
      <c r="I272" s="874"/>
      <c r="J272" s="874"/>
      <c r="K272" s="874"/>
      <c r="L272" s="874"/>
      <c r="M272" s="874"/>
      <c r="N272" s="874"/>
      <c r="O272" s="874"/>
      <c r="P272" s="874"/>
      <c r="Q272" s="874"/>
      <c r="R272" s="874"/>
      <c r="S272" s="874"/>
      <c r="T272" s="874"/>
      <c r="U272" s="874"/>
      <c r="V272" s="874"/>
      <c r="W272" s="874"/>
      <c r="X272" s="874"/>
      <c r="Y272" s="874"/>
      <c r="Z272" s="874"/>
    </row>
    <row r="273" ht="63.75" customHeight="1">
      <c r="A273" s="874"/>
      <c r="B273" s="874"/>
      <c r="C273" s="874"/>
      <c r="D273" s="882"/>
      <c r="E273" s="874"/>
      <c r="F273" s="874"/>
      <c r="G273" s="864"/>
      <c r="H273" s="874"/>
      <c r="I273" s="874"/>
      <c r="J273" s="874"/>
      <c r="K273" s="874"/>
      <c r="L273" s="874"/>
      <c r="M273" s="874"/>
      <c r="N273" s="874"/>
      <c r="O273" s="874"/>
      <c r="P273" s="874"/>
      <c r="Q273" s="874"/>
      <c r="R273" s="874"/>
      <c r="S273" s="874"/>
      <c r="T273" s="874"/>
      <c r="U273" s="874"/>
      <c r="V273" s="874"/>
      <c r="W273" s="874"/>
      <c r="X273" s="874"/>
      <c r="Y273" s="874"/>
      <c r="Z273" s="874"/>
    </row>
    <row r="274" ht="63.75" customHeight="1">
      <c r="A274" s="874"/>
      <c r="B274" s="874"/>
      <c r="C274" s="874"/>
      <c r="D274" s="882"/>
      <c r="E274" s="874"/>
      <c r="F274" s="874"/>
      <c r="G274" s="864"/>
      <c r="H274" s="874"/>
      <c r="I274" s="874"/>
      <c r="J274" s="874"/>
      <c r="K274" s="874"/>
      <c r="L274" s="874"/>
      <c r="M274" s="874"/>
      <c r="N274" s="874"/>
      <c r="O274" s="874"/>
      <c r="P274" s="874"/>
      <c r="Q274" s="874"/>
      <c r="R274" s="874"/>
      <c r="S274" s="874"/>
      <c r="T274" s="874"/>
      <c r="U274" s="874"/>
      <c r="V274" s="874"/>
      <c r="W274" s="874"/>
      <c r="X274" s="874"/>
      <c r="Y274" s="874"/>
      <c r="Z274" s="874"/>
    </row>
    <row r="275" ht="63.75" customHeight="1">
      <c r="A275" s="874"/>
      <c r="B275" s="874"/>
      <c r="C275" s="874"/>
      <c r="D275" s="882"/>
      <c r="E275" s="874"/>
      <c r="F275" s="874"/>
      <c r="G275" s="864"/>
      <c r="H275" s="874"/>
      <c r="I275" s="874"/>
      <c r="J275" s="874"/>
      <c r="K275" s="874"/>
      <c r="L275" s="874"/>
      <c r="M275" s="874"/>
      <c r="N275" s="874"/>
      <c r="O275" s="874"/>
      <c r="P275" s="874"/>
      <c r="Q275" s="874"/>
      <c r="R275" s="874"/>
      <c r="S275" s="874"/>
      <c r="T275" s="874"/>
      <c r="U275" s="874"/>
      <c r="V275" s="874"/>
      <c r="W275" s="874"/>
      <c r="X275" s="874"/>
      <c r="Y275" s="874"/>
      <c r="Z275" s="874"/>
    </row>
    <row r="276" ht="63.75" customHeight="1">
      <c r="A276" s="874"/>
      <c r="B276" s="874"/>
      <c r="C276" s="874"/>
      <c r="D276" s="882"/>
      <c r="E276" s="874"/>
      <c r="F276" s="874"/>
      <c r="G276" s="864"/>
      <c r="H276" s="874"/>
      <c r="I276" s="874"/>
      <c r="J276" s="874"/>
      <c r="K276" s="874"/>
      <c r="L276" s="874"/>
      <c r="M276" s="874"/>
      <c r="N276" s="874"/>
      <c r="O276" s="874"/>
      <c r="P276" s="874"/>
      <c r="Q276" s="874"/>
      <c r="R276" s="874"/>
      <c r="S276" s="874"/>
      <c r="T276" s="874"/>
      <c r="U276" s="874"/>
      <c r="V276" s="874"/>
      <c r="W276" s="874"/>
      <c r="X276" s="874"/>
      <c r="Y276" s="874"/>
      <c r="Z276" s="874"/>
    </row>
    <row r="277" ht="63.75" customHeight="1">
      <c r="A277" s="874"/>
      <c r="B277" s="874"/>
      <c r="C277" s="874"/>
      <c r="D277" s="882"/>
      <c r="E277" s="874"/>
      <c r="F277" s="874"/>
      <c r="G277" s="864"/>
      <c r="H277" s="874"/>
      <c r="I277" s="874"/>
      <c r="J277" s="874"/>
      <c r="K277" s="874"/>
      <c r="L277" s="874"/>
      <c r="M277" s="874"/>
      <c r="N277" s="874"/>
      <c r="O277" s="874"/>
      <c r="P277" s="874"/>
      <c r="Q277" s="874"/>
      <c r="R277" s="874"/>
      <c r="S277" s="874"/>
      <c r="T277" s="874"/>
      <c r="U277" s="874"/>
      <c r="V277" s="874"/>
      <c r="W277" s="874"/>
      <c r="X277" s="874"/>
      <c r="Y277" s="874"/>
      <c r="Z277" s="874"/>
    </row>
    <row r="278" ht="63.75" customHeight="1">
      <c r="A278" s="874"/>
      <c r="B278" s="874"/>
      <c r="C278" s="874"/>
      <c r="D278" s="882"/>
      <c r="E278" s="874"/>
      <c r="F278" s="874"/>
      <c r="G278" s="864"/>
      <c r="H278" s="874"/>
      <c r="I278" s="874"/>
      <c r="J278" s="874"/>
      <c r="K278" s="874"/>
      <c r="L278" s="874"/>
      <c r="M278" s="874"/>
      <c r="N278" s="874"/>
      <c r="O278" s="874"/>
      <c r="P278" s="874"/>
      <c r="Q278" s="874"/>
      <c r="R278" s="874"/>
      <c r="S278" s="874"/>
      <c r="T278" s="874"/>
      <c r="U278" s="874"/>
      <c r="V278" s="874"/>
      <c r="W278" s="874"/>
      <c r="X278" s="874"/>
      <c r="Y278" s="874"/>
      <c r="Z278" s="874"/>
    </row>
    <row r="279" ht="63.75" customHeight="1">
      <c r="A279" s="874"/>
      <c r="B279" s="874"/>
      <c r="C279" s="874"/>
      <c r="D279" s="882"/>
      <c r="E279" s="874"/>
      <c r="F279" s="874"/>
      <c r="G279" s="864"/>
      <c r="H279" s="874"/>
      <c r="I279" s="874"/>
      <c r="J279" s="874"/>
      <c r="K279" s="874"/>
      <c r="L279" s="874"/>
      <c r="M279" s="874"/>
      <c r="N279" s="874"/>
      <c r="O279" s="874"/>
      <c r="P279" s="874"/>
      <c r="Q279" s="874"/>
      <c r="R279" s="874"/>
      <c r="S279" s="874"/>
      <c r="T279" s="874"/>
      <c r="U279" s="874"/>
      <c r="V279" s="874"/>
      <c r="W279" s="874"/>
      <c r="X279" s="874"/>
      <c r="Y279" s="874"/>
      <c r="Z279" s="874"/>
    </row>
    <row r="280" ht="63.75" customHeight="1">
      <c r="A280" s="874"/>
      <c r="B280" s="874"/>
      <c r="C280" s="874"/>
      <c r="D280" s="882"/>
      <c r="E280" s="874"/>
      <c r="F280" s="874"/>
      <c r="G280" s="864"/>
      <c r="H280" s="874"/>
      <c r="I280" s="874"/>
      <c r="J280" s="874"/>
      <c r="K280" s="874"/>
      <c r="L280" s="874"/>
      <c r="M280" s="874"/>
      <c r="N280" s="874"/>
      <c r="O280" s="874"/>
      <c r="P280" s="874"/>
      <c r="Q280" s="874"/>
      <c r="R280" s="874"/>
      <c r="S280" s="874"/>
      <c r="T280" s="874"/>
      <c r="U280" s="874"/>
      <c r="V280" s="874"/>
      <c r="W280" s="874"/>
      <c r="X280" s="874"/>
      <c r="Y280" s="874"/>
      <c r="Z280" s="874"/>
    </row>
    <row r="281" ht="63.75" customHeight="1">
      <c r="A281" s="874"/>
      <c r="B281" s="874"/>
      <c r="C281" s="874"/>
      <c r="D281" s="882"/>
      <c r="E281" s="874"/>
      <c r="F281" s="874"/>
      <c r="G281" s="864"/>
      <c r="H281" s="874"/>
      <c r="I281" s="874"/>
      <c r="J281" s="874"/>
      <c r="K281" s="874"/>
      <c r="L281" s="874"/>
      <c r="M281" s="874"/>
      <c r="N281" s="874"/>
      <c r="O281" s="874"/>
      <c r="P281" s="874"/>
      <c r="Q281" s="874"/>
      <c r="R281" s="874"/>
      <c r="S281" s="874"/>
      <c r="T281" s="874"/>
      <c r="U281" s="874"/>
      <c r="V281" s="874"/>
      <c r="W281" s="874"/>
      <c r="X281" s="874"/>
      <c r="Y281" s="874"/>
      <c r="Z281" s="874"/>
    </row>
    <row r="282" ht="63.75" customHeight="1">
      <c r="A282" s="874"/>
      <c r="B282" s="874"/>
      <c r="C282" s="874"/>
      <c r="D282" s="882"/>
      <c r="E282" s="874"/>
      <c r="F282" s="874"/>
      <c r="G282" s="864"/>
      <c r="H282" s="874"/>
      <c r="I282" s="874"/>
      <c r="J282" s="874"/>
      <c r="K282" s="874"/>
      <c r="L282" s="874"/>
      <c r="M282" s="874"/>
      <c r="N282" s="874"/>
      <c r="O282" s="874"/>
      <c r="P282" s="874"/>
      <c r="Q282" s="874"/>
      <c r="R282" s="874"/>
      <c r="S282" s="874"/>
      <c r="T282" s="874"/>
      <c r="U282" s="874"/>
      <c r="V282" s="874"/>
      <c r="W282" s="874"/>
      <c r="X282" s="874"/>
      <c r="Y282" s="874"/>
      <c r="Z282" s="874"/>
    </row>
    <row r="283" ht="63.75" customHeight="1">
      <c r="A283" s="874"/>
      <c r="B283" s="874"/>
      <c r="C283" s="874"/>
      <c r="D283" s="882"/>
      <c r="E283" s="874"/>
      <c r="F283" s="874"/>
      <c r="G283" s="864"/>
      <c r="H283" s="874"/>
      <c r="I283" s="874"/>
      <c r="J283" s="874"/>
      <c r="K283" s="874"/>
      <c r="L283" s="874"/>
      <c r="M283" s="874"/>
      <c r="N283" s="874"/>
      <c r="O283" s="874"/>
      <c r="P283" s="874"/>
      <c r="Q283" s="874"/>
      <c r="R283" s="874"/>
      <c r="S283" s="874"/>
      <c r="T283" s="874"/>
      <c r="U283" s="874"/>
      <c r="V283" s="874"/>
      <c r="W283" s="874"/>
      <c r="X283" s="874"/>
      <c r="Y283" s="874"/>
      <c r="Z283" s="874"/>
    </row>
    <row r="284" ht="63.75" customHeight="1">
      <c r="A284" s="874"/>
      <c r="B284" s="874"/>
      <c r="C284" s="874"/>
      <c r="D284" s="882"/>
      <c r="E284" s="874"/>
      <c r="F284" s="874"/>
      <c r="G284" s="864"/>
      <c r="H284" s="874"/>
      <c r="I284" s="874"/>
      <c r="J284" s="874"/>
      <c r="K284" s="874"/>
      <c r="L284" s="874"/>
      <c r="M284" s="874"/>
      <c r="N284" s="874"/>
      <c r="O284" s="874"/>
      <c r="P284" s="874"/>
      <c r="Q284" s="874"/>
      <c r="R284" s="874"/>
      <c r="S284" s="874"/>
      <c r="T284" s="874"/>
      <c r="U284" s="874"/>
      <c r="V284" s="874"/>
      <c r="W284" s="874"/>
      <c r="X284" s="874"/>
      <c r="Y284" s="874"/>
      <c r="Z284" s="874"/>
    </row>
    <row r="285" ht="63.75" customHeight="1">
      <c r="A285" s="874"/>
      <c r="B285" s="874"/>
      <c r="C285" s="874"/>
      <c r="D285" s="882"/>
      <c r="E285" s="874"/>
      <c r="F285" s="874"/>
      <c r="G285" s="864"/>
      <c r="H285" s="874"/>
      <c r="I285" s="874"/>
      <c r="J285" s="874"/>
      <c r="K285" s="874"/>
      <c r="L285" s="874"/>
      <c r="M285" s="874"/>
      <c r="N285" s="874"/>
      <c r="O285" s="874"/>
      <c r="P285" s="874"/>
      <c r="Q285" s="874"/>
      <c r="R285" s="874"/>
      <c r="S285" s="874"/>
      <c r="T285" s="874"/>
      <c r="U285" s="874"/>
      <c r="V285" s="874"/>
      <c r="W285" s="874"/>
      <c r="X285" s="874"/>
      <c r="Y285" s="874"/>
      <c r="Z285" s="874"/>
    </row>
    <row r="286" ht="63.75" customHeight="1">
      <c r="A286" s="874"/>
      <c r="B286" s="874"/>
      <c r="C286" s="874"/>
      <c r="D286" s="882"/>
      <c r="E286" s="874"/>
      <c r="F286" s="874"/>
      <c r="G286" s="864"/>
      <c r="H286" s="874"/>
      <c r="I286" s="874"/>
      <c r="J286" s="874"/>
      <c r="K286" s="874"/>
      <c r="L286" s="874"/>
      <c r="M286" s="874"/>
      <c r="N286" s="874"/>
      <c r="O286" s="874"/>
      <c r="P286" s="874"/>
      <c r="Q286" s="874"/>
      <c r="R286" s="874"/>
      <c r="S286" s="874"/>
      <c r="T286" s="874"/>
      <c r="U286" s="874"/>
      <c r="V286" s="874"/>
      <c r="W286" s="874"/>
      <c r="X286" s="874"/>
      <c r="Y286" s="874"/>
      <c r="Z286" s="874"/>
    </row>
    <row r="287" ht="63.75" customHeight="1">
      <c r="A287" s="874"/>
      <c r="B287" s="874"/>
      <c r="C287" s="874"/>
      <c r="D287" s="882"/>
      <c r="E287" s="874"/>
      <c r="F287" s="874"/>
      <c r="G287" s="864"/>
      <c r="H287" s="874"/>
      <c r="I287" s="874"/>
      <c r="J287" s="874"/>
      <c r="K287" s="874"/>
      <c r="L287" s="874"/>
      <c r="M287" s="874"/>
      <c r="N287" s="874"/>
      <c r="O287" s="874"/>
      <c r="P287" s="874"/>
      <c r="Q287" s="874"/>
      <c r="R287" s="874"/>
      <c r="S287" s="874"/>
      <c r="T287" s="874"/>
      <c r="U287" s="874"/>
      <c r="V287" s="874"/>
      <c r="W287" s="874"/>
      <c r="X287" s="874"/>
      <c r="Y287" s="874"/>
      <c r="Z287" s="874"/>
    </row>
    <row r="288" ht="63.75" customHeight="1">
      <c r="A288" s="874"/>
      <c r="B288" s="874"/>
      <c r="C288" s="874"/>
      <c r="D288" s="882"/>
      <c r="E288" s="874"/>
      <c r="F288" s="874"/>
      <c r="G288" s="864"/>
      <c r="H288" s="874"/>
      <c r="I288" s="874"/>
      <c r="J288" s="874"/>
      <c r="K288" s="874"/>
      <c r="L288" s="874"/>
      <c r="M288" s="874"/>
      <c r="N288" s="874"/>
      <c r="O288" s="874"/>
      <c r="P288" s="874"/>
      <c r="Q288" s="874"/>
      <c r="R288" s="874"/>
      <c r="S288" s="874"/>
      <c r="T288" s="874"/>
      <c r="U288" s="874"/>
      <c r="V288" s="874"/>
      <c r="W288" s="874"/>
      <c r="X288" s="874"/>
      <c r="Y288" s="874"/>
      <c r="Z288" s="874"/>
    </row>
    <row r="289" ht="63.75" customHeight="1">
      <c r="A289" s="874"/>
      <c r="B289" s="874"/>
      <c r="C289" s="874"/>
      <c r="D289" s="882"/>
      <c r="E289" s="874"/>
      <c r="F289" s="874"/>
      <c r="G289" s="864"/>
      <c r="H289" s="874"/>
      <c r="I289" s="874"/>
      <c r="J289" s="874"/>
      <c r="K289" s="874"/>
      <c r="L289" s="874"/>
      <c r="M289" s="874"/>
      <c r="N289" s="874"/>
      <c r="O289" s="874"/>
      <c r="P289" s="874"/>
      <c r="Q289" s="874"/>
      <c r="R289" s="874"/>
      <c r="S289" s="874"/>
      <c r="T289" s="874"/>
      <c r="U289" s="874"/>
      <c r="V289" s="874"/>
      <c r="W289" s="874"/>
      <c r="X289" s="874"/>
      <c r="Y289" s="874"/>
      <c r="Z289" s="874"/>
    </row>
    <row r="290" ht="63.75" customHeight="1">
      <c r="A290" s="874"/>
      <c r="B290" s="874"/>
      <c r="C290" s="874"/>
      <c r="D290" s="882"/>
      <c r="E290" s="874"/>
      <c r="F290" s="874"/>
      <c r="G290" s="864"/>
      <c r="H290" s="874"/>
      <c r="I290" s="874"/>
      <c r="J290" s="874"/>
      <c r="K290" s="874"/>
      <c r="L290" s="874"/>
      <c r="M290" s="874"/>
      <c r="N290" s="874"/>
      <c r="O290" s="874"/>
      <c r="P290" s="874"/>
      <c r="Q290" s="874"/>
      <c r="R290" s="874"/>
      <c r="S290" s="874"/>
      <c r="T290" s="874"/>
      <c r="U290" s="874"/>
      <c r="V290" s="874"/>
      <c r="W290" s="874"/>
      <c r="X290" s="874"/>
      <c r="Y290" s="874"/>
      <c r="Z290" s="874"/>
    </row>
    <row r="291" ht="63.75" customHeight="1">
      <c r="A291" s="874"/>
      <c r="B291" s="874"/>
      <c r="C291" s="874"/>
      <c r="D291" s="882"/>
      <c r="E291" s="874"/>
      <c r="F291" s="874"/>
      <c r="G291" s="864"/>
      <c r="H291" s="874"/>
      <c r="I291" s="874"/>
      <c r="J291" s="874"/>
      <c r="K291" s="874"/>
      <c r="L291" s="874"/>
      <c r="M291" s="874"/>
      <c r="N291" s="874"/>
      <c r="O291" s="874"/>
      <c r="P291" s="874"/>
      <c r="Q291" s="874"/>
      <c r="R291" s="874"/>
      <c r="S291" s="874"/>
      <c r="T291" s="874"/>
      <c r="U291" s="874"/>
      <c r="V291" s="874"/>
      <c r="W291" s="874"/>
      <c r="X291" s="874"/>
      <c r="Y291" s="874"/>
      <c r="Z291" s="874"/>
    </row>
    <row r="292" ht="63.75" customHeight="1">
      <c r="A292" s="874"/>
      <c r="B292" s="874"/>
      <c r="C292" s="874"/>
      <c r="D292" s="882"/>
      <c r="E292" s="874"/>
      <c r="F292" s="874"/>
      <c r="G292" s="864"/>
      <c r="H292" s="874"/>
      <c r="I292" s="874"/>
      <c r="J292" s="874"/>
      <c r="K292" s="874"/>
      <c r="L292" s="874"/>
      <c r="M292" s="874"/>
      <c r="N292" s="874"/>
      <c r="O292" s="874"/>
      <c r="P292" s="874"/>
      <c r="Q292" s="874"/>
      <c r="R292" s="874"/>
      <c r="S292" s="874"/>
      <c r="T292" s="874"/>
      <c r="U292" s="874"/>
      <c r="V292" s="874"/>
      <c r="W292" s="874"/>
      <c r="X292" s="874"/>
      <c r="Y292" s="874"/>
      <c r="Z292" s="874"/>
    </row>
    <row r="293" ht="63.75" customHeight="1">
      <c r="A293" s="874"/>
      <c r="B293" s="874"/>
      <c r="C293" s="874"/>
      <c r="D293" s="882"/>
      <c r="E293" s="874"/>
      <c r="F293" s="874"/>
      <c r="G293" s="864"/>
      <c r="H293" s="874"/>
      <c r="I293" s="874"/>
      <c r="J293" s="874"/>
      <c r="K293" s="874"/>
      <c r="L293" s="874"/>
      <c r="M293" s="874"/>
      <c r="N293" s="874"/>
      <c r="O293" s="874"/>
      <c r="P293" s="874"/>
      <c r="Q293" s="874"/>
      <c r="R293" s="874"/>
      <c r="S293" s="874"/>
      <c r="T293" s="874"/>
      <c r="U293" s="874"/>
      <c r="V293" s="874"/>
      <c r="W293" s="874"/>
      <c r="X293" s="874"/>
      <c r="Y293" s="874"/>
      <c r="Z293" s="874"/>
    </row>
    <row r="294" ht="63.75" customHeight="1">
      <c r="A294" s="874"/>
      <c r="B294" s="874"/>
      <c r="C294" s="874"/>
      <c r="D294" s="882"/>
      <c r="E294" s="874"/>
      <c r="F294" s="874"/>
      <c r="G294" s="864"/>
      <c r="H294" s="874"/>
      <c r="I294" s="874"/>
      <c r="J294" s="874"/>
      <c r="K294" s="874"/>
      <c r="L294" s="874"/>
      <c r="M294" s="874"/>
      <c r="N294" s="874"/>
      <c r="O294" s="874"/>
      <c r="P294" s="874"/>
      <c r="Q294" s="874"/>
      <c r="R294" s="874"/>
      <c r="S294" s="874"/>
      <c r="T294" s="874"/>
      <c r="U294" s="874"/>
      <c r="V294" s="874"/>
      <c r="W294" s="874"/>
      <c r="X294" s="874"/>
      <c r="Y294" s="874"/>
      <c r="Z294" s="874"/>
    </row>
    <row r="295" ht="63.75" customHeight="1">
      <c r="A295" s="874"/>
      <c r="B295" s="874"/>
      <c r="C295" s="874"/>
      <c r="D295" s="882"/>
      <c r="E295" s="874"/>
      <c r="F295" s="874"/>
      <c r="G295" s="864"/>
      <c r="H295" s="874"/>
      <c r="I295" s="874"/>
      <c r="J295" s="874"/>
      <c r="K295" s="874"/>
      <c r="L295" s="874"/>
      <c r="M295" s="874"/>
      <c r="N295" s="874"/>
      <c r="O295" s="874"/>
      <c r="P295" s="874"/>
      <c r="Q295" s="874"/>
      <c r="R295" s="874"/>
      <c r="S295" s="874"/>
      <c r="T295" s="874"/>
      <c r="U295" s="874"/>
      <c r="V295" s="874"/>
      <c r="W295" s="874"/>
      <c r="X295" s="874"/>
      <c r="Y295" s="874"/>
      <c r="Z295" s="874"/>
    </row>
    <row r="296" ht="63.75" customHeight="1">
      <c r="A296" s="874"/>
      <c r="B296" s="874"/>
      <c r="C296" s="874"/>
      <c r="D296" s="882"/>
      <c r="E296" s="874"/>
      <c r="F296" s="874"/>
      <c r="G296" s="864"/>
      <c r="H296" s="874"/>
      <c r="I296" s="874"/>
      <c r="J296" s="874"/>
      <c r="K296" s="874"/>
      <c r="L296" s="874"/>
      <c r="M296" s="874"/>
      <c r="N296" s="874"/>
      <c r="O296" s="874"/>
      <c r="P296" s="874"/>
      <c r="Q296" s="874"/>
      <c r="R296" s="874"/>
      <c r="S296" s="874"/>
      <c r="T296" s="874"/>
      <c r="U296" s="874"/>
      <c r="V296" s="874"/>
      <c r="W296" s="874"/>
      <c r="X296" s="874"/>
      <c r="Y296" s="874"/>
      <c r="Z296" s="874"/>
    </row>
    <row r="297" ht="63.75" customHeight="1">
      <c r="A297" s="874"/>
      <c r="B297" s="874"/>
      <c r="C297" s="874"/>
      <c r="D297" s="882"/>
      <c r="E297" s="874"/>
      <c r="F297" s="874"/>
      <c r="G297" s="864"/>
      <c r="H297" s="874"/>
      <c r="I297" s="874"/>
      <c r="J297" s="874"/>
      <c r="K297" s="874"/>
      <c r="L297" s="874"/>
      <c r="M297" s="874"/>
      <c r="N297" s="874"/>
      <c r="O297" s="874"/>
      <c r="P297" s="874"/>
      <c r="Q297" s="874"/>
      <c r="R297" s="874"/>
      <c r="S297" s="874"/>
      <c r="T297" s="874"/>
      <c r="U297" s="874"/>
      <c r="V297" s="874"/>
      <c r="W297" s="874"/>
      <c r="X297" s="874"/>
      <c r="Y297" s="874"/>
      <c r="Z297" s="874"/>
    </row>
    <row r="298" ht="63.75" customHeight="1">
      <c r="A298" s="874"/>
      <c r="B298" s="874"/>
      <c r="C298" s="874"/>
      <c r="D298" s="882"/>
      <c r="E298" s="874"/>
      <c r="F298" s="874"/>
      <c r="G298" s="864"/>
      <c r="H298" s="874"/>
      <c r="I298" s="874"/>
      <c r="J298" s="874"/>
      <c r="K298" s="874"/>
      <c r="L298" s="874"/>
      <c r="M298" s="874"/>
      <c r="N298" s="874"/>
      <c r="O298" s="874"/>
      <c r="P298" s="874"/>
      <c r="Q298" s="874"/>
      <c r="R298" s="874"/>
      <c r="S298" s="874"/>
      <c r="T298" s="874"/>
      <c r="U298" s="874"/>
      <c r="V298" s="874"/>
      <c r="W298" s="874"/>
      <c r="X298" s="874"/>
      <c r="Y298" s="874"/>
      <c r="Z298" s="874"/>
    </row>
    <row r="299" ht="63.75" customHeight="1">
      <c r="A299" s="874"/>
      <c r="B299" s="874"/>
      <c r="C299" s="874"/>
      <c r="D299" s="882"/>
      <c r="E299" s="874"/>
      <c r="F299" s="874"/>
      <c r="G299" s="864"/>
      <c r="H299" s="874"/>
      <c r="I299" s="874"/>
      <c r="J299" s="874"/>
      <c r="K299" s="874"/>
      <c r="L299" s="874"/>
      <c r="M299" s="874"/>
      <c r="N299" s="874"/>
      <c r="O299" s="874"/>
      <c r="P299" s="874"/>
      <c r="Q299" s="874"/>
      <c r="R299" s="874"/>
      <c r="S299" s="874"/>
      <c r="T299" s="874"/>
      <c r="U299" s="874"/>
      <c r="V299" s="874"/>
      <c r="W299" s="874"/>
      <c r="X299" s="874"/>
      <c r="Y299" s="874"/>
      <c r="Z299" s="874"/>
    </row>
    <row r="300" ht="63.75" customHeight="1">
      <c r="A300" s="874"/>
      <c r="B300" s="874"/>
      <c r="C300" s="874"/>
      <c r="D300" s="882"/>
      <c r="E300" s="874"/>
      <c r="F300" s="874"/>
      <c r="G300" s="864"/>
      <c r="H300" s="874"/>
      <c r="I300" s="874"/>
      <c r="J300" s="874"/>
      <c r="K300" s="874"/>
      <c r="L300" s="874"/>
      <c r="M300" s="874"/>
      <c r="N300" s="874"/>
      <c r="O300" s="874"/>
      <c r="P300" s="874"/>
      <c r="Q300" s="874"/>
      <c r="R300" s="874"/>
      <c r="S300" s="874"/>
      <c r="T300" s="874"/>
      <c r="U300" s="874"/>
      <c r="V300" s="874"/>
      <c r="W300" s="874"/>
      <c r="X300" s="874"/>
      <c r="Y300" s="874"/>
      <c r="Z300" s="874"/>
    </row>
    <row r="301" ht="63.75" customHeight="1">
      <c r="A301" s="874"/>
      <c r="B301" s="874"/>
      <c r="C301" s="874"/>
      <c r="D301" s="882"/>
      <c r="E301" s="874"/>
      <c r="F301" s="874"/>
      <c r="G301" s="864"/>
      <c r="H301" s="874"/>
      <c r="I301" s="874"/>
      <c r="J301" s="874"/>
      <c r="K301" s="874"/>
      <c r="L301" s="874"/>
      <c r="M301" s="874"/>
      <c r="N301" s="874"/>
      <c r="O301" s="874"/>
      <c r="P301" s="874"/>
      <c r="Q301" s="874"/>
      <c r="R301" s="874"/>
      <c r="S301" s="874"/>
      <c r="T301" s="874"/>
      <c r="U301" s="874"/>
      <c r="V301" s="874"/>
      <c r="W301" s="874"/>
      <c r="X301" s="874"/>
      <c r="Y301" s="874"/>
      <c r="Z301" s="874"/>
    </row>
    <row r="302" ht="63.75" customHeight="1">
      <c r="A302" s="874"/>
      <c r="B302" s="874"/>
      <c r="C302" s="874"/>
      <c r="D302" s="882"/>
      <c r="E302" s="874"/>
      <c r="F302" s="874"/>
      <c r="G302" s="864"/>
      <c r="H302" s="874"/>
      <c r="I302" s="874"/>
      <c r="J302" s="874"/>
      <c r="K302" s="874"/>
      <c r="L302" s="874"/>
      <c r="M302" s="874"/>
      <c r="N302" s="874"/>
      <c r="O302" s="874"/>
      <c r="P302" s="874"/>
      <c r="Q302" s="874"/>
      <c r="R302" s="874"/>
      <c r="S302" s="874"/>
      <c r="T302" s="874"/>
      <c r="U302" s="874"/>
      <c r="V302" s="874"/>
      <c r="W302" s="874"/>
      <c r="X302" s="874"/>
      <c r="Y302" s="874"/>
      <c r="Z302" s="874"/>
    </row>
    <row r="303" ht="63.75" customHeight="1">
      <c r="A303" s="874"/>
      <c r="B303" s="874"/>
      <c r="C303" s="874"/>
      <c r="D303" s="882"/>
      <c r="E303" s="874"/>
      <c r="F303" s="874"/>
      <c r="G303" s="864"/>
      <c r="H303" s="874"/>
      <c r="I303" s="874"/>
      <c r="J303" s="874"/>
      <c r="K303" s="874"/>
      <c r="L303" s="874"/>
      <c r="M303" s="874"/>
      <c r="N303" s="874"/>
      <c r="O303" s="874"/>
      <c r="P303" s="874"/>
      <c r="Q303" s="874"/>
      <c r="R303" s="874"/>
      <c r="S303" s="874"/>
      <c r="T303" s="874"/>
      <c r="U303" s="874"/>
      <c r="V303" s="874"/>
      <c r="W303" s="874"/>
      <c r="X303" s="874"/>
      <c r="Y303" s="874"/>
      <c r="Z303" s="874"/>
    </row>
    <row r="304" ht="63.75" customHeight="1">
      <c r="A304" s="874"/>
      <c r="B304" s="874"/>
      <c r="C304" s="874"/>
      <c r="D304" s="882"/>
      <c r="E304" s="874"/>
      <c r="F304" s="874"/>
      <c r="G304" s="864"/>
      <c r="H304" s="874"/>
      <c r="I304" s="874"/>
      <c r="J304" s="874"/>
      <c r="K304" s="874"/>
      <c r="L304" s="874"/>
      <c r="M304" s="874"/>
      <c r="N304" s="874"/>
      <c r="O304" s="874"/>
      <c r="P304" s="874"/>
      <c r="Q304" s="874"/>
      <c r="R304" s="874"/>
      <c r="S304" s="874"/>
      <c r="T304" s="874"/>
      <c r="U304" s="874"/>
      <c r="V304" s="874"/>
      <c r="W304" s="874"/>
      <c r="X304" s="874"/>
      <c r="Y304" s="874"/>
      <c r="Z304" s="874"/>
    </row>
    <row r="305" ht="63.75" customHeight="1">
      <c r="A305" s="874"/>
      <c r="B305" s="874"/>
      <c r="C305" s="874"/>
      <c r="D305" s="882"/>
      <c r="E305" s="874"/>
      <c r="F305" s="874"/>
      <c r="G305" s="864"/>
      <c r="H305" s="874"/>
      <c r="I305" s="874"/>
      <c r="J305" s="874"/>
      <c r="K305" s="874"/>
      <c r="L305" s="874"/>
      <c r="M305" s="874"/>
      <c r="N305" s="874"/>
      <c r="O305" s="874"/>
      <c r="P305" s="874"/>
      <c r="Q305" s="874"/>
      <c r="R305" s="874"/>
      <c r="S305" s="874"/>
      <c r="T305" s="874"/>
      <c r="U305" s="874"/>
      <c r="V305" s="874"/>
      <c r="W305" s="874"/>
      <c r="X305" s="874"/>
      <c r="Y305" s="874"/>
      <c r="Z305" s="874"/>
    </row>
    <row r="306" ht="63.75" customHeight="1">
      <c r="A306" s="874"/>
      <c r="B306" s="874"/>
      <c r="C306" s="874"/>
      <c r="D306" s="882"/>
      <c r="E306" s="874"/>
      <c r="F306" s="874"/>
      <c r="G306" s="864"/>
      <c r="H306" s="874"/>
      <c r="I306" s="874"/>
      <c r="J306" s="874"/>
      <c r="K306" s="874"/>
      <c r="L306" s="874"/>
      <c r="M306" s="874"/>
      <c r="N306" s="874"/>
      <c r="O306" s="874"/>
      <c r="P306" s="874"/>
      <c r="Q306" s="874"/>
      <c r="R306" s="874"/>
      <c r="S306" s="874"/>
      <c r="T306" s="874"/>
      <c r="U306" s="874"/>
      <c r="V306" s="874"/>
      <c r="W306" s="874"/>
      <c r="X306" s="874"/>
      <c r="Y306" s="874"/>
      <c r="Z306" s="874"/>
    </row>
    <row r="307" ht="63.75" customHeight="1">
      <c r="A307" s="874"/>
      <c r="B307" s="874"/>
      <c r="C307" s="874"/>
      <c r="D307" s="882"/>
      <c r="E307" s="874"/>
      <c r="F307" s="874"/>
      <c r="G307" s="864"/>
      <c r="H307" s="874"/>
      <c r="I307" s="874"/>
      <c r="J307" s="874"/>
      <c r="K307" s="874"/>
      <c r="L307" s="874"/>
      <c r="M307" s="874"/>
      <c r="N307" s="874"/>
      <c r="O307" s="874"/>
      <c r="P307" s="874"/>
      <c r="Q307" s="874"/>
      <c r="R307" s="874"/>
      <c r="S307" s="874"/>
      <c r="T307" s="874"/>
      <c r="U307" s="874"/>
      <c r="V307" s="874"/>
      <c r="W307" s="874"/>
      <c r="X307" s="874"/>
      <c r="Y307" s="874"/>
      <c r="Z307" s="874"/>
    </row>
    <row r="308" ht="63.75" customHeight="1">
      <c r="A308" s="874"/>
      <c r="B308" s="874"/>
      <c r="C308" s="874"/>
      <c r="D308" s="882"/>
      <c r="E308" s="874"/>
      <c r="F308" s="874"/>
      <c r="G308" s="864"/>
      <c r="H308" s="874"/>
      <c r="I308" s="874"/>
      <c r="J308" s="874"/>
      <c r="K308" s="874"/>
      <c r="L308" s="874"/>
      <c r="M308" s="874"/>
      <c r="N308" s="874"/>
      <c r="O308" s="874"/>
      <c r="P308" s="874"/>
      <c r="Q308" s="874"/>
      <c r="R308" s="874"/>
      <c r="S308" s="874"/>
      <c r="T308" s="874"/>
      <c r="U308" s="874"/>
      <c r="V308" s="874"/>
      <c r="W308" s="874"/>
      <c r="X308" s="874"/>
      <c r="Y308" s="874"/>
      <c r="Z308" s="874"/>
    </row>
    <row r="309" ht="63.75" customHeight="1">
      <c r="A309" s="874"/>
      <c r="B309" s="874"/>
      <c r="C309" s="874"/>
      <c r="D309" s="882"/>
      <c r="E309" s="874"/>
      <c r="F309" s="874"/>
      <c r="G309" s="864"/>
      <c r="H309" s="874"/>
      <c r="I309" s="874"/>
      <c r="J309" s="874"/>
      <c r="K309" s="874"/>
      <c r="L309" s="874"/>
      <c r="M309" s="874"/>
      <c r="N309" s="874"/>
      <c r="O309" s="874"/>
      <c r="P309" s="874"/>
      <c r="Q309" s="874"/>
      <c r="R309" s="874"/>
      <c r="S309" s="874"/>
      <c r="T309" s="874"/>
      <c r="U309" s="874"/>
      <c r="V309" s="874"/>
      <c r="W309" s="874"/>
      <c r="X309" s="874"/>
      <c r="Y309" s="874"/>
      <c r="Z309" s="874"/>
    </row>
    <row r="310" ht="63.75" customHeight="1">
      <c r="A310" s="874"/>
      <c r="B310" s="874"/>
      <c r="C310" s="874"/>
      <c r="D310" s="882"/>
      <c r="E310" s="874"/>
      <c r="F310" s="874"/>
      <c r="G310" s="864"/>
      <c r="H310" s="874"/>
      <c r="I310" s="874"/>
      <c r="J310" s="874"/>
      <c r="K310" s="874"/>
      <c r="L310" s="874"/>
      <c r="M310" s="874"/>
      <c r="N310" s="874"/>
      <c r="O310" s="874"/>
      <c r="P310" s="874"/>
      <c r="Q310" s="874"/>
      <c r="R310" s="874"/>
      <c r="S310" s="874"/>
      <c r="T310" s="874"/>
      <c r="U310" s="874"/>
      <c r="V310" s="874"/>
      <c r="W310" s="874"/>
      <c r="X310" s="874"/>
      <c r="Y310" s="874"/>
      <c r="Z310" s="874"/>
    </row>
    <row r="311" ht="63.75" customHeight="1">
      <c r="A311" s="874"/>
      <c r="B311" s="874"/>
      <c r="C311" s="874"/>
      <c r="D311" s="882"/>
      <c r="E311" s="874"/>
      <c r="F311" s="874"/>
      <c r="G311" s="864"/>
      <c r="H311" s="874"/>
      <c r="I311" s="874"/>
      <c r="J311" s="874"/>
      <c r="K311" s="874"/>
      <c r="L311" s="874"/>
      <c r="M311" s="874"/>
      <c r="N311" s="874"/>
      <c r="O311" s="874"/>
      <c r="P311" s="874"/>
      <c r="Q311" s="874"/>
      <c r="R311" s="874"/>
      <c r="S311" s="874"/>
      <c r="T311" s="874"/>
      <c r="U311" s="874"/>
      <c r="V311" s="874"/>
      <c r="W311" s="874"/>
      <c r="X311" s="874"/>
      <c r="Y311" s="874"/>
      <c r="Z311" s="874"/>
    </row>
    <row r="312" ht="63.75" customHeight="1">
      <c r="A312" s="874"/>
      <c r="B312" s="874"/>
      <c r="C312" s="874"/>
      <c r="D312" s="882"/>
      <c r="E312" s="874"/>
      <c r="F312" s="874"/>
      <c r="G312" s="864"/>
      <c r="H312" s="874"/>
      <c r="I312" s="874"/>
      <c r="J312" s="874"/>
      <c r="K312" s="874"/>
      <c r="L312" s="874"/>
      <c r="M312" s="874"/>
      <c r="N312" s="874"/>
      <c r="O312" s="874"/>
      <c r="P312" s="874"/>
      <c r="Q312" s="874"/>
      <c r="R312" s="874"/>
      <c r="S312" s="874"/>
      <c r="T312" s="874"/>
      <c r="U312" s="874"/>
      <c r="V312" s="874"/>
      <c r="W312" s="874"/>
      <c r="X312" s="874"/>
      <c r="Y312" s="874"/>
      <c r="Z312" s="874"/>
    </row>
    <row r="313" ht="63.75" customHeight="1">
      <c r="A313" s="874"/>
      <c r="B313" s="874"/>
      <c r="C313" s="874"/>
      <c r="D313" s="882"/>
      <c r="E313" s="874"/>
      <c r="F313" s="874"/>
      <c r="G313" s="864"/>
      <c r="H313" s="874"/>
      <c r="I313" s="874"/>
      <c r="J313" s="874"/>
      <c r="K313" s="874"/>
      <c r="L313" s="874"/>
      <c r="M313" s="874"/>
      <c r="N313" s="874"/>
      <c r="O313" s="874"/>
      <c r="P313" s="874"/>
      <c r="Q313" s="874"/>
      <c r="R313" s="874"/>
      <c r="S313" s="874"/>
      <c r="T313" s="874"/>
      <c r="U313" s="874"/>
      <c r="V313" s="874"/>
      <c r="W313" s="874"/>
      <c r="X313" s="874"/>
      <c r="Y313" s="874"/>
      <c r="Z313" s="874"/>
    </row>
    <row r="314" ht="63.75" customHeight="1">
      <c r="A314" s="874"/>
      <c r="B314" s="874"/>
      <c r="C314" s="874"/>
      <c r="D314" s="882"/>
      <c r="E314" s="874"/>
      <c r="F314" s="874"/>
      <c r="G314" s="864"/>
      <c r="H314" s="874"/>
      <c r="I314" s="874"/>
      <c r="J314" s="874"/>
      <c r="K314" s="874"/>
      <c r="L314" s="874"/>
      <c r="M314" s="874"/>
      <c r="N314" s="874"/>
      <c r="O314" s="874"/>
      <c r="P314" s="874"/>
      <c r="Q314" s="874"/>
      <c r="R314" s="874"/>
      <c r="S314" s="874"/>
      <c r="T314" s="874"/>
      <c r="U314" s="874"/>
      <c r="V314" s="874"/>
      <c r="W314" s="874"/>
      <c r="X314" s="874"/>
      <c r="Y314" s="874"/>
      <c r="Z314" s="874"/>
    </row>
    <row r="315" ht="63.75" customHeight="1">
      <c r="A315" s="874"/>
      <c r="B315" s="874"/>
      <c r="C315" s="874"/>
      <c r="D315" s="882"/>
      <c r="E315" s="874"/>
      <c r="F315" s="874"/>
      <c r="G315" s="864"/>
      <c r="H315" s="874"/>
      <c r="I315" s="874"/>
      <c r="J315" s="874"/>
      <c r="K315" s="874"/>
      <c r="L315" s="874"/>
      <c r="M315" s="874"/>
      <c r="N315" s="874"/>
      <c r="O315" s="874"/>
      <c r="P315" s="874"/>
      <c r="Q315" s="874"/>
      <c r="R315" s="874"/>
      <c r="S315" s="874"/>
      <c r="T315" s="874"/>
      <c r="U315" s="874"/>
      <c r="V315" s="874"/>
      <c r="W315" s="874"/>
      <c r="X315" s="874"/>
      <c r="Y315" s="874"/>
      <c r="Z315" s="874"/>
    </row>
    <row r="316" ht="63.75" customHeight="1">
      <c r="A316" s="874"/>
      <c r="B316" s="874"/>
      <c r="C316" s="874"/>
      <c r="D316" s="882"/>
      <c r="E316" s="874"/>
      <c r="F316" s="874"/>
      <c r="G316" s="864"/>
      <c r="H316" s="874"/>
      <c r="I316" s="874"/>
      <c r="J316" s="874"/>
      <c r="K316" s="874"/>
      <c r="L316" s="874"/>
      <c r="M316" s="874"/>
      <c r="N316" s="874"/>
      <c r="O316" s="874"/>
      <c r="P316" s="874"/>
      <c r="Q316" s="874"/>
      <c r="R316" s="874"/>
      <c r="S316" s="874"/>
      <c r="T316" s="874"/>
      <c r="U316" s="874"/>
      <c r="V316" s="874"/>
      <c r="W316" s="874"/>
      <c r="X316" s="874"/>
      <c r="Y316" s="874"/>
      <c r="Z316" s="874"/>
    </row>
    <row r="317" ht="63.75" customHeight="1">
      <c r="A317" s="874"/>
      <c r="B317" s="874"/>
      <c r="C317" s="874"/>
      <c r="D317" s="882"/>
      <c r="E317" s="874"/>
      <c r="F317" s="874"/>
      <c r="G317" s="864"/>
      <c r="H317" s="874"/>
      <c r="I317" s="874"/>
      <c r="J317" s="874"/>
      <c r="K317" s="874"/>
      <c r="L317" s="874"/>
      <c r="M317" s="874"/>
      <c r="N317" s="874"/>
      <c r="O317" s="874"/>
      <c r="P317" s="874"/>
      <c r="Q317" s="874"/>
      <c r="R317" s="874"/>
      <c r="S317" s="874"/>
      <c r="T317" s="874"/>
      <c r="U317" s="874"/>
      <c r="V317" s="874"/>
      <c r="W317" s="874"/>
      <c r="X317" s="874"/>
      <c r="Y317" s="874"/>
      <c r="Z317" s="874"/>
    </row>
    <row r="318" ht="63.75" customHeight="1">
      <c r="A318" s="874"/>
      <c r="B318" s="874"/>
      <c r="C318" s="874"/>
      <c r="D318" s="882"/>
      <c r="E318" s="874"/>
      <c r="F318" s="874"/>
      <c r="G318" s="864"/>
      <c r="H318" s="874"/>
      <c r="I318" s="874"/>
      <c r="J318" s="874"/>
      <c r="K318" s="874"/>
      <c r="L318" s="874"/>
      <c r="M318" s="874"/>
      <c r="N318" s="874"/>
      <c r="O318" s="874"/>
      <c r="P318" s="874"/>
      <c r="Q318" s="874"/>
      <c r="R318" s="874"/>
      <c r="S318" s="874"/>
      <c r="T318" s="874"/>
      <c r="U318" s="874"/>
      <c r="V318" s="874"/>
      <c r="W318" s="874"/>
      <c r="X318" s="874"/>
      <c r="Y318" s="874"/>
      <c r="Z318" s="874"/>
    </row>
    <row r="319" ht="63.75" customHeight="1">
      <c r="A319" s="874"/>
      <c r="B319" s="874"/>
      <c r="C319" s="874"/>
      <c r="D319" s="882"/>
      <c r="E319" s="874"/>
      <c r="F319" s="874"/>
      <c r="G319" s="864"/>
      <c r="H319" s="874"/>
      <c r="I319" s="874"/>
      <c r="J319" s="874"/>
      <c r="K319" s="874"/>
      <c r="L319" s="874"/>
      <c r="M319" s="874"/>
      <c r="N319" s="874"/>
      <c r="O319" s="874"/>
      <c r="P319" s="874"/>
      <c r="Q319" s="874"/>
      <c r="R319" s="874"/>
      <c r="S319" s="874"/>
      <c r="T319" s="874"/>
      <c r="U319" s="874"/>
      <c r="V319" s="874"/>
      <c r="W319" s="874"/>
      <c r="X319" s="874"/>
      <c r="Y319" s="874"/>
      <c r="Z319" s="874"/>
    </row>
    <row r="320" ht="63.75" customHeight="1">
      <c r="A320" s="874"/>
      <c r="B320" s="874"/>
      <c r="C320" s="874"/>
      <c r="D320" s="882"/>
      <c r="E320" s="874"/>
      <c r="F320" s="874"/>
      <c r="G320" s="864"/>
      <c r="H320" s="874"/>
      <c r="I320" s="874"/>
      <c r="J320" s="874"/>
      <c r="K320" s="874"/>
      <c r="L320" s="874"/>
      <c r="M320" s="874"/>
      <c r="N320" s="874"/>
      <c r="O320" s="874"/>
      <c r="P320" s="874"/>
      <c r="Q320" s="874"/>
      <c r="R320" s="874"/>
      <c r="S320" s="874"/>
      <c r="T320" s="874"/>
      <c r="U320" s="874"/>
      <c r="V320" s="874"/>
      <c r="W320" s="874"/>
      <c r="X320" s="874"/>
      <c r="Y320" s="874"/>
      <c r="Z320" s="874"/>
    </row>
    <row r="321" ht="63.75" customHeight="1">
      <c r="A321" s="874"/>
      <c r="B321" s="874"/>
      <c r="C321" s="874"/>
      <c r="D321" s="882"/>
      <c r="E321" s="874"/>
      <c r="F321" s="874"/>
      <c r="G321" s="864"/>
      <c r="H321" s="874"/>
      <c r="I321" s="874"/>
      <c r="J321" s="874"/>
      <c r="K321" s="874"/>
      <c r="L321" s="874"/>
      <c r="M321" s="874"/>
      <c r="N321" s="874"/>
      <c r="O321" s="874"/>
      <c r="P321" s="874"/>
      <c r="Q321" s="874"/>
      <c r="R321" s="874"/>
      <c r="S321" s="874"/>
      <c r="T321" s="874"/>
      <c r="U321" s="874"/>
      <c r="V321" s="874"/>
      <c r="W321" s="874"/>
      <c r="X321" s="874"/>
      <c r="Y321" s="874"/>
      <c r="Z321" s="874"/>
    </row>
    <row r="322" ht="63.75" customHeight="1">
      <c r="A322" s="874"/>
      <c r="B322" s="874"/>
      <c r="C322" s="874"/>
      <c r="D322" s="882"/>
      <c r="E322" s="874"/>
      <c r="F322" s="874"/>
      <c r="G322" s="864"/>
      <c r="H322" s="874"/>
      <c r="I322" s="874"/>
      <c r="J322" s="874"/>
      <c r="K322" s="874"/>
      <c r="L322" s="874"/>
      <c r="M322" s="874"/>
      <c r="N322" s="874"/>
      <c r="O322" s="874"/>
      <c r="P322" s="874"/>
      <c r="Q322" s="874"/>
      <c r="R322" s="874"/>
      <c r="S322" s="874"/>
      <c r="T322" s="874"/>
      <c r="U322" s="874"/>
      <c r="V322" s="874"/>
      <c r="W322" s="874"/>
      <c r="X322" s="874"/>
      <c r="Y322" s="874"/>
      <c r="Z322" s="874"/>
    </row>
    <row r="323" ht="63.75" customHeight="1">
      <c r="A323" s="874"/>
      <c r="B323" s="874"/>
      <c r="C323" s="874"/>
      <c r="D323" s="882"/>
      <c r="E323" s="874"/>
      <c r="F323" s="874"/>
      <c r="G323" s="864"/>
      <c r="H323" s="874"/>
      <c r="I323" s="874"/>
      <c r="J323" s="874"/>
      <c r="K323" s="874"/>
      <c r="L323" s="874"/>
      <c r="M323" s="874"/>
      <c r="N323" s="874"/>
      <c r="O323" s="874"/>
      <c r="P323" s="874"/>
      <c r="Q323" s="874"/>
      <c r="R323" s="874"/>
      <c r="S323" s="874"/>
      <c r="T323" s="874"/>
      <c r="U323" s="874"/>
      <c r="V323" s="874"/>
      <c r="W323" s="874"/>
      <c r="X323" s="874"/>
      <c r="Y323" s="874"/>
      <c r="Z323" s="874"/>
    </row>
    <row r="324" ht="63.75" customHeight="1">
      <c r="A324" s="874"/>
      <c r="B324" s="874"/>
      <c r="C324" s="874"/>
      <c r="D324" s="882"/>
      <c r="E324" s="874"/>
      <c r="F324" s="874"/>
      <c r="G324" s="864"/>
      <c r="H324" s="874"/>
      <c r="I324" s="874"/>
      <c r="J324" s="874"/>
      <c r="K324" s="874"/>
      <c r="L324" s="874"/>
      <c r="M324" s="874"/>
      <c r="N324" s="874"/>
      <c r="O324" s="874"/>
      <c r="P324" s="874"/>
      <c r="Q324" s="874"/>
      <c r="R324" s="874"/>
      <c r="S324" s="874"/>
      <c r="T324" s="874"/>
      <c r="U324" s="874"/>
      <c r="V324" s="874"/>
      <c r="W324" s="874"/>
      <c r="X324" s="874"/>
      <c r="Y324" s="874"/>
      <c r="Z324" s="874"/>
    </row>
    <row r="325" ht="63.75" customHeight="1">
      <c r="A325" s="874"/>
      <c r="B325" s="874"/>
      <c r="C325" s="874"/>
      <c r="D325" s="882"/>
      <c r="E325" s="874"/>
      <c r="F325" s="874"/>
      <c r="G325" s="864"/>
      <c r="H325" s="874"/>
      <c r="I325" s="874"/>
      <c r="J325" s="874"/>
      <c r="K325" s="874"/>
      <c r="L325" s="874"/>
      <c r="M325" s="874"/>
      <c r="N325" s="874"/>
      <c r="O325" s="874"/>
      <c r="P325" s="874"/>
      <c r="Q325" s="874"/>
      <c r="R325" s="874"/>
      <c r="S325" s="874"/>
      <c r="T325" s="874"/>
      <c r="U325" s="874"/>
      <c r="V325" s="874"/>
      <c r="W325" s="874"/>
      <c r="X325" s="874"/>
      <c r="Y325" s="874"/>
      <c r="Z325" s="874"/>
    </row>
    <row r="326" ht="63.75" customHeight="1">
      <c r="A326" s="874"/>
      <c r="B326" s="874"/>
      <c r="C326" s="874"/>
      <c r="D326" s="882"/>
      <c r="E326" s="874"/>
      <c r="F326" s="874"/>
      <c r="G326" s="864"/>
      <c r="H326" s="874"/>
      <c r="I326" s="874"/>
      <c r="J326" s="874"/>
      <c r="K326" s="874"/>
      <c r="L326" s="874"/>
      <c r="M326" s="874"/>
      <c r="N326" s="874"/>
      <c r="O326" s="874"/>
      <c r="P326" s="874"/>
      <c r="Q326" s="874"/>
      <c r="R326" s="874"/>
      <c r="S326" s="874"/>
      <c r="T326" s="874"/>
      <c r="U326" s="874"/>
      <c r="V326" s="874"/>
      <c r="W326" s="874"/>
      <c r="X326" s="874"/>
      <c r="Y326" s="874"/>
      <c r="Z326" s="874"/>
    </row>
    <row r="327" ht="63.75" customHeight="1">
      <c r="A327" s="874"/>
      <c r="B327" s="874"/>
      <c r="C327" s="874"/>
      <c r="D327" s="882"/>
      <c r="E327" s="874"/>
      <c r="F327" s="874"/>
      <c r="G327" s="864"/>
      <c r="H327" s="874"/>
      <c r="I327" s="874"/>
      <c r="J327" s="874"/>
      <c r="K327" s="874"/>
      <c r="L327" s="874"/>
      <c r="M327" s="874"/>
      <c r="N327" s="874"/>
      <c r="O327" s="874"/>
      <c r="P327" s="874"/>
      <c r="Q327" s="874"/>
      <c r="R327" s="874"/>
      <c r="S327" s="874"/>
      <c r="T327" s="874"/>
      <c r="U327" s="874"/>
      <c r="V327" s="874"/>
      <c r="W327" s="874"/>
      <c r="X327" s="874"/>
      <c r="Y327" s="874"/>
      <c r="Z327" s="874"/>
    </row>
    <row r="328" ht="63.75" customHeight="1">
      <c r="A328" s="874"/>
      <c r="B328" s="874"/>
      <c r="C328" s="874"/>
      <c r="D328" s="882"/>
      <c r="E328" s="874"/>
      <c r="F328" s="874"/>
      <c r="G328" s="864"/>
      <c r="H328" s="874"/>
      <c r="I328" s="874"/>
      <c r="J328" s="874"/>
      <c r="K328" s="874"/>
      <c r="L328" s="874"/>
      <c r="M328" s="874"/>
      <c r="N328" s="874"/>
      <c r="O328" s="874"/>
      <c r="P328" s="874"/>
      <c r="Q328" s="874"/>
      <c r="R328" s="874"/>
      <c r="S328" s="874"/>
      <c r="T328" s="874"/>
      <c r="U328" s="874"/>
      <c r="V328" s="874"/>
      <c r="W328" s="874"/>
      <c r="X328" s="874"/>
      <c r="Y328" s="874"/>
      <c r="Z328" s="874"/>
    </row>
    <row r="329" ht="63.75" customHeight="1">
      <c r="A329" s="874"/>
      <c r="B329" s="874"/>
      <c r="C329" s="874"/>
      <c r="D329" s="882"/>
      <c r="E329" s="874"/>
      <c r="F329" s="874"/>
      <c r="G329" s="864"/>
      <c r="H329" s="874"/>
      <c r="I329" s="874"/>
      <c r="J329" s="874"/>
      <c r="K329" s="874"/>
      <c r="L329" s="874"/>
      <c r="M329" s="874"/>
      <c r="N329" s="874"/>
      <c r="O329" s="874"/>
      <c r="P329" s="874"/>
      <c r="Q329" s="874"/>
      <c r="R329" s="874"/>
      <c r="S329" s="874"/>
      <c r="T329" s="874"/>
      <c r="U329" s="874"/>
      <c r="V329" s="874"/>
      <c r="W329" s="874"/>
      <c r="X329" s="874"/>
      <c r="Y329" s="874"/>
      <c r="Z329" s="874"/>
    </row>
    <row r="330" ht="63.75" customHeight="1">
      <c r="A330" s="874"/>
      <c r="B330" s="874"/>
      <c r="C330" s="874"/>
      <c r="D330" s="882"/>
      <c r="E330" s="874"/>
      <c r="F330" s="874"/>
      <c r="G330" s="864"/>
      <c r="H330" s="874"/>
      <c r="I330" s="874"/>
      <c r="J330" s="874"/>
      <c r="K330" s="874"/>
      <c r="L330" s="874"/>
      <c r="M330" s="874"/>
      <c r="N330" s="874"/>
      <c r="O330" s="874"/>
      <c r="P330" s="874"/>
      <c r="Q330" s="874"/>
      <c r="R330" s="874"/>
      <c r="S330" s="874"/>
      <c r="T330" s="874"/>
      <c r="U330" s="874"/>
      <c r="V330" s="874"/>
      <c r="W330" s="874"/>
      <c r="X330" s="874"/>
      <c r="Y330" s="874"/>
      <c r="Z330" s="874"/>
    </row>
    <row r="331" ht="63.75" customHeight="1">
      <c r="A331" s="874"/>
      <c r="B331" s="874"/>
      <c r="C331" s="874"/>
      <c r="D331" s="882"/>
      <c r="E331" s="874"/>
      <c r="F331" s="874"/>
      <c r="G331" s="864"/>
      <c r="H331" s="874"/>
      <c r="I331" s="874"/>
      <c r="J331" s="874"/>
      <c r="K331" s="874"/>
      <c r="L331" s="874"/>
      <c r="M331" s="874"/>
      <c r="N331" s="874"/>
      <c r="O331" s="874"/>
      <c r="P331" s="874"/>
      <c r="Q331" s="874"/>
      <c r="R331" s="874"/>
      <c r="S331" s="874"/>
      <c r="T331" s="874"/>
      <c r="U331" s="874"/>
      <c r="V331" s="874"/>
      <c r="W331" s="874"/>
      <c r="X331" s="874"/>
      <c r="Y331" s="874"/>
      <c r="Z331" s="874"/>
    </row>
    <row r="332" ht="63.75" customHeight="1">
      <c r="A332" s="874"/>
      <c r="B332" s="874"/>
      <c r="C332" s="874"/>
      <c r="D332" s="882"/>
      <c r="E332" s="874"/>
      <c r="F332" s="874"/>
      <c r="G332" s="864"/>
      <c r="H332" s="874"/>
      <c r="I332" s="874"/>
      <c r="J332" s="874"/>
      <c r="K332" s="874"/>
      <c r="L332" s="874"/>
      <c r="M332" s="874"/>
      <c r="N332" s="874"/>
      <c r="O332" s="874"/>
      <c r="P332" s="874"/>
      <c r="Q332" s="874"/>
      <c r="R332" s="874"/>
      <c r="S332" s="874"/>
      <c r="T332" s="874"/>
      <c r="U332" s="874"/>
      <c r="V332" s="874"/>
      <c r="W332" s="874"/>
      <c r="X332" s="874"/>
      <c r="Y332" s="874"/>
      <c r="Z332" s="874"/>
    </row>
    <row r="333" ht="63.75" customHeight="1">
      <c r="A333" s="874"/>
      <c r="B333" s="874"/>
      <c r="C333" s="874"/>
      <c r="D333" s="882"/>
      <c r="E333" s="874"/>
      <c r="F333" s="874"/>
      <c r="G333" s="864"/>
      <c r="H333" s="874"/>
      <c r="I333" s="874"/>
      <c r="J333" s="874"/>
      <c r="K333" s="874"/>
      <c r="L333" s="874"/>
      <c r="M333" s="874"/>
      <c r="N333" s="874"/>
      <c r="O333" s="874"/>
      <c r="P333" s="874"/>
      <c r="Q333" s="874"/>
      <c r="R333" s="874"/>
      <c r="S333" s="874"/>
      <c r="T333" s="874"/>
      <c r="U333" s="874"/>
      <c r="V333" s="874"/>
      <c r="W333" s="874"/>
      <c r="X333" s="874"/>
      <c r="Y333" s="874"/>
      <c r="Z333" s="874"/>
    </row>
    <row r="334" ht="63.75" customHeight="1">
      <c r="A334" s="874"/>
      <c r="B334" s="874"/>
      <c r="C334" s="874"/>
      <c r="D334" s="882"/>
      <c r="E334" s="874"/>
      <c r="F334" s="874"/>
      <c r="G334" s="864"/>
      <c r="H334" s="874"/>
      <c r="I334" s="874"/>
      <c r="J334" s="874"/>
      <c r="K334" s="874"/>
      <c r="L334" s="874"/>
      <c r="M334" s="874"/>
      <c r="N334" s="874"/>
      <c r="O334" s="874"/>
      <c r="P334" s="874"/>
      <c r="Q334" s="874"/>
      <c r="R334" s="874"/>
      <c r="S334" s="874"/>
      <c r="T334" s="874"/>
      <c r="U334" s="874"/>
      <c r="V334" s="874"/>
      <c r="W334" s="874"/>
      <c r="X334" s="874"/>
      <c r="Y334" s="874"/>
      <c r="Z334" s="874"/>
    </row>
    <row r="335" ht="63.75" customHeight="1">
      <c r="A335" s="874"/>
      <c r="B335" s="874"/>
      <c r="C335" s="874"/>
      <c r="D335" s="882"/>
      <c r="E335" s="874"/>
      <c r="F335" s="874"/>
      <c r="G335" s="864"/>
      <c r="H335" s="874"/>
      <c r="I335" s="874"/>
      <c r="J335" s="874"/>
      <c r="K335" s="874"/>
      <c r="L335" s="874"/>
      <c r="M335" s="874"/>
      <c r="N335" s="874"/>
      <c r="O335" s="874"/>
      <c r="P335" s="874"/>
      <c r="Q335" s="874"/>
      <c r="R335" s="874"/>
      <c r="S335" s="874"/>
      <c r="T335" s="874"/>
      <c r="U335" s="874"/>
      <c r="V335" s="874"/>
      <c r="W335" s="874"/>
      <c r="X335" s="874"/>
      <c r="Y335" s="874"/>
      <c r="Z335" s="874"/>
    </row>
    <row r="336" ht="63.75" customHeight="1">
      <c r="A336" s="874"/>
      <c r="B336" s="874"/>
      <c r="C336" s="874"/>
      <c r="D336" s="882"/>
      <c r="E336" s="874"/>
      <c r="F336" s="874"/>
      <c r="G336" s="864"/>
      <c r="H336" s="874"/>
      <c r="I336" s="874"/>
      <c r="J336" s="874"/>
      <c r="K336" s="874"/>
      <c r="L336" s="874"/>
      <c r="M336" s="874"/>
      <c r="N336" s="874"/>
      <c r="O336" s="874"/>
      <c r="P336" s="874"/>
      <c r="Q336" s="874"/>
      <c r="R336" s="874"/>
      <c r="S336" s="874"/>
      <c r="T336" s="874"/>
      <c r="U336" s="874"/>
      <c r="V336" s="874"/>
      <c r="W336" s="874"/>
      <c r="X336" s="874"/>
      <c r="Y336" s="874"/>
      <c r="Z336" s="874"/>
    </row>
    <row r="337" ht="63.75" customHeight="1">
      <c r="A337" s="874"/>
      <c r="B337" s="874"/>
      <c r="C337" s="874"/>
      <c r="D337" s="882"/>
      <c r="E337" s="874"/>
      <c r="F337" s="874"/>
      <c r="G337" s="864"/>
      <c r="H337" s="874"/>
      <c r="I337" s="874"/>
      <c r="J337" s="874"/>
      <c r="K337" s="874"/>
      <c r="L337" s="874"/>
      <c r="M337" s="874"/>
      <c r="N337" s="874"/>
      <c r="O337" s="874"/>
      <c r="P337" s="874"/>
      <c r="Q337" s="874"/>
      <c r="R337" s="874"/>
      <c r="S337" s="874"/>
      <c r="T337" s="874"/>
      <c r="U337" s="874"/>
      <c r="V337" s="874"/>
      <c r="W337" s="874"/>
      <c r="X337" s="874"/>
      <c r="Y337" s="874"/>
      <c r="Z337" s="874"/>
    </row>
    <row r="338" ht="63.75" customHeight="1">
      <c r="A338" s="874"/>
      <c r="B338" s="874"/>
      <c r="C338" s="874"/>
      <c r="D338" s="882"/>
      <c r="E338" s="874"/>
      <c r="F338" s="874"/>
      <c r="G338" s="864"/>
      <c r="H338" s="874"/>
      <c r="I338" s="874"/>
      <c r="J338" s="874"/>
      <c r="K338" s="874"/>
      <c r="L338" s="874"/>
      <c r="M338" s="874"/>
      <c r="N338" s="874"/>
      <c r="O338" s="874"/>
      <c r="P338" s="874"/>
      <c r="Q338" s="874"/>
      <c r="R338" s="874"/>
      <c r="S338" s="874"/>
      <c r="T338" s="874"/>
      <c r="U338" s="874"/>
      <c r="V338" s="874"/>
      <c r="W338" s="874"/>
      <c r="X338" s="874"/>
      <c r="Y338" s="874"/>
      <c r="Z338" s="874"/>
    </row>
    <row r="339" ht="63.75" customHeight="1">
      <c r="A339" s="874"/>
      <c r="B339" s="874"/>
      <c r="C339" s="874"/>
      <c r="D339" s="882"/>
      <c r="E339" s="874"/>
      <c r="F339" s="874"/>
      <c r="G339" s="864"/>
      <c r="H339" s="874"/>
      <c r="I339" s="874"/>
      <c r="J339" s="874"/>
      <c r="K339" s="874"/>
      <c r="L339" s="874"/>
      <c r="M339" s="874"/>
      <c r="N339" s="874"/>
      <c r="O339" s="874"/>
      <c r="P339" s="874"/>
      <c r="Q339" s="874"/>
      <c r="R339" s="874"/>
      <c r="S339" s="874"/>
      <c r="T339" s="874"/>
      <c r="U339" s="874"/>
      <c r="V339" s="874"/>
      <c r="W339" s="874"/>
      <c r="X339" s="874"/>
      <c r="Y339" s="874"/>
      <c r="Z339" s="874"/>
    </row>
    <row r="340" ht="63.75" customHeight="1">
      <c r="A340" s="874"/>
      <c r="B340" s="874"/>
      <c r="C340" s="874"/>
      <c r="D340" s="882"/>
      <c r="E340" s="874"/>
      <c r="F340" s="874"/>
      <c r="G340" s="864"/>
      <c r="H340" s="874"/>
      <c r="I340" s="874"/>
      <c r="J340" s="874"/>
      <c r="K340" s="874"/>
      <c r="L340" s="874"/>
      <c r="M340" s="874"/>
      <c r="N340" s="874"/>
      <c r="O340" s="874"/>
      <c r="P340" s="874"/>
      <c r="Q340" s="874"/>
      <c r="R340" s="874"/>
      <c r="S340" s="874"/>
      <c r="T340" s="874"/>
      <c r="U340" s="874"/>
      <c r="V340" s="874"/>
      <c r="W340" s="874"/>
      <c r="X340" s="874"/>
      <c r="Y340" s="874"/>
      <c r="Z340" s="874"/>
    </row>
    <row r="341" ht="63.75" customHeight="1">
      <c r="A341" s="874"/>
      <c r="B341" s="874"/>
      <c r="C341" s="874"/>
      <c r="D341" s="882"/>
      <c r="E341" s="874"/>
      <c r="F341" s="874"/>
      <c r="G341" s="864"/>
      <c r="H341" s="874"/>
      <c r="I341" s="874"/>
      <c r="J341" s="874"/>
      <c r="K341" s="874"/>
      <c r="L341" s="874"/>
      <c r="M341" s="874"/>
      <c r="N341" s="874"/>
      <c r="O341" s="874"/>
      <c r="P341" s="874"/>
      <c r="Q341" s="874"/>
      <c r="R341" s="874"/>
      <c r="S341" s="874"/>
      <c r="T341" s="874"/>
      <c r="U341" s="874"/>
      <c r="V341" s="874"/>
      <c r="W341" s="874"/>
      <c r="X341" s="874"/>
      <c r="Y341" s="874"/>
      <c r="Z341" s="874"/>
    </row>
    <row r="342" ht="63.75" customHeight="1">
      <c r="A342" s="874"/>
      <c r="B342" s="874"/>
      <c r="C342" s="874"/>
      <c r="D342" s="882"/>
      <c r="E342" s="874"/>
      <c r="F342" s="874"/>
      <c r="G342" s="864"/>
      <c r="H342" s="874"/>
      <c r="I342" s="874"/>
      <c r="J342" s="874"/>
      <c r="K342" s="874"/>
      <c r="L342" s="874"/>
      <c r="M342" s="874"/>
      <c r="N342" s="874"/>
      <c r="O342" s="874"/>
      <c r="P342" s="874"/>
      <c r="Q342" s="874"/>
      <c r="R342" s="874"/>
      <c r="S342" s="874"/>
      <c r="T342" s="874"/>
      <c r="U342" s="874"/>
      <c r="V342" s="874"/>
      <c r="W342" s="874"/>
      <c r="X342" s="874"/>
      <c r="Y342" s="874"/>
      <c r="Z342" s="874"/>
    </row>
    <row r="343" ht="63.75" customHeight="1">
      <c r="A343" s="874"/>
      <c r="B343" s="874"/>
      <c r="C343" s="874"/>
      <c r="D343" s="882"/>
      <c r="E343" s="874"/>
      <c r="F343" s="874"/>
      <c r="G343" s="864"/>
      <c r="H343" s="874"/>
      <c r="I343" s="874"/>
      <c r="J343" s="874"/>
      <c r="K343" s="874"/>
      <c r="L343" s="874"/>
      <c r="M343" s="874"/>
      <c r="N343" s="874"/>
      <c r="O343" s="874"/>
      <c r="P343" s="874"/>
      <c r="Q343" s="874"/>
      <c r="R343" s="874"/>
      <c r="S343" s="874"/>
      <c r="T343" s="874"/>
      <c r="U343" s="874"/>
      <c r="V343" s="874"/>
      <c r="W343" s="874"/>
      <c r="X343" s="874"/>
      <c r="Y343" s="874"/>
      <c r="Z343" s="874"/>
    </row>
    <row r="344" ht="63.75" customHeight="1">
      <c r="A344" s="874"/>
      <c r="B344" s="874"/>
      <c r="C344" s="874"/>
      <c r="D344" s="882"/>
      <c r="E344" s="874"/>
      <c r="F344" s="874"/>
      <c r="G344" s="864"/>
      <c r="H344" s="874"/>
      <c r="I344" s="874"/>
      <c r="J344" s="874"/>
      <c r="K344" s="874"/>
      <c r="L344" s="874"/>
      <c r="M344" s="874"/>
      <c r="N344" s="874"/>
      <c r="O344" s="874"/>
      <c r="P344" s="874"/>
      <c r="Q344" s="874"/>
      <c r="R344" s="874"/>
      <c r="S344" s="874"/>
      <c r="T344" s="874"/>
      <c r="U344" s="874"/>
      <c r="V344" s="874"/>
      <c r="W344" s="874"/>
      <c r="X344" s="874"/>
      <c r="Y344" s="874"/>
      <c r="Z344" s="874"/>
    </row>
    <row r="345" ht="63.75" customHeight="1">
      <c r="A345" s="874"/>
      <c r="B345" s="874"/>
      <c r="C345" s="874"/>
      <c r="D345" s="882"/>
      <c r="E345" s="874"/>
      <c r="F345" s="874"/>
      <c r="G345" s="864"/>
      <c r="H345" s="874"/>
      <c r="I345" s="874"/>
      <c r="J345" s="874"/>
      <c r="K345" s="874"/>
      <c r="L345" s="874"/>
      <c r="M345" s="874"/>
      <c r="N345" s="874"/>
      <c r="O345" s="874"/>
      <c r="P345" s="874"/>
      <c r="Q345" s="874"/>
      <c r="R345" s="874"/>
      <c r="S345" s="874"/>
      <c r="T345" s="874"/>
      <c r="U345" s="874"/>
      <c r="V345" s="874"/>
      <c r="W345" s="874"/>
      <c r="X345" s="874"/>
      <c r="Y345" s="874"/>
      <c r="Z345" s="874"/>
    </row>
    <row r="346" ht="63.75" customHeight="1">
      <c r="A346" s="874"/>
      <c r="B346" s="874"/>
      <c r="C346" s="874"/>
      <c r="D346" s="882"/>
      <c r="E346" s="874"/>
      <c r="F346" s="874"/>
      <c r="G346" s="864"/>
      <c r="H346" s="874"/>
      <c r="I346" s="874"/>
      <c r="J346" s="874"/>
      <c r="K346" s="874"/>
      <c r="L346" s="874"/>
      <c r="M346" s="874"/>
      <c r="N346" s="874"/>
      <c r="O346" s="874"/>
      <c r="P346" s="874"/>
      <c r="Q346" s="874"/>
      <c r="R346" s="874"/>
      <c r="S346" s="874"/>
      <c r="T346" s="874"/>
      <c r="U346" s="874"/>
      <c r="V346" s="874"/>
      <c r="W346" s="874"/>
      <c r="X346" s="874"/>
      <c r="Y346" s="874"/>
      <c r="Z346" s="874"/>
    </row>
    <row r="347" ht="63.75" customHeight="1">
      <c r="A347" s="874"/>
      <c r="B347" s="874"/>
      <c r="C347" s="874"/>
      <c r="D347" s="882"/>
      <c r="E347" s="874"/>
      <c r="F347" s="874"/>
      <c r="G347" s="864"/>
      <c r="H347" s="874"/>
      <c r="I347" s="874"/>
      <c r="J347" s="874"/>
      <c r="K347" s="874"/>
      <c r="L347" s="874"/>
      <c r="M347" s="874"/>
      <c r="N347" s="874"/>
      <c r="O347" s="874"/>
      <c r="P347" s="874"/>
      <c r="Q347" s="874"/>
      <c r="R347" s="874"/>
      <c r="S347" s="874"/>
      <c r="T347" s="874"/>
      <c r="U347" s="874"/>
      <c r="V347" s="874"/>
      <c r="W347" s="874"/>
      <c r="X347" s="874"/>
      <c r="Y347" s="874"/>
      <c r="Z347" s="874"/>
    </row>
    <row r="348" ht="63.75" customHeight="1">
      <c r="A348" s="874"/>
      <c r="B348" s="874"/>
      <c r="C348" s="874"/>
      <c r="D348" s="882"/>
      <c r="E348" s="874"/>
      <c r="F348" s="874"/>
      <c r="G348" s="864"/>
      <c r="H348" s="874"/>
      <c r="I348" s="874"/>
      <c r="J348" s="874"/>
      <c r="K348" s="874"/>
      <c r="L348" s="874"/>
      <c r="M348" s="874"/>
      <c r="N348" s="874"/>
      <c r="O348" s="874"/>
      <c r="P348" s="874"/>
      <c r="Q348" s="874"/>
      <c r="R348" s="874"/>
      <c r="S348" s="874"/>
      <c r="T348" s="874"/>
      <c r="U348" s="874"/>
      <c r="V348" s="874"/>
      <c r="W348" s="874"/>
      <c r="X348" s="874"/>
      <c r="Y348" s="874"/>
      <c r="Z348" s="874"/>
    </row>
    <row r="349" ht="63.75" customHeight="1">
      <c r="A349" s="874"/>
      <c r="B349" s="874"/>
      <c r="C349" s="874"/>
      <c r="D349" s="882"/>
      <c r="E349" s="874"/>
      <c r="F349" s="874"/>
      <c r="G349" s="864"/>
      <c r="H349" s="874"/>
      <c r="I349" s="874"/>
      <c r="J349" s="874"/>
      <c r="K349" s="874"/>
      <c r="L349" s="874"/>
      <c r="M349" s="874"/>
      <c r="N349" s="874"/>
      <c r="O349" s="874"/>
      <c r="P349" s="874"/>
      <c r="Q349" s="874"/>
      <c r="R349" s="874"/>
      <c r="S349" s="874"/>
      <c r="T349" s="874"/>
      <c r="U349" s="874"/>
      <c r="V349" s="874"/>
      <c r="W349" s="874"/>
      <c r="X349" s="874"/>
      <c r="Y349" s="874"/>
      <c r="Z349" s="874"/>
    </row>
    <row r="350" ht="63.75" customHeight="1">
      <c r="A350" s="874"/>
      <c r="B350" s="874"/>
      <c r="C350" s="874"/>
      <c r="D350" s="882"/>
      <c r="E350" s="874"/>
      <c r="F350" s="874"/>
      <c r="G350" s="864"/>
      <c r="H350" s="874"/>
      <c r="I350" s="874"/>
      <c r="J350" s="874"/>
      <c r="K350" s="874"/>
      <c r="L350" s="874"/>
      <c r="M350" s="874"/>
      <c r="N350" s="874"/>
      <c r="O350" s="874"/>
      <c r="P350" s="874"/>
      <c r="Q350" s="874"/>
      <c r="R350" s="874"/>
      <c r="S350" s="874"/>
      <c r="T350" s="874"/>
      <c r="U350" s="874"/>
      <c r="V350" s="874"/>
      <c r="W350" s="874"/>
      <c r="X350" s="874"/>
      <c r="Y350" s="874"/>
      <c r="Z350" s="874"/>
    </row>
    <row r="351" ht="63.75" customHeight="1">
      <c r="A351" s="874"/>
      <c r="B351" s="874"/>
      <c r="C351" s="874"/>
      <c r="D351" s="882"/>
      <c r="E351" s="874"/>
      <c r="F351" s="874"/>
      <c r="G351" s="864"/>
      <c r="H351" s="874"/>
      <c r="I351" s="874"/>
      <c r="J351" s="874"/>
      <c r="K351" s="874"/>
      <c r="L351" s="874"/>
      <c r="M351" s="874"/>
      <c r="N351" s="874"/>
      <c r="O351" s="874"/>
      <c r="P351" s="874"/>
      <c r="Q351" s="874"/>
      <c r="R351" s="874"/>
      <c r="S351" s="874"/>
      <c r="T351" s="874"/>
      <c r="U351" s="874"/>
      <c r="V351" s="874"/>
      <c r="W351" s="874"/>
      <c r="X351" s="874"/>
      <c r="Y351" s="874"/>
      <c r="Z351" s="874"/>
    </row>
    <row r="352" ht="63.75" customHeight="1">
      <c r="A352" s="874"/>
      <c r="B352" s="874"/>
      <c r="C352" s="874"/>
      <c r="D352" s="882"/>
      <c r="E352" s="874"/>
      <c r="F352" s="874"/>
      <c r="G352" s="864"/>
      <c r="H352" s="874"/>
      <c r="I352" s="874"/>
      <c r="J352" s="874"/>
      <c r="K352" s="874"/>
      <c r="L352" s="874"/>
      <c r="M352" s="874"/>
      <c r="N352" s="874"/>
      <c r="O352" s="874"/>
      <c r="P352" s="874"/>
      <c r="Q352" s="874"/>
      <c r="R352" s="874"/>
      <c r="S352" s="874"/>
      <c r="T352" s="874"/>
      <c r="U352" s="874"/>
      <c r="V352" s="874"/>
      <c r="W352" s="874"/>
      <c r="X352" s="874"/>
      <c r="Y352" s="874"/>
      <c r="Z352" s="874"/>
    </row>
    <row r="353" ht="63.75" customHeight="1">
      <c r="A353" s="874"/>
      <c r="B353" s="874"/>
      <c r="C353" s="874"/>
      <c r="D353" s="882"/>
      <c r="E353" s="874"/>
      <c r="F353" s="874"/>
      <c r="G353" s="864"/>
      <c r="H353" s="874"/>
      <c r="I353" s="874"/>
      <c r="J353" s="874"/>
      <c r="K353" s="874"/>
      <c r="L353" s="874"/>
      <c r="M353" s="874"/>
      <c r="N353" s="874"/>
      <c r="O353" s="874"/>
      <c r="P353" s="874"/>
      <c r="Q353" s="874"/>
      <c r="R353" s="874"/>
      <c r="S353" s="874"/>
      <c r="T353" s="874"/>
      <c r="U353" s="874"/>
      <c r="V353" s="874"/>
      <c r="W353" s="874"/>
      <c r="X353" s="874"/>
      <c r="Y353" s="874"/>
      <c r="Z353" s="874"/>
    </row>
    <row r="354" ht="63.75" customHeight="1">
      <c r="A354" s="874"/>
      <c r="B354" s="874"/>
      <c r="C354" s="874"/>
      <c r="D354" s="882"/>
      <c r="E354" s="874"/>
      <c r="F354" s="874"/>
      <c r="G354" s="864"/>
      <c r="H354" s="874"/>
      <c r="I354" s="874"/>
      <c r="J354" s="874"/>
      <c r="K354" s="874"/>
      <c r="L354" s="874"/>
      <c r="M354" s="874"/>
      <c r="N354" s="874"/>
      <c r="O354" s="874"/>
      <c r="P354" s="874"/>
      <c r="Q354" s="874"/>
      <c r="R354" s="874"/>
      <c r="S354" s="874"/>
      <c r="T354" s="874"/>
      <c r="U354" s="874"/>
      <c r="V354" s="874"/>
      <c r="W354" s="874"/>
      <c r="X354" s="874"/>
      <c r="Y354" s="874"/>
      <c r="Z354" s="874"/>
    </row>
    <row r="355" ht="63.75" customHeight="1">
      <c r="A355" s="874"/>
      <c r="B355" s="874"/>
      <c r="C355" s="874"/>
      <c r="D355" s="882"/>
      <c r="E355" s="874"/>
      <c r="F355" s="874"/>
      <c r="G355" s="864"/>
      <c r="H355" s="874"/>
      <c r="I355" s="874"/>
      <c r="J355" s="874"/>
      <c r="K355" s="874"/>
      <c r="L355" s="874"/>
      <c r="M355" s="874"/>
      <c r="N355" s="874"/>
      <c r="O355" s="874"/>
      <c r="P355" s="874"/>
      <c r="Q355" s="874"/>
      <c r="R355" s="874"/>
      <c r="S355" s="874"/>
      <c r="T355" s="874"/>
      <c r="U355" s="874"/>
      <c r="V355" s="874"/>
      <c r="W355" s="874"/>
      <c r="X355" s="874"/>
      <c r="Y355" s="874"/>
      <c r="Z355" s="874"/>
    </row>
    <row r="356" ht="63.75" customHeight="1">
      <c r="A356" s="874"/>
      <c r="B356" s="874"/>
      <c r="C356" s="874"/>
      <c r="D356" s="882"/>
      <c r="E356" s="874"/>
      <c r="F356" s="874"/>
      <c r="G356" s="864"/>
      <c r="H356" s="874"/>
      <c r="I356" s="874"/>
      <c r="J356" s="874"/>
      <c r="K356" s="874"/>
      <c r="L356" s="874"/>
      <c r="M356" s="874"/>
      <c r="N356" s="874"/>
      <c r="O356" s="874"/>
      <c r="P356" s="874"/>
      <c r="Q356" s="874"/>
      <c r="R356" s="874"/>
      <c r="S356" s="874"/>
      <c r="T356" s="874"/>
      <c r="U356" s="874"/>
      <c r="V356" s="874"/>
      <c r="W356" s="874"/>
      <c r="X356" s="874"/>
      <c r="Y356" s="874"/>
      <c r="Z356" s="874"/>
    </row>
    <row r="357" ht="63.75" customHeight="1">
      <c r="A357" s="874"/>
      <c r="B357" s="874"/>
      <c r="C357" s="874"/>
      <c r="D357" s="882"/>
      <c r="E357" s="874"/>
      <c r="F357" s="874"/>
      <c r="G357" s="864"/>
      <c r="H357" s="874"/>
      <c r="I357" s="874"/>
      <c r="J357" s="874"/>
      <c r="K357" s="874"/>
      <c r="L357" s="874"/>
      <c r="M357" s="874"/>
      <c r="N357" s="874"/>
      <c r="O357" s="874"/>
      <c r="P357" s="874"/>
      <c r="Q357" s="874"/>
      <c r="R357" s="874"/>
      <c r="S357" s="874"/>
      <c r="T357" s="874"/>
      <c r="U357" s="874"/>
      <c r="V357" s="874"/>
      <c r="W357" s="874"/>
      <c r="X357" s="874"/>
      <c r="Y357" s="874"/>
      <c r="Z357" s="874"/>
    </row>
    <row r="358" ht="63.75" customHeight="1">
      <c r="A358" s="874"/>
      <c r="B358" s="874"/>
      <c r="C358" s="874"/>
      <c r="D358" s="882"/>
      <c r="E358" s="874"/>
      <c r="F358" s="874"/>
      <c r="G358" s="864"/>
      <c r="H358" s="874"/>
      <c r="I358" s="874"/>
      <c r="J358" s="874"/>
      <c r="K358" s="874"/>
      <c r="L358" s="874"/>
      <c r="M358" s="874"/>
      <c r="N358" s="874"/>
      <c r="O358" s="874"/>
      <c r="P358" s="874"/>
      <c r="Q358" s="874"/>
      <c r="R358" s="874"/>
      <c r="S358" s="874"/>
      <c r="T358" s="874"/>
      <c r="U358" s="874"/>
      <c r="V358" s="874"/>
      <c r="W358" s="874"/>
      <c r="X358" s="874"/>
      <c r="Y358" s="874"/>
      <c r="Z358" s="874"/>
    </row>
    <row r="359" ht="63.75" customHeight="1">
      <c r="A359" s="874"/>
      <c r="B359" s="874"/>
      <c r="C359" s="874"/>
      <c r="D359" s="882"/>
      <c r="E359" s="874"/>
      <c r="F359" s="874"/>
      <c r="G359" s="864"/>
      <c r="H359" s="874"/>
      <c r="I359" s="874"/>
      <c r="J359" s="874"/>
      <c r="K359" s="874"/>
      <c r="L359" s="874"/>
      <c r="M359" s="874"/>
      <c r="N359" s="874"/>
      <c r="O359" s="874"/>
      <c r="P359" s="874"/>
      <c r="Q359" s="874"/>
      <c r="R359" s="874"/>
      <c r="S359" s="874"/>
      <c r="T359" s="874"/>
      <c r="U359" s="874"/>
      <c r="V359" s="874"/>
      <c r="W359" s="874"/>
      <c r="X359" s="874"/>
      <c r="Y359" s="874"/>
      <c r="Z359" s="874"/>
    </row>
    <row r="360" ht="63.75" customHeight="1">
      <c r="A360" s="874"/>
      <c r="B360" s="874"/>
      <c r="C360" s="874"/>
      <c r="D360" s="882"/>
      <c r="E360" s="874"/>
      <c r="F360" s="874"/>
      <c r="G360" s="864"/>
      <c r="H360" s="874"/>
      <c r="I360" s="874"/>
      <c r="J360" s="874"/>
      <c r="K360" s="874"/>
      <c r="L360" s="874"/>
      <c r="M360" s="874"/>
      <c r="N360" s="874"/>
      <c r="O360" s="874"/>
      <c r="P360" s="874"/>
      <c r="Q360" s="874"/>
      <c r="R360" s="874"/>
      <c r="S360" s="874"/>
      <c r="T360" s="874"/>
      <c r="U360" s="874"/>
      <c r="V360" s="874"/>
      <c r="W360" s="874"/>
      <c r="X360" s="874"/>
      <c r="Y360" s="874"/>
      <c r="Z360" s="874"/>
    </row>
    <row r="361" ht="63.75" customHeight="1">
      <c r="A361" s="874"/>
      <c r="B361" s="874"/>
      <c r="C361" s="874"/>
      <c r="D361" s="882"/>
      <c r="E361" s="874"/>
      <c r="F361" s="874"/>
      <c r="G361" s="864"/>
      <c r="H361" s="874"/>
      <c r="I361" s="874"/>
      <c r="J361" s="874"/>
      <c r="K361" s="874"/>
      <c r="L361" s="874"/>
      <c r="M361" s="874"/>
      <c r="N361" s="874"/>
      <c r="O361" s="874"/>
      <c r="P361" s="874"/>
      <c r="Q361" s="874"/>
      <c r="R361" s="874"/>
      <c r="S361" s="874"/>
      <c r="T361" s="874"/>
      <c r="U361" s="874"/>
      <c r="V361" s="874"/>
      <c r="W361" s="874"/>
      <c r="X361" s="874"/>
      <c r="Y361" s="874"/>
      <c r="Z361" s="874"/>
    </row>
    <row r="362" ht="63.75" customHeight="1">
      <c r="A362" s="874"/>
      <c r="B362" s="874"/>
      <c r="C362" s="874"/>
      <c r="D362" s="882"/>
      <c r="E362" s="874"/>
      <c r="F362" s="874"/>
      <c r="G362" s="864"/>
      <c r="H362" s="874"/>
      <c r="I362" s="874"/>
      <c r="J362" s="874"/>
      <c r="K362" s="874"/>
      <c r="L362" s="874"/>
      <c r="M362" s="874"/>
      <c r="N362" s="874"/>
      <c r="O362" s="874"/>
      <c r="P362" s="874"/>
      <c r="Q362" s="874"/>
      <c r="R362" s="874"/>
      <c r="S362" s="874"/>
      <c r="T362" s="874"/>
      <c r="U362" s="874"/>
      <c r="V362" s="874"/>
      <c r="W362" s="874"/>
      <c r="X362" s="874"/>
      <c r="Y362" s="874"/>
      <c r="Z362" s="874"/>
    </row>
    <row r="363" ht="63.75" customHeight="1">
      <c r="A363" s="874"/>
      <c r="B363" s="874"/>
      <c r="C363" s="874"/>
      <c r="D363" s="882"/>
      <c r="E363" s="874"/>
      <c r="F363" s="874"/>
      <c r="G363" s="864"/>
      <c r="H363" s="874"/>
      <c r="I363" s="874"/>
      <c r="J363" s="874"/>
      <c r="K363" s="874"/>
      <c r="L363" s="874"/>
      <c r="M363" s="874"/>
      <c r="N363" s="874"/>
      <c r="O363" s="874"/>
      <c r="P363" s="874"/>
      <c r="Q363" s="874"/>
      <c r="R363" s="874"/>
      <c r="S363" s="874"/>
      <c r="T363" s="874"/>
      <c r="U363" s="874"/>
      <c r="V363" s="874"/>
      <c r="W363" s="874"/>
      <c r="X363" s="874"/>
      <c r="Y363" s="874"/>
      <c r="Z363" s="874"/>
    </row>
    <row r="364" ht="63.75" customHeight="1">
      <c r="A364" s="874"/>
      <c r="B364" s="874"/>
      <c r="C364" s="874"/>
      <c r="D364" s="882"/>
      <c r="E364" s="874"/>
      <c r="F364" s="874"/>
      <c r="G364" s="864"/>
      <c r="H364" s="874"/>
      <c r="I364" s="874"/>
      <c r="J364" s="874"/>
      <c r="K364" s="874"/>
      <c r="L364" s="874"/>
      <c r="M364" s="874"/>
      <c r="N364" s="874"/>
      <c r="O364" s="874"/>
      <c r="P364" s="874"/>
      <c r="Q364" s="874"/>
      <c r="R364" s="874"/>
      <c r="S364" s="874"/>
      <c r="T364" s="874"/>
      <c r="U364" s="874"/>
      <c r="V364" s="874"/>
      <c r="W364" s="874"/>
      <c r="X364" s="874"/>
      <c r="Y364" s="874"/>
      <c r="Z364" s="874"/>
    </row>
    <row r="365" ht="63.75" customHeight="1">
      <c r="A365" s="874"/>
      <c r="B365" s="874"/>
      <c r="C365" s="874"/>
      <c r="D365" s="882"/>
      <c r="E365" s="874"/>
      <c r="F365" s="874"/>
      <c r="G365" s="864"/>
      <c r="H365" s="874"/>
      <c r="I365" s="874"/>
      <c r="J365" s="874"/>
      <c r="K365" s="874"/>
      <c r="L365" s="874"/>
      <c r="M365" s="874"/>
      <c r="N365" s="874"/>
      <c r="O365" s="874"/>
      <c r="P365" s="874"/>
      <c r="Q365" s="874"/>
      <c r="R365" s="874"/>
      <c r="S365" s="874"/>
      <c r="T365" s="874"/>
      <c r="U365" s="874"/>
      <c r="V365" s="874"/>
      <c r="W365" s="874"/>
      <c r="X365" s="874"/>
      <c r="Y365" s="874"/>
      <c r="Z365" s="874"/>
    </row>
    <row r="366" ht="63.75" customHeight="1">
      <c r="A366" s="874"/>
      <c r="B366" s="874"/>
      <c r="C366" s="874"/>
      <c r="D366" s="882"/>
      <c r="E366" s="874"/>
      <c r="F366" s="874"/>
      <c r="G366" s="864"/>
      <c r="H366" s="874"/>
      <c r="I366" s="874"/>
      <c r="J366" s="874"/>
      <c r="K366" s="874"/>
      <c r="L366" s="874"/>
      <c r="M366" s="874"/>
      <c r="N366" s="874"/>
      <c r="O366" s="874"/>
      <c r="P366" s="874"/>
      <c r="Q366" s="874"/>
      <c r="R366" s="874"/>
      <c r="S366" s="874"/>
      <c r="T366" s="874"/>
      <c r="U366" s="874"/>
      <c r="V366" s="874"/>
      <c r="W366" s="874"/>
      <c r="X366" s="874"/>
      <c r="Y366" s="874"/>
      <c r="Z366" s="874"/>
    </row>
    <row r="367" ht="63.75" customHeight="1">
      <c r="A367" s="874"/>
      <c r="B367" s="874"/>
      <c r="C367" s="874"/>
      <c r="D367" s="882"/>
      <c r="E367" s="874"/>
      <c r="F367" s="874"/>
      <c r="G367" s="864"/>
      <c r="H367" s="874"/>
      <c r="I367" s="874"/>
      <c r="J367" s="874"/>
      <c r="K367" s="874"/>
      <c r="L367" s="874"/>
      <c r="M367" s="874"/>
      <c r="N367" s="874"/>
      <c r="O367" s="874"/>
      <c r="P367" s="874"/>
      <c r="Q367" s="874"/>
      <c r="R367" s="874"/>
      <c r="S367" s="874"/>
      <c r="T367" s="874"/>
      <c r="U367" s="874"/>
      <c r="V367" s="874"/>
      <c r="W367" s="874"/>
      <c r="X367" s="874"/>
      <c r="Y367" s="874"/>
      <c r="Z367" s="874"/>
    </row>
    <row r="368" ht="63.75" customHeight="1">
      <c r="A368" s="874"/>
      <c r="B368" s="874"/>
      <c r="C368" s="874"/>
      <c r="D368" s="882"/>
      <c r="E368" s="874"/>
      <c r="F368" s="874"/>
      <c r="G368" s="864"/>
      <c r="H368" s="874"/>
      <c r="I368" s="874"/>
      <c r="J368" s="874"/>
      <c r="K368" s="874"/>
      <c r="L368" s="874"/>
      <c r="M368" s="874"/>
      <c r="N368" s="874"/>
      <c r="O368" s="874"/>
      <c r="P368" s="874"/>
      <c r="Q368" s="874"/>
      <c r="R368" s="874"/>
      <c r="S368" s="874"/>
      <c r="T368" s="874"/>
      <c r="U368" s="874"/>
      <c r="V368" s="874"/>
      <c r="W368" s="874"/>
      <c r="X368" s="874"/>
      <c r="Y368" s="874"/>
      <c r="Z368" s="874"/>
    </row>
    <row r="369" ht="63.75" customHeight="1">
      <c r="A369" s="874"/>
      <c r="B369" s="874"/>
      <c r="C369" s="874"/>
      <c r="D369" s="882"/>
      <c r="E369" s="874"/>
      <c r="F369" s="874"/>
      <c r="G369" s="864"/>
      <c r="H369" s="874"/>
      <c r="I369" s="874"/>
      <c r="J369" s="874"/>
      <c r="K369" s="874"/>
      <c r="L369" s="874"/>
      <c r="M369" s="874"/>
      <c r="N369" s="874"/>
      <c r="O369" s="874"/>
      <c r="P369" s="874"/>
      <c r="Q369" s="874"/>
      <c r="R369" s="874"/>
      <c r="S369" s="874"/>
      <c r="T369" s="874"/>
      <c r="U369" s="874"/>
      <c r="V369" s="874"/>
      <c r="W369" s="874"/>
      <c r="X369" s="874"/>
      <c r="Y369" s="874"/>
      <c r="Z369" s="874"/>
    </row>
    <row r="370" ht="63.75" customHeight="1">
      <c r="A370" s="874"/>
      <c r="B370" s="874"/>
      <c r="C370" s="874"/>
      <c r="D370" s="882"/>
      <c r="E370" s="874"/>
      <c r="F370" s="874"/>
      <c r="G370" s="864"/>
      <c r="H370" s="874"/>
      <c r="I370" s="874"/>
      <c r="J370" s="874"/>
      <c r="K370" s="874"/>
      <c r="L370" s="874"/>
      <c r="M370" s="874"/>
      <c r="N370" s="874"/>
      <c r="O370" s="874"/>
      <c r="P370" s="874"/>
      <c r="Q370" s="874"/>
      <c r="R370" s="874"/>
      <c r="S370" s="874"/>
      <c r="T370" s="874"/>
      <c r="U370" s="874"/>
      <c r="V370" s="874"/>
      <c r="W370" s="874"/>
      <c r="X370" s="874"/>
      <c r="Y370" s="874"/>
      <c r="Z370" s="874"/>
    </row>
    <row r="371" ht="63.75" customHeight="1">
      <c r="A371" s="874"/>
      <c r="B371" s="874"/>
      <c r="C371" s="874"/>
      <c r="D371" s="882"/>
      <c r="E371" s="874"/>
      <c r="F371" s="874"/>
      <c r="G371" s="864"/>
      <c r="H371" s="874"/>
      <c r="I371" s="874"/>
      <c r="J371" s="874"/>
      <c r="K371" s="874"/>
      <c r="L371" s="874"/>
      <c r="M371" s="874"/>
      <c r="N371" s="874"/>
      <c r="O371" s="874"/>
      <c r="P371" s="874"/>
      <c r="Q371" s="874"/>
      <c r="R371" s="874"/>
      <c r="S371" s="874"/>
      <c r="T371" s="874"/>
      <c r="U371" s="874"/>
      <c r="V371" s="874"/>
      <c r="W371" s="874"/>
      <c r="X371" s="874"/>
      <c r="Y371" s="874"/>
      <c r="Z371" s="874"/>
    </row>
    <row r="372" ht="63.75" customHeight="1">
      <c r="A372" s="874"/>
      <c r="B372" s="874"/>
      <c r="C372" s="874"/>
      <c r="D372" s="882"/>
      <c r="E372" s="874"/>
      <c r="F372" s="874"/>
      <c r="G372" s="864"/>
      <c r="H372" s="874"/>
      <c r="I372" s="874"/>
      <c r="J372" s="874"/>
      <c r="K372" s="874"/>
      <c r="L372" s="874"/>
      <c r="M372" s="874"/>
      <c r="N372" s="874"/>
      <c r="O372" s="874"/>
      <c r="P372" s="874"/>
      <c r="Q372" s="874"/>
      <c r="R372" s="874"/>
      <c r="S372" s="874"/>
      <c r="T372" s="874"/>
      <c r="U372" s="874"/>
      <c r="V372" s="874"/>
      <c r="W372" s="874"/>
      <c r="X372" s="874"/>
      <c r="Y372" s="874"/>
      <c r="Z372" s="874"/>
    </row>
    <row r="373" ht="63.75" customHeight="1">
      <c r="A373" s="874"/>
      <c r="B373" s="874"/>
      <c r="C373" s="874"/>
      <c r="D373" s="882"/>
      <c r="E373" s="874"/>
      <c r="F373" s="874"/>
      <c r="G373" s="864"/>
      <c r="H373" s="874"/>
      <c r="I373" s="874"/>
      <c r="J373" s="874"/>
      <c r="K373" s="874"/>
      <c r="L373" s="874"/>
      <c r="M373" s="874"/>
      <c r="N373" s="874"/>
      <c r="O373" s="874"/>
      <c r="P373" s="874"/>
      <c r="Q373" s="874"/>
      <c r="R373" s="874"/>
      <c r="S373" s="874"/>
      <c r="T373" s="874"/>
      <c r="U373" s="874"/>
      <c r="V373" s="874"/>
      <c r="W373" s="874"/>
      <c r="X373" s="874"/>
      <c r="Y373" s="874"/>
      <c r="Z373" s="874"/>
    </row>
    <row r="374" ht="63.75" customHeight="1">
      <c r="A374" s="874"/>
      <c r="B374" s="874"/>
      <c r="C374" s="874"/>
      <c r="D374" s="882"/>
      <c r="E374" s="874"/>
      <c r="F374" s="874"/>
      <c r="G374" s="864"/>
      <c r="H374" s="874"/>
      <c r="I374" s="874"/>
      <c r="J374" s="874"/>
      <c r="K374" s="874"/>
      <c r="L374" s="874"/>
      <c r="M374" s="874"/>
      <c r="N374" s="874"/>
      <c r="O374" s="874"/>
      <c r="P374" s="874"/>
      <c r="Q374" s="874"/>
      <c r="R374" s="874"/>
      <c r="S374" s="874"/>
      <c r="T374" s="874"/>
      <c r="U374" s="874"/>
      <c r="V374" s="874"/>
      <c r="W374" s="874"/>
      <c r="X374" s="874"/>
      <c r="Y374" s="874"/>
      <c r="Z374" s="874"/>
    </row>
    <row r="375" ht="63.75" customHeight="1">
      <c r="A375" s="874"/>
      <c r="B375" s="874"/>
      <c r="C375" s="874"/>
      <c r="D375" s="882"/>
      <c r="E375" s="874"/>
      <c r="F375" s="874"/>
      <c r="G375" s="864"/>
      <c r="H375" s="874"/>
      <c r="I375" s="874"/>
      <c r="J375" s="874"/>
      <c r="K375" s="874"/>
      <c r="L375" s="874"/>
      <c r="M375" s="874"/>
      <c r="N375" s="874"/>
      <c r="O375" s="874"/>
      <c r="P375" s="874"/>
      <c r="Q375" s="874"/>
      <c r="R375" s="874"/>
      <c r="S375" s="874"/>
      <c r="T375" s="874"/>
      <c r="U375" s="874"/>
      <c r="V375" s="874"/>
      <c r="W375" s="874"/>
      <c r="X375" s="874"/>
      <c r="Y375" s="874"/>
      <c r="Z375" s="874"/>
    </row>
    <row r="376" ht="63.75" customHeight="1">
      <c r="A376" s="874"/>
      <c r="B376" s="874"/>
      <c r="C376" s="874"/>
      <c r="D376" s="882"/>
      <c r="E376" s="874"/>
      <c r="F376" s="874"/>
      <c r="G376" s="864"/>
      <c r="H376" s="874"/>
      <c r="I376" s="874"/>
      <c r="J376" s="874"/>
      <c r="K376" s="874"/>
      <c r="L376" s="874"/>
      <c r="M376" s="874"/>
      <c r="N376" s="874"/>
      <c r="O376" s="874"/>
      <c r="P376" s="874"/>
      <c r="Q376" s="874"/>
      <c r="R376" s="874"/>
      <c r="S376" s="874"/>
      <c r="T376" s="874"/>
      <c r="U376" s="874"/>
      <c r="V376" s="874"/>
      <c r="W376" s="874"/>
      <c r="X376" s="874"/>
      <c r="Y376" s="874"/>
      <c r="Z376" s="874"/>
    </row>
    <row r="377" ht="63.75" customHeight="1">
      <c r="A377" s="874"/>
      <c r="B377" s="874"/>
      <c r="C377" s="874"/>
      <c r="D377" s="882"/>
      <c r="E377" s="874"/>
      <c r="F377" s="874"/>
      <c r="G377" s="864"/>
      <c r="H377" s="874"/>
      <c r="I377" s="874"/>
      <c r="J377" s="874"/>
      <c r="K377" s="874"/>
      <c r="L377" s="874"/>
      <c r="M377" s="874"/>
      <c r="N377" s="874"/>
      <c r="O377" s="874"/>
      <c r="P377" s="874"/>
      <c r="Q377" s="874"/>
      <c r="R377" s="874"/>
      <c r="S377" s="874"/>
      <c r="T377" s="874"/>
      <c r="U377" s="874"/>
      <c r="V377" s="874"/>
      <c r="W377" s="874"/>
      <c r="X377" s="874"/>
      <c r="Y377" s="874"/>
      <c r="Z377" s="874"/>
    </row>
    <row r="378" ht="63.75" customHeight="1">
      <c r="A378" s="874"/>
      <c r="B378" s="874"/>
      <c r="C378" s="874"/>
      <c r="D378" s="882"/>
      <c r="E378" s="874"/>
      <c r="F378" s="874"/>
      <c r="G378" s="864"/>
      <c r="H378" s="874"/>
      <c r="I378" s="874"/>
      <c r="J378" s="874"/>
      <c r="K378" s="874"/>
      <c r="L378" s="874"/>
      <c r="M378" s="874"/>
      <c r="N378" s="874"/>
      <c r="O378" s="874"/>
      <c r="P378" s="874"/>
      <c r="Q378" s="874"/>
      <c r="R378" s="874"/>
      <c r="S378" s="874"/>
      <c r="T378" s="874"/>
      <c r="U378" s="874"/>
      <c r="V378" s="874"/>
      <c r="W378" s="874"/>
      <c r="X378" s="874"/>
      <c r="Y378" s="874"/>
      <c r="Z378" s="874"/>
    </row>
    <row r="379" ht="63.75" customHeight="1">
      <c r="A379" s="874"/>
      <c r="B379" s="874"/>
      <c r="C379" s="874"/>
      <c r="D379" s="882"/>
      <c r="E379" s="874"/>
      <c r="F379" s="874"/>
      <c r="G379" s="864"/>
      <c r="H379" s="874"/>
      <c r="I379" s="874"/>
      <c r="J379" s="874"/>
      <c r="K379" s="874"/>
      <c r="L379" s="874"/>
      <c r="M379" s="874"/>
      <c r="N379" s="874"/>
      <c r="O379" s="874"/>
      <c r="P379" s="874"/>
      <c r="Q379" s="874"/>
      <c r="R379" s="874"/>
      <c r="S379" s="874"/>
      <c r="T379" s="874"/>
      <c r="U379" s="874"/>
      <c r="V379" s="874"/>
      <c r="W379" s="874"/>
      <c r="X379" s="874"/>
      <c r="Y379" s="874"/>
      <c r="Z379" s="874"/>
    </row>
    <row r="380" ht="63.75" customHeight="1">
      <c r="A380" s="874"/>
      <c r="B380" s="874"/>
      <c r="C380" s="874"/>
      <c r="D380" s="882"/>
      <c r="E380" s="874"/>
      <c r="F380" s="874"/>
      <c r="G380" s="864"/>
      <c r="H380" s="874"/>
      <c r="I380" s="874"/>
      <c r="J380" s="874"/>
      <c r="K380" s="874"/>
      <c r="L380" s="874"/>
      <c r="M380" s="874"/>
      <c r="N380" s="874"/>
      <c r="O380" s="874"/>
      <c r="P380" s="874"/>
      <c r="Q380" s="874"/>
      <c r="R380" s="874"/>
      <c r="S380" s="874"/>
      <c r="T380" s="874"/>
      <c r="U380" s="874"/>
      <c r="V380" s="874"/>
      <c r="W380" s="874"/>
      <c r="X380" s="874"/>
      <c r="Y380" s="874"/>
      <c r="Z380" s="874"/>
    </row>
    <row r="381" ht="63.75" customHeight="1">
      <c r="A381" s="874"/>
      <c r="B381" s="874"/>
      <c r="C381" s="874"/>
      <c r="D381" s="882"/>
      <c r="E381" s="874"/>
      <c r="F381" s="874"/>
      <c r="G381" s="864"/>
      <c r="H381" s="874"/>
      <c r="I381" s="874"/>
      <c r="J381" s="874"/>
      <c r="K381" s="874"/>
      <c r="L381" s="874"/>
      <c r="M381" s="874"/>
      <c r="N381" s="874"/>
      <c r="O381" s="874"/>
      <c r="P381" s="874"/>
      <c r="Q381" s="874"/>
      <c r="R381" s="874"/>
      <c r="S381" s="874"/>
      <c r="T381" s="874"/>
      <c r="U381" s="874"/>
      <c r="V381" s="874"/>
      <c r="W381" s="874"/>
      <c r="X381" s="874"/>
      <c r="Y381" s="874"/>
      <c r="Z381" s="874"/>
    </row>
    <row r="382" ht="63.75" customHeight="1">
      <c r="A382" s="874"/>
      <c r="B382" s="874"/>
      <c r="C382" s="874"/>
      <c r="D382" s="882"/>
      <c r="E382" s="874"/>
      <c r="F382" s="874"/>
      <c r="G382" s="864"/>
      <c r="H382" s="874"/>
      <c r="I382" s="874"/>
      <c r="J382" s="874"/>
      <c r="K382" s="874"/>
      <c r="L382" s="874"/>
      <c r="M382" s="874"/>
      <c r="N382" s="874"/>
      <c r="O382" s="874"/>
      <c r="P382" s="874"/>
      <c r="Q382" s="874"/>
      <c r="R382" s="874"/>
      <c r="S382" s="874"/>
      <c r="T382" s="874"/>
      <c r="U382" s="874"/>
      <c r="V382" s="874"/>
      <c r="W382" s="874"/>
      <c r="X382" s="874"/>
      <c r="Y382" s="874"/>
      <c r="Z382" s="874"/>
    </row>
    <row r="383" ht="63.75" customHeight="1">
      <c r="A383" s="874"/>
      <c r="B383" s="874"/>
      <c r="C383" s="874"/>
      <c r="D383" s="882"/>
      <c r="E383" s="874"/>
      <c r="F383" s="874"/>
      <c r="G383" s="864"/>
      <c r="H383" s="874"/>
      <c r="I383" s="874"/>
      <c r="J383" s="874"/>
      <c r="K383" s="874"/>
      <c r="L383" s="874"/>
      <c r="M383" s="874"/>
      <c r="N383" s="874"/>
      <c r="O383" s="874"/>
      <c r="P383" s="874"/>
      <c r="Q383" s="874"/>
      <c r="R383" s="874"/>
      <c r="S383" s="874"/>
      <c r="T383" s="874"/>
      <c r="U383" s="874"/>
      <c r="V383" s="874"/>
      <c r="W383" s="874"/>
      <c r="X383" s="874"/>
      <c r="Y383" s="874"/>
      <c r="Z383" s="874"/>
    </row>
    <row r="384" ht="63.75" customHeight="1">
      <c r="A384" s="874"/>
      <c r="B384" s="874"/>
      <c r="C384" s="874"/>
      <c r="D384" s="882"/>
      <c r="E384" s="874"/>
      <c r="F384" s="874"/>
      <c r="G384" s="864"/>
      <c r="H384" s="874"/>
      <c r="I384" s="874"/>
      <c r="J384" s="874"/>
      <c r="K384" s="874"/>
      <c r="L384" s="874"/>
      <c r="M384" s="874"/>
      <c r="N384" s="874"/>
      <c r="O384" s="874"/>
      <c r="P384" s="874"/>
      <c r="Q384" s="874"/>
      <c r="R384" s="874"/>
      <c r="S384" s="874"/>
      <c r="T384" s="874"/>
      <c r="U384" s="874"/>
      <c r="V384" s="874"/>
      <c r="W384" s="874"/>
      <c r="X384" s="874"/>
      <c r="Y384" s="874"/>
      <c r="Z384" s="874"/>
    </row>
    <row r="385" ht="63.75" customHeight="1">
      <c r="A385" s="874"/>
      <c r="B385" s="874"/>
      <c r="C385" s="874"/>
      <c r="D385" s="882"/>
      <c r="E385" s="874"/>
      <c r="F385" s="874"/>
      <c r="G385" s="864"/>
      <c r="H385" s="874"/>
      <c r="I385" s="874"/>
      <c r="J385" s="874"/>
      <c r="K385" s="874"/>
      <c r="L385" s="874"/>
      <c r="M385" s="874"/>
      <c r="N385" s="874"/>
      <c r="O385" s="874"/>
      <c r="P385" s="874"/>
      <c r="Q385" s="874"/>
      <c r="R385" s="874"/>
      <c r="S385" s="874"/>
      <c r="T385" s="874"/>
      <c r="U385" s="874"/>
      <c r="V385" s="874"/>
      <c r="W385" s="874"/>
      <c r="X385" s="874"/>
      <c r="Y385" s="874"/>
      <c r="Z385" s="874"/>
    </row>
    <row r="386" ht="63.75" customHeight="1">
      <c r="A386" s="874"/>
      <c r="B386" s="874"/>
      <c r="C386" s="874"/>
      <c r="D386" s="882"/>
      <c r="E386" s="874"/>
      <c r="F386" s="874"/>
      <c r="G386" s="864"/>
      <c r="H386" s="874"/>
      <c r="I386" s="874"/>
      <c r="J386" s="874"/>
      <c r="K386" s="874"/>
      <c r="L386" s="874"/>
      <c r="M386" s="874"/>
      <c r="N386" s="874"/>
      <c r="O386" s="874"/>
      <c r="P386" s="874"/>
      <c r="Q386" s="874"/>
      <c r="R386" s="874"/>
      <c r="S386" s="874"/>
      <c r="T386" s="874"/>
      <c r="U386" s="874"/>
      <c r="V386" s="874"/>
      <c r="W386" s="874"/>
      <c r="X386" s="874"/>
      <c r="Y386" s="874"/>
      <c r="Z386" s="874"/>
    </row>
    <row r="387" ht="63.75" customHeight="1">
      <c r="A387" s="874"/>
      <c r="B387" s="874"/>
      <c r="C387" s="874"/>
      <c r="D387" s="882"/>
      <c r="E387" s="874"/>
      <c r="F387" s="874"/>
      <c r="G387" s="864"/>
      <c r="H387" s="874"/>
      <c r="I387" s="874"/>
      <c r="J387" s="874"/>
      <c r="K387" s="874"/>
      <c r="L387" s="874"/>
      <c r="M387" s="874"/>
      <c r="N387" s="874"/>
      <c r="O387" s="874"/>
      <c r="P387" s="874"/>
      <c r="Q387" s="874"/>
      <c r="R387" s="874"/>
      <c r="S387" s="874"/>
      <c r="T387" s="874"/>
      <c r="U387" s="874"/>
      <c r="V387" s="874"/>
      <c r="W387" s="874"/>
      <c r="X387" s="874"/>
      <c r="Y387" s="874"/>
      <c r="Z387" s="874"/>
    </row>
    <row r="388" ht="63.75" customHeight="1">
      <c r="A388" s="874"/>
      <c r="B388" s="874"/>
      <c r="C388" s="874"/>
      <c r="D388" s="882"/>
      <c r="E388" s="874"/>
      <c r="F388" s="874"/>
      <c r="G388" s="864"/>
      <c r="H388" s="874"/>
      <c r="I388" s="874"/>
      <c r="J388" s="874"/>
      <c r="K388" s="874"/>
      <c r="L388" s="874"/>
      <c r="M388" s="874"/>
      <c r="N388" s="874"/>
      <c r="O388" s="874"/>
      <c r="P388" s="874"/>
      <c r="Q388" s="874"/>
      <c r="R388" s="874"/>
      <c r="S388" s="874"/>
      <c r="T388" s="874"/>
      <c r="U388" s="874"/>
      <c r="V388" s="874"/>
      <c r="W388" s="874"/>
      <c r="X388" s="874"/>
      <c r="Y388" s="874"/>
      <c r="Z388" s="874"/>
    </row>
    <row r="389" ht="63.75" customHeight="1">
      <c r="A389" s="874"/>
      <c r="B389" s="874"/>
      <c r="C389" s="874"/>
      <c r="D389" s="882"/>
      <c r="E389" s="874"/>
      <c r="F389" s="874"/>
      <c r="G389" s="864"/>
      <c r="H389" s="874"/>
      <c r="I389" s="874"/>
      <c r="J389" s="874"/>
      <c r="K389" s="874"/>
      <c r="L389" s="874"/>
      <c r="M389" s="874"/>
      <c r="N389" s="874"/>
      <c r="O389" s="874"/>
      <c r="P389" s="874"/>
      <c r="Q389" s="874"/>
      <c r="R389" s="874"/>
      <c r="S389" s="874"/>
      <c r="T389" s="874"/>
      <c r="U389" s="874"/>
      <c r="V389" s="874"/>
      <c r="W389" s="874"/>
      <c r="X389" s="874"/>
      <c r="Y389" s="874"/>
      <c r="Z389" s="874"/>
    </row>
    <row r="390" ht="63.75" customHeight="1">
      <c r="A390" s="874"/>
      <c r="B390" s="874"/>
      <c r="C390" s="874"/>
      <c r="D390" s="882"/>
      <c r="E390" s="874"/>
      <c r="F390" s="874"/>
      <c r="G390" s="864"/>
      <c r="H390" s="874"/>
      <c r="I390" s="874"/>
      <c r="J390" s="874"/>
      <c r="K390" s="874"/>
      <c r="L390" s="874"/>
      <c r="M390" s="874"/>
      <c r="N390" s="874"/>
      <c r="O390" s="874"/>
      <c r="P390" s="874"/>
      <c r="Q390" s="874"/>
      <c r="R390" s="874"/>
      <c r="S390" s="874"/>
      <c r="T390" s="874"/>
      <c r="U390" s="874"/>
      <c r="V390" s="874"/>
      <c r="W390" s="874"/>
      <c r="X390" s="874"/>
      <c r="Y390" s="874"/>
      <c r="Z390" s="874"/>
    </row>
    <row r="391" ht="63.75" customHeight="1">
      <c r="A391" s="874"/>
      <c r="B391" s="874"/>
      <c r="C391" s="874"/>
      <c r="D391" s="882"/>
      <c r="E391" s="874"/>
      <c r="F391" s="874"/>
      <c r="G391" s="864"/>
      <c r="H391" s="874"/>
      <c r="I391" s="874"/>
      <c r="J391" s="874"/>
      <c r="K391" s="874"/>
      <c r="L391" s="874"/>
      <c r="M391" s="874"/>
      <c r="N391" s="874"/>
      <c r="O391" s="874"/>
      <c r="P391" s="874"/>
      <c r="Q391" s="874"/>
      <c r="R391" s="874"/>
      <c r="S391" s="874"/>
      <c r="T391" s="874"/>
      <c r="U391" s="874"/>
      <c r="V391" s="874"/>
      <c r="W391" s="874"/>
      <c r="X391" s="874"/>
      <c r="Y391" s="874"/>
      <c r="Z391" s="874"/>
    </row>
    <row r="392" ht="63.75" customHeight="1">
      <c r="A392" s="874"/>
      <c r="B392" s="874"/>
      <c r="C392" s="874"/>
      <c r="D392" s="882"/>
      <c r="E392" s="874"/>
      <c r="F392" s="874"/>
      <c r="G392" s="864"/>
      <c r="H392" s="874"/>
      <c r="I392" s="874"/>
      <c r="J392" s="874"/>
      <c r="K392" s="874"/>
      <c r="L392" s="874"/>
      <c r="M392" s="874"/>
      <c r="N392" s="874"/>
      <c r="O392" s="874"/>
      <c r="P392" s="874"/>
      <c r="Q392" s="874"/>
      <c r="R392" s="874"/>
      <c r="S392" s="874"/>
      <c r="T392" s="874"/>
      <c r="U392" s="874"/>
      <c r="V392" s="874"/>
      <c r="W392" s="874"/>
      <c r="X392" s="874"/>
      <c r="Y392" s="874"/>
      <c r="Z392" s="874"/>
    </row>
    <row r="393" ht="63.75" customHeight="1">
      <c r="A393" s="874"/>
      <c r="B393" s="874"/>
      <c r="C393" s="874"/>
      <c r="D393" s="882"/>
      <c r="E393" s="874"/>
      <c r="F393" s="874"/>
      <c r="G393" s="864"/>
      <c r="H393" s="874"/>
      <c r="I393" s="874"/>
      <c r="J393" s="874"/>
      <c r="K393" s="874"/>
      <c r="L393" s="874"/>
      <c r="M393" s="874"/>
      <c r="N393" s="874"/>
      <c r="O393" s="874"/>
      <c r="P393" s="874"/>
      <c r="Q393" s="874"/>
      <c r="R393" s="874"/>
      <c r="S393" s="874"/>
      <c r="T393" s="874"/>
      <c r="U393" s="874"/>
      <c r="V393" s="874"/>
      <c r="W393" s="874"/>
      <c r="X393" s="874"/>
      <c r="Y393" s="874"/>
      <c r="Z393" s="874"/>
    </row>
    <row r="394" ht="63.75" customHeight="1">
      <c r="A394" s="874"/>
      <c r="B394" s="874"/>
      <c r="C394" s="874"/>
      <c r="D394" s="882"/>
      <c r="E394" s="874"/>
      <c r="F394" s="874"/>
      <c r="G394" s="864"/>
      <c r="H394" s="874"/>
      <c r="I394" s="874"/>
      <c r="J394" s="874"/>
      <c r="K394" s="874"/>
      <c r="L394" s="874"/>
      <c r="M394" s="874"/>
      <c r="N394" s="874"/>
      <c r="O394" s="874"/>
      <c r="P394" s="874"/>
      <c r="Q394" s="874"/>
      <c r="R394" s="874"/>
      <c r="S394" s="874"/>
      <c r="T394" s="874"/>
      <c r="U394" s="874"/>
      <c r="V394" s="874"/>
      <c r="W394" s="874"/>
      <c r="X394" s="874"/>
      <c r="Y394" s="874"/>
      <c r="Z394" s="874"/>
    </row>
    <row r="395" ht="63.75" customHeight="1">
      <c r="A395" s="874"/>
      <c r="B395" s="874"/>
      <c r="C395" s="874"/>
      <c r="D395" s="882"/>
      <c r="E395" s="874"/>
      <c r="F395" s="874"/>
      <c r="G395" s="864"/>
      <c r="H395" s="874"/>
      <c r="I395" s="874"/>
      <c r="J395" s="874"/>
      <c r="K395" s="874"/>
      <c r="L395" s="874"/>
      <c r="M395" s="874"/>
      <c r="N395" s="874"/>
      <c r="O395" s="874"/>
      <c r="P395" s="874"/>
      <c r="Q395" s="874"/>
      <c r="R395" s="874"/>
      <c r="S395" s="874"/>
      <c r="T395" s="874"/>
      <c r="U395" s="874"/>
      <c r="V395" s="874"/>
      <c r="W395" s="874"/>
      <c r="X395" s="874"/>
      <c r="Y395" s="874"/>
      <c r="Z395" s="874"/>
    </row>
    <row r="396" ht="63.75" customHeight="1">
      <c r="A396" s="874"/>
      <c r="B396" s="874"/>
      <c r="C396" s="874"/>
      <c r="D396" s="882"/>
      <c r="E396" s="874"/>
      <c r="F396" s="874"/>
      <c r="G396" s="864"/>
      <c r="H396" s="874"/>
      <c r="I396" s="874"/>
      <c r="J396" s="874"/>
      <c r="K396" s="874"/>
      <c r="L396" s="874"/>
      <c r="M396" s="874"/>
      <c r="N396" s="874"/>
      <c r="O396" s="874"/>
      <c r="P396" s="874"/>
      <c r="Q396" s="874"/>
      <c r="R396" s="874"/>
      <c r="S396" s="874"/>
      <c r="T396" s="874"/>
      <c r="U396" s="874"/>
      <c r="V396" s="874"/>
      <c r="W396" s="874"/>
      <c r="X396" s="874"/>
      <c r="Y396" s="874"/>
      <c r="Z396" s="874"/>
    </row>
    <row r="397" ht="63.75" customHeight="1">
      <c r="A397" s="874"/>
      <c r="B397" s="874"/>
      <c r="C397" s="874"/>
      <c r="D397" s="882"/>
      <c r="E397" s="874"/>
      <c r="F397" s="874"/>
      <c r="G397" s="864"/>
      <c r="H397" s="874"/>
      <c r="I397" s="874"/>
      <c r="J397" s="874"/>
      <c r="K397" s="874"/>
      <c r="L397" s="874"/>
      <c r="M397" s="874"/>
      <c r="N397" s="874"/>
      <c r="O397" s="874"/>
      <c r="P397" s="874"/>
      <c r="Q397" s="874"/>
      <c r="R397" s="874"/>
      <c r="S397" s="874"/>
      <c r="T397" s="874"/>
      <c r="U397" s="874"/>
      <c r="V397" s="874"/>
      <c r="W397" s="874"/>
      <c r="X397" s="874"/>
      <c r="Y397" s="874"/>
      <c r="Z397" s="874"/>
    </row>
    <row r="398" ht="63.75" customHeight="1">
      <c r="A398" s="874"/>
      <c r="B398" s="874"/>
      <c r="C398" s="874"/>
      <c r="D398" s="882"/>
      <c r="E398" s="874"/>
      <c r="F398" s="874"/>
      <c r="G398" s="864"/>
      <c r="H398" s="874"/>
      <c r="I398" s="874"/>
      <c r="J398" s="874"/>
      <c r="K398" s="874"/>
      <c r="L398" s="874"/>
      <c r="M398" s="874"/>
      <c r="N398" s="874"/>
      <c r="O398" s="874"/>
      <c r="P398" s="874"/>
      <c r="Q398" s="874"/>
      <c r="R398" s="874"/>
      <c r="S398" s="874"/>
      <c r="T398" s="874"/>
      <c r="U398" s="874"/>
      <c r="V398" s="874"/>
      <c r="W398" s="874"/>
      <c r="X398" s="874"/>
      <c r="Y398" s="874"/>
      <c r="Z398" s="874"/>
    </row>
    <row r="399" ht="63.75" customHeight="1">
      <c r="A399" s="874"/>
      <c r="B399" s="874"/>
      <c r="C399" s="874"/>
      <c r="D399" s="882"/>
      <c r="E399" s="874"/>
      <c r="F399" s="874"/>
      <c r="G399" s="864"/>
      <c r="H399" s="874"/>
      <c r="I399" s="874"/>
      <c r="J399" s="874"/>
      <c r="K399" s="874"/>
      <c r="L399" s="874"/>
      <c r="M399" s="874"/>
      <c r="N399" s="874"/>
      <c r="O399" s="874"/>
      <c r="P399" s="874"/>
      <c r="Q399" s="874"/>
      <c r="R399" s="874"/>
      <c r="S399" s="874"/>
      <c r="T399" s="874"/>
      <c r="U399" s="874"/>
      <c r="V399" s="874"/>
      <c r="W399" s="874"/>
      <c r="X399" s="874"/>
      <c r="Y399" s="874"/>
      <c r="Z399" s="874"/>
    </row>
    <row r="400" ht="63.75" customHeight="1">
      <c r="A400" s="874"/>
      <c r="B400" s="874"/>
      <c r="C400" s="874"/>
      <c r="D400" s="882"/>
      <c r="E400" s="874"/>
      <c r="F400" s="874"/>
      <c r="G400" s="864"/>
      <c r="H400" s="874"/>
      <c r="I400" s="874"/>
      <c r="J400" s="874"/>
      <c r="K400" s="874"/>
      <c r="L400" s="874"/>
      <c r="M400" s="874"/>
      <c r="N400" s="874"/>
      <c r="O400" s="874"/>
      <c r="P400" s="874"/>
      <c r="Q400" s="874"/>
      <c r="R400" s="874"/>
      <c r="S400" s="874"/>
      <c r="T400" s="874"/>
      <c r="U400" s="874"/>
      <c r="V400" s="874"/>
      <c r="W400" s="874"/>
      <c r="X400" s="874"/>
      <c r="Y400" s="874"/>
      <c r="Z400" s="874"/>
    </row>
    <row r="401" ht="63.75" customHeight="1">
      <c r="A401" s="874"/>
      <c r="B401" s="874"/>
      <c r="C401" s="874"/>
      <c r="D401" s="882"/>
      <c r="E401" s="874"/>
      <c r="F401" s="874"/>
      <c r="G401" s="864"/>
      <c r="H401" s="874"/>
      <c r="I401" s="874"/>
      <c r="J401" s="874"/>
      <c r="K401" s="874"/>
      <c r="L401" s="874"/>
      <c r="M401" s="874"/>
      <c r="N401" s="874"/>
      <c r="O401" s="874"/>
      <c r="P401" s="874"/>
      <c r="Q401" s="874"/>
      <c r="R401" s="874"/>
      <c r="S401" s="874"/>
      <c r="T401" s="874"/>
      <c r="U401" s="874"/>
      <c r="V401" s="874"/>
      <c r="W401" s="874"/>
      <c r="X401" s="874"/>
      <c r="Y401" s="874"/>
      <c r="Z401" s="874"/>
    </row>
    <row r="402" ht="63.75" customHeight="1">
      <c r="A402" s="874"/>
      <c r="B402" s="874"/>
      <c r="C402" s="874"/>
      <c r="D402" s="882"/>
      <c r="E402" s="874"/>
      <c r="F402" s="874"/>
      <c r="G402" s="864"/>
      <c r="H402" s="874"/>
      <c r="I402" s="874"/>
      <c r="J402" s="874"/>
      <c r="K402" s="874"/>
      <c r="L402" s="874"/>
      <c r="M402" s="874"/>
      <c r="N402" s="874"/>
      <c r="O402" s="874"/>
      <c r="P402" s="874"/>
      <c r="Q402" s="874"/>
      <c r="R402" s="874"/>
      <c r="S402" s="874"/>
      <c r="T402" s="874"/>
      <c r="U402" s="874"/>
      <c r="V402" s="874"/>
      <c r="W402" s="874"/>
      <c r="X402" s="874"/>
      <c r="Y402" s="874"/>
      <c r="Z402" s="874"/>
    </row>
    <row r="403" ht="63.75" customHeight="1">
      <c r="A403" s="874"/>
      <c r="B403" s="874"/>
      <c r="C403" s="874"/>
      <c r="D403" s="882"/>
      <c r="E403" s="874"/>
      <c r="F403" s="874"/>
      <c r="G403" s="864"/>
      <c r="H403" s="874"/>
      <c r="I403" s="874"/>
      <c r="J403" s="874"/>
      <c r="K403" s="874"/>
      <c r="L403" s="874"/>
      <c r="M403" s="874"/>
      <c r="N403" s="874"/>
      <c r="O403" s="874"/>
      <c r="P403" s="874"/>
      <c r="Q403" s="874"/>
      <c r="R403" s="874"/>
      <c r="S403" s="874"/>
      <c r="T403" s="874"/>
      <c r="U403" s="874"/>
      <c r="V403" s="874"/>
      <c r="W403" s="874"/>
      <c r="X403" s="874"/>
      <c r="Y403" s="874"/>
      <c r="Z403" s="874"/>
    </row>
    <row r="404" ht="63.75" customHeight="1">
      <c r="A404" s="874"/>
      <c r="B404" s="874"/>
      <c r="C404" s="874"/>
      <c r="D404" s="882"/>
      <c r="E404" s="874"/>
      <c r="F404" s="874"/>
      <c r="G404" s="864"/>
      <c r="H404" s="874"/>
      <c r="I404" s="874"/>
      <c r="J404" s="874"/>
      <c r="K404" s="874"/>
      <c r="L404" s="874"/>
      <c r="M404" s="874"/>
      <c r="N404" s="874"/>
      <c r="O404" s="874"/>
      <c r="P404" s="874"/>
      <c r="Q404" s="874"/>
      <c r="R404" s="874"/>
      <c r="S404" s="874"/>
      <c r="T404" s="874"/>
      <c r="U404" s="874"/>
      <c r="V404" s="874"/>
      <c r="W404" s="874"/>
      <c r="X404" s="874"/>
      <c r="Y404" s="874"/>
      <c r="Z404" s="874"/>
    </row>
    <row r="405" ht="63.75" customHeight="1">
      <c r="A405" s="874"/>
      <c r="B405" s="874"/>
      <c r="C405" s="874"/>
      <c r="D405" s="882"/>
      <c r="E405" s="874"/>
      <c r="F405" s="874"/>
      <c r="G405" s="864"/>
      <c r="H405" s="874"/>
      <c r="I405" s="874"/>
      <c r="J405" s="874"/>
      <c r="K405" s="874"/>
      <c r="L405" s="874"/>
      <c r="M405" s="874"/>
      <c r="N405" s="874"/>
      <c r="O405" s="874"/>
      <c r="P405" s="874"/>
      <c r="Q405" s="874"/>
      <c r="R405" s="874"/>
      <c r="S405" s="874"/>
      <c r="T405" s="874"/>
      <c r="U405" s="874"/>
      <c r="V405" s="874"/>
      <c r="W405" s="874"/>
      <c r="X405" s="874"/>
      <c r="Y405" s="874"/>
      <c r="Z405" s="874"/>
    </row>
    <row r="406" ht="63.75" customHeight="1">
      <c r="A406" s="874"/>
      <c r="B406" s="874"/>
      <c r="C406" s="874"/>
      <c r="D406" s="882"/>
      <c r="E406" s="874"/>
      <c r="F406" s="874"/>
      <c r="G406" s="864"/>
      <c r="H406" s="874"/>
      <c r="I406" s="874"/>
      <c r="J406" s="874"/>
      <c r="K406" s="874"/>
      <c r="L406" s="874"/>
      <c r="M406" s="874"/>
      <c r="N406" s="874"/>
      <c r="O406" s="874"/>
      <c r="P406" s="874"/>
      <c r="Q406" s="874"/>
      <c r="R406" s="874"/>
      <c r="S406" s="874"/>
      <c r="T406" s="874"/>
      <c r="U406" s="874"/>
      <c r="V406" s="874"/>
      <c r="W406" s="874"/>
      <c r="X406" s="874"/>
      <c r="Y406" s="874"/>
      <c r="Z406" s="874"/>
    </row>
    <row r="407" ht="63.75" customHeight="1">
      <c r="A407" s="874"/>
      <c r="B407" s="874"/>
      <c r="C407" s="874"/>
      <c r="D407" s="882"/>
      <c r="E407" s="874"/>
      <c r="F407" s="874"/>
      <c r="G407" s="864"/>
      <c r="H407" s="874"/>
      <c r="I407" s="874"/>
      <c r="J407" s="874"/>
      <c r="K407" s="874"/>
      <c r="L407" s="874"/>
      <c r="M407" s="874"/>
      <c r="N407" s="874"/>
      <c r="O407" s="874"/>
      <c r="P407" s="874"/>
      <c r="Q407" s="874"/>
      <c r="R407" s="874"/>
      <c r="S407" s="874"/>
      <c r="T407" s="874"/>
      <c r="U407" s="874"/>
      <c r="V407" s="874"/>
      <c r="W407" s="874"/>
      <c r="X407" s="874"/>
      <c r="Y407" s="874"/>
      <c r="Z407" s="874"/>
    </row>
    <row r="408" ht="63.75" customHeight="1">
      <c r="A408" s="874"/>
      <c r="B408" s="874"/>
      <c r="C408" s="874"/>
      <c r="D408" s="882"/>
      <c r="E408" s="874"/>
      <c r="F408" s="874"/>
      <c r="G408" s="864"/>
      <c r="H408" s="874"/>
      <c r="I408" s="874"/>
      <c r="J408" s="874"/>
      <c r="K408" s="874"/>
      <c r="L408" s="874"/>
      <c r="M408" s="874"/>
      <c r="N408" s="874"/>
      <c r="O408" s="874"/>
      <c r="P408" s="874"/>
      <c r="Q408" s="874"/>
      <c r="R408" s="874"/>
      <c r="S408" s="874"/>
      <c r="T408" s="874"/>
      <c r="U408" s="874"/>
      <c r="V408" s="874"/>
      <c r="W408" s="874"/>
      <c r="X408" s="874"/>
      <c r="Y408" s="874"/>
      <c r="Z408" s="874"/>
    </row>
    <row r="409" ht="63.75" customHeight="1">
      <c r="A409" s="874"/>
      <c r="B409" s="874"/>
      <c r="C409" s="874"/>
      <c r="D409" s="882"/>
      <c r="E409" s="874"/>
      <c r="F409" s="874"/>
      <c r="G409" s="864"/>
      <c r="H409" s="874"/>
      <c r="I409" s="874"/>
      <c r="J409" s="874"/>
      <c r="K409" s="874"/>
      <c r="L409" s="874"/>
      <c r="M409" s="874"/>
      <c r="N409" s="874"/>
      <c r="O409" s="874"/>
      <c r="P409" s="874"/>
      <c r="Q409" s="874"/>
      <c r="R409" s="874"/>
      <c r="S409" s="874"/>
      <c r="T409" s="874"/>
      <c r="U409" s="874"/>
      <c r="V409" s="874"/>
      <c r="W409" s="874"/>
      <c r="X409" s="874"/>
      <c r="Y409" s="874"/>
      <c r="Z409" s="874"/>
    </row>
    <row r="410" ht="63.75" customHeight="1">
      <c r="A410" s="874"/>
      <c r="B410" s="874"/>
      <c r="C410" s="874"/>
      <c r="D410" s="882"/>
      <c r="E410" s="874"/>
      <c r="F410" s="874"/>
      <c r="G410" s="864"/>
      <c r="H410" s="874"/>
      <c r="I410" s="874"/>
      <c r="J410" s="874"/>
      <c r="K410" s="874"/>
      <c r="L410" s="874"/>
      <c r="M410" s="874"/>
      <c r="N410" s="874"/>
      <c r="O410" s="874"/>
      <c r="P410" s="874"/>
      <c r="Q410" s="874"/>
      <c r="R410" s="874"/>
      <c r="S410" s="874"/>
      <c r="T410" s="874"/>
      <c r="U410" s="874"/>
      <c r="V410" s="874"/>
      <c r="W410" s="874"/>
      <c r="X410" s="874"/>
      <c r="Y410" s="874"/>
      <c r="Z410" s="874"/>
    </row>
    <row r="411" ht="63.75" customHeight="1">
      <c r="A411" s="874"/>
      <c r="B411" s="874"/>
      <c r="C411" s="874"/>
      <c r="D411" s="882"/>
      <c r="E411" s="874"/>
      <c r="F411" s="874"/>
      <c r="G411" s="864"/>
      <c r="H411" s="874"/>
      <c r="I411" s="874"/>
      <c r="J411" s="874"/>
      <c r="K411" s="874"/>
      <c r="L411" s="874"/>
      <c r="M411" s="874"/>
      <c r="N411" s="874"/>
      <c r="O411" s="874"/>
      <c r="P411" s="874"/>
      <c r="Q411" s="874"/>
      <c r="R411" s="874"/>
      <c r="S411" s="874"/>
      <c r="T411" s="874"/>
      <c r="U411" s="874"/>
      <c r="V411" s="874"/>
      <c r="W411" s="874"/>
      <c r="X411" s="874"/>
      <c r="Y411" s="874"/>
      <c r="Z411" s="874"/>
    </row>
    <row r="412" ht="63.75" customHeight="1">
      <c r="A412" s="874"/>
      <c r="B412" s="874"/>
      <c r="C412" s="874"/>
      <c r="D412" s="882"/>
      <c r="E412" s="874"/>
      <c r="F412" s="874"/>
      <c r="G412" s="864"/>
      <c r="H412" s="874"/>
      <c r="I412" s="874"/>
      <c r="J412" s="874"/>
      <c r="K412" s="874"/>
      <c r="L412" s="874"/>
      <c r="M412" s="874"/>
      <c r="N412" s="874"/>
      <c r="O412" s="874"/>
      <c r="P412" s="874"/>
      <c r="Q412" s="874"/>
      <c r="R412" s="874"/>
      <c r="S412" s="874"/>
      <c r="T412" s="874"/>
      <c r="U412" s="874"/>
      <c r="V412" s="874"/>
      <c r="W412" s="874"/>
      <c r="X412" s="874"/>
      <c r="Y412" s="874"/>
      <c r="Z412" s="874"/>
    </row>
    <row r="413" ht="63.75" customHeight="1">
      <c r="A413" s="874"/>
      <c r="B413" s="874"/>
      <c r="C413" s="874"/>
      <c r="D413" s="882"/>
      <c r="E413" s="874"/>
      <c r="F413" s="874"/>
      <c r="G413" s="864"/>
      <c r="H413" s="874"/>
      <c r="I413" s="874"/>
      <c r="J413" s="874"/>
      <c r="K413" s="874"/>
      <c r="L413" s="874"/>
      <c r="M413" s="874"/>
      <c r="N413" s="874"/>
      <c r="O413" s="874"/>
      <c r="P413" s="874"/>
      <c r="Q413" s="874"/>
      <c r="R413" s="874"/>
      <c r="S413" s="874"/>
      <c r="T413" s="874"/>
      <c r="U413" s="874"/>
      <c r="V413" s="874"/>
      <c r="W413" s="874"/>
      <c r="X413" s="874"/>
      <c r="Y413" s="874"/>
      <c r="Z413" s="874"/>
    </row>
    <row r="414" ht="63.75" customHeight="1">
      <c r="A414" s="874"/>
      <c r="B414" s="874"/>
      <c r="C414" s="874"/>
      <c r="D414" s="882"/>
      <c r="E414" s="874"/>
      <c r="F414" s="874"/>
      <c r="G414" s="864"/>
      <c r="H414" s="874"/>
      <c r="I414" s="874"/>
      <c r="J414" s="874"/>
      <c r="K414" s="874"/>
      <c r="L414" s="874"/>
      <c r="M414" s="874"/>
      <c r="N414" s="874"/>
      <c r="O414" s="874"/>
      <c r="P414" s="874"/>
      <c r="Q414" s="874"/>
      <c r="R414" s="874"/>
      <c r="S414" s="874"/>
      <c r="T414" s="874"/>
      <c r="U414" s="874"/>
      <c r="V414" s="874"/>
      <c r="W414" s="874"/>
      <c r="X414" s="874"/>
      <c r="Y414" s="874"/>
      <c r="Z414" s="874"/>
    </row>
    <row r="415" ht="63.75" customHeight="1">
      <c r="A415" s="874"/>
      <c r="B415" s="874"/>
      <c r="C415" s="874"/>
      <c r="D415" s="882"/>
      <c r="E415" s="874"/>
      <c r="F415" s="874"/>
      <c r="G415" s="864"/>
      <c r="H415" s="874"/>
      <c r="I415" s="874"/>
      <c r="J415" s="874"/>
      <c r="K415" s="874"/>
      <c r="L415" s="874"/>
      <c r="M415" s="874"/>
      <c r="N415" s="874"/>
      <c r="O415" s="874"/>
      <c r="P415" s="874"/>
      <c r="Q415" s="874"/>
      <c r="R415" s="874"/>
      <c r="S415" s="874"/>
      <c r="T415" s="874"/>
      <c r="U415" s="874"/>
      <c r="V415" s="874"/>
      <c r="W415" s="874"/>
      <c r="X415" s="874"/>
      <c r="Y415" s="874"/>
      <c r="Z415" s="874"/>
    </row>
    <row r="416" ht="63.75" customHeight="1">
      <c r="A416" s="874"/>
      <c r="B416" s="874"/>
      <c r="C416" s="874"/>
      <c r="D416" s="882"/>
      <c r="E416" s="874"/>
      <c r="F416" s="874"/>
      <c r="G416" s="864"/>
      <c r="H416" s="874"/>
      <c r="I416" s="874"/>
      <c r="J416" s="874"/>
      <c r="K416" s="874"/>
      <c r="L416" s="874"/>
      <c r="M416" s="874"/>
      <c r="N416" s="874"/>
      <c r="O416" s="874"/>
      <c r="P416" s="874"/>
      <c r="Q416" s="874"/>
      <c r="R416" s="874"/>
      <c r="S416" s="874"/>
      <c r="T416" s="874"/>
      <c r="U416" s="874"/>
      <c r="V416" s="874"/>
      <c r="W416" s="874"/>
      <c r="X416" s="874"/>
      <c r="Y416" s="874"/>
      <c r="Z416" s="874"/>
    </row>
    <row r="417" ht="63.75" customHeight="1">
      <c r="A417" s="874"/>
      <c r="B417" s="874"/>
      <c r="C417" s="874"/>
      <c r="D417" s="882"/>
      <c r="E417" s="874"/>
      <c r="F417" s="874"/>
      <c r="G417" s="864"/>
      <c r="H417" s="874"/>
      <c r="I417" s="874"/>
      <c r="J417" s="874"/>
      <c r="K417" s="874"/>
      <c r="L417" s="874"/>
      <c r="M417" s="874"/>
      <c r="N417" s="874"/>
      <c r="O417" s="874"/>
      <c r="P417" s="874"/>
      <c r="Q417" s="874"/>
      <c r="R417" s="874"/>
      <c r="S417" s="874"/>
      <c r="T417" s="874"/>
      <c r="U417" s="874"/>
      <c r="V417" s="874"/>
      <c r="W417" s="874"/>
      <c r="X417" s="874"/>
      <c r="Y417" s="874"/>
      <c r="Z417" s="874"/>
    </row>
    <row r="418" ht="63.75" customHeight="1">
      <c r="A418" s="874"/>
      <c r="B418" s="874"/>
      <c r="C418" s="874"/>
      <c r="D418" s="882"/>
      <c r="E418" s="874"/>
      <c r="F418" s="874"/>
      <c r="G418" s="864"/>
      <c r="H418" s="874"/>
      <c r="I418" s="874"/>
      <c r="J418" s="874"/>
      <c r="K418" s="874"/>
      <c r="L418" s="874"/>
      <c r="M418" s="874"/>
      <c r="N418" s="874"/>
      <c r="O418" s="874"/>
      <c r="P418" s="874"/>
      <c r="Q418" s="874"/>
      <c r="R418" s="874"/>
      <c r="S418" s="874"/>
      <c r="T418" s="874"/>
      <c r="U418" s="874"/>
      <c r="V418" s="874"/>
      <c r="W418" s="874"/>
      <c r="X418" s="874"/>
      <c r="Y418" s="874"/>
      <c r="Z418" s="874"/>
    </row>
    <row r="419" ht="63.75" customHeight="1">
      <c r="A419" s="874"/>
      <c r="B419" s="874"/>
      <c r="C419" s="874"/>
      <c r="D419" s="882"/>
      <c r="E419" s="874"/>
      <c r="F419" s="874"/>
      <c r="G419" s="864"/>
      <c r="H419" s="874"/>
      <c r="I419" s="874"/>
      <c r="J419" s="874"/>
      <c r="K419" s="874"/>
      <c r="L419" s="874"/>
      <c r="M419" s="874"/>
      <c r="N419" s="874"/>
      <c r="O419" s="874"/>
      <c r="P419" s="874"/>
      <c r="Q419" s="874"/>
      <c r="R419" s="874"/>
      <c r="S419" s="874"/>
      <c r="T419" s="874"/>
      <c r="U419" s="874"/>
      <c r="V419" s="874"/>
      <c r="W419" s="874"/>
      <c r="X419" s="874"/>
      <c r="Y419" s="874"/>
      <c r="Z419" s="874"/>
    </row>
    <row r="420" ht="63.75" customHeight="1">
      <c r="A420" s="874"/>
      <c r="B420" s="874"/>
      <c r="C420" s="874"/>
      <c r="D420" s="882"/>
      <c r="E420" s="874"/>
      <c r="F420" s="874"/>
      <c r="G420" s="864"/>
      <c r="H420" s="874"/>
      <c r="I420" s="874"/>
      <c r="J420" s="874"/>
      <c r="K420" s="874"/>
      <c r="L420" s="874"/>
      <c r="M420" s="874"/>
      <c r="N420" s="874"/>
      <c r="O420" s="874"/>
      <c r="P420" s="874"/>
      <c r="Q420" s="874"/>
      <c r="R420" s="874"/>
      <c r="S420" s="874"/>
      <c r="T420" s="874"/>
      <c r="U420" s="874"/>
      <c r="V420" s="874"/>
      <c r="W420" s="874"/>
      <c r="X420" s="874"/>
      <c r="Y420" s="874"/>
      <c r="Z420" s="874"/>
    </row>
    <row r="421" ht="63.75" customHeight="1">
      <c r="A421" s="874"/>
      <c r="B421" s="874"/>
      <c r="C421" s="874"/>
      <c r="D421" s="882"/>
      <c r="E421" s="874"/>
      <c r="F421" s="874"/>
      <c r="G421" s="864"/>
      <c r="H421" s="874"/>
      <c r="I421" s="874"/>
      <c r="J421" s="874"/>
      <c r="K421" s="874"/>
      <c r="L421" s="874"/>
      <c r="M421" s="874"/>
      <c r="N421" s="874"/>
      <c r="O421" s="874"/>
      <c r="P421" s="874"/>
      <c r="Q421" s="874"/>
      <c r="R421" s="874"/>
      <c r="S421" s="874"/>
      <c r="T421" s="874"/>
      <c r="U421" s="874"/>
      <c r="V421" s="874"/>
      <c r="W421" s="874"/>
      <c r="X421" s="874"/>
      <c r="Y421" s="874"/>
      <c r="Z421" s="874"/>
    </row>
    <row r="422" ht="63.75" customHeight="1">
      <c r="A422" s="874"/>
      <c r="B422" s="874"/>
      <c r="C422" s="874"/>
      <c r="D422" s="882"/>
      <c r="E422" s="874"/>
      <c r="F422" s="874"/>
      <c r="G422" s="864"/>
      <c r="H422" s="874"/>
      <c r="I422" s="874"/>
      <c r="J422" s="874"/>
      <c r="K422" s="874"/>
      <c r="L422" s="874"/>
      <c r="M422" s="874"/>
      <c r="N422" s="874"/>
      <c r="O422" s="874"/>
      <c r="P422" s="874"/>
      <c r="Q422" s="874"/>
      <c r="R422" s="874"/>
      <c r="S422" s="874"/>
      <c r="T422" s="874"/>
      <c r="U422" s="874"/>
      <c r="V422" s="874"/>
      <c r="W422" s="874"/>
      <c r="X422" s="874"/>
      <c r="Y422" s="874"/>
      <c r="Z422" s="874"/>
    </row>
    <row r="423" ht="63.75" customHeight="1">
      <c r="A423" s="874"/>
      <c r="B423" s="874"/>
      <c r="C423" s="874"/>
      <c r="D423" s="882"/>
      <c r="E423" s="874"/>
      <c r="F423" s="874"/>
      <c r="G423" s="864"/>
      <c r="H423" s="874"/>
      <c r="I423" s="874"/>
      <c r="J423" s="874"/>
      <c r="K423" s="874"/>
      <c r="L423" s="874"/>
      <c r="M423" s="874"/>
      <c r="N423" s="874"/>
      <c r="O423" s="874"/>
      <c r="P423" s="874"/>
      <c r="Q423" s="874"/>
      <c r="R423" s="874"/>
      <c r="S423" s="874"/>
      <c r="T423" s="874"/>
      <c r="U423" s="874"/>
      <c r="V423" s="874"/>
      <c r="W423" s="874"/>
      <c r="X423" s="874"/>
      <c r="Y423" s="874"/>
      <c r="Z423" s="874"/>
    </row>
    <row r="424" ht="63.75" customHeight="1">
      <c r="A424" s="874"/>
      <c r="B424" s="874"/>
      <c r="C424" s="874"/>
      <c r="D424" s="882"/>
      <c r="E424" s="874"/>
      <c r="F424" s="874"/>
      <c r="G424" s="864"/>
      <c r="H424" s="874"/>
      <c r="I424" s="874"/>
      <c r="J424" s="874"/>
      <c r="K424" s="874"/>
      <c r="L424" s="874"/>
      <c r="M424" s="874"/>
      <c r="N424" s="874"/>
      <c r="O424" s="874"/>
      <c r="P424" s="874"/>
      <c r="Q424" s="874"/>
      <c r="R424" s="874"/>
      <c r="S424" s="874"/>
      <c r="T424" s="874"/>
      <c r="U424" s="874"/>
      <c r="V424" s="874"/>
      <c r="W424" s="874"/>
      <c r="X424" s="874"/>
      <c r="Y424" s="874"/>
      <c r="Z424" s="874"/>
    </row>
    <row r="425" ht="63.75" customHeight="1">
      <c r="A425" s="874"/>
      <c r="B425" s="874"/>
      <c r="C425" s="874"/>
      <c r="D425" s="882"/>
      <c r="E425" s="874"/>
      <c r="F425" s="874"/>
      <c r="G425" s="864"/>
      <c r="H425" s="874"/>
      <c r="I425" s="874"/>
      <c r="J425" s="874"/>
      <c r="K425" s="874"/>
      <c r="L425" s="874"/>
      <c r="M425" s="874"/>
      <c r="N425" s="874"/>
      <c r="O425" s="874"/>
      <c r="P425" s="874"/>
      <c r="Q425" s="874"/>
      <c r="R425" s="874"/>
      <c r="S425" s="874"/>
      <c r="T425" s="874"/>
      <c r="U425" s="874"/>
      <c r="V425" s="874"/>
      <c r="W425" s="874"/>
      <c r="X425" s="874"/>
      <c r="Y425" s="874"/>
      <c r="Z425" s="874"/>
    </row>
    <row r="426" ht="63.75" customHeight="1">
      <c r="A426" s="874"/>
      <c r="B426" s="874"/>
      <c r="C426" s="874"/>
      <c r="D426" s="882"/>
      <c r="E426" s="874"/>
      <c r="F426" s="874"/>
      <c r="G426" s="864"/>
      <c r="H426" s="874"/>
      <c r="I426" s="874"/>
      <c r="J426" s="874"/>
      <c r="K426" s="874"/>
      <c r="L426" s="874"/>
      <c r="M426" s="874"/>
      <c r="N426" s="874"/>
      <c r="O426" s="874"/>
      <c r="P426" s="874"/>
      <c r="Q426" s="874"/>
      <c r="R426" s="874"/>
      <c r="S426" s="874"/>
      <c r="T426" s="874"/>
      <c r="U426" s="874"/>
      <c r="V426" s="874"/>
      <c r="W426" s="874"/>
      <c r="X426" s="874"/>
      <c r="Y426" s="874"/>
      <c r="Z426" s="874"/>
    </row>
    <row r="427" ht="63.75" customHeight="1">
      <c r="A427" s="874"/>
      <c r="B427" s="874"/>
      <c r="C427" s="874"/>
      <c r="D427" s="882"/>
      <c r="E427" s="874"/>
      <c r="F427" s="874"/>
      <c r="G427" s="864"/>
      <c r="H427" s="874"/>
      <c r="I427" s="874"/>
      <c r="J427" s="874"/>
      <c r="K427" s="874"/>
      <c r="L427" s="874"/>
      <c r="M427" s="874"/>
      <c r="N427" s="874"/>
      <c r="O427" s="874"/>
      <c r="P427" s="874"/>
      <c r="Q427" s="874"/>
      <c r="R427" s="874"/>
      <c r="S427" s="874"/>
      <c r="T427" s="874"/>
      <c r="U427" s="874"/>
      <c r="V427" s="874"/>
      <c r="W427" s="874"/>
      <c r="X427" s="874"/>
      <c r="Y427" s="874"/>
      <c r="Z427" s="874"/>
    </row>
    <row r="428" ht="63.75" customHeight="1">
      <c r="A428" s="874"/>
      <c r="B428" s="874"/>
      <c r="C428" s="874"/>
      <c r="D428" s="882"/>
      <c r="E428" s="874"/>
      <c r="F428" s="874"/>
      <c r="G428" s="864"/>
      <c r="H428" s="874"/>
      <c r="I428" s="874"/>
      <c r="J428" s="874"/>
      <c r="K428" s="874"/>
      <c r="L428" s="874"/>
      <c r="M428" s="874"/>
      <c r="N428" s="874"/>
      <c r="O428" s="874"/>
      <c r="P428" s="874"/>
      <c r="Q428" s="874"/>
      <c r="R428" s="874"/>
      <c r="S428" s="874"/>
      <c r="T428" s="874"/>
      <c r="U428" s="874"/>
      <c r="V428" s="874"/>
      <c r="W428" s="874"/>
      <c r="X428" s="874"/>
      <c r="Y428" s="874"/>
      <c r="Z428" s="874"/>
    </row>
    <row r="429" ht="63.75" customHeight="1">
      <c r="A429" s="874"/>
      <c r="B429" s="874"/>
      <c r="C429" s="874"/>
      <c r="D429" s="882"/>
      <c r="E429" s="874"/>
      <c r="F429" s="874"/>
      <c r="G429" s="864"/>
      <c r="H429" s="874"/>
      <c r="I429" s="874"/>
      <c r="J429" s="874"/>
      <c r="K429" s="874"/>
      <c r="L429" s="874"/>
      <c r="M429" s="874"/>
      <c r="N429" s="874"/>
      <c r="O429" s="874"/>
      <c r="P429" s="874"/>
      <c r="Q429" s="874"/>
      <c r="R429" s="874"/>
      <c r="S429" s="874"/>
      <c r="T429" s="874"/>
      <c r="U429" s="874"/>
      <c r="V429" s="874"/>
      <c r="W429" s="874"/>
      <c r="X429" s="874"/>
      <c r="Y429" s="874"/>
      <c r="Z429" s="874"/>
    </row>
    <row r="430" ht="63.75" customHeight="1">
      <c r="A430" s="874"/>
      <c r="B430" s="874"/>
      <c r="C430" s="874"/>
      <c r="D430" s="882"/>
      <c r="E430" s="874"/>
      <c r="F430" s="874"/>
      <c r="G430" s="864"/>
      <c r="H430" s="874"/>
      <c r="I430" s="874"/>
      <c r="J430" s="874"/>
      <c r="K430" s="874"/>
      <c r="L430" s="874"/>
      <c r="M430" s="874"/>
      <c r="N430" s="874"/>
      <c r="O430" s="874"/>
      <c r="P430" s="874"/>
      <c r="Q430" s="874"/>
      <c r="R430" s="874"/>
      <c r="S430" s="874"/>
      <c r="T430" s="874"/>
      <c r="U430" s="874"/>
      <c r="V430" s="874"/>
      <c r="W430" s="874"/>
      <c r="X430" s="874"/>
      <c r="Y430" s="874"/>
      <c r="Z430" s="874"/>
    </row>
    <row r="431" ht="63.75" customHeight="1">
      <c r="A431" s="874"/>
      <c r="B431" s="874"/>
      <c r="C431" s="874"/>
      <c r="D431" s="882"/>
      <c r="E431" s="874"/>
      <c r="F431" s="874"/>
      <c r="G431" s="864"/>
      <c r="H431" s="874"/>
      <c r="I431" s="874"/>
      <c r="J431" s="874"/>
      <c r="K431" s="874"/>
      <c r="L431" s="874"/>
      <c r="M431" s="874"/>
      <c r="N431" s="874"/>
      <c r="O431" s="874"/>
      <c r="P431" s="874"/>
      <c r="Q431" s="874"/>
      <c r="R431" s="874"/>
      <c r="S431" s="874"/>
      <c r="T431" s="874"/>
      <c r="U431" s="874"/>
      <c r="V431" s="874"/>
      <c r="W431" s="874"/>
      <c r="X431" s="874"/>
      <c r="Y431" s="874"/>
      <c r="Z431" s="874"/>
    </row>
    <row r="432" ht="63.75" customHeight="1">
      <c r="A432" s="874"/>
      <c r="B432" s="874"/>
      <c r="C432" s="874"/>
      <c r="D432" s="882"/>
      <c r="E432" s="874"/>
      <c r="F432" s="874"/>
      <c r="G432" s="864"/>
      <c r="H432" s="874"/>
      <c r="I432" s="874"/>
      <c r="J432" s="874"/>
      <c r="K432" s="874"/>
      <c r="L432" s="874"/>
      <c r="M432" s="874"/>
      <c r="N432" s="874"/>
      <c r="O432" s="874"/>
      <c r="P432" s="874"/>
      <c r="Q432" s="874"/>
      <c r="R432" s="874"/>
      <c r="S432" s="874"/>
      <c r="T432" s="874"/>
      <c r="U432" s="874"/>
      <c r="V432" s="874"/>
      <c r="W432" s="874"/>
      <c r="X432" s="874"/>
      <c r="Y432" s="874"/>
      <c r="Z432" s="874"/>
    </row>
    <row r="433" ht="63.75" customHeight="1">
      <c r="A433" s="874"/>
      <c r="B433" s="874"/>
      <c r="C433" s="874"/>
      <c r="D433" s="882"/>
      <c r="E433" s="874"/>
      <c r="F433" s="874"/>
      <c r="G433" s="864"/>
      <c r="H433" s="874"/>
      <c r="I433" s="874"/>
      <c r="J433" s="874"/>
      <c r="K433" s="874"/>
      <c r="L433" s="874"/>
      <c r="M433" s="874"/>
      <c r="N433" s="874"/>
      <c r="O433" s="874"/>
      <c r="P433" s="874"/>
      <c r="Q433" s="874"/>
      <c r="R433" s="874"/>
      <c r="S433" s="874"/>
      <c r="T433" s="874"/>
      <c r="U433" s="874"/>
      <c r="V433" s="874"/>
      <c r="W433" s="874"/>
      <c r="X433" s="874"/>
      <c r="Y433" s="874"/>
      <c r="Z433" s="874"/>
    </row>
    <row r="434" ht="63.75" customHeight="1">
      <c r="A434" s="874"/>
      <c r="B434" s="874"/>
      <c r="C434" s="874"/>
      <c r="D434" s="882"/>
      <c r="E434" s="874"/>
      <c r="F434" s="874"/>
      <c r="G434" s="864"/>
      <c r="H434" s="874"/>
      <c r="I434" s="874"/>
      <c r="J434" s="874"/>
      <c r="K434" s="874"/>
      <c r="L434" s="874"/>
      <c r="M434" s="874"/>
      <c r="N434" s="874"/>
      <c r="O434" s="874"/>
      <c r="P434" s="874"/>
      <c r="Q434" s="874"/>
      <c r="R434" s="874"/>
      <c r="S434" s="874"/>
      <c r="T434" s="874"/>
      <c r="U434" s="874"/>
      <c r="V434" s="874"/>
      <c r="W434" s="874"/>
      <c r="X434" s="874"/>
      <c r="Y434" s="874"/>
      <c r="Z434" s="874"/>
    </row>
    <row r="435" ht="63.75" customHeight="1">
      <c r="A435" s="874"/>
      <c r="B435" s="874"/>
      <c r="C435" s="874"/>
      <c r="D435" s="882"/>
      <c r="E435" s="874"/>
      <c r="F435" s="874"/>
      <c r="G435" s="864"/>
      <c r="H435" s="874"/>
      <c r="I435" s="874"/>
      <c r="J435" s="874"/>
      <c r="K435" s="874"/>
      <c r="L435" s="874"/>
      <c r="M435" s="874"/>
      <c r="N435" s="874"/>
      <c r="O435" s="874"/>
      <c r="P435" s="874"/>
      <c r="Q435" s="874"/>
      <c r="R435" s="874"/>
      <c r="S435" s="874"/>
      <c r="T435" s="874"/>
      <c r="U435" s="874"/>
      <c r="V435" s="874"/>
      <c r="W435" s="874"/>
      <c r="X435" s="874"/>
      <c r="Y435" s="874"/>
      <c r="Z435" s="874"/>
    </row>
    <row r="436" ht="63.75" customHeight="1">
      <c r="A436" s="874"/>
      <c r="B436" s="874"/>
      <c r="C436" s="874"/>
      <c r="D436" s="882"/>
      <c r="E436" s="874"/>
      <c r="F436" s="874"/>
      <c r="G436" s="864"/>
      <c r="H436" s="874"/>
      <c r="I436" s="874"/>
      <c r="J436" s="874"/>
      <c r="K436" s="874"/>
      <c r="L436" s="874"/>
      <c r="M436" s="874"/>
      <c r="N436" s="874"/>
      <c r="O436" s="874"/>
      <c r="P436" s="874"/>
      <c r="Q436" s="874"/>
      <c r="R436" s="874"/>
      <c r="S436" s="874"/>
      <c r="T436" s="874"/>
      <c r="U436" s="874"/>
      <c r="V436" s="874"/>
      <c r="W436" s="874"/>
      <c r="X436" s="874"/>
      <c r="Y436" s="874"/>
      <c r="Z436" s="874"/>
    </row>
    <row r="437" ht="63.75" customHeight="1">
      <c r="A437" s="874"/>
      <c r="B437" s="874"/>
      <c r="C437" s="874"/>
      <c r="D437" s="882"/>
      <c r="E437" s="874"/>
      <c r="F437" s="874"/>
      <c r="G437" s="864"/>
      <c r="H437" s="874"/>
      <c r="I437" s="874"/>
      <c r="J437" s="874"/>
      <c r="K437" s="874"/>
      <c r="L437" s="874"/>
      <c r="M437" s="874"/>
      <c r="N437" s="874"/>
      <c r="O437" s="874"/>
      <c r="P437" s="874"/>
      <c r="Q437" s="874"/>
      <c r="R437" s="874"/>
      <c r="S437" s="874"/>
      <c r="T437" s="874"/>
      <c r="U437" s="874"/>
      <c r="V437" s="874"/>
      <c r="W437" s="874"/>
      <c r="X437" s="874"/>
      <c r="Y437" s="874"/>
      <c r="Z437" s="874"/>
    </row>
    <row r="438" ht="63.75" customHeight="1">
      <c r="A438" s="874"/>
      <c r="B438" s="874"/>
      <c r="C438" s="874"/>
      <c r="D438" s="882"/>
      <c r="E438" s="874"/>
      <c r="F438" s="874"/>
      <c r="G438" s="864"/>
      <c r="H438" s="874"/>
      <c r="I438" s="874"/>
      <c r="J438" s="874"/>
      <c r="K438" s="874"/>
      <c r="L438" s="874"/>
      <c r="M438" s="874"/>
      <c r="N438" s="874"/>
      <c r="O438" s="874"/>
      <c r="P438" s="874"/>
      <c r="Q438" s="874"/>
      <c r="R438" s="874"/>
      <c r="S438" s="874"/>
      <c r="T438" s="874"/>
      <c r="U438" s="874"/>
      <c r="V438" s="874"/>
      <c r="W438" s="874"/>
      <c r="X438" s="874"/>
      <c r="Y438" s="874"/>
      <c r="Z438" s="874"/>
    </row>
    <row r="439" ht="63.75" customHeight="1">
      <c r="A439" s="874"/>
      <c r="B439" s="874"/>
      <c r="C439" s="874"/>
      <c r="D439" s="882"/>
      <c r="E439" s="874"/>
      <c r="F439" s="874"/>
      <c r="G439" s="864"/>
      <c r="H439" s="874"/>
      <c r="I439" s="874"/>
      <c r="J439" s="874"/>
      <c r="K439" s="874"/>
      <c r="L439" s="874"/>
      <c r="M439" s="874"/>
      <c r="N439" s="874"/>
      <c r="O439" s="874"/>
      <c r="P439" s="874"/>
      <c r="Q439" s="874"/>
      <c r="R439" s="874"/>
      <c r="S439" s="874"/>
      <c r="T439" s="874"/>
      <c r="U439" s="874"/>
      <c r="V439" s="874"/>
      <c r="W439" s="874"/>
      <c r="X439" s="874"/>
      <c r="Y439" s="874"/>
      <c r="Z439" s="874"/>
    </row>
    <row r="440" ht="63.75" customHeight="1">
      <c r="A440" s="874"/>
      <c r="B440" s="874"/>
      <c r="C440" s="874"/>
      <c r="D440" s="882"/>
      <c r="E440" s="874"/>
      <c r="F440" s="874"/>
      <c r="G440" s="864"/>
      <c r="H440" s="874"/>
      <c r="I440" s="874"/>
      <c r="J440" s="874"/>
      <c r="K440" s="874"/>
      <c r="L440" s="874"/>
      <c r="M440" s="874"/>
      <c r="N440" s="874"/>
      <c r="O440" s="874"/>
      <c r="P440" s="874"/>
      <c r="Q440" s="874"/>
      <c r="R440" s="874"/>
      <c r="S440" s="874"/>
      <c r="T440" s="874"/>
      <c r="U440" s="874"/>
      <c r="V440" s="874"/>
      <c r="W440" s="874"/>
      <c r="X440" s="874"/>
      <c r="Y440" s="874"/>
      <c r="Z440" s="874"/>
    </row>
    <row r="441" ht="63.75" customHeight="1">
      <c r="A441" s="874"/>
      <c r="B441" s="874"/>
      <c r="C441" s="874"/>
      <c r="D441" s="882"/>
      <c r="E441" s="874"/>
      <c r="F441" s="874"/>
      <c r="G441" s="864"/>
      <c r="H441" s="874"/>
      <c r="I441" s="874"/>
      <c r="J441" s="874"/>
      <c r="K441" s="874"/>
      <c r="L441" s="874"/>
      <c r="M441" s="874"/>
      <c r="N441" s="874"/>
      <c r="O441" s="874"/>
      <c r="P441" s="874"/>
      <c r="Q441" s="874"/>
      <c r="R441" s="874"/>
      <c r="S441" s="874"/>
      <c r="T441" s="874"/>
      <c r="U441" s="874"/>
      <c r="V441" s="874"/>
      <c r="W441" s="874"/>
      <c r="X441" s="874"/>
      <c r="Y441" s="874"/>
      <c r="Z441" s="874"/>
    </row>
    <row r="442" ht="63.75" customHeight="1">
      <c r="A442" s="874"/>
      <c r="B442" s="874"/>
      <c r="C442" s="874"/>
      <c r="D442" s="882"/>
      <c r="E442" s="874"/>
      <c r="F442" s="874"/>
      <c r="G442" s="864"/>
      <c r="H442" s="874"/>
      <c r="I442" s="874"/>
      <c r="J442" s="874"/>
      <c r="K442" s="874"/>
      <c r="L442" s="874"/>
      <c r="M442" s="874"/>
      <c r="N442" s="874"/>
      <c r="O442" s="874"/>
      <c r="P442" s="874"/>
      <c r="Q442" s="874"/>
      <c r="R442" s="874"/>
      <c r="S442" s="874"/>
      <c r="T442" s="874"/>
      <c r="U442" s="874"/>
      <c r="V442" s="874"/>
      <c r="W442" s="874"/>
      <c r="X442" s="874"/>
      <c r="Y442" s="874"/>
      <c r="Z442" s="874"/>
    </row>
    <row r="443" ht="63.75" customHeight="1">
      <c r="A443" s="874"/>
      <c r="B443" s="874"/>
      <c r="C443" s="874"/>
      <c r="D443" s="882"/>
      <c r="E443" s="874"/>
      <c r="F443" s="874"/>
      <c r="G443" s="864"/>
      <c r="H443" s="874"/>
      <c r="I443" s="874"/>
      <c r="J443" s="874"/>
      <c r="K443" s="874"/>
      <c r="L443" s="874"/>
      <c r="M443" s="874"/>
      <c r="N443" s="874"/>
      <c r="O443" s="874"/>
      <c r="P443" s="874"/>
      <c r="Q443" s="874"/>
      <c r="R443" s="874"/>
      <c r="S443" s="874"/>
      <c r="T443" s="874"/>
      <c r="U443" s="874"/>
      <c r="V443" s="874"/>
      <c r="W443" s="874"/>
      <c r="X443" s="874"/>
      <c r="Y443" s="874"/>
      <c r="Z443" s="874"/>
    </row>
    <row r="444" ht="63.75" customHeight="1">
      <c r="A444" s="874"/>
      <c r="B444" s="874"/>
      <c r="C444" s="874"/>
      <c r="D444" s="882"/>
      <c r="E444" s="874"/>
      <c r="F444" s="874"/>
      <c r="G444" s="864"/>
      <c r="H444" s="874"/>
      <c r="I444" s="874"/>
      <c r="J444" s="874"/>
      <c r="K444" s="874"/>
      <c r="L444" s="874"/>
      <c r="M444" s="874"/>
      <c r="N444" s="874"/>
      <c r="O444" s="874"/>
      <c r="P444" s="874"/>
      <c r="Q444" s="874"/>
      <c r="R444" s="874"/>
      <c r="S444" s="874"/>
      <c r="T444" s="874"/>
      <c r="U444" s="874"/>
      <c r="V444" s="874"/>
      <c r="W444" s="874"/>
      <c r="X444" s="874"/>
      <c r="Y444" s="874"/>
      <c r="Z444" s="874"/>
    </row>
    <row r="445" ht="63.75" customHeight="1">
      <c r="A445" s="874"/>
      <c r="B445" s="874"/>
      <c r="C445" s="874"/>
      <c r="D445" s="882"/>
      <c r="E445" s="874"/>
      <c r="F445" s="874"/>
      <c r="G445" s="864"/>
      <c r="H445" s="874"/>
      <c r="I445" s="874"/>
      <c r="J445" s="874"/>
      <c r="K445" s="874"/>
      <c r="L445" s="874"/>
      <c r="M445" s="874"/>
      <c r="N445" s="874"/>
      <c r="O445" s="874"/>
      <c r="P445" s="874"/>
      <c r="Q445" s="874"/>
      <c r="R445" s="874"/>
      <c r="S445" s="874"/>
      <c r="T445" s="874"/>
      <c r="U445" s="874"/>
      <c r="V445" s="874"/>
      <c r="W445" s="874"/>
      <c r="X445" s="874"/>
      <c r="Y445" s="874"/>
      <c r="Z445" s="874"/>
    </row>
    <row r="446" ht="63.75" customHeight="1">
      <c r="A446" s="874"/>
      <c r="B446" s="874"/>
      <c r="C446" s="874"/>
      <c r="D446" s="882"/>
      <c r="E446" s="874"/>
      <c r="F446" s="874"/>
      <c r="G446" s="864"/>
      <c r="H446" s="874"/>
      <c r="I446" s="874"/>
      <c r="J446" s="874"/>
      <c r="K446" s="874"/>
      <c r="L446" s="874"/>
      <c r="M446" s="874"/>
      <c r="N446" s="874"/>
      <c r="O446" s="874"/>
      <c r="P446" s="874"/>
      <c r="Q446" s="874"/>
      <c r="R446" s="874"/>
      <c r="S446" s="874"/>
      <c r="T446" s="874"/>
      <c r="U446" s="874"/>
      <c r="V446" s="874"/>
      <c r="W446" s="874"/>
      <c r="X446" s="874"/>
      <c r="Y446" s="874"/>
      <c r="Z446" s="874"/>
    </row>
    <row r="447" ht="63.75" customHeight="1">
      <c r="A447" s="874"/>
      <c r="B447" s="874"/>
      <c r="C447" s="874"/>
      <c r="D447" s="882"/>
      <c r="E447" s="874"/>
      <c r="F447" s="874"/>
      <c r="G447" s="864"/>
      <c r="H447" s="874"/>
      <c r="I447" s="874"/>
      <c r="J447" s="874"/>
      <c r="K447" s="874"/>
      <c r="L447" s="874"/>
      <c r="M447" s="874"/>
      <c r="N447" s="874"/>
      <c r="O447" s="874"/>
      <c r="P447" s="874"/>
      <c r="Q447" s="874"/>
      <c r="R447" s="874"/>
      <c r="S447" s="874"/>
      <c r="T447" s="874"/>
      <c r="U447" s="874"/>
      <c r="V447" s="874"/>
      <c r="W447" s="874"/>
      <c r="X447" s="874"/>
      <c r="Y447" s="874"/>
      <c r="Z447" s="874"/>
    </row>
    <row r="448" ht="63.75" customHeight="1">
      <c r="A448" s="874"/>
      <c r="B448" s="874"/>
      <c r="C448" s="874"/>
      <c r="D448" s="882"/>
      <c r="E448" s="874"/>
      <c r="F448" s="874"/>
      <c r="G448" s="864"/>
      <c r="H448" s="874"/>
      <c r="I448" s="874"/>
      <c r="J448" s="874"/>
      <c r="K448" s="874"/>
      <c r="L448" s="874"/>
      <c r="M448" s="874"/>
      <c r="N448" s="874"/>
      <c r="O448" s="874"/>
      <c r="P448" s="874"/>
      <c r="Q448" s="874"/>
      <c r="R448" s="874"/>
      <c r="S448" s="874"/>
      <c r="T448" s="874"/>
      <c r="U448" s="874"/>
      <c r="V448" s="874"/>
      <c r="W448" s="874"/>
      <c r="X448" s="874"/>
      <c r="Y448" s="874"/>
      <c r="Z448" s="874"/>
    </row>
    <row r="449" ht="63.75" customHeight="1">
      <c r="A449" s="874"/>
      <c r="B449" s="874"/>
      <c r="C449" s="874"/>
      <c r="D449" s="882"/>
      <c r="E449" s="874"/>
      <c r="F449" s="874"/>
      <c r="G449" s="864"/>
      <c r="H449" s="874"/>
      <c r="I449" s="874"/>
      <c r="J449" s="874"/>
      <c r="K449" s="874"/>
      <c r="L449" s="874"/>
      <c r="M449" s="874"/>
      <c r="N449" s="874"/>
      <c r="O449" s="874"/>
      <c r="P449" s="874"/>
      <c r="Q449" s="874"/>
      <c r="R449" s="874"/>
      <c r="S449" s="874"/>
      <c r="T449" s="874"/>
      <c r="U449" s="874"/>
      <c r="V449" s="874"/>
      <c r="W449" s="874"/>
      <c r="X449" s="874"/>
      <c r="Y449" s="874"/>
      <c r="Z449" s="874"/>
    </row>
    <row r="450" ht="63.75" customHeight="1">
      <c r="A450" s="874"/>
      <c r="B450" s="874"/>
      <c r="C450" s="874"/>
      <c r="D450" s="882"/>
      <c r="E450" s="874"/>
      <c r="F450" s="874"/>
      <c r="G450" s="864"/>
      <c r="H450" s="874"/>
      <c r="I450" s="874"/>
      <c r="J450" s="874"/>
      <c r="K450" s="874"/>
      <c r="L450" s="874"/>
      <c r="M450" s="874"/>
      <c r="N450" s="874"/>
      <c r="O450" s="874"/>
      <c r="P450" s="874"/>
      <c r="Q450" s="874"/>
      <c r="R450" s="874"/>
      <c r="S450" s="874"/>
      <c r="T450" s="874"/>
      <c r="U450" s="874"/>
      <c r="V450" s="874"/>
      <c r="W450" s="874"/>
      <c r="X450" s="874"/>
      <c r="Y450" s="874"/>
      <c r="Z450" s="874"/>
    </row>
    <row r="451" ht="63.75" customHeight="1">
      <c r="A451" s="874"/>
      <c r="B451" s="874"/>
      <c r="C451" s="874"/>
      <c r="D451" s="882"/>
      <c r="E451" s="874"/>
      <c r="F451" s="874"/>
      <c r="G451" s="864"/>
      <c r="H451" s="874"/>
      <c r="I451" s="874"/>
      <c r="J451" s="874"/>
      <c r="K451" s="874"/>
      <c r="L451" s="874"/>
      <c r="M451" s="874"/>
      <c r="N451" s="874"/>
      <c r="O451" s="874"/>
      <c r="P451" s="874"/>
      <c r="Q451" s="874"/>
      <c r="R451" s="874"/>
      <c r="S451" s="874"/>
      <c r="T451" s="874"/>
      <c r="U451" s="874"/>
      <c r="V451" s="874"/>
      <c r="W451" s="874"/>
      <c r="X451" s="874"/>
      <c r="Y451" s="874"/>
      <c r="Z451" s="874"/>
    </row>
    <row r="452" ht="63.75" customHeight="1">
      <c r="A452" s="874"/>
      <c r="B452" s="874"/>
      <c r="C452" s="874"/>
      <c r="D452" s="882"/>
      <c r="E452" s="874"/>
      <c r="F452" s="874"/>
      <c r="G452" s="864"/>
      <c r="H452" s="874"/>
      <c r="I452" s="874"/>
      <c r="J452" s="874"/>
      <c r="K452" s="874"/>
      <c r="L452" s="874"/>
      <c r="M452" s="874"/>
      <c r="N452" s="874"/>
      <c r="O452" s="874"/>
      <c r="P452" s="874"/>
      <c r="Q452" s="874"/>
      <c r="R452" s="874"/>
      <c r="S452" s="874"/>
      <c r="T452" s="874"/>
      <c r="U452" s="874"/>
      <c r="V452" s="874"/>
      <c r="W452" s="874"/>
      <c r="X452" s="874"/>
      <c r="Y452" s="874"/>
      <c r="Z452" s="874"/>
    </row>
    <row r="453" ht="63.75" customHeight="1">
      <c r="A453" s="874"/>
      <c r="B453" s="874"/>
      <c r="C453" s="874"/>
      <c r="D453" s="882"/>
      <c r="E453" s="874"/>
      <c r="F453" s="874"/>
      <c r="G453" s="864"/>
      <c r="H453" s="874"/>
      <c r="I453" s="874"/>
      <c r="J453" s="874"/>
      <c r="K453" s="874"/>
      <c r="L453" s="874"/>
      <c r="M453" s="874"/>
      <c r="N453" s="874"/>
      <c r="O453" s="874"/>
      <c r="P453" s="874"/>
      <c r="Q453" s="874"/>
      <c r="R453" s="874"/>
      <c r="S453" s="874"/>
      <c r="T453" s="874"/>
      <c r="U453" s="874"/>
      <c r="V453" s="874"/>
      <c r="W453" s="874"/>
      <c r="X453" s="874"/>
      <c r="Y453" s="874"/>
      <c r="Z453" s="874"/>
    </row>
    <row r="454" ht="63.75" customHeight="1">
      <c r="A454" s="874"/>
      <c r="B454" s="874"/>
      <c r="C454" s="874"/>
      <c r="D454" s="882"/>
      <c r="E454" s="874"/>
      <c r="F454" s="874"/>
      <c r="G454" s="864"/>
      <c r="H454" s="874"/>
      <c r="I454" s="874"/>
      <c r="J454" s="874"/>
      <c r="K454" s="874"/>
      <c r="L454" s="874"/>
      <c r="M454" s="874"/>
      <c r="N454" s="874"/>
      <c r="O454" s="874"/>
      <c r="P454" s="874"/>
      <c r="Q454" s="874"/>
      <c r="R454" s="874"/>
      <c r="S454" s="874"/>
      <c r="T454" s="874"/>
      <c r="U454" s="874"/>
      <c r="V454" s="874"/>
      <c r="W454" s="874"/>
      <c r="X454" s="874"/>
      <c r="Y454" s="874"/>
      <c r="Z454" s="874"/>
    </row>
    <row r="455" ht="63.75" customHeight="1">
      <c r="A455" s="874"/>
      <c r="B455" s="874"/>
      <c r="C455" s="874"/>
      <c r="D455" s="882"/>
      <c r="E455" s="874"/>
      <c r="F455" s="874"/>
      <c r="G455" s="864"/>
      <c r="H455" s="874"/>
      <c r="I455" s="874"/>
      <c r="J455" s="874"/>
      <c r="K455" s="874"/>
      <c r="L455" s="874"/>
      <c r="M455" s="874"/>
      <c r="N455" s="874"/>
      <c r="O455" s="874"/>
      <c r="P455" s="874"/>
      <c r="Q455" s="874"/>
      <c r="R455" s="874"/>
      <c r="S455" s="874"/>
      <c r="T455" s="874"/>
      <c r="U455" s="874"/>
      <c r="V455" s="874"/>
      <c r="W455" s="874"/>
      <c r="X455" s="874"/>
      <c r="Y455" s="874"/>
      <c r="Z455" s="874"/>
    </row>
    <row r="456" ht="63.75" customHeight="1">
      <c r="A456" s="874"/>
      <c r="B456" s="874"/>
      <c r="C456" s="874"/>
      <c r="D456" s="882"/>
      <c r="E456" s="874"/>
      <c r="F456" s="874"/>
      <c r="G456" s="864"/>
      <c r="H456" s="874"/>
      <c r="I456" s="874"/>
      <c r="J456" s="874"/>
      <c r="K456" s="874"/>
      <c r="L456" s="874"/>
      <c r="M456" s="874"/>
      <c r="N456" s="874"/>
      <c r="O456" s="874"/>
      <c r="P456" s="874"/>
      <c r="Q456" s="874"/>
      <c r="R456" s="874"/>
      <c r="S456" s="874"/>
      <c r="T456" s="874"/>
      <c r="U456" s="874"/>
      <c r="V456" s="874"/>
      <c r="W456" s="874"/>
      <c r="X456" s="874"/>
      <c r="Y456" s="874"/>
      <c r="Z456" s="874"/>
    </row>
    <row r="457" ht="63.75" customHeight="1">
      <c r="A457" s="874"/>
      <c r="B457" s="874"/>
      <c r="C457" s="874"/>
      <c r="D457" s="882"/>
      <c r="E457" s="874"/>
      <c r="F457" s="874"/>
      <c r="G457" s="864"/>
      <c r="H457" s="874"/>
      <c r="I457" s="874"/>
      <c r="J457" s="874"/>
      <c r="K457" s="874"/>
      <c r="L457" s="874"/>
      <c r="M457" s="874"/>
      <c r="N457" s="874"/>
      <c r="O457" s="874"/>
      <c r="P457" s="874"/>
      <c r="Q457" s="874"/>
      <c r="R457" s="874"/>
      <c r="S457" s="874"/>
      <c r="T457" s="874"/>
      <c r="U457" s="874"/>
      <c r="V457" s="874"/>
      <c r="W457" s="874"/>
      <c r="X457" s="874"/>
      <c r="Y457" s="874"/>
      <c r="Z457" s="874"/>
    </row>
    <row r="458" ht="63.75" customHeight="1">
      <c r="A458" s="874"/>
      <c r="B458" s="874"/>
      <c r="C458" s="874"/>
      <c r="D458" s="882"/>
      <c r="E458" s="874"/>
      <c r="F458" s="874"/>
      <c r="G458" s="864"/>
      <c r="H458" s="874"/>
      <c r="I458" s="874"/>
      <c r="J458" s="874"/>
      <c r="K458" s="874"/>
      <c r="L458" s="874"/>
      <c r="M458" s="874"/>
      <c r="N458" s="874"/>
      <c r="O458" s="874"/>
      <c r="P458" s="874"/>
      <c r="Q458" s="874"/>
      <c r="R458" s="874"/>
      <c r="S458" s="874"/>
      <c r="T458" s="874"/>
      <c r="U458" s="874"/>
      <c r="V458" s="874"/>
      <c r="W458" s="874"/>
      <c r="X458" s="874"/>
      <c r="Y458" s="874"/>
      <c r="Z458" s="874"/>
    </row>
    <row r="459" ht="63.75" customHeight="1">
      <c r="A459" s="874"/>
      <c r="B459" s="874"/>
      <c r="C459" s="874"/>
      <c r="D459" s="882"/>
      <c r="E459" s="874"/>
      <c r="F459" s="874"/>
      <c r="G459" s="864"/>
      <c r="H459" s="874"/>
      <c r="I459" s="874"/>
      <c r="J459" s="874"/>
      <c r="K459" s="874"/>
      <c r="L459" s="874"/>
      <c r="M459" s="874"/>
      <c r="N459" s="874"/>
      <c r="O459" s="874"/>
      <c r="P459" s="874"/>
      <c r="Q459" s="874"/>
      <c r="R459" s="874"/>
      <c r="S459" s="874"/>
      <c r="T459" s="874"/>
      <c r="U459" s="874"/>
      <c r="V459" s="874"/>
      <c r="W459" s="874"/>
      <c r="X459" s="874"/>
      <c r="Y459" s="874"/>
      <c r="Z459" s="874"/>
    </row>
    <row r="460" ht="63.75" customHeight="1">
      <c r="A460" s="874"/>
      <c r="B460" s="874"/>
      <c r="C460" s="874"/>
      <c r="D460" s="882"/>
      <c r="E460" s="874"/>
      <c r="F460" s="874"/>
      <c r="G460" s="864"/>
      <c r="H460" s="874"/>
      <c r="I460" s="874"/>
      <c r="J460" s="874"/>
      <c r="K460" s="874"/>
      <c r="L460" s="874"/>
      <c r="M460" s="874"/>
      <c r="N460" s="874"/>
      <c r="O460" s="874"/>
      <c r="P460" s="874"/>
      <c r="Q460" s="874"/>
      <c r="R460" s="874"/>
      <c r="S460" s="874"/>
      <c r="T460" s="874"/>
      <c r="U460" s="874"/>
      <c r="V460" s="874"/>
      <c r="W460" s="874"/>
      <c r="X460" s="874"/>
      <c r="Y460" s="874"/>
      <c r="Z460" s="874"/>
    </row>
    <row r="461" ht="63.75" customHeight="1">
      <c r="A461" s="874"/>
      <c r="B461" s="874"/>
      <c r="C461" s="874"/>
      <c r="D461" s="882"/>
      <c r="E461" s="874"/>
      <c r="F461" s="874"/>
      <c r="G461" s="864"/>
      <c r="H461" s="874"/>
      <c r="I461" s="874"/>
      <c r="J461" s="874"/>
      <c r="K461" s="874"/>
      <c r="L461" s="874"/>
      <c r="M461" s="874"/>
      <c r="N461" s="874"/>
      <c r="O461" s="874"/>
      <c r="P461" s="874"/>
      <c r="Q461" s="874"/>
      <c r="R461" s="874"/>
      <c r="S461" s="874"/>
      <c r="T461" s="874"/>
      <c r="U461" s="874"/>
      <c r="V461" s="874"/>
      <c r="W461" s="874"/>
      <c r="X461" s="874"/>
      <c r="Y461" s="874"/>
      <c r="Z461" s="874"/>
    </row>
    <row r="462" ht="63.75" customHeight="1">
      <c r="A462" s="874"/>
      <c r="B462" s="874"/>
      <c r="C462" s="874"/>
      <c r="D462" s="882"/>
      <c r="E462" s="874"/>
      <c r="F462" s="874"/>
      <c r="G462" s="864"/>
      <c r="H462" s="874"/>
      <c r="I462" s="874"/>
      <c r="J462" s="874"/>
      <c r="K462" s="874"/>
      <c r="L462" s="874"/>
      <c r="M462" s="874"/>
      <c r="N462" s="874"/>
      <c r="O462" s="874"/>
      <c r="P462" s="874"/>
      <c r="Q462" s="874"/>
      <c r="R462" s="874"/>
      <c r="S462" s="874"/>
      <c r="T462" s="874"/>
      <c r="U462" s="874"/>
      <c r="V462" s="874"/>
      <c r="W462" s="874"/>
      <c r="X462" s="874"/>
      <c r="Y462" s="874"/>
      <c r="Z462" s="874"/>
    </row>
    <row r="463" ht="63.75" customHeight="1">
      <c r="A463" s="874"/>
      <c r="B463" s="874"/>
      <c r="C463" s="874"/>
      <c r="D463" s="882"/>
      <c r="E463" s="874"/>
      <c r="F463" s="874"/>
      <c r="G463" s="864"/>
      <c r="H463" s="874"/>
      <c r="I463" s="874"/>
      <c r="J463" s="874"/>
      <c r="K463" s="874"/>
      <c r="L463" s="874"/>
      <c r="M463" s="874"/>
      <c r="N463" s="874"/>
      <c r="O463" s="874"/>
      <c r="P463" s="874"/>
      <c r="Q463" s="874"/>
      <c r="R463" s="874"/>
      <c r="S463" s="874"/>
      <c r="T463" s="874"/>
      <c r="U463" s="874"/>
      <c r="V463" s="874"/>
      <c r="W463" s="874"/>
      <c r="X463" s="874"/>
      <c r="Y463" s="874"/>
      <c r="Z463" s="874"/>
    </row>
    <row r="464" ht="63.75" customHeight="1">
      <c r="A464" s="874"/>
      <c r="B464" s="874"/>
      <c r="C464" s="874"/>
      <c r="D464" s="882"/>
      <c r="E464" s="874"/>
      <c r="F464" s="874"/>
      <c r="G464" s="864"/>
      <c r="H464" s="874"/>
      <c r="I464" s="874"/>
      <c r="J464" s="874"/>
      <c r="K464" s="874"/>
      <c r="L464" s="874"/>
      <c r="M464" s="874"/>
      <c r="N464" s="874"/>
      <c r="O464" s="874"/>
      <c r="P464" s="874"/>
      <c r="Q464" s="874"/>
      <c r="R464" s="874"/>
      <c r="S464" s="874"/>
      <c r="T464" s="874"/>
      <c r="U464" s="874"/>
      <c r="V464" s="874"/>
      <c r="W464" s="874"/>
      <c r="X464" s="874"/>
      <c r="Y464" s="874"/>
      <c r="Z464" s="874"/>
    </row>
    <row r="465" ht="63.75" customHeight="1">
      <c r="A465" s="874"/>
      <c r="B465" s="874"/>
      <c r="C465" s="874"/>
      <c r="D465" s="882"/>
      <c r="E465" s="874"/>
      <c r="F465" s="874"/>
      <c r="G465" s="864"/>
      <c r="H465" s="874"/>
      <c r="I465" s="874"/>
      <c r="J465" s="874"/>
      <c r="K465" s="874"/>
      <c r="L465" s="874"/>
      <c r="M465" s="874"/>
      <c r="N465" s="874"/>
      <c r="O465" s="874"/>
      <c r="P465" s="874"/>
      <c r="Q465" s="874"/>
      <c r="R465" s="874"/>
      <c r="S465" s="874"/>
      <c r="T465" s="874"/>
      <c r="U465" s="874"/>
      <c r="V465" s="874"/>
      <c r="W465" s="874"/>
      <c r="X465" s="874"/>
      <c r="Y465" s="874"/>
      <c r="Z465" s="874"/>
    </row>
    <row r="466" ht="63.75" customHeight="1">
      <c r="A466" s="874"/>
      <c r="B466" s="874"/>
      <c r="C466" s="874"/>
      <c r="D466" s="882"/>
      <c r="E466" s="874"/>
      <c r="F466" s="874"/>
      <c r="G466" s="864"/>
      <c r="H466" s="874"/>
      <c r="I466" s="874"/>
      <c r="J466" s="874"/>
      <c r="K466" s="874"/>
      <c r="L466" s="874"/>
      <c r="M466" s="874"/>
      <c r="N466" s="874"/>
      <c r="O466" s="874"/>
      <c r="P466" s="874"/>
      <c r="Q466" s="874"/>
      <c r="R466" s="874"/>
      <c r="S466" s="874"/>
      <c r="T466" s="874"/>
      <c r="U466" s="874"/>
      <c r="V466" s="874"/>
      <c r="W466" s="874"/>
      <c r="X466" s="874"/>
      <c r="Y466" s="874"/>
      <c r="Z466" s="874"/>
    </row>
    <row r="467" ht="63.75" customHeight="1">
      <c r="A467" s="874"/>
      <c r="B467" s="874"/>
      <c r="C467" s="874"/>
      <c r="D467" s="882"/>
      <c r="E467" s="874"/>
      <c r="F467" s="874"/>
      <c r="G467" s="864"/>
      <c r="H467" s="874"/>
      <c r="I467" s="874"/>
      <c r="J467" s="874"/>
      <c r="K467" s="874"/>
      <c r="L467" s="874"/>
      <c r="M467" s="874"/>
      <c r="N467" s="874"/>
      <c r="O467" s="874"/>
      <c r="P467" s="874"/>
      <c r="Q467" s="874"/>
      <c r="R467" s="874"/>
      <c r="S467" s="874"/>
      <c r="T467" s="874"/>
      <c r="U467" s="874"/>
      <c r="V467" s="874"/>
      <c r="W467" s="874"/>
      <c r="X467" s="874"/>
      <c r="Y467" s="874"/>
      <c r="Z467" s="874"/>
    </row>
    <row r="468" ht="63.75" customHeight="1">
      <c r="A468" s="874"/>
      <c r="B468" s="874"/>
      <c r="C468" s="874"/>
      <c r="D468" s="882"/>
      <c r="E468" s="874"/>
      <c r="F468" s="874"/>
      <c r="G468" s="864"/>
      <c r="H468" s="874"/>
      <c r="I468" s="874"/>
      <c r="J468" s="874"/>
      <c r="K468" s="874"/>
      <c r="L468" s="874"/>
      <c r="M468" s="874"/>
      <c r="N468" s="874"/>
      <c r="O468" s="874"/>
      <c r="P468" s="874"/>
      <c r="Q468" s="874"/>
      <c r="R468" s="874"/>
      <c r="S468" s="874"/>
      <c r="T468" s="874"/>
      <c r="U468" s="874"/>
      <c r="V468" s="874"/>
      <c r="W468" s="874"/>
      <c r="X468" s="874"/>
      <c r="Y468" s="874"/>
      <c r="Z468" s="874"/>
    </row>
    <row r="469" ht="63.75" customHeight="1">
      <c r="A469" s="874"/>
      <c r="B469" s="874"/>
      <c r="C469" s="874"/>
      <c r="D469" s="882"/>
      <c r="E469" s="874"/>
      <c r="F469" s="874"/>
      <c r="G469" s="864"/>
      <c r="H469" s="874"/>
      <c r="I469" s="874"/>
      <c r="J469" s="874"/>
      <c r="K469" s="874"/>
      <c r="L469" s="874"/>
      <c r="M469" s="874"/>
      <c r="N469" s="874"/>
      <c r="O469" s="874"/>
      <c r="P469" s="874"/>
      <c r="Q469" s="874"/>
      <c r="R469" s="874"/>
      <c r="S469" s="874"/>
      <c r="T469" s="874"/>
      <c r="U469" s="874"/>
      <c r="V469" s="874"/>
      <c r="W469" s="874"/>
      <c r="X469" s="874"/>
      <c r="Y469" s="874"/>
      <c r="Z469" s="874"/>
    </row>
    <row r="470" ht="63.75" customHeight="1">
      <c r="A470" s="874"/>
      <c r="B470" s="874"/>
      <c r="C470" s="874"/>
      <c r="D470" s="882"/>
      <c r="E470" s="874"/>
      <c r="F470" s="874"/>
      <c r="G470" s="864"/>
      <c r="H470" s="874"/>
      <c r="I470" s="874"/>
      <c r="J470" s="874"/>
      <c r="K470" s="874"/>
      <c r="L470" s="874"/>
      <c r="M470" s="874"/>
      <c r="N470" s="874"/>
      <c r="O470" s="874"/>
      <c r="P470" s="874"/>
      <c r="Q470" s="874"/>
      <c r="R470" s="874"/>
      <c r="S470" s="874"/>
      <c r="T470" s="874"/>
      <c r="U470" s="874"/>
      <c r="V470" s="874"/>
      <c r="W470" s="874"/>
      <c r="X470" s="874"/>
      <c r="Y470" s="874"/>
      <c r="Z470" s="874"/>
    </row>
    <row r="471" ht="63.75" customHeight="1">
      <c r="A471" s="874"/>
      <c r="B471" s="874"/>
      <c r="C471" s="874"/>
      <c r="D471" s="882"/>
      <c r="E471" s="874"/>
      <c r="F471" s="874"/>
      <c r="G471" s="864"/>
      <c r="H471" s="874"/>
      <c r="I471" s="874"/>
      <c r="J471" s="874"/>
      <c r="K471" s="874"/>
      <c r="L471" s="874"/>
      <c r="M471" s="874"/>
      <c r="N471" s="874"/>
      <c r="O471" s="874"/>
      <c r="P471" s="874"/>
      <c r="Q471" s="874"/>
      <c r="R471" s="874"/>
      <c r="S471" s="874"/>
      <c r="T471" s="874"/>
      <c r="U471" s="874"/>
      <c r="V471" s="874"/>
      <c r="W471" s="874"/>
      <c r="X471" s="874"/>
      <c r="Y471" s="874"/>
      <c r="Z471" s="874"/>
    </row>
    <row r="472" ht="63.75" customHeight="1">
      <c r="A472" s="874"/>
      <c r="B472" s="874"/>
      <c r="C472" s="874"/>
      <c r="D472" s="882"/>
      <c r="E472" s="874"/>
      <c r="F472" s="874"/>
      <c r="G472" s="864"/>
      <c r="H472" s="874"/>
      <c r="I472" s="874"/>
      <c r="J472" s="874"/>
      <c r="K472" s="874"/>
      <c r="L472" s="874"/>
      <c r="M472" s="874"/>
      <c r="N472" s="874"/>
      <c r="O472" s="874"/>
      <c r="P472" s="874"/>
      <c r="Q472" s="874"/>
      <c r="R472" s="874"/>
      <c r="S472" s="874"/>
      <c r="T472" s="874"/>
      <c r="U472" s="874"/>
      <c r="V472" s="874"/>
      <c r="W472" s="874"/>
      <c r="X472" s="874"/>
      <c r="Y472" s="874"/>
      <c r="Z472" s="874"/>
    </row>
    <row r="473" ht="63.75" customHeight="1">
      <c r="A473" s="874"/>
      <c r="B473" s="874"/>
      <c r="C473" s="874"/>
      <c r="D473" s="882"/>
      <c r="E473" s="874"/>
      <c r="F473" s="874"/>
      <c r="G473" s="864"/>
      <c r="H473" s="874"/>
      <c r="I473" s="874"/>
      <c r="J473" s="874"/>
      <c r="K473" s="874"/>
      <c r="L473" s="874"/>
      <c r="M473" s="874"/>
      <c r="N473" s="874"/>
      <c r="O473" s="874"/>
      <c r="P473" s="874"/>
      <c r="Q473" s="874"/>
      <c r="R473" s="874"/>
      <c r="S473" s="874"/>
      <c r="T473" s="874"/>
      <c r="U473" s="874"/>
      <c r="V473" s="874"/>
      <c r="W473" s="874"/>
      <c r="X473" s="874"/>
      <c r="Y473" s="874"/>
      <c r="Z473" s="874"/>
    </row>
    <row r="474" ht="63.75" customHeight="1">
      <c r="A474" s="874"/>
      <c r="B474" s="874"/>
      <c r="C474" s="874"/>
      <c r="D474" s="882"/>
      <c r="E474" s="874"/>
      <c r="F474" s="874"/>
      <c r="G474" s="864"/>
      <c r="H474" s="874"/>
      <c r="I474" s="874"/>
      <c r="J474" s="874"/>
      <c r="K474" s="874"/>
      <c r="L474" s="874"/>
      <c r="M474" s="874"/>
      <c r="N474" s="874"/>
      <c r="O474" s="874"/>
      <c r="P474" s="874"/>
      <c r="Q474" s="874"/>
      <c r="R474" s="874"/>
      <c r="S474" s="874"/>
      <c r="T474" s="874"/>
      <c r="U474" s="874"/>
      <c r="V474" s="874"/>
      <c r="W474" s="874"/>
      <c r="X474" s="874"/>
      <c r="Y474" s="874"/>
      <c r="Z474" s="874"/>
    </row>
    <row r="475" ht="63.75" customHeight="1">
      <c r="A475" s="874"/>
      <c r="B475" s="874"/>
      <c r="C475" s="874"/>
      <c r="D475" s="882"/>
      <c r="E475" s="874"/>
      <c r="F475" s="874"/>
      <c r="G475" s="864"/>
      <c r="H475" s="874"/>
      <c r="I475" s="874"/>
      <c r="J475" s="874"/>
      <c r="K475" s="874"/>
      <c r="L475" s="874"/>
      <c r="M475" s="874"/>
      <c r="N475" s="874"/>
      <c r="O475" s="874"/>
      <c r="P475" s="874"/>
      <c r="Q475" s="874"/>
      <c r="R475" s="874"/>
      <c r="S475" s="874"/>
      <c r="T475" s="874"/>
      <c r="U475" s="874"/>
      <c r="V475" s="874"/>
      <c r="W475" s="874"/>
      <c r="X475" s="874"/>
      <c r="Y475" s="874"/>
      <c r="Z475" s="874"/>
    </row>
    <row r="476" ht="63.75" customHeight="1">
      <c r="A476" s="874"/>
      <c r="B476" s="874"/>
      <c r="C476" s="874"/>
      <c r="D476" s="882"/>
      <c r="E476" s="874"/>
      <c r="F476" s="874"/>
      <c r="G476" s="864"/>
      <c r="H476" s="874"/>
      <c r="I476" s="874"/>
      <c r="J476" s="874"/>
      <c r="K476" s="874"/>
      <c r="L476" s="874"/>
      <c r="M476" s="874"/>
      <c r="N476" s="874"/>
      <c r="O476" s="874"/>
      <c r="P476" s="874"/>
      <c r="Q476" s="874"/>
      <c r="R476" s="874"/>
      <c r="S476" s="874"/>
      <c r="T476" s="874"/>
      <c r="U476" s="874"/>
      <c r="V476" s="874"/>
      <c r="W476" s="874"/>
      <c r="X476" s="874"/>
      <c r="Y476" s="874"/>
      <c r="Z476" s="874"/>
    </row>
    <row r="477" ht="63.75" customHeight="1">
      <c r="A477" s="874"/>
      <c r="B477" s="874"/>
      <c r="C477" s="874"/>
      <c r="D477" s="882"/>
      <c r="E477" s="874"/>
      <c r="F477" s="874"/>
      <c r="G477" s="864"/>
      <c r="H477" s="874"/>
      <c r="I477" s="874"/>
      <c r="J477" s="874"/>
      <c r="K477" s="874"/>
      <c r="L477" s="874"/>
      <c r="M477" s="874"/>
      <c r="N477" s="874"/>
      <c r="O477" s="874"/>
      <c r="P477" s="874"/>
      <c r="Q477" s="874"/>
      <c r="R477" s="874"/>
      <c r="S477" s="874"/>
      <c r="T477" s="874"/>
      <c r="U477" s="874"/>
      <c r="V477" s="874"/>
      <c r="W477" s="874"/>
      <c r="X477" s="874"/>
      <c r="Y477" s="874"/>
      <c r="Z477" s="874"/>
    </row>
    <row r="478" ht="63.75" customHeight="1">
      <c r="A478" s="874"/>
      <c r="B478" s="874"/>
      <c r="C478" s="874"/>
      <c r="D478" s="882"/>
      <c r="E478" s="874"/>
      <c r="F478" s="874"/>
      <c r="G478" s="864"/>
      <c r="H478" s="874"/>
      <c r="I478" s="874"/>
      <c r="J478" s="874"/>
      <c r="K478" s="874"/>
      <c r="L478" s="874"/>
      <c r="M478" s="874"/>
      <c r="N478" s="874"/>
      <c r="O478" s="874"/>
      <c r="P478" s="874"/>
      <c r="Q478" s="874"/>
      <c r="R478" s="874"/>
      <c r="S478" s="874"/>
      <c r="T478" s="874"/>
      <c r="U478" s="874"/>
      <c r="V478" s="874"/>
      <c r="W478" s="874"/>
      <c r="X478" s="874"/>
      <c r="Y478" s="874"/>
      <c r="Z478" s="874"/>
    </row>
    <row r="479" ht="63.75" customHeight="1">
      <c r="A479" s="874"/>
      <c r="B479" s="874"/>
      <c r="C479" s="874"/>
      <c r="D479" s="882"/>
      <c r="E479" s="874"/>
      <c r="F479" s="874"/>
      <c r="G479" s="864"/>
      <c r="H479" s="874"/>
      <c r="I479" s="874"/>
      <c r="J479" s="874"/>
      <c r="K479" s="874"/>
      <c r="L479" s="874"/>
      <c r="M479" s="874"/>
      <c r="N479" s="874"/>
      <c r="O479" s="874"/>
      <c r="P479" s="874"/>
      <c r="Q479" s="874"/>
      <c r="R479" s="874"/>
      <c r="S479" s="874"/>
      <c r="T479" s="874"/>
      <c r="U479" s="874"/>
      <c r="V479" s="874"/>
      <c r="W479" s="874"/>
      <c r="X479" s="874"/>
      <c r="Y479" s="874"/>
      <c r="Z479" s="874"/>
    </row>
    <row r="480" ht="63.75" customHeight="1">
      <c r="A480" s="874"/>
      <c r="B480" s="874"/>
      <c r="C480" s="874"/>
      <c r="D480" s="882"/>
      <c r="E480" s="874"/>
      <c r="F480" s="874"/>
      <c r="G480" s="864"/>
      <c r="H480" s="874"/>
      <c r="I480" s="874"/>
      <c r="J480" s="874"/>
      <c r="K480" s="874"/>
      <c r="L480" s="874"/>
      <c r="M480" s="874"/>
      <c r="N480" s="874"/>
      <c r="O480" s="874"/>
      <c r="P480" s="874"/>
      <c r="Q480" s="874"/>
      <c r="R480" s="874"/>
      <c r="S480" s="874"/>
      <c r="T480" s="874"/>
      <c r="U480" s="874"/>
      <c r="V480" s="874"/>
      <c r="W480" s="874"/>
      <c r="X480" s="874"/>
      <c r="Y480" s="874"/>
      <c r="Z480" s="874"/>
    </row>
    <row r="481" ht="63.75" customHeight="1">
      <c r="A481" s="874"/>
      <c r="B481" s="874"/>
      <c r="C481" s="874"/>
      <c r="D481" s="882"/>
      <c r="E481" s="874"/>
      <c r="F481" s="874"/>
      <c r="G481" s="864"/>
      <c r="H481" s="874"/>
      <c r="I481" s="874"/>
      <c r="J481" s="874"/>
      <c r="K481" s="874"/>
      <c r="L481" s="874"/>
      <c r="M481" s="874"/>
      <c r="N481" s="874"/>
      <c r="O481" s="874"/>
      <c r="P481" s="874"/>
      <c r="Q481" s="874"/>
      <c r="R481" s="874"/>
      <c r="S481" s="874"/>
      <c r="T481" s="874"/>
      <c r="U481" s="874"/>
      <c r="V481" s="874"/>
      <c r="W481" s="874"/>
      <c r="X481" s="874"/>
      <c r="Y481" s="874"/>
      <c r="Z481" s="874"/>
    </row>
    <row r="482" ht="63.75" customHeight="1">
      <c r="A482" s="874"/>
      <c r="B482" s="874"/>
      <c r="C482" s="874"/>
      <c r="D482" s="882"/>
      <c r="E482" s="874"/>
      <c r="F482" s="874"/>
      <c r="G482" s="864"/>
      <c r="H482" s="874"/>
      <c r="I482" s="874"/>
      <c r="J482" s="874"/>
      <c r="K482" s="874"/>
      <c r="L482" s="874"/>
      <c r="M482" s="874"/>
      <c r="N482" s="874"/>
      <c r="O482" s="874"/>
      <c r="P482" s="874"/>
      <c r="Q482" s="874"/>
      <c r="R482" s="874"/>
      <c r="S482" s="874"/>
      <c r="T482" s="874"/>
      <c r="U482" s="874"/>
      <c r="V482" s="874"/>
      <c r="W482" s="874"/>
      <c r="X482" s="874"/>
      <c r="Y482" s="874"/>
      <c r="Z482" s="874"/>
    </row>
    <row r="483" ht="63.75" customHeight="1">
      <c r="A483" s="874"/>
      <c r="B483" s="874"/>
      <c r="C483" s="874"/>
      <c r="D483" s="882"/>
      <c r="E483" s="874"/>
      <c r="F483" s="874"/>
      <c r="G483" s="864"/>
      <c r="H483" s="874"/>
      <c r="I483" s="874"/>
      <c r="J483" s="874"/>
      <c r="K483" s="874"/>
      <c r="L483" s="874"/>
      <c r="M483" s="874"/>
      <c r="N483" s="874"/>
      <c r="O483" s="874"/>
      <c r="P483" s="874"/>
      <c r="Q483" s="874"/>
      <c r="R483" s="874"/>
      <c r="S483" s="874"/>
      <c r="T483" s="874"/>
      <c r="U483" s="874"/>
      <c r="V483" s="874"/>
      <c r="W483" s="874"/>
      <c r="X483" s="874"/>
      <c r="Y483" s="874"/>
      <c r="Z483" s="874"/>
    </row>
    <row r="484" ht="63.75" customHeight="1">
      <c r="A484" s="874"/>
      <c r="B484" s="874"/>
      <c r="C484" s="874"/>
      <c r="D484" s="882"/>
      <c r="E484" s="874"/>
      <c r="F484" s="874"/>
      <c r="G484" s="864"/>
      <c r="H484" s="874"/>
      <c r="I484" s="874"/>
      <c r="J484" s="874"/>
      <c r="K484" s="874"/>
      <c r="L484" s="874"/>
      <c r="M484" s="874"/>
      <c r="N484" s="874"/>
      <c r="O484" s="874"/>
      <c r="P484" s="874"/>
      <c r="Q484" s="874"/>
      <c r="R484" s="874"/>
      <c r="S484" s="874"/>
      <c r="T484" s="874"/>
      <c r="U484" s="874"/>
      <c r="V484" s="874"/>
      <c r="W484" s="874"/>
      <c r="X484" s="874"/>
      <c r="Y484" s="874"/>
      <c r="Z484" s="874"/>
    </row>
    <row r="485" ht="63.75" customHeight="1">
      <c r="A485" s="874"/>
      <c r="B485" s="874"/>
      <c r="C485" s="874"/>
      <c r="D485" s="882"/>
      <c r="E485" s="874"/>
      <c r="F485" s="874"/>
      <c r="G485" s="864"/>
      <c r="H485" s="874"/>
      <c r="I485" s="874"/>
      <c r="J485" s="874"/>
      <c r="K485" s="874"/>
      <c r="L485" s="874"/>
      <c r="M485" s="874"/>
      <c r="N485" s="874"/>
      <c r="O485" s="874"/>
      <c r="P485" s="874"/>
      <c r="Q485" s="874"/>
      <c r="R485" s="874"/>
      <c r="S485" s="874"/>
      <c r="T485" s="874"/>
      <c r="U485" s="874"/>
      <c r="V485" s="874"/>
      <c r="W485" s="874"/>
      <c r="X485" s="874"/>
      <c r="Y485" s="874"/>
      <c r="Z485" s="874"/>
    </row>
    <row r="486" ht="63.75" customHeight="1">
      <c r="A486" s="874"/>
      <c r="B486" s="874"/>
      <c r="C486" s="874"/>
      <c r="D486" s="882"/>
      <c r="E486" s="874"/>
      <c r="F486" s="874"/>
      <c r="G486" s="864"/>
      <c r="H486" s="874"/>
      <c r="I486" s="874"/>
      <c r="J486" s="874"/>
      <c r="K486" s="874"/>
      <c r="L486" s="874"/>
      <c r="M486" s="874"/>
      <c r="N486" s="874"/>
      <c r="O486" s="874"/>
      <c r="P486" s="874"/>
      <c r="Q486" s="874"/>
      <c r="R486" s="874"/>
      <c r="S486" s="874"/>
      <c r="T486" s="874"/>
      <c r="U486" s="874"/>
      <c r="V486" s="874"/>
      <c r="W486" s="874"/>
      <c r="X486" s="874"/>
      <c r="Y486" s="874"/>
      <c r="Z486" s="874"/>
    </row>
    <row r="487" ht="63.75" customHeight="1">
      <c r="A487" s="874"/>
      <c r="B487" s="874"/>
      <c r="C487" s="874"/>
      <c r="D487" s="882"/>
      <c r="E487" s="874"/>
      <c r="F487" s="874"/>
      <c r="G487" s="864"/>
      <c r="H487" s="874"/>
      <c r="I487" s="874"/>
      <c r="J487" s="874"/>
      <c r="K487" s="874"/>
      <c r="L487" s="874"/>
      <c r="M487" s="874"/>
      <c r="N487" s="874"/>
      <c r="O487" s="874"/>
      <c r="P487" s="874"/>
      <c r="Q487" s="874"/>
      <c r="R487" s="874"/>
      <c r="S487" s="874"/>
      <c r="T487" s="874"/>
      <c r="U487" s="874"/>
      <c r="V487" s="874"/>
      <c r="W487" s="874"/>
      <c r="X487" s="874"/>
      <c r="Y487" s="874"/>
      <c r="Z487" s="874"/>
    </row>
    <row r="488" ht="63.75" customHeight="1">
      <c r="A488" s="874"/>
      <c r="B488" s="874"/>
      <c r="C488" s="874"/>
      <c r="D488" s="882"/>
      <c r="E488" s="874"/>
      <c r="F488" s="874"/>
      <c r="G488" s="864"/>
      <c r="H488" s="874"/>
      <c r="I488" s="874"/>
      <c r="J488" s="874"/>
      <c r="K488" s="874"/>
      <c r="L488" s="874"/>
      <c r="M488" s="874"/>
      <c r="N488" s="874"/>
      <c r="O488" s="874"/>
      <c r="P488" s="874"/>
      <c r="Q488" s="874"/>
      <c r="R488" s="874"/>
      <c r="S488" s="874"/>
      <c r="T488" s="874"/>
      <c r="U488" s="874"/>
      <c r="V488" s="874"/>
      <c r="W488" s="874"/>
      <c r="X488" s="874"/>
      <c r="Y488" s="874"/>
      <c r="Z488" s="874"/>
    </row>
    <row r="489" ht="63.75" customHeight="1">
      <c r="A489" s="874"/>
      <c r="B489" s="874"/>
      <c r="C489" s="874"/>
      <c r="D489" s="882"/>
      <c r="E489" s="874"/>
      <c r="F489" s="874"/>
      <c r="G489" s="864"/>
      <c r="H489" s="874"/>
      <c r="I489" s="874"/>
      <c r="J489" s="874"/>
      <c r="K489" s="874"/>
      <c r="L489" s="874"/>
      <c r="M489" s="874"/>
      <c r="N489" s="874"/>
      <c r="O489" s="874"/>
      <c r="P489" s="874"/>
      <c r="Q489" s="874"/>
      <c r="R489" s="874"/>
      <c r="S489" s="874"/>
      <c r="T489" s="874"/>
      <c r="U489" s="874"/>
      <c r="V489" s="874"/>
      <c r="W489" s="874"/>
      <c r="X489" s="874"/>
      <c r="Y489" s="874"/>
      <c r="Z489" s="874"/>
    </row>
    <row r="490" ht="63.75" customHeight="1">
      <c r="A490" s="874"/>
      <c r="B490" s="874"/>
      <c r="C490" s="874"/>
      <c r="D490" s="882"/>
      <c r="E490" s="874"/>
      <c r="F490" s="874"/>
      <c r="G490" s="864"/>
      <c r="H490" s="874"/>
      <c r="I490" s="874"/>
      <c r="J490" s="874"/>
      <c r="K490" s="874"/>
      <c r="L490" s="874"/>
      <c r="M490" s="874"/>
      <c r="N490" s="874"/>
      <c r="O490" s="874"/>
      <c r="P490" s="874"/>
      <c r="Q490" s="874"/>
      <c r="R490" s="874"/>
      <c r="S490" s="874"/>
      <c r="T490" s="874"/>
      <c r="U490" s="874"/>
      <c r="V490" s="874"/>
      <c r="W490" s="874"/>
      <c r="X490" s="874"/>
      <c r="Y490" s="874"/>
      <c r="Z490" s="874"/>
    </row>
    <row r="491" ht="63.75" customHeight="1">
      <c r="A491" s="874"/>
      <c r="B491" s="874"/>
      <c r="C491" s="874"/>
      <c r="D491" s="882"/>
      <c r="E491" s="874"/>
      <c r="F491" s="874"/>
      <c r="G491" s="864"/>
      <c r="H491" s="874"/>
      <c r="I491" s="874"/>
      <c r="J491" s="874"/>
      <c r="K491" s="874"/>
      <c r="L491" s="874"/>
      <c r="M491" s="874"/>
      <c r="N491" s="874"/>
      <c r="O491" s="874"/>
      <c r="P491" s="874"/>
      <c r="Q491" s="874"/>
      <c r="R491" s="874"/>
      <c r="S491" s="874"/>
      <c r="T491" s="874"/>
      <c r="U491" s="874"/>
      <c r="V491" s="874"/>
      <c r="W491" s="874"/>
      <c r="X491" s="874"/>
      <c r="Y491" s="874"/>
      <c r="Z491" s="874"/>
    </row>
    <row r="492" ht="63.75" customHeight="1">
      <c r="A492" s="874"/>
      <c r="B492" s="874"/>
      <c r="C492" s="874"/>
      <c r="D492" s="882"/>
      <c r="E492" s="874"/>
      <c r="F492" s="874"/>
      <c r="G492" s="864"/>
      <c r="H492" s="874"/>
      <c r="I492" s="874"/>
      <c r="J492" s="874"/>
      <c r="K492" s="874"/>
      <c r="L492" s="874"/>
      <c r="M492" s="874"/>
      <c r="N492" s="874"/>
      <c r="O492" s="874"/>
      <c r="P492" s="874"/>
      <c r="Q492" s="874"/>
      <c r="R492" s="874"/>
      <c r="S492" s="874"/>
      <c r="T492" s="874"/>
      <c r="U492" s="874"/>
      <c r="V492" s="874"/>
      <c r="W492" s="874"/>
      <c r="X492" s="874"/>
      <c r="Y492" s="874"/>
      <c r="Z492" s="874"/>
    </row>
    <row r="493" ht="63.75" customHeight="1">
      <c r="A493" s="874"/>
      <c r="B493" s="874"/>
      <c r="C493" s="874"/>
      <c r="D493" s="882"/>
      <c r="E493" s="874"/>
      <c r="F493" s="874"/>
      <c r="G493" s="864"/>
      <c r="H493" s="874"/>
      <c r="I493" s="874"/>
      <c r="J493" s="874"/>
      <c r="K493" s="874"/>
      <c r="L493" s="874"/>
      <c r="M493" s="874"/>
      <c r="N493" s="874"/>
      <c r="O493" s="874"/>
      <c r="P493" s="874"/>
      <c r="Q493" s="874"/>
      <c r="R493" s="874"/>
      <c r="S493" s="874"/>
      <c r="T493" s="874"/>
      <c r="U493" s="874"/>
      <c r="V493" s="874"/>
      <c r="W493" s="874"/>
      <c r="X493" s="874"/>
      <c r="Y493" s="874"/>
      <c r="Z493" s="874"/>
    </row>
    <row r="494" ht="63.75" customHeight="1">
      <c r="A494" s="874"/>
      <c r="B494" s="874"/>
      <c r="C494" s="874"/>
      <c r="D494" s="882"/>
      <c r="E494" s="874"/>
      <c r="F494" s="874"/>
      <c r="G494" s="864"/>
      <c r="H494" s="874"/>
      <c r="I494" s="874"/>
      <c r="J494" s="874"/>
      <c r="K494" s="874"/>
      <c r="L494" s="874"/>
      <c r="M494" s="874"/>
      <c r="N494" s="874"/>
      <c r="O494" s="874"/>
      <c r="P494" s="874"/>
      <c r="Q494" s="874"/>
      <c r="R494" s="874"/>
      <c r="S494" s="874"/>
      <c r="T494" s="874"/>
      <c r="U494" s="874"/>
      <c r="V494" s="874"/>
      <c r="W494" s="874"/>
      <c r="X494" s="874"/>
      <c r="Y494" s="874"/>
      <c r="Z494" s="874"/>
    </row>
    <row r="495" ht="63.75" customHeight="1">
      <c r="A495" s="874"/>
      <c r="B495" s="874"/>
      <c r="C495" s="874"/>
      <c r="D495" s="882"/>
      <c r="E495" s="874"/>
      <c r="F495" s="874"/>
      <c r="G495" s="864"/>
      <c r="H495" s="874"/>
      <c r="I495" s="874"/>
      <c r="J495" s="874"/>
      <c r="K495" s="874"/>
      <c r="L495" s="874"/>
      <c r="M495" s="874"/>
      <c r="N495" s="874"/>
      <c r="O495" s="874"/>
      <c r="P495" s="874"/>
      <c r="Q495" s="874"/>
      <c r="R495" s="874"/>
      <c r="S495" s="874"/>
      <c r="T495" s="874"/>
      <c r="U495" s="874"/>
      <c r="V495" s="874"/>
      <c r="W495" s="874"/>
      <c r="X495" s="874"/>
      <c r="Y495" s="874"/>
      <c r="Z495" s="874"/>
    </row>
    <row r="496" ht="63.75" customHeight="1">
      <c r="A496" s="874"/>
      <c r="B496" s="874"/>
      <c r="C496" s="874"/>
      <c r="D496" s="882"/>
      <c r="E496" s="874"/>
      <c r="F496" s="874"/>
      <c r="G496" s="864"/>
      <c r="H496" s="874"/>
      <c r="I496" s="874"/>
      <c r="J496" s="874"/>
      <c r="K496" s="874"/>
      <c r="L496" s="874"/>
      <c r="M496" s="874"/>
      <c r="N496" s="874"/>
      <c r="O496" s="874"/>
      <c r="P496" s="874"/>
      <c r="Q496" s="874"/>
      <c r="R496" s="874"/>
      <c r="S496" s="874"/>
      <c r="T496" s="874"/>
      <c r="U496" s="874"/>
      <c r="V496" s="874"/>
      <c r="W496" s="874"/>
      <c r="X496" s="874"/>
      <c r="Y496" s="874"/>
      <c r="Z496" s="874"/>
    </row>
    <row r="497" ht="63.75" customHeight="1">
      <c r="A497" s="874"/>
      <c r="B497" s="874"/>
      <c r="C497" s="874"/>
      <c r="D497" s="882"/>
      <c r="E497" s="874"/>
      <c r="F497" s="874"/>
      <c r="G497" s="864"/>
      <c r="H497" s="874"/>
      <c r="I497" s="874"/>
      <c r="J497" s="874"/>
      <c r="K497" s="874"/>
      <c r="L497" s="874"/>
      <c r="M497" s="874"/>
      <c r="N497" s="874"/>
      <c r="O497" s="874"/>
      <c r="P497" s="874"/>
      <c r="Q497" s="874"/>
      <c r="R497" s="874"/>
      <c r="S497" s="874"/>
      <c r="T497" s="874"/>
      <c r="U497" s="874"/>
      <c r="V497" s="874"/>
      <c r="W497" s="874"/>
      <c r="X497" s="874"/>
      <c r="Y497" s="874"/>
      <c r="Z497" s="874"/>
    </row>
    <row r="498" ht="63.75" customHeight="1">
      <c r="A498" s="874"/>
      <c r="B498" s="874"/>
      <c r="C498" s="874"/>
      <c r="D498" s="882"/>
      <c r="E498" s="874"/>
      <c r="F498" s="874"/>
      <c r="G498" s="864"/>
      <c r="H498" s="874"/>
      <c r="I498" s="874"/>
      <c r="J498" s="874"/>
      <c r="K498" s="874"/>
      <c r="L498" s="874"/>
      <c r="M498" s="874"/>
      <c r="N498" s="874"/>
      <c r="O498" s="874"/>
      <c r="P498" s="874"/>
      <c r="Q498" s="874"/>
      <c r="R498" s="874"/>
      <c r="S498" s="874"/>
      <c r="T498" s="874"/>
      <c r="U498" s="874"/>
      <c r="V498" s="874"/>
      <c r="W498" s="874"/>
      <c r="X498" s="874"/>
      <c r="Y498" s="874"/>
      <c r="Z498" s="874"/>
    </row>
    <row r="499" ht="63.75" customHeight="1">
      <c r="A499" s="874"/>
      <c r="B499" s="874"/>
      <c r="C499" s="874"/>
      <c r="D499" s="882"/>
      <c r="E499" s="874"/>
      <c r="F499" s="874"/>
      <c r="G499" s="864"/>
      <c r="H499" s="874"/>
      <c r="I499" s="874"/>
      <c r="J499" s="874"/>
      <c r="K499" s="874"/>
      <c r="L499" s="874"/>
      <c r="M499" s="874"/>
      <c r="N499" s="874"/>
      <c r="O499" s="874"/>
      <c r="P499" s="874"/>
      <c r="Q499" s="874"/>
      <c r="R499" s="874"/>
      <c r="S499" s="874"/>
      <c r="T499" s="874"/>
      <c r="U499" s="874"/>
      <c r="V499" s="874"/>
      <c r="W499" s="874"/>
      <c r="X499" s="874"/>
      <c r="Y499" s="874"/>
      <c r="Z499" s="874"/>
    </row>
    <row r="500" ht="63.75" customHeight="1">
      <c r="A500" s="874"/>
      <c r="B500" s="874"/>
      <c r="C500" s="874"/>
      <c r="D500" s="882"/>
      <c r="E500" s="874"/>
      <c r="F500" s="874"/>
      <c r="G500" s="864"/>
      <c r="H500" s="874"/>
      <c r="I500" s="874"/>
      <c r="J500" s="874"/>
      <c r="K500" s="874"/>
      <c r="L500" s="874"/>
      <c r="M500" s="874"/>
      <c r="N500" s="874"/>
      <c r="O500" s="874"/>
      <c r="P500" s="874"/>
      <c r="Q500" s="874"/>
      <c r="R500" s="874"/>
      <c r="S500" s="874"/>
      <c r="T500" s="874"/>
      <c r="U500" s="874"/>
      <c r="V500" s="874"/>
      <c r="W500" s="874"/>
      <c r="X500" s="874"/>
      <c r="Y500" s="874"/>
      <c r="Z500" s="874"/>
    </row>
    <row r="501" ht="63.75" customHeight="1">
      <c r="A501" s="874"/>
      <c r="B501" s="874"/>
      <c r="C501" s="874"/>
      <c r="D501" s="882"/>
      <c r="E501" s="874"/>
      <c r="F501" s="874"/>
      <c r="G501" s="864"/>
      <c r="H501" s="874"/>
      <c r="I501" s="874"/>
      <c r="J501" s="874"/>
      <c r="K501" s="874"/>
      <c r="L501" s="874"/>
      <c r="M501" s="874"/>
      <c r="N501" s="874"/>
      <c r="O501" s="874"/>
      <c r="P501" s="874"/>
      <c r="Q501" s="874"/>
      <c r="R501" s="874"/>
      <c r="S501" s="874"/>
      <c r="T501" s="874"/>
      <c r="U501" s="874"/>
      <c r="V501" s="874"/>
      <c r="W501" s="874"/>
      <c r="X501" s="874"/>
      <c r="Y501" s="874"/>
      <c r="Z501" s="874"/>
    </row>
    <row r="502" ht="63.75" customHeight="1">
      <c r="A502" s="874"/>
      <c r="B502" s="874"/>
      <c r="C502" s="874"/>
      <c r="D502" s="882"/>
      <c r="E502" s="874"/>
      <c r="F502" s="874"/>
      <c r="G502" s="864"/>
      <c r="H502" s="874"/>
      <c r="I502" s="874"/>
      <c r="J502" s="874"/>
      <c r="K502" s="874"/>
      <c r="L502" s="874"/>
      <c r="M502" s="874"/>
      <c r="N502" s="874"/>
      <c r="O502" s="874"/>
      <c r="P502" s="874"/>
      <c r="Q502" s="874"/>
      <c r="R502" s="874"/>
      <c r="S502" s="874"/>
      <c r="T502" s="874"/>
      <c r="U502" s="874"/>
      <c r="V502" s="874"/>
      <c r="W502" s="874"/>
      <c r="X502" s="874"/>
      <c r="Y502" s="874"/>
      <c r="Z502" s="874"/>
    </row>
    <row r="503" ht="63.75" customHeight="1">
      <c r="A503" s="874"/>
      <c r="B503" s="874"/>
      <c r="C503" s="874"/>
      <c r="D503" s="882"/>
      <c r="E503" s="874"/>
      <c r="F503" s="874"/>
      <c r="G503" s="864"/>
      <c r="H503" s="874"/>
      <c r="I503" s="874"/>
      <c r="J503" s="874"/>
      <c r="K503" s="874"/>
      <c r="L503" s="874"/>
      <c r="M503" s="874"/>
      <c r="N503" s="874"/>
      <c r="O503" s="874"/>
      <c r="P503" s="874"/>
      <c r="Q503" s="874"/>
      <c r="R503" s="874"/>
      <c r="S503" s="874"/>
      <c r="T503" s="874"/>
      <c r="U503" s="874"/>
      <c r="V503" s="874"/>
      <c r="W503" s="874"/>
      <c r="X503" s="874"/>
      <c r="Y503" s="874"/>
      <c r="Z503" s="874"/>
    </row>
    <row r="504" ht="63.75" customHeight="1">
      <c r="A504" s="874"/>
      <c r="B504" s="874"/>
      <c r="C504" s="874"/>
      <c r="D504" s="882"/>
      <c r="E504" s="874"/>
      <c r="F504" s="874"/>
      <c r="G504" s="864"/>
      <c r="H504" s="874"/>
      <c r="I504" s="874"/>
      <c r="J504" s="874"/>
      <c r="K504" s="874"/>
      <c r="L504" s="874"/>
      <c r="M504" s="874"/>
      <c r="N504" s="874"/>
      <c r="O504" s="874"/>
      <c r="P504" s="874"/>
      <c r="Q504" s="874"/>
      <c r="R504" s="874"/>
      <c r="S504" s="874"/>
      <c r="T504" s="874"/>
      <c r="U504" s="874"/>
      <c r="V504" s="874"/>
      <c r="W504" s="874"/>
      <c r="X504" s="874"/>
      <c r="Y504" s="874"/>
      <c r="Z504" s="874"/>
    </row>
    <row r="505" ht="63.75" customHeight="1">
      <c r="A505" s="874"/>
      <c r="B505" s="874"/>
      <c r="C505" s="874"/>
      <c r="D505" s="882"/>
      <c r="E505" s="874"/>
      <c r="F505" s="874"/>
      <c r="G505" s="864"/>
      <c r="H505" s="874"/>
      <c r="I505" s="874"/>
      <c r="J505" s="874"/>
      <c r="K505" s="874"/>
      <c r="L505" s="874"/>
      <c r="M505" s="874"/>
      <c r="N505" s="874"/>
      <c r="O505" s="874"/>
      <c r="P505" s="874"/>
      <c r="Q505" s="874"/>
      <c r="R505" s="874"/>
      <c r="S505" s="874"/>
      <c r="T505" s="874"/>
      <c r="U505" s="874"/>
      <c r="V505" s="874"/>
      <c r="W505" s="874"/>
      <c r="X505" s="874"/>
      <c r="Y505" s="874"/>
      <c r="Z505" s="874"/>
    </row>
    <row r="506" ht="63.75" customHeight="1">
      <c r="A506" s="874"/>
      <c r="B506" s="874"/>
      <c r="C506" s="874"/>
      <c r="D506" s="882"/>
      <c r="E506" s="874"/>
      <c r="F506" s="874"/>
      <c r="G506" s="864"/>
      <c r="H506" s="874"/>
      <c r="I506" s="874"/>
      <c r="J506" s="874"/>
      <c r="K506" s="874"/>
      <c r="L506" s="874"/>
      <c r="M506" s="874"/>
      <c r="N506" s="874"/>
      <c r="O506" s="874"/>
      <c r="P506" s="874"/>
      <c r="Q506" s="874"/>
      <c r="R506" s="874"/>
      <c r="S506" s="874"/>
      <c r="T506" s="874"/>
      <c r="U506" s="874"/>
      <c r="V506" s="874"/>
      <c r="W506" s="874"/>
      <c r="X506" s="874"/>
      <c r="Y506" s="874"/>
      <c r="Z506" s="874"/>
    </row>
    <row r="507" ht="63.75" customHeight="1">
      <c r="A507" s="874"/>
      <c r="B507" s="874"/>
      <c r="C507" s="874"/>
      <c r="D507" s="882"/>
      <c r="E507" s="874"/>
      <c r="F507" s="874"/>
      <c r="G507" s="864"/>
      <c r="H507" s="874"/>
      <c r="I507" s="874"/>
      <c r="J507" s="874"/>
      <c r="K507" s="874"/>
      <c r="L507" s="874"/>
      <c r="M507" s="874"/>
      <c r="N507" s="874"/>
      <c r="O507" s="874"/>
      <c r="P507" s="874"/>
      <c r="Q507" s="874"/>
      <c r="R507" s="874"/>
      <c r="S507" s="874"/>
      <c r="T507" s="874"/>
      <c r="U507" s="874"/>
      <c r="V507" s="874"/>
      <c r="W507" s="874"/>
      <c r="X507" s="874"/>
      <c r="Y507" s="874"/>
      <c r="Z507" s="874"/>
    </row>
    <row r="508" ht="63.75" customHeight="1">
      <c r="A508" s="874"/>
      <c r="B508" s="874"/>
      <c r="C508" s="874"/>
      <c r="D508" s="882"/>
      <c r="E508" s="874"/>
      <c r="F508" s="874"/>
      <c r="G508" s="864"/>
      <c r="H508" s="874"/>
      <c r="I508" s="874"/>
      <c r="J508" s="874"/>
      <c r="K508" s="874"/>
      <c r="L508" s="874"/>
      <c r="M508" s="874"/>
      <c r="N508" s="874"/>
      <c r="O508" s="874"/>
      <c r="P508" s="874"/>
      <c r="Q508" s="874"/>
      <c r="R508" s="874"/>
      <c r="S508" s="874"/>
      <c r="T508" s="874"/>
      <c r="U508" s="874"/>
      <c r="V508" s="874"/>
      <c r="W508" s="874"/>
      <c r="X508" s="874"/>
      <c r="Y508" s="874"/>
      <c r="Z508" s="874"/>
    </row>
    <row r="509" ht="63.75" customHeight="1">
      <c r="A509" s="874"/>
      <c r="B509" s="874"/>
      <c r="C509" s="874"/>
      <c r="D509" s="882"/>
      <c r="E509" s="874"/>
      <c r="F509" s="874"/>
      <c r="G509" s="864"/>
      <c r="H509" s="874"/>
      <c r="I509" s="874"/>
      <c r="J509" s="874"/>
      <c r="K509" s="874"/>
      <c r="L509" s="874"/>
      <c r="M509" s="874"/>
      <c r="N509" s="874"/>
      <c r="O509" s="874"/>
      <c r="P509" s="874"/>
      <c r="Q509" s="874"/>
      <c r="R509" s="874"/>
      <c r="S509" s="874"/>
      <c r="T509" s="874"/>
      <c r="U509" s="874"/>
      <c r="V509" s="874"/>
      <c r="W509" s="874"/>
      <c r="X509" s="874"/>
      <c r="Y509" s="874"/>
      <c r="Z509" s="874"/>
    </row>
    <row r="510" ht="63.75" customHeight="1">
      <c r="A510" s="874"/>
      <c r="B510" s="874"/>
      <c r="C510" s="874"/>
      <c r="D510" s="882"/>
      <c r="E510" s="874"/>
      <c r="F510" s="874"/>
      <c r="G510" s="864"/>
      <c r="H510" s="874"/>
      <c r="I510" s="874"/>
      <c r="J510" s="874"/>
      <c r="K510" s="874"/>
      <c r="L510" s="874"/>
      <c r="M510" s="874"/>
      <c r="N510" s="874"/>
      <c r="O510" s="874"/>
      <c r="P510" s="874"/>
      <c r="Q510" s="874"/>
      <c r="R510" s="874"/>
      <c r="S510" s="874"/>
      <c r="T510" s="874"/>
      <c r="U510" s="874"/>
      <c r="V510" s="874"/>
      <c r="W510" s="874"/>
      <c r="X510" s="874"/>
      <c r="Y510" s="874"/>
      <c r="Z510" s="874"/>
    </row>
    <row r="511" ht="63.75" customHeight="1">
      <c r="A511" s="874"/>
      <c r="B511" s="874"/>
      <c r="C511" s="874"/>
      <c r="D511" s="882"/>
      <c r="E511" s="874"/>
      <c r="F511" s="874"/>
      <c r="G511" s="864"/>
      <c r="H511" s="874"/>
      <c r="I511" s="874"/>
      <c r="J511" s="874"/>
      <c r="K511" s="874"/>
      <c r="L511" s="874"/>
      <c r="M511" s="874"/>
      <c r="N511" s="874"/>
      <c r="O511" s="874"/>
      <c r="P511" s="874"/>
      <c r="Q511" s="874"/>
      <c r="R511" s="874"/>
      <c r="S511" s="874"/>
      <c r="T511" s="874"/>
      <c r="U511" s="874"/>
      <c r="V511" s="874"/>
      <c r="W511" s="874"/>
      <c r="X511" s="874"/>
      <c r="Y511" s="874"/>
      <c r="Z511" s="874"/>
    </row>
    <row r="512" ht="63.75" customHeight="1">
      <c r="A512" s="874"/>
      <c r="B512" s="874"/>
      <c r="C512" s="874"/>
      <c r="D512" s="882"/>
      <c r="E512" s="874"/>
      <c r="F512" s="874"/>
      <c r="G512" s="864"/>
      <c r="H512" s="874"/>
      <c r="I512" s="874"/>
      <c r="J512" s="874"/>
      <c r="K512" s="874"/>
      <c r="L512" s="874"/>
      <c r="M512" s="874"/>
      <c r="N512" s="874"/>
      <c r="O512" s="874"/>
      <c r="P512" s="874"/>
      <c r="Q512" s="874"/>
      <c r="R512" s="874"/>
      <c r="S512" s="874"/>
      <c r="T512" s="874"/>
      <c r="U512" s="874"/>
      <c r="V512" s="874"/>
      <c r="W512" s="874"/>
      <c r="X512" s="874"/>
      <c r="Y512" s="874"/>
      <c r="Z512" s="874"/>
    </row>
    <row r="513" ht="63.75" customHeight="1">
      <c r="A513" s="874"/>
      <c r="B513" s="874"/>
      <c r="C513" s="874"/>
      <c r="D513" s="882"/>
      <c r="E513" s="874"/>
      <c r="F513" s="874"/>
      <c r="G513" s="864"/>
      <c r="H513" s="874"/>
      <c r="I513" s="874"/>
      <c r="J513" s="874"/>
      <c r="K513" s="874"/>
      <c r="L513" s="874"/>
      <c r="M513" s="874"/>
      <c r="N513" s="874"/>
      <c r="O513" s="874"/>
      <c r="P513" s="874"/>
      <c r="Q513" s="874"/>
      <c r="R513" s="874"/>
      <c r="S513" s="874"/>
      <c r="T513" s="874"/>
      <c r="U513" s="874"/>
      <c r="V513" s="874"/>
      <c r="W513" s="874"/>
      <c r="X513" s="874"/>
      <c r="Y513" s="874"/>
      <c r="Z513" s="874"/>
    </row>
    <row r="514" ht="63.75" customHeight="1">
      <c r="A514" s="874"/>
      <c r="B514" s="874"/>
      <c r="C514" s="874"/>
      <c r="D514" s="882"/>
      <c r="E514" s="874"/>
      <c r="F514" s="874"/>
      <c r="G514" s="864"/>
      <c r="H514" s="874"/>
      <c r="I514" s="874"/>
      <c r="J514" s="874"/>
      <c r="K514" s="874"/>
      <c r="L514" s="874"/>
      <c r="M514" s="874"/>
      <c r="N514" s="874"/>
      <c r="O514" s="874"/>
      <c r="P514" s="874"/>
      <c r="Q514" s="874"/>
      <c r="R514" s="874"/>
      <c r="S514" s="874"/>
      <c r="T514" s="874"/>
      <c r="U514" s="874"/>
      <c r="V514" s="874"/>
      <c r="W514" s="874"/>
      <c r="X514" s="874"/>
      <c r="Y514" s="874"/>
      <c r="Z514" s="874"/>
    </row>
    <row r="515" ht="63.75" customHeight="1">
      <c r="A515" s="874"/>
      <c r="B515" s="874"/>
      <c r="C515" s="874"/>
      <c r="D515" s="882"/>
      <c r="E515" s="874"/>
      <c r="F515" s="874"/>
      <c r="G515" s="864"/>
      <c r="H515" s="874"/>
      <c r="I515" s="874"/>
      <c r="J515" s="874"/>
      <c r="K515" s="874"/>
      <c r="L515" s="874"/>
      <c r="M515" s="874"/>
      <c r="N515" s="874"/>
      <c r="O515" s="874"/>
      <c r="P515" s="874"/>
      <c r="Q515" s="874"/>
      <c r="R515" s="874"/>
      <c r="S515" s="874"/>
      <c r="T515" s="874"/>
      <c r="U515" s="874"/>
      <c r="V515" s="874"/>
      <c r="W515" s="874"/>
      <c r="X515" s="874"/>
      <c r="Y515" s="874"/>
      <c r="Z515" s="874"/>
    </row>
    <row r="516" ht="63.75" customHeight="1">
      <c r="A516" s="874"/>
      <c r="B516" s="874"/>
      <c r="C516" s="874"/>
      <c r="D516" s="882"/>
      <c r="E516" s="874"/>
      <c r="F516" s="874"/>
      <c r="G516" s="864"/>
      <c r="H516" s="874"/>
      <c r="I516" s="874"/>
      <c r="J516" s="874"/>
      <c r="K516" s="874"/>
      <c r="L516" s="874"/>
      <c r="M516" s="874"/>
      <c r="N516" s="874"/>
      <c r="O516" s="874"/>
      <c r="P516" s="874"/>
      <c r="Q516" s="874"/>
      <c r="R516" s="874"/>
      <c r="S516" s="874"/>
      <c r="T516" s="874"/>
      <c r="U516" s="874"/>
      <c r="V516" s="874"/>
      <c r="W516" s="874"/>
      <c r="X516" s="874"/>
      <c r="Y516" s="874"/>
      <c r="Z516" s="874"/>
    </row>
    <row r="517" ht="63.75" customHeight="1">
      <c r="A517" s="874"/>
      <c r="B517" s="874"/>
      <c r="C517" s="874"/>
      <c r="D517" s="882"/>
      <c r="E517" s="874"/>
      <c r="F517" s="874"/>
      <c r="G517" s="864"/>
      <c r="H517" s="874"/>
      <c r="I517" s="874"/>
      <c r="J517" s="874"/>
      <c r="K517" s="874"/>
      <c r="L517" s="874"/>
      <c r="M517" s="874"/>
      <c r="N517" s="874"/>
      <c r="O517" s="874"/>
      <c r="P517" s="874"/>
      <c r="Q517" s="874"/>
      <c r="R517" s="874"/>
      <c r="S517" s="874"/>
      <c r="T517" s="874"/>
      <c r="U517" s="874"/>
      <c r="V517" s="874"/>
      <c r="W517" s="874"/>
      <c r="X517" s="874"/>
      <c r="Y517" s="874"/>
      <c r="Z517" s="874"/>
    </row>
    <row r="518" ht="63.75" customHeight="1">
      <c r="A518" s="874"/>
      <c r="B518" s="874"/>
      <c r="C518" s="874"/>
      <c r="D518" s="882"/>
      <c r="E518" s="874"/>
      <c r="F518" s="874"/>
      <c r="G518" s="864"/>
      <c r="H518" s="874"/>
      <c r="I518" s="874"/>
      <c r="J518" s="874"/>
      <c r="K518" s="874"/>
      <c r="L518" s="874"/>
      <c r="M518" s="874"/>
      <c r="N518" s="874"/>
      <c r="O518" s="874"/>
      <c r="P518" s="874"/>
      <c r="Q518" s="874"/>
      <c r="R518" s="874"/>
      <c r="S518" s="874"/>
      <c r="T518" s="874"/>
      <c r="U518" s="874"/>
      <c r="V518" s="874"/>
      <c r="W518" s="874"/>
      <c r="X518" s="874"/>
      <c r="Y518" s="874"/>
      <c r="Z518" s="874"/>
    </row>
    <row r="519" ht="63.75" customHeight="1">
      <c r="A519" s="874"/>
      <c r="B519" s="874"/>
      <c r="C519" s="874"/>
      <c r="D519" s="882"/>
      <c r="E519" s="874"/>
      <c r="F519" s="874"/>
      <c r="G519" s="864"/>
      <c r="H519" s="874"/>
      <c r="I519" s="874"/>
      <c r="J519" s="874"/>
      <c r="K519" s="874"/>
      <c r="L519" s="874"/>
      <c r="M519" s="874"/>
      <c r="N519" s="874"/>
      <c r="O519" s="874"/>
      <c r="P519" s="874"/>
      <c r="Q519" s="874"/>
      <c r="R519" s="874"/>
      <c r="S519" s="874"/>
      <c r="T519" s="874"/>
      <c r="U519" s="874"/>
      <c r="V519" s="874"/>
      <c r="W519" s="874"/>
      <c r="X519" s="874"/>
      <c r="Y519" s="874"/>
      <c r="Z519" s="874"/>
    </row>
    <row r="520" ht="63.75" customHeight="1">
      <c r="A520" s="874"/>
      <c r="B520" s="874"/>
      <c r="C520" s="874"/>
      <c r="D520" s="882"/>
      <c r="E520" s="874"/>
      <c r="F520" s="874"/>
      <c r="G520" s="864"/>
      <c r="H520" s="874"/>
      <c r="I520" s="874"/>
      <c r="J520" s="874"/>
      <c r="K520" s="874"/>
      <c r="L520" s="874"/>
      <c r="M520" s="874"/>
      <c r="N520" s="874"/>
      <c r="O520" s="874"/>
      <c r="P520" s="874"/>
      <c r="Q520" s="874"/>
      <c r="R520" s="874"/>
      <c r="S520" s="874"/>
      <c r="T520" s="874"/>
      <c r="U520" s="874"/>
      <c r="V520" s="874"/>
      <c r="W520" s="874"/>
      <c r="X520" s="874"/>
      <c r="Y520" s="874"/>
      <c r="Z520" s="874"/>
    </row>
    <row r="521" ht="63.75" customHeight="1">
      <c r="A521" s="874"/>
      <c r="B521" s="874"/>
      <c r="C521" s="874"/>
      <c r="D521" s="882"/>
      <c r="E521" s="874"/>
      <c r="F521" s="874"/>
      <c r="G521" s="864"/>
      <c r="H521" s="874"/>
      <c r="I521" s="874"/>
      <c r="J521" s="874"/>
      <c r="K521" s="874"/>
      <c r="L521" s="874"/>
      <c r="M521" s="874"/>
      <c r="N521" s="874"/>
      <c r="O521" s="874"/>
      <c r="P521" s="874"/>
      <c r="Q521" s="874"/>
      <c r="R521" s="874"/>
      <c r="S521" s="874"/>
      <c r="T521" s="874"/>
      <c r="U521" s="874"/>
      <c r="V521" s="874"/>
      <c r="W521" s="874"/>
      <c r="X521" s="874"/>
      <c r="Y521" s="874"/>
      <c r="Z521" s="874"/>
    </row>
    <row r="522" ht="63.75" customHeight="1">
      <c r="A522" s="874"/>
      <c r="B522" s="874"/>
      <c r="C522" s="874"/>
      <c r="D522" s="882"/>
      <c r="E522" s="874"/>
      <c r="F522" s="874"/>
      <c r="G522" s="864"/>
      <c r="H522" s="874"/>
      <c r="I522" s="874"/>
      <c r="J522" s="874"/>
      <c r="K522" s="874"/>
      <c r="L522" s="874"/>
      <c r="M522" s="874"/>
      <c r="N522" s="874"/>
      <c r="O522" s="874"/>
      <c r="P522" s="874"/>
      <c r="Q522" s="874"/>
      <c r="R522" s="874"/>
      <c r="S522" s="874"/>
      <c r="T522" s="874"/>
      <c r="U522" s="874"/>
      <c r="V522" s="874"/>
      <c r="W522" s="874"/>
      <c r="X522" s="874"/>
      <c r="Y522" s="874"/>
      <c r="Z522" s="874"/>
    </row>
    <row r="523" ht="63.75" customHeight="1">
      <c r="A523" s="874"/>
      <c r="B523" s="874"/>
      <c r="C523" s="874"/>
      <c r="D523" s="882"/>
      <c r="E523" s="874"/>
      <c r="F523" s="874"/>
      <c r="G523" s="864"/>
      <c r="H523" s="874"/>
      <c r="I523" s="874"/>
      <c r="J523" s="874"/>
      <c r="K523" s="874"/>
      <c r="L523" s="874"/>
      <c r="M523" s="874"/>
      <c r="N523" s="874"/>
      <c r="O523" s="874"/>
      <c r="P523" s="874"/>
      <c r="Q523" s="874"/>
      <c r="R523" s="874"/>
      <c r="S523" s="874"/>
      <c r="T523" s="874"/>
      <c r="U523" s="874"/>
      <c r="V523" s="874"/>
      <c r="W523" s="874"/>
      <c r="X523" s="874"/>
      <c r="Y523" s="874"/>
      <c r="Z523" s="874"/>
    </row>
    <row r="524" ht="63.75" customHeight="1">
      <c r="A524" s="874"/>
      <c r="B524" s="874"/>
      <c r="C524" s="874"/>
      <c r="D524" s="882"/>
      <c r="E524" s="874"/>
      <c r="F524" s="874"/>
      <c r="G524" s="864"/>
      <c r="H524" s="874"/>
      <c r="I524" s="874"/>
      <c r="J524" s="874"/>
      <c r="K524" s="874"/>
      <c r="L524" s="874"/>
      <c r="M524" s="874"/>
      <c r="N524" s="874"/>
      <c r="O524" s="874"/>
      <c r="P524" s="874"/>
      <c r="Q524" s="874"/>
      <c r="R524" s="874"/>
      <c r="S524" s="874"/>
      <c r="T524" s="874"/>
      <c r="U524" s="874"/>
      <c r="V524" s="874"/>
      <c r="W524" s="874"/>
      <c r="X524" s="874"/>
      <c r="Y524" s="874"/>
      <c r="Z524" s="874"/>
    </row>
    <row r="525" ht="63.75" customHeight="1">
      <c r="A525" s="874"/>
      <c r="B525" s="874"/>
      <c r="C525" s="874"/>
      <c r="D525" s="882"/>
      <c r="E525" s="874"/>
      <c r="F525" s="874"/>
      <c r="G525" s="864"/>
      <c r="H525" s="874"/>
      <c r="I525" s="874"/>
      <c r="J525" s="874"/>
      <c r="K525" s="874"/>
      <c r="L525" s="874"/>
      <c r="M525" s="874"/>
      <c r="N525" s="874"/>
      <c r="O525" s="874"/>
      <c r="P525" s="874"/>
      <c r="Q525" s="874"/>
      <c r="R525" s="874"/>
      <c r="S525" s="874"/>
      <c r="T525" s="874"/>
      <c r="U525" s="874"/>
      <c r="V525" s="874"/>
      <c r="W525" s="874"/>
      <c r="X525" s="874"/>
      <c r="Y525" s="874"/>
      <c r="Z525" s="874"/>
    </row>
    <row r="526" ht="63.75" customHeight="1">
      <c r="A526" s="874"/>
      <c r="B526" s="874"/>
      <c r="C526" s="874"/>
      <c r="D526" s="882"/>
      <c r="E526" s="874"/>
      <c r="F526" s="874"/>
      <c r="G526" s="864"/>
      <c r="H526" s="874"/>
      <c r="I526" s="874"/>
      <c r="J526" s="874"/>
      <c r="K526" s="874"/>
      <c r="L526" s="874"/>
      <c r="M526" s="874"/>
      <c r="N526" s="874"/>
      <c r="O526" s="874"/>
      <c r="P526" s="874"/>
      <c r="Q526" s="874"/>
      <c r="R526" s="874"/>
      <c r="S526" s="874"/>
      <c r="T526" s="874"/>
      <c r="U526" s="874"/>
      <c r="V526" s="874"/>
      <c r="W526" s="874"/>
      <c r="X526" s="874"/>
      <c r="Y526" s="874"/>
      <c r="Z526" s="874"/>
    </row>
    <row r="527" ht="63.75" customHeight="1">
      <c r="A527" s="874"/>
      <c r="B527" s="874"/>
      <c r="C527" s="874"/>
      <c r="D527" s="882"/>
      <c r="E527" s="874"/>
      <c r="F527" s="874"/>
      <c r="G527" s="864"/>
      <c r="H527" s="874"/>
      <c r="I527" s="874"/>
      <c r="J527" s="874"/>
      <c r="K527" s="874"/>
      <c r="L527" s="874"/>
      <c r="M527" s="874"/>
      <c r="N527" s="874"/>
      <c r="O527" s="874"/>
      <c r="P527" s="874"/>
      <c r="Q527" s="874"/>
      <c r="R527" s="874"/>
      <c r="S527" s="874"/>
      <c r="T527" s="874"/>
      <c r="U527" s="874"/>
      <c r="V527" s="874"/>
      <c r="W527" s="874"/>
      <c r="X527" s="874"/>
      <c r="Y527" s="874"/>
      <c r="Z527" s="874"/>
    </row>
    <row r="528" ht="63.75" customHeight="1">
      <c r="A528" s="874"/>
      <c r="B528" s="874"/>
      <c r="C528" s="874"/>
      <c r="D528" s="882"/>
      <c r="E528" s="874"/>
      <c r="F528" s="874"/>
      <c r="G528" s="864"/>
      <c r="H528" s="874"/>
      <c r="I528" s="874"/>
      <c r="J528" s="874"/>
      <c r="K528" s="874"/>
      <c r="L528" s="874"/>
      <c r="M528" s="874"/>
      <c r="N528" s="874"/>
      <c r="O528" s="874"/>
      <c r="P528" s="874"/>
      <c r="Q528" s="874"/>
      <c r="R528" s="874"/>
      <c r="S528" s="874"/>
      <c r="T528" s="874"/>
      <c r="U528" s="874"/>
      <c r="V528" s="874"/>
      <c r="W528" s="874"/>
      <c r="X528" s="874"/>
      <c r="Y528" s="874"/>
      <c r="Z528" s="874"/>
    </row>
    <row r="529" ht="63.75" customHeight="1">
      <c r="A529" s="874"/>
      <c r="B529" s="874"/>
      <c r="C529" s="874"/>
      <c r="D529" s="882"/>
      <c r="E529" s="874"/>
      <c r="F529" s="874"/>
      <c r="G529" s="864"/>
      <c r="H529" s="874"/>
      <c r="I529" s="874"/>
      <c r="J529" s="874"/>
      <c r="K529" s="874"/>
      <c r="L529" s="874"/>
      <c r="M529" s="874"/>
      <c r="N529" s="874"/>
      <c r="O529" s="874"/>
      <c r="P529" s="874"/>
      <c r="Q529" s="874"/>
      <c r="R529" s="874"/>
      <c r="S529" s="874"/>
      <c r="T529" s="874"/>
      <c r="U529" s="874"/>
      <c r="V529" s="874"/>
      <c r="W529" s="874"/>
      <c r="X529" s="874"/>
      <c r="Y529" s="874"/>
      <c r="Z529" s="874"/>
    </row>
    <row r="530" ht="63.75" customHeight="1">
      <c r="A530" s="874"/>
      <c r="B530" s="874"/>
      <c r="C530" s="874"/>
      <c r="D530" s="882"/>
      <c r="E530" s="874"/>
      <c r="F530" s="874"/>
      <c r="G530" s="864"/>
      <c r="H530" s="874"/>
      <c r="I530" s="874"/>
      <c r="J530" s="874"/>
      <c r="K530" s="874"/>
      <c r="L530" s="874"/>
      <c r="M530" s="874"/>
      <c r="N530" s="874"/>
      <c r="O530" s="874"/>
      <c r="P530" s="874"/>
      <c r="Q530" s="874"/>
      <c r="R530" s="874"/>
      <c r="S530" s="874"/>
      <c r="T530" s="874"/>
      <c r="U530" s="874"/>
      <c r="V530" s="874"/>
      <c r="W530" s="874"/>
      <c r="X530" s="874"/>
      <c r="Y530" s="874"/>
      <c r="Z530" s="874"/>
    </row>
    <row r="531" ht="63.75" customHeight="1">
      <c r="A531" s="874"/>
      <c r="B531" s="874"/>
      <c r="C531" s="874"/>
      <c r="D531" s="882"/>
      <c r="E531" s="874"/>
      <c r="F531" s="874"/>
      <c r="G531" s="864"/>
      <c r="H531" s="874"/>
      <c r="I531" s="874"/>
      <c r="J531" s="874"/>
      <c r="K531" s="874"/>
      <c r="L531" s="874"/>
      <c r="M531" s="874"/>
      <c r="N531" s="874"/>
      <c r="O531" s="874"/>
      <c r="P531" s="874"/>
      <c r="Q531" s="874"/>
      <c r="R531" s="874"/>
      <c r="S531" s="874"/>
      <c r="T531" s="874"/>
      <c r="U531" s="874"/>
      <c r="V531" s="874"/>
      <c r="W531" s="874"/>
      <c r="X531" s="874"/>
      <c r="Y531" s="874"/>
      <c r="Z531" s="874"/>
    </row>
    <row r="532" ht="63.75" customHeight="1">
      <c r="A532" s="874"/>
      <c r="B532" s="874"/>
      <c r="C532" s="874"/>
      <c r="D532" s="882"/>
      <c r="E532" s="874"/>
      <c r="F532" s="874"/>
      <c r="G532" s="864"/>
      <c r="H532" s="874"/>
      <c r="I532" s="874"/>
      <c r="J532" s="874"/>
      <c r="K532" s="874"/>
      <c r="L532" s="874"/>
      <c r="M532" s="874"/>
      <c r="N532" s="874"/>
      <c r="O532" s="874"/>
      <c r="P532" s="874"/>
      <c r="Q532" s="874"/>
      <c r="R532" s="874"/>
      <c r="S532" s="874"/>
      <c r="T532" s="874"/>
      <c r="U532" s="874"/>
      <c r="V532" s="874"/>
      <c r="W532" s="874"/>
      <c r="X532" s="874"/>
      <c r="Y532" s="874"/>
      <c r="Z532" s="874"/>
    </row>
    <row r="533" ht="63.75" customHeight="1">
      <c r="A533" s="874"/>
      <c r="B533" s="874"/>
      <c r="C533" s="874"/>
      <c r="D533" s="882"/>
      <c r="E533" s="874"/>
      <c r="F533" s="874"/>
      <c r="G533" s="864"/>
      <c r="H533" s="874"/>
      <c r="I533" s="874"/>
      <c r="J533" s="874"/>
      <c r="K533" s="874"/>
      <c r="L533" s="874"/>
      <c r="M533" s="874"/>
      <c r="N533" s="874"/>
      <c r="O533" s="874"/>
      <c r="P533" s="874"/>
      <c r="Q533" s="874"/>
      <c r="R533" s="874"/>
      <c r="S533" s="874"/>
      <c r="T533" s="874"/>
      <c r="U533" s="874"/>
      <c r="V533" s="874"/>
      <c r="W533" s="874"/>
      <c r="X533" s="874"/>
      <c r="Y533" s="874"/>
      <c r="Z533" s="874"/>
    </row>
    <row r="534" ht="63.75" customHeight="1">
      <c r="A534" s="874"/>
      <c r="B534" s="874"/>
      <c r="C534" s="874"/>
      <c r="D534" s="882"/>
      <c r="E534" s="874"/>
      <c r="F534" s="874"/>
      <c r="G534" s="864"/>
      <c r="H534" s="874"/>
      <c r="I534" s="874"/>
      <c r="J534" s="874"/>
      <c r="K534" s="874"/>
      <c r="L534" s="874"/>
      <c r="M534" s="874"/>
      <c r="N534" s="874"/>
      <c r="O534" s="874"/>
      <c r="P534" s="874"/>
      <c r="Q534" s="874"/>
      <c r="R534" s="874"/>
      <c r="S534" s="874"/>
      <c r="T534" s="874"/>
      <c r="U534" s="874"/>
      <c r="V534" s="874"/>
      <c r="W534" s="874"/>
      <c r="X534" s="874"/>
      <c r="Y534" s="874"/>
      <c r="Z534" s="874"/>
    </row>
    <row r="535" ht="63.75" customHeight="1">
      <c r="A535" s="874"/>
      <c r="B535" s="874"/>
      <c r="C535" s="874"/>
      <c r="D535" s="882"/>
      <c r="E535" s="874"/>
      <c r="F535" s="874"/>
      <c r="G535" s="864"/>
      <c r="H535" s="874"/>
      <c r="I535" s="874"/>
      <c r="J535" s="874"/>
      <c r="K535" s="874"/>
      <c r="L535" s="874"/>
      <c r="M535" s="874"/>
      <c r="N535" s="874"/>
      <c r="O535" s="874"/>
      <c r="P535" s="874"/>
      <c r="Q535" s="874"/>
      <c r="R535" s="874"/>
      <c r="S535" s="874"/>
      <c r="T535" s="874"/>
      <c r="U535" s="874"/>
      <c r="V535" s="874"/>
      <c r="W535" s="874"/>
      <c r="X535" s="874"/>
      <c r="Y535" s="874"/>
      <c r="Z535" s="874"/>
    </row>
    <row r="536" ht="63.75" customHeight="1">
      <c r="A536" s="874"/>
      <c r="B536" s="874"/>
      <c r="C536" s="874"/>
      <c r="D536" s="882"/>
      <c r="E536" s="874"/>
      <c r="F536" s="874"/>
      <c r="G536" s="864"/>
      <c r="H536" s="874"/>
      <c r="I536" s="874"/>
      <c r="J536" s="874"/>
      <c r="K536" s="874"/>
      <c r="L536" s="874"/>
      <c r="M536" s="874"/>
      <c r="N536" s="874"/>
      <c r="O536" s="874"/>
      <c r="P536" s="874"/>
      <c r="Q536" s="874"/>
      <c r="R536" s="874"/>
      <c r="S536" s="874"/>
      <c r="T536" s="874"/>
      <c r="U536" s="874"/>
      <c r="V536" s="874"/>
      <c r="W536" s="874"/>
      <c r="X536" s="874"/>
      <c r="Y536" s="874"/>
      <c r="Z536" s="874"/>
    </row>
    <row r="537" ht="63.75" customHeight="1">
      <c r="A537" s="874"/>
      <c r="B537" s="874"/>
      <c r="C537" s="874"/>
      <c r="D537" s="882"/>
      <c r="E537" s="874"/>
      <c r="F537" s="874"/>
      <c r="G537" s="864"/>
      <c r="H537" s="874"/>
      <c r="I537" s="874"/>
      <c r="J537" s="874"/>
      <c r="K537" s="874"/>
      <c r="L537" s="874"/>
      <c r="M537" s="874"/>
      <c r="N537" s="874"/>
      <c r="O537" s="874"/>
      <c r="P537" s="874"/>
      <c r="Q537" s="874"/>
      <c r="R537" s="874"/>
      <c r="S537" s="874"/>
      <c r="T537" s="874"/>
      <c r="U537" s="874"/>
      <c r="V537" s="874"/>
      <c r="W537" s="874"/>
      <c r="X537" s="874"/>
      <c r="Y537" s="874"/>
      <c r="Z537" s="874"/>
    </row>
    <row r="538" ht="63.75" customHeight="1">
      <c r="A538" s="874"/>
      <c r="B538" s="874"/>
      <c r="C538" s="874"/>
      <c r="D538" s="882"/>
      <c r="E538" s="874"/>
      <c r="F538" s="874"/>
      <c r="G538" s="864"/>
      <c r="H538" s="874"/>
      <c r="I538" s="874"/>
      <c r="J538" s="874"/>
      <c r="K538" s="874"/>
      <c r="L538" s="874"/>
      <c r="M538" s="874"/>
      <c r="N538" s="874"/>
      <c r="O538" s="874"/>
      <c r="P538" s="874"/>
      <c r="Q538" s="874"/>
      <c r="R538" s="874"/>
      <c r="S538" s="874"/>
      <c r="T538" s="874"/>
      <c r="U538" s="874"/>
      <c r="V538" s="874"/>
      <c r="W538" s="874"/>
      <c r="X538" s="874"/>
      <c r="Y538" s="874"/>
      <c r="Z538" s="874"/>
    </row>
    <row r="539" ht="63.75" customHeight="1">
      <c r="A539" s="874"/>
      <c r="B539" s="874"/>
      <c r="C539" s="874"/>
      <c r="D539" s="882"/>
      <c r="E539" s="874"/>
      <c r="F539" s="874"/>
      <c r="G539" s="864"/>
      <c r="H539" s="874"/>
      <c r="I539" s="874"/>
      <c r="J539" s="874"/>
      <c r="K539" s="874"/>
      <c r="L539" s="874"/>
      <c r="M539" s="874"/>
      <c r="N539" s="874"/>
      <c r="O539" s="874"/>
      <c r="P539" s="874"/>
      <c r="Q539" s="874"/>
      <c r="R539" s="874"/>
      <c r="S539" s="874"/>
      <c r="T539" s="874"/>
      <c r="U539" s="874"/>
      <c r="V539" s="874"/>
      <c r="W539" s="874"/>
      <c r="X539" s="874"/>
      <c r="Y539" s="874"/>
      <c r="Z539" s="874"/>
    </row>
    <row r="540" ht="63.75" customHeight="1">
      <c r="A540" s="874"/>
      <c r="B540" s="874"/>
      <c r="C540" s="874"/>
      <c r="D540" s="882"/>
      <c r="E540" s="874"/>
      <c r="F540" s="874"/>
      <c r="G540" s="864"/>
      <c r="H540" s="874"/>
      <c r="I540" s="874"/>
      <c r="J540" s="874"/>
      <c r="K540" s="874"/>
      <c r="L540" s="874"/>
      <c r="M540" s="874"/>
      <c r="N540" s="874"/>
      <c r="O540" s="874"/>
      <c r="P540" s="874"/>
      <c r="Q540" s="874"/>
      <c r="R540" s="874"/>
      <c r="S540" s="874"/>
      <c r="T540" s="874"/>
      <c r="U540" s="874"/>
      <c r="V540" s="874"/>
      <c r="W540" s="874"/>
      <c r="X540" s="874"/>
      <c r="Y540" s="874"/>
      <c r="Z540" s="874"/>
    </row>
    <row r="541" ht="63.75" customHeight="1">
      <c r="A541" s="874"/>
      <c r="B541" s="874"/>
      <c r="C541" s="874"/>
      <c r="D541" s="882"/>
      <c r="E541" s="874"/>
      <c r="F541" s="874"/>
      <c r="G541" s="864"/>
      <c r="H541" s="874"/>
      <c r="I541" s="874"/>
      <c r="J541" s="874"/>
      <c r="K541" s="874"/>
      <c r="L541" s="874"/>
      <c r="M541" s="874"/>
      <c r="N541" s="874"/>
      <c r="O541" s="874"/>
      <c r="P541" s="874"/>
      <c r="Q541" s="874"/>
      <c r="R541" s="874"/>
      <c r="S541" s="874"/>
      <c r="T541" s="874"/>
      <c r="U541" s="874"/>
      <c r="V541" s="874"/>
      <c r="W541" s="874"/>
      <c r="X541" s="874"/>
      <c r="Y541" s="874"/>
      <c r="Z541" s="874"/>
    </row>
    <row r="542" ht="63.75" customHeight="1">
      <c r="A542" s="874"/>
      <c r="B542" s="874"/>
      <c r="C542" s="874"/>
      <c r="D542" s="882"/>
      <c r="E542" s="874"/>
      <c r="F542" s="874"/>
      <c r="G542" s="864"/>
      <c r="H542" s="874"/>
      <c r="I542" s="874"/>
      <c r="J542" s="874"/>
      <c r="K542" s="874"/>
      <c r="L542" s="874"/>
      <c r="M542" s="874"/>
      <c r="N542" s="874"/>
      <c r="O542" s="874"/>
      <c r="P542" s="874"/>
      <c r="Q542" s="874"/>
      <c r="R542" s="874"/>
      <c r="S542" s="874"/>
      <c r="T542" s="874"/>
      <c r="U542" s="874"/>
      <c r="V542" s="874"/>
      <c r="W542" s="874"/>
      <c r="X542" s="874"/>
      <c r="Y542" s="874"/>
      <c r="Z542" s="874"/>
    </row>
    <row r="543" ht="63.75" customHeight="1">
      <c r="A543" s="874"/>
      <c r="B543" s="874"/>
      <c r="C543" s="874"/>
      <c r="D543" s="882"/>
      <c r="E543" s="874"/>
      <c r="F543" s="874"/>
      <c r="G543" s="864"/>
      <c r="H543" s="874"/>
      <c r="I543" s="874"/>
      <c r="J543" s="874"/>
      <c r="K543" s="874"/>
      <c r="L543" s="874"/>
      <c r="M543" s="874"/>
      <c r="N543" s="874"/>
      <c r="O543" s="874"/>
      <c r="P543" s="874"/>
      <c r="Q543" s="874"/>
      <c r="R543" s="874"/>
      <c r="S543" s="874"/>
      <c r="T543" s="874"/>
      <c r="U543" s="874"/>
      <c r="V543" s="874"/>
      <c r="W543" s="874"/>
      <c r="X543" s="874"/>
      <c r="Y543" s="874"/>
      <c r="Z543" s="874"/>
    </row>
    <row r="544" ht="63.75" customHeight="1">
      <c r="A544" s="874"/>
      <c r="B544" s="874"/>
      <c r="C544" s="874"/>
      <c r="D544" s="882"/>
      <c r="E544" s="874"/>
      <c r="F544" s="874"/>
      <c r="G544" s="864"/>
      <c r="H544" s="874"/>
      <c r="I544" s="874"/>
      <c r="J544" s="874"/>
      <c r="K544" s="874"/>
      <c r="L544" s="874"/>
      <c r="M544" s="874"/>
      <c r="N544" s="874"/>
      <c r="O544" s="874"/>
      <c r="P544" s="874"/>
      <c r="Q544" s="874"/>
      <c r="R544" s="874"/>
      <c r="S544" s="874"/>
      <c r="T544" s="874"/>
      <c r="U544" s="874"/>
      <c r="V544" s="874"/>
      <c r="W544" s="874"/>
      <c r="X544" s="874"/>
      <c r="Y544" s="874"/>
      <c r="Z544" s="874"/>
    </row>
    <row r="545" ht="63.75" customHeight="1">
      <c r="A545" s="874"/>
      <c r="B545" s="874"/>
      <c r="C545" s="874"/>
      <c r="D545" s="882"/>
      <c r="E545" s="874"/>
      <c r="F545" s="874"/>
      <c r="G545" s="864"/>
      <c r="H545" s="874"/>
      <c r="I545" s="874"/>
      <c r="J545" s="874"/>
      <c r="K545" s="874"/>
      <c r="L545" s="874"/>
      <c r="M545" s="874"/>
      <c r="N545" s="874"/>
      <c r="O545" s="874"/>
      <c r="P545" s="874"/>
      <c r="Q545" s="874"/>
      <c r="R545" s="874"/>
      <c r="S545" s="874"/>
      <c r="T545" s="874"/>
      <c r="U545" s="874"/>
      <c r="V545" s="874"/>
      <c r="W545" s="874"/>
      <c r="X545" s="874"/>
      <c r="Y545" s="874"/>
      <c r="Z545" s="874"/>
    </row>
    <row r="546" ht="63.75" customHeight="1">
      <c r="A546" s="874"/>
      <c r="B546" s="874"/>
      <c r="C546" s="874"/>
      <c r="D546" s="882"/>
      <c r="E546" s="874"/>
      <c r="F546" s="874"/>
      <c r="G546" s="864"/>
      <c r="H546" s="874"/>
      <c r="I546" s="874"/>
      <c r="J546" s="874"/>
      <c r="K546" s="874"/>
      <c r="L546" s="874"/>
      <c r="M546" s="874"/>
      <c r="N546" s="874"/>
      <c r="O546" s="874"/>
      <c r="P546" s="874"/>
      <c r="Q546" s="874"/>
      <c r="R546" s="874"/>
      <c r="S546" s="874"/>
      <c r="T546" s="874"/>
      <c r="U546" s="874"/>
      <c r="V546" s="874"/>
      <c r="W546" s="874"/>
      <c r="X546" s="874"/>
      <c r="Y546" s="874"/>
      <c r="Z546" s="874"/>
    </row>
    <row r="547" ht="63.75" customHeight="1">
      <c r="A547" s="874"/>
      <c r="B547" s="874"/>
      <c r="C547" s="874"/>
      <c r="D547" s="882"/>
      <c r="E547" s="874"/>
      <c r="F547" s="874"/>
      <c r="G547" s="864"/>
      <c r="H547" s="874"/>
      <c r="I547" s="874"/>
      <c r="J547" s="874"/>
      <c r="K547" s="874"/>
      <c r="L547" s="874"/>
      <c r="M547" s="874"/>
      <c r="N547" s="874"/>
      <c r="O547" s="874"/>
      <c r="P547" s="874"/>
      <c r="Q547" s="874"/>
      <c r="R547" s="874"/>
      <c r="S547" s="874"/>
      <c r="T547" s="874"/>
      <c r="U547" s="874"/>
      <c r="V547" s="874"/>
      <c r="W547" s="874"/>
      <c r="X547" s="874"/>
      <c r="Y547" s="874"/>
      <c r="Z547" s="874"/>
    </row>
    <row r="548" ht="63.75" customHeight="1">
      <c r="A548" s="874"/>
      <c r="B548" s="874"/>
      <c r="C548" s="874"/>
      <c r="D548" s="882"/>
      <c r="E548" s="874"/>
      <c r="F548" s="874"/>
      <c r="G548" s="864"/>
      <c r="H548" s="874"/>
      <c r="I548" s="874"/>
      <c r="J548" s="874"/>
      <c r="K548" s="874"/>
      <c r="L548" s="874"/>
      <c r="M548" s="874"/>
      <c r="N548" s="874"/>
      <c r="O548" s="874"/>
      <c r="P548" s="874"/>
      <c r="Q548" s="874"/>
      <c r="R548" s="874"/>
      <c r="S548" s="874"/>
      <c r="T548" s="874"/>
      <c r="U548" s="874"/>
      <c r="V548" s="874"/>
      <c r="W548" s="874"/>
      <c r="X548" s="874"/>
      <c r="Y548" s="874"/>
      <c r="Z548" s="874"/>
    </row>
    <row r="549" ht="63.75" customHeight="1">
      <c r="A549" s="874"/>
      <c r="B549" s="874"/>
      <c r="C549" s="874"/>
      <c r="D549" s="882"/>
      <c r="E549" s="874"/>
      <c r="F549" s="874"/>
      <c r="G549" s="864"/>
      <c r="H549" s="874"/>
      <c r="I549" s="874"/>
      <c r="J549" s="874"/>
      <c r="K549" s="874"/>
      <c r="L549" s="874"/>
      <c r="M549" s="874"/>
      <c r="N549" s="874"/>
      <c r="O549" s="874"/>
      <c r="P549" s="874"/>
      <c r="Q549" s="874"/>
      <c r="R549" s="874"/>
      <c r="S549" s="874"/>
      <c r="T549" s="874"/>
      <c r="U549" s="874"/>
      <c r="V549" s="874"/>
      <c r="W549" s="874"/>
      <c r="X549" s="874"/>
      <c r="Y549" s="874"/>
      <c r="Z549" s="874"/>
    </row>
    <row r="550" ht="63.75" customHeight="1">
      <c r="A550" s="874"/>
      <c r="B550" s="874"/>
      <c r="C550" s="874"/>
      <c r="D550" s="882"/>
      <c r="E550" s="874"/>
      <c r="F550" s="874"/>
      <c r="G550" s="864"/>
      <c r="H550" s="874"/>
      <c r="I550" s="874"/>
      <c r="J550" s="874"/>
      <c r="K550" s="874"/>
      <c r="L550" s="874"/>
      <c r="M550" s="874"/>
      <c r="N550" s="874"/>
      <c r="O550" s="874"/>
      <c r="P550" s="874"/>
      <c r="Q550" s="874"/>
      <c r="R550" s="874"/>
      <c r="S550" s="874"/>
      <c r="T550" s="874"/>
      <c r="U550" s="874"/>
      <c r="V550" s="874"/>
      <c r="W550" s="874"/>
      <c r="X550" s="874"/>
      <c r="Y550" s="874"/>
      <c r="Z550" s="874"/>
    </row>
    <row r="551" ht="63.75" customHeight="1">
      <c r="A551" s="874"/>
      <c r="B551" s="874"/>
      <c r="C551" s="874"/>
      <c r="D551" s="882"/>
      <c r="E551" s="874"/>
      <c r="F551" s="874"/>
      <c r="G551" s="864"/>
      <c r="H551" s="874"/>
      <c r="I551" s="874"/>
      <c r="J551" s="874"/>
      <c r="K551" s="874"/>
      <c r="L551" s="874"/>
      <c r="M551" s="874"/>
      <c r="N551" s="874"/>
      <c r="O551" s="874"/>
      <c r="P551" s="874"/>
      <c r="Q551" s="874"/>
      <c r="R551" s="874"/>
      <c r="S551" s="874"/>
      <c r="T551" s="874"/>
      <c r="U551" s="874"/>
      <c r="V551" s="874"/>
      <c r="W551" s="874"/>
      <c r="X551" s="874"/>
      <c r="Y551" s="874"/>
      <c r="Z551" s="874"/>
    </row>
    <row r="552" ht="63.75" customHeight="1">
      <c r="A552" s="874"/>
      <c r="B552" s="874"/>
      <c r="C552" s="874"/>
      <c r="D552" s="882"/>
      <c r="E552" s="874"/>
      <c r="F552" s="874"/>
      <c r="G552" s="864"/>
      <c r="H552" s="874"/>
      <c r="I552" s="874"/>
      <c r="J552" s="874"/>
      <c r="K552" s="874"/>
      <c r="L552" s="874"/>
      <c r="M552" s="874"/>
      <c r="N552" s="874"/>
      <c r="O552" s="874"/>
      <c r="P552" s="874"/>
      <c r="Q552" s="874"/>
      <c r="R552" s="874"/>
      <c r="S552" s="874"/>
      <c r="T552" s="874"/>
      <c r="U552" s="874"/>
      <c r="V552" s="874"/>
      <c r="W552" s="874"/>
      <c r="X552" s="874"/>
      <c r="Y552" s="874"/>
      <c r="Z552" s="874"/>
    </row>
    <row r="553" ht="63.75" customHeight="1">
      <c r="A553" s="874"/>
      <c r="B553" s="874"/>
      <c r="C553" s="874"/>
      <c r="D553" s="882"/>
      <c r="E553" s="874"/>
      <c r="F553" s="874"/>
      <c r="G553" s="864"/>
      <c r="H553" s="874"/>
      <c r="I553" s="874"/>
      <c r="J553" s="874"/>
      <c r="K553" s="874"/>
      <c r="L553" s="874"/>
      <c r="M553" s="874"/>
      <c r="N553" s="874"/>
      <c r="O553" s="874"/>
      <c r="P553" s="874"/>
      <c r="Q553" s="874"/>
      <c r="R553" s="874"/>
      <c r="S553" s="874"/>
      <c r="T553" s="874"/>
      <c r="U553" s="874"/>
      <c r="V553" s="874"/>
      <c r="W553" s="874"/>
      <c r="X553" s="874"/>
      <c r="Y553" s="874"/>
      <c r="Z553" s="874"/>
    </row>
    <row r="554" ht="63.75" customHeight="1">
      <c r="A554" s="874"/>
      <c r="B554" s="874"/>
      <c r="C554" s="874"/>
      <c r="D554" s="882"/>
      <c r="E554" s="874"/>
      <c r="F554" s="874"/>
      <c r="G554" s="864"/>
      <c r="H554" s="874"/>
      <c r="I554" s="874"/>
      <c r="J554" s="874"/>
      <c r="K554" s="874"/>
      <c r="L554" s="874"/>
      <c r="M554" s="874"/>
      <c r="N554" s="874"/>
      <c r="O554" s="874"/>
      <c r="P554" s="874"/>
      <c r="Q554" s="874"/>
      <c r="R554" s="874"/>
      <c r="S554" s="874"/>
      <c r="T554" s="874"/>
      <c r="U554" s="874"/>
      <c r="V554" s="874"/>
      <c r="W554" s="874"/>
      <c r="X554" s="874"/>
      <c r="Y554" s="874"/>
      <c r="Z554" s="874"/>
    </row>
    <row r="555" ht="63.75" customHeight="1">
      <c r="A555" s="874"/>
      <c r="B555" s="874"/>
      <c r="C555" s="874"/>
      <c r="D555" s="882"/>
      <c r="E555" s="874"/>
      <c r="F555" s="874"/>
      <c r="G555" s="864"/>
      <c r="H555" s="874"/>
      <c r="I555" s="874"/>
      <c r="J555" s="874"/>
      <c r="K555" s="874"/>
      <c r="L555" s="874"/>
      <c r="M555" s="874"/>
      <c r="N555" s="874"/>
      <c r="O555" s="874"/>
      <c r="P555" s="874"/>
      <c r="Q555" s="874"/>
      <c r="R555" s="874"/>
      <c r="S555" s="874"/>
      <c r="T555" s="874"/>
      <c r="U555" s="874"/>
      <c r="V555" s="874"/>
      <c r="W555" s="874"/>
      <c r="X555" s="874"/>
      <c r="Y555" s="874"/>
      <c r="Z555" s="874"/>
    </row>
    <row r="556" ht="63.75" customHeight="1">
      <c r="A556" s="874"/>
      <c r="B556" s="874"/>
      <c r="C556" s="874"/>
      <c r="D556" s="882"/>
      <c r="E556" s="874"/>
      <c r="F556" s="874"/>
      <c r="G556" s="864"/>
      <c r="H556" s="874"/>
      <c r="I556" s="874"/>
      <c r="J556" s="874"/>
      <c r="K556" s="874"/>
      <c r="L556" s="874"/>
      <c r="M556" s="874"/>
      <c r="N556" s="874"/>
      <c r="O556" s="874"/>
      <c r="P556" s="874"/>
      <c r="Q556" s="874"/>
      <c r="R556" s="874"/>
      <c r="S556" s="874"/>
      <c r="T556" s="874"/>
      <c r="U556" s="874"/>
      <c r="V556" s="874"/>
      <c r="W556" s="874"/>
      <c r="X556" s="874"/>
      <c r="Y556" s="874"/>
      <c r="Z556" s="874"/>
    </row>
    <row r="557" ht="63.75" customHeight="1">
      <c r="A557" s="874"/>
      <c r="B557" s="874"/>
      <c r="C557" s="874"/>
      <c r="D557" s="882"/>
      <c r="E557" s="874"/>
      <c r="F557" s="874"/>
      <c r="G557" s="864"/>
      <c r="H557" s="874"/>
      <c r="I557" s="874"/>
      <c r="J557" s="874"/>
      <c r="K557" s="874"/>
      <c r="L557" s="874"/>
      <c r="M557" s="874"/>
      <c r="N557" s="874"/>
      <c r="O557" s="874"/>
      <c r="P557" s="874"/>
      <c r="Q557" s="874"/>
      <c r="R557" s="874"/>
      <c r="S557" s="874"/>
      <c r="T557" s="874"/>
      <c r="U557" s="874"/>
      <c r="V557" s="874"/>
      <c r="W557" s="874"/>
      <c r="X557" s="874"/>
      <c r="Y557" s="874"/>
      <c r="Z557" s="874"/>
    </row>
    <row r="558" ht="63.75" customHeight="1">
      <c r="A558" s="874"/>
      <c r="B558" s="874"/>
      <c r="C558" s="874"/>
      <c r="D558" s="882"/>
      <c r="E558" s="874"/>
      <c r="F558" s="874"/>
      <c r="G558" s="864"/>
      <c r="H558" s="874"/>
      <c r="I558" s="874"/>
      <c r="J558" s="874"/>
      <c r="K558" s="874"/>
      <c r="L558" s="874"/>
      <c r="M558" s="874"/>
      <c r="N558" s="874"/>
      <c r="O558" s="874"/>
      <c r="P558" s="874"/>
      <c r="Q558" s="874"/>
      <c r="R558" s="874"/>
      <c r="S558" s="874"/>
      <c r="T558" s="874"/>
      <c r="U558" s="874"/>
      <c r="V558" s="874"/>
      <c r="W558" s="874"/>
      <c r="X558" s="874"/>
      <c r="Y558" s="874"/>
      <c r="Z558" s="874"/>
    </row>
    <row r="559" ht="63.75" customHeight="1">
      <c r="A559" s="874"/>
      <c r="B559" s="874"/>
      <c r="C559" s="874"/>
      <c r="D559" s="882"/>
      <c r="E559" s="874"/>
      <c r="F559" s="874"/>
      <c r="G559" s="864"/>
      <c r="H559" s="874"/>
      <c r="I559" s="874"/>
      <c r="J559" s="874"/>
      <c r="K559" s="874"/>
      <c r="L559" s="874"/>
      <c r="M559" s="874"/>
      <c r="N559" s="874"/>
      <c r="O559" s="874"/>
      <c r="P559" s="874"/>
      <c r="Q559" s="874"/>
      <c r="R559" s="874"/>
      <c r="S559" s="874"/>
      <c r="T559" s="874"/>
      <c r="U559" s="874"/>
      <c r="V559" s="874"/>
      <c r="W559" s="874"/>
      <c r="X559" s="874"/>
      <c r="Y559" s="874"/>
      <c r="Z559" s="874"/>
    </row>
    <row r="560" ht="63.75" customHeight="1">
      <c r="A560" s="874"/>
      <c r="B560" s="874"/>
      <c r="C560" s="874"/>
      <c r="D560" s="882"/>
      <c r="E560" s="874"/>
      <c r="F560" s="874"/>
      <c r="G560" s="864"/>
      <c r="H560" s="874"/>
      <c r="I560" s="874"/>
      <c r="J560" s="874"/>
      <c r="K560" s="874"/>
      <c r="L560" s="874"/>
      <c r="M560" s="874"/>
      <c r="N560" s="874"/>
      <c r="O560" s="874"/>
      <c r="P560" s="874"/>
      <c r="Q560" s="874"/>
      <c r="R560" s="874"/>
      <c r="S560" s="874"/>
      <c r="T560" s="874"/>
      <c r="U560" s="874"/>
      <c r="V560" s="874"/>
      <c r="W560" s="874"/>
      <c r="X560" s="874"/>
      <c r="Y560" s="874"/>
      <c r="Z560" s="874"/>
    </row>
    <row r="561" ht="63.75" customHeight="1">
      <c r="A561" s="874"/>
      <c r="B561" s="874"/>
      <c r="C561" s="874"/>
      <c r="D561" s="882"/>
      <c r="E561" s="874"/>
      <c r="F561" s="874"/>
      <c r="G561" s="864"/>
      <c r="H561" s="874"/>
      <c r="I561" s="874"/>
      <c r="J561" s="874"/>
      <c r="K561" s="874"/>
      <c r="L561" s="874"/>
      <c r="M561" s="874"/>
      <c r="N561" s="874"/>
      <c r="O561" s="874"/>
      <c r="P561" s="874"/>
      <c r="Q561" s="874"/>
      <c r="R561" s="874"/>
      <c r="S561" s="874"/>
      <c r="T561" s="874"/>
      <c r="U561" s="874"/>
      <c r="V561" s="874"/>
      <c r="W561" s="874"/>
      <c r="X561" s="874"/>
      <c r="Y561" s="874"/>
      <c r="Z561" s="874"/>
    </row>
    <row r="562" ht="63.75" customHeight="1">
      <c r="A562" s="874"/>
      <c r="B562" s="874"/>
      <c r="C562" s="874"/>
      <c r="D562" s="882"/>
      <c r="E562" s="874"/>
      <c r="F562" s="874"/>
      <c r="G562" s="864"/>
      <c r="H562" s="874"/>
      <c r="I562" s="874"/>
      <c r="J562" s="874"/>
      <c r="K562" s="874"/>
      <c r="L562" s="874"/>
      <c r="M562" s="874"/>
      <c r="N562" s="874"/>
      <c r="O562" s="874"/>
      <c r="P562" s="874"/>
      <c r="Q562" s="874"/>
      <c r="R562" s="874"/>
      <c r="S562" s="874"/>
      <c r="T562" s="874"/>
      <c r="U562" s="874"/>
      <c r="V562" s="874"/>
      <c r="W562" s="874"/>
      <c r="X562" s="874"/>
      <c r="Y562" s="874"/>
      <c r="Z562" s="874"/>
    </row>
    <row r="563" ht="63.75" customHeight="1">
      <c r="A563" s="874"/>
      <c r="B563" s="874"/>
      <c r="C563" s="874"/>
      <c r="D563" s="882"/>
      <c r="E563" s="874"/>
      <c r="F563" s="874"/>
      <c r="G563" s="864"/>
      <c r="H563" s="874"/>
      <c r="I563" s="874"/>
      <c r="J563" s="874"/>
      <c r="K563" s="874"/>
      <c r="L563" s="874"/>
      <c r="M563" s="874"/>
      <c r="N563" s="874"/>
      <c r="O563" s="874"/>
      <c r="P563" s="874"/>
      <c r="Q563" s="874"/>
      <c r="R563" s="874"/>
      <c r="S563" s="874"/>
      <c r="T563" s="874"/>
      <c r="U563" s="874"/>
      <c r="V563" s="874"/>
      <c r="W563" s="874"/>
      <c r="X563" s="874"/>
      <c r="Y563" s="874"/>
      <c r="Z563" s="874"/>
    </row>
    <row r="564" ht="63.75" customHeight="1">
      <c r="A564" s="874"/>
      <c r="B564" s="874"/>
      <c r="C564" s="874"/>
      <c r="D564" s="882"/>
      <c r="E564" s="874"/>
      <c r="F564" s="874"/>
      <c r="G564" s="864"/>
      <c r="H564" s="874"/>
      <c r="I564" s="874"/>
      <c r="J564" s="874"/>
      <c r="K564" s="874"/>
      <c r="L564" s="874"/>
      <c r="M564" s="874"/>
      <c r="N564" s="874"/>
      <c r="O564" s="874"/>
      <c r="P564" s="874"/>
      <c r="Q564" s="874"/>
      <c r="R564" s="874"/>
      <c r="S564" s="874"/>
      <c r="T564" s="874"/>
      <c r="U564" s="874"/>
      <c r="V564" s="874"/>
      <c r="W564" s="874"/>
      <c r="X564" s="874"/>
      <c r="Y564" s="874"/>
      <c r="Z564" s="874"/>
    </row>
    <row r="565" ht="63.75" customHeight="1">
      <c r="A565" s="874"/>
      <c r="B565" s="874"/>
      <c r="C565" s="874"/>
      <c r="D565" s="882"/>
      <c r="E565" s="874"/>
      <c r="F565" s="874"/>
      <c r="G565" s="864"/>
      <c r="H565" s="874"/>
      <c r="I565" s="874"/>
      <c r="J565" s="874"/>
      <c r="K565" s="874"/>
      <c r="L565" s="874"/>
      <c r="M565" s="874"/>
      <c r="N565" s="874"/>
      <c r="O565" s="874"/>
      <c r="P565" s="874"/>
      <c r="Q565" s="874"/>
      <c r="R565" s="874"/>
      <c r="S565" s="874"/>
      <c r="T565" s="874"/>
      <c r="U565" s="874"/>
      <c r="V565" s="874"/>
      <c r="W565" s="874"/>
      <c r="X565" s="874"/>
      <c r="Y565" s="874"/>
      <c r="Z565" s="874"/>
    </row>
    <row r="566" ht="63.75" customHeight="1">
      <c r="A566" s="874"/>
      <c r="B566" s="874"/>
      <c r="C566" s="874"/>
      <c r="D566" s="882"/>
      <c r="E566" s="874"/>
      <c r="F566" s="874"/>
      <c r="G566" s="864"/>
      <c r="H566" s="874"/>
      <c r="I566" s="874"/>
      <c r="J566" s="874"/>
      <c r="K566" s="874"/>
      <c r="L566" s="874"/>
      <c r="M566" s="874"/>
      <c r="N566" s="874"/>
      <c r="O566" s="874"/>
      <c r="P566" s="874"/>
      <c r="Q566" s="874"/>
      <c r="R566" s="874"/>
      <c r="S566" s="874"/>
      <c r="T566" s="874"/>
      <c r="U566" s="874"/>
      <c r="V566" s="874"/>
      <c r="W566" s="874"/>
      <c r="X566" s="874"/>
      <c r="Y566" s="874"/>
      <c r="Z566" s="874"/>
    </row>
    <row r="567" ht="63.75" customHeight="1">
      <c r="A567" s="874"/>
      <c r="B567" s="874"/>
      <c r="C567" s="874"/>
      <c r="D567" s="882"/>
      <c r="E567" s="874"/>
      <c r="F567" s="874"/>
      <c r="G567" s="864"/>
      <c r="H567" s="874"/>
      <c r="I567" s="874"/>
      <c r="J567" s="874"/>
      <c r="K567" s="874"/>
      <c r="L567" s="874"/>
      <c r="M567" s="874"/>
      <c r="N567" s="874"/>
      <c r="O567" s="874"/>
      <c r="P567" s="874"/>
      <c r="Q567" s="874"/>
      <c r="R567" s="874"/>
      <c r="S567" s="874"/>
      <c r="T567" s="874"/>
      <c r="U567" s="874"/>
      <c r="V567" s="874"/>
      <c r="W567" s="874"/>
      <c r="X567" s="874"/>
      <c r="Y567" s="874"/>
      <c r="Z567" s="874"/>
    </row>
    <row r="568" ht="63.75" customHeight="1">
      <c r="A568" s="874"/>
      <c r="B568" s="874"/>
      <c r="C568" s="874"/>
      <c r="D568" s="882"/>
      <c r="E568" s="874"/>
      <c r="F568" s="874"/>
      <c r="G568" s="864"/>
      <c r="H568" s="874"/>
      <c r="I568" s="874"/>
      <c r="J568" s="874"/>
      <c r="K568" s="874"/>
      <c r="L568" s="874"/>
      <c r="M568" s="874"/>
      <c r="N568" s="874"/>
      <c r="O568" s="874"/>
      <c r="P568" s="874"/>
      <c r="Q568" s="874"/>
      <c r="R568" s="874"/>
      <c r="S568" s="874"/>
      <c r="T568" s="874"/>
      <c r="U568" s="874"/>
      <c r="V568" s="874"/>
      <c r="W568" s="874"/>
      <c r="X568" s="874"/>
      <c r="Y568" s="874"/>
      <c r="Z568" s="874"/>
    </row>
    <row r="569" ht="63.75" customHeight="1">
      <c r="A569" s="874"/>
      <c r="B569" s="874"/>
      <c r="C569" s="874"/>
      <c r="D569" s="882"/>
      <c r="E569" s="874"/>
      <c r="F569" s="874"/>
      <c r="G569" s="864"/>
      <c r="H569" s="874"/>
      <c r="I569" s="874"/>
      <c r="J569" s="874"/>
      <c r="K569" s="874"/>
      <c r="L569" s="874"/>
      <c r="M569" s="874"/>
      <c r="N569" s="874"/>
      <c r="O569" s="874"/>
      <c r="P569" s="874"/>
      <c r="Q569" s="874"/>
      <c r="R569" s="874"/>
      <c r="S569" s="874"/>
      <c r="T569" s="874"/>
      <c r="U569" s="874"/>
      <c r="V569" s="874"/>
      <c r="W569" s="874"/>
      <c r="X569" s="874"/>
      <c r="Y569" s="874"/>
      <c r="Z569" s="874"/>
    </row>
    <row r="570" ht="63.75" customHeight="1">
      <c r="A570" s="874"/>
      <c r="B570" s="874"/>
      <c r="C570" s="874"/>
      <c r="D570" s="882"/>
      <c r="E570" s="874"/>
      <c r="F570" s="874"/>
      <c r="G570" s="864"/>
      <c r="H570" s="874"/>
      <c r="I570" s="874"/>
      <c r="J570" s="874"/>
      <c r="K570" s="874"/>
      <c r="L570" s="874"/>
      <c r="M570" s="874"/>
      <c r="N570" s="874"/>
      <c r="O570" s="874"/>
      <c r="P570" s="874"/>
      <c r="Q570" s="874"/>
      <c r="R570" s="874"/>
      <c r="S570" s="874"/>
      <c r="T570" s="874"/>
      <c r="U570" s="874"/>
      <c r="V570" s="874"/>
      <c r="W570" s="874"/>
      <c r="X570" s="874"/>
      <c r="Y570" s="874"/>
      <c r="Z570" s="874"/>
    </row>
    <row r="571" ht="63.75" customHeight="1">
      <c r="A571" s="874"/>
      <c r="B571" s="874"/>
      <c r="C571" s="874"/>
      <c r="D571" s="882"/>
      <c r="E571" s="874"/>
      <c r="F571" s="874"/>
      <c r="G571" s="864"/>
      <c r="H571" s="874"/>
      <c r="I571" s="874"/>
      <c r="J571" s="874"/>
      <c r="K571" s="874"/>
      <c r="L571" s="874"/>
      <c r="M571" s="874"/>
      <c r="N571" s="874"/>
      <c r="O571" s="874"/>
      <c r="P571" s="874"/>
      <c r="Q571" s="874"/>
      <c r="R571" s="874"/>
      <c r="S571" s="874"/>
      <c r="T571" s="874"/>
      <c r="U571" s="874"/>
      <c r="V571" s="874"/>
      <c r="W571" s="874"/>
      <c r="X571" s="874"/>
      <c r="Y571" s="874"/>
      <c r="Z571" s="874"/>
    </row>
    <row r="572" ht="63.75" customHeight="1">
      <c r="A572" s="874"/>
      <c r="B572" s="874"/>
      <c r="C572" s="874"/>
      <c r="D572" s="882"/>
      <c r="E572" s="874"/>
      <c r="F572" s="874"/>
      <c r="G572" s="864"/>
      <c r="H572" s="874"/>
      <c r="I572" s="874"/>
      <c r="J572" s="874"/>
      <c r="K572" s="874"/>
      <c r="L572" s="874"/>
      <c r="M572" s="874"/>
      <c r="N572" s="874"/>
      <c r="O572" s="874"/>
      <c r="P572" s="874"/>
      <c r="Q572" s="874"/>
      <c r="R572" s="874"/>
      <c r="S572" s="874"/>
      <c r="T572" s="874"/>
      <c r="U572" s="874"/>
      <c r="V572" s="874"/>
      <c r="W572" s="874"/>
      <c r="X572" s="874"/>
      <c r="Y572" s="874"/>
      <c r="Z572" s="874"/>
    </row>
    <row r="573" ht="63.75" customHeight="1">
      <c r="A573" s="874"/>
      <c r="B573" s="874"/>
      <c r="C573" s="874"/>
      <c r="D573" s="882"/>
      <c r="E573" s="874"/>
      <c r="F573" s="874"/>
      <c r="G573" s="864"/>
      <c r="H573" s="874"/>
      <c r="I573" s="874"/>
      <c r="J573" s="874"/>
      <c r="K573" s="874"/>
      <c r="L573" s="874"/>
      <c r="M573" s="874"/>
      <c r="N573" s="874"/>
      <c r="O573" s="874"/>
      <c r="P573" s="874"/>
      <c r="Q573" s="874"/>
      <c r="R573" s="874"/>
      <c r="S573" s="874"/>
      <c r="T573" s="874"/>
      <c r="U573" s="874"/>
      <c r="V573" s="874"/>
      <c r="W573" s="874"/>
      <c r="X573" s="874"/>
      <c r="Y573" s="874"/>
      <c r="Z573" s="874"/>
    </row>
    <row r="574" ht="63.75" customHeight="1">
      <c r="A574" s="874"/>
      <c r="B574" s="874"/>
      <c r="C574" s="874"/>
      <c r="D574" s="882"/>
      <c r="E574" s="874"/>
      <c r="F574" s="874"/>
      <c r="G574" s="864"/>
      <c r="H574" s="874"/>
      <c r="I574" s="874"/>
      <c r="J574" s="874"/>
      <c r="K574" s="874"/>
      <c r="L574" s="874"/>
      <c r="M574" s="874"/>
      <c r="N574" s="874"/>
      <c r="O574" s="874"/>
      <c r="P574" s="874"/>
      <c r="Q574" s="874"/>
      <c r="R574" s="874"/>
      <c r="S574" s="874"/>
      <c r="T574" s="874"/>
      <c r="U574" s="874"/>
      <c r="V574" s="874"/>
      <c r="W574" s="874"/>
      <c r="X574" s="874"/>
      <c r="Y574" s="874"/>
      <c r="Z574" s="874"/>
    </row>
    <row r="575" ht="63.75" customHeight="1">
      <c r="A575" s="874"/>
      <c r="B575" s="874"/>
      <c r="C575" s="874"/>
      <c r="D575" s="882"/>
      <c r="E575" s="874"/>
      <c r="F575" s="874"/>
      <c r="G575" s="864"/>
      <c r="H575" s="874"/>
      <c r="I575" s="874"/>
      <c r="J575" s="874"/>
      <c r="K575" s="874"/>
      <c r="L575" s="874"/>
      <c r="M575" s="874"/>
      <c r="N575" s="874"/>
      <c r="O575" s="874"/>
      <c r="P575" s="874"/>
      <c r="Q575" s="874"/>
      <c r="R575" s="874"/>
      <c r="S575" s="874"/>
      <c r="T575" s="874"/>
      <c r="U575" s="874"/>
      <c r="V575" s="874"/>
      <c r="W575" s="874"/>
      <c r="X575" s="874"/>
      <c r="Y575" s="874"/>
      <c r="Z575" s="874"/>
    </row>
    <row r="576" ht="63.75" customHeight="1">
      <c r="A576" s="874"/>
      <c r="B576" s="874"/>
      <c r="C576" s="874"/>
      <c r="D576" s="882"/>
      <c r="E576" s="874"/>
      <c r="F576" s="874"/>
      <c r="G576" s="864"/>
      <c r="H576" s="874"/>
      <c r="I576" s="874"/>
      <c r="J576" s="874"/>
      <c r="K576" s="874"/>
      <c r="L576" s="874"/>
      <c r="M576" s="874"/>
      <c r="N576" s="874"/>
      <c r="O576" s="874"/>
      <c r="P576" s="874"/>
      <c r="Q576" s="874"/>
      <c r="R576" s="874"/>
      <c r="S576" s="874"/>
      <c r="T576" s="874"/>
      <c r="U576" s="874"/>
      <c r="V576" s="874"/>
      <c r="W576" s="874"/>
      <c r="X576" s="874"/>
      <c r="Y576" s="874"/>
      <c r="Z576" s="874"/>
    </row>
    <row r="577" ht="63.75" customHeight="1">
      <c r="A577" s="874"/>
      <c r="B577" s="874"/>
      <c r="C577" s="874"/>
      <c r="D577" s="882"/>
      <c r="E577" s="874"/>
      <c r="F577" s="874"/>
      <c r="G577" s="864"/>
      <c r="H577" s="874"/>
      <c r="I577" s="874"/>
      <c r="J577" s="874"/>
      <c r="K577" s="874"/>
      <c r="L577" s="874"/>
      <c r="M577" s="874"/>
      <c r="N577" s="874"/>
      <c r="O577" s="874"/>
      <c r="P577" s="874"/>
      <c r="Q577" s="874"/>
      <c r="R577" s="874"/>
      <c r="S577" s="874"/>
      <c r="T577" s="874"/>
      <c r="U577" s="874"/>
      <c r="V577" s="874"/>
      <c r="W577" s="874"/>
      <c r="X577" s="874"/>
      <c r="Y577" s="874"/>
      <c r="Z577" s="874"/>
    </row>
    <row r="578" ht="63.75" customHeight="1">
      <c r="A578" s="874"/>
      <c r="B578" s="874"/>
      <c r="C578" s="874"/>
      <c r="D578" s="882"/>
      <c r="E578" s="874"/>
      <c r="F578" s="874"/>
      <c r="G578" s="864"/>
      <c r="H578" s="874"/>
      <c r="I578" s="874"/>
      <c r="J578" s="874"/>
      <c r="K578" s="874"/>
      <c r="L578" s="874"/>
      <c r="M578" s="874"/>
      <c r="N578" s="874"/>
      <c r="O578" s="874"/>
      <c r="P578" s="874"/>
      <c r="Q578" s="874"/>
      <c r="R578" s="874"/>
      <c r="S578" s="874"/>
      <c r="T578" s="874"/>
      <c r="U578" s="874"/>
      <c r="V578" s="874"/>
      <c r="W578" s="874"/>
      <c r="X578" s="874"/>
      <c r="Y578" s="874"/>
      <c r="Z578" s="874"/>
    </row>
    <row r="579" ht="63.75" customHeight="1">
      <c r="A579" s="874"/>
      <c r="B579" s="874"/>
      <c r="C579" s="874"/>
      <c r="D579" s="882"/>
      <c r="E579" s="874"/>
      <c r="F579" s="874"/>
      <c r="G579" s="864"/>
      <c r="H579" s="874"/>
      <c r="I579" s="874"/>
      <c r="J579" s="874"/>
      <c r="K579" s="874"/>
      <c r="L579" s="874"/>
      <c r="M579" s="874"/>
      <c r="N579" s="874"/>
      <c r="O579" s="874"/>
      <c r="P579" s="874"/>
      <c r="Q579" s="874"/>
      <c r="R579" s="874"/>
      <c r="S579" s="874"/>
      <c r="T579" s="874"/>
      <c r="U579" s="874"/>
      <c r="V579" s="874"/>
      <c r="W579" s="874"/>
      <c r="X579" s="874"/>
      <c r="Y579" s="874"/>
      <c r="Z579" s="874"/>
    </row>
    <row r="580" ht="63.75" customHeight="1">
      <c r="A580" s="874"/>
      <c r="B580" s="874"/>
      <c r="C580" s="874"/>
      <c r="D580" s="882"/>
      <c r="E580" s="874"/>
      <c r="F580" s="874"/>
      <c r="G580" s="864"/>
      <c r="H580" s="874"/>
      <c r="I580" s="874"/>
      <c r="J580" s="874"/>
      <c r="K580" s="874"/>
      <c r="L580" s="874"/>
      <c r="M580" s="874"/>
      <c r="N580" s="874"/>
      <c r="O580" s="874"/>
      <c r="P580" s="874"/>
      <c r="Q580" s="874"/>
      <c r="R580" s="874"/>
      <c r="S580" s="874"/>
      <c r="T580" s="874"/>
      <c r="U580" s="874"/>
      <c r="V580" s="874"/>
      <c r="W580" s="874"/>
      <c r="X580" s="874"/>
      <c r="Y580" s="874"/>
      <c r="Z580" s="874"/>
    </row>
    <row r="581" ht="63.75" customHeight="1">
      <c r="A581" s="874"/>
      <c r="B581" s="874"/>
      <c r="C581" s="874"/>
      <c r="D581" s="882"/>
      <c r="E581" s="874"/>
      <c r="F581" s="874"/>
      <c r="G581" s="864"/>
      <c r="H581" s="874"/>
      <c r="I581" s="874"/>
      <c r="J581" s="874"/>
      <c r="K581" s="874"/>
      <c r="L581" s="874"/>
      <c r="M581" s="874"/>
      <c r="N581" s="874"/>
      <c r="O581" s="874"/>
      <c r="P581" s="874"/>
      <c r="Q581" s="874"/>
      <c r="R581" s="874"/>
      <c r="S581" s="874"/>
      <c r="T581" s="874"/>
      <c r="U581" s="874"/>
      <c r="V581" s="874"/>
      <c r="W581" s="874"/>
      <c r="X581" s="874"/>
      <c r="Y581" s="874"/>
      <c r="Z581" s="874"/>
    </row>
    <row r="582" ht="63.75" customHeight="1">
      <c r="A582" s="874"/>
      <c r="B582" s="874"/>
      <c r="C582" s="874"/>
      <c r="D582" s="882"/>
      <c r="E582" s="874"/>
      <c r="F582" s="874"/>
      <c r="G582" s="864"/>
      <c r="H582" s="874"/>
      <c r="I582" s="874"/>
      <c r="J582" s="874"/>
      <c r="K582" s="874"/>
      <c r="L582" s="874"/>
      <c r="M582" s="874"/>
      <c r="N582" s="874"/>
      <c r="O582" s="874"/>
      <c r="P582" s="874"/>
      <c r="Q582" s="874"/>
      <c r="R582" s="874"/>
      <c r="S582" s="874"/>
      <c r="T582" s="874"/>
      <c r="U582" s="874"/>
      <c r="V582" s="874"/>
      <c r="W582" s="874"/>
      <c r="X582" s="874"/>
      <c r="Y582" s="874"/>
      <c r="Z582" s="874"/>
    </row>
    <row r="583" ht="63.75" customHeight="1">
      <c r="A583" s="874"/>
      <c r="B583" s="874"/>
      <c r="C583" s="874"/>
      <c r="D583" s="882"/>
      <c r="E583" s="874"/>
      <c r="F583" s="874"/>
      <c r="G583" s="864"/>
      <c r="H583" s="874"/>
      <c r="I583" s="874"/>
      <c r="J583" s="874"/>
      <c r="K583" s="874"/>
      <c r="L583" s="874"/>
      <c r="M583" s="874"/>
      <c r="N583" s="874"/>
      <c r="O583" s="874"/>
      <c r="P583" s="874"/>
      <c r="Q583" s="874"/>
      <c r="R583" s="874"/>
      <c r="S583" s="874"/>
      <c r="T583" s="874"/>
      <c r="U583" s="874"/>
      <c r="V583" s="874"/>
      <c r="W583" s="874"/>
      <c r="X583" s="874"/>
      <c r="Y583" s="874"/>
      <c r="Z583" s="874"/>
    </row>
    <row r="584" ht="63.75" customHeight="1">
      <c r="A584" s="874"/>
      <c r="B584" s="874"/>
      <c r="C584" s="874"/>
      <c r="D584" s="882"/>
      <c r="E584" s="874"/>
      <c r="F584" s="874"/>
      <c r="G584" s="864"/>
      <c r="H584" s="874"/>
      <c r="I584" s="874"/>
      <c r="J584" s="874"/>
      <c r="K584" s="874"/>
      <c r="L584" s="874"/>
      <c r="M584" s="874"/>
      <c r="N584" s="874"/>
      <c r="O584" s="874"/>
      <c r="P584" s="874"/>
      <c r="Q584" s="874"/>
      <c r="R584" s="874"/>
      <c r="S584" s="874"/>
      <c r="T584" s="874"/>
      <c r="U584" s="874"/>
      <c r="V584" s="874"/>
      <c r="W584" s="874"/>
      <c r="X584" s="874"/>
      <c r="Y584" s="874"/>
      <c r="Z584" s="874"/>
    </row>
    <row r="585" ht="63.75" customHeight="1">
      <c r="A585" s="874"/>
      <c r="B585" s="874"/>
      <c r="C585" s="874"/>
      <c r="D585" s="882"/>
      <c r="E585" s="874"/>
      <c r="F585" s="874"/>
      <c r="G585" s="864"/>
      <c r="H585" s="874"/>
      <c r="I585" s="874"/>
      <c r="J585" s="874"/>
      <c r="K585" s="874"/>
      <c r="L585" s="874"/>
      <c r="M585" s="874"/>
      <c r="N585" s="874"/>
      <c r="O585" s="874"/>
      <c r="P585" s="874"/>
      <c r="Q585" s="874"/>
      <c r="R585" s="874"/>
      <c r="S585" s="874"/>
      <c r="T585" s="874"/>
      <c r="U585" s="874"/>
      <c r="V585" s="874"/>
      <c r="W585" s="874"/>
      <c r="X585" s="874"/>
      <c r="Y585" s="874"/>
      <c r="Z585" s="874"/>
    </row>
    <row r="586" ht="63.75" customHeight="1">
      <c r="A586" s="874"/>
      <c r="B586" s="874"/>
      <c r="C586" s="874"/>
      <c r="D586" s="882"/>
      <c r="E586" s="874"/>
      <c r="F586" s="874"/>
      <c r="G586" s="864"/>
      <c r="H586" s="874"/>
      <c r="I586" s="874"/>
      <c r="J586" s="874"/>
      <c r="K586" s="874"/>
      <c r="L586" s="874"/>
      <c r="M586" s="874"/>
      <c r="N586" s="874"/>
      <c r="O586" s="874"/>
      <c r="P586" s="874"/>
      <c r="Q586" s="874"/>
      <c r="R586" s="874"/>
      <c r="S586" s="874"/>
      <c r="T586" s="874"/>
      <c r="U586" s="874"/>
      <c r="V586" s="874"/>
      <c r="W586" s="874"/>
      <c r="X586" s="874"/>
      <c r="Y586" s="874"/>
      <c r="Z586" s="874"/>
    </row>
    <row r="587" ht="63.75" customHeight="1">
      <c r="A587" s="874"/>
      <c r="B587" s="874"/>
      <c r="C587" s="874"/>
      <c r="D587" s="882"/>
      <c r="E587" s="874"/>
      <c r="F587" s="874"/>
      <c r="G587" s="864"/>
      <c r="H587" s="874"/>
      <c r="I587" s="874"/>
      <c r="J587" s="874"/>
      <c r="K587" s="874"/>
      <c r="L587" s="874"/>
      <c r="M587" s="874"/>
      <c r="N587" s="874"/>
      <c r="O587" s="874"/>
      <c r="P587" s="874"/>
      <c r="Q587" s="874"/>
      <c r="R587" s="874"/>
      <c r="S587" s="874"/>
      <c r="T587" s="874"/>
      <c r="U587" s="874"/>
      <c r="V587" s="874"/>
      <c r="W587" s="874"/>
      <c r="X587" s="874"/>
      <c r="Y587" s="874"/>
      <c r="Z587" s="874"/>
    </row>
    <row r="588" ht="63.75" customHeight="1">
      <c r="A588" s="874"/>
      <c r="B588" s="874"/>
      <c r="C588" s="874"/>
      <c r="D588" s="882"/>
      <c r="E588" s="874"/>
      <c r="F588" s="874"/>
      <c r="G588" s="864"/>
      <c r="H588" s="874"/>
      <c r="I588" s="874"/>
      <c r="J588" s="874"/>
      <c r="K588" s="874"/>
      <c r="L588" s="874"/>
      <c r="M588" s="874"/>
      <c r="N588" s="874"/>
      <c r="O588" s="874"/>
      <c r="P588" s="874"/>
      <c r="Q588" s="874"/>
      <c r="R588" s="874"/>
      <c r="S588" s="874"/>
      <c r="T588" s="874"/>
      <c r="U588" s="874"/>
      <c r="V588" s="874"/>
      <c r="W588" s="874"/>
      <c r="X588" s="874"/>
      <c r="Y588" s="874"/>
      <c r="Z588" s="874"/>
    </row>
    <row r="589" ht="63.75" customHeight="1">
      <c r="A589" s="874"/>
      <c r="B589" s="874"/>
      <c r="C589" s="874"/>
      <c r="D589" s="882"/>
      <c r="E589" s="874"/>
      <c r="F589" s="874"/>
      <c r="G589" s="864"/>
      <c r="H589" s="874"/>
      <c r="I589" s="874"/>
      <c r="J589" s="874"/>
      <c r="K589" s="874"/>
      <c r="L589" s="874"/>
      <c r="M589" s="874"/>
      <c r="N589" s="874"/>
      <c r="O589" s="874"/>
      <c r="P589" s="874"/>
      <c r="Q589" s="874"/>
      <c r="R589" s="874"/>
      <c r="S589" s="874"/>
      <c r="T589" s="874"/>
      <c r="U589" s="874"/>
      <c r="V589" s="874"/>
      <c r="W589" s="874"/>
      <c r="X589" s="874"/>
      <c r="Y589" s="874"/>
      <c r="Z589" s="874"/>
    </row>
    <row r="590" ht="63.75" customHeight="1">
      <c r="A590" s="874"/>
      <c r="B590" s="874"/>
      <c r="C590" s="874"/>
      <c r="D590" s="882"/>
      <c r="E590" s="874"/>
      <c r="F590" s="874"/>
      <c r="G590" s="864"/>
      <c r="H590" s="874"/>
      <c r="I590" s="874"/>
      <c r="J590" s="874"/>
      <c r="K590" s="874"/>
      <c r="L590" s="874"/>
      <c r="M590" s="874"/>
      <c r="N590" s="874"/>
      <c r="O590" s="874"/>
      <c r="P590" s="874"/>
      <c r="Q590" s="874"/>
      <c r="R590" s="874"/>
      <c r="S590" s="874"/>
      <c r="T590" s="874"/>
      <c r="U590" s="874"/>
      <c r="V590" s="874"/>
      <c r="W590" s="874"/>
      <c r="X590" s="874"/>
      <c r="Y590" s="874"/>
      <c r="Z590" s="874"/>
    </row>
    <row r="591" ht="63.75" customHeight="1">
      <c r="A591" s="874"/>
      <c r="B591" s="874"/>
      <c r="C591" s="874"/>
      <c r="D591" s="882"/>
      <c r="E591" s="874"/>
      <c r="F591" s="874"/>
      <c r="G591" s="864"/>
      <c r="H591" s="874"/>
      <c r="I591" s="874"/>
      <c r="J591" s="874"/>
      <c r="K591" s="874"/>
      <c r="L591" s="874"/>
      <c r="M591" s="874"/>
      <c r="N591" s="874"/>
      <c r="O591" s="874"/>
      <c r="P591" s="874"/>
      <c r="Q591" s="874"/>
      <c r="R591" s="874"/>
      <c r="S591" s="874"/>
      <c r="T591" s="874"/>
      <c r="U591" s="874"/>
      <c r="V591" s="874"/>
      <c r="W591" s="874"/>
      <c r="X591" s="874"/>
      <c r="Y591" s="874"/>
      <c r="Z591" s="874"/>
    </row>
    <row r="592" ht="63.75" customHeight="1">
      <c r="A592" s="874"/>
      <c r="B592" s="874"/>
      <c r="C592" s="874"/>
      <c r="D592" s="882"/>
      <c r="E592" s="874"/>
      <c r="F592" s="874"/>
      <c r="G592" s="864"/>
      <c r="H592" s="874"/>
      <c r="I592" s="874"/>
      <c r="J592" s="874"/>
      <c r="K592" s="874"/>
      <c r="L592" s="874"/>
      <c r="M592" s="874"/>
      <c r="N592" s="874"/>
      <c r="O592" s="874"/>
      <c r="P592" s="874"/>
      <c r="Q592" s="874"/>
      <c r="R592" s="874"/>
      <c r="S592" s="874"/>
      <c r="T592" s="874"/>
      <c r="U592" s="874"/>
      <c r="V592" s="874"/>
      <c r="W592" s="874"/>
      <c r="X592" s="874"/>
      <c r="Y592" s="874"/>
      <c r="Z592" s="874"/>
    </row>
    <row r="593" ht="63.75" customHeight="1">
      <c r="A593" s="874"/>
      <c r="B593" s="874"/>
      <c r="C593" s="874"/>
      <c r="D593" s="882"/>
      <c r="E593" s="874"/>
      <c r="F593" s="874"/>
      <c r="G593" s="864"/>
      <c r="H593" s="874"/>
      <c r="I593" s="874"/>
      <c r="J593" s="874"/>
      <c r="K593" s="874"/>
      <c r="L593" s="874"/>
      <c r="M593" s="874"/>
      <c r="N593" s="874"/>
      <c r="O593" s="874"/>
      <c r="P593" s="874"/>
      <c r="Q593" s="874"/>
      <c r="R593" s="874"/>
      <c r="S593" s="874"/>
      <c r="T593" s="874"/>
      <c r="U593" s="874"/>
      <c r="V593" s="874"/>
      <c r="W593" s="874"/>
      <c r="X593" s="874"/>
      <c r="Y593" s="874"/>
      <c r="Z593" s="874"/>
    </row>
    <row r="594" ht="63.75" customHeight="1">
      <c r="A594" s="874"/>
      <c r="B594" s="874"/>
      <c r="C594" s="874"/>
      <c r="D594" s="882"/>
      <c r="E594" s="874"/>
      <c r="F594" s="874"/>
      <c r="G594" s="864"/>
      <c r="H594" s="874"/>
      <c r="I594" s="874"/>
      <c r="J594" s="874"/>
      <c r="K594" s="874"/>
      <c r="L594" s="874"/>
      <c r="M594" s="874"/>
      <c r="N594" s="874"/>
      <c r="O594" s="874"/>
      <c r="P594" s="874"/>
      <c r="Q594" s="874"/>
      <c r="R594" s="874"/>
      <c r="S594" s="874"/>
      <c r="T594" s="874"/>
      <c r="U594" s="874"/>
      <c r="V594" s="874"/>
      <c r="W594" s="874"/>
      <c r="X594" s="874"/>
      <c r="Y594" s="874"/>
      <c r="Z594" s="874"/>
    </row>
    <row r="595" ht="63.75" customHeight="1">
      <c r="A595" s="874"/>
      <c r="B595" s="874"/>
      <c r="C595" s="874"/>
      <c r="D595" s="882"/>
      <c r="E595" s="874"/>
      <c r="F595" s="874"/>
      <c r="G595" s="864"/>
      <c r="H595" s="874"/>
      <c r="I595" s="874"/>
      <c r="J595" s="874"/>
      <c r="K595" s="874"/>
      <c r="L595" s="874"/>
      <c r="M595" s="874"/>
      <c r="N595" s="874"/>
      <c r="O595" s="874"/>
      <c r="P595" s="874"/>
      <c r="Q595" s="874"/>
      <c r="R595" s="874"/>
      <c r="S595" s="874"/>
      <c r="T595" s="874"/>
      <c r="U595" s="874"/>
      <c r="V595" s="874"/>
      <c r="W595" s="874"/>
      <c r="X595" s="874"/>
      <c r="Y595" s="874"/>
      <c r="Z595" s="874"/>
    </row>
    <row r="596" ht="63.75" customHeight="1">
      <c r="A596" s="874"/>
      <c r="B596" s="874"/>
      <c r="C596" s="874"/>
      <c r="D596" s="882"/>
      <c r="E596" s="874"/>
      <c r="F596" s="874"/>
      <c r="G596" s="864"/>
      <c r="H596" s="874"/>
      <c r="I596" s="874"/>
      <c r="J596" s="874"/>
      <c r="K596" s="874"/>
      <c r="L596" s="874"/>
      <c r="M596" s="874"/>
      <c r="N596" s="874"/>
      <c r="O596" s="874"/>
      <c r="P596" s="874"/>
      <c r="Q596" s="874"/>
      <c r="R596" s="874"/>
      <c r="S596" s="874"/>
      <c r="T596" s="874"/>
      <c r="U596" s="874"/>
      <c r="V596" s="874"/>
      <c r="W596" s="874"/>
      <c r="X596" s="874"/>
      <c r="Y596" s="874"/>
      <c r="Z596" s="874"/>
    </row>
    <row r="597" ht="63.75" customHeight="1">
      <c r="A597" s="874"/>
      <c r="B597" s="874"/>
      <c r="C597" s="874"/>
      <c r="D597" s="882"/>
      <c r="E597" s="874"/>
      <c r="F597" s="874"/>
      <c r="G597" s="864"/>
      <c r="H597" s="874"/>
      <c r="I597" s="874"/>
      <c r="J597" s="874"/>
      <c r="K597" s="874"/>
      <c r="L597" s="874"/>
      <c r="M597" s="874"/>
      <c r="N597" s="874"/>
      <c r="O597" s="874"/>
      <c r="P597" s="874"/>
      <c r="Q597" s="874"/>
      <c r="R597" s="874"/>
      <c r="S597" s="874"/>
      <c r="T597" s="874"/>
      <c r="U597" s="874"/>
      <c r="V597" s="874"/>
      <c r="W597" s="874"/>
      <c r="X597" s="874"/>
      <c r="Y597" s="874"/>
      <c r="Z597" s="874"/>
    </row>
    <row r="598" ht="63.75" customHeight="1">
      <c r="A598" s="874"/>
      <c r="B598" s="874"/>
      <c r="C598" s="874"/>
      <c r="D598" s="882"/>
      <c r="E598" s="874"/>
      <c r="F598" s="874"/>
      <c r="G598" s="864"/>
      <c r="H598" s="874"/>
      <c r="I598" s="874"/>
      <c r="J598" s="874"/>
      <c r="K598" s="874"/>
      <c r="L598" s="874"/>
      <c r="M598" s="874"/>
      <c r="N598" s="874"/>
      <c r="O598" s="874"/>
      <c r="P598" s="874"/>
      <c r="Q598" s="874"/>
      <c r="R598" s="874"/>
      <c r="S598" s="874"/>
      <c r="T598" s="874"/>
      <c r="U598" s="874"/>
      <c r="V598" s="874"/>
      <c r="W598" s="874"/>
      <c r="X598" s="874"/>
      <c r="Y598" s="874"/>
      <c r="Z598" s="874"/>
    </row>
    <row r="599" ht="63.75" customHeight="1">
      <c r="A599" s="874"/>
      <c r="B599" s="874"/>
      <c r="C599" s="874"/>
      <c r="D599" s="882"/>
      <c r="E599" s="874"/>
      <c r="F599" s="874"/>
      <c r="G599" s="864"/>
      <c r="H599" s="874"/>
      <c r="I599" s="874"/>
      <c r="J599" s="874"/>
      <c r="K599" s="874"/>
      <c r="L599" s="874"/>
      <c r="M599" s="874"/>
      <c r="N599" s="874"/>
      <c r="O599" s="874"/>
      <c r="P599" s="874"/>
      <c r="Q599" s="874"/>
      <c r="R599" s="874"/>
      <c r="S599" s="874"/>
      <c r="T599" s="874"/>
      <c r="U599" s="874"/>
      <c r="V599" s="874"/>
      <c r="W599" s="874"/>
      <c r="X599" s="874"/>
      <c r="Y599" s="874"/>
      <c r="Z599" s="874"/>
    </row>
    <row r="600" ht="63.75" customHeight="1">
      <c r="A600" s="874"/>
      <c r="B600" s="874"/>
      <c r="C600" s="874"/>
      <c r="D600" s="882"/>
      <c r="E600" s="874"/>
      <c r="F600" s="874"/>
      <c r="G600" s="864"/>
      <c r="H600" s="874"/>
      <c r="I600" s="874"/>
      <c r="J600" s="874"/>
      <c r="K600" s="874"/>
      <c r="L600" s="874"/>
      <c r="M600" s="874"/>
      <c r="N600" s="874"/>
      <c r="O600" s="874"/>
      <c r="P600" s="874"/>
      <c r="Q600" s="874"/>
      <c r="R600" s="874"/>
      <c r="S600" s="874"/>
      <c r="T600" s="874"/>
      <c r="U600" s="874"/>
      <c r="V600" s="874"/>
      <c r="W600" s="874"/>
      <c r="X600" s="874"/>
      <c r="Y600" s="874"/>
      <c r="Z600" s="874"/>
    </row>
    <row r="601" ht="63.75" customHeight="1">
      <c r="A601" s="874"/>
      <c r="B601" s="874"/>
      <c r="C601" s="874"/>
      <c r="D601" s="882"/>
      <c r="E601" s="874"/>
      <c r="F601" s="874"/>
      <c r="G601" s="864"/>
      <c r="H601" s="874"/>
      <c r="I601" s="874"/>
      <c r="J601" s="874"/>
      <c r="K601" s="874"/>
      <c r="L601" s="874"/>
      <c r="M601" s="874"/>
      <c r="N601" s="874"/>
      <c r="O601" s="874"/>
      <c r="P601" s="874"/>
      <c r="Q601" s="874"/>
      <c r="R601" s="874"/>
      <c r="S601" s="874"/>
      <c r="T601" s="874"/>
      <c r="U601" s="874"/>
      <c r="V601" s="874"/>
      <c r="W601" s="874"/>
      <c r="X601" s="874"/>
      <c r="Y601" s="874"/>
      <c r="Z601" s="874"/>
    </row>
    <row r="602" ht="63.75" customHeight="1">
      <c r="A602" s="874"/>
      <c r="B602" s="874"/>
      <c r="C602" s="874"/>
      <c r="D602" s="882"/>
      <c r="E602" s="874"/>
      <c r="F602" s="874"/>
      <c r="G602" s="864"/>
      <c r="H602" s="874"/>
      <c r="I602" s="874"/>
      <c r="J602" s="874"/>
      <c r="K602" s="874"/>
      <c r="L602" s="874"/>
      <c r="M602" s="874"/>
      <c r="N602" s="874"/>
      <c r="O602" s="874"/>
      <c r="P602" s="874"/>
      <c r="Q602" s="874"/>
      <c r="R602" s="874"/>
      <c r="S602" s="874"/>
      <c r="T602" s="874"/>
      <c r="U602" s="874"/>
      <c r="V602" s="874"/>
      <c r="W602" s="874"/>
      <c r="X602" s="874"/>
      <c r="Y602" s="874"/>
      <c r="Z602" s="874"/>
    </row>
    <row r="603" ht="63.75" customHeight="1">
      <c r="A603" s="874"/>
      <c r="B603" s="874"/>
      <c r="C603" s="874"/>
      <c r="D603" s="882"/>
      <c r="E603" s="874"/>
      <c r="F603" s="874"/>
      <c r="G603" s="864"/>
      <c r="H603" s="874"/>
      <c r="I603" s="874"/>
      <c r="J603" s="874"/>
      <c r="K603" s="874"/>
      <c r="L603" s="874"/>
      <c r="M603" s="874"/>
      <c r="N603" s="874"/>
      <c r="O603" s="874"/>
      <c r="P603" s="874"/>
      <c r="Q603" s="874"/>
      <c r="R603" s="874"/>
      <c r="S603" s="874"/>
      <c r="T603" s="874"/>
      <c r="U603" s="874"/>
      <c r="V603" s="874"/>
      <c r="W603" s="874"/>
      <c r="X603" s="874"/>
      <c r="Y603" s="874"/>
      <c r="Z603" s="874"/>
    </row>
    <row r="604" ht="63.75" customHeight="1">
      <c r="A604" s="874"/>
      <c r="B604" s="874"/>
      <c r="C604" s="874"/>
      <c r="D604" s="882"/>
      <c r="E604" s="874"/>
      <c r="F604" s="874"/>
      <c r="G604" s="864"/>
      <c r="H604" s="874"/>
      <c r="I604" s="874"/>
      <c r="J604" s="874"/>
      <c r="K604" s="874"/>
      <c r="L604" s="874"/>
      <c r="M604" s="874"/>
      <c r="N604" s="874"/>
      <c r="O604" s="874"/>
      <c r="P604" s="874"/>
      <c r="Q604" s="874"/>
      <c r="R604" s="874"/>
      <c r="S604" s="874"/>
      <c r="T604" s="874"/>
      <c r="U604" s="874"/>
      <c r="V604" s="874"/>
      <c r="W604" s="874"/>
      <c r="X604" s="874"/>
      <c r="Y604" s="874"/>
      <c r="Z604" s="874"/>
    </row>
    <row r="605" ht="63.75" customHeight="1">
      <c r="A605" s="874"/>
      <c r="B605" s="874"/>
      <c r="C605" s="874"/>
      <c r="D605" s="882"/>
      <c r="E605" s="874"/>
      <c r="F605" s="874"/>
      <c r="G605" s="864"/>
      <c r="H605" s="874"/>
      <c r="I605" s="874"/>
      <c r="J605" s="874"/>
      <c r="K605" s="874"/>
      <c r="L605" s="874"/>
      <c r="M605" s="874"/>
      <c r="N605" s="874"/>
      <c r="O605" s="874"/>
      <c r="P605" s="874"/>
      <c r="Q605" s="874"/>
      <c r="R605" s="874"/>
      <c r="S605" s="874"/>
      <c r="T605" s="874"/>
      <c r="U605" s="874"/>
      <c r="V605" s="874"/>
      <c r="W605" s="874"/>
      <c r="X605" s="874"/>
      <c r="Y605" s="874"/>
      <c r="Z605" s="874"/>
    </row>
    <row r="606" ht="63.75" customHeight="1">
      <c r="A606" s="874"/>
      <c r="B606" s="874"/>
      <c r="C606" s="874"/>
      <c r="D606" s="882"/>
      <c r="E606" s="874"/>
      <c r="F606" s="874"/>
      <c r="G606" s="864"/>
      <c r="H606" s="874"/>
      <c r="I606" s="874"/>
      <c r="J606" s="874"/>
      <c r="K606" s="874"/>
      <c r="L606" s="874"/>
      <c r="M606" s="874"/>
      <c r="N606" s="874"/>
      <c r="O606" s="874"/>
      <c r="P606" s="874"/>
      <c r="Q606" s="874"/>
      <c r="R606" s="874"/>
      <c r="S606" s="874"/>
      <c r="T606" s="874"/>
      <c r="U606" s="874"/>
      <c r="V606" s="874"/>
      <c r="W606" s="874"/>
      <c r="X606" s="874"/>
      <c r="Y606" s="874"/>
      <c r="Z606" s="874"/>
    </row>
    <row r="607" ht="63.75" customHeight="1">
      <c r="A607" s="874"/>
      <c r="B607" s="874"/>
      <c r="C607" s="874"/>
      <c r="D607" s="882"/>
      <c r="E607" s="874"/>
      <c r="F607" s="874"/>
      <c r="G607" s="864"/>
      <c r="H607" s="874"/>
      <c r="I607" s="874"/>
      <c r="J607" s="874"/>
      <c r="K607" s="874"/>
      <c r="L607" s="874"/>
      <c r="M607" s="874"/>
      <c r="N607" s="874"/>
      <c r="O607" s="874"/>
      <c r="P607" s="874"/>
      <c r="Q607" s="874"/>
      <c r="R607" s="874"/>
      <c r="S607" s="874"/>
      <c r="T607" s="874"/>
      <c r="U607" s="874"/>
      <c r="V607" s="874"/>
      <c r="W607" s="874"/>
      <c r="X607" s="874"/>
      <c r="Y607" s="874"/>
      <c r="Z607" s="874"/>
    </row>
    <row r="608" ht="63.75" customHeight="1">
      <c r="A608" s="874"/>
      <c r="B608" s="874"/>
      <c r="C608" s="874"/>
      <c r="D608" s="882"/>
      <c r="E608" s="874"/>
      <c r="F608" s="874"/>
      <c r="G608" s="864"/>
      <c r="H608" s="874"/>
      <c r="I608" s="874"/>
      <c r="J608" s="874"/>
      <c r="K608" s="874"/>
      <c r="L608" s="874"/>
      <c r="M608" s="874"/>
      <c r="N608" s="874"/>
      <c r="O608" s="874"/>
      <c r="P608" s="874"/>
      <c r="Q608" s="874"/>
      <c r="R608" s="874"/>
      <c r="S608" s="874"/>
      <c r="T608" s="874"/>
      <c r="U608" s="874"/>
      <c r="V608" s="874"/>
      <c r="W608" s="874"/>
      <c r="X608" s="874"/>
      <c r="Y608" s="874"/>
      <c r="Z608" s="874"/>
    </row>
    <row r="609" ht="63.75" customHeight="1">
      <c r="A609" s="874"/>
      <c r="B609" s="874"/>
      <c r="C609" s="874"/>
      <c r="D609" s="882"/>
      <c r="E609" s="874"/>
      <c r="F609" s="874"/>
      <c r="G609" s="864"/>
      <c r="H609" s="874"/>
      <c r="I609" s="874"/>
      <c r="J609" s="874"/>
      <c r="K609" s="874"/>
      <c r="L609" s="874"/>
      <c r="M609" s="874"/>
      <c r="N609" s="874"/>
      <c r="O609" s="874"/>
      <c r="P609" s="874"/>
      <c r="Q609" s="874"/>
      <c r="R609" s="874"/>
      <c r="S609" s="874"/>
      <c r="T609" s="874"/>
      <c r="U609" s="874"/>
      <c r="V609" s="874"/>
      <c r="W609" s="874"/>
      <c r="X609" s="874"/>
      <c r="Y609" s="874"/>
      <c r="Z609" s="874"/>
    </row>
    <row r="610" ht="63.75" customHeight="1">
      <c r="A610" s="874"/>
      <c r="B610" s="874"/>
      <c r="C610" s="874"/>
      <c r="D610" s="882"/>
      <c r="E610" s="874"/>
      <c r="F610" s="874"/>
      <c r="G610" s="864"/>
      <c r="H610" s="874"/>
      <c r="I610" s="874"/>
      <c r="J610" s="874"/>
      <c r="K610" s="874"/>
      <c r="L610" s="874"/>
      <c r="M610" s="874"/>
      <c r="N610" s="874"/>
      <c r="O610" s="874"/>
      <c r="P610" s="874"/>
      <c r="Q610" s="874"/>
      <c r="R610" s="874"/>
      <c r="S610" s="874"/>
      <c r="T610" s="874"/>
      <c r="U610" s="874"/>
      <c r="V610" s="874"/>
      <c r="W610" s="874"/>
      <c r="X610" s="874"/>
      <c r="Y610" s="874"/>
      <c r="Z610" s="874"/>
    </row>
    <row r="611" ht="63.75" customHeight="1">
      <c r="A611" s="874"/>
      <c r="B611" s="874"/>
      <c r="C611" s="874"/>
      <c r="D611" s="882"/>
      <c r="E611" s="874"/>
      <c r="F611" s="874"/>
      <c r="G611" s="864"/>
      <c r="H611" s="874"/>
      <c r="I611" s="874"/>
      <c r="J611" s="874"/>
      <c r="K611" s="874"/>
      <c r="L611" s="874"/>
      <c r="M611" s="874"/>
      <c r="N611" s="874"/>
      <c r="O611" s="874"/>
      <c r="P611" s="874"/>
      <c r="Q611" s="874"/>
      <c r="R611" s="874"/>
      <c r="S611" s="874"/>
      <c r="T611" s="874"/>
      <c r="U611" s="874"/>
      <c r="V611" s="874"/>
      <c r="W611" s="874"/>
      <c r="X611" s="874"/>
      <c r="Y611" s="874"/>
      <c r="Z611" s="874"/>
    </row>
    <row r="612" ht="63.75" customHeight="1">
      <c r="A612" s="874"/>
      <c r="B612" s="874"/>
      <c r="C612" s="874"/>
      <c r="D612" s="882"/>
      <c r="E612" s="874"/>
      <c r="F612" s="874"/>
      <c r="G612" s="864"/>
      <c r="H612" s="874"/>
      <c r="I612" s="874"/>
      <c r="J612" s="874"/>
      <c r="K612" s="874"/>
      <c r="L612" s="874"/>
      <c r="M612" s="874"/>
      <c r="N612" s="874"/>
      <c r="O612" s="874"/>
      <c r="P612" s="874"/>
      <c r="Q612" s="874"/>
      <c r="R612" s="874"/>
      <c r="S612" s="874"/>
      <c r="T612" s="874"/>
      <c r="U612" s="874"/>
      <c r="V612" s="874"/>
      <c r="W612" s="874"/>
      <c r="X612" s="874"/>
      <c r="Y612" s="874"/>
      <c r="Z612" s="874"/>
    </row>
    <row r="613" ht="63.75" customHeight="1">
      <c r="A613" s="874"/>
      <c r="B613" s="874"/>
      <c r="C613" s="874"/>
      <c r="D613" s="882"/>
      <c r="E613" s="874"/>
      <c r="F613" s="874"/>
      <c r="G613" s="864"/>
      <c r="H613" s="874"/>
      <c r="I613" s="874"/>
      <c r="J613" s="874"/>
      <c r="K613" s="874"/>
      <c r="L613" s="874"/>
      <c r="M613" s="874"/>
      <c r="N613" s="874"/>
      <c r="O613" s="874"/>
      <c r="P613" s="874"/>
      <c r="Q613" s="874"/>
      <c r="R613" s="874"/>
      <c r="S613" s="874"/>
      <c r="T613" s="874"/>
      <c r="U613" s="874"/>
      <c r="V613" s="874"/>
      <c r="W613" s="874"/>
      <c r="X613" s="874"/>
      <c r="Y613" s="874"/>
      <c r="Z613" s="874"/>
    </row>
    <row r="614" ht="63.75" customHeight="1">
      <c r="A614" s="874"/>
      <c r="B614" s="874"/>
      <c r="C614" s="874"/>
      <c r="D614" s="882"/>
      <c r="E614" s="874"/>
      <c r="F614" s="874"/>
      <c r="G614" s="864"/>
      <c r="H614" s="874"/>
      <c r="I614" s="874"/>
      <c r="J614" s="874"/>
      <c r="K614" s="874"/>
      <c r="L614" s="874"/>
      <c r="M614" s="874"/>
      <c r="N614" s="874"/>
      <c r="O614" s="874"/>
      <c r="P614" s="874"/>
      <c r="Q614" s="874"/>
      <c r="R614" s="874"/>
      <c r="S614" s="874"/>
      <c r="T614" s="874"/>
      <c r="U614" s="874"/>
      <c r="V614" s="874"/>
      <c r="W614" s="874"/>
      <c r="X614" s="874"/>
      <c r="Y614" s="874"/>
      <c r="Z614" s="874"/>
    </row>
    <row r="615" ht="63.75" customHeight="1">
      <c r="A615" s="874"/>
      <c r="B615" s="874"/>
      <c r="C615" s="874"/>
      <c r="D615" s="882"/>
      <c r="E615" s="874"/>
      <c r="F615" s="874"/>
      <c r="G615" s="864"/>
      <c r="H615" s="874"/>
      <c r="I615" s="874"/>
      <c r="J615" s="874"/>
      <c r="K615" s="874"/>
      <c r="L615" s="874"/>
      <c r="M615" s="874"/>
      <c r="N615" s="874"/>
      <c r="O615" s="874"/>
      <c r="P615" s="874"/>
      <c r="Q615" s="874"/>
      <c r="R615" s="874"/>
      <c r="S615" s="874"/>
      <c r="T615" s="874"/>
      <c r="U615" s="874"/>
      <c r="V615" s="874"/>
      <c r="W615" s="874"/>
      <c r="X615" s="874"/>
      <c r="Y615" s="874"/>
      <c r="Z615" s="874"/>
    </row>
    <row r="616" ht="63.75" customHeight="1">
      <c r="A616" s="874"/>
      <c r="B616" s="874"/>
      <c r="C616" s="874"/>
      <c r="D616" s="882"/>
      <c r="E616" s="874"/>
      <c r="F616" s="874"/>
      <c r="G616" s="864"/>
      <c r="H616" s="874"/>
      <c r="I616" s="874"/>
      <c r="J616" s="874"/>
      <c r="K616" s="874"/>
      <c r="L616" s="874"/>
      <c r="M616" s="874"/>
      <c r="N616" s="874"/>
      <c r="O616" s="874"/>
      <c r="P616" s="874"/>
      <c r="Q616" s="874"/>
      <c r="R616" s="874"/>
      <c r="S616" s="874"/>
      <c r="T616" s="874"/>
      <c r="U616" s="874"/>
      <c r="V616" s="874"/>
      <c r="W616" s="874"/>
      <c r="X616" s="874"/>
      <c r="Y616" s="874"/>
      <c r="Z616" s="874"/>
    </row>
    <row r="617" ht="63.75" customHeight="1">
      <c r="A617" s="874"/>
      <c r="B617" s="874"/>
      <c r="C617" s="874"/>
      <c r="D617" s="882"/>
      <c r="E617" s="874"/>
      <c r="F617" s="874"/>
      <c r="G617" s="864"/>
      <c r="H617" s="874"/>
      <c r="I617" s="874"/>
      <c r="J617" s="874"/>
      <c r="K617" s="874"/>
      <c r="L617" s="874"/>
      <c r="M617" s="874"/>
      <c r="N617" s="874"/>
      <c r="O617" s="874"/>
      <c r="P617" s="874"/>
      <c r="Q617" s="874"/>
      <c r="R617" s="874"/>
      <c r="S617" s="874"/>
      <c r="T617" s="874"/>
      <c r="U617" s="874"/>
      <c r="V617" s="874"/>
      <c r="W617" s="874"/>
      <c r="X617" s="874"/>
      <c r="Y617" s="874"/>
      <c r="Z617" s="874"/>
    </row>
    <row r="618" ht="63.75" customHeight="1">
      <c r="A618" s="874"/>
      <c r="B618" s="874"/>
      <c r="C618" s="874"/>
      <c r="D618" s="882"/>
      <c r="E618" s="874"/>
      <c r="F618" s="874"/>
      <c r="G618" s="864"/>
      <c r="H618" s="874"/>
      <c r="I618" s="874"/>
      <c r="J618" s="874"/>
      <c r="K618" s="874"/>
      <c r="L618" s="874"/>
      <c r="M618" s="874"/>
      <c r="N618" s="874"/>
      <c r="O618" s="874"/>
      <c r="P618" s="874"/>
      <c r="Q618" s="874"/>
      <c r="R618" s="874"/>
      <c r="S618" s="874"/>
      <c r="T618" s="874"/>
      <c r="U618" s="874"/>
      <c r="V618" s="874"/>
      <c r="W618" s="874"/>
      <c r="X618" s="874"/>
      <c r="Y618" s="874"/>
      <c r="Z618" s="874"/>
    </row>
    <row r="619" ht="63.75" customHeight="1">
      <c r="A619" s="874"/>
      <c r="B619" s="874"/>
      <c r="C619" s="874"/>
      <c r="D619" s="882"/>
      <c r="E619" s="874"/>
      <c r="F619" s="874"/>
      <c r="G619" s="864"/>
      <c r="H619" s="874"/>
      <c r="I619" s="874"/>
      <c r="J619" s="874"/>
      <c r="K619" s="874"/>
      <c r="L619" s="874"/>
      <c r="M619" s="874"/>
      <c r="N619" s="874"/>
      <c r="O619" s="874"/>
      <c r="P619" s="874"/>
      <c r="Q619" s="874"/>
      <c r="R619" s="874"/>
      <c r="S619" s="874"/>
      <c r="T619" s="874"/>
      <c r="U619" s="874"/>
      <c r="V619" s="874"/>
      <c r="W619" s="874"/>
      <c r="X619" s="874"/>
      <c r="Y619" s="874"/>
      <c r="Z619" s="874"/>
    </row>
    <row r="620" ht="63.75" customHeight="1">
      <c r="A620" s="874"/>
      <c r="B620" s="874"/>
      <c r="C620" s="874"/>
      <c r="D620" s="882"/>
      <c r="E620" s="874"/>
      <c r="F620" s="874"/>
      <c r="G620" s="864"/>
      <c r="H620" s="874"/>
      <c r="I620" s="874"/>
      <c r="J620" s="874"/>
      <c r="K620" s="874"/>
      <c r="L620" s="874"/>
      <c r="M620" s="874"/>
      <c r="N620" s="874"/>
      <c r="O620" s="874"/>
      <c r="P620" s="874"/>
      <c r="Q620" s="874"/>
      <c r="R620" s="874"/>
      <c r="S620" s="874"/>
      <c r="T620" s="874"/>
      <c r="U620" s="874"/>
      <c r="V620" s="874"/>
      <c r="W620" s="874"/>
      <c r="X620" s="874"/>
      <c r="Y620" s="874"/>
      <c r="Z620" s="874"/>
    </row>
    <row r="621" ht="63.75" customHeight="1">
      <c r="A621" s="874"/>
      <c r="B621" s="874"/>
      <c r="C621" s="874"/>
      <c r="D621" s="882"/>
      <c r="E621" s="874"/>
      <c r="F621" s="874"/>
      <c r="G621" s="864"/>
      <c r="H621" s="874"/>
      <c r="I621" s="874"/>
      <c r="J621" s="874"/>
      <c r="K621" s="874"/>
      <c r="L621" s="874"/>
      <c r="M621" s="874"/>
      <c r="N621" s="874"/>
      <c r="O621" s="874"/>
      <c r="P621" s="874"/>
      <c r="Q621" s="874"/>
      <c r="R621" s="874"/>
      <c r="S621" s="874"/>
      <c r="T621" s="874"/>
      <c r="U621" s="874"/>
      <c r="V621" s="874"/>
      <c r="W621" s="874"/>
      <c r="X621" s="874"/>
      <c r="Y621" s="874"/>
      <c r="Z621" s="874"/>
    </row>
    <row r="622" ht="63.75" customHeight="1">
      <c r="A622" s="874"/>
      <c r="B622" s="874"/>
      <c r="C622" s="874"/>
      <c r="D622" s="882"/>
      <c r="E622" s="874"/>
      <c r="F622" s="874"/>
      <c r="G622" s="864"/>
      <c r="H622" s="874"/>
      <c r="I622" s="874"/>
      <c r="J622" s="874"/>
      <c r="K622" s="874"/>
      <c r="L622" s="874"/>
      <c r="M622" s="874"/>
      <c r="N622" s="874"/>
      <c r="O622" s="874"/>
      <c r="P622" s="874"/>
      <c r="Q622" s="874"/>
      <c r="R622" s="874"/>
      <c r="S622" s="874"/>
      <c r="T622" s="874"/>
      <c r="U622" s="874"/>
      <c r="V622" s="874"/>
      <c r="W622" s="874"/>
      <c r="X622" s="874"/>
      <c r="Y622" s="874"/>
      <c r="Z622" s="874"/>
    </row>
    <row r="623" ht="63.75" customHeight="1">
      <c r="A623" s="874"/>
      <c r="B623" s="874"/>
      <c r="C623" s="874"/>
      <c r="D623" s="882"/>
      <c r="E623" s="874"/>
      <c r="F623" s="874"/>
      <c r="G623" s="864"/>
      <c r="H623" s="874"/>
      <c r="I623" s="874"/>
      <c r="J623" s="874"/>
      <c r="K623" s="874"/>
      <c r="L623" s="874"/>
      <c r="M623" s="874"/>
      <c r="N623" s="874"/>
      <c r="O623" s="874"/>
      <c r="P623" s="874"/>
      <c r="Q623" s="874"/>
      <c r="R623" s="874"/>
      <c r="S623" s="874"/>
      <c r="T623" s="874"/>
      <c r="U623" s="874"/>
      <c r="V623" s="874"/>
      <c r="W623" s="874"/>
      <c r="X623" s="874"/>
      <c r="Y623" s="874"/>
      <c r="Z623" s="874"/>
    </row>
    <row r="624" ht="63.75" customHeight="1">
      <c r="A624" s="874"/>
      <c r="B624" s="874"/>
      <c r="C624" s="874"/>
      <c r="D624" s="882"/>
      <c r="E624" s="874"/>
      <c r="F624" s="874"/>
      <c r="G624" s="864"/>
      <c r="H624" s="874"/>
      <c r="I624" s="874"/>
      <c r="J624" s="874"/>
      <c r="K624" s="874"/>
      <c r="L624" s="874"/>
      <c r="M624" s="874"/>
      <c r="N624" s="874"/>
      <c r="O624" s="874"/>
      <c r="P624" s="874"/>
      <c r="Q624" s="874"/>
      <c r="R624" s="874"/>
      <c r="S624" s="874"/>
      <c r="T624" s="874"/>
      <c r="U624" s="874"/>
      <c r="V624" s="874"/>
      <c r="W624" s="874"/>
      <c r="X624" s="874"/>
      <c r="Y624" s="874"/>
      <c r="Z624" s="874"/>
    </row>
    <row r="625" ht="63.75" customHeight="1">
      <c r="A625" s="874"/>
      <c r="B625" s="874"/>
      <c r="C625" s="874"/>
      <c r="D625" s="882"/>
      <c r="E625" s="874"/>
      <c r="F625" s="874"/>
      <c r="G625" s="864"/>
      <c r="H625" s="874"/>
      <c r="I625" s="874"/>
      <c r="J625" s="874"/>
      <c r="K625" s="874"/>
      <c r="L625" s="874"/>
      <c r="M625" s="874"/>
      <c r="N625" s="874"/>
      <c r="O625" s="874"/>
      <c r="P625" s="874"/>
      <c r="Q625" s="874"/>
      <c r="R625" s="874"/>
      <c r="S625" s="874"/>
      <c r="T625" s="874"/>
      <c r="U625" s="874"/>
      <c r="V625" s="874"/>
      <c r="W625" s="874"/>
      <c r="X625" s="874"/>
      <c r="Y625" s="874"/>
      <c r="Z625" s="874"/>
    </row>
    <row r="626" ht="63.75" customHeight="1">
      <c r="A626" s="874"/>
      <c r="B626" s="874"/>
      <c r="C626" s="874"/>
      <c r="D626" s="882"/>
      <c r="E626" s="874"/>
      <c r="F626" s="874"/>
      <c r="G626" s="864"/>
      <c r="H626" s="874"/>
      <c r="I626" s="874"/>
      <c r="J626" s="874"/>
      <c r="K626" s="874"/>
      <c r="L626" s="874"/>
      <c r="M626" s="874"/>
      <c r="N626" s="874"/>
      <c r="O626" s="874"/>
      <c r="P626" s="874"/>
      <c r="Q626" s="874"/>
      <c r="R626" s="874"/>
      <c r="S626" s="874"/>
      <c r="T626" s="874"/>
      <c r="U626" s="874"/>
      <c r="V626" s="874"/>
      <c r="W626" s="874"/>
      <c r="X626" s="874"/>
      <c r="Y626" s="874"/>
      <c r="Z626" s="874"/>
    </row>
    <row r="627" ht="63.75" customHeight="1">
      <c r="A627" s="874"/>
      <c r="B627" s="874"/>
      <c r="C627" s="874"/>
      <c r="D627" s="882"/>
      <c r="E627" s="874"/>
      <c r="F627" s="874"/>
      <c r="G627" s="864"/>
      <c r="H627" s="874"/>
      <c r="I627" s="874"/>
      <c r="J627" s="874"/>
      <c r="K627" s="874"/>
      <c r="L627" s="874"/>
      <c r="M627" s="874"/>
      <c r="N627" s="874"/>
      <c r="O627" s="874"/>
      <c r="P627" s="874"/>
      <c r="Q627" s="874"/>
      <c r="R627" s="874"/>
      <c r="S627" s="874"/>
      <c r="T627" s="874"/>
      <c r="U627" s="874"/>
      <c r="V627" s="874"/>
      <c r="W627" s="874"/>
      <c r="X627" s="874"/>
      <c r="Y627" s="874"/>
      <c r="Z627" s="874"/>
    </row>
    <row r="628" ht="63.75" customHeight="1">
      <c r="A628" s="874"/>
      <c r="B628" s="874"/>
      <c r="C628" s="874"/>
      <c r="D628" s="882"/>
      <c r="E628" s="874"/>
      <c r="F628" s="874"/>
      <c r="G628" s="864"/>
      <c r="H628" s="874"/>
      <c r="I628" s="874"/>
      <c r="J628" s="874"/>
      <c r="K628" s="874"/>
      <c r="L628" s="874"/>
      <c r="M628" s="874"/>
      <c r="N628" s="874"/>
      <c r="O628" s="874"/>
      <c r="P628" s="874"/>
      <c r="Q628" s="874"/>
      <c r="R628" s="874"/>
      <c r="S628" s="874"/>
      <c r="T628" s="874"/>
      <c r="U628" s="874"/>
      <c r="V628" s="874"/>
      <c r="W628" s="874"/>
      <c r="X628" s="874"/>
      <c r="Y628" s="874"/>
      <c r="Z628" s="874"/>
    </row>
    <row r="629" ht="63.75" customHeight="1">
      <c r="A629" s="874"/>
      <c r="B629" s="874"/>
      <c r="C629" s="874"/>
      <c r="D629" s="882"/>
      <c r="E629" s="874"/>
      <c r="F629" s="874"/>
      <c r="G629" s="864"/>
      <c r="H629" s="874"/>
      <c r="I629" s="874"/>
      <c r="J629" s="874"/>
      <c r="K629" s="874"/>
      <c r="L629" s="874"/>
      <c r="M629" s="874"/>
      <c r="N629" s="874"/>
      <c r="O629" s="874"/>
      <c r="P629" s="874"/>
      <c r="Q629" s="874"/>
      <c r="R629" s="874"/>
      <c r="S629" s="874"/>
      <c r="T629" s="874"/>
      <c r="U629" s="874"/>
      <c r="V629" s="874"/>
      <c r="W629" s="874"/>
      <c r="X629" s="874"/>
      <c r="Y629" s="874"/>
      <c r="Z629" s="874"/>
    </row>
    <row r="630" ht="63.75" customHeight="1">
      <c r="A630" s="874"/>
      <c r="B630" s="874"/>
      <c r="C630" s="874"/>
      <c r="D630" s="882"/>
      <c r="E630" s="874"/>
      <c r="F630" s="874"/>
      <c r="G630" s="864"/>
      <c r="H630" s="874"/>
      <c r="I630" s="874"/>
      <c r="J630" s="874"/>
      <c r="K630" s="874"/>
      <c r="L630" s="874"/>
      <c r="M630" s="874"/>
      <c r="N630" s="874"/>
      <c r="O630" s="874"/>
      <c r="P630" s="874"/>
      <c r="Q630" s="874"/>
      <c r="R630" s="874"/>
      <c r="S630" s="874"/>
      <c r="T630" s="874"/>
      <c r="U630" s="874"/>
      <c r="V630" s="874"/>
      <c r="W630" s="874"/>
      <c r="X630" s="874"/>
      <c r="Y630" s="874"/>
      <c r="Z630" s="874"/>
    </row>
    <row r="631" ht="63.75" customHeight="1">
      <c r="A631" s="874"/>
      <c r="B631" s="874"/>
      <c r="C631" s="874"/>
      <c r="D631" s="882"/>
      <c r="E631" s="874"/>
      <c r="F631" s="874"/>
      <c r="G631" s="864"/>
      <c r="H631" s="874"/>
      <c r="I631" s="874"/>
      <c r="J631" s="874"/>
      <c r="K631" s="874"/>
      <c r="L631" s="874"/>
      <c r="M631" s="874"/>
      <c r="N631" s="874"/>
      <c r="O631" s="874"/>
      <c r="P631" s="874"/>
      <c r="Q631" s="874"/>
      <c r="R631" s="874"/>
      <c r="S631" s="874"/>
      <c r="T631" s="874"/>
      <c r="U631" s="874"/>
      <c r="V631" s="874"/>
      <c r="W631" s="874"/>
      <c r="X631" s="874"/>
      <c r="Y631" s="874"/>
      <c r="Z631" s="874"/>
    </row>
    <row r="632" ht="63.75" customHeight="1">
      <c r="A632" s="874"/>
      <c r="B632" s="874"/>
      <c r="C632" s="874"/>
      <c r="D632" s="882"/>
      <c r="E632" s="874"/>
      <c r="F632" s="874"/>
      <c r="G632" s="864"/>
      <c r="H632" s="874"/>
      <c r="I632" s="874"/>
      <c r="J632" s="874"/>
      <c r="K632" s="874"/>
      <c r="L632" s="874"/>
      <c r="M632" s="874"/>
      <c r="N632" s="874"/>
      <c r="O632" s="874"/>
      <c r="P632" s="874"/>
      <c r="Q632" s="874"/>
      <c r="R632" s="874"/>
      <c r="S632" s="874"/>
      <c r="T632" s="874"/>
      <c r="U632" s="874"/>
      <c r="V632" s="874"/>
      <c r="W632" s="874"/>
      <c r="X632" s="874"/>
      <c r="Y632" s="874"/>
      <c r="Z632" s="874"/>
    </row>
    <row r="633" ht="63.75" customHeight="1">
      <c r="A633" s="874"/>
      <c r="B633" s="874"/>
      <c r="C633" s="874"/>
      <c r="D633" s="882"/>
      <c r="E633" s="874"/>
      <c r="F633" s="874"/>
      <c r="G633" s="864"/>
      <c r="H633" s="874"/>
      <c r="I633" s="874"/>
      <c r="J633" s="874"/>
      <c r="K633" s="874"/>
      <c r="L633" s="874"/>
      <c r="M633" s="874"/>
      <c r="N633" s="874"/>
      <c r="O633" s="874"/>
      <c r="P633" s="874"/>
      <c r="Q633" s="874"/>
      <c r="R633" s="874"/>
      <c r="S633" s="874"/>
      <c r="T633" s="874"/>
      <c r="U633" s="874"/>
      <c r="V633" s="874"/>
      <c r="W633" s="874"/>
      <c r="X633" s="874"/>
      <c r="Y633" s="874"/>
      <c r="Z633" s="874"/>
    </row>
    <row r="634" ht="63.75" customHeight="1">
      <c r="A634" s="874"/>
      <c r="B634" s="874"/>
      <c r="C634" s="874"/>
      <c r="D634" s="882"/>
      <c r="E634" s="874"/>
      <c r="F634" s="874"/>
      <c r="G634" s="864"/>
      <c r="H634" s="874"/>
      <c r="I634" s="874"/>
      <c r="J634" s="874"/>
      <c r="K634" s="874"/>
      <c r="L634" s="874"/>
      <c r="M634" s="874"/>
      <c r="N634" s="874"/>
      <c r="O634" s="874"/>
      <c r="P634" s="874"/>
      <c r="Q634" s="874"/>
      <c r="R634" s="874"/>
      <c r="S634" s="874"/>
      <c r="T634" s="874"/>
      <c r="U634" s="874"/>
      <c r="V634" s="874"/>
      <c r="W634" s="874"/>
      <c r="X634" s="874"/>
      <c r="Y634" s="874"/>
      <c r="Z634" s="874"/>
    </row>
    <row r="635" ht="63.75" customHeight="1">
      <c r="A635" s="874"/>
      <c r="B635" s="874"/>
      <c r="C635" s="874"/>
      <c r="D635" s="882"/>
      <c r="E635" s="874"/>
      <c r="F635" s="874"/>
      <c r="G635" s="864"/>
      <c r="H635" s="874"/>
      <c r="I635" s="874"/>
      <c r="J635" s="874"/>
      <c r="K635" s="874"/>
      <c r="L635" s="874"/>
      <c r="M635" s="874"/>
      <c r="N635" s="874"/>
      <c r="O635" s="874"/>
      <c r="P635" s="874"/>
      <c r="Q635" s="874"/>
      <c r="R635" s="874"/>
      <c r="S635" s="874"/>
      <c r="T635" s="874"/>
      <c r="U635" s="874"/>
      <c r="V635" s="874"/>
      <c r="W635" s="874"/>
      <c r="X635" s="874"/>
      <c r="Y635" s="874"/>
      <c r="Z635" s="874"/>
    </row>
    <row r="636" ht="63.75" customHeight="1">
      <c r="A636" s="874"/>
      <c r="B636" s="874"/>
      <c r="C636" s="874"/>
      <c r="D636" s="882"/>
      <c r="E636" s="874"/>
      <c r="F636" s="874"/>
      <c r="G636" s="864"/>
      <c r="H636" s="874"/>
      <c r="I636" s="874"/>
      <c r="J636" s="874"/>
      <c r="K636" s="874"/>
      <c r="L636" s="874"/>
      <c r="M636" s="874"/>
      <c r="N636" s="874"/>
      <c r="O636" s="874"/>
      <c r="P636" s="874"/>
      <c r="Q636" s="874"/>
      <c r="R636" s="874"/>
      <c r="S636" s="874"/>
      <c r="T636" s="874"/>
      <c r="U636" s="874"/>
      <c r="V636" s="874"/>
      <c r="W636" s="874"/>
      <c r="X636" s="874"/>
      <c r="Y636" s="874"/>
      <c r="Z636" s="874"/>
    </row>
    <row r="637" ht="63.75" customHeight="1">
      <c r="A637" s="874"/>
      <c r="B637" s="874"/>
      <c r="C637" s="874"/>
      <c r="D637" s="882"/>
      <c r="E637" s="874"/>
      <c r="F637" s="874"/>
      <c r="G637" s="864"/>
      <c r="H637" s="874"/>
      <c r="I637" s="874"/>
      <c r="J637" s="874"/>
      <c r="K637" s="874"/>
      <c r="L637" s="874"/>
      <c r="M637" s="874"/>
      <c r="N637" s="874"/>
      <c r="O637" s="874"/>
      <c r="P637" s="874"/>
      <c r="Q637" s="874"/>
      <c r="R637" s="874"/>
      <c r="S637" s="874"/>
      <c r="T637" s="874"/>
      <c r="U637" s="874"/>
      <c r="V637" s="874"/>
      <c r="W637" s="874"/>
      <c r="X637" s="874"/>
      <c r="Y637" s="874"/>
      <c r="Z637" s="874"/>
    </row>
    <row r="638" ht="63.75" customHeight="1">
      <c r="A638" s="874"/>
      <c r="B638" s="874"/>
      <c r="C638" s="874"/>
      <c r="D638" s="882"/>
      <c r="E638" s="874"/>
      <c r="F638" s="874"/>
      <c r="G638" s="864"/>
      <c r="H638" s="874"/>
      <c r="I638" s="874"/>
      <c r="J638" s="874"/>
      <c r="K638" s="874"/>
      <c r="L638" s="874"/>
      <c r="M638" s="874"/>
      <c r="N638" s="874"/>
      <c r="O638" s="874"/>
      <c r="P638" s="874"/>
      <c r="Q638" s="874"/>
      <c r="R638" s="874"/>
      <c r="S638" s="874"/>
      <c r="T638" s="874"/>
      <c r="U638" s="874"/>
      <c r="V638" s="874"/>
      <c r="W638" s="874"/>
      <c r="X638" s="874"/>
      <c r="Y638" s="874"/>
      <c r="Z638" s="874"/>
    </row>
    <row r="639" ht="63.75" customHeight="1">
      <c r="A639" s="874"/>
      <c r="B639" s="874"/>
      <c r="C639" s="874"/>
      <c r="D639" s="882"/>
      <c r="E639" s="874"/>
      <c r="F639" s="874"/>
      <c r="G639" s="864"/>
      <c r="H639" s="874"/>
      <c r="I639" s="874"/>
      <c r="J639" s="874"/>
      <c r="K639" s="874"/>
      <c r="L639" s="874"/>
      <c r="M639" s="874"/>
      <c r="N639" s="874"/>
      <c r="O639" s="874"/>
      <c r="P639" s="874"/>
      <c r="Q639" s="874"/>
      <c r="R639" s="874"/>
      <c r="S639" s="874"/>
      <c r="T639" s="874"/>
      <c r="U639" s="874"/>
      <c r="V639" s="874"/>
      <c r="W639" s="874"/>
      <c r="X639" s="874"/>
      <c r="Y639" s="874"/>
      <c r="Z639" s="874"/>
    </row>
    <row r="640" ht="63.75" customHeight="1">
      <c r="A640" s="874"/>
      <c r="B640" s="874"/>
      <c r="C640" s="874"/>
      <c r="D640" s="882"/>
      <c r="E640" s="874"/>
      <c r="F640" s="874"/>
      <c r="G640" s="864"/>
      <c r="H640" s="874"/>
      <c r="I640" s="874"/>
      <c r="J640" s="874"/>
      <c r="K640" s="874"/>
      <c r="L640" s="874"/>
      <c r="M640" s="874"/>
      <c r="N640" s="874"/>
      <c r="O640" s="874"/>
      <c r="P640" s="874"/>
      <c r="Q640" s="874"/>
      <c r="R640" s="874"/>
      <c r="S640" s="874"/>
      <c r="T640" s="874"/>
      <c r="U640" s="874"/>
      <c r="V640" s="874"/>
      <c r="W640" s="874"/>
      <c r="X640" s="874"/>
      <c r="Y640" s="874"/>
      <c r="Z640" s="874"/>
    </row>
    <row r="641" ht="63.75" customHeight="1">
      <c r="A641" s="874"/>
      <c r="B641" s="874"/>
      <c r="C641" s="874"/>
      <c r="D641" s="882"/>
      <c r="E641" s="874"/>
      <c r="F641" s="874"/>
      <c r="G641" s="864"/>
      <c r="H641" s="874"/>
      <c r="I641" s="874"/>
      <c r="J641" s="874"/>
      <c r="K641" s="874"/>
      <c r="L641" s="874"/>
      <c r="M641" s="874"/>
      <c r="N641" s="874"/>
      <c r="O641" s="874"/>
      <c r="P641" s="874"/>
      <c r="Q641" s="874"/>
      <c r="R641" s="874"/>
      <c r="S641" s="874"/>
      <c r="T641" s="874"/>
      <c r="U641" s="874"/>
      <c r="V641" s="874"/>
      <c r="W641" s="874"/>
      <c r="X641" s="874"/>
      <c r="Y641" s="874"/>
      <c r="Z641" s="874"/>
    </row>
    <row r="642" ht="63.75" customHeight="1">
      <c r="A642" s="874"/>
      <c r="B642" s="874"/>
      <c r="C642" s="874"/>
      <c r="D642" s="882"/>
      <c r="E642" s="874"/>
      <c r="F642" s="874"/>
      <c r="G642" s="864"/>
      <c r="H642" s="874"/>
      <c r="I642" s="874"/>
      <c r="J642" s="874"/>
      <c r="K642" s="874"/>
      <c r="L642" s="874"/>
      <c r="M642" s="874"/>
      <c r="N642" s="874"/>
      <c r="O642" s="874"/>
      <c r="P642" s="874"/>
      <c r="Q642" s="874"/>
      <c r="R642" s="874"/>
      <c r="S642" s="874"/>
      <c r="T642" s="874"/>
      <c r="U642" s="874"/>
      <c r="V642" s="874"/>
      <c r="W642" s="874"/>
      <c r="X642" s="874"/>
      <c r="Y642" s="874"/>
      <c r="Z642" s="874"/>
    </row>
    <row r="643" ht="63.75" customHeight="1">
      <c r="A643" s="874"/>
      <c r="B643" s="874"/>
      <c r="C643" s="874"/>
      <c r="D643" s="882"/>
      <c r="E643" s="874"/>
      <c r="F643" s="874"/>
      <c r="G643" s="864"/>
      <c r="H643" s="874"/>
      <c r="I643" s="874"/>
      <c r="J643" s="874"/>
      <c r="K643" s="874"/>
      <c r="L643" s="874"/>
      <c r="M643" s="874"/>
      <c r="N643" s="874"/>
      <c r="O643" s="874"/>
      <c r="P643" s="874"/>
      <c r="Q643" s="874"/>
      <c r="R643" s="874"/>
      <c r="S643" s="874"/>
      <c r="T643" s="874"/>
      <c r="U643" s="874"/>
      <c r="V643" s="874"/>
      <c r="W643" s="874"/>
      <c r="X643" s="874"/>
      <c r="Y643" s="874"/>
      <c r="Z643" s="874"/>
    </row>
    <row r="644" ht="63.75" customHeight="1">
      <c r="A644" s="874"/>
      <c r="B644" s="874"/>
      <c r="C644" s="874"/>
      <c r="D644" s="882"/>
      <c r="E644" s="874"/>
      <c r="F644" s="874"/>
      <c r="G644" s="864"/>
      <c r="H644" s="874"/>
      <c r="I644" s="874"/>
      <c r="J644" s="874"/>
      <c r="K644" s="874"/>
      <c r="L644" s="874"/>
      <c r="M644" s="874"/>
      <c r="N644" s="874"/>
      <c r="O644" s="874"/>
      <c r="P644" s="874"/>
      <c r="Q644" s="874"/>
      <c r="R644" s="874"/>
      <c r="S644" s="874"/>
      <c r="T644" s="874"/>
      <c r="U644" s="874"/>
      <c r="V644" s="874"/>
      <c r="W644" s="874"/>
      <c r="X644" s="874"/>
      <c r="Y644" s="874"/>
      <c r="Z644" s="874"/>
    </row>
    <row r="645" ht="63.75" customHeight="1">
      <c r="A645" s="874"/>
      <c r="B645" s="874"/>
      <c r="C645" s="874"/>
      <c r="D645" s="882"/>
      <c r="E645" s="874"/>
      <c r="F645" s="874"/>
      <c r="G645" s="864"/>
      <c r="H645" s="874"/>
      <c r="I645" s="874"/>
      <c r="J645" s="874"/>
      <c r="K645" s="874"/>
      <c r="L645" s="874"/>
      <c r="M645" s="874"/>
      <c r="N645" s="874"/>
      <c r="O645" s="874"/>
      <c r="P645" s="874"/>
      <c r="Q645" s="874"/>
      <c r="R645" s="874"/>
      <c r="S645" s="874"/>
      <c r="T645" s="874"/>
      <c r="U645" s="874"/>
      <c r="V645" s="874"/>
      <c r="W645" s="874"/>
      <c r="X645" s="874"/>
      <c r="Y645" s="874"/>
      <c r="Z645" s="874"/>
    </row>
    <row r="646" ht="63.75" customHeight="1">
      <c r="A646" s="874"/>
      <c r="B646" s="874"/>
      <c r="C646" s="874"/>
      <c r="D646" s="882"/>
      <c r="E646" s="874"/>
      <c r="F646" s="874"/>
      <c r="G646" s="864"/>
      <c r="H646" s="874"/>
      <c r="I646" s="874"/>
      <c r="J646" s="874"/>
      <c r="K646" s="874"/>
      <c r="L646" s="874"/>
      <c r="M646" s="874"/>
      <c r="N646" s="874"/>
      <c r="O646" s="874"/>
      <c r="P646" s="874"/>
      <c r="Q646" s="874"/>
      <c r="R646" s="874"/>
      <c r="S646" s="874"/>
      <c r="T646" s="874"/>
      <c r="U646" s="874"/>
      <c r="V646" s="874"/>
      <c r="W646" s="874"/>
      <c r="X646" s="874"/>
      <c r="Y646" s="874"/>
      <c r="Z646" s="874"/>
    </row>
    <row r="647" ht="63.75" customHeight="1">
      <c r="A647" s="874"/>
      <c r="B647" s="874"/>
      <c r="C647" s="874"/>
      <c r="D647" s="882"/>
      <c r="E647" s="874"/>
      <c r="F647" s="874"/>
      <c r="G647" s="864"/>
      <c r="H647" s="874"/>
      <c r="I647" s="874"/>
      <c r="J647" s="874"/>
      <c r="K647" s="874"/>
      <c r="L647" s="874"/>
      <c r="M647" s="874"/>
      <c r="N647" s="874"/>
      <c r="O647" s="874"/>
      <c r="P647" s="874"/>
      <c r="Q647" s="874"/>
      <c r="R647" s="874"/>
      <c r="S647" s="874"/>
      <c r="T647" s="874"/>
      <c r="U647" s="874"/>
      <c r="V647" s="874"/>
      <c r="W647" s="874"/>
      <c r="X647" s="874"/>
      <c r="Y647" s="874"/>
      <c r="Z647" s="874"/>
    </row>
    <row r="648" ht="63.75" customHeight="1">
      <c r="A648" s="874"/>
      <c r="B648" s="874"/>
      <c r="C648" s="874"/>
      <c r="D648" s="882"/>
      <c r="E648" s="874"/>
      <c r="F648" s="874"/>
      <c r="G648" s="864"/>
      <c r="H648" s="874"/>
      <c r="I648" s="874"/>
      <c r="J648" s="874"/>
      <c r="K648" s="874"/>
      <c r="L648" s="874"/>
      <c r="M648" s="874"/>
      <c r="N648" s="874"/>
      <c r="O648" s="874"/>
      <c r="P648" s="874"/>
      <c r="Q648" s="874"/>
      <c r="R648" s="874"/>
      <c r="S648" s="874"/>
      <c r="T648" s="874"/>
      <c r="U648" s="874"/>
      <c r="V648" s="874"/>
      <c r="W648" s="874"/>
      <c r="X648" s="874"/>
      <c r="Y648" s="874"/>
      <c r="Z648" s="874"/>
    </row>
    <row r="649" ht="63.75" customHeight="1">
      <c r="A649" s="874"/>
      <c r="B649" s="874"/>
      <c r="C649" s="874"/>
      <c r="D649" s="882"/>
      <c r="E649" s="874"/>
      <c r="F649" s="874"/>
      <c r="G649" s="864"/>
      <c r="H649" s="874"/>
      <c r="I649" s="874"/>
      <c r="J649" s="874"/>
      <c r="K649" s="874"/>
      <c r="L649" s="874"/>
      <c r="M649" s="874"/>
      <c r="N649" s="874"/>
      <c r="O649" s="874"/>
      <c r="P649" s="874"/>
      <c r="Q649" s="874"/>
      <c r="R649" s="874"/>
      <c r="S649" s="874"/>
      <c r="T649" s="874"/>
      <c r="U649" s="874"/>
      <c r="V649" s="874"/>
      <c r="W649" s="874"/>
      <c r="X649" s="874"/>
      <c r="Y649" s="874"/>
      <c r="Z649" s="874"/>
    </row>
    <row r="650" ht="63.75" customHeight="1">
      <c r="A650" s="874"/>
      <c r="B650" s="874"/>
      <c r="C650" s="874"/>
      <c r="D650" s="882"/>
      <c r="E650" s="874"/>
      <c r="F650" s="874"/>
      <c r="G650" s="864"/>
      <c r="H650" s="874"/>
      <c r="I650" s="874"/>
      <c r="J650" s="874"/>
      <c r="K650" s="874"/>
      <c r="L650" s="874"/>
      <c r="M650" s="874"/>
      <c r="N650" s="874"/>
      <c r="O650" s="874"/>
      <c r="P650" s="874"/>
      <c r="Q650" s="874"/>
      <c r="R650" s="874"/>
      <c r="S650" s="874"/>
      <c r="T650" s="874"/>
      <c r="U650" s="874"/>
      <c r="V650" s="874"/>
      <c r="W650" s="874"/>
      <c r="X650" s="874"/>
      <c r="Y650" s="874"/>
      <c r="Z650" s="874"/>
    </row>
    <row r="651" ht="63.75" customHeight="1">
      <c r="A651" s="874"/>
      <c r="B651" s="874"/>
      <c r="C651" s="874"/>
      <c r="D651" s="882"/>
      <c r="E651" s="874"/>
      <c r="F651" s="874"/>
      <c r="G651" s="864"/>
      <c r="H651" s="874"/>
      <c r="I651" s="874"/>
      <c r="J651" s="874"/>
      <c r="K651" s="874"/>
      <c r="L651" s="874"/>
      <c r="M651" s="874"/>
      <c r="N651" s="874"/>
      <c r="O651" s="874"/>
      <c r="P651" s="874"/>
      <c r="Q651" s="874"/>
      <c r="R651" s="874"/>
      <c r="S651" s="874"/>
      <c r="T651" s="874"/>
      <c r="U651" s="874"/>
      <c r="V651" s="874"/>
      <c r="W651" s="874"/>
      <c r="X651" s="874"/>
      <c r="Y651" s="874"/>
      <c r="Z651" s="874"/>
    </row>
    <row r="652" ht="63.75" customHeight="1">
      <c r="A652" s="874"/>
      <c r="B652" s="874"/>
      <c r="C652" s="874"/>
      <c r="D652" s="882"/>
      <c r="E652" s="874"/>
      <c r="F652" s="874"/>
      <c r="G652" s="864"/>
      <c r="H652" s="874"/>
      <c r="I652" s="874"/>
      <c r="J652" s="874"/>
      <c r="K652" s="874"/>
      <c r="L652" s="874"/>
      <c r="M652" s="874"/>
      <c r="N652" s="874"/>
      <c r="O652" s="874"/>
      <c r="P652" s="874"/>
      <c r="Q652" s="874"/>
      <c r="R652" s="874"/>
      <c r="S652" s="874"/>
      <c r="T652" s="874"/>
      <c r="U652" s="874"/>
      <c r="V652" s="874"/>
      <c r="W652" s="874"/>
      <c r="X652" s="874"/>
      <c r="Y652" s="874"/>
      <c r="Z652" s="874"/>
    </row>
    <row r="653" ht="63.75" customHeight="1">
      <c r="A653" s="874"/>
      <c r="B653" s="874"/>
      <c r="C653" s="874"/>
      <c r="D653" s="882"/>
      <c r="E653" s="874"/>
      <c r="F653" s="874"/>
      <c r="G653" s="864"/>
      <c r="H653" s="874"/>
      <c r="I653" s="874"/>
      <c r="J653" s="874"/>
      <c r="K653" s="874"/>
      <c r="L653" s="874"/>
      <c r="M653" s="874"/>
      <c r="N653" s="874"/>
      <c r="O653" s="874"/>
      <c r="P653" s="874"/>
      <c r="Q653" s="874"/>
      <c r="R653" s="874"/>
      <c r="S653" s="874"/>
      <c r="T653" s="874"/>
      <c r="U653" s="874"/>
      <c r="V653" s="874"/>
      <c r="W653" s="874"/>
      <c r="X653" s="874"/>
      <c r="Y653" s="874"/>
      <c r="Z653" s="874"/>
    </row>
    <row r="654" ht="63.75" customHeight="1">
      <c r="A654" s="874"/>
      <c r="B654" s="874"/>
      <c r="C654" s="874"/>
      <c r="D654" s="882"/>
      <c r="E654" s="874"/>
      <c r="F654" s="874"/>
      <c r="G654" s="864"/>
      <c r="H654" s="874"/>
      <c r="I654" s="874"/>
      <c r="J654" s="874"/>
      <c r="K654" s="874"/>
      <c r="L654" s="874"/>
      <c r="M654" s="874"/>
      <c r="N654" s="874"/>
      <c r="O654" s="874"/>
      <c r="P654" s="874"/>
      <c r="Q654" s="874"/>
      <c r="R654" s="874"/>
      <c r="S654" s="874"/>
      <c r="T654" s="874"/>
      <c r="U654" s="874"/>
      <c r="V654" s="874"/>
      <c r="W654" s="874"/>
      <c r="X654" s="874"/>
      <c r="Y654" s="874"/>
      <c r="Z654" s="874"/>
    </row>
    <row r="655" ht="63.75" customHeight="1">
      <c r="A655" s="874"/>
      <c r="B655" s="874"/>
      <c r="C655" s="874"/>
      <c r="D655" s="882"/>
      <c r="E655" s="874"/>
      <c r="F655" s="874"/>
      <c r="G655" s="864"/>
      <c r="H655" s="874"/>
      <c r="I655" s="874"/>
      <c r="J655" s="874"/>
      <c r="K655" s="874"/>
      <c r="L655" s="874"/>
      <c r="M655" s="874"/>
      <c r="N655" s="874"/>
      <c r="O655" s="874"/>
      <c r="P655" s="874"/>
      <c r="Q655" s="874"/>
      <c r="R655" s="874"/>
      <c r="S655" s="874"/>
      <c r="T655" s="874"/>
      <c r="U655" s="874"/>
      <c r="V655" s="874"/>
      <c r="W655" s="874"/>
      <c r="X655" s="874"/>
      <c r="Y655" s="874"/>
      <c r="Z655" s="874"/>
    </row>
    <row r="656" ht="63.75" customHeight="1">
      <c r="A656" s="874"/>
      <c r="B656" s="874"/>
      <c r="C656" s="874"/>
      <c r="D656" s="882"/>
      <c r="E656" s="874"/>
      <c r="F656" s="874"/>
      <c r="G656" s="864"/>
      <c r="H656" s="874"/>
      <c r="I656" s="874"/>
      <c r="J656" s="874"/>
      <c r="K656" s="874"/>
      <c r="L656" s="874"/>
      <c r="M656" s="874"/>
      <c r="N656" s="874"/>
      <c r="O656" s="874"/>
      <c r="P656" s="874"/>
      <c r="Q656" s="874"/>
      <c r="R656" s="874"/>
      <c r="S656" s="874"/>
      <c r="T656" s="874"/>
      <c r="U656" s="874"/>
      <c r="V656" s="874"/>
      <c r="W656" s="874"/>
      <c r="X656" s="874"/>
      <c r="Y656" s="874"/>
      <c r="Z656" s="874"/>
    </row>
    <row r="657" ht="63.75" customHeight="1">
      <c r="A657" s="874"/>
      <c r="B657" s="874"/>
      <c r="C657" s="874"/>
      <c r="D657" s="882"/>
      <c r="E657" s="874"/>
      <c r="F657" s="874"/>
      <c r="G657" s="864"/>
      <c r="H657" s="874"/>
      <c r="I657" s="874"/>
      <c r="J657" s="874"/>
      <c r="K657" s="874"/>
      <c r="L657" s="874"/>
      <c r="M657" s="874"/>
      <c r="N657" s="874"/>
      <c r="O657" s="874"/>
      <c r="P657" s="874"/>
      <c r="Q657" s="874"/>
      <c r="R657" s="874"/>
      <c r="S657" s="874"/>
      <c r="T657" s="874"/>
      <c r="U657" s="874"/>
      <c r="V657" s="874"/>
      <c r="W657" s="874"/>
      <c r="X657" s="874"/>
      <c r="Y657" s="874"/>
      <c r="Z657" s="874"/>
    </row>
    <row r="658" ht="63.75" customHeight="1">
      <c r="A658" s="874"/>
      <c r="B658" s="874"/>
      <c r="C658" s="874"/>
      <c r="D658" s="882"/>
      <c r="E658" s="874"/>
      <c r="F658" s="874"/>
      <c r="G658" s="864"/>
      <c r="H658" s="874"/>
      <c r="I658" s="874"/>
      <c r="J658" s="874"/>
      <c r="K658" s="874"/>
      <c r="L658" s="874"/>
      <c r="M658" s="874"/>
      <c r="N658" s="874"/>
      <c r="O658" s="874"/>
      <c r="P658" s="874"/>
      <c r="Q658" s="874"/>
      <c r="R658" s="874"/>
      <c r="S658" s="874"/>
      <c r="T658" s="874"/>
      <c r="U658" s="874"/>
      <c r="V658" s="874"/>
      <c r="W658" s="874"/>
      <c r="X658" s="874"/>
      <c r="Y658" s="874"/>
      <c r="Z658" s="874"/>
    </row>
    <row r="659" ht="63.75" customHeight="1">
      <c r="A659" s="874"/>
      <c r="B659" s="874"/>
      <c r="C659" s="874"/>
      <c r="D659" s="882"/>
      <c r="E659" s="874"/>
      <c r="F659" s="874"/>
      <c r="G659" s="864"/>
      <c r="H659" s="874"/>
      <c r="I659" s="874"/>
      <c r="J659" s="874"/>
      <c r="K659" s="874"/>
      <c r="L659" s="874"/>
      <c r="M659" s="874"/>
      <c r="N659" s="874"/>
      <c r="O659" s="874"/>
      <c r="P659" s="874"/>
      <c r="Q659" s="874"/>
      <c r="R659" s="874"/>
      <c r="S659" s="874"/>
      <c r="T659" s="874"/>
      <c r="U659" s="874"/>
      <c r="V659" s="874"/>
      <c r="W659" s="874"/>
      <c r="X659" s="874"/>
      <c r="Y659" s="874"/>
      <c r="Z659" s="874"/>
    </row>
    <row r="660" ht="63.75" customHeight="1">
      <c r="A660" s="874"/>
      <c r="B660" s="874"/>
      <c r="C660" s="874"/>
      <c r="D660" s="882"/>
      <c r="E660" s="874"/>
      <c r="F660" s="874"/>
      <c r="G660" s="864"/>
      <c r="H660" s="874"/>
      <c r="I660" s="874"/>
      <c r="J660" s="874"/>
      <c r="K660" s="874"/>
      <c r="L660" s="874"/>
      <c r="M660" s="874"/>
      <c r="N660" s="874"/>
      <c r="O660" s="874"/>
      <c r="P660" s="874"/>
      <c r="Q660" s="874"/>
      <c r="R660" s="874"/>
      <c r="S660" s="874"/>
      <c r="T660" s="874"/>
      <c r="U660" s="874"/>
      <c r="V660" s="874"/>
      <c r="W660" s="874"/>
      <c r="X660" s="874"/>
      <c r="Y660" s="874"/>
      <c r="Z660" s="874"/>
    </row>
    <row r="661" ht="63.75" customHeight="1">
      <c r="A661" s="874"/>
      <c r="B661" s="874"/>
      <c r="C661" s="874"/>
      <c r="D661" s="882"/>
      <c r="E661" s="874"/>
      <c r="F661" s="874"/>
      <c r="G661" s="864"/>
      <c r="H661" s="874"/>
      <c r="I661" s="874"/>
      <c r="J661" s="874"/>
      <c r="K661" s="874"/>
      <c r="L661" s="874"/>
      <c r="M661" s="874"/>
      <c r="N661" s="874"/>
      <c r="O661" s="874"/>
      <c r="P661" s="874"/>
      <c r="Q661" s="874"/>
      <c r="R661" s="874"/>
      <c r="S661" s="874"/>
      <c r="T661" s="874"/>
      <c r="U661" s="874"/>
      <c r="V661" s="874"/>
      <c r="W661" s="874"/>
      <c r="X661" s="874"/>
      <c r="Y661" s="874"/>
      <c r="Z661" s="874"/>
    </row>
    <row r="662" ht="63.75" customHeight="1">
      <c r="A662" s="874"/>
      <c r="B662" s="874"/>
      <c r="C662" s="874"/>
      <c r="D662" s="882"/>
      <c r="E662" s="874"/>
      <c r="F662" s="874"/>
      <c r="G662" s="864"/>
      <c r="H662" s="874"/>
      <c r="I662" s="874"/>
      <c r="J662" s="874"/>
      <c r="K662" s="874"/>
      <c r="L662" s="874"/>
      <c r="M662" s="874"/>
      <c r="N662" s="874"/>
      <c r="O662" s="874"/>
      <c r="P662" s="874"/>
      <c r="Q662" s="874"/>
      <c r="R662" s="874"/>
      <c r="S662" s="874"/>
      <c r="T662" s="874"/>
      <c r="U662" s="874"/>
      <c r="V662" s="874"/>
      <c r="W662" s="874"/>
      <c r="X662" s="874"/>
      <c r="Y662" s="874"/>
      <c r="Z662" s="874"/>
    </row>
    <row r="663" ht="63.75" customHeight="1">
      <c r="A663" s="874"/>
      <c r="B663" s="874"/>
      <c r="C663" s="874"/>
      <c r="D663" s="882"/>
      <c r="E663" s="874"/>
      <c r="F663" s="874"/>
      <c r="G663" s="864"/>
      <c r="H663" s="874"/>
      <c r="I663" s="874"/>
      <c r="J663" s="874"/>
      <c r="K663" s="874"/>
      <c r="L663" s="874"/>
      <c r="M663" s="874"/>
      <c r="N663" s="874"/>
      <c r="O663" s="874"/>
      <c r="P663" s="874"/>
      <c r="Q663" s="874"/>
      <c r="R663" s="874"/>
      <c r="S663" s="874"/>
      <c r="T663" s="874"/>
      <c r="U663" s="874"/>
      <c r="V663" s="874"/>
      <c r="W663" s="874"/>
      <c r="X663" s="874"/>
      <c r="Y663" s="874"/>
      <c r="Z663" s="874"/>
    </row>
    <row r="664" ht="63.75" customHeight="1">
      <c r="A664" s="874"/>
      <c r="B664" s="874"/>
      <c r="C664" s="874"/>
      <c r="D664" s="882"/>
      <c r="E664" s="874"/>
      <c r="F664" s="874"/>
      <c r="G664" s="864"/>
      <c r="H664" s="874"/>
      <c r="I664" s="874"/>
      <c r="J664" s="874"/>
      <c r="K664" s="874"/>
      <c r="L664" s="874"/>
      <c r="M664" s="874"/>
      <c r="N664" s="874"/>
      <c r="O664" s="874"/>
      <c r="P664" s="874"/>
      <c r="Q664" s="874"/>
      <c r="R664" s="874"/>
      <c r="S664" s="874"/>
      <c r="T664" s="874"/>
      <c r="U664" s="874"/>
      <c r="V664" s="874"/>
      <c r="W664" s="874"/>
      <c r="X664" s="874"/>
      <c r="Y664" s="874"/>
      <c r="Z664" s="874"/>
    </row>
    <row r="665" ht="63.75" customHeight="1">
      <c r="A665" s="874"/>
      <c r="B665" s="874"/>
      <c r="C665" s="874"/>
      <c r="D665" s="882"/>
      <c r="E665" s="874"/>
      <c r="F665" s="874"/>
      <c r="G665" s="864"/>
      <c r="H665" s="874"/>
      <c r="I665" s="874"/>
      <c r="J665" s="874"/>
      <c r="K665" s="874"/>
      <c r="L665" s="874"/>
      <c r="M665" s="874"/>
      <c r="N665" s="874"/>
      <c r="O665" s="874"/>
      <c r="P665" s="874"/>
      <c r="Q665" s="874"/>
      <c r="R665" s="874"/>
      <c r="S665" s="874"/>
      <c r="T665" s="874"/>
      <c r="U665" s="874"/>
      <c r="V665" s="874"/>
      <c r="W665" s="874"/>
      <c r="X665" s="874"/>
      <c r="Y665" s="874"/>
      <c r="Z665" s="874"/>
    </row>
    <row r="666" ht="63.75" customHeight="1">
      <c r="A666" s="874"/>
      <c r="B666" s="874"/>
      <c r="C666" s="874"/>
      <c r="D666" s="882"/>
      <c r="E666" s="874"/>
      <c r="F666" s="874"/>
      <c r="G666" s="864"/>
      <c r="H666" s="874"/>
      <c r="I666" s="874"/>
      <c r="J666" s="874"/>
      <c r="K666" s="874"/>
      <c r="L666" s="874"/>
      <c r="M666" s="874"/>
      <c r="N666" s="874"/>
      <c r="O666" s="874"/>
      <c r="P666" s="874"/>
      <c r="Q666" s="874"/>
      <c r="R666" s="874"/>
      <c r="S666" s="874"/>
      <c r="T666" s="874"/>
      <c r="U666" s="874"/>
      <c r="V666" s="874"/>
      <c r="W666" s="874"/>
      <c r="X666" s="874"/>
      <c r="Y666" s="874"/>
      <c r="Z666" s="874"/>
    </row>
    <row r="667" ht="63.75" customHeight="1">
      <c r="A667" s="874"/>
      <c r="B667" s="874"/>
      <c r="C667" s="874"/>
      <c r="D667" s="882"/>
      <c r="E667" s="874"/>
      <c r="F667" s="874"/>
      <c r="G667" s="864"/>
      <c r="H667" s="874"/>
      <c r="I667" s="874"/>
      <c r="J667" s="874"/>
      <c r="K667" s="874"/>
      <c r="L667" s="874"/>
      <c r="M667" s="874"/>
      <c r="N667" s="874"/>
      <c r="O667" s="874"/>
      <c r="P667" s="874"/>
      <c r="Q667" s="874"/>
      <c r="R667" s="874"/>
      <c r="S667" s="874"/>
      <c r="T667" s="874"/>
      <c r="U667" s="874"/>
      <c r="V667" s="874"/>
      <c r="W667" s="874"/>
      <c r="X667" s="874"/>
      <c r="Y667" s="874"/>
      <c r="Z667" s="874"/>
    </row>
    <row r="668" ht="63.75" customHeight="1">
      <c r="A668" s="874"/>
      <c r="B668" s="874"/>
      <c r="C668" s="874"/>
      <c r="D668" s="882"/>
      <c r="E668" s="874"/>
      <c r="F668" s="874"/>
      <c r="G668" s="864"/>
      <c r="H668" s="874"/>
      <c r="I668" s="874"/>
      <c r="J668" s="874"/>
      <c r="K668" s="874"/>
      <c r="L668" s="874"/>
      <c r="M668" s="874"/>
      <c r="N668" s="874"/>
      <c r="O668" s="874"/>
      <c r="P668" s="874"/>
      <c r="Q668" s="874"/>
      <c r="R668" s="874"/>
      <c r="S668" s="874"/>
      <c r="T668" s="874"/>
      <c r="U668" s="874"/>
      <c r="V668" s="874"/>
      <c r="W668" s="874"/>
      <c r="X668" s="874"/>
      <c r="Y668" s="874"/>
      <c r="Z668" s="874"/>
    </row>
    <row r="669" ht="63.75" customHeight="1">
      <c r="A669" s="874"/>
      <c r="B669" s="874"/>
      <c r="C669" s="874"/>
      <c r="D669" s="882"/>
      <c r="E669" s="874"/>
      <c r="F669" s="874"/>
      <c r="G669" s="864"/>
      <c r="H669" s="874"/>
      <c r="I669" s="874"/>
      <c r="J669" s="874"/>
      <c r="K669" s="874"/>
      <c r="L669" s="874"/>
      <c r="M669" s="874"/>
      <c r="N669" s="874"/>
      <c r="O669" s="874"/>
      <c r="P669" s="874"/>
      <c r="Q669" s="874"/>
      <c r="R669" s="874"/>
      <c r="S669" s="874"/>
      <c r="T669" s="874"/>
      <c r="U669" s="874"/>
      <c r="V669" s="874"/>
      <c r="W669" s="874"/>
      <c r="X669" s="874"/>
      <c r="Y669" s="874"/>
      <c r="Z669" s="874"/>
    </row>
    <row r="670" ht="63.75" customHeight="1">
      <c r="A670" s="874"/>
      <c r="B670" s="874"/>
      <c r="C670" s="874"/>
      <c r="D670" s="882"/>
      <c r="E670" s="874"/>
      <c r="F670" s="874"/>
      <c r="G670" s="864"/>
      <c r="H670" s="874"/>
      <c r="I670" s="874"/>
      <c r="J670" s="874"/>
      <c r="K670" s="874"/>
      <c r="L670" s="874"/>
      <c r="M670" s="874"/>
      <c r="N670" s="874"/>
      <c r="O670" s="874"/>
      <c r="P670" s="874"/>
      <c r="Q670" s="874"/>
      <c r="R670" s="874"/>
      <c r="S670" s="874"/>
      <c r="T670" s="874"/>
      <c r="U670" s="874"/>
      <c r="V670" s="874"/>
      <c r="W670" s="874"/>
      <c r="X670" s="874"/>
      <c r="Y670" s="874"/>
      <c r="Z670" s="874"/>
    </row>
    <row r="671" ht="63.75" customHeight="1">
      <c r="A671" s="874"/>
      <c r="B671" s="874"/>
      <c r="C671" s="874"/>
      <c r="D671" s="882"/>
      <c r="E671" s="874"/>
      <c r="F671" s="874"/>
      <c r="G671" s="864"/>
      <c r="H671" s="874"/>
      <c r="I671" s="874"/>
      <c r="J671" s="874"/>
      <c r="K671" s="874"/>
      <c r="L671" s="874"/>
      <c r="M671" s="874"/>
      <c r="N671" s="874"/>
      <c r="O671" s="874"/>
      <c r="P671" s="874"/>
      <c r="Q671" s="874"/>
      <c r="R671" s="874"/>
      <c r="S671" s="874"/>
      <c r="T671" s="874"/>
      <c r="U671" s="874"/>
      <c r="V671" s="874"/>
      <c r="W671" s="874"/>
      <c r="X671" s="874"/>
      <c r="Y671" s="874"/>
      <c r="Z671" s="874"/>
    </row>
    <row r="672" ht="63.75" customHeight="1">
      <c r="A672" s="874"/>
      <c r="B672" s="874"/>
      <c r="C672" s="874"/>
      <c r="D672" s="882"/>
      <c r="E672" s="874"/>
      <c r="F672" s="874"/>
      <c r="G672" s="864"/>
      <c r="H672" s="874"/>
      <c r="I672" s="874"/>
      <c r="J672" s="874"/>
      <c r="K672" s="874"/>
      <c r="L672" s="874"/>
      <c r="M672" s="874"/>
      <c r="N672" s="874"/>
      <c r="O672" s="874"/>
      <c r="P672" s="874"/>
      <c r="Q672" s="874"/>
      <c r="R672" s="874"/>
      <c r="S672" s="874"/>
      <c r="T672" s="874"/>
      <c r="U672" s="874"/>
      <c r="V672" s="874"/>
      <c r="W672" s="874"/>
      <c r="X672" s="874"/>
      <c r="Y672" s="874"/>
      <c r="Z672" s="874"/>
    </row>
    <row r="673" ht="63.75" customHeight="1">
      <c r="A673" s="874"/>
      <c r="B673" s="874"/>
      <c r="C673" s="874"/>
      <c r="D673" s="882"/>
      <c r="E673" s="874"/>
      <c r="F673" s="874"/>
      <c r="G673" s="864"/>
      <c r="H673" s="874"/>
      <c r="I673" s="874"/>
      <c r="J673" s="874"/>
      <c r="K673" s="874"/>
      <c r="L673" s="874"/>
      <c r="M673" s="874"/>
      <c r="N673" s="874"/>
      <c r="O673" s="874"/>
      <c r="P673" s="874"/>
      <c r="Q673" s="874"/>
      <c r="R673" s="874"/>
      <c r="S673" s="874"/>
      <c r="T673" s="874"/>
      <c r="U673" s="874"/>
      <c r="V673" s="874"/>
      <c r="W673" s="874"/>
      <c r="X673" s="874"/>
      <c r="Y673" s="874"/>
      <c r="Z673" s="874"/>
    </row>
    <row r="674" ht="63.75" customHeight="1">
      <c r="A674" s="874"/>
      <c r="B674" s="874"/>
      <c r="C674" s="874"/>
      <c r="D674" s="882"/>
      <c r="E674" s="874"/>
      <c r="F674" s="874"/>
      <c r="G674" s="864"/>
      <c r="H674" s="874"/>
      <c r="I674" s="874"/>
      <c r="J674" s="874"/>
      <c r="K674" s="874"/>
      <c r="L674" s="874"/>
      <c r="M674" s="874"/>
      <c r="N674" s="874"/>
      <c r="O674" s="874"/>
      <c r="P674" s="874"/>
      <c r="Q674" s="874"/>
      <c r="R674" s="874"/>
      <c r="S674" s="874"/>
      <c r="T674" s="874"/>
      <c r="U674" s="874"/>
      <c r="V674" s="874"/>
      <c r="W674" s="874"/>
      <c r="X674" s="874"/>
      <c r="Y674" s="874"/>
      <c r="Z674" s="874"/>
    </row>
    <row r="675" ht="63.75" customHeight="1">
      <c r="A675" s="874"/>
      <c r="B675" s="874"/>
      <c r="C675" s="874"/>
      <c r="D675" s="882"/>
      <c r="E675" s="874"/>
      <c r="F675" s="874"/>
      <c r="G675" s="864"/>
      <c r="H675" s="874"/>
      <c r="I675" s="874"/>
      <c r="J675" s="874"/>
      <c r="K675" s="874"/>
      <c r="L675" s="874"/>
      <c r="M675" s="874"/>
      <c r="N675" s="874"/>
      <c r="O675" s="874"/>
      <c r="P675" s="874"/>
      <c r="Q675" s="874"/>
      <c r="R675" s="874"/>
      <c r="S675" s="874"/>
      <c r="T675" s="874"/>
      <c r="U675" s="874"/>
      <c r="V675" s="874"/>
      <c r="W675" s="874"/>
      <c r="X675" s="874"/>
      <c r="Y675" s="874"/>
      <c r="Z675" s="874"/>
    </row>
    <row r="676" ht="63.75" customHeight="1">
      <c r="A676" s="874"/>
      <c r="B676" s="874"/>
      <c r="C676" s="874"/>
      <c r="D676" s="882"/>
      <c r="E676" s="874"/>
      <c r="F676" s="874"/>
      <c r="G676" s="864"/>
      <c r="H676" s="874"/>
      <c r="I676" s="874"/>
      <c r="J676" s="874"/>
      <c r="K676" s="874"/>
      <c r="L676" s="874"/>
      <c r="M676" s="874"/>
      <c r="N676" s="874"/>
      <c r="O676" s="874"/>
      <c r="P676" s="874"/>
      <c r="Q676" s="874"/>
      <c r="R676" s="874"/>
      <c r="S676" s="874"/>
      <c r="T676" s="874"/>
      <c r="U676" s="874"/>
      <c r="V676" s="874"/>
      <c r="W676" s="874"/>
      <c r="X676" s="874"/>
      <c r="Y676" s="874"/>
      <c r="Z676" s="874"/>
    </row>
    <row r="677" ht="63.75" customHeight="1">
      <c r="A677" s="874"/>
      <c r="B677" s="874"/>
      <c r="C677" s="874"/>
      <c r="D677" s="882"/>
      <c r="E677" s="874"/>
      <c r="F677" s="874"/>
      <c r="G677" s="864"/>
      <c r="H677" s="874"/>
      <c r="I677" s="874"/>
      <c r="J677" s="874"/>
      <c r="K677" s="874"/>
      <c r="L677" s="874"/>
      <c r="M677" s="874"/>
      <c r="N677" s="874"/>
      <c r="O677" s="874"/>
      <c r="P677" s="874"/>
      <c r="Q677" s="874"/>
      <c r="R677" s="874"/>
      <c r="S677" s="874"/>
      <c r="T677" s="874"/>
      <c r="U677" s="874"/>
      <c r="V677" s="874"/>
      <c r="W677" s="874"/>
      <c r="X677" s="874"/>
      <c r="Y677" s="874"/>
      <c r="Z677" s="874"/>
    </row>
    <row r="678" ht="63.75" customHeight="1">
      <c r="A678" s="874"/>
      <c r="B678" s="874"/>
      <c r="C678" s="874"/>
      <c r="D678" s="882"/>
      <c r="E678" s="874"/>
      <c r="F678" s="874"/>
      <c r="G678" s="864"/>
      <c r="H678" s="874"/>
      <c r="I678" s="874"/>
      <c r="J678" s="874"/>
      <c r="K678" s="874"/>
      <c r="L678" s="874"/>
      <c r="M678" s="874"/>
      <c r="N678" s="874"/>
      <c r="O678" s="874"/>
      <c r="P678" s="874"/>
      <c r="Q678" s="874"/>
      <c r="R678" s="874"/>
      <c r="S678" s="874"/>
      <c r="T678" s="874"/>
      <c r="U678" s="874"/>
      <c r="V678" s="874"/>
      <c r="W678" s="874"/>
      <c r="X678" s="874"/>
      <c r="Y678" s="874"/>
      <c r="Z678" s="874"/>
    </row>
    <row r="679" ht="63.75" customHeight="1">
      <c r="A679" s="874"/>
      <c r="B679" s="874"/>
      <c r="C679" s="874"/>
      <c r="D679" s="882"/>
      <c r="E679" s="874"/>
      <c r="F679" s="874"/>
      <c r="G679" s="864"/>
      <c r="H679" s="874"/>
      <c r="I679" s="874"/>
      <c r="J679" s="874"/>
      <c r="K679" s="874"/>
      <c r="L679" s="874"/>
      <c r="M679" s="874"/>
      <c r="N679" s="874"/>
      <c r="O679" s="874"/>
      <c r="P679" s="874"/>
      <c r="Q679" s="874"/>
      <c r="R679" s="874"/>
      <c r="S679" s="874"/>
      <c r="T679" s="874"/>
      <c r="U679" s="874"/>
      <c r="V679" s="874"/>
      <c r="W679" s="874"/>
      <c r="X679" s="874"/>
      <c r="Y679" s="874"/>
      <c r="Z679" s="874"/>
    </row>
    <row r="680" ht="63.75" customHeight="1">
      <c r="A680" s="874"/>
      <c r="B680" s="874"/>
      <c r="C680" s="874"/>
      <c r="D680" s="882"/>
      <c r="E680" s="874"/>
      <c r="F680" s="874"/>
      <c r="G680" s="864"/>
      <c r="H680" s="874"/>
      <c r="I680" s="874"/>
      <c r="J680" s="874"/>
      <c r="K680" s="874"/>
      <c r="L680" s="874"/>
      <c r="M680" s="874"/>
      <c r="N680" s="874"/>
      <c r="O680" s="874"/>
      <c r="P680" s="874"/>
      <c r="Q680" s="874"/>
      <c r="R680" s="874"/>
      <c r="S680" s="874"/>
      <c r="T680" s="874"/>
      <c r="U680" s="874"/>
      <c r="V680" s="874"/>
      <c r="W680" s="874"/>
      <c r="X680" s="874"/>
      <c r="Y680" s="874"/>
      <c r="Z680" s="874"/>
    </row>
    <row r="681" ht="63.75" customHeight="1">
      <c r="A681" s="874"/>
      <c r="B681" s="874"/>
      <c r="C681" s="874"/>
      <c r="D681" s="882"/>
      <c r="E681" s="874"/>
      <c r="F681" s="874"/>
      <c r="G681" s="864"/>
      <c r="H681" s="874"/>
      <c r="I681" s="874"/>
      <c r="J681" s="874"/>
      <c r="K681" s="874"/>
      <c r="L681" s="874"/>
      <c r="M681" s="874"/>
      <c r="N681" s="874"/>
      <c r="O681" s="874"/>
      <c r="P681" s="874"/>
      <c r="Q681" s="874"/>
      <c r="R681" s="874"/>
      <c r="S681" s="874"/>
      <c r="T681" s="874"/>
      <c r="U681" s="874"/>
      <c r="V681" s="874"/>
      <c r="W681" s="874"/>
      <c r="X681" s="874"/>
      <c r="Y681" s="874"/>
      <c r="Z681" s="874"/>
    </row>
    <row r="682" ht="63.75" customHeight="1">
      <c r="A682" s="874"/>
      <c r="B682" s="874"/>
      <c r="C682" s="874"/>
      <c r="D682" s="882"/>
      <c r="E682" s="874"/>
      <c r="F682" s="874"/>
      <c r="G682" s="864"/>
      <c r="H682" s="874"/>
      <c r="I682" s="874"/>
      <c r="J682" s="874"/>
      <c r="K682" s="874"/>
      <c r="L682" s="874"/>
      <c r="M682" s="874"/>
      <c r="N682" s="874"/>
      <c r="O682" s="874"/>
      <c r="P682" s="874"/>
      <c r="Q682" s="874"/>
      <c r="R682" s="874"/>
      <c r="S682" s="874"/>
      <c r="T682" s="874"/>
      <c r="U682" s="874"/>
      <c r="V682" s="874"/>
      <c r="W682" s="874"/>
      <c r="X682" s="874"/>
      <c r="Y682" s="874"/>
      <c r="Z682" s="874"/>
    </row>
    <row r="683" ht="63.75" customHeight="1">
      <c r="A683" s="874"/>
      <c r="B683" s="874"/>
      <c r="C683" s="874"/>
      <c r="D683" s="882"/>
      <c r="E683" s="874"/>
      <c r="F683" s="874"/>
      <c r="G683" s="864"/>
      <c r="H683" s="874"/>
      <c r="I683" s="874"/>
      <c r="J683" s="874"/>
      <c r="K683" s="874"/>
      <c r="L683" s="874"/>
      <c r="M683" s="874"/>
      <c r="N683" s="874"/>
      <c r="O683" s="874"/>
      <c r="P683" s="874"/>
      <c r="Q683" s="874"/>
      <c r="R683" s="874"/>
      <c r="S683" s="874"/>
      <c r="T683" s="874"/>
      <c r="U683" s="874"/>
      <c r="V683" s="874"/>
      <c r="W683" s="874"/>
      <c r="X683" s="874"/>
      <c r="Y683" s="874"/>
      <c r="Z683" s="874"/>
    </row>
    <row r="684" ht="63.75" customHeight="1">
      <c r="A684" s="874"/>
      <c r="B684" s="874"/>
      <c r="C684" s="874"/>
      <c r="D684" s="882"/>
      <c r="E684" s="874"/>
      <c r="F684" s="874"/>
      <c r="G684" s="864"/>
      <c r="H684" s="874"/>
      <c r="I684" s="874"/>
      <c r="J684" s="874"/>
      <c r="K684" s="874"/>
      <c r="L684" s="874"/>
      <c r="M684" s="874"/>
      <c r="N684" s="874"/>
      <c r="O684" s="874"/>
      <c r="P684" s="874"/>
      <c r="Q684" s="874"/>
      <c r="R684" s="874"/>
      <c r="S684" s="874"/>
      <c r="T684" s="874"/>
      <c r="U684" s="874"/>
      <c r="V684" s="874"/>
      <c r="W684" s="874"/>
      <c r="X684" s="874"/>
      <c r="Y684" s="874"/>
      <c r="Z684" s="874"/>
    </row>
    <row r="685" ht="63.75" customHeight="1">
      <c r="A685" s="874"/>
      <c r="B685" s="874"/>
      <c r="C685" s="874"/>
      <c r="D685" s="882"/>
      <c r="E685" s="874"/>
      <c r="F685" s="874"/>
      <c r="G685" s="864"/>
      <c r="H685" s="874"/>
      <c r="I685" s="874"/>
      <c r="J685" s="874"/>
      <c r="K685" s="874"/>
      <c r="L685" s="874"/>
      <c r="M685" s="874"/>
      <c r="N685" s="874"/>
      <c r="O685" s="874"/>
      <c r="P685" s="874"/>
      <c r="Q685" s="874"/>
      <c r="R685" s="874"/>
      <c r="S685" s="874"/>
      <c r="T685" s="874"/>
      <c r="U685" s="874"/>
      <c r="V685" s="874"/>
      <c r="W685" s="874"/>
      <c r="X685" s="874"/>
      <c r="Y685" s="874"/>
      <c r="Z685" s="874"/>
    </row>
    <row r="686" ht="63.75" customHeight="1">
      <c r="A686" s="874"/>
      <c r="B686" s="874"/>
      <c r="C686" s="874"/>
      <c r="D686" s="882"/>
      <c r="E686" s="874"/>
      <c r="F686" s="874"/>
      <c r="G686" s="864"/>
      <c r="H686" s="874"/>
      <c r="I686" s="874"/>
      <c r="J686" s="874"/>
      <c r="K686" s="874"/>
      <c r="L686" s="874"/>
      <c r="M686" s="874"/>
      <c r="N686" s="874"/>
      <c r="O686" s="874"/>
      <c r="P686" s="874"/>
      <c r="Q686" s="874"/>
      <c r="R686" s="874"/>
      <c r="S686" s="874"/>
      <c r="T686" s="874"/>
      <c r="U686" s="874"/>
      <c r="V686" s="874"/>
      <c r="W686" s="874"/>
      <c r="X686" s="874"/>
      <c r="Y686" s="874"/>
      <c r="Z686" s="874"/>
    </row>
    <row r="687" ht="63.75" customHeight="1">
      <c r="A687" s="874"/>
      <c r="B687" s="874"/>
      <c r="C687" s="874"/>
      <c r="D687" s="882"/>
      <c r="E687" s="874"/>
      <c r="F687" s="874"/>
      <c r="G687" s="864"/>
      <c r="H687" s="874"/>
      <c r="I687" s="874"/>
      <c r="J687" s="874"/>
      <c r="K687" s="874"/>
      <c r="L687" s="874"/>
      <c r="M687" s="874"/>
      <c r="N687" s="874"/>
      <c r="O687" s="874"/>
      <c r="P687" s="874"/>
      <c r="Q687" s="874"/>
      <c r="R687" s="874"/>
      <c r="S687" s="874"/>
      <c r="T687" s="874"/>
      <c r="U687" s="874"/>
      <c r="V687" s="874"/>
      <c r="W687" s="874"/>
      <c r="X687" s="874"/>
      <c r="Y687" s="874"/>
      <c r="Z687" s="874"/>
    </row>
    <row r="688" ht="63.75" customHeight="1">
      <c r="A688" s="874"/>
      <c r="B688" s="874"/>
      <c r="C688" s="874"/>
      <c r="D688" s="882"/>
      <c r="E688" s="874"/>
      <c r="F688" s="874"/>
      <c r="G688" s="864"/>
      <c r="H688" s="874"/>
      <c r="I688" s="874"/>
      <c r="J688" s="874"/>
      <c r="K688" s="874"/>
      <c r="L688" s="874"/>
      <c r="M688" s="874"/>
      <c r="N688" s="874"/>
      <c r="O688" s="874"/>
      <c r="P688" s="874"/>
      <c r="Q688" s="874"/>
      <c r="R688" s="874"/>
      <c r="S688" s="874"/>
      <c r="T688" s="874"/>
      <c r="U688" s="874"/>
      <c r="V688" s="874"/>
      <c r="W688" s="874"/>
      <c r="X688" s="874"/>
      <c r="Y688" s="874"/>
      <c r="Z688" s="874"/>
    </row>
    <row r="689" ht="63.75" customHeight="1">
      <c r="A689" s="874"/>
      <c r="B689" s="874"/>
      <c r="C689" s="874"/>
      <c r="D689" s="882"/>
      <c r="E689" s="874"/>
      <c r="F689" s="874"/>
      <c r="G689" s="864"/>
      <c r="H689" s="874"/>
      <c r="I689" s="874"/>
      <c r="J689" s="874"/>
      <c r="K689" s="874"/>
      <c r="L689" s="874"/>
      <c r="M689" s="874"/>
      <c r="N689" s="874"/>
      <c r="O689" s="874"/>
      <c r="P689" s="874"/>
      <c r="Q689" s="874"/>
      <c r="R689" s="874"/>
      <c r="S689" s="874"/>
      <c r="T689" s="874"/>
      <c r="U689" s="874"/>
      <c r="V689" s="874"/>
      <c r="W689" s="874"/>
      <c r="X689" s="874"/>
      <c r="Y689" s="874"/>
      <c r="Z689" s="874"/>
    </row>
    <row r="690" ht="63.75" customHeight="1">
      <c r="A690" s="874"/>
      <c r="B690" s="874"/>
      <c r="C690" s="874"/>
      <c r="D690" s="882"/>
      <c r="E690" s="874"/>
      <c r="F690" s="874"/>
      <c r="G690" s="864"/>
      <c r="H690" s="874"/>
      <c r="I690" s="874"/>
      <c r="J690" s="874"/>
      <c r="K690" s="874"/>
      <c r="L690" s="874"/>
      <c r="M690" s="874"/>
      <c r="N690" s="874"/>
      <c r="O690" s="874"/>
      <c r="P690" s="874"/>
      <c r="Q690" s="874"/>
      <c r="R690" s="874"/>
      <c r="S690" s="874"/>
      <c r="T690" s="874"/>
      <c r="U690" s="874"/>
      <c r="V690" s="874"/>
      <c r="W690" s="874"/>
      <c r="X690" s="874"/>
      <c r="Y690" s="874"/>
      <c r="Z690" s="874"/>
    </row>
    <row r="691" ht="63.75" customHeight="1">
      <c r="A691" s="874"/>
      <c r="B691" s="874"/>
      <c r="C691" s="874"/>
      <c r="D691" s="882"/>
      <c r="E691" s="874"/>
      <c r="F691" s="874"/>
      <c r="G691" s="864"/>
      <c r="H691" s="874"/>
      <c r="I691" s="874"/>
      <c r="J691" s="874"/>
      <c r="K691" s="874"/>
      <c r="L691" s="874"/>
      <c r="M691" s="874"/>
      <c r="N691" s="874"/>
      <c r="O691" s="874"/>
      <c r="P691" s="874"/>
      <c r="Q691" s="874"/>
      <c r="R691" s="874"/>
      <c r="S691" s="874"/>
      <c r="T691" s="874"/>
      <c r="U691" s="874"/>
      <c r="V691" s="874"/>
      <c r="W691" s="874"/>
      <c r="X691" s="874"/>
      <c r="Y691" s="874"/>
      <c r="Z691" s="874"/>
    </row>
    <row r="692" ht="63.75" customHeight="1">
      <c r="A692" s="874"/>
      <c r="B692" s="874"/>
      <c r="C692" s="874"/>
      <c r="D692" s="882"/>
      <c r="E692" s="874"/>
      <c r="F692" s="874"/>
      <c r="G692" s="864"/>
      <c r="H692" s="874"/>
      <c r="I692" s="874"/>
      <c r="J692" s="874"/>
      <c r="K692" s="874"/>
      <c r="L692" s="874"/>
      <c r="M692" s="874"/>
      <c r="N692" s="874"/>
      <c r="O692" s="874"/>
      <c r="P692" s="874"/>
      <c r="Q692" s="874"/>
      <c r="R692" s="874"/>
      <c r="S692" s="874"/>
      <c r="T692" s="874"/>
      <c r="U692" s="874"/>
      <c r="V692" s="874"/>
      <c r="W692" s="874"/>
      <c r="X692" s="874"/>
      <c r="Y692" s="874"/>
      <c r="Z692" s="874"/>
    </row>
    <row r="693" ht="63.75" customHeight="1">
      <c r="A693" s="874"/>
      <c r="B693" s="874"/>
      <c r="C693" s="874"/>
      <c r="D693" s="882"/>
      <c r="E693" s="874"/>
      <c r="F693" s="874"/>
      <c r="G693" s="864"/>
      <c r="H693" s="874"/>
      <c r="I693" s="874"/>
      <c r="J693" s="874"/>
      <c r="K693" s="874"/>
      <c r="L693" s="874"/>
      <c r="M693" s="874"/>
      <c r="N693" s="874"/>
      <c r="O693" s="874"/>
      <c r="P693" s="874"/>
      <c r="Q693" s="874"/>
      <c r="R693" s="874"/>
      <c r="S693" s="874"/>
      <c r="T693" s="874"/>
      <c r="U693" s="874"/>
      <c r="V693" s="874"/>
      <c r="W693" s="874"/>
      <c r="X693" s="874"/>
      <c r="Y693" s="874"/>
      <c r="Z693" s="874"/>
    </row>
    <row r="694" ht="63.75" customHeight="1">
      <c r="A694" s="874"/>
      <c r="B694" s="874"/>
      <c r="C694" s="874"/>
      <c r="D694" s="882"/>
      <c r="E694" s="874"/>
      <c r="F694" s="874"/>
      <c r="G694" s="864"/>
      <c r="H694" s="874"/>
      <c r="I694" s="874"/>
      <c r="J694" s="874"/>
      <c r="K694" s="874"/>
      <c r="L694" s="874"/>
      <c r="M694" s="874"/>
      <c r="N694" s="874"/>
      <c r="O694" s="874"/>
      <c r="P694" s="874"/>
      <c r="Q694" s="874"/>
      <c r="R694" s="874"/>
      <c r="S694" s="874"/>
      <c r="T694" s="874"/>
      <c r="U694" s="874"/>
      <c r="V694" s="874"/>
      <c r="W694" s="874"/>
      <c r="X694" s="874"/>
      <c r="Y694" s="874"/>
      <c r="Z694" s="874"/>
    </row>
    <row r="695" ht="63.75" customHeight="1">
      <c r="A695" s="874"/>
      <c r="B695" s="874"/>
      <c r="C695" s="874"/>
      <c r="D695" s="882"/>
      <c r="E695" s="874"/>
      <c r="F695" s="874"/>
      <c r="G695" s="864"/>
      <c r="H695" s="874"/>
      <c r="I695" s="874"/>
      <c r="J695" s="874"/>
      <c r="K695" s="874"/>
      <c r="L695" s="874"/>
      <c r="M695" s="874"/>
      <c r="N695" s="874"/>
      <c r="O695" s="874"/>
      <c r="P695" s="874"/>
      <c r="Q695" s="874"/>
      <c r="R695" s="874"/>
      <c r="S695" s="874"/>
      <c r="T695" s="874"/>
      <c r="U695" s="874"/>
      <c r="V695" s="874"/>
      <c r="W695" s="874"/>
      <c r="X695" s="874"/>
      <c r="Y695" s="874"/>
      <c r="Z695" s="874"/>
    </row>
    <row r="696" ht="63.75" customHeight="1">
      <c r="A696" s="874"/>
      <c r="B696" s="874"/>
      <c r="C696" s="874"/>
      <c r="D696" s="882"/>
      <c r="E696" s="874"/>
      <c r="F696" s="874"/>
      <c r="G696" s="864"/>
      <c r="H696" s="874"/>
      <c r="I696" s="874"/>
      <c r="J696" s="874"/>
      <c r="K696" s="874"/>
      <c r="L696" s="874"/>
      <c r="M696" s="874"/>
      <c r="N696" s="874"/>
      <c r="O696" s="874"/>
      <c r="P696" s="874"/>
      <c r="Q696" s="874"/>
      <c r="R696" s="874"/>
      <c r="S696" s="874"/>
      <c r="T696" s="874"/>
      <c r="U696" s="874"/>
      <c r="V696" s="874"/>
      <c r="W696" s="874"/>
      <c r="X696" s="874"/>
      <c r="Y696" s="874"/>
      <c r="Z696" s="874"/>
    </row>
    <row r="697" ht="63.75" customHeight="1">
      <c r="A697" s="874"/>
      <c r="B697" s="874"/>
      <c r="C697" s="874"/>
      <c r="D697" s="882"/>
      <c r="E697" s="874"/>
      <c r="F697" s="874"/>
      <c r="G697" s="864"/>
      <c r="H697" s="874"/>
      <c r="I697" s="874"/>
      <c r="J697" s="874"/>
      <c r="K697" s="874"/>
      <c r="L697" s="874"/>
      <c r="M697" s="874"/>
      <c r="N697" s="874"/>
      <c r="O697" s="874"/>
      <c r="P697" s="874"/>
      <c r="Q697" s="874"/>
      <c r="R697" s="874"/>
      <c r="S697" s="874"/>
      <c r="T697" s="874"/>
      <c r="U697" s="874"/>
      <c r="V697" s="874"/>
      <c r="W697" s="874"/>
      <c r="X697" s="874"/>
      <c r="Y697" s="874"/>
      <c r="Z697" s="874"/>
    </row>
    <row r="698" ht="63.75" customHeight="1">
      <c r="A698" s="874"/>
      <c r="B698" s="874"/>
      <c r="C698" s="874"/>
      <c r="D698" s="882"/>
      <c r="E698" s="874"/>
      <c r="F698" s="874"/>
      <c r="G698" s="864"/>
      <c r="H698" s="874"/>
      <c r="I698" s="874"/>
      <c r="J698" s="874"/>
      <c r="K698" s="874"/>
      <c r="L698" s="874"/>
      <c r="M698" s="874"/>
      <c r="N698" s="874"/>
      <c r="O698" s="874"/>
      <c r="P698" s="874"/>
      <c r="Q698" s="874"/>
      <c r="R698" s="874"/>
      <c r="S698" s="874"/>
      <c r="T698" s="874"/>
      <c r="U698" s="874"/>
      <c r="V698" s="874"/>
      <c r="W698" s="874"/>
      <c r="X698" s="874"/>
      <c r="Y698" s="874"/>
      <c r="Z698" s="874"/>
    </row>
    <row r="699" ht="63.75" customHeight="1">
      <c r="A699" s="874"/>
      <c r="B699" s="874"/>
      <c r="C699" s="874"/>
      <c r="D699" s="882"/>
      <c r="E699" s="874"/>
      <c r="F699" s="874"/>
      <c r="G699" s="864"/>
      <c r="H699" s="874"/>
      <c r="I699" s="874"/>
      <c r="J699" s="874"/>
      <c r="K699" s="874"/>
      <c r="L699" s="874"/>
      <c r="M699" s="874"/>
      <c r="N699" s="874"/>
      <c r="O699" s="874"/>
      <c r="P699" s="874"/>
      <c r="Q699" s="874"/>
      <c r="R699" s="874"/>
      <c r="S699" s="874"/>
      <c r="T699" s="874"/>
      <c r="U699" s="874"/>
      <c r="V699" s="874"/>
      <c r="W699" s="874"/>
      <c r="X699" s="874"/>
      <c r="Y699" s="874"/>
      <c r="Z699" s="874"/>
    </row>
    <row r="700" ht="63.75" customHeight="1">
      <c r="A700" s="874"/>
      <c r="B700" s="874"/>
      <c r="C700" s="874"/>
      <c r="D700" s="882"/>
      <c r="E700" s="874"/>
      <c r="F700" s="874"/>
      <c r="G700" s="864"/>
      <c r="H700" s="874"/>
      <c r="I700" s="874"/>
      <c r="J700" s="874"/>
      <c r="K700" s="874"/>
      <c r="L700" s="874"/>
      <c r="M700" s="874"/>
      <c r="N700" s="874"/>
      <c r="O700" s="874"/>
      <c r="P700" s="874"/>
      <c r="Q700" s="874"/>
      <c r="R700" s="874"/>
      <c r="S700" s="874"/>
      <c r="T700" s="874"/>
      <c r="U700" s="874"/>
      <c r="V700" s="874"/>
      <c r="W700" s="874"/>
      <c r="X700" s="874"/>
      <c r="Y700" s="874"/>
      <c r="Z700" s="874"/>
    </row>
    <row r="701" ht="63.75" customHeight="1">
      <c r="A701" s="874"/>
      <c r="B701" s="874"/>
      <c r="C701" s="874"/>
      <c r="D701" s="882"/>
      <c r="E701" s="874"/>
      <c r="F701" s="874"/>
      <c r="G701" s="864"/>
      <c r="H701" s="874"/>
      <c r="I701" s="874"/>
      <c r="J701" s="874"/>
      <c r="K701" s="874"/>
      <c r="L701" s="874"/>
      <c r="M701" s="874"/>
      <c r="N701" s="874"/>
      <c r="O701" s="874"/>
      <c r="P701" s="874"/>
      <c r="Q701" s="874"/>
      <c r="R701" s="874"/>
      <c r="S701" s="874"/>
      <c r="T701" s="874"/>
      <c r="U701" s="874"/>
      <c r="V701" s="874"/>
      <c r="W701" s="874"/>
      <c r="X701" s="874"/>
      <c r="Y701" s="874"/>
      <c r="Z701" s="874"/>
    </row>
    <row r="702" ht="63.75" customHeight="1">
      <c r="A702" s="874"/>
      <c r="B702" s="874"/>
      <c r="C702" s="874"/>
      <c r="D702" s="882"/>
      <c r="E702" s="874"/>
      <c r="F702" s="874"/>
      <c r="G702" s="864"/>
      <c r="H702" s="874"/>
      <c r="I702" s="874"/>
      <c r="J702" s="874"/>
      <c r="K702" s="874"/>
      <c r="L702" s="874"/>
      <c r="M702" s="874"/>
      <c r="N702" s="874"/>
      <c r="O702" s="874"/>
      <c r="P702" s="874"/>
      <c r="Q702" s="874"/>
      <c r="R702" s="874"/>
      <c r="S702" s="874"/>
      <c r="T702" s="874"/>
      <c r="U702" s="874"/>
      <c r="V702" s="874"/>
      <c r="W702" s="874"/>
      <c r="X702" s="874"/>
      <c r="Y702" s="874"/>
      <c r="Z702" s="874"/>
    </row>
    <row r="703" ht="63.75" customHeight="1">
      <c r="A703" s="874"/>
      <c r="B703" s="874"/>
      <c r="C703" s="874"/>
      <c r="D703" s="882"/>
      <c r="E703" s="874"/>
      <c r="F703" s="874"/>
      <c r="G703" s="864"/>
      <c r="H703" s="874"/>
      <c r="I703" s="874"/>
      <c r="J703" s="874"/>
      <c r="K703" s="874"/>
      <c r="L703" s="874"/>
      <c r="M703" s="874"/>
      <c r="N703" s="874"/>
      <c r="O703" s="874"/>
      <c r="P703" s="874"/>
      <c r="Q703" s="874"/>
      <c r="R703" s="874"/>
      <c r="S703" s="874"/>
      <c r="T703" s="874"/>
      <c r="U703" s="874"/>
      <c r="V703" s="874"/>
      <c r="W703" s="874"/>
      <c r="X703" s="874"/>
      <c r="Y703" s="874"/>
      <c r="Z703" s="874"/>
    </row>
    <row r="704" ht="63.75" customHeight="1">
      <c r="A704" s="874"/>
      <c r="B704" s="874"/>
      <c r="C704" s="874"/>
      <c r="D704" s="882"/>
      <c r="E704" s="874"/>
      <c r="F704" s="874"/>
      <c r="G704" s="864"/>
      <c r="H704" s="874"/>
      <c r="I704" s="874"/>
      <c r="J704" s="874"/>
      <c r="K704" s="874"/>
      <c r="L704" s="874"/>
      <c r="M704" s="874"/>
      <c r="N704" s="874"/>
      <c r="O704" s="874"/>
      <c r="P704" s="874"/>
      <c r="Q704" s="874"/>
      <c r="R704" s="874"/>
      <c r="S704" s="874"/>
      <c r="T704" s="874"/>
      <c r="U704" s="874"/>
      <c r="V704" s="874"/>
      <c r="W704" s="874"/>
      <c r="X704" s="874"/>
      <c r="Y704" s="874"/>
      <c r="Z704" s="874"/>
    </row>
    <row r="705" ht="63.75" customHeight="1">
      <c r="A705" s="874"/>
      <c r="B705" s="874"/>
      <c r="C705" s="874"/>
      <c r="D705" s="882"/>
      <c r="E705" s="874"/>
      <c r="F705" s="874"/>
      <c r="G705" s="864"/>
      <c r="H705" s="874"/>
      <c r="I705" s="874"/>
      <c r="J705" s="874"/>
      <c r="K705" s="874"/>
      <c r="L705" s="874"/>
      <c r="M705" s="874"/>
      <c r="N705" s="874"/>
      <c r="O705" s="874"/>
      <c r="P705" s="874"/>
      <c r="Q705" s="874"/>
      <c r="R705" s="874"/>
      <c r="S705" s="874"/>
      <c r="T705" s="874"/>
      <c r="U705" s="874"/>
      <c r="V705" s="874"/>
      <c r="W705" s="874"/>
      <c r="X705" s="874"/>
      <c r="Y705" s="874"/>
      <c r="Z705" s="874"/>
    </row>
    <row r="706" ht="63.75" customHeight="1">
      <c r="A706" s="874"/>
      <c r="B706" s="874"/>
      <c r="C706" s="874"/>
      <c r="D706" s="882"/>
      <c r="E706" s="874"/>
      <c r="F706" s="874"/>
      <c r="G706" s="864"/>
      <c r="H706" s="874"/>
      <c r="I706" s="874"/>
      <c r="J706" s="874"/>
      <c r="K706" s="874"/>
      <c r="L706" s="874"/>
      <c r="M706" s="874"/>
      <c r="N706" s="874"/>
      <c r="O706" s="874"/>
      <c r="P706" s="874"/>
      <c r="Q706" s="874"/>
      <c r="R706" s="874"/>
      <c r="S706" s="874"/>
      <c r="T706" s="874"/>
      <c r="U706" s="874"/>
      <c r="V706" s="874"/>
      <c r="W706" s="874"/>
      <c r="X706" s="874"/>
      <c r="Y706" s="874"/>
      <c r="Z706" s="874"/>
    </row>
    <row r="707" ht="63.75" customHeight="1">
      <c r="A707" s="874"/>
      <c r="B707" s="874"/>
      <c r="C707" s="874"/>
      <c r="D707" s="882"/>
      <c r="E707" s="874"/>
      <c r="F707" s="874"/>
      <c r="G707" s="864"/>
      <c r="H707" s="874"/>
      <c r="I707" s="874"/>
      <c r="J707" s="874"/>
      <c r="K707" s="874"/>
      <c r="L707" s="874"/>
      <c r="M707" s="874"/>
      <c r="N707" s="874"/>
      <c r="O707" s="874"/>
      <c r="P707" s="874"/>
      <c r="Q707" s="874"/>
      <c r="R707" s="874"/>
      <c r="S707" s="874"/>
      <c r="T707" s="874"/>
      <c r="U707" s="874"/>
      <c r="V707" s="874"/>
      <c r="W707" s="874"/>
      <c r="X707" s="874"/>
      <c r="Y707" s="874"/>
      <c r="Z707" s="874"/>
    </row>
    <row r="708" ht="63.75" customHeight="1">
      <c r="A708" s="874"/>
      <c r="B708" s="874"/>
      <c r="C708" s="874"/>
      <c r="D708" s="882"/>
      <c r="E708" s="874"/>
      <c r="F708" s="874"/>
      <c r="G708" s="864"/>
      <c r="H708" s="874"/>
      <c r="I708" s="874"/>
      <c r="J708" s="874"/>
      <c r="K708" s="874"/>
      <c r="L708" s="874"/>
      <c r="M708" s="874"/>
      <c r="N708" s="874"/>
      <c r="O708" s="874"/>
      <c r="P708" s="874"/>
      <c r="Q708" s="874"/>
      <c r="R708" s="874"/>
      <c r="S708" s="874"/>
      <c r="T708" s="874"/>
      <c r="U708" s="874"/>
      <c r="V708" s="874"/>
      <c r="W708" s="874"/>
      <c r="X708" s="874"/>
      <c r="Y708" s="874"/>
      <c r="Z708" s="874"/>
    </row>
    <row r="709" ht="63.75" customHeight="1">
      <c r="A709" s="874"/>
      <c r="B709" s="874"/>
      <c r="C709" s="874"/>
      <c r="D709" s="882"/>
      <c r="E709" s="874"/>
      <c r="F709" s="874"/>
      <c r="G709" s="864"/>
      <c r="H709" s="874"/>
      <c r="I709" s="874"/>
      <c r="J709" s="874"/>
      <c r="K709" s="874"/>
      <c r="L709" s="874"/>
      <c r="M709" s="874"/>
      <c r="N709" s="874"/>
      <c r="O709" s="874"/>
      <c r="P709" s="874"/>
      <c r="Q709" s="874"/>
      <c r="R709" s="874"/>
      <c r="S709" s="874"/>
      <c r="T709" s="874"/>
      <c r="U709" s="874"/>
      <c r="V709" s="874"/>
      <c r="W709" s="874"/>
      <c r="X709" s="874"/>
      <c r="Y709" s="874"/>
      <c r="Z709" s="874"/>
    </row>
    <row r="710" ht="63.75" customHeight="1">
      <c r="A710" s="874"/>
      <c r="B710" s="874"/>
      <c r="C710" s="874"/>
      <c r="D710" s="882"/>
      <c r="E710" s="874"/>
      <c r="F710" s="874"/>
      <c r="G710" s="864"/>
      <c r="H710" s="874"/>
      <c r="I710" s="874"/>
      <c r="J710" s="874"/>
      <c r="K710" s="874"/>
      <c r="L710" s="874"/>
      <c r="M710" s="874"/>
      <c r="N710" s="874"/>
      <c r="O710" s="874"/>
      <c r="P710" s="874"/>
      <c r="Q710" s="874"/>
      <c r="R710" s="874"/>
      <c r="S710" s="874"/>
      <c r="T710" s="874"/>
      <c r="U710" s="874"/>
      <c r="V710" s="874"/>
      <c r="W710" s="874"/>
      <c r="X710" s="874"/>
      <c r="Y710" s="874"/>
      <c r="Z710" s="874"/>
    </row>
    <row r="711" ht="63.75" customHeight="1">
      <c r="A711" s="874"/>
      <c r="B711" s="874"/>
      <c r="C711" s="874"/>
      <c r="D711" s="882"/>
      <c r="E711" s="874"/>
      <c r="F711" s="874"/>
      <c r="G711" s="864"/>
      <c r="H711" s="874"/>
      <c r="I711" s="874"/>
      <c r="J711" s="874"/>
      <c r="K711" s="874"/>
      <c r="L711" s="874"/>
      <c r="M711" s="874"/>
      <c r="N711" s="874"/>
      <c r="O711" s="874"/>
      <c r="P711" s="874"/>
      <c r="Q711" s="874"/>
      <c r="R711" s="874"/>
      <c r="S711" s="874"/>
      <c r="T711" s="874"/>
      <c r="U711" s="874"/>
      <c r="V711" s="874"/>
      <c r="W711" s="874"/>
      <c r="X711" s="874"/>
      <c r="Y711" s="874"/>
      <c r="Z711" s="874"/>
    </row>
    <row r="712" ht="63.75" customHeight="1">
      <c r="A712" s="874"/>
      <c r="B712" s="874"/>
      <c r="C712" s="874"/>
      <c r="D712" s="882"/>
      <c r="E712" s="874"/>
      <c r="F712" s="874"/>
      <c r="G712" s="864"/>
      <c r="H712" s="874"/>
      <c r="I712" s="874"/>
      <c r="J712" s="874"/>
      <c r="K712" s="874"/>
      <c r="L712" s="874"/>
      <c r="M712" s="874"/>
      <c r="N712" s="874"/>
      <c r="O712" s="874"/>
      <c r="P712" s="874"/>
      <c r="Q712" s="874"/>
      <c r="R712" s="874"/>
      <c r="S712" s="874"/>
      <c r="T712" s="874"/>
      <c r="U712" s="874"/>
      <c r="V712" s="874"/>
      <c r="W712" s="874"/>
      <c r="X712" s="874"/>
      <c r="Y712" s="874"/>
      <c r="Z712" s="874"/>
    </row>
    <row r="713" ht="63.75" customHeight="1">
      <c r="A713" s="874"/>
      <c r="B713" s="874"/>
      <c r="C713" s="874"/>
      <c r="D713" s="882"/>
      <c r="E713" s="874"/>
      <c r="F713" s="874"/>
      <c r="G713" s="864"/>
      <c r="H713" s="874"/>
      <c r="I713" s="874"/>
      <c r="J713" s="874"/>
      <c r="K713" s="874"/>
      <c r="L713" s="874"/>
      <c r="M713" s="874"/>
      <c r="N713" s="874"/>
      <c r="O713" s="874"/>
      <c r="P713" s="874"/>
      <c r="Q713" s="874"/>
      <c r="R713" s="874"/>
      <c r="S713" s="874"/>
      <c r="T713" s="874"/>
      <c r="U713" s="874"/>
      <c r="V713" s="874"/>
      <c r="W713" s="874"/>
      <c r="X713" s="874"/>
      <c r="Y713" s="874"/>
      <c r="Z713" s="874"/>
    </row>
    <row r="714" ht="63.75" customHeight="1">
      <c r="A714" s="874"/>
      <c r="B714" s="874"/>
      <c r="C714" s="874"/>
      <c r="D714" s="882"/>
      <c r="E714" s="874"/>
      <c r="F714" s="874"/>
      <c r="G714" s="864"/>
      <c r="H714" s="874"/>
      <c r="I714" s="874"/>
      <c r="J714" s="874"/>
      <c r="K714" s="874"/>
      <c r="L714" s="874"/>
      <c r="M714" s="874"/>
      <c r="N714" s="874"/>
      <c r="O714" s="874"/>
      <c r="P714" s="874"/>
      <c r="Q714" s="874"/>
      <c r="R714" s="874"/>
      <c r="S714" s="874"/>
      <c r="T714" s="874"/>
      <c r="U714" s="874"/>
      <c r="V714" s="874"/>
      <c r="W714" s="874"/>
      <c r="X714" s="874"/>
      <c r="Y714" s="874"/>
      <c r="Z714" s="874"/>
    </row>
    <row r="715" ht="63.75" customHeight="1">
      <c r="A715" s="874"/>
      <c r="B715" s="874"/>
      <c r="C715" s="874"/>
      <c r="D715" s="882"/>
      <c r="E715" s="874"/>
      <c r="F715" s="874"/>
      <c r="G715" s="864"/>
      <c r="H715" s="874"/>
      <c r="I715" s="874"/>
      <c r="J715" s="874"/>
      <c r="K715" s="874"/>
      <c r="L715" s="874"/>
      <c r="M715" s="874"/>
      <c r="N715" s="874"/>
      <c r="O715" s="874"/>
      <c r="P715" s="874"/>
      <c r="Q715" s="874"/>
      <c r="R715" s="874"/>
      <c r="S715" s="874"/>
      <c r="T715" s="874"/>
      <c r="U715" s="874"/>
      <c r="V715" s="874"/>
      <c r="W715" s="874"/>
      <c r="X715" s="874"/>
      <c r="Y715" s="874"/>
      <c r="Z715" s="874"/>
    </row>
    <row r="716" ht="63.75" customHeight="1">
      <c r="A716" s="874"/>
      <c r="B716" s="874"/>
      <c r="C716" s="874"/>
      <c r="D716" s="882"/>
      <c r="E716" s="874"/>
      <c r="F716" s="874"/>
      <c r="G716" s="864"/>
      <c r="H716" s="874"/>
      <c r="I716" s="874"/>
      <c r="J716" s="874"/>
      <c r="K716" s="874"/>
      <c r="L716" s="874"/>
      <c r="M716" s="874"/>
      <c r="N716" s="874"/>
      <c r="O716" s="874"/>
      <c r="P716" s="874"/>
      <c r="Q716" s="874"/>
      <c r="R716" s="874"/>
      <c r="S716" s="874"/>
      <c r="T716" s="874"/>
      <c r="U716" s="874"/>
      <c r="V716" s="874"/>
      <c r="W716" s="874"/>
      <c r="X716" s="874"/>
      <c r="Y716" s="874"/>
      <c r="Z716" s="874"/>
    </row>
    <row r="717" ht="63.75" customHeight="1">
      <c r="A717" s="874"/>
      <c r="B717" s="874"/>
      <c r="C717" s="874"/>
      <c r="D717" s="882"/>
      <c r="E717" s="874"/>
      <c r="F717" s="874"/>
      <c r="G717" s="864"/>
      <c r="H717" s="874"/>
      <c r="I717" s="874"/>
      <c r="J717" s="874"/>
      <c r="K717" s="874"/>
      <c r="L717" s="874"/>
      <c r="M717" s="874"/>
      <c r="N717" s="874"/>
      <c r="O717" s="874"/>
      <c r="P717" s="874"/>
      <c r="Q717" s="874"/>
      <c r="R717" s="874"/>
      <c r="S717" s="874"/>
      <c r="T717" s="874"/>
      <c r="U717" s="874"/>
      <c r="V717" s="874"/>
      <c r="W717" s="874"/>
      <c r="X717" s="874"/>
      <c r="Y717" s="874"/>
      <c r="Z717" s="874"/>
    </row>
    <row r="718" ht="63.75" customHeight="1">
      <c r="A718" s="874"/>
      <c r="B718" s="874"/>
      <c r="C718" s="874"/>
      <c r="D718" s="882"/>
      <c r="E718" s="874"/>
      <c r="F718" s="874"/>
      <c r="G718" s="864"/>
      <c r="H718" s="874"/>
      <c r="I718" s="874"/>
      <c r="J718" s="874"/>
      <c r="K718" s="874"/>
      <c r="L718" s="874"/>
      <c r="M718" s="874"/>
      <c r="N718" s="874"/>
      <c r="O718" s="874"/>
      <c r="P718" s="874"/>
      <c r="Q718" s="874"/>
      <c r="R718" s="874"/>
      <c r="S718" s="874"/>
      <c r="T718" s="874"/>
      <c r="U718" s="874"/>
      <c r="V718" s="874"/>
      <c r="W718" s="874"/>
      <c r="X718" s="874"/>
      <c r="Y718" s="874"/>
      <c r="Z718" s="874"/>
    </row>
    <row r="719" ht="63.75" customHeight="1">
      <c r="A719" s="874"/>
      <c r="B719" s="874"/>
      <c r="C719" s="874"/>
      <c r="D719" s="882"/>
      <c r="E719" s="874"/>
      <c r="F719" s="874"/>
      <c r="G719" s="864"/>
      <c r="H719" s="874"/>
      <c r="I719" s="874"/>
      <c r="J719" s="874"/>
      <c r="K719" s="874"/>
      <c r="L719" s="874"/>
      <c r="M719" s="874"/>
      <c r="N719" s="874"/>
      <c r="O719" s="874"/>
      <c r="P719" s="874"/>
      <c r="Q719" s="874"/>
      <c r="R719" s="874"/>
      <c r="S719" s="874"/>
      <c r="T719" s="874"/>
      <c r="U719" s="874"/>
      <c r="V719" s="874"/>
      <c r="W719" s="874"/>
      <c r="X719" s="874"/>
      <c r="Y719" s="874"/>
      <c r="Z719" s="874"/>
    </row>
    <row r="720" ht="63.75" customHeight="1">
      <c r="A720" s="874"/>
      <c r="B720" s="874"/>
      <c r="C720" s="874"/>
      <c r="D720" s="882"/>
      <c r="E720" s="874"/>
      <c r="F720" s="874"/>
      <c r="G720" s="864"/>
      <c r="H720" s="874"/>
      <c r="I720" s="874"/>
      <c r="J720" s="874"/>
      <c r="K720" s="874"/>
      <c r="L720" s="874"/>
      <c r="M720" s="874"/>
      <c r="N720" s="874"/>
      <c r="O720" s="874"/>
      <c r="P720" s="874"/>
      <c r="Q720" s="874"/>
      <c r="R720" s="874"/>
      <c r="S720" s="874"/>
      <c r="T720" s="874"/>
      <c r="U720" s="874"/>
      <c r="V720" s="874"/>
      <c r="W720" s="874"/>
      <c r="X720" s="874"/>
      <c r="Y720" s="874"/>
      <c r="Z720" s="874"/>
    </row>
    <row r="721" ht="63.75" customHeight="1">
      <c r="A721" s="874"/>
      <c r="B721" s="874"/>
      <c r="C721" s="874"/>
      <c r="D721" s="882"/>
      <c r="E721" s="874"/>
      <c r="F721" s="874"/>
      <c r="G721" s="864"/>
      <c r="H721" s="874"/>
      <c r="I721" s="874"/>
      <c r="J721" s="874"/>
      <c r="K721" s="874"/>
      <c r="L721" s="874"/>
      <c r="M721" s="874"/>
      <c r="N721" s="874"/>
      <c r="O721" s="874"/>
      <c r="P721" s="874"/>
      <c r="Q721" s="874"/>
      <c r="R721" s="874"/>
      <c r="S721" s="874"/>
      <c r="T721" s="874"/>
      <c r="U721" s="874"/>
      <c r="V721" s="874"/>
      <c r="W721" s="874"/>
      <c r="X721" s="874"/>
      <c r="Y721" s="874"/>
      <c r="Z721" s="874"/>
    </row>
    <row r="722" ht="63.75" customHeight="1">
      <c r="A722" s="874"/>
      <c r="B722" s="874"/>
      <c r="C722" s="874"/>
      <c r="D722" s="882"/>
      <c r="E722" s="874"/>
      <c r="F722" s="874"/>
      <c r="G722" s="864"/>
      <c r="H722" s="874"/>
      <c r="I722" s="874"/>
      <c r="J722" s="874"/>
      <c r="K722" s="874"/>
      <c r="L722" s="874"/>
      <c r="M722" s="874"/>
      <c r="N722" s="874"/>
      <c r="O722" s="874"/>
      <c r="P722" s="874"/>
      <c r="Q722" s="874"/>
      <c r="R722" s="874"/>
      <c r="S722" s="874"/>
      <c r="T722" s="874"/>
      <c r="U722" s="874"/>
      <c r="V722" s="874"/>
      <c r="W722" s="874"/>
      <c r="X722" s="874"/>
      <c r="Y722" s="874"/>
      <c r="Z722" s="874"/>
    </row>
    <row r="723" ht="63.75" customHeight="1">
      <c r="A723" s="874"/>
      <c r="B723" s="874"/>
      <c r="C723" s="874"/>
      <c r="D723" s="882"/>
      <c r="E723" s="874"/>
      <c r="F723" s="874"/>
      <c r="G723" s="864"/>
      <c r="H723" s="874"/>
      <c r="I723" s="874"/>
      <c r="J723" s="874"/>
      <c r="K723" s="874"/>
      <c r="L723" s="874"/>
      <c r="M723" s="874"/>
      <c r="N723" s="874"/>
      <c r="O723" s="874"/>
      <c r="P723" s="874"/>
      <c r="Q723" s="874"/>
      <c r="R723" s="874"/>
      <c r="S723" s="874"/>
      <c r="T723" s="874"/>
      <c r="U723" s="874"/>
      <c r="V723" s="874"/>
      <c r="W723" s="874"/>
      <c r="X723" s="874"/>
      <c r="Y723" s="874"/>
      <c r="Z723" s="874"/>
    </row>
    <row r="724" ht="63.75" customHeight="1">
      <c r="A724" s="874"/>
      <c r="B724" s="874"/>
      <c r="C724" s="874"/>
      <c r="D724" s="882"/>
      <c r="E724" s="874"/>
      <c r="F724" s="874"/>
      <c r="G724" s="864"/>
      <c r="H724" s="874"/>
      <c r="I724" s="874"/>
      <c r="J724" s="874"/>
      <c r="K724" s="874"/>
      <c r="L724" s="874"/>
      <c r="M724" s="874"/>
      <c r="N724" s="874"/>
      <c r="O724" s="874"/>
      <c r="P724" s="874"/>
      <c r="Q724" s="874"/>
      <c r="R724" s="874"/>
      <c r="S724" s="874"/>
      <c r="T724" s="874"/>
      <c r="U724" s="874"/>
      <c r="V724" s="874"/>
      <c r="W724" s="874"/>
      <c r="X724" s="874"/>
      <c r="Y724" s="874"/>
      <c r="Z724" s="874"/>
    </row>
    <row r="725" ht="63.75" customHeight="1">
      <c r="A725" s="874"/>
      <c r="B725" s="874"/>
      <c r="C725" s="874"/>
      <c r="D725" s="882"/>
      <c r="E725" s="874"/>
      <c r="F725" s="874"/>
      <c r="G725" s="864"/>
      <c r="H725" s="874"/>
      <c r="I725" s="874"/>
      <c r="J725" s="874"/>
      <c r="K725" s="874"/>
      <c r="L725" s="874"/>
      <c r="M725" s="874"/>
      <c r="N725" s="874"/>
      <c r="O725" s="874"/>
      <c r="P725" s="874"/>
      <c r="Q725" s="874"/>
      <c r="R725" s="874"/>
      <c r="S725" s="874"/>
      <c r="T725" s="874"/>
      <c r="U725" s="874"/>
      <c r="V725" s="874"/>
      <c r="W725" s="874"/>
      <c r="X725" s="874"/>
      <c r="Y725" s="874"/>
      <c r="Z725" s="874"/>
    </row>
    <row r="726" ht="63.75" customHeight="1">
      <c r="A726" s="874"/>
      <c r="B726" s="874"/>
      <c r="C726" s="874"/>
      <c r="D726" s="882"/>
      <c r="E726" s="874"/>
      <c r="F726" s="874"/>
      <c r="G726" s="864"/>
      <c r="H726" s="874"/>
      <c r="I726" s="874"/>
      <c r="J726" s="874"/>
      <c r="K726" s="874"/>
      <c r="L726" s="874"/>
      <c r="M726" s="874"/>
      <c r="N726" s="874"/>
      <c r="O726" s="874"/>
      <c r="P726" s="874"/>
      <c r="Q726" s="874"/>
      <c r="R726" s="874"/>
      <c r="S726" s="874"/>
      <c r="T726" s="874"/>
      <c r="U726" s="874"/>
      <c r="V726" s="874"/>
      <c r="W726" s="874"/>
      <c r="X726" s="874"/>
      <c r="Y726" s="874"/>
      <c r="Z726" s="874"/>
    </row>
    <row r="727" ht="63.75" customHeight="1">
      <c r="A727" s="874"/>
      <c r="B727" s="874"/>
      <c r="C727" s="874"/>
      <c r="D727" s="882"/>
      <c r="E727" s="874"/>
      <c r="F727" s="874"/>
      <c r="G727" s="864"/>
      <c r="H727" s="874"/>
      <c r="I727" s="874"/>
      <c r="J727" s="874"/>
      <c r="K727" s="874"/>
      <c r="L727" s="874"/>
      <c r="M727" s="874"/>
      <c r="N727" s="874"/>
      <c r="O727" s="874"/>
      <c r="P727" s="874"/>
      <c r="Q727" s="874"/>
      <c r="R727" s="874"/>
      <c r="S727" s="874"/>
      <c r="T727" s="874"/>
      <c r="U727" s="874"/>
      <c r="V727" s="874"/>
      <c r="W727" s="874"/>
      <c r="X727" s="874"/>
      <c r="Y727" s="874"/>
      <c r="Z727" s="874"/>
    </row>
    <row r="728" ht="63.75" customHeight="1">
      <c r="A728" s="874"/>
      <c r="B728" s="874"/>
      <c r="C728" s="874"/>
      <c r="D728" s="882"/>
      <c r="E728" s="874"/>
      <c r="F728" s="874"/>
      <c r="G728" s="864"/>
      <c r="H728" s="874"/>
      <c r="I728" s="874"/>
      <c r="J728" s="874"/>
      <c r="K728" s="874"/>
      <c r="L728" s="874"/>
      <c r="M728" s="874"/>
      <c r="N728" s="874"/>
      <c r="O728" s="874"/>
      <c r="P728" s="874"/>
      <c r="Q728" s="874"/>
      <c r="R728" s="874"/>
      <c r="S728" s="874"/>
      <c r="T728" s="874"/>
      <c r="U728" s="874"/>
      <c r="V728" s="874"/>
      <c r="W728" s="874"/>
      <c r="X728" s="874"/>
      <c r="Y728" s="874"/>
      <c r="Z728" s="874"/>
    </row>
    <row r="729" ht="63.75" customHeight="1">
      <c r="A729" s="874"/>
      <c r="B729" s="874"/>
      <c r="C729" s="874"/>
      <c r="D729" s="882"/>
      <c r="E729" s="874"/>
      <c r="F729" s="874"/>
      <c r="G729" s="864"/>
      <c r="H729" s="874"/>
      <c r="I729" s="874"/>
      <c r="J729" s="874"/>
      <c r="K729" s="874"/>
      <c r="L729" s="874"/>
      <c r="M729" s="874"/>
      <c r="N729" s="874"/>
      <c r="O729" s="874"/>
      <c r="P729" s="874"/>
      <c r="Q729" s="874"/>
      <c r="R729" s="874"/>
      <c r="S729" s="874"/>
      <c r="T729" s="874"/>
      <c r="U729" s="874"/>
      <c r="V729" s="874"/>
      <c r="W729" s="874"/>
      <c r="X729" s="874"/>
      <c r="Y729" s="874"/>
      <c r="Z729" s="874"/>
    </row>
    <row r="730" ht="63.75" customHeight="1">
      <c r="A730" s="874"/>
      <c r="B730" s="874"/>
      <c r="C730" s="874"/>
      <c r="D730" s="882"/>
      <c r="E730" s="874"/>
      <c r="F730" s="874"/>
      <c r="G730" s="864"/>
      <c r="H730" s="874"/>
      <c r="I730" s="874"/>
      <c r="J730" s="874"/>
      <c r="K730" s="874"/>
      <c r="L730" s="874"/>
      <c r="M730" s="874"/>
      <c r="N730" s="874"/>
      <c r="O730" s="874"/>
      <c r="P730" s="874"/>
      <c r="Q730" s="874"/>
      <c r="R730" s="874"/>
      <c r="S730" s="874"/>
      <c r="T730" s="874"/>
      <c r="U730" s="874"/>
      <c r="V730" s="874"/>
      <c r="W730" s="874"/>
      <c r="X730" s="874"/>
      <c r="Y730" s="874"/>
      <c r="Z730" s="874"/>
    </row>
    <row r="731" ht="63.75" customHeight="1">
      <c r="A731" s="874"/>
      <c r="B731" s="874"/>
      <c r="C731" s="874"/>
      <c r="D731" s="882"/>
      <c r="E731" s="874"/>
      <c r="F731" s="874"/>
      <c r="G731" s="864"/>
      <c r="H731" s="874"/>
      <c r="I731" s="874"/>
      <c r="J731" s="874"/>
      <c r="K731" s="874"/>
      <c r="L731" s="874"/>
      <c r="M731" s="874"/>
      <c r="N731" s="874"/>
      <c r="O731" s="874"/>
      <c r="P731" s="874"/>
      <c r="Q731" s="874"/>
      <c r="R731" s="874"/>
      <c r="S731" s="874"/>
      <c r="T731" s="874"/>
      <c r="U731" s="874"/>
      <c r="V731" s="874"/>
      <c r="W731" s="874"/>
      <c r="X731" s="874"/>
      <c r="Y731" s="874"/>
      <c r="Z731" s="874"/>
    </row>
    <row r="732" ht="63.75" customHeight="1">
      <c r="A732" s="874"/>
      <c r="B732" s="874"/>
      <c r="C732" s="874"/>
      <c r="D732" s="882"/>
      <c r="E732" s="874"/>
      <c r="F732" s="874"/>
      <c r="G732" s="864"/>
      <c r="H732" s="874"/>
      <c r="I732" s="874"/>
      <c r="J732" s="874"/>
      <c r="K732" s="874"/>
      <c r="L732" s="874"/>
      <c r="M732" s="874"/>
      <c r="N732" s="874"/>
      <c r="O732" s="874"/>
      <c r="P732" s="874"/>
      <c r="Q732" s="874"/>
      <c r="R732" s="874"/>
      <c r="S732" s="874"/>
      <c r="T732" s="874"/>
      <c r="U732" s="874"/>
      <c r="V732" s="874"/>
      <c r="W732" s="874"/>
      <c r="X732" s="874"/>
      <c r="Y732" s="874"/>
      <c r="Z732" s="874"/>
    </row>
    <row r="733" ht="63.75" customHeight="1">
      <c r="A733" s="874"/>
      <c r="B733" s="874"/>
      <c r="C733" s="874"/>
      <c r="D733" s="882"/>
      <c r="E733" s="874"/>
      <c r="F733" s="874"/>
      <c r="G733" s="864"/>
      <c r="H733" s="874"/>
      <c r="I733" s="874"/>
      <c r="J733" s="874"/>
      <c r="K733" s="874"/>
      <c r="L733" s="874"/>
      <c r="M733" s="874"/>
      <c r="N733" s="874"/>
      <c r="O733" s="874"/>
      <c r="P733" s="874"/>
      <c r="Q733" s="874"/>
      <c r="R733" s="874"/>
      <c r="S733" s="874"/>
      <c r="T733" s="874"/>
      <c r="U733" s="874"/>
      <c r="V733" s="874"/>
      <c r="W733" s="874"/>
      <c r="X733" s="874"/>
      <c r="Y733" s="874"/>
      <c r="Z733" s="874"/>
    </row>
    <row r="734" ht="63.75" customHeight="1">
      <c r="A734" s="874"/>
      <c r="B734" s="874"/>
      <c r="C734" s="874"/>
      <c r="D734" s="882"/>
      <c r="E734" s="874"/>
      <c r="F734" s="874"/>
      <c r="G734" s="864"/>
      <c r="H734" s="874"/>
      <c r="I734" s="874"/>
      <c r="J734" s="874"/>
      <c r="K734" s="874"/>
      <c r="L734" s="874"/>
      <c r="M734" s="874"/>
      <c r="N734" s="874"/>
      <c r="O734" s="874"/>
      <c r="P734" s="874"/>
      <c r="Q734" s="874"/>
      <c r="R734" s="874"/>
      <c r="S734" s="874"/>
      <c r="T734" s="874"/>
      <c r="U734" s="874"/>
      <c r="V734" s="874"/>
      <c r="W734" s="874"/>
      <c r="X734" s="874"/>
      <c r="Y734" s="874"/>
      <c r="Z734" s="874"/>
    </row>
    <row r="735" ht="63.75" customHeight="1">
      <c r="A735" s="874"/>
      <c r="B735" s="874"/>
      <c r="C735" s="874"/>
      <c r="D735" s="882"/>
      <c r="E735" s="874"/>
      <c r="F735" s="874"/>
      <c r="G735" s="864"/>
      <c r="H735" s="874"/>
      <c r="I735" s="874"/>
      <c r="J735" s="874"/>
      <c r="K735" s="874"/>
      <c r="L735" s="874"/>
      <c r="M735" s="874"/>
      <c r="N735" s="874"/>
      <c r="O735" s="874"/>
      <c r="P735" s="874"/>
      <c r="Q735" s="874"/>
      <c r="R735" s="874"/>
      <c r="S735" s="874"/>
      <c r="T735" s="874"/>
      <c r="U735" s="874"/>
      <c r="V735" s="874"/>
      <c r="W735" s="874"/>
      <c r="X735" s="874"/>
      <c r="Y735" s="874"/>
      <c r="Z735" s="874"/>
    </row>
    <row r="736" ht="63.75" customHeight="1">
      <c r="A736" s="874"/>
      <c r="B736" s="874"/>
      <c r="C736" s="874"/>
      <c r="D736" s="882"/>
      <c r="E736" s="874"/>
      <c r="F736" s="874"/>
      <c r="G736" s="864"/>
      <c r="H736" s="874"/>
      <c r="I736" s="874"/>
      <c r="J736" s="874"/>
      <c r="K736" s="874"/>
      <c r="L736" s="874"/>
      <c r="M736" s="874"/>
      <c r="N736" s="874"/>
      <c r="O736" s="874"/>
      <c r="P736" s="874"/>
      <c r="Q736" s="874"/>
      <c r="R736" s="874"/>
      <c r="S736" s="874"/>
      <c r="T736" s="874"/>
      <c r="U736" s="874"/>
      <c r="V736" s="874"/>
      <c r="W736" s="874"/>
      <c r="X736" s="874"/>
      <c r="Y736" s="874"/>
      <c r="Z736" s="874"/>
    </row>
    <row r="737" ht="63.75" customHeight="1">
      <c r="A737" s="874"/>
      <c r="B737" s="874"/>
      <c r="C737" s="874"/>
      <c r="D737" s="882"/>
      <c r="E737" s="874"/>
      <c r="F737" s="874"/>
      <c r="G737" s="864"/>
      <c r="H737" s="874"/>
      <c r="I737" s="874"/>
      <c r="J737" s="874"/>
      <c r="K737" s="874"/>
      <c r="L737" s="874"/>
      <c r="M737" s="874"/>
      <c r="N737" s="874"/>
      <c r="O737" s="874"/>
      <c r="P737" s="874"/>
      <c r="Q737" s="874"/>
      <c r="R737" s="874"/>
      <c r="S737" s="874"/>
      <c r="T737" s="874"/>
      <c r="U737" s="874"/>
      <c r="V737" s="874"/>
      <c r="W737" s="874"/>
      <c r="X737" s="874"/>
      <c r="Y737" s="874"/>
      <c r="Z737" s="874"/>
    </row>
    <row r="738" ht="63.75" customHeight="1">
      <c r="A738" s="874"/>
      <c r="B738" s="874"/>
      <c r="C738" s="874"/>
      <c r="D738" s="882"/>
      <c r="E738" s="874"/>
      <c r="F738" s="874"/>
      <c r="G738" s="864"/>
      <c r="H738" s="874"/>
      <c r="I738" s="874"/>
      <c r="J738" s="874"/>
      <c r="K738" s="874"/>
      <c r="L738" s="874"/>
      <c r="M738" s="874"/>
      <c r="N738" s="874"/>
      <c r="O738" s="874"/>
      <c r="P738" s="874"/>
      <c r="Q738" s="874"/>
      <c r="R738" s="874"/>
      <c r="S738" s="874"/>
      <c r="T738" s="874"/>
      <c r="U738" s="874"/>
      <c r="V738" s="874"/>
      <c r="W738" s="874"/>
      <c r="X738" s="874"/>
      <c r="Y738" s="874"/>
      <c r="Z738" s="874"/>
    </row>
    <row r="739" ht="63.75" customHeight="1">
      <c r="A739" s="874"/>
      <c r="B739" s="874"/>
      <c r="C739" s="874"/>
      <c r="D739" s="882"/>
      <c r="E739" s="874"/>
      <c r="F739" s="874"/>
      <c r="G739" s="864"/>
      <c r="H739" s="874"/>
      <c r="I739" s="874"/>
      <c r="J739" s="874"/>
      <c r="K739" s="874"/>
      <c r="L739" s="874"/>
      <c r="M739" s="874"/>
      <c r="N739" s="874"/>
      <c r="O739" s="874"/>
      <c r="P739" s="874"/>
      <c r="Q739" s="874"/>
      <c r="R739" s="874"/>
      <c r="S739" s="874"/>
      <c r="T739" s="874"/>
      <c r="U739" s="874"/>
      <c r="V739" s="874"/>
      <c r="W739" s="874"/>
      <c r="X739" s="874"/>
      <c r="Y739" s="874"/>
      <c r="Z739" s="874"/>
    </row>
    <row r="740" ht="63.75" customHeight="1">
      <c r="A740" s="874"/>
      <c r="B740" s="874"/>
      <c r="C740" s="874"/>
      <c r="D740" s="882"/>
      <c r="E740" s="874"/>
      <c r="F740" s="874"/>
      <c r="G740" s="864"/>
      <c r="H740" s="874"/>
      <c r="I740" s="874"/>
      <c r="J740" s="874"/>
      <c r="K740" s="874"/>
      <c r="L740" s="874"/>
      <c r="M740" s="874"/>
      <c r="N740" s="874"/>
      <c r="O740" s="874"/>
      <c r="P740" s="874"/>
      <c r="Q740" s="874"/>
      <c r="R740" s="874"/>
      <c r="S740" s="874"/>
      <c r="T740" s="874"/>
      <c r="U740" s="874"/>
      <c r="V740" s="874"/>
      <c r="W740" s="874"/>
      <c r="X740" s="874"/>
      <c r="Y740" s="874"/>
      <c r="Z740" s="874"/>
    </row>
    <row r="741" ht="63.75" customHeight="1">
      <c r="A741" s="874"/>
      <c r="B741" s="874"/>
      <c r="C741" s="874"/>
      <c r="D741" s="882"/>
      <c r="E741" s="874"/>
      <c r="F741" s="874"/>
      <c r="G741" s="864"/>
      <c r="H741" s="874"/>
      <c r="I741" s="874"/>
      <c r="J741" s="874"/>
      <c r="K741" s="874"/>
      <c r="L741" s="874"/>
      <c r="M741" s="874"/>
      <c r="N741" s="874"/>
      <c r="O741" s="874"/>
      <c r="P741" s="874"/>
      <c r="Q741" s="874"/>
      <c r="R741" s="874"/>
      <c r="S741" s="874"/>
      <c r="T741" s="874"/>
      <c r="U741" s="874"/>
      <c r="V741" s="874"/>
      <c r="W741" s="874"/>
      <c r="X741" s="874"/>
      <c r="Y741" s="874"/>
      <c r="Z741" s="874"/>
    </row>
    <row r="742" ht="63.75" customHeight="1">
      <c r="A742" s="874"/>
      <c r="B742" s="874"/>
      <c r="C742" s="874"/>
      <c r="D742" s="882"/>
      <c r="E742" s="874"/>
      <c r="F742" s="874"/>
      <c r="G742" s="864"/>
      <c r="H742" s="874"/>
      <c r="I742" s="874"/>
      <c r="J742" s="874"/>
      <c r="K742" s="874"/>
      <c r="L742" s="874"/>
      <c r="M742" s="874"/>
      <c r="N742" s="874"/>
      <c r="O742" s="874"/>
      <c r="P742" s="874"/>
      <c r="Q742" s="874"/>
      <c r="R742" s="874"/>
      <c r="S742" s="874"/>
      <c r="T742" s="874"/>
      <c r="U742" s="874"/>
      <c r="V742" s="874"/>
      <c r="W742" s="874"/>
      <c r="X742" s="874"/>
      <c r="Y742" s="874"/>
      <c r="Z742" s="874"/>
    </row>
    <row r="743" ht="63.75" customHeight="1">
      <c r="A743" s="874"/>
      <c r="B743" s="874"/>
      <c r="C743" s="874"/>
      <c r="D743" s="882"/>
      <c r="E743" s="874"/>
      <c r="F743" s="874"/>
      <c r="G743" s="864"/>
      <c r="H743" s="874"/>
      <c r="I743" s="874"/>
      <c r="J743" s="874"/>
      <c r="K743" s="874"/>
      <c r="L743" s="874"/>
      <c r="M743" s="874"/>
      <c r="N743" s="874"/>
      <c r="O743" s="874"/>
      <c r="P743" s="874"/>
      <c r="Q743" s="874"/>
      <c r="R743" s="874"/>
      <c r="S743" s="874"/>
      <c r="T743" s="874"/>
      <c r="U743" s="874"/>
      <c r="V743" s="874"/>
      <c r="W743" s="874"/>
      <c r="X743" s="874"/>
      <c r="Y743" s="874"/>
      <c r="Z743" s="874"/>
    </row>
    <row r="744" ht="63.75" customHeight="1">
      <c r="A744" s="874"/>
      <c r="B744" s="874"/>
      <c r="C744" s="874"/>
      <c r="D744" s="882"/>
      <c r="E744" s="874"/>
      <c r="F744" s="874"/>
      <c r="G744" s="864"/>
      <c r="H744" s="874"/>
      <c r="I744" s="874"/>
      <c r="J744" s="874"/>
      <c r="K744" s="874"/>
      <c r="L744" s="874"/>
      <c r="M744" s="874"/>
      <c r="N744" s="874"/>
      <c r="O744" s="874"/>
      <c r="P744" s="874"/>
      <c r="Q744" s="874"/>
      <c r="R744" s="874"/>
      <c r="S744" s="874"/>
      <c r="T744" s="874"/>
      <c r="U744" s="874"/>
      <c r="V744" s="874"/>
      <c r="W744" s="874"/>
      <c r="X744" s="874"/>
      <c r="Y744" s="874"/>
      <c r="Z744" s="874"/>
    </row>
    <row r="745" ht="63.75" customHeight="1">
      <c r="A745" s="874"/>
      <c r="B745" s="874"/>
      <c r="C745" s="874"/>
      <c r="D745" s="882"/>
      <c r="E745" s="874"/>
      <c r="F745" s="874"/>
      <c r="G745" s="864"/>
      <c r="H745" s="874"/>
      <c r="I745" s="874"/>
      <c r="J745" s="874"/>
      <c r="K745" s="874"/>
      <c r="L745" s="874"/>
      <c r="M745" s="874"/>
      <c r="N745" s="874"/>
      <c r="O745" s="874"/>
      <c r="P745" s="874"/>
      <c r="Q745" s="874"/>
      <c r="R745" s="874"/>
      <c r="S745" s="874"/>
      <c r="T745" s="874"/>
      <c r="U745" s="874"/>
      <c r="V745" s="874"/>
      <c r="W745" s="874"/>
      <c r="X745" s="874"/>
      <c r="Y745" s="874"/>
      <c r="Z745" s="874"/>
    </row>
    <row r="746" ht="63.75" customHeight="1">
      <c r="A746" s="874"/>
      <c r="B746" s="874"/>
      <c r="C746" s="874"/>
      <c r="D746" s="882"/>
      <c r="E746" s="874"/>
      <c r="F746" s="874"/>
      <c r="G746" s="864"/>
      <c r="H746" s="874"/>
      <c r="I746" s="874"/>
      <c r="J746" s="874"/>
      <c r="K746" s="874"/>
      <c r="L746" s="874"/>
      <c r="M746" s="874"/>
      <c r="N746" s="874"/>
      <c r="O746" s="874"/>
      <c r="P746" s="874"/>
      <c r="Q746" s="874"/>
      <c r="R746" s="874"/>
      <c r="S746" s="874"/>
      <c r="T746" s="874"/>
      <c r="U746" s="874"/>
      <c r="V746" s="874"/>
      <c r="W746" s="874"/>
      <c r="X746" s="874"/>
      <c r="Y746" s="874"/>
      <c r="Z746" s="874"/>
    </row>
    <row r="747" ht="63.75" customHeight="1">
      <c r="A747" s="874"/>
      <c r="B747" s="874"/>
      <c r="C747" s="874"/>
      <c r="D747" s="882"/>
      <c r="E747" s="874"/>
      <c r="F747" s="874"/>
      <c r="G747" s="864"/>
      <c r="H747" s="874"/>
      <c r="I747" s="874"/>
      <c r="J747" s="874"/>
      <c r="K747" s="874"/>
      <c r="L747" s="874"/>
      <c r="M747" s="874"/>
      <c r="N747" s="874"/>
      <c r="O747" s="874"/>
      <c r="P747" s="874"/>
      <c r="Q747" s="874"/>
      <c r="R747" s="874"/>
      <c r="S747" s="874"/>
      <c r="T747" s="874"/>
      <c r="U747" s="874"/>
      <c r="V747" s="874"/>
      <c r="W747" s="874"/>
      <c r="X747" s="874"/>
      <c r="Y747" s="874"/>
      <c r="Z747" s="874"/>
    </row>
    <row r="748" ht="63.75" customHeight="1">
      <c r="A748" s="874"/>
      <c r="B748" s="874"/>
      <c r="C748" s="874"/>
      <c r="D748" s="882"/>
      <c r="E748" s="874"/>
      <c r="F748" s="874"/>
      <c r="G748" s="864"/>
      <c r="H748" s="874"/>
      <c r="I748" s="874"/>
      <c r="J748" s="874"/>
      <c r="K748" s="874"/>
      <c r="L748" s="874"/>
      <c r="M748" s="874"/>
      <c r="N748" s="874"/>
      <c r="O748" s="874"/>
      <c r="P748" s="874"/>
      <c r="Q748" s="874"/>
      <c r="R748" s="874"/>
      <c r="S748" s="874"/>
      <c r="T748" s="874"/>
      <c r="U748" s="874"/>
      <c r="V748" s="874"/>
      <c r="W748" s="874"/>
      <c r="X748" s="874"/>
      <c r="Y748" s="874"/>
      <c r="Z748" s="874"/>
    </row>
    <row r="749" ht="63.75" customHeight="1">
      <c r="A749" s="874"/>
      <c r="B749" s="874"/>
      <c r="C749" s="874"/>
      <c r="D749" s="882"/>
      <c r="E749" s="874"/>
      <c r="F749" s="874"/>
      <c r="G749" s="864"/>
      <c r="H749" s="874"/>
      <c r="I749" s="874"/>
      <c r="J749" s="874"/>
      <c r="K749" s="874"/>
      <c r="L749" s="874"/>
      <c r="M749" s="874"/>
      <c r="N749" s="874"/>
      <c r="O749" s="874"/>
      <c r="P749" s="874"/>
      <c r="Q749" s="874"/>
      <c r="R749" s="874"/>
      <c r="S749" s="874"/>
      <c r="T749" s="874"/>
      <c r="U749" s="874"/>
      <c r="V749" s="874"/>
      <c r="W749" s="874"/>
      <c r="X749" s="874"/>
      <c r="Y749" s="874"/>
      <c r="Z749" s="874"/>
    </row>
    <row r="750" ht="63.75" customHeight="1">
      <c r="A750" s="874"/>
      <c r="B750" s="874"/>
      <c r="C750" s="874"/>
      <c r="D750" s="882"/>
      <c r="E750" s="874"/>
      <c r="F750" s="874"/>
      <c r="G750" s="864"/>
      <c r="H750" s="874"/>
      <c r="I750" s="874"/>
      <c r="J750" s="874"/>
      <c r="K750" s="874"/>
      <c r="L750" s="874"/>
      <c r="M750" s="874"/>
      <c r="N750" s="874"/>
      <c r="O750" s="874"/>
      <c r="P750" s="874"/>
      <c r="Q750" s="874"/>
      <c r="R750" s="874"/>
      <c r="S750" s="874"/>
      <c r="T750" s="874"/>
      <c r="U750" s="874"/>
      <c r="V750" s="874"/>
      <c r="W750" s="874"/>
      <c r="X750" s="874"/>
      <c r="Y750" s="874"/>
      <c r="Z750" s="874"/>
    </row>
    <row r="751" ht="63.75" customHeight="1">
      <c r="A751" s="874"/>
      <c r="B751" s="874"/>
      <c r="C751" s="874"/>
      <c r="D751" s="882"/>
      <c r="E751" s="874"/>
      <c r="F751" s="874"/>
      <c r="G751" s="864"/>
      <c r="H751" s="874"/>
      <c r="I751" s="874"/>
      <c r="J751" s="874"/>
      <c r="K751" s="874"/>
      <c r="L751" s="874"/>
      <c r="M751" s="874"/>
      <c r="N751" s="874"/>
      <c r="O751" s="874"/>
      <c r="P751" s="874"/>
      <c r="Q751" s="874"/>
      <c r="R751" s="874"/>
      <c r="S751" s="874"/>
      <c r="T751" s="874"/>
      <c r="U751" s="874"/>
      <c r="V751" s="874"/>
      <c r="W751" s="874"/>
      <c r="X751" s="874"/>
      <c r="Y751" s="874"/>
      <c r="Z751" s="874"/>
    </row>
    <row r="752" ht="63.75" customHeight="1">
      <c r="A752" s="874"/>
      <c r="B752" s="874"/>
      <c r="C752" s="874"/>
      <c r="D752" s="882"/>
      <c r="E752" s="874"/>
      <c r="F752" s="874"/>
      <c r="G752" s="864"/>
      <c r="H752" s="874"/>
      <c r="I752" s="874"/>
      <c r="J752" s="874"/>
      <c r="K752" s="874"/>
      <c r="L752" s="874"/>
      <c r="M752" s="874"/>
      <c r="N752" s="874"/>
      <c r="O752" s="874"/>
      <c r="P752" s="874"/>
      <c r="Q752" s="874"/>
      <c r="R752" s="874"/>
      <c r="S752" s="874"/>
      <c r="T752" s="874"/>
      <c r="U752" s="874"/>
      <c r="V752" s="874"/>
      <c r="W752" s="874"/>
      <c r="X752" s="874"/>
      <c r="Y752" s="874"/>
      <c r="Z752" s="874"/>
    </row>
    <row r="753" ht="63.75" customHeight="1">
      <c r="A753" s="874"/>
      <c r="B753" s="874"/>
      <c r="C753" s="874"/>
      <c r="D753" s="882"/>
      <c r="E753" s="874"/>
      <c r="F753" s="874"/>
      <c r="G753" s="864"/>
      <c r="H753" s="874"/>
      <c r="I753" s="874"/>
      <c r="J753" s="874"/>
      <c r="K753" s="874"/>
      <c r="L753" s="874"/>
      <c r="M753" s="874"/>
      <c r="N753" s="874"/>
      <c r="O753" s="874"/>
      <c r="P753" s="874"/>
      <c r="Q753" s="874"/>
      <c r="R753" s="874"/>
      <c r="S753" s="874"/>
      <c r="T753" s="874"/>
      <c r="U753" s="874"/>
      <c r="V753" s="874"/>
      <c r="W753" s="874"/>
      <c r="X753" s="874"/>
      <c r="Y753" s="874"/>
      <c r="Z753" s="874"/>
    </row>
    <row r="754" ht="63.75" customHeight="1">
      <c r="A754" s="874"/>
      <c r="B754" s="874"/>
      <c r="C754" s="874"/>
      <c r="D754" s="882"/>
      <c r="E754" s="874"/>
      <c r="F754" s="874"/>
      <c r="G754" s="864"/>
      <c r="H754" s="874"/>
      <c r="I754" s="874"/>
      <c r="J754" s="874"/>
      <c r="K754" s="874"/>
      <c r="L754" s="874"/>
      <c r="M754" s="874"/>
      <c r="N754" s="874"/>
      <c r="O754" s="874"/>
      <c r="P754" s="874"/>
      <c r="Q754" s="874"/>
      <c r="R754" s="874"/>
      <c r="S754" s="874"/>
      <c r="T754" s="874"/>
      <c r="U754" s="874"/>
      <c r="V754" s="874"/>
      <c r="W754" s="874"/>
      <c r="X754" s="874"/>
      <c r="Y754" s="874"/>
      <c r="Z754" s="874"/>
    </row>
    <row r="755" ht="63.75" customHeight="1">
      <c r="A755" s="874"/>
      <c r="B755" s="874"/>
      <c r="C755" s="874"/>
      <c r="D755" s="882"/>
      <c r="E755" s="874"/>
      <c r="F755" s="874"/>
      <c r="G755" s="864"/>
      <c r="H755" s="874"/>
      <c r="I755" s="874"/>
      <c r="J755" s="874"/>
      <c r="K755" s="874"/>
      <c r="L755" s="874"/>
      <c r="M755" s="874"/>
      <c r="N755" s="874"/>
      <c r="O755" s="874"/>
      <c r="P755" s="874"/>
      <c r="Q755" s="874"/>
      <c r="R755" s="874"/>
      <c r="S755" s="874"/>
      <c r="T755" s="874"/>
      <c r="U755" s="874"/>
      <c r="V755" s="874"/>
      <c r="W755" s="874"/>
      <c r="X755" s="874"/>
      <c r="Y755" s="874"/>
      <c r="Z755" s="874"/>
    </row>
    <row r="756" ht="63.75" customHeight="1">
      <c r="A756" s="874"/>
      <c r="B756" s="874"/>
      <c r="C756" s="874"/>
      <c r="D756" s="882"/>
      <c r="E756" s="874"/>
      <c r="F756" s="874"/>
      <c r="G756" s="864"/>
      <c r="H756" s="874"/>
      <c r="I756" s="874"/>
      <c r="J756" s="874"/>
      <c r="K756" s="874"/>
      <c r="L756" s="874"/>
      <c r="M756" s="874"/>
      <c r="N756" s="874"/>
      <c r="O756" s="874"/>
      <c r="P756" s="874"/>
      <c r="Q756" s="874"/>
      <c r="R756" s="874"/>
      <c r="S756" s="874"/>
      <c r="T756" s="874"/>
      <c r="U756" s="874"/>
      <c r="V756" s="874"/>
      <c r="W756" s="874"/>
      <c r="X756" s="874"/>
      <c r="Y756" s="874"/>
      <c r="Z756" s="874"/>
    </row>
    <row r="757" ht="63.75" customHeight="1">
      <c r="A757" s="874"/>
      <c r="B757" s="874"/>
      <c r="C757" s="874"/>
      <c r="D757" s="882"/>
      <c r="E757" s="874"/>
      <c r="F757" s="874"/>
      <c r="G757" s="864"/>
      <c r="H757" s="874"/>
      <c r="I757" s="874"/>
      <c r="J757" s="874"/>
      <c r="K757" s="874"/>
      <c r="L757" s="874"/>
      <c r="M757" s="874"/>
      <c r="N757" s="874"/>
      <c r="O757" s="874"/>
      <c r="P757" s="874"/>
      <c r="Q757" s="874"/>
      <c r="R757" s="874"/>
      <c r="S757" s="874"/>
      <c r="T757" s="874"/>
      <c r="U757" s="874"/>
      <c r="V757" s="874"/>
      <c r="W757" s="874"/>
      <c r="X757" s="874"/>
      <c r="Y757" s="874"/>
      <c r="Z757" s="874"/>
    </row>
    <row r="758" ht="63.75" customHeight="1">
      <c r="A758" s="874"/>
      <c r="B758" s="874"/>
      <c r="C758" s="874"/>
      <c r="D758" s="882"/>
      <c r="E758" s="874"/>
      <c r="F758" s="874"/>
      <c r="G758" s="864"/>
      <c r="H758" s="874"/>
      <c r="I758" s="874"/>
      <c r="J758" s="874"/>
      <c r="K758" s="874"/>
      <c r="L758" s="874"/>
      <c r="M758" s="874"/>
      <c r="N758" s="874"/>
      <c r="O758" s="874"/>
      <c r="P758" s="874"/>
      <c r="Q758" s="874"/>
      <c r="R758" s="874"/>
      <c r="S758" s="874"/>
      <c r="T758" s="874"/>
      <c r="U758" s="874"/>
      <c r="V758" s="874"/>
      <c r="W758" s="874"/>
      <c r="X758" s="874"/>
      <c r="Y758" s="874"/>
      <c r="Z758" s="874"/>
    </row>
    <row r="759" ht="63.75" customHeight="1">
      <c r="A759" s="874"/>
      <c r="B759" s="874"/>
      <c r="C759" s="874"/>
      <c r="D759" s="882"/>
      <c r="E759" s="874"/>
      <c r="F759" s="874"/>
      <c r="G759" s="864"/>
      <c r="H759" s="874"/>
      <c r="I759" s="874"/>
      <c r="J759" s="874"/>
      <c r="K759" s="874"/>
      <c r="L759" s="874"/>
      <c r="M759" s="874"/>
      <c r="N759" s="874"/>
      <c r="O759" s="874"/>
      <c r="P759" s="874"/>
      <c r="Q759" s="874"/>
      <c r="R759" s="874"/>
      <c r="S759" s="874"/>
      <c r="T759" s="874"/>
      <c r="U759" s="874"/>
      <c r="V759" s="874"/>
      <c r="W759" s="874"/>
      <c r="X759" s="874"/>
      <c r="Y759" s="874"/>
      <c r="Z759" s="874"/>
    </row>
    <row r="760" ht="63.75" customHeight="1">
      <c r="A760" s="874"/>
      <c r="B760" s="874"/>
      <c r="C760" s="874"/>
      <c r="D760" s="882"/>
      <c r="E760" s="874"/>
      <c r="F760" s="874"/>
      <c r="G760" s="864"/>
      <c r="H760" s="874"/>
      <c r="I760" s="874"/>
      <c r="J760" s="874"/>
      <c r="K760" s="874"/>
      <c r="L760" s="874"/>
      <c r="M760" s="874"/>
      <c r="N760" s="874"/>
      <c r="O760" s="874"/>
      <c r="P760" s="874"/>
      <c r="Q760" s="874"/>
      <c r="R760" s="874"/>
      <c r="S760" s="874"/>
      <c r="T760" s="874"/>
      <c r="U760" s="874"/>
      <c r="V760" s="874"/>
      <c r="W760" s="874"/>
      <c r="X760" s="874"/>
      <c r="Y760" s="874"/>
      <c r="Z760" s="874"/>
    </row>
    <row r="761" ht="63.75" customHeight="1">
      <c r="A761" s="874"/>
      <c r="B761" s="874"/>
      <c r="C761" s="874"/>
      <c r="D761" s="882"/>
      <c r="E761" s="874"/>
      <c r="F761" s="874"/>
      <c r="G761" s="864"/>
      <c r="H761" s="874"/>
      <c r="I761" s="874"/>
      <c r="J761" s="874"/>
      <c r="K761" s="874"/>
      <c r="L761" s="874"/>
      <c r="M761" s="874"/>
      <c r="N761" s="874"/>
      <c r="O761" s="874"/>
      <c r="P761" s="874"/>
      <c r="Q761" s="874"/>
      <c r="R761" s="874"/>
      <c r="S761" s="874"/>
      <c r="T761" s="874"/>
      <c r="U761" s="874"/>
      <c r="V761" s="874"/>
      <c r="W761" s="874"/>
      <c r="X761" s="874"/>
      <c r="Y761" s="874"/>
      <c r="Z761" s="874"/>
    </row>
    <row r="762" ht="63.75" customHeight="1">
      <c r="A762" s="874"/>
      <c r="B762" s="874"/>
      <c r="C762" s="874"/>
      <c r="D762" s="882"/>
      <c r="E762" s="874"/>
      <c r="F762" s="874"/>
      <c r="G762" s="864"/>
      <c r="H762" s="874"/>
      <c r="I762" s="874"/>
      <c r="J762" s="874"/>
      <c r="K762" s="874"/>
      <c r="L762" s="874"/>
      <c r="M762" s="874"/>
      <c r="N762" s="874"/>
      <c r="O762" s="874"/>
      <c r="P762" s="874"/>
      <c r="Q762" s="874"/>
      <c r="R762" s="874"/>
      <c r="S762" s="874"/>
      <c r="T762" s="874"/>
      <c r="U762" s="874"/>
      <c r="V762" s="874"/>
      <c r="W762" s="874"/>
      <c r="X762" s="874"/>
      <c r="Y762" s="874"/>
      <c r="Z762" s="874"/>
    </row>
    <row r="763" ht="63.75" customHeight="1">
      <c r="A763" s="874"/>
      <c r="B763" s="874"/>
      <c r="C763" s="874"/>
      <c r="D763" s="882"/>
      <c r="E763" s="874"/>
      <c r="F763" s="874"/>
      <c r="G763" s="864"/>
      <c r="H763" s="874"/>
      <c r="I763" s="874"/>
      <c r="J763" s="874"/>
      <c r="K763" s="874"/>
      <c r="L763" s="874"/>
      <c r="M763" s="874"/>
      <c r="N763" s="874"/>
      <c r="O763" s="874"/>
      <c r="P763" s="874"/>
      <c r="Q763" s="874"/>
      <c r="R763" s="874"/>
      <c r="S763" s="874"/>
      <c r="T763" s="874"/>
      <c r="U763" s="874"/>
      <c r="V763" s="874"/>
      <c r="W763" s="874"/>
      <c r="X763" s="874"/>
      <c r="Y763" s="874"/>
      <c r="Z763" s="874"/>
    </row>
    <row r="764" ht="63.75" customHeight="1">
      <c r="A764" s="874"/>
      <c r="B764" s="874"/>
      <c r="C764" s="874"/>
      <c r="D764" s="882"/>
      <c r="E764" s="874"/>
      <c r="F764" s="874"/>
      <c r="G764" s="864"/>
      <c r="H764" s="874"/>
      <c r="I764" s="874"/>
      <c r="J764" s="874"/>
      <c r="K764" s="874"/>
      <c r="L764" s="874"/>
      <c r="M764" s="874"/>
      <c r="N764" s="874"/>
      <c r="O764" s="874"/>
      <c r="P764" s="874"/>
      <c r="Q764" s="874"/>
      <c r="R764" s="874"/>
      <c r="S764" s="874"/>
      <c r="T764" s="874"/>
      <c r="U764" s="874"/>
      <c r="V764" s="874"/>
      <c r="W764" s="874"/>
      <c r="X764" s="874"/>
      <c r="Y764" s="874"/>
      <c r="Z764" s="874"/>
    </row>
    <row r="765" ht="63.75" customHeight="1">
      <c r="A765" s="874"/>
      <c r="B765" s="874"/>
      <c r="C765" s="874"/>
      <c r="D765" s="882"/>
      <c r="E765" s="874"/>
      <c r="F765" s="874"/>
      <c r="G765" s="864"/>
      <c r="H765" s="874"/>
      <c r="I765" s="874"/>
      <c r="J765" s="874"/>
      <c r="K765" s="874"/>
      <c r="L765" s="874"/>
      <c r="M765" s="874"/>
      <c r="N765" s="874"/>
      <c r="O765" s="874"/>
      <c r="P765" s="874"/>
      <c r="Q765" s="874"/>
      <c r="R765" s="874"/>
      <c r="S765" s="874"/>
      <c r="T765" s="874"/>
      <c r="U765" s="874"/>
      <c r="V765" s="874"/>
      <c r="W765" s="874"/>
      <c r="X765" s="874"/>
      <c r="Y765" s="874"/>
      <c r="Z765" s="874"/>
    </row>
    <row r="766" ht="63.75" customHeight="1">
      <c r="A766" s="874"/>
      <c r="B766" s="874"/>
      <c r="C766" s="874"/>
      <c r="D766" s="882"/>
      <c r="E766" s="874"/>
      <c r="F766" s="874"/>
      <c r="G766" s="864"/>
      <c r="H766" s="874"/>
      <c r="I766" s="874"/>
      <c r="J766" s="874"/>
      <c r="K766" s="874"/>
      <c r="L766" s="874"/>
      <c r="M766" s="874"/>
      <c r="N766" s="874"/>
      <c r="O766" s="874"/>
      <c r="P766" s="874"/>
      <c r="Q766" s="874"/>
      <c r="R766" s="874"/>
      <c r="S766" s="874"/>
      <c r="T766" s="874"/>
      <c r="U766" s="874"/>
      <c r="V766" s="874"/>
      <c r="W766" s="874"/>
      <c r="X766" s="874"/>
      <c r="Y766" s="874"/>
      <c r="Z766" s="874"/>
    </row>
    <row r="767" ht="63.75" customHeight="1">
      <c r="A767" s="874"/>
      <c r="B767" s="874"/>
      <c r="C767" s="874"/>
      <c r="D767" s="882"/>
      <c r="E767" s="874"/>
      <c r="F767" s="874"/>
      <c r="G767" s="864"/>
      <c r="H767" s="874"/>
      <c r="I767" s="874"/>
      <c r="J767" s="874"/>
      <c r="K767" s="874"/>
      <c r="L767" s="874"/>
      <c r="M767" s="874"/>
      <c r="N767" s="874"/>
      <c r="O767" s="874"/>
      <c r="P767" s="874"/>
      <c r="Q767" s="874"/>
      <c r="R767" s="874"/>
      <c r="S767" s="874"/>
      <c r="T767" s="874"/>
      <c r="U767" s="874"/>
      <c r="V767" s="874"/>
      <c r="W767" s="874"/>
      <c r="X767" s="874"/>
      <c r="Y767" s="874"/>
      <c r="Z767" s="874"/>
    </row>
    <row r="768" ht="63.75" customHeight="1">
      <c r="A768" s="874"/>
      <c r="B768" s="874"/>
      <c r="C768" s="874"/>
      <c r="D768" s="882"/>
      <c r="E768" s="874"/>
      <c r="F768" s="874"/>
      <c r="G768" s="864"/>
      <c r="H768" s="874"/>
      <c r="I768" s="874"/>
      <c r="J768" s="874"/>
      <c r="K768" s="874"/>
      <c r="L768" s="874"/>
      <c r="M768" s="874"/>
      <c r="N768" s="874"/>
      <c r="O768" s="874"/>
      <c r="P768" s="874"/>
      <c r="Q768" s="874"/>
      <c r="R768" s="874"/>
      <c r="S768" s="874"/>
      <c r="T768" s="874"/>
      <c r="U768" s="874"/>
      <c r="V768" s="874"/>
      <c r="W768" s="874"/>
      <c r="X768" s="874"/>
      <c r="Y768" s="874"/>
      <c r="Z768" s="874"/>
    </row>
    <row r="769" ht="63.75" customHeight="1">
      <c r="A769" s="874"/>
      <c r="B769" s="874"/>
      <c r="C769" s="874"/>
      <c r="D769" s="882"/>
      <c r="E769" s="874"/>
      <c r="F769" s="874"/>
      <c r="G769" s="864"/>
      <c r="H769" s="874"/>
      <c r="I769" s="874"/>
      <c r="J769" s="874"/>
      <c r="K769" s="874"/>
      <c r="L769" s="874"/>
      <c r="M769" s="874"/>
      <c r="N769" s="874"/>
      <c r="O769" s="874"/>
      <c r="P769" s="874"/>
      <c r="Q769" s="874"/>
      <c r="R769" s="874"/>
      <c r="S769" s="874"/>
      <c r="T769" s="874"/>
      <c r="U769" s="874"/>
      <c r="V769" s="874"/>
      <c r="W769" s="874"/>
      <c r="X769" s="874"/>
      <c r="Y769" s="874"/>
      <c r="Z769" s="874"/>
    </row>
    <row r="770" ht="63.75" customHeight="1">
      <c r="A770" s="874"/>
      <c r="B770" s="874"/>
      <c r="C770" s="874"/>
      <c r="D770" s="882"/>
      <c r="E770" s="874"/>
      <c r="F770" s="874"/>
      <c r="G770" s="864"/>
      <c r="H770" s="874"/>
      <c r="I770" s="874"/>
      <c r="J770" s="874"/>
      <c r="K770" s="874"/>
      <c r="L770" s="874"/>
      <c r="M770" s="874"/>
      <c r="N770" s="874"/>
      <c r="O770" s="874"/>
      <c r="P770" s="874"/>
      <c r="Q770" s="874"/>
      <c r="R770" s="874"/>
      <c r="S770" s="874"/>
      <c r="T770" s="874"/>
      <c r="U770" s="874"/>
      <c r="V770" s="874"/>
      <c r="W770" s="874"/>
      <c r="X770" s="874"/>
      <c r="Y770" s="874"/>
      <c r="Z770" s="874"/>
    </row>
    <row r="771" ht="63.75" customHeight="1">
      <c r="A771" s="874"/>
      <c r="B771" s="874"/>
      <c r="C771" s="874"/>
      <c r="D771" s="882"/>
      <c r="E771" s="874"/>
      <c r="F771" s="874"/>
      <c r="G771" s="864"/>
      <c r="H771" s="874"/>
      <c r="I771" s="874"/>
      <c r="J771" s="874"/>
      <c r="K771" s="874"/>
      <c r="L771" s="874"/>
      <c r="M771" s="874"/>
      <c r="N771" s="874"/>
      <c r="O771" s="874"/>
      <c r="P771" s="874"/>
      <c r="Q771" s="874"/>
      <c r="R771" s="874"/>
      <c r="S771" s="874"/>
      <c r="T771" s="874"/>
      <c r="U771" s="874"/>
      <c r="V771" s="874"/>
      <c r="W771" s="874"/>
      <c r="X771" s="874"/>
      <c r="Y771" s="874"/>
      <c r="Z771" s="874"/>
    </row>
    <row r="772" ht="63.75" customHeight="1">
      <c r="A772" s="874"/>
      <c r="B772" s="874"/>
      <c r="C772" s="874"/>
      <c r="D772" s="882"/>
      <c r="E772" s="874"/>
      <c r="F772" s="874"/>
      <c r="G772" s="864"/>
      <c r="H772" s="874"/>
      <c r="I772" s="874"/>
      <c r="J772" s="874"/>
      <c r="K772" s="874"/>
      <c r="L772" s="874"/>
      <c r="M772" s="874"/>
      <c r="N772" s="874"/>
      <c r="O772" s="874"/>
      <c r="P772" s="874"/>
      <c r="Q772" s="874"/>
      <c r="R772" s="874"/>
      <c r="S772" s="874"/>
      <c r="T772" s="874"/>
      <c r="U772" s="874"/>
      <c r="V772" s="874"/>
      <c r="W772" s="874"/>
      <c r="X772" s="874"/>
      <c r="Y772" s="874"/>
      <c r="Z772" s="874"/>
    </row>
    <row r="773" ht="63.75" customHeight="1">
      <c r="A773" s="874"/>
      <c r="B773" s="874"/>
      <c r="C773" s="874"/>
      <c r="D773" s="882"/>
      <c r="E773" s="874"/>
      <c r="F773" s="874"/>
      <c r="G773" s="864"/>
      <c r="H773" s="874"/>
      <c r="I773" s="874"/>
      <c r="J773" s="874"/>
      <c r="K773" s="874"/>
      <c r="L773" s="874"/>
      <c r="M773" s="874"/>
      <c r="N773" s="874"/>
      <c r="O773" s="874"/>
      <c r="P773" s="874"/>
      <c r="Q773" s="874"/>
      <c r="R773" s="874"/>
      <c r="S773" s="874"/>
      <c r="T773" s="874"/>
      <c r="U773" s="874"/>
      <c r="V773" s="874"/>
      <c r="W773" s="874"/>
      <c r="X773" s="874"/>
      <c r="Y773" s="874"/>
      <c r="Z773" s="874"/>
    </row>
    <row r="774" ht="63.75" customHeight="1">
      <c r="A774" s="874"/>
      <c r="B774" s="874"/>
      <c r="C774" s="874"/>
      <c r="D774" s="882"/>
      <c r="E774" s="874"/>
      <c r="F774" s="874"/>
      <c r="G774" s="864"/>
      <c r="H774" s="874"/>
      <c r="I774" s="874"/>
      <c r="J774" s="874"/>
      <c r="K774" s="874"/>
      <c r="L774" s="874"/>
      <c r="M774" s="874"/>
      <c r="N774" s="874"/>
      <c r="O774" s="874"/>
      <c r="P774" s="874"/>
      <c r="Q774" s="874"/>
      <c r="R774" s="874"/>
      <c r="S774" s="874"/>
      <c r="T774" s="874"/>
      <c r="U774" s="874"/>
      <c r="V774" s="874"/>
      <c r="W774" s="874"/>
      <c r="X774" s="874"/>
      <c r="Y774" s="874"/>
      <c r="Z774" s="874"/>
    </row>
    <row r="775" ht="63.75" customHeight="1">
      <c r="A775" s="874"/>
      <c r="B775" s="874"/>
      <c r="C775" s="874"/>
      <c r="D775" s="882"/>
      <c r="E775" s="874"/>
      <c r="F775" s="874"/>
      <c r="G775" s="864"/>
      <c r="H775" s="874"/>
      <c r="I775" s="874"/>
      <c r="J775" s="874"/>
      <c r="K775" s="874"/>
      <c r="L775" s="874"/>
      <c r="M775" s="874"/>
      <c r="N775" s="874"/>
      <c r="O775" s="874"/>
      <c r="P775" s="874"/>
      <c r="Q775" s="874"/>
      <c r="R775" s="874"/>
      <c r="S775" s="874"/>
      <c r="T775" s="874"/>
      <c r="U775" s="874"/>
      <c r="V775" s="874"/>
      <c r="W775" s="874"/>
      <c r="X775" s="874"/>
      <c r="Y775" s="874"/>
      <c r="Z775" s="874"/>
    </row>
    <row r="776" ht="63.75" customHeight="1">
      <c r="A776" s="874"/>
      <c r="B776" s="874"/>
      <c r="C776" s="874"/>
      <c r="D776" s="882"/>
      <c r="E776" s="874"/>
      <c r="F776" s="874"/>
      <c r="G776" s="864"/>
      <c r="H776" s="874"/>
      <c r="I776" s="874"/>
      <c r="J776" s="874"/>
      <c r="K776" s="874"/>
      <c r="L776" s="874"/>
      <c r="M776" s="874"/>
      <c r="N776" s="874"/>
      <c r="O776" s="874"/>
      <c r="P776" s="874"/>
      <c r="Q776" s="874"/>
      <c r="R776" s="874"/>
      <c r="S776" s="874"/>
      <c r="T776" s="874"/>
      <c r="U776" s="874"/>
      <c r="V776" s="874"/>
      <c r="W776" s="874"/>
      <c r="X776" s="874"/>
      <c r="Y776" s="874"/>
      <c r="Z776" s="874"/>
    </row>
    <row r="777" ht="63.75" customHeight="1">
      <c r="A777" s="874"/>
      <c r="B777" s="874"/>
      <c r="C777" s="874"/>
      <c r="D777" s="882"/>
      <c r="E777" s="874"/>
      <c r="F777" s="874"/>
      <c r="G777" s="864"/>
      <c r="H777" s="874"/>
      <c r="I777" s="874"/>
      <c r="J777" s="874"/>
      <c r="K777" s="874"/>
      <c r="L777" s="874"/>
      <c r="M777" s="874"/>
      <c r="N777" s="874"/>
      <c r="O777" s="874"/>
      <c r="P777" s="874"/>
      <c r="Q777" s="874"/>
      <c r="R777" s="874"/>
      <c r="S777" s="874"/>
      <c r="T777" s="874"/>
      <c r="U777" s="874"/>
      <c r="V777" s="874"/>
      <c r="W777" s="874"/>
      <c r="X777" s="874"/>
      <c r="Y777" s="874"/>
      <c r="Z777" s="874"/>
    </row>
    <row r="778" ht="63.75" customHeight="1">
      <c r="A778" s="874"/>
      <c r="B778" s="874"/>
      <c r="C778" s="874"/>
      <c r="D778" s="882"/>
      <c r="E778" s="874"/>
      <c r="F778" s="874"/>
      <c r="G778" s="864"/>
      <c r="H778" s="874"/>
      <c r="I778" s="874"/>
      <c r="J778" s="874"/>
      <c r="K778" s="874"/>
      <c r="L778" s="874"/>
      <c r="M778" s="874"/>
      <c r="N778" s="874"/>
      <c r="O778" s="874"/>
      <c r="P778" s="874"/>
      <c r="Q778" s="874"/>
      <c r="R778" s="874"/>
      <c r="S778" s="874"/>
      <c r="T778" s="874"/>
      <c r="U778" s="874"/>
      <c r="V778" s="874"/>
      <c r="W778" s="874"/>
      <c r="X778" s="874"/>
      <c r="Y778" s="874"/>
      <c r="Z778" s="874"/>
    </row>
    <row r="779" ht="63.75" customHeight="1">
      <c r="A779" s="874"/>
      <c r="B779" s="874"/>
      <c r="C779" s="874"/>
      <c r="D779" s="882"/>
      <c r="E779" s="874"/>
      <c r="F779" s="874"/>
      <c r="G779" s="864"/>
      <c r="H779" s="874"/>
      <c r="I779" s="874"/>
      <c r="J779" s="874"/>
      <c r="K779" s="874"/>
      <c r="L779" s="874"/>
      <c r="M779" s="874"/>
      <c r="N779" s="874"/>
      <c r="O779" s="874"/>
      <c r="P779" s="874"/>
      <c r="Q779" s="874"/>
      <c r="R779" s="874"/>
      <c r="S779" s="874"/>
      <c r="T779" s="874"/>
      <c r="U779" s="874"/>
      <c r="V779" s="874"/>
      <c r="W779" s="874"/>
      <c r="X779" s="874"/>
      <c r="Y779" s="874"/>
      <c r="Z779" s="874"/>
    </row>
    <row r="780" ht="63.75" customHeight="1">
      <c r="A780" s="874"/>
      <c r="B780" s="874"/>
      <c r="C780" s="874"/>
      <c r="D780" s="882"/>
      <c r="E780" s="874"/>
      <c r="F780" s="874"/>
      <c r="G780" s="864"/>
      <c r="H780" s="874"/>
      <c r="I780" s="874"/>
      <c r="J780" s="874"/>
      <c r="K780" s="874"/>
      <c r="L780" s="874"/>
      <c r="M780" s="874"/>
      <c r="N780" s="874"/>
      <c r="O780" s="874"/>
      <c r="P780" s="874"/>
      <c r="Q780" s="874"/>
      <c r="R780" s="874"/>
      <c r="S780" s="874"/>
      <c r="T780" s="874"/>
      <c r="U780" s="874"/>
      <c r="V780" s="874"/>
      <c r="W780" s="874"/>
      <c r="X780" s="874"/>
      <c r="Y780" s="874"/>
      <c r="Z780" s="874"/>
    </row>
    <row r="781" ht="63.75" customHeight="1">
      <c r="A781" s="874"/>
      <c r="B781" s="874"/>
      <c r="C781" s="874"/>
      <c r="D781" s="882"/>
      <c r="E781" s="874"/>
      <c r="F781" s="874"/>
      <c r="G781" s="864"/>
      <c r="H781" s="874"/>
      <c r="I781" s="874"/>
      <c r="J781" s="874"/>
      <c r="K781" s="874"/>
      <c r="L781" s="874"/>
      <c r="M781" s="874"/>
      <c r="N781" s="874"/>
      <c r="O781" s="874"/>
      <c r="P781" s="874"/>
      <c r="Q781" s="874"/>
      <c r="R781" s="874"/>
      <c r="S781" s="874"/>
      <c r="T781" s="874"/>
      <c r="U781" s="874"/>
      <c r="V781" s="874"/>
      <c r="W781" s="874"/>
      <c r="X781" s="874"/>
      <c r="Y781" s="874"/>
      <c r="Z781" s="874"/>
    </row>
    <row r="782" ht="63.75" customHeight="1">
      <c r="A782" s="874"/>
      <c r="B782" s="874"/>
      <c r="C782" s="874"/>
      <c r="D782" s="882"/>
      <c r="E782" s="874"/>
      <c r="F782" s="874"/>
      <c r="G782" s="864"/>
      <c r="H782" s="874"/>
      <c r="I782" s="874"/>
      <c r="J782" s="874"/>
      <c r="K782" s="874"/>
      <c r="L782" s="874"/>
      <c r="M782" s="874"/>
      <c r="N782" s="874"/>
      <c r="O782" s="874"/>
      <c r="P782" s="874"/>
      <c r="Q782" s="874"/>
      <c r="R782" s="874"/>
      <c r="S782" s="874"/>
      <c r="T782" s="874"/>
      <c r="U782" s="874"/>
      <c r="V782" s="874"/>
      <c r="W782" s="874"/>
      <c r="X782" s="874"/>
      <c r="Y782" s="874"/>
      <c r="Z782" s="874"/>
    </row>
    <row r="783" ht="63.75" customHeight="1">
      <c r="A783" s="874"/>
      <c r="B783" s="874"/>
      <c r="C783" s="874"/>
      <c r="D783" s="882"/>
      <c r="E783" s="874"/>
      <c r="F783" s="874"/>
      <c r="G783" s="864"/>
      <c r="H783" s="874"/>
      <c r="I783" s="874"/>
      <c r="J783" s="874"/>
      <c r="K783" s="874"/>
      <c r="L783" s="874"/>
      <c r="M783" s="874"/>
      <c r="N783" s="874"/>
      <c r="O783" s="874"/>
      <c r="P783" s="874"/>
      <c r="Q783" s="874"/>
      <c r="R783" s="874"/>
      <c r="S783" s="874"/>
      <c r="T783" s="874"/>
      <c r="U783" s="874"/>
      <c r="V783" s="874"/>
      <c r="W783" s="874"/>
      <c r="X783" s="874"/>
      <c r="Y783" s="874"/>
      <c r="Z783" s="874"/>
    </row>
    <row r="784" ht="63.75" customHeight="1">
      <c r="A784" s="874"/>
      <c r="B784" s="874"/>
      <c r="C784" s="874"/>
      <c r="D784" s="882"/>
      <c r="E784" s="874"/>
      <c r="F784" s="874"/>
      <c r="G784" s="864"/>
      <c r="H784" s="874"/>
      <c r="I784" s="874"/>
      <c r="J784" s="874"/>
      <c r="K784" s="874"/>
      <c r="L784" s="874"/>
      <c r="M784" s="874"/>
      <c r="N784" s="874"/>
      <c r="O784" s="874"/>
      <c r="P784" s="874"/>
      <c r="Q784" s="874"/>
      <c r="R784" s="874"/>
      <c r="S784" s="874"/>
      <c r="T784" s="874"/>
      <c r="U784" s="874"/>
      <c r="V784" s="874"/>
      <c r="W784" s="874"/>
      <c r="X784" s="874"/>
      <c r="Y784" s="874"/>
      <c r="Z784" s="874"/>
    </row>
    <row r="785" ht="63.75" customHeight="1">
      <c r="A785" s="874"/>
      <c r="B785" s="874"/>
      <c r="C785" s="874"/>
      <c r="D785" s="882"/>
      <c r="E785" s="874"/>
      <c r="F785" s="874"/>
      <c r="G785" s="864"/>
      <c r="H785" s="874"/>
      <c r="I785" s="874"/>
      <c r="J785" s="874"/>
      <c r="K785" s="874"/>
      <c r="L785" s="874"/>
      <c r="M785" s="874"/>
      <c r="N785" s="874"/>
      <c r="O785" s="874"/>
      <c r="P785" s="874"/>
      <c r="Q785" s="874"/>
      <c r="R785" s="874"/>
      <c r="S785" s="874"/>
      <c r="T785" s="874"/>
      <c r="U785" s="874"/>
      <c r="V785" s="874"/>
      <c r="W785" s="874"/>
      <c r="X785" s="874"/>
      <c r="Y785" s="874"/>
      <c r="Z785" s="874"/>
    </row>
    <row r="786" ht="63.75" customHeight="1">
      <c r="A786" s="874"/>
      <c r="B786" s="874"/>
      <c r="C786" s="874"/>
      <c r="D786" s="882"/>
      <c r="E786" s="874"/>
      <c r="F786" s="874"/>
      <c r="G786" s="864"/>
      <c r="H786" s="874"/>
      <c r="I786" s="874"/>
      <c r="J786" s="874"/>
      <c r="K786" s="874"/>
      <c r="L786" s="874"/>
      <c r="M786" s="874"/>
      <c r="N786" s="874"/>
      <c r="O786" s="874"/>
      <c r="P786" s="874"/>
      <c r="Q786" s="874"/>
      <c r="R786" s="874"/>
      <c r="S786" s="874"/>
      <c r="T786" s="874"/>
      <c r="U786" s="874"/>
      <c r="V786" s="874"/>
      <c r="W786" s="874"/>
      <c r="X786" s="874"/>
      <c r="Y786" s="874"/>
      <c r="Z786" s="874"/>
    </row>
    <row r="787" ht="63.75" customHeight="1">
      <c r="A787" s="874"/>
      <c r="B787" s="874"/>
      <c r="C787" s="874"/>
      <c r="D787" s="882"/>
      <c r="E787" s="874"/>
      <c r="F787" s="874"/>
      <c r="G787" s="864"/>
      <c r="H787" s="874"/>
      <c r="I787" s="874"/>
      <c r="J787" s="874"/>
      <c r="K787" s="874"/>
      <c r="L787" s="874"/>
      <c r="M787" s="874"/>
      <c r="N787" s="874"/>
      <c r="O787" s="874"/>
      <c r="P787" s="874"/>
      <c r="Q787" s="874"/>
      <c r="R787" s="874"/>
      <c r="S787" s="874"/>
      <c r="T787" s="874"/>
      <c r="U787" s="874"/>
      <c r="V787" s="874"/>
      <c r="W787" s="874"/>
      <c r="X787" s="874"/>
      <c r="Y787" s="874"/>
      <c r="Z787" s="874"/>
    </row>
    <row r="788" ht="63.75" customHeight="1">
      <c r="A788" s="874"/>
      <c r="B788" s="874"/>
      <c r="C788" s="874"/>
      <c r="D788" s="882"/>
      <c r="E788" s="874"/>
      <c r="F788" s="874"/>
      <c r="G788" s="864"/>
      <c r="H788" s="874"/>
      <c r="I788" s="874"/>
      <c r="J788" s="874"/>
      <c r="K788" s="874"/>
      <c r="L788" s="874"/>
      <c r="M788" s="874"/>
      <c r="N788" s="874"/>
      <c r="O788" s="874"/>
      <c r="P788" s="874"/>
      <c r="Q788" s="874"/>
      <c r="R788" s="874"/>
      <c r="S788" s="874"/>
      <c r="T788" s="874"/>
      <c r="U788" s="874"/>
      <c r="V788" s="874"/>
      <c r="W788" s="874"/>
      <c r="X788" s="874"/>
      <c r="Y788" s="874"/>
      <c r="Z788" s="874"/>
    </row>
    <row r="789" ht="63.75" customHeight="1">
      <c r="A789" s="874"/>
      <c r="B789" s="874"/>
      <c r="C789" s="874"/>
      <c r="D789" s="882"/>
      <c r="E789" s="874"/>
      <c r="F789" s="874"/>
      <c r="G789" s="864"/>
      <c r="H789" s="874"/>
      <c r="I789" s="874"/>
      <c r="J789" s="874"/>
      <c r="K789" s="874"/>
      <c r="L789" s="874"/>
      <c r="M789" s="874"/>
      <c r="N789" s="874"/>
      <c r="O789" s="874"/>
      <c r="P789" s="874"/>
      <c r="Q789" s="874"/>
      <c r="R789" s="874"/>
      <c r="S789" s="874"/>
      <c r="T789" s="874"/>
      <c r="U789" s="874"/>
      <c r="V789" s="874"/>
      <c r="W789" s="874"/>
      <c r="X789" s="874"/>
      <c r="Y789" s="874"/>
      <c r="Z789" s="874"/>
    </row>
    <row r="790" ht="63.75" customHeight="1">
      <c r="A790" s="874"/>
      <c r="B790" s="874"/>
      <c r="C790" s="874"/>
      <c r="D790" s="882"/>
      <c r="E790" s="874"/>
      <c r="F790" s="874"/>
      <c r="G790" s="864"/>
      <c r="H790" s="874"/>
      <c r="I790" s="874"/>
      <c r="J790" s="874"/>
      <c r="K790" s="874"/>
      <c r="L790" s="874"/>
      <c r="M790" s="874"/>
      <c r="N790" s="874"/>
      <c r="O790" s="874"/>
      <c r="P790" s="874"/>
      <c r="Q790" s="874"/>
      <c r="R790" s="874"/>
      <c r="S790" s="874"/>
      <c r="T790" s="874"/>
      <c r="U790" s="874"/>
      <c r="V790" s="874"/>
      <c r="W790" s="874"/>
      <c r="X790" s="874"/>
      <c r="Y790" s="874"/>
      <c r="Z790" s="874"/>
    </row>
    <row r="791" ht="63.75" customHeight="1">
      <c r="A791" s="874"/>
      <c r="B791" s="874"/>
      <c r="C791" s="874"/>
      <c r="D791" s="882"/>
      <c r="E791" s="874"/>
      <c r="F791" s="874"/>
      <c r="G791" s="864"/>
      <c r="H791" s="874"/>
      <c r="I791" s="874"/>
      <c r="J791" s="874"/>
      <c r="K791" s="874"/>
      <c r="L791" s="874"/>
      <c r="M791" s="874"/>
      <c r="N791" s="874"/>
      <c r="O791" s="874"/>
      <c r="P791" s="874"/>
      <c r="Q791" s="874"/>
      <c r="R791" s="874"/>
      <c r="S791" s="874"/>
      <c r="T791" s="874"/>
      <c r="U791" s="874"/>
      <c r="V791" s="874"/>
      <c r="W791" s="874"/>
      <c r="X791" s="874"/>
      <c r="Y791" s="874"/>
      <c r="Z791" s="874"/>
    </row>
    <row r="792" ht="63.75" customHeight="1">
      <c r="A792" s="874"/>
      <c r="B792" s="874"/>
      <c r="C792" s="874"/>
      <c r="D792" s="882"/>
      <c r="E792" s="874"/>
      <c r="F792" s="874"/>
      <c r="G792" s="864"/>
      <c r="H792" s="874"/>
      <c r="I792" s="874"/>
      <c r="J792" s="874"/>
      <c r="K792" s="874"/>
      <c r="L792" s="874"/>
      <c r="M792" s="874"/>
      <c r="N792" s="874"/>
      <c r="O792" s="874"/>
      <c r="P792" s="874"/>
      <c r="Q792" s="874"/>
      <c r="R792" s="874"/>
      <c r="S792" s="874"/>
      <c r="T792" s="874"/>
      <c r="U792" s="874"/>
      <c r="V792" s="874"/>
      <c r="W792" s="874"/>
      <c r="X792" s="874"/>
      <c r="Y792" s="874"/>
      <c r="Z792" s="874"/>
    </row>
    <row r="793" ht="63.75" customHeight="1">
      <c r="A793" s="874"/>
      <c r="B793" s="874"/>
      <c r="C793" s="874"/>
      <c r="D793" s="882"/>
      <c r="E793" s="874"/>
      <c r="F793" s="874"/>
      <c r="G793" s="864"/>
      <c r="H793" s="874"/>
      <c r="I793" s="874"/>
      <c r="J793" s="874"/>
      <c r="K793" s="874"/>
      <c r="L793" s="874"/>
      <c r="M793" s="874"/>
      <c r="N793" s="874"/>
      <c r="O793" s="874"/>
      <c r="P793" s="874"/>
      <c r="Q793" s="874"/>
      <c r="R793" s="874"/>
      <c r="S793" s="874"/>
      <c r="T793" s="874"/>
      <c r="U793" s="874"/>
      <c r="V793" s="874"/>
      <c r="W793" s="874"/>
      <c r="X793" s="874"/>
      <c r="Y793" s="874"/>
      <c r="Z793" s="874"/>
    </row>
    <row r="794" ht="63.75" customHeight="1">
      <c r="A794" s="874"/>
      <c r="B794" s="874"/>
      <c r="C794" s="874"/>
      <c r="D794" s="882"/>
      <c r="E794" s="874"/>
      <c r="F794" s="874"/>
      <c r="G794" s="864"/>
      <c r="H794" s="874"/>
      <c r="I794" s="874"/>
      <c r="J794" s="874"/>
      <c r="K794" s="874"/>
      <c r="L794" s="874"/>
      <c r="M794" s="874"/>
      <c r="N794" s="874"/>
      <c r="O794" s="874"/>
      <c r="P794" s="874"/>
      <c r="Q794" s="874"/>
      <c r="R794" s="874"/>
      <c r="S794" s="874"/>
      <c r="T794" s="874"/>
      <c r="U794" s="874"/>
      <c r="V794" s="874"/>
      <c r="W794" s="874"/>
      <c r="X794" s="874"/>
      <c r="Y794" s="874"/>
      <c r="Z794" s="874"/>
    </row>
    <row r="795" ht="63.75" customHeight="1">
      <c r="A795" s="874"/>
      <c r="B795" s="874"/>
      <c r="C795" s="874"/>
      <c r="D795" s="882"/>
      <c r="E795" s="874"/>
      <c r="F795" s="874"/>
      <c r="G795" s="864"/>
      <c r="H795" s="874"/>
      <c r="I795" s="874"/>
      <c r="J795" s="874"/>
      <c r="K795" s="874"/>
      <c r="L795" s="874"/>
      <c r="M795" s="874"/>
      <c r="N795" s="874"/>
      <c r="O795" s="874"/>
      <c r="P795" s="874"/>
      <c r="Q795" s="874"/>
      <c r="R795" s="874"/>
      <c r="S795" s="874"/>
      <c r="T795" s="874"/>
      <c r="U795" s="874"/>
      <c r="V795" s="874"/>
      <c r="W795" s="874"/>
      <c r="X795" s="874"/>
      <c r="Y795" s="874"/>
      <c r="Z795" s="874"/>
    </row>
    <row r="796" ht="63.75" customHeight="1">
      <c r="A796" s="874"/>
      <c r="B796" s="874"/>
      <c r="C796" s="874"/>
      <c r="D796" s="882"/>
      <c r="E796" s="874"/>
      <c r="F796" s="874"/>
      <c r="G796" s="864"/>
      <c r="H796" s="874"/>
      <c r="I796" s="874"/>
      <c r="J796" s="874"/>
      <c r="K796" s="874"/>
      <c r="L796" s="874"/>
      <c r="M796" s="874"/>
      <c r="N796" s="874"/>
      <c r="O796" s="874"/>
      <c r="P796" s="874"/>
      <c r="Q796" s="874"/>
      <c r="R796" s="874"/>
      <c r="S796" s="874"/>
      <c r="T796" s="874"/>
      <c r="U796" s="874"/>
      <c r="V796" s="874"/>
      <c r="W796" s="874"/>
      <c r="X796" s="874"/>
      <c r="Y796" s="874"/>
      <c r="Z796" s="874"/>
    </row>
    <row r="797" ht="63.75" customHeight="1">
      <c r="A797" s="874"/>
      <c r="B797" s="874"/>
      <c r="C797" s="874"/>
      <c r="D797" s="882"/>
      <c r="E797" s="874"/>
      <c r="F797" s="874"/>
      <c r="G797" s="864"/>
      <c r="H797" s="874"/>
      <c r="I797" s="874"/>
      <c r="J797" s="874"/>
      <c r="K797" s="874"/>
      <c r="L797" s="874"/>
      <c r="M797" s="874"/>
      <c r="N797" s="874"/>
      <c r="O797" s="874"/>
      <c r="P797" s="874"/>
      <c r="Q797" s="874"/>
      <c r="R797" s="874"/>
      <c r="S797" s="874"/>
      <c r="T797" s="874"/>
      <c r="U797" s="874"/>
      <c r="V797" s="874"/>
      <c r="W797" s="874"/>
      <c r="X797" s="874"/>
      <c r="Y797" s="874"/>
      <c r="Z797" s="874"/>
    </row>
    <row r="798" ht="63.75" customHeight="1">
      <c r="A798" s="874"/>
      <c r="B798" s="874"/>
      <c r="C798" s="874"/>
      <c r="D798" s="882"/>
      <c r="E798" s="874"/>
      <c r="F798" s="874"/>
      <c r="G798" s="864"/>
      <c r="H798" s="874"/>
      <c r="I798" s="874"/>
      <c r="J798" s="874"/>
      <c r="K798" s="874"/>
      <c r="L798" s="874"/>
      <c r="M798" s="874"/>
      <c r="N798" s="874"/>
      <c r="O798" s="874"/>
      <c r="P798" s="874"/>
      <c r="Q798" s="874"/>
      <c r="R798" s="874"/>
      <c r="S798" s="874"/>
      <c r="T798" s="874"/>
      <c r="U798" s="874"/>
      <c r="V798" s="874"/>
      <c r="W798" s="874"/>
      <c r="X798" s="874"/>
      <c r="Y798" s="874"/>
      <c r="Z798" s="874"/>
    </row>
    <row r="799" ht="63.75" customHeight="1">
      <c r="A799" s="874"/>
      <c r="B799" s="874"/>
      <c r="C799" s="874"/>
      <c r="D799" s="882"/>
      <c r="E799" s="874"/>
      <c r="F799" s="874"/>
      <c r="G799" s="864"/>
      <c r="H799" s="874"/>
      <c r="I799" s="874"/>
      <c r="J799" s="874"/>
      <c r="K799" s="874"/>
      <c r="L799" s="874"/>
      <c r="M799" s="874"/>
      <c r="N799" s="874"/>
      <c r="O799" s="874"/>
      <c r="P799" s="874"/>
      <c r="Q799" s="874"/>
      <c r="R799" s="874"/>
      <c r="S799" s="874"/>
      <c r="T799" s="874"/>
      <c r="U799" s="874"/>
      <c r="V799" s="874"/>
      <c r="W799" s="874"/>
      <c r="X799" s="874"/>
      <c r="Y799" s="874"/>
      <c r="Z799" s="874"/>
    </row>
    <row r="800" ht="63.75" customHeight="1">
      <c r="A800" s="874"/>
      <c r="B800" s="874"/>
      <c r="C800" s="874"/>
      <c r="D800" s="882"/>
      <c r="E800" s="874"/>
      <c r="F800" s="874"/>
      <c r="G800" s="864"/>
      <c r="H800" s="874"/>
      <c r="I800" s="874"/>
      <c r="J800" s="874"/>
      <c r="K800" s="874"/>
      <c r="L800" s="874"/>
      <c r="M800" s="874"/>
      <c r="N800" s="874"/>
      <c r="O800" s="874"/>
      <c r="P800" s="874"/>
      <c r="Q800" s="874"/>
      <c r="R800" s="874"/>
      <c r="S800" s="874"/>
      <c r="T800" s="874"/>
      <c r="U800" s="874"/>
      <c r="V800" s="874"/>
      <c r="W800" s="874"/>
      <c r="X800" s="874"/>
      <c r="Y800" s="874"/>
      <c r="Z800" s="874"/>
    </row>
    <row r="801" ht="63.75" customHeight="1">
      <c r="A801" s="874"/>
      <c r="B801" s="874"/>
      <c r="C801" s="874"/>
      <c r="D801" s="882"/>
      <c r="E801" s="874"/>
      <c r="F801" s="874"/>
      <c r="G801" s="864"/>
      <c r="H801" s="874"/>
      <c r="I801" s="874"/>
      <c r="J801" s="874"/>
      <c r="K801" s="874"/>
      <c r="L801" s="874"/>
      <c r="M801" s="874"/>
      <c r="N801" s="874"/>
      <c r="O801" s="874"/>
      <c r="P801" s="874"/>
      <c r="Q801" s="874"/>
      <c r="R801" s="874"/>
      <c r="S801" s="874"/>
      <c r="T801" s="874"/>
      <c r="U801" s="874"/>
      <c r="V801" s="874"/>
      <c r="W801" s="874"/>
      <c r="X801" s="874"/>
      <c r="Y801" s="874"/>
      <c r="Z801" s="874"/>
    </row>
    <row r="802" ht="63.75" customHeight="1">
      <c r="A802" s="874"/>
      <c r="B802" s="874"/>
      <c r="C802" s="874"/>
      <c r="D802" s="882"/>
      <c r="E802" s="874"/>
      <c r="F802" s="874"/>
      <c r="G802" s="864"/>
      <c r="H802" s="874"/>
      <c r="I802" s="874"/>
      <c r="J802" s="874"/>
      <c r="K802" s="874"/>
      <c r="L802" s="874"/>
      <c r="M802" s="874"/>
      <c r="N802" s="874"/>
      <c r="O802" s="874"/>
      <c r="P802" s="874"/>
      <c r="Q802" s="874"/>
      <c r="R802" s="874"/>
      <c r="S802" s="874"/>
      <c r="T802" s="874"/>
      <c r="U802" s="874"/>
      <c r="V802" s="874"/>
      <c r="W802" s="874"/>
      <c r="X802" s="874"/>
      <c r="Y802" s="874"/>
      <c r="Z802" s="874"/>
    </row>
    <row r="803" ht="63.75" customHeight="1">
      <c r="A803" s="874"/>
      <c r="B803" s="874"/>
      <c r="C803" s="874"/>
      <c r="D803" s="882"/>
      <c r="E803" s="874"/>
      <c r="F803" s="874"/>
      <c r="G803" s="864"/>
      <c r="H803" s="874"/>
      <c r="I803" s="874"/>
      <c r="J803" s="874"/>
      <c r="K803" s="874"/>
      <c r="L803" s="874"/>
      <c r="M803" s="874"/>
      <c r="N803" s="874"/>
      <c r="O803" s="874"/>
      <c r="P803" s="874"/>
      <c r="Q803" s="874"/>
      <c r="R803" s="874"/>
      <c r="S803" s="874"/>
      <c r="T803" s="874"/>
      <c r="U803" s="874"/>
      <c r="V803" s="874"/>
      <c r="W803" s="874"/>
      <c r="X803" s="874"/>
      <c r="Y803" s="874"/>
      <c r="Z803" s="874"/>
    </row>
    <row r="804" ht="63.75" customHeight="1">
      <c r="A804" s="874"/>
      <c r="B804" s="874"/>
      <c r="C804" s="874"/>
      <c r="D804" s="882"/>
      <c r="E804" s="874"/>
      <c r="F804" s="874"/>
      <c r="G804" s="864"/>
      <c r="H804" s="874"/>
      <c r="I804" s="874"/>
      <c r="J804" s="874"/>
      <c r="K804" s="874"/>
      <c r="L804" s="874"/>
      <c r="M804" s="874"/>
      <c r="N804" s="874"/>
      <c r="O804" s="874"/>
      <c r="P804" s="874"/>
      <c r="Q804" s="874"/>
      <c r="R804" s="874"/>
      <c r="S804" s="874"/>
      <c r="T804" s="874"/>
      <c r="U804" s="874"/>
      <c r="V804" s="874"/>
      <c r="W804" s="874"/>
      <c r="X804" s="874"/>
      <c r="Y804" s="874"/>
      <c r="Z804" s="874"/>
    </row>
    <row r="805" ht="63.75" customHeight="1">
      <c r="A805" s="874"/>
      <c r="B805" s="874"/>
      <c r="C805" s="874"/>
      <c r="D805" s="882"/>
      <c r="E805" s="874"/>
      <c r="F805" s="874"/>
      <c r="G805" s="864"/>
      <c r="H805" s="874"/>
      <c r="I805" s="874"/>
      <c r="J805" s="874"/>
      <c r="K805" s="874"/>
      <c r="L805" s="874"/>
      <c r="M805" s="874"/>
      <c r="N805" s="874"/>
      <c r="O805" s="874"/>
      <c r="P805" s="874"/>
      <c r="Q805" s="874"/>
      <c r="R805" s="874"/>
      <c r="S805" s="874"/>
      <c r="T805" s="874"/>
      <c r="U805" s="874"/>
      <c r="V805" s="874"/>
      <c r="W805" s="874"/>
      <c r="X805" s="874"/>
      <c r="Y805" s="874"/>
      <c r="Z805" s="874"/>
    </row>
    <row r="806" ht="63.75" customHeight="1">
      <c r="A806" s="874"/>
      <c r="B806" s="874"/>
      <c r="C806" s="874"/>
      <c r="D806" s="882"/>
      <c r="E806" s="874"/>
      <c r="F806" s="874"/>
      <c r="G806" s="864"/>
      <c r="H806" s="874"/>
      <c r="I806" s="874"/>
      <c r="J806" s="874"/>
      <c r="K806" s="874"/>
      <c r="L806" s="874"/>
      <c r="M806" s="874"/>
      <c r="N806" s="874"/>
      <c r="O806" s="874"/>
      <c r="P806" s="874"/>
      <c r="Q806" s="874"/>
      <c r="R806" s="874"/>
      <c r="S806" s="874"/>
      <c r="T806" s="874"/>
      <c r="U806" s="874"/>
      <c r="V806" s="874"/>
      <c r="W806" s="874"/>
      <c r="X806" s="874"/>
      <c r="Y806" s="874"/>
      <c r="Z806" s="874"/>
    </row>
    <row r="807" ht="63.75" customHeight="1">
      <c r="A807" s="874"/>
      <c r="B807" s="874"/>
      <c r="C807" s="874"/>
      <c r="D807" s="882"/>
      <c r="E807" s="874"/>
      <c r="F807" s="874"/>
      <c r="G807" s="864"/>
      <c r="H807" s="874"/>
      <c r="I807" s="874"/>
      <c r="J807" s="874"/>
      <c r="K807" s="874"/>
      <c r="L807" s="874"/>
      <c r="M807" s="874"/>
      <c r="N807" s="874"/>
      <c r="O807" s="874"/>
      <c r="P807" s="874"/>
      <c r="Q807" s="874"/>
      <c r="R807" s="874"/>
      <c r="S807" s="874"/>
      <c r="T807" s="874"/>
      <c r="U807" s="874"/>
      <c r="V807" s="874"/>
      <c r="W807" s="874"/>
      <c r="X807" s="874"/>
      <c r="Y807" s="874"/>
      <c r="Z807" s="874"/>
    </row>
    <row r="808" ht="63.75" customHeight="1">
      <c r="A808" s="874"/>
      <c r="B808" s="874"/>
      <c r="C808" s="874"/>
      <c r="D808" s="882"/>
      <c r="E808" s="874"/>
      <c r="F808" s="874"/>
      <c r="G808" s="864"/>
      <c r="H808" s="874"/>
      <c r="I808" s="874"/>
      <c r="J808" s="874"/>
      <c r="K808" s="874"/>
      <c r="L808" s="874"/>
      <c r="M808" s="874"/>
      <c r="N808" s="874"/>
      <c r="O808" s="874"/>
      <c r="P808" s="874"/>
      <c r="Q808" s="874"/>
      <c r="R808" s="874"/>
      <c r="S808" s="874"/>
      <c r="T808" s="874"/>
      <c r="U808" s="874"/>
      <c r="V808" s="874"/>
      <c r="W808" s="874"/>
      <c r="X808" s="874"/>
      <c r="Y808" s="874"/>
      <c r="Z808" s="874"/>
    </row>
    <row r="809" ht="63.75" customHeight="1">
      <c r="A809" s="874"/>
      <c r="B809" s="874"/>
      <c r="C809" s="874"/>
      <c r="D809" s="882"/>
      <c r="E809" s="874"/>
      <c r="F809" s="874"/>
      <c r="G809" s="864"/>
      <c r="H809" s="874"/>
      <c r="I809" s="874"/>
      <c r="J809" s="874"/>
      <c r="K809" s="874"/>
      <c r="L809" s="874"/>
      <c r="M809" s="874"/>
      <c r="N809" s="874"/>
      <c r="O809" s="874"/>
      <c r="P809" s="874"/>
      <c r="Q809" s="874"/>
      <c r="R809" s="874"/>
      <c r="S809" s="874"/>
      <c r="T809" s="874"/>
      <c r="U809" s="874"/>
      <c r="V809" s="874"/>
      <c r="W809" s="874"/>
      <c r="X809" s="874"/>
      <c r="Y809" s="874"/>
      <c r="Z809" s="874"/>
    </row>
    <row r="810" ht="63.75" customHeight="1">
      <c r="A810" s="874"/>
      <c r="B810" s="874"/>
      <c r="C810" s="874"/>
      <c r="D810" s="882"/>
      <c r="E810" s="874"/>
      <c r="F810" s="874"/>
      <c r="G810" s="864"/>
      <c r="H810" s="874"/>
      <c r="I810" s="874"/>
      <c r="J810" s="874"/>
      <c r="K810" s="874"/>
      <c r="L810" s="874"/>
      <c r="M810" s="874"/>
      <c r="N810" s="874"/>
      <c r="O810" s="874"/>
      <c r="P810" s="874"/>
      <c r="Q810" s="874"/>
      <c r="R810" s="874"/>
      <c r="S810" s="874"/>
      <c r="T810" s="874"/>
      <c r="U810" s="874"/>
      <c r="V810" s="874"/>
      <c r="W810" s="874"/>
      <c r="X810" s="874"/>
      <c r="Y810" s="874"/>
      <c r="Z810" s="874"/>
    </row>
    <row r="811" ht="63.75" customHeight="1">
      <c r="A811" s="874"/>
      <c r="B811" s="874"/>
      <c r="C811" s="874"/>
      <c r="D811" s="882"/>
      <c r="E811" s="874"/>
      <c r="F811" s="874"/>
      <c r="G811" s="864"/>
      <c r="H811" s="874"/>
      <c r="I811" s="874"/>
      <c r="J811" s="874"/>
      <c r="K811" s="874"/>
      <c r="L811" s="874"/>
      <c r="M811" s="874"/>
      <c r="N811" s="874"/>
      <c r="O811" s="874"/>
      <c r="P811" s="874"/>
      <c r="Q811" s="874"/>
      <c r="R811" s="874"/>
      <c r="S811" s="874"/>
      <c r="T811" s="874"/>
      <c r="U811" s="874"/>
      <c r="V811" s="874"/>
      <c r="W811" s="874"/>
      <c r="X811" s="874"/>
      <c r="Y811" s="874"/>
      <c r="Z811" s="874"/>
    </row>
    <row r="812" ht="63.75" customHeight="1">
      <c r="A812" s="874"/>
      <c r="B812" s="874"/>
      <c r="C812" s="874"/>
      <c r="D812" s="882"/>
      <c r="E812" s="874"/>
      <c r="F812" s="874"/>
      <c r="G812" s="864"/>
      <c r="H812" s="874"/>
      <c r="I812" s="874"/>
      <c r="J812" s="874"/>
      <c r="K812" s="874"/>
      <c r="L812" s="874"/>
      <c r="M812" s="874"/>
      <c r="N812" s="874"/>
      <c r="O812" s="874"/>
      <c r="P812" s="874"/>
      <c r="Q812" s="874"/>
      <c r="R812" s="874"/>
      <c r="S812" s="874"/>
      <c r="T812" s="874"/>
      <c r="U812" s="874"/>
      <c r="V812" s="874"/>
      <c r="W812" s="874"/>
      <c r="X812" s="874"/>
      <c r="Y812" s="874"/>
      <c r="Z812" s="874"/>
    </row>
    <row r="813" ht="63.75" customHeight="1">
      <c r="A813" s="874"/>
      <c r="B813" s="874"/>
      <c r="C813" s="874"/>
      <c r="D813" s="882"/>
      <c r="E813" s="874"/>
      <c r="F813" s="874"/>
      <c r="G813" s="864"/>
      <c r="H813" s="874"/>
      <c r="I813" s="874"/>
      <c r="J813" s="874"/>
      <c r="K813" s="874"/>
      <c r="L813" s="874"/>
      <c r="M813" s="874"/>
      <c r="N813" s="874"/>
      <c r="O813" s="874"/>
      <c r="P813" s="874"/>
      <c r="Q813" s="874"/>
      <c r="R813" s="874"/>
      <c r="S813" s="874"/>
      <c r="T813" s="874"/>
      <c r="U813" s="874"/>
      <c r="V813" s="874"/>
      <c r="W813" s="874"/>
      <c r="X813" s="874"/>
      <c r="Y813" s="874"/>
      <c r="Z813" s="874"/>
    </row>
    <row r="814" ht="63.75" customHeight="1">
      <c r="A814" s="874"/>
      <c r="B814" s="874"/>
      <c r="C814" s="874"/>
      <c r="D814" s="882"/>
      <c r="E814" s="874"/>
      <c r="F814" s="874"/>
      <c r="G814" s="864"/>
      <c r="H814" s="874"/>
      <c r="I814" s="874"/>
      <c r="J814" s="874"/>
      <c r="K814" s="874"/>
      <c r="L814" s="874"/>
      <c r="M814" s="874"/>
      <c r="N814" s="874"/>
      <c r="O814" s="874"/>
      <c r="P814" s="874"/>
      <c r="Q814" s="874"/>
      <c r="R814" s="874"/>
      <c r="S814" s="874"/>
      <c r="T814" s="874"/>
      <c r="U814" s="874"/>
      <c r="V814" s="874"/>
      <c r="W814" s="874"/>
      <c r="X814" s="874"/>
      <c r="Y814" s="874"/>
      <c r="Z814" s="874"/>
    </row>
    <row r="815" ht="63.75" customHeight="1">
      <c r="A815" s="874"/>
      <c r="B815" s="874"/>
      <c r="C815" s="874"/>
      <c r="D815" s="882"/>
      <c r="E815" s="874"/>
      <c r="F815" s="874"/>
      <c r="G815" s="864"/>
      <c r="H815" s="874"/>
      <c r="I815" s="874"/>
      <c r="J815" s="874"/>
      <c r="K815" s="874"/>
      <c r="L815" s="874"/>
      <c r="M815" s="874"/>
      <c r="N815" s="874"/>
      <c r="O815" s="874"/>
      <c r="P815" s="874"/>
      <c r="Q815" s="874"/>
      <c r="R815" s="874"/>
      <c r="S815" s="874"/>
      <c r="T815" s="874"/>
      <c r="U815" s="874"/>
      <c r="V815" s="874"/>
      <c r="W815" s="874"/>
      <c r="X815" s="874"/>
      <c r="Y815" s="874"/>
      <c r="Z815" s="874"/>
    </row>
    <row r="816" ht="63.75" customHeight="1">
      <c r="A816" s="874"/>
      <c r="B816" s="874"/>
      <c r="C816" s="874"/>
      <c r="D816" s="882"/>
      <c r="E816" s="874"/>
      <c r="F816" s="874"/>
      <c r="G816" s="864"/>
      <c r="H816" s="874"/>
      <c r="I816" s="874"/>
      <c r="J816" s="874"/>
      <c r="K816" s="874"/>
      <c r="L816" s="874"/>
      <c r="M816" s="874"/>
      <c r="N816" s="874"/>
      <c r="O816" s="874"/>
      <c r="P816" s="874"/>
      <c r="Q816" s="874"/>
      <c r="R816" s="874"/>
      <c r="S816" s="874"/>
      <c r="T816" s="874"/>
      <c r="U816" s="874"/>
      <c r="V816" s="874"/>
      <c r="W816" s="874"/>
      <c r="X816" s="874"/>
      <c r="Y816" s="874"/>
      <c r="Z816" s="874"/>
    </row>
    <row r="817" ht="63.75" customHeight="1">
      <c r="A817" s="874"/>
      <c r="B817" s="874"/>
      <c r="C817" s="874"/>
      <c r="D817" s="882"/>
      <c r="E817" s="874"/>
      <c r="F817" s="874"/>
      <c r="G817" s="864"/>
      <c r="H817" s="874"/>
      <c r="I817" s="874"/>
      <c r="J817" s="874"/>
      <c r="K817" s="874"/>
      <c r="L817" s="874"/>
      <c r="M817" s="874"/>
      <c r="N817" s="874"/>
      <c r="O817" s="874"/>
      <c r="P817" s="874"/>
      <c r="Q817" s="874"/>
      <c r="R817" s="874"/>
      <c r="S817" s="874"/>
      <c r="T817" s="874"/>
      <c r="U817" s="874"/>
      <c r="V817" s="874"/>
      <c r="W817" s="874"/>
      <c r="X817" s="874"/>
      <c r="Y817" s="874"/>
      <c r="Z817" s="874"/>
    </row>
    <row r="818" ht="63.75" customHeight="1">
      <c r="A818" s="874"/>
      <c r="B818" s="874"/>
      <c r="C818" s="874"/>
      <c r="D818" s="882"/>
      <c r="E818" s="874"/>
      <c r="F818" s="874"/>
      <c r="G818" s="864"/>
      <c r="H818" s="874"/>
      <c r="I818" s="874"/>
      <c r="J818" s="874"/>
      <c r="K818" s="874"/>
      <c r="L818" s="874"/>
      <c r="M818" s="874"/>
      <c r="N818" s="874"/>
      <c r="O818" s="874"/>
      <c r="P818" s="874"/>
      <c r="Q818" s="874"/>
      <c r="R818" s="874"/>
      <c r="S818" s="874"/>
      <c r="T818" s="874"/>
      <c r="U818" s="874"/>
      <c r="V818" s="874"/>
      <c r="W818" s="874"/>
      <c r="X818" s="874"/>
      <c r="Y818" s="874"/>
      <c r="Z818" s="874"/>
    </row>
    <row r="819" ht="63.75" customHeight="1">
      <c r="A819" s="874"/>
      <c r="B819" s="874"/>
      <c r="C819" s="874"/>
      <c r="D819" s="882"/>
      <c r="E819" s="874"/>
      <c r="F819" s="874"/>
      <c r="G819" s="864"/>
      <c r="H819" s="874"/>
      <c r="I819" s="874"/>
      <c r="J819" s="874"/>
      <c r="K819" s="874"/>
      <c r="L819" s="874"/>
      <c r="M819" s="874"/>
      <c r="N819" s="874"/>
      <c r="O819" s="874"/>
      <c r="P819" s="874"/>
      <c r="Q819" s="874"/>
      <c r="R819" s="874"/>
      <c r="S819" s="874"/>
      <c r="T819" s="874"/>
      <c r="U819" s="874"/>
      <c r="V819" s="874"/>
      <c r="W819" s="874"/>
      <c r="X819" s="874"/>
      <c r="Y819" s="874"/>
      <c r="Z819" s="874"/>
    </row>
    <row r="820" ht="63.75" customHeight="1">
      <c r="A820" s="874"/>
      <c r="B820" s="874"/>
      <c r="C820" s="874"/>
      <c r="D820" s="882"/>
      <c r="E820" s="874"/>
      <c r="F820" s="874"/>
      <c r="G820" s="864"/>
      <c r="H820" s="874"/>
      <c r="I820" s="874"/>
      <c r="J820" s="874"/>
      <c r="K820" s="874"/>
      <c r="L820" s="874"/>
      <c r="M820" s="874"/>
      <c r="N820" s="874"/>
      <c r="O820" s="874"/>
      <c r="P820" s="874"/>
      <c r="Q820" s="874"/>
      <c r="R820" s="874"/>
      <c r="S820" s="874"/>
      <c r="T820" s="874"/>
      <c r="U820" s="874"/>
      <c r="V820" s="874"/>
      <c r="W820" s="874"/>
      <c r="X820" s="874"/>
      <c r="Y820" s="874"/>
      <c r="Z820" s="874"/>
    </row>
    <row r="821" ht="63.75" customHeight="1">
      <c r="A821" s="874"/>
      <c r="B821" s="874"/>
      <c r="C821" s="874"/>
      <c r="D821" s="882"/>
      <c r="E821" s="874"/>
      <c r="F821" s="874"/>
      <c r="G821" s="864"/>
      <c r="H821" s="874"/>
      <c r="I821" s="874"/>
      <c r="J821" s="874"/>
      <c r="K821" s="874"/>
      <c r="L821" s="874"/>
      <c r="M821" s="874"/>
      <c r="N821" s="874"/>
      <c r="O821" s="874"/>
      <c r="P821" s="874"/>
      <c r="Q821" s="874"/>
      <c r="R821" s="874"/>
      <c r="S821" s="874"/>
      <c r="T821" s="874"/>
      <c r="U821" s="874"/>
      <c r="V821" s="874"/>
      <c r="W821" s="874"/>
      <c r="X821" s="874"/>
      <c r="Y821" s="874"/>
      <c r="Z821" s="874"/>
    </row>
    <row r="822" ht="63.75" customHeight="1">
      <c r="A822" s="874"/>
      <c r="B822" s="874"/>
      <c r="C822" s="874"/>
      <c r="D822" s="882"/>
      <c r="E822" s="874"/>
      <c r="F822" s="874"/>
      <c r="G822" s="864"/>
      <c r="H822" s="874"/>
      <c r="I822" s="874"/>
      <c r="J822" s="874"/>
      <c r="K822" s="874"/>
      <c r="L822" s="874"/>
      <c r="M822" s="874"/>
      <c r="N822" s="874"/>
      <c r="O822" s="874"/>
      <c r="P822" s="874"/>
      <c r="Q822" s="874"/>
      <c r="R822" s="874"/>
      <c r="S822" s="874"/>
      <c r="T822" s="874"/>
      <c r="U822" s="874"/>
      <c r="V822" s="874"/>
      <c r="W822" s="874"/>
      <c r="X822" s="874"/>
      <c r="Y822" s="874"/>
      <c r="Z822" s="874"/>
    </row>
    <row r="823" ht="63.75" customHeight="1">
      <c r="A823" s="874"/>
      <c r="B823" s="874"/>
      <c r="C823" s="874"/>
      <c r="D823" s="882"/>
      <c r="E823" s="874"/>
      <c r="F823" s="874"/>
      <c r="G823" s="864"/>
      <c r="H823" s="874"/>
      <c r="I823" s="874"/>
      <c r="J823" s="874"/>
      <c r="K823" s="874"/>
      <c r="L823" s="874"/>
      <c r="M823" s="874"/>
      <c r="N823" s="874"/>
      <c r="O823" s="874"/>
      <c r="P823" s="874"/>
      <c r="Q823" s="874"/>
      <c r="R823" s="874"/>
      <c r="S823" s="874"/>
      <c r="T823" s="874"/>
      <c r="U823" s="874"/>
      <c r="V823" s="874"/>
      <c r="W823" s="874"/>
      <c r="X823" s="874"/>
      <c r="Y823" s="874"/>
      <c r="Z823" s="874"/>
    </row>
    <row r="824" ht="63.75" customHeight="1">
      <c r="A824" s="874"/>
      <c r="B824" s="874"/>
      <c r="C824" s="874"/>
      <c r="D824" s="882"/>
      <c r="E824" s="874"/>
      <c r="F824" s="874"/>
      <c r="G824" s="864"/>
      <c r="H824" s="874"/>
      <c r="I824" s="874"/>
      <c r="J824" s="874"/>
      <c r="K824" s="874"/>
      <c r="L824" s="874"/>
      <c r="M824" s="874"/>
      <c r="N824" s="874"/>
      <c r="O824" s="874"/>
      <c r="P824" s="874"/>
      <c r="Q824" s="874"/>
      <c r="R824" s="874"/>
      <c r="S824" s="874"/>
      <c r="T824" s="874"/>
      <c r="U824" s="874"/>
      <c r="V824" s="874"/>
      <c r="W824" s="874"/>
      <c r="X824" s="874"/>
      <c r="Y824" s="874"/>
      <c r="Z824" s="874"/>
    </row>
    <row r="825" ht="63.75" customHeight="1">
      <c r="A825" s="874"/>
      <c r="B825" s="874"/>
      <c r="C825" s="874"/>
      <c r="D825" s="882"/>
      <c r="E825" s="874"/>
      <c r="F825" s="874"/>
      <c r="G825" s="864"/>
      <c r="H825" s="874"/>
      <c r="I825" s="874"/>
      <c r="J825" s="874"/>
      <c r="K825" s="874"/>
      <c r="L825" s="874"/>
      <c r="M825" s="874"/>
      <c r="N825" s="874"/>
      <c r="O825" s="874"/>
      <c r="P825" s="874"/>
      <c r="Q825" s="874"/>
      <c r="R825" s="874"/>
      <c r="S825" s="874"/>
      <c r="T825" s="874"/>
      <c r="U825" s="874"/>
      <c r="V825" s="874"/>
      <c r="W825" s="874"/>
      <c r="X825" s="874"/>
      <c r="Y825" s="874"/>
      <c r="Z825" s="874"/>
    </row>
    <row r="826" ht="63.75" customHeight="1">
      <c r="A826" s="874"/>
      <c r="B826" s="874"/>
      <c r="C826" s="874"/>
      <c r="D826" s="882"/>
      <c r="E826" s="874"/>
      <c r="F826" s="874"/>
      <c r="G826" s="864"/>
      <c r="H826" s="874"/>
      <c r="I826" s="874"/>
      <c r="J826" s="874"/>
      <c r="K826" s="874"/>
      <c r="L826" s="874"/>
      <c r="M826" s="874"/>
      <c r="N826" s="874"/>
      <c r="O826" s="874"/>
      <c r="P826" s="874"/>
      <c r="Q826" s="874"/>
      <c r="R826" s="874"/>
      <c r="S826" s="874"/>
      <c r="T826" s="874"/>
      <c r="U826" s="874"/>
      <c r="V826" s="874"/>
      <c r="W826" s="874"/>
      <c r="X826" s="874"/>
      <c r="Y826" s="874"/>
      <c r="Z826" s="874"/>
    </row>
    <row r="827" ht="63.75" customHeight="1">
      <c r="A827" s="874"/>
      <c r="B827" s="874"/>
      <c r="C827" s="874"/>
      <c r="D827" s="882"/>
      <c r="E827" s="874"/>
      <c r="F827" s="874"/>
      <c r="G827" s="864"/>
      <c r="H827" s="874"/>
      <c r="I827" s="874"/>
      <c r="J827" s="874"/>
      <c r="K827" s="874"/>
      <c r="L827" s="874"/>
      <c r="M827" s="874"/>
      <c r="N827" s="874"/>
      <c r="O827" s="874"/>
      <c r="P827" s="874"/>
      <c r="Q827" s="874"/>
      <c r="R827" s="874"/>
      <c r="S827" s="874"/>
      <c r="T827" s="874"/>
      <c r="U827" s="874"/>
      <c r="V827" s="874"/>
      <c r="W827" s="874"/>
      <c r="X827" s="874"/>
      <c r="Y827" s="874"/>
      <c r="Z827" s="874"/>
    </row>
    <row r="828" ht="63.75" customHeight="1">
      <c r="A828" s="874"/>
      <c r="B828" s="874"/>
      <c r="C828" s="874"/>
      <c r="D828" s="882"/>
      <c r="E828" s="874"/>
      <c r="F828" s="874"/>
      <c r="G828" s="864"/>
      <c r="H828" s="874"/>
      <c r="I828" s="874"/>
      <c r="J828" s="874"/>
      <c r="K828" s="874"/>
      <c r="L828" s="874"/>
      <c r="M828" s="874"/>
      <c r="N828" s="874"/>
      <c r="O828" s="874"/>
      <c r="P828" s="874"/>
      <c r="Q828" s="874"/>
      <c r="R828" s="874"/>
      <c r="S828" s="874"/>
      <c r="T828" s="874"/>
      <c r="U828" s="874"/>
      <c r="V828" s="874"/>
      <c r="W828" s="874"/>
      <c r="X828" s="874"/>
      <c r="Y828" s="874"/>
      <c r="Z828" s="874"/>
    </row>
    <row r="829" ht="63.75" customHeight="1">
      <c r="A829" s="874"/>
      <c r="B829" s="874"/>
      <c r="C829" s="874"/>
      <c r="D829" s="882"/>
      <c r="E829" s="874"/>
      <c r="F829" s="874"/>
      <c r="G829" s="864"/>
      <c r="H829" s="874"/>
      <c r="I829" s="874"/>
      <c r="J829" s="874"/>
      <c r="K829" s="874"/>
      <c r="L829" s="874"/>
      <c r="M829" s="874"/>
      <c r="N829" s="874"/>
      <c r="O829" s="874"/>
      <c r="P829" s="874"/>
      <c r="Q829" s="874"/>
      <c r="R829" s="874"/>
      <c r="S829" s="874"/>
      <c r="T829" s="874"/>
      <c r="U829" s="874"/>
      <c r="V829" s="874"/>
      <c r="W829" s="874"/>
      <c r="X829" s="874"/>
      <c r="Y829" s="874"/>
      <c r="Z829" s="874"/>
    </row>
    <row r="830" ht="63.75" customHeight="1">
      <c r="A830" s="874"/>
      <c r="B830" s="874"/>
      <c r="C830" s="874"/>
      <c r="D830" s="882"/>
      <c r="E830" s="874"/>
      <c r="F830" s="874"/>
      <c r="G830" s="864"/>
      <c r="H830" s="874"/>
      <c r="I830" s="874"/>
      <c r="J830" s="874"/>
      <c r="K830" s="874"/>
      <c r="L830" s="874"/>
      <c r="M830" s="874"/>
      <c r="N830" s="874"/>
      <c r="O830" s="874"/>
      <c r="P830" s="874"/>
      <c r="Q830" s="874"/>
      <c r="R830" s="874"/>
      <c r="S830" s="874"/>
      <c r="T830" s="874"/>
      <c r="U830" s="874"/>
      <c r="V830" s="874"/>
      <c r="W830" s="874"/>
      <c r="X830" s="874"/>
      <c r="Y830" s="874"/>
      <c r="Z830" s="874"/>
    </row>
    <row r="831" ht="63.75" customHeight="1">
      <c r="A831" s="874"/>
      <c r="B831" s="874"/>
      <c r="C831" s="874"/>
      <c r="D831" s="882"/>
      <c r="E831" s="874"/>
      <c r="F831" s="874"/>
      <c r="G831" s="864"/>
      <c r="H831" s="874"/>
      <c r="I831" s="874"/>
      <c r="J831" s="874"/>
      <c r="K831" s="874"/>
      <c r="L831" s="874"/>
      <c r="M831" s="874"/>
      <c r="N831" s="874"/>
      <c r="O831" s="874"/>
      <c r="P831" s="874"/>
      <c r="Q831" s="874"/>
      <c r="R831" s="874"/>
      <c r="S831" s="874"/>
      <c r="T831" s="874"/>
      <c r="U831" s="874"/>
      <c r="V831" s="874"/>
      <c r="W831" s="874"/>
      <c r="X831" s="874"/>
      <c r="Y831" s="874"/>
      <c r="Z831" s="874"/>
    </row>
    <row r="832" ht="63.75" customHeight="1">
      <c r="A832" s="874"/>
      <c r="B832" s="874"/>
      <c r="C832" s="874"/>
      <c r="D832" s="882"/>
      <c r="E832" s="874"/>
      <c r="F832" s="874"/>
      <c r="G832" s="864"/>
      <c r="H832" s="874"/>
      <c r="I832" s="874"/>
      <c r="J832" s="874"/>
      <c r="K832" s="874"/>
      <c r="L832" s="874"/>
      <c r="M832" s="874"/>
      <c r="N832" s="874"/>
      <c r="O832" s="874"/>
      <c r="P832" s="874"/>
      <c r="Q832" s="874"/>
      <c r="R832" s="874"/>
      <c r="S832" s="874"/>
      <c r="T832" s="874"/>
      <c r="U832" s="874"/>
      <c r="V832" s="874"/>
      <c r="W832" s="874"/>
      <c r="X832" s="874"/>
      <c r="Y832" s="874"/>
      <c r="Z832" s="874"/>
    </row>
    <row r="833" ht="63.75" customHeight="1">
      <c r="A833" s="874"/>
      <c r="B833" s="874"/>
      <c r="C833" s="874"/>
      <c r="D833" s="882"/>
      <c r="E833" s="874"/>
      <c r="F833" s="874"/>
      <c r="G833" s="864"/>
      <c r="H833" s="874"/>
      <c r="I833" s="874"/>
      <c r="J833" s="874"/>
      <c r="K833" s="874"/>
      <c r="L833" s="874"/>
      <c r="M833" s="874"/>
      <c r="N833" s="874"/>
      <c r="O833" s="874"/>
      <c r="P833" s="874"/>
      <c r="Q833" s="874"/>
      <c r="R833" s="874"/>
      <c r="S833" s="874"/>
      <c r="T833" s="874"/>
      <c r="U833" s="874"/>
      <c r="V833" s="874"/>
      <c r="W833" s="874"/>
      <c r="X833" s="874"/>
      <c r="Y833" s="874"/>
      <c r="Z833" s="874"/>
    </row>
    <row r="834" ht="63.75" customHeight="1">
      <c r="A834" s="874"/>
      <c r="B834" s="874"/>
      <c r="C834" s="874"/>
      <c r="D834" s="882"/>
      <c r="E834" s="874"/>
      <c r="F834" s="874"/>
      <c r="G834" s="864"/>
      <c r="H834" s="874"/>
      <c r="I834" s="874"/>
      <c r="J834" s="874"/>
      <c r="K834" s="874"/>
      <c r="L834" s="874"/>
      <c r="M834" s="874"/>
      <c r="N834" s="874"/>
      <c r="O834" s="874"/>
      <c r="P834" s="874"/>
      <c r="Q834" s="874"/>
      <c r="R834" s="874"/>
      <c r="S834" s="874"/>
      <c r="T834" s="874"/>
      <c r="U834" s="874"/>
      <c r="V834" s="874"/>
      <c r="W834" s="874"/>
      <c r="X834" s="874"/>
      <c r="Y834" s="874"/>
      <c r="Z834" s="874"/>
    </row>
    <row r="835" ht="63.75" customHeight="1">
      <c r="A835" s="874"/>
      <c r="B835" s="874"/>
      <c r="C835" s="874"/>
      <c r="D835" s="882"/>
      <c r="E835" s="874"/>
      <c r="F835" s="874"/>
      <c r="G835" s="864"/>
      <c r="H835" s="874"/>
      <c r="I835" s="874"/>
      <c r="J835" s="874"/>
      <c r="K835" s="874"/>
      <c r="L835" s="874"/>
      <c r="M835" s="874"/>
      <c r="N835" s="874"/>
      <c r="O835" s="874"/>
      <c r="P835" s="874"/>
      <c r="Q835" s="874"/>
      <c r="R835" s="874"/>
      <c r="S835" s="874"/>
      <c r="T835" s="874"/>
      <c r="U835" s="874"/>
      <c r="V835" s="874"/>
      <c r="W835" s="874"/>
      <c r="X835" s="874"/>
      <c r="Y835" s="874"/>
      <c r="Z835" s="874"/>
    </row>
    <row r="836" ht="63.75" customHeight="1">
      <c r="A836" s="874"/>
      <c r="B836" s="874"/>
      <c r="C836" s="874"/>
      <c r="D836" s="882"/>
      <c r="E836" s="874"/>
      <c r="F836" s="874"/>
      <c r="G836" s="864"/>
      <c r="H836" s="874"/>
      <c r="I836" s="874"/>
      <c r="J836" s="874"/>
      <c r="K836" s="874"/>
      <c r="L836" s="874"/>
      <c r="M836" s="874"/>
      <c r="N836" s="874"/>
      <c r="O836" s="874"/>
      <c r="P836" s="874"/>
      <c r="Q836" s="874"/>
      <c r="R836" s="874"/>
      <c r="S836" s="874"/>
      <c r="T836" s="874"/>
      <c r="U836" s="874"/>
      <c r="V836" s="874"/>
      <c r="W836" s="874"/>
      <c r="X836" s="874"/>
      <c r="Y836" s="874"/>
      <c r="Z836" s="874"/>
    </row>
    <row r="837" ht="63.75" customHeight="1">
      <c r="A837" s="874"/>
      <c r="B837" s="874"/>
      <c r="C837" s="874"/>
      <c r="D837" s="882"/>
      <c r="E837" s="874"/>
      <c r="F837" s="874"/>
      <c r="G837" s="864"/>
      <c r="H837" s="874"/>
      <c r="I837" s="874"/>
      <c r="J837" s="874"/>
      <c r="K837" s="874"/>
      <c r="L837" s="874"/>
      <c r="M837" s="874"/>
      <c r="N837" s="874"/>
      <c r="O837" s="874"/>
      <c r="P837" s="874"/>
      <c r="Q837" s="874"/>
      <c r="R837" s="874"/>
      <c r="S837" s="874"/>
      <c r="T837" s="874"/>
      <c r="U837" s="874"/>
      <c r="V837" s="874"/>
      <c r="W837" s="874"/>
      <c r="X837" s="874"/>
      <c r="Y837" s="874"/>
      <c r="Z837" s="874"/>
    </row>
    <row r="838" ht="63.75" customHeight="1">
      <c r="A838" s="874"/>
      <c r="B838" s="874"/>
      <c r="C838" s="874"/>
      <c r="D838" s="882"/>
      <c r="E838" s="874"/>
      <c r="F838" s="874"/>
      <c r="G838" s="864"/>
      <c r="H838" s="874"/>
      <c r="I838" s="874"/>
      <c r="J838" s="874"/>
      <c r="K838" s="874"/>
      <c r="L838" s="874"/>
      <c r="M838" s="874"/>
      <c r="N838" s="874"/>
      <c r="O838" s="874"/>
      <c r="P838" s="874"/>
      <c r="Q838" s="874"/>
      <c r="R838" s="874"/>
      <c r="S838" s="874"/>
      <c r="T838" s="874"/>
      <c r="U838" s="874"/>
      <c r="V838" s="874"/>
      <c r="W838" s="874"/>
      <c r="X838" s="874"/>
      <c r="Y838" s="874"/>
      <c r="Z838" s="874"/>
    </row>
    <row r="839" ht="63.75" customHeight="1">
      <c r="A839" s="874"/>
      <c r="B839" s="874"/>
      <c r="C839" s="874"/>
      <c r="D839" s="882"/>
      <c r="E839" s="874"/>
      <c r="F839" s="874"/>
      <c r="G839" s="864"/>
      <c r="H839" s="874"/>
      <c r="I839" s="874"/>
      <c r="J839" s="874"/>
      <c r="K839" s="874"/>
      <c r="L839" s="874"/>
      <c r="M839" s="874"/>
      <c r="N839" s="874"/>
      <c r="O839" s="874"/>
      <c r="P839" s="874"/>
      <c r="Q839" s="874"/>
      <c r="R839" s="874"/>
      <c r="S839" s="874"/>
      <c r="T839" s="874"/>
      <c r="U839" s="874"/>
      <c r="V839" s="874"/>
      <c r="W839" s="874"/>
      <c r="X839" s="874"/>
      <c r="Y839" s="874"/>
      <c r="Z839" s="874"/>
    </row>
    <row r="840" ht="63.75" customHeight="1">
      <c r="A840" s="874"/>
      <c r="B840" s="874"/>
      <c r="C840" s="874"/>
      <c r="D840" s="882"/>
      <c r="E840" s="874"/>
      <c r="F840" s="874"/>
      <c r="G840" s="864"/>
      <c r="H840" s="874"/>
      <c r="I840" s="874"/>
      <c r="J840" s="874"/>
      <c r="K840" s="874"/>
      <c r="L840" s="874"/>
      <c r="M840" s="874"/>
      <c r="N840" s="874"/>
      <c r="O840" s="874"/>
      <c r="P840" s="874"/>
      <c r="Q840" s="874"/>
      <c r="R840" s="874"/>
      <c r="S840" s="874"/>
      <c r="T840" s="874"/>
      <c r="U840" s="874"/>
      <c r="V840" s="874"/>
      <c r="W840" s="874"/>
      <c r="X840" s="874"/>
      <c r="Y840" s="874"/>
      <c r="Z840" s="874"/>
    </row>
    <row r="841" ht="63.75" customHeight="1">
      <c r="A841" s="874"/>
      <c r="B841" s="874"/>
      <c r="C841" s="874"/>
      <c r="D841" s="882"/>
      <c r="E841" s="874"/>
      <c r="F841" s="874"/>
      <c r="G841" s="864"/>
      <c r="H841" s="874"/>
      <c r="I841" s="874"/>
      <c r="J841" s="874"/>
      <c r="K841" s="874"/>
      <c r="L841" s="874"/>
      <c r="M841" s="874"/>
      <c r="N841" s="874"/>
      <c r="O841" s="874"/>
      <c r="P841" s="874"/>
      <c r="Q841" s="874"/>
      <c r="R841" s="874"/>
      <c r="S841" s="874"/>
      <c r="T841" s="874"/>
      <c r="U841" s="874"/>
      <c r="V841" s="874"/>
      <c r="W841" s="874"/>
      <c r="X841" s="874"/>
      <c r="Y841" s="874"/>
      <c r="Z841" s="874"/>
    </row>
    <row r="842" ht="63.75" customHeight="1">
      <c r="A842" s="874"/>
      <c r="B842" s="874"/>
      <c r="C842" s="874"/>
      <c r="D842" s="882"/>
      <c r="E842" s="874"/>
      <c r="F842" s="874"/>
      <c r="G842" s="864"/>
      <c r="H842" s="874"/>
      <c r="I842" s="874"/>
      <c r="J842" s="874"/>
      <c r="K842" s="874"/>
      <c r="L842" s="874"/>
      <c r="M842" s="874"/>
      <c r="N842" s="874"/>
      <c r="O842" s="874"/>
      <c r="P842" s="874"/>
      <c r="Q842" s="874"/>
      <c r="R842" s="874"/>
      <c r="S842" s="874"/>
      <c r="T842" s="874"/>
      <c r="U842" s="874"/>
      <c r="V842" s="874"/>
      <c r="W842" s="874"/>
      <c r="X842" s="874"/>
      <c r="Y842" s="874"/>
      <c r="Z842" s="874"/>
    </row>
    <row r="843" ht="63.75" customHeight="1">
      <c r="A843" s="874"/>
      <c r="B843" s="874"/>
      <c r="C843" s="874"/>
      <c r="D843" s="882"/>
      <c r="E843" s="874"/>
      <c r="F843" s="874"/>
      <c r="G843" s="864"/>
      <c r="H843" s="874"/>
      <c r="I843" s="874"/>
      <c r="J843" s="874"/>
      <c r="K843" s="874"/>
      <c r="L843" s="874"/>
      <c r="M843" s="874"/>
      <c r="N843" s="874"/>
      <c r="O843" s="874"/>
      <c r="P843" s="874"/>
      <c r="Q843" s="874"/>
      <c r="R843" s="874"/>
      <c r="S843" s="874"/>
      <c r="T843" s="874"/>
      <c r="U843" s="874"/>
      <c r="V843" s="874"/>
      <c r="W843" s="874"/>
      <c r="X843" s="874"/>
      <c r="Y843" s="874"/>
      <c r="Z843" s="874"/>
    </row>
    <row r="844" ht="63.75" customHeight="1">
      <c r="A844" s="874"/>
      <c r="B844" s="874"/>
      <c r="C844" s="874"/>
      <c r="D844" s="882"/>
      <c r="E844" s="874"/>
      <c r="F844" s="874"/>
      <c r="G844" s="864"/>
      <c r="H844" s="874"/>
      <c r="I844" s="874"/>
      <c r="J844" s="874"/>
      <c r="K844" s="874"/>
      <c r="L844" s="874"/>
      <c r="M844" s="874"/>
      <c r="N844" s="874"/>
      <c r="O844" s="874"/>
      <c r="P844" s="874"/>
      <c r="Q844" s="874"/>
      <c r="R844" s="874"/>
      <c r="S844" s="874"/>
      <c r="T844" s="874"/>
      <c r="U844" s="874"/>
      <c r="V844" s="874"/>
      <c r="W844" s="874"/>
      <c r="X844" s="874"/>
      <c r="Y844" s="874"/>
      <c r="Z844" s="874"/>
    </row>
    <row r="845" ht="63.75" customHeight="1">
      <c r="A845" s="874"/>
      <c r="B845" s="874"/>
      <c r="C845" s="874"/>
      <c r="D845" s="882"/>
      <c r="E845" s="874"/>
      <c r="F845" s="874"/>
      <c r="G845" s="864"/>
      <c r="H845" s="874"/>
      <c r="I845" s="874"/>
      <c r="J845" s="874"/>
      <c r="K845" s="874"/>
      <c r="L845" s="874"/>
      <c r="M845" s="874"/>
      <c r="N845" s="874"/>
      <c r="O845" s="874"/>
      <c r="P845" s="874"/>
      <c r="Q845" s="874"/>
      <c r="R845" s="874"/>
      <c r="S845" s="874"/>
      <c r="T845" s="874"/>
      <c r="U845" s="874"/>
      <c r="V845" s="874"/>
      <c r="W845" s="874"/>
      <c r="X845" s="874"/>
      <c r="Y845" s="874"/>
      <c r="Z845" s="874"/>
    </row>
    <row r="846" ht="63.75" customHeight="1">
      <c r="A846" s="874"/>
      <c r="B846" s="874"/>
      <c r="C846" s="874"/>
      <c r="D846" s="882"/>
      <c r="E846" s="874"/>
      <c r="F846" s="874"/>
      <c r="G846" s="864"/>
      <c r="H846" s="874"/>
      <c r="I846" s="874"/>
      <c r="J846" s="874"/>
      <c r="K846" s="874"/>
      <c r="L846" s="874"/>
      <c r="M846" s="874"/>
      <c r="N846" s="874"/>
      <c r="O846" s="874"/>
      <c r="P846" s="874"/>
      <c r="Q846" s="874"/>
      <c r="R846" s="874"/>
      <c r="S846" s="874"/>
      <c r="T846" s="874"/>
      <c r="U846" s="874"/>
      <c r="V846" s="874"/>
      <c r="W846" s="874"/>
      <c r="X846" s="874"/>
      <c r="Y846" s="874"/>
      <c r="Z846" s="874"/>
    </row>
    <row r="847" ht="63.75" customHeight="1">
      <c r="A847" s="874"/>
      <c r="B847" s="874"/>
      <c r="C847" s="874"/>
      <c r="D847" s="882"/>
      <c r="E847" s="874"/>
      <c r="F847" s="874"/>
      <c r="G847" s="864"/>
      <c r="H847" s="874"/>
      <c r="I847" s="874"/>
      <c r="J847" s="874"/>
      <c r="K847" s="874"/>
      <c r="L847" s="874"/>
      <c r="M847" s="874"/>
      <c r="N847" s="874"/>
      <c r="O847" s="874"/>
      <c r="P847" s="874"/>
      <c r="Q847" s="874"/>
      <c r="R847" s="874"/>
      <c r="S847" s="874"/>
      <c r="T847" s="874"/>
      <c r="U847" s="874"/>
      <c r="V847" s="874"/>
      <c r="W847" s="874"/>
      <c r="X847" s="874"/>
      <c r="Y847" s="874"/>
      <c r="Z847" s="874"/>
    </row>
    <row r="848" ht="63.75" customHeight="1">
      <c r="A848" s="874"/>
      <c r="B848" s="874"/>
      <c r="C848" s="874"/>
      <c r="D848" s="882"/>
      <c r="E848" s="874"/>
      <c r="F848" s="874"/>
      <c r="G848" s="864"/>
      <c r="H848" s="874"/>
      <c r="I848" s="874"/>
      <c r="J848" s="874"/>
      <c r="K848" s="874"/>
      <c r="L848" s="874"/>
      <c r="M848" s="874"/>
      <c r="N848" s="874"/>
      <c r="O848" s="874"/>
      <c r="P848" s="874"/>
      <c r="Q848" s="874"/>
      <c r="R848" s="874"/>
      <c r="S848" s="874"/>
      <c r="T848" s="874"/>
      <c r="U848" s="874"/>
      <c r="V848" s="874"/>
      <c r="W848" s="874"/>
      <c r="X848" s="874"/>
      <c r="Y848" s="874"/>
      <c r="Z848" s="874"/>
    </row>
    <row r="849" ht="63.75" customHeight="1">
      <c r="A849" s="874"/>
      <c r="B849" s="874"/>
      <c r="C849" s="874"/>
      <c r="D849" s="882"/>
      <c r="E849" s="874"/>
      <c r="F849" s="874"/>
      <c r="G849" s="864"/>
      <c r="H849" s="874"/>
      <c r="I849" s="874"/>
      <c r="J849" s="874"/>
      <c r="K849" s="874"/>
      <c r="L849" s="874"/>
      <c r="M849" s="874"/>
      <c r="N849" s="874"/>
      <c r="O849" s="874"/>
      <c r="P849" s="874"/>
      <c r="Q849" s="874"/>
      <c r="R849" s="874"/>
      <c r="S849" s="874"/>
      <c r="T849" s="874"/>
      <c r="U849" s="874"/>
      <c r="V849" s="874"/>
      <c r="W849" s="874"/>
      <c r="X849" s="874"/>
      <c r="Y849" s="874"/>
      <c r="Z849" s="874"/>
    </row>
    <row r="850" ht="63.75" customHeight="1">
      <c r="A850" s="874"/>
      <c r="B850" s="874"/>
      <c r="C850" s="874"/>
      <c r="D850" s="882"/>
      <c r="E850" s="874"/>
      <c r="F850" s="874"/>
      <c r="G850" s="864"/>
      <c r="H850" s="874"/>
      <c r="I850" s="874"/>
      <c r="J850" s="874"/>
      <c r="K850" s="874"/>
      <c r="L850" s="874"/>
      <c r="M850" s="874"/>
      <c r="N850" s="874"/>
      <c r="O850" s="874"/>
      <c r="P850" s="874"/>
      <c r="Q850" s="874"/>
      <c r="R850" s="874"/>
      <c r="S850" s="874"/>
      <c r="T850" s="874"/>
      <c r="U850" s="874"/>
      <c r="V850" s="874"/>
      <c r="W850" s="874"/>
      <c r="X850" s="874"/>
      <c r="Y850" s="874"/>
      <c r="Z850" s="874"/>
    </row>
    <row r="851" ht="63.75" customHeight="1">
      <c r="A851" s="874"/>
      <c r="B851" s="874"/>
      <c r="C851" s="874"/>
      <c r="D851" s="882"/>
      <c r="E851" s="874"/>
      <c r="F851" s="874"/>
      <c r="G851" s="864"/>
      <c r="H851" s="874"/>
      <c r="I851" s="874"/>
      <c r="J851" s="874"/>
      <c r="K851" s="874"/>
      <c r="L851" s="874"/>
      <c r="M851" s="874"/>
      <c r="N851" s="874"/>
      <c r="O851" s="874"/>
      <c r="P851" s="874"/>
      <c r="Q851" s="874"/>
      <c r="R851" s="874"/>
      <c r="S851" s="874"/>
      <c r="T851" s="874"/>
      <c r="U851" s="874"/>
      <c r="V851" s="874"/>
      <c r="W851" s="874"/>
      <c r="X851" s="874"/>
      <c r="Y851" s="874"/>
      <c r="Z851" s="874"/>
    </row>
    <row r="852" ht="63.75" customHeight="1">
      <c r="A852" s="874"/>
      <c r="B852" s="874"/>
      <c r="C852" s="874"/>
      <c r="D852" s="882"/>
      <c r="E852" s="874"/>
      <c r="F852" s="874"/>
      <c r="G852" s="864"/>
      <c r="H852" s="874"/>
      <c r="I852" s="874"/>
      <c r="J852" s="874"/>
      <c r="K852" s="874"/>
      <c r="L852" s="874"/>
      <c r="M852" s="874"/>
      <c r="N852" s="874"/>
      <c r="O852" s="874"/>
      <c r="P852" s="874"/>
      <c r="Q852" s="874"/>
      <c r="R852" s="874"/>
      <c r="S852" s="874"/>
      <c r="T852" s="874"/>
      <c r="U852" s="874"/>
      <c r="V852" s="874"/>
      <c r="W852" s="874"/>
      <c r="X852" s="874"/>
      <c r="Y852" s="874"/>
      <c r="Z852" s="874"/>
    </row>
    <row r="853" ht="63.75" customHeight="1">
      <c r="A853" s="874"/>
      <c r="B853" s="874"/>
      <c r="C853" s="874"/>
      <c r="D853" s="882"/>
      <c r="E853" s="874"/>
      <c r="F853" s="874"/>
      <c r="G853" s="864"/>
      <c r="H853" s="874"/>
      <c r="I853" s="874"/>
      <c r="J853" s="874"/>
      <c r="K853" s="874"/>
      <c r="L853" s="874"/>
      <c r="M853" s="874"/>
      <c r="N853" s="874"/>
      <c r="O853" s="874"/>
      <c r="P853" s="874"/>
      <c r="Q853" s="874"/>
      <c r="R853" s="874"/>
      <c r="S853" s="874"/>
      <c r="T853" s="874"/>
      <c r="U853" s="874"/>
      <c r="V853" s="874"/>
      <c r="W853" s="874"/>
      <c r="X853" s="874"/>
      <c r="Y853" s="874"/>
      <c r="Z853" s="874"/>
    </row>
    <row r="854" ht="63.75" customHeight="1">
      <c r="A854" s="874"/>
      <c r="B854" s="874"/>
      <c r="C854" s="874"/>
      <c r="D854" s="882"/>
      <c r="E854" s="874"/>
      <c r="F854" s="874"/>
      <c r="G854" s="864"/>
      <c r="H854" s="874"/>
      <c r="I854" s="874"/>
      <c r="J854" s="874"/>
      <c r="K854" s="874"/>
      <c r="L854" s="874"/>
      <c r="M854" s="874"/>
      <c r="N854" s="874"/>
      <c r="O854" s="874"/>
      <c r="P854" s="874"/>
      <c r="Q854" s="874"/>
      <c r="R854" s="874"/>
      <c r="S854" s="874"/>
      <c r="T854" s="874"/>
      <c r="U854" s="874"/>
      <c r="V854" s="874"/>
      <c r="W854" s="874"/>
      <c r="X854" s="874"/>
      <c r="Y854" s="874"/>
      <c r="Z854" s="874"/>
    </row>
    <row r="855" ht="63.75" customHeight="1">
      <c r="A855" s="874"/>
      <c r="B855" s="874"/>
      <c r="C855" s="874"/>
      <c r="D855" s="882"/>
      <c r="E855" s="874"/>
      <c r="F855" s="874"/>
      <c r="G855" s="864"/>
      <c r="H855" s="874"/>
      <c r="I855" s="874"/>
      <c r="J855" s="874"/>
      <c r="K855" s="874"/>
      <c r="L855" s="874"/>
      <c r="M855" s="874"/>
      <c r="N855" s="874"/>
      <c r="O855" s="874"/>
      <c r="P855" s="874"/>
      <c r="Q855" s="874"/>
      <c r="R855" s="874"/>
      <c r="S855" s="874"/>
      <c r="T855" s="874"/>
      <c r="U855" s="874"/>
      <c r="V855" s="874"/>
      <c r="W855" s="874"/>
      <c r="X855" s="874"/>
      <c r="Y855" s="874"/>
      <c r="Z855" s="874"/>
    </row>
    <row r="856" ht="63.75" customHeight="1">
      <c r="A856" s="874"/>
      <c r="B856" s="874"/>
      <c r="C856" s="874"/>
      <c r="D856" s="882"/>
      <c r="E856" s="874"/>
      <c r="F856" s="874"/>
      <c r="G856" s="864"/>
      <c r="H856" s="874"/>
      <c r="I856" s="874"/>
      <c r="J856" s="874"/>
      <c r="K856" s="874"/>
      <c r="L856" s="874"/>
      <c r="M856" s="874"/>
      <c r="N856" s="874"/>
      <c r="O856" s="874"/>
      <c r="P856" s="874"/>
      <c r="Q856" s="874"/>
      <c r="R856" s="874"/>
      <c r="S856" s="874"/>
      <c r="T856" s="874"/>
      <c r="U856" s="874"/>
      <c r="V856" s="874"/>
      <c r="W856" s="874"/>
      <c r="X856" s="874"/>
      <c r="Y856" s="874"/>
      <c r="Z856" s="874"/>
    </row>
    <row r="857" ht="63.75" customHeight="1">
      <c r="A857" s="874"/>
      <c r="B857" s="874"/>
      <c r="C857" s="874"/>
      <c r="D857" s="882"/>
      <c r="E857" s="874"/>
      <c r="F857" s="874"/>
      <c r="G857" s="864"/>
      <c r="H857" s="874"/>
      <c r="I857" s="874"/>
      <c r="J857" s="874"/>
      <c r="K857" s="874"/>
      <c r="L857" s="874"/>
      <c r="M857" s="874"/>
      <c r="N857" s="874"/>
      <c r="O857" s="874"/>
      <c r="P857" s="874"/>
      <c r="Q857" s="874"/>
      <c r="R857" s="874"/>
      <c r="S857" s="874"/>
      <c r="T857" s="874"/>
      <c r="U857" s="874"/>
      <c r="V857" s="874"/>
      <c r="W857" s="874"/>
      <c r="X857" s="874"/>
      <c r="Y857" s="874"/>
      <c r="Z857" s="874"/>
    </row>
    <row r="858" ht="63.75" customHeight="1">
      <c r="A858" s="874"/>
      <c r="B858" s="874"/>
      <c r="C858" s="874"/>
      <c r="D858" s="882"/>
      <c r="E858" s="874"/>
      <c r="F858" s="874"/>
      <c r="G858" s="864"/>
      <c r="H858" s="874"/>
      <c r="I858" s="874"/>
      <c r="J858" s="874"/>
      <c r="K858" s="874"/>
      <c r="L858" s="874"/>
      <c r="M858" s="874"/>
      <c r="N858" s="874"/>
      <c r="O858" s="874"/>
      <c r="P858" s="874"/>
      <c r="Q858" s="874"/>
      <c r="R858" s="874"/>
      <c r="S858" s="874"/>
      <c r="T858" s="874"/>
      <c r="U858" s="874"/>
      <c r="V858" s="874"/>
      <c r="W858" s="874"/>
      <c r="X858" s="874"/>
      <c r="Y858" s="874"/>
      <c r="Z858" s="874"/>
    </row>
    <row r="859" ht="63.75" customHeight="1">
      <c r="A859" s="874"/>
      <c r="B859" s="874"/>
      <c r="C859" s="874"/>
      <c r="D859" s="882"/>
      <c r="E859" s="874"/>
      <c r="F859" s="874"/>
      <c r="G859" s="864"/>
      <c r="H859" s="874"/>
      <c r="I859" s="874"/>
      <c r="J859" s="874"/>
      <c r="K859" s="874"/>
      <c r="L859" s="874"/>
      <c r="M859" s="874"/>
      <c r="N859" s="874"/>
      <c r="O859" s="874"/>
      <c r="P859" s="874"/>
      <c r="Q859" s="874"/>
      <c r="R859" s="874"/>
      <c r="S859" s="874"/>
      <c r="T859" s="874"/>
      <c r="U859" s="874"/>
      <c r="V859" s="874"/>
      <c r="W859" s="874"/>
      <c r="X859" s="874"/>
      <c r="Y859" s="874"/>
      <c r="Z859" s="874"/>
    </row>
    <row r="860" ht="63.75" customHeight="1">
      <c r="A860" s="874"/>
      <c r="B860" s="874"/>
      <c r="C860" s="874"/>
      <c r="D860" s="882"/>
      <c r="E860" s="874"/>
      <c r="F860" s="874"/>
      <c r="G860" s="864"/>
      <c r="H860" s="874"/>
      <c r="I860" s="874"/>
      <c r="J860" s="874"/>
      <c r="K860" s="874"/>
      <c r="L860" s="874"/>
      <c r="M860" s="874"/>
      <c r="N860" s="874"/>
      <c r="O860" s="874"/>
      <c r="P860" s="874"/>
      <c r="Q860" s="874"/>
      <c r="R860" s="874"/>
      <c r="S860" s="874"/>
      <c r="T860" s="874"/>
      <c r="U860" s="874"/>
      <c r="V860" s="874"/>
      <c r="W860" s="874"/>
      <c r="X860" s="874"/>
      <c r="Y860" s="874"/>
      <c r="Z860" s="874"/>
    </row>
    <row r="861" ht="63.75" customHeight="1">
      <c r="A861" s="874"/>
      <c r="B861" s="874"/>
      <c r="C861" s="874"/>
      <c r="D861" s="882"/>
      <c r="E861" s="874"/>
      <c r="F861" s="874"/>
      <c r="G861" s="864"/>
      <c r="H861" s="874"/>
      <c r="I861" s="874"/>
      <c r="J861" s="874"/>
      <c r="K861" s="874"/>
      <c r="L861" s="874"/>
      <c r="M861" s="874"/>
      <c r="N861" s="874"/>
      <c r="O861" s="874"/>
      <c r="P861" s="874"/>
      <c r="Q861" s="874"/>
      <c r="R861" s="874"/>
      <c r="S861" s="874"/>
      <c r="T861" s="874"/>
      <c r="U861" s="874"/>
      <c r="V861" s="874"/>
      <c r="W861" s="874"/>
      <c r="X861" s="874"/>
      <c r="Y861" s="874"/>
      <c r="Z861" s="874"/>
    </row>
    <row r="862" ht="63.75" customHeight="1">
      <c r="A862" s="874"/>
      <c r="B862" s="874"/>
      <c r="C862" s="874"/>
      <c r="D862" s="882"/>
      <c r="E862" s="874"/>
      <c r="F862" s="874"/>
      <c r="G862" s="864"/>
      <c r="H862" s="874"/>
      <c r="I862" s="874"/>
      <c r="J862" s="874"/>
      <c r="K862" s="874"/>
      <c r="L862" s="874"/>
      <c r="M862" s="874"/>
      <c r="N862" s="874"/>
      <c r="O862" s="874"/>
      <c r="P862" s="874"/>
      <c r="Q862" s="874"/>
      <c r="R862" s="874"/>
      <c r="S862" s="874"/>
      <c r="T862" s="874"/>
      <c r="U862" s="874"/>
      <c r="V862" s="874"/>
      <c r="W862" s="874"/>
      <c r="X862" s="874"/>
      <c r="Y862" s="874"/>
      <c r="Z862" s="874"/>
    </row>
    <row r="863" ht="63.75" customHeight="1">
      <c r="A863" s="874"/>
      <c r="B863" s="874"/>
      <c r="C863" s="874"/>
      <c r="D863" s="882"/>
      <c r="E863" s="874"/>
      <c r="F863" s="874"/>
      <c r="G863" s="864"/>
      <c r="H863" s="874"/>
      <c r="I863" s="874"/>
      <c r="J863" s="874"/>
      <c r="K863" s="874"/>
      <c r="L863" s="874"/>
      <c r="M863" s="874"/>
      <c r="N863" s="874"/>
      <c r="O863" s="874"/>
      <c r="P863" s="874"/>
      <c r="Q863" s="874"/>
      <c r="R863" s="874"/>
      <c r="S863" s="874"/>
      <c r="T863" s="874"/>
      <c r="U863" s="874"/>
      <c r="V863" s="874"/>
      <c r="W863" s="874"/>
      <c r="X863" s="874"/>
      <c r="Y863" s="874"/>
      <c r="Z863" s="874"/>
    </row>
    <row r="864" ht="63.75" customHeight="1">
      <c r="A864" s="874"/>
      <c r="B864" s="874"/>
      <c r="C864" s="874"/>
      <c r="D864" s="882"/>
      <c r="E864" s="874"/>
      <c r="F864" s="874"/>
      <c r="G864" s="864"/>
      <c r="H864" s="874"/>
      <c r="I864" s="874"/>
      <c r="J864" s="874"/>
      <c r="K864" s="874"/>
      <c r="L864" s="874"/>
      <c r="M864" s="874"/>
      <c r="N864" s="874"/>
      <c r="O864" s="874"/>
      <c r="P864" s="874"/>
      <c r="Q864" s="874"/>
      <c r="R864" s="874"/>
      <c r="S864" s="874"/>
      <c r="T864" s="874"/>
      <c r="U864" s="874"/>
      <c r="V864" s="874"/>
      <c r="W864" s="874"/>
      <c r="X864" s="874"/>
      <c r="Y864" s="874"/>
      <c r="Z864" s="874"/>
    </row>
    <row r="865" ht="63.75" customHeight="1">
      <c r="A865" s="874"/>
      <c r="B865" s="874"/>
      <c r="C865" s="874"/>
      <c r="D865" s="882"/>
      <c r="E865" s="874"/>
      <c r="F865" s="874"/>
      <c r="G865" s="864"/>
      <c r="H865" s="874"/>
      <c r="I865" s="874"/>
      <c r="J865" s="874"/>
      <c r="K865" s="874"/>
      <c r="L865" s="874"/>
      <c r="M865" s="874"/>
      <c r="N865" s="874"/>
      <c r="O865" s="874"/>
      <c r="P865" s="874"/>
      <c r="Q865" s="874"/>
      <c r="R865" s="874"/>
      <c r="S865" s="874"/>
      <c r="T865" s="874"/>
      <c r="U865" s="874"/>
      <c r="V865" s="874"/>
      <c r="W865" s="874"/>
      <c r="X865" s="874"/>
      <c r="Y865" s="874"/>
      <c r="Z865" s="874"/>
    </row>
    <row r="866" ht="63.75" customHeight="1">
      <c r="A866" s="874"/>
      <c r="B866" s="874"/>
      <c r="C866" s="874"/>
      <c r="D866" s="882"/>
      <c r="E866" s="874"/>
      <c r="F866" s="874"/>
      <c r="G866" s="864"/>
      <c r="H866" s="874"/>
      <c r="I866" s="874"/>
      <c r="J866" s="874"/>
      <c r="K866" s="874"/>
      <c r="L866" s="874"/>
      <c r="M866" s="874"/>
      <c r="N866" s="874"/>
      <c r="O866" s="874"/>
      <c r="P866" s="874"/>
      <c r="Q866" s="874"/>
      <c r="R866" s="874"/>
      <c r="S866" s="874"/>
      <c r="T866" s="874"/>
      <c r="U866" s="874"/>
      <c r="V866" s="874"/>
      <c r="W866" s="874"/>
      <c r="X866" s="874"/>
      <c r="Y866" s="874"/>
      <c r="Z866" s="874"/>
    </row>
    <row r="867" ht="63.75" customHeight="1">
      <c r="A867" s="874"/>
      <c r="B867" s="874"/>
      <c r="C867" s="874"/>
      <c r="D867" s="882"/>
      <c r="E867" s="874"/>
      <c r="F867" s="874"/>
      <c r="G867" s="864"/>
      <c r="H867" s="874"/>
      <c r="I867" s="874"/>
      <c r="J867" s="874"/>
      <c r="K867" s="874"/>
      <c r="L867" s="874"/>
      <c r="M867" s="874"/>
      <c r="N867" s="874"/>
      <c r="O867" s="874"/>
      <c r="P867" s="874"/>
      <c r="Q867" s="874"/>
      <c r="R867" s="874"/>
      <c r="S867" s="874"/>
      <c r="T867" s="874"/>
      <c r="U867" s="874"/>
      <c r="V867" s="874"/>
      <c r="W867" s="874"/>
      <c r="X867" s="874"/>
      <c r="Y867" s="874"/>
      <c r="Z867" s="874"/>
    </row>
    <row r="868" ht="63.75" customHeight="1">
      <c r="A868" s="874"/>
      <c r="B868" s="874"/>
      <c r="C868" s="874"/>
      <c r="D868" s="882"/>
      <c r="E868" s="874"/>
      <c r="F868" s="874"/>
      <c r="G868" s="864"/>
      <c r="H868" s="874"/>
      <c r="I868" s="874"/>
      <c r="J868" s="874"/>
      <c r="K868" s="874"/>
      <c r="L868" s="874"/>
      <c r="M868" s="874"/>
      <c r="N868" s="874"/>
      <c r="O868" s="874"/>
      <c r="P868" s="874"/>
      <c r="Q868" s="874"/>
      <c r="R868" s="874"/>
      <c r="S868" s="874"/>
      <c r="T868" s="874"/>
      <c r="U868" s="874"/>
      <c r="V868" s="874"/>
      <c r="W868" s="874"/>
      <c r="X868" s="874"/>
      <c r="Y868" s="874"/>
      <c r="Z868" s="874"/>
    </row>
    <row r="869" ht="63.75" customHeight="1">
      <c r="A869" s="874"/>
      <c r="B869" s="874"/>
      <c r="C869" s="874"/>
      <c r="D869" s="882"/>
      <c r="E869" s="874"/>
      <c r="F869" s="874"/>
      <c r="G869" s="864"/>
      <c r="H869" s="874"/>
      <c r="I869" s="874"/>
      <c r="J869" s="874"/>
      <c r="K869" s="874"/>
      <c r="L869" s="874"/>
      <c r="M869" s="874"/>
      <c r="N869" s="874"/>
      <c r="O869" s="874"/>
      <c r="P869" s="874"/>
      <c r="Q869" s="874"/>
      <c r="R869" s="874"/>
      <c r="S869" s="874"/>
      <c r="T869" s="874"/>
      <c r="U869" s="874"/>
      <c r="V869" s="874"/>
      <c r="W869" s="874"/>
      <c r="X869" s="874"/>
      <c r="Y869" s="874"/>
      <c r="Z869" s="874"/>
    </row>
    <row r="870" ht="63.75" customHeight="1">
      <c r="A870" s="874"/>
      <c r="B870" s="874"/>
      <c r="C870" s="874"/>
      <c r="D870" s="882"/>
      <c r="E870" s="874"/>
      <c r="F870" s="874"/>
      <c r="G870" s="864"/>
      <c r="H870" s="874"/>
      <c r="I870" s="874"/>
      <c r="J870" s="874"/>
      <c r="K870" s="874"/>
      <c r="L870" s="874"/>
      <c r="M870" s="874"/>
      <c r="N870" s="874"/>
      <c r="O870" s="874"/>
      <c r="P870" s="874"/>
      <c r="Q870" s="874"/>
      <c r="R870" s="874"/>
      <c r="S870" s="874"/>
      <c r="T870" s="874"/>
      <c r="U870" s="874"/>
      <c r="V870" s="874"/>
      <c r="W870" s="874"/>
      <c r="X870" s="874"/>
      <c r="Y870" s="874"/>
      <c r="Z870" s="874"/>
    </row>
    <row r="871" ht="63.75" customHeight="1">
      <c r="A871" s="874"/>
      <c r="B871" s="874"/>
      <c r="C871" s="874"/>
      <c r="D871" s="882"/>
      <c r="E871" s="874"/>
      <c r="F871" s="874"/>
      <c r="G871" s="864"/>
      <c r="H871" s="874"/>
      <c r="I871" s="874"/>
      <c r="J871" s="874"/>
      <c r="K871" s="874"/>
      <c r="L871" s="874"/>
      <c r="M871" s="874"/>
      <c r="N871" s="874"/>
      <c r="O871" s="874"/>
      <c r="P871" s="874"/>
      <c r="Q871" s="874"/>
      <c r="R871" s="874"/>
      <c r="S871" s="874"/>
      <c r="T871" s="874"/>
      <c r="U871" s="874"/>
      <c r="V871" s="874"/>
      <c r="W871" s="874"/>
      <c r="X871" s="874"/>
      <c r="Y871" s="874"/>
      <c r="Z871" s="874"/>
    </row>
    <row r="872" ht="63.75" customHeight="1">
      <c r="A872" s="874"/>
      <c r="B872" s="874"/>
      <c r="C872" s="874"/>
      <c r="D872" s="882"/>
      <c r="E872" s="874"/>
      <c r="F872" s="874"/>
      <c r="G872" s="864"/>
      <c r="H872" s="874"/>
      <c r="I872" s="874"/>
      <c r="J872" s="874"/>
      <c r="K872" s="874"/>
      <c r="L872" s="874"/>
      <c r="M872" s="874"/>
      <c r="N872" s="874"/>
      <c r="O872" s="874"/>
      <c r="P872" s="874"/>
      <c r="Q872" s="874"/>
      <c r="R872" s="874"/>
      <c r="S872" s="874"/>
      <c r="T872" s="874"/>
      <c r="U872" s="874"/>
      <c r="V872" s="874"/>
      <c r="W872" s="874"/>
      <c r="X872" s="874"/>
      <c r="Y872" s="874"/>
      <c r="Z872" s="874"/>
    </row>
    <row r="873" ht="63.75" customHeight="1">
      <c r="A873" s="874"/>
      <c r="B873" s="874"/>
      <c r="C873" s="874"/>
      <c r="D873" s="882"/>
      <c r="E873" s="874"/>
      <c r="F873" s="874"/>
      <c r="G873" s="864"/>
      <c r="H873" s="874"/>
      <c r="I873" s="874"/>
      <c r="J873" s="874"/>
      <c r="K873" s="874"/>
      <c r="L873" s="874"/>
      <c r="M873" s="874"/>
      <c r="N873" s="874"/>
      <c r="O873" s="874"/>
      <c r="P873" s="874"/>
      <c r="Q873" s="874"/>
      <c r="R873" s="874"/>
      <c r="S873" s="874"/>
      <c r="T873" s="874"/>
      <c r="U873" s="874"/>
      <c r="V873" s="874"/>
      <c r="W873" s="874"/>
      <c r="X873" s="874"/>
      <c r="Y873" s="874"/>
      <c r="Z873" s="874"/>
    </row>
    <row r="874" ht="63.75" customHeight="1">
      <c r="A874" s="874"/>
      <c r="B874" s="874"/>
      <c r="C874" s="874"/>
      <c r="D874" s="882"/>
      <c r="E874" s="874"/>
      <c r="F874" s="874"/>
      <c r="G874" s="864"/>
      <c r="H874" s="874"/>
      <c r="I874" s="874"/>
      <c r="J874" s="874"/>
      <c r="K874" s="874"/>
      <c r="L874" s="874"/>
      <c r="M874" s="874"/>
      <c r="N874" s="874"/>
      <c r="O874" s="874"/>
      <c r="P874" s="874"/>
      <c r="Q874" s="874"/>
      <c r="R874" s="874"/>
      <c r="S874" s="874"/>
      <c r="T874" s="874"/>
      <c r="U874" s="874"/>
      <c r="V874" s="874"/>
      <c r="W874" s="874"/>
      <c r="X874" s="874"/>
      <c r="Y874" s="874"/>
      <c r="Z874" s="874"/>
    </row>
    <row r="875" ht="63.75" customHeight="1">
      <c r="A875" s="874"/>
      <c r="B875" s="874"/>
      <c r="C875" s="874"/>
      <c r="D875" s="882"/>
      <c r="E875" s="874"/>
      <c r="F875" s="874"/>
      <c r="G875" s="864"/>
      <c r="H875" s="874"/>
      <c r="I875" s="874"/>
      <c r="J875" s="874"/>
      <c r="K875" s="874"/>
      <c r="L875" s="874"/>
      <c r="M875" s="874"/>
      <c r="N875" s="874"/>
      <c r="O875" s="874"/>
      <c r="P875" s="874"/>
      <c r="Q875" s="874"/>
      <c r="R875" s="874"/>
      <c r="S875" s="874"/>
      <c r="T875" s="874"/>
      <c r="U875" s="874"/>
      <c r="V875" s="874"/>
      <c r="W875" s="874"/>
      <c r="X875" s="874"/>
      <c r="Y875" s="874"/>
      <c r="Z875" s="874"/>
    </row>
    <row r="876" ht="63.75" customHeight="1">
      <c r="A876" s="874"/>
      <c r="B876" s="874"/>
      <c r="C876" s="874"/>
      <c r="D876" s="882"/>
      <c r="E876" s="874"/>
      <c r="F876" s="874"/>
      <c r="G876" s="864"/>
      <c r="H876" s="874"/>
      <c r="I876" s="874"/>
      <c r="J876" s="874"/>
      <c r="K876" s="874"/>
      <c r="L876" s="874"/>
      <c r="M876" s="874"/>
      <c r="N876" s="874"/>
      <c r="O876" s="874"/>
      <c r="P876" s="874"/>
      <c r="Q876" s="874"/>
      <c r="R876" s="874"/>
      <c r="S876" s="874"/>
      <c r="T876" s="874"/>
      <c r="U876" s="874"/>
      <c r="V876" s="874"/>
      <c r="W876" s="874"/>
      <c r="X876" s="874"/>
      <c r="Y876" s="874"/>
      <c r="Z876" s="874"/>
    </row>
    <row r="877" ht="63.75" customHeight="1">
      <c r="A877" s="874"/>
      <c r="B877" s="874"/>
      <c r="C877" s="874"/>
      <c r="D877" s="882"/>
      <c r="E877" s="874"/>
      <c r="F877" s="874"/>
      <c r="G877" s="864"/>
      <c r="H877" s="874"/>
      <c r="I877" s="874"/>
      <c r="J877" s="874"/>
      <c r="K877" s="874"/>
      <c r="L877" s="874"/>
      <c r="M877" s="874"/>
      <c r="N877" s="874"/>
      <c r="O877" s="874"/>
      <c r="P877" s="874"/>
      <c r="Q877" s="874"/>
      <c r="R877" s="874"/>
      <c r="S877" s="874"/>
      <c r="T877" s="874"/>
      <c r="U877" s="874"/>
      <c r="V877" s="874"/>
      <c r="W877" s="874"/>
      <c r="X877" s="874"/>
      <c r="Y877" s="874"/>
      <c r="Z877" s="874"/>
    </row>
    <row r="878" ht="63.75" customHeight="1">
      <c r="A878" s="874"/>
      <c r="B878" s="874"/>
      <c r="C878" s="874"/>
      <c r="D878" s="882"/>
      <c r="E878" s="874"/>
      <c r="F878" s="874"/>
      <c r="G878" s="864"/>
      <c r="H878" s="874"/>
      <c r="I878" s="874"/>
      <c r="J878" s="874"/>
      <c r="K878" s="874"/>
      <c r="L878" s="874"/>
      <c r="M878" s="874"/>
      <c r="N878" s="874"/>
      <c r="O878" s="874"/>
      <c r="P878" s="874"/>
      <c r="Q878" s="874"/>
      <c r="R878" s="874"/>
      <c r="S878" s="874"/>
      <c r="T878" s="874"/>
      <c r="U878" s="874"/>
      <c r="V878" s="874"/>
      <c r="W878" s="874"/>
      <c r="X878" s="874"/>
      <c r="Y878" s="874"/>
      <c r="Z878" s="874"/>
    </row>
    <row r="879" ht="63.75" customHeight="1">
      <c r="A879" s="874"/>
      <c r="B879" s="874"/>
      <c r="C879" s="874"/>
      <c r="D879" s="882"/>
      <c r="E879" s="874"/>
      <c r="F879" s="874"/>
      <c r="G879" s="864"/>
      <c r="H879" s="874"/>
      <c r="I879" s="874"/>
      <c r="J879" s="874"/>
      <c r="K879" s="874"/>
      <c r="L879" s="874"/>
      <c r="M879" s="874"/>
      <c r="N879" s="874"/>
      <c r="O879" s="874"/>
      <c r="P879" s="874"/>
      <c r="Q879" s="874"/>
      <c r="R879" s="874"/>
      <c r="S879" s="874"/>
      <c r="T879" s="874"/>
      <c r="U879" s="874"/>
      <c r="V879" s="874"/>
      <c r="W879" s="874"/>
      <c r="X879" s="874"/>
      <c r="Y879" s="874"/>
      <c r="Z879" s="874"/>
    </row>
    <row r="880" ht="63.75" customHeight="1">
      <c r="A880" s="874"/>
      <c r="B880" s="874"/>
      <c r="C880" s="874"/>
      <c r="D880" s="882"/>
      <c r="E880" s="874"/>
      <c r="F880" s="874"/>
      <c r="G880" s="864"/>
      <c r="H880" s="874"/>
      <c r="I880" s="874"/>
      <c r="J880" s="874"/>
      <c r="K880" s="874"/>
      <c r="L880" s="874"/>
      <c r="M880" s="874"/>
      <c r="N880" s="874"/>
      <c r="O880" s="874"/>
      <c r="P880" s="874"/>
      <c r="Q880" s="874"/>
      <c r="R880" s="874"/>
      <c r="S880" s="874"/>
      <c r="T880" s="874"/>
      <c r="U880" s="874"/>
      <c r="V880" s="874"/>
      <c r="W880" s="874"/>
      <c r="X880" s="874"/>
      <c r="Y880" s="874"/>
      <c r="Z880" s="874"/>
    </row>
    <row r="881" ht="63.75" customHeight="1">
      <c r="A881" s="874"/>
      <c r="B881" s="874"/>
      <c r="C881" s="874"/>
      <c r="D881" s="882"/>
      <c r="E881" s="874"/>
      <c r="F881" s="874"/>
      <c r="G881" s="864"/>
      <c r="H881" s="874"/>
      <c r="I881" s="874"/>
      <c r="J881" s="874"/>
      <c r="K881" s="874"/>
      <c r="L881" s="874"/>
      <c r="M881" s="874"/>
      <c r="N881" s="874"/>
      <c r="O881" s="874"/>
      <c r="P881" s="874"/>
      <c r="Q881" s="874"/>
      <c r="R881" s="874"/>
      <c r="S881" s="874"/>
      <c r="T881" s="874"/>
      <c r="U881" s="874"/>
      <c r="V881" s="874"/>
      <c r="W881" s="874"/>
      <c r="X881" s="874"/>
      <c r="Y881" s="874"/>
      <c r="Z881" s="874"/>
    </row>
    <row r="882" ht="63.75" customHeight="1">
      <c r="A882" s="874"/>
      <c r="B882" s="874"/>
      <c r="C882" s="874"/>
      <c r="D882" s="882"/>
      <c r="E882" s="874"/>
      <c r="F882" s="874"/>
      <c r="G882" s="864"/>
      <c r="H882" s="874"/>
      <c r="I882" s="874"/>
      <c r="J882" s="874"/>
      <c r="K882" s="874"/>
      <c r="L882" s="874"/>
      <c r="M882" s="874"/>
      <c r="N882" s="874"/>
      <c r="O882" s="874"/>
      <c r="P882" s="874"/>
      <c r="Q882" s="874"/>
      <c r="R882" s="874"/>
      <c r="S882" s="874"/>
      <c r="T882" s="874"/>
      <c r="U882" s="874"/>
      <c r="V882" s="874"/>
      <c r="W882" s="874"/>
      <c r="X882" s="874"/>
      <c r="Y882" s="874"/>
      <c r="Z882" s="874"/>
    </row>
    <row r="883" ht="63.75" customHeight="1">
      <c r="A883" s="874"/>
      <c r="B883" s="874"/>
      <c r="C883" s="874"/>
      <c r="D883" s="882"/>
      <c r="E883" s="874"/>
      <c r="F883" s="874"/>
      <c r="G883" s="864"/>
      <c r="H883" s="874"/>
      <c r="I883" s="874"/>
      <c r="J883" s="874"/>
      <c r="K883" s="874"/>
      <c r="L883" s="874"/>
      <c r="M883" s="874"/>
      <c r="N883" s="874"/>
      <c r="O883" s="874"/>
      <c r="P883" s="874"/>
      <c r="Q883" s="874"/>
      <c r="R883" s="874"/>
      <c r="S883" s="874"/>
      <c r="T883" s="874"/>
      <c r="U883" s="874"/>
      <c r="V883" s="874"/>
      <c r="W883" s="874"/>
      <c r="X883" s="874"/>
      <c r="Y883" s="874"/>
      <c r="Z883" s="874"/>
    </row>
    <row r="884" ht="63.75" customHeight="1">
      <c r="A884" s="874"/>
      <c r="B884" s="874"/>
      <c r="C884" s="874"/>
      <c r="D884" s="882"/>
      <c r="E884" s="874"/>
      <c r="F884" s="874"/>
      <c r="G884" s="864"/>
      <c r="H884" s="874"/>
      <c r="I884" s="874"/>
      <c r="J884" s="874"/>
      <c r="K884" s="874"/>
      <c r="L884" s="874"/>
      <c r="M884" s="874"/>
      <c r="N884" s="874"/>
      <c r="O884" s="874"/>
      <c r="P884" s="874"/>
      <c r="Q884" s="874"/>
      <c r="R884" s="874"/>
      <c r="S884" s="874"/>
      <c r="T884" s="874"/>
      <c r="U884" s="874"/>
      <c r="V884" s="874"/>
      <c r="W884" s="874"/>
      <c r="X884" s="874"/>
      <c r="Y884" s="874"/>
      <c r="Z884" s="874"/>
    </row>
    <row r="885" ht="63.75" customHeight="1">
      <c r="A885" s="874"/>
      <c r="B885" s="874"/>
      <c r="C885" s="874"/>
      <c r="D885" s="882"/>
      <c r="E885" s="874"/>
      <c r="F885" s="874"/>
      <c r="G885" s="864"/>
      <c r="H885" s="874"/>
      <c r="I885" s="874"/>
      <c r="J885" s="874"/>
      <c r="K885" s="874"/>
      <c r="L885" s="874"/>
      <c r="M885" s="874"/>
      <c r="N885" s="874"/>
      <c r="O885" s="874"/>
      <c r="P885" s="874"/>
      <c r="Q885" s="874"/>
      <c r="R885" s="874"/>
      <c r="S885" s="874"/>
      <c r="T885" s="874"/>
      <c r="U885" s="874"/>
      <c r="V885" s="874"/>
      <c r="W885" s="874"/>
      <c r="X885" s="874"/>
      <c r="Y885" s="874"/>
      <c r="Z885" s="874"/>
    </row>
    <row r="886" ht="63.75" customHeight="1">
      <c r="A886" s="874"/>
      <c r="B886" s="874"/>
      <c r="C886" s="874"/>
      <c r="D886" s="882"/>
      <c r="E886" s="874"/>
      <c r="F886" s="874"/>
      <c r="G886" s="864"/>
      <c r="H886" s="874"/>
      <c r="I886" s="874"/>
      <c r="J886" s="874"/>
      <c r="K886" s="874"/>
      <c r="L886" s="874"/>
      <c r="M886" s="874"/>
      <c r="N886" s="874"/>
      <c r="O886" s="874"/>
      <c r="P886" s="874"/>
      <c r="Q886" s="874"/>
      <c r="R886" s="874"/>
      <c r="S886" s="874"/>
      <c r="T886" s="874"/>
      <c r="U886" s="874"/>
      <c r="V886" s="874"/>
      <c r="W886" s="874"/>
      <c r="X886" s="874"/>
      <c r="Y886" s="874"/>
      <c r="Z886" s="874"/>
    </row>
    <row r="887" ht="63.75" customHeight="1">
      <c r="A887" s="874"/>
      <c r="B887" s="874"/>
      <c r="C887" s="874"/>
      <c r="D887" s="882"/>
      <c r="E887" s="874"/>
      <c r="F887" s="874"/>
      <c r="G887" s="864"/>
      <c r="H887" s="874"/>
      <c r="I887" s="874"/>
      <c r="J887" s="874"/>
      <c r="K887" s="874"/>
      <c r="L887" s="874"/>
      <c r="M887" s="874"/>
      <c r="N887" s="874"/>
      <c r="O887" s="874"/>
      <c r="P887" s="874"/>
      <c r="Q887" s="874"/>
      <c r="R887" s="874"/>
      <c r="S887" s="874"/>
      <c r="T887" s="874"/>
      <c r="U887" s="874"/>
      <c r="V887" s="874"/>
      <c r="W887" s="874"/>
      <c r="X887" s="874"/>
      <c r="Y887" s="874"/>
      <c r="Z887" s="874"/>
    </row>
    <row r="888" ht="63.75" customHeight="1">
      <c r="A888" s="874"/>
      <c r="B888" s="874"/>
      <c r="C888" s="874"/>
      <c r="D888" s="882"/>
      <c r="E888" s="874"/>
      <c r="F888" s="874"/>
      <c r="G888" s="864"/>
      <c r="H888" s="874"/>
      <c r="I888" s="874"/>
      <c r="J888" s="874"/>
      <c r="K888" s="874"/>
      <c r="L888" s="874"/>
      <c r="M888" s="874"/>
      <c r="N888" s="874"/>
      <c r="O888" s="874"/>
      <c r="P888" s="874"/>
      <c r="Q888" s="874"/>
      <c r="R888" s="874"/>
      <c r="S888" s="874"/>
      <c r="T888" s="874"/>
      <c r="U888" s="874"/>
      <c r="V888" s="874"/>
      <c r="W888" s="874"/>
      <c r="X888" s="874"/>
      <c r="Y888" s="874"/>
      <c r="Z888" s="874"/>
    </row>
    <row r="889" ht="63.75" customHeight="1">
      <c r="A889" s="874"/>
      <c r="B889" s="874"/>
      <c r="C889" s="874"/>
      <c r="D889" s="882"/>
      <c r="E889" s="874"/>
      <c r="F889" s="874"/>
      <c r="G889" s="864"/>
      <c r="H889" s="874"/>
      <c r="I889" s="874"/>
      <c r="J889" s="874"/>
      <c r="K889" s="874"/>
      <c r="L889" s="874"/>
      <c r="M889" s="874"/>
      <c r="N889" s="874"/>
      <c r="O889" s="874"/>
      <c r="P889" s="874"/>
      <c r="Q889" s="874"/>
      <c r="R889" s="874"/>
      <c r="S889" s="874"/>
      <c r="T889" s="874"/>
      <c r="U889" s="874"/>
      <c r="V889" s="874"/>
      <c r="W889" s="874"/>
      <c r="X889" s="874"/>
      <c r="Y889" s="874"/>
      <c r="Z889" s="874"/>
    </row>
    <row r="890" ht="63.75" customHeight="1">
      <c r="A890" s="874"/>
      <c r="B890" s="874"/>
      <c r="C890" s="874"/>
      <c r="D890" s="882"/>
      <c r="E890" s="874"/>
      <c r="F890" s="874"/>
      <c r="G890" s="864"/>
      <c r="H890" s="874"/>
      <c r="I890" s="874"/>
      <c r="J890" s="874"/>
      <c r="K890" s="874"/>
      <c r="L890" s="874"/>
      <c r="M890" s="874"/>
      <c r="N890" s="874"/>
      <c r="O890" s="874"/>
      <c r="P890" s="874"/>
      <c r="Q890" s="874"/>
      <c r="R890" s="874"/>
      <c r="S890" s="874"/>
      <c r="T890" s="874"/>
      <c r="U890" s="874"/>
      <c r="V890" s="874"/>
      <c r="W890" s="874"/>
      <c r="X890" s="874"/>
      <c r="Y890" s="874"/>
      <c r="Z890" s="874"/>
    </row>
    <row r="891" ht="63.75" customHeight="1">
      <c r="A891" s="874"/>
      <c r="B891" s="874"/>
      <c r="C891" s="874"/>
      <c r="D891" s="882"/>
      <c r="E891" s="874"/>
      <c r="F891" s="874"/>
      <c r="G891" s="864"/>
      <c r="H891" s="874"/>
      <c r="I891" s="874"/>
      <c r="J891" s="874"/>
      <c r="K891" s="874"/>
      <c r="L891" s="874"/>
      <c r="M891" s="874"/>
      <c r="N891" s="874"/>
      <c r="O891" s="874"/>
      <c r="P891" s="874"/>
      <c r="Q891" s="874"/>
      <c r="R891" s="874"/>
      <c r="S891" s="874"/>
      <c r="T891" s="874"/>
      <c r="U891" s="874"/>
      <c r="V891" s="874"/>
      <c r="W891" s="874"/>
      <c r="X891" s="874"/>
      <c r="Y891" s="874"/>
      <c r="Z891" s="874"/>
    </row>
    <row r="892" ht="63.75" customHeight="1">
      <c r="A892" s="874"/>
      <c r="B892" s="874"/>
      <c r="C892" s="874"/>
      <c r="D892" s="882"/>
      <c r="E892" s="874"/>
      <c r="F892" s="874"/>
      <c r="G892" s="864"/>
      <c r="H892" s="874"/>
      <c r="I892" s="874"/>
      <c r="J892" s="874"/>
      <c r="K892" s="874"/>
      <c r="L892" s="874"/>
      <c r="M892" s="874"/>
      <c r="N892" s="874"/>
      <c r="O892" s="874"/>
      <c r="P892" s="874"/>
      <c r="Q892" s="874"/>
      <c r="R892" s="874"/>
      <c r="S892" s="874"/>
      <c r="T892" s="874"/>
      <c r="U892" s="874"/>
      <c r="V892" s="874"/>
      <c r="W892" s="874"/>
      <c r="X892" s="874"/>
      <c r="Y892" s="874"/>
      <c r="Z892" s="874"/>
    </row>
    <row r="893" ht="63.75" customHeight="1">
      <c r="A893" s="874"/>
      <c r="B893" s="874"/>
      <c r="C893" s="874"/>
      <c r="D893" s="882"/>
      <c r="E893" s="874"/>
      <c r="F893" s="874"/>
      <c r="G893" s="864"/>
      <c r="H893" s="874"/>
      <c r="I893" s="874"/>
      <c r="J893" s="874"/>
      <c r="K893" s="874"/>
      <c r="L893" s="874"/>
      <c r="M893" s="874"/>
      <c r="N893" s="874"/>
      <c r="O893" s="874"/>
      <c r="P893" s="874"/>
      <c r="Q893" s="874"/>
      <c r="R893" s="874"/>
      <c r="S893" s="874"/>
      <c r="T893" s="874"/>
      <c r="U893" s="874"/>
      <c r="V893" s="874"/>
      <c r="W893" s="874"/>
      <c r="X893" s="874"/>
      <c r="Y893" s="874"/>
      <c r="Z893" s="874"/>
    </row>
    <row r="894" ht="63.75" customHeight="1">
      <c r="A894" s="874"/>
      <c r="B894" s="874"/>
      <c r="C894" s="874"/>
      <c r="D894" s="882"/>
      <c r="E894" s="874"/>
      <c r="F894" s="874"/>
      <c r="G894" s="864"/>
      <c r="H894" s="874"/>
      <c r="I894" s="874"/>
      <c r="J894" s="874"/>
      <c r="K894" s="874"/>
      <c r="L894" s="874"/>
      <c r="M894" s="874"/>
      <c r="N894" s="874"/>
      <c r="O894" s="874"/>
      <c r="P894" s="874"/>
      <c r="Q894" s="874"/>
      <c r="R894" s="874"/>
      <c r="S894" s="874"/>
      <c r="T894" s="874"/>
      <c r="U894" s="874"/>
      <c r="V894" s="874"/>
      <c r="W894" s="874"/>
      <c r="X894" s="874"/>
      <c r="Y894" s="874"/>
      <c r="Z894" s="874"/>
    </row>
    <row r="895" ht="63.75" customHeight="1">
      <c r="A895" s="874"/>
      <c r="B895" s="874"/>
      <c r="C895" s="874"/>
      <c r="D895" s="882"/>
      <c r="E895" s="874"/>
      <c r="F895" s="874"/>
      <c r="G895" s="864"/>
      <c r="H895" s="874"/>
      <c r="I895" s="874"/>
      <c r="J895" s="874"/>
      <c r="K895" s="874"/>
      <c r="L895" s="874"/>
      <c r="M895" s="874"/>
      <c r="N895" s="874"/>
      <c r="O895" s="874"/>
      <c r="P895" s="874"/>
      <c r="Q895" s="874"/>
      <c r="R895" s="874"/>
      <c r="S895" s="874"/>
      <c r="T895" s="874"/>
      <c r="U895" s="874"/>
      <c r="V895" s="874"/>
      <c r="W895" s="874"/>
      <c r="X895" s="874"/>
      <c r="Y895" s="874"/>
      <c r="Z895" s="874"/>
    </row>
    <row r="896" ht="63.75" customHeight="1">
      <c r="A896" s="874"/>
      <c r="B896" s="874"/>
      <c r="C896" s="874"/>
      <c r="D896" s="882"/>
      <c r="E896" s="874"/>
      <c r="F896" s="874"/>
      <c r="G896" s="864"/>
      <c r="H896" s="874"/>
      <c r="I896" s="874"/>
      <c r="J896" s="874"/>
      <c r="K896" s="874"/>
      <c r="L896" s="874"/>
      <c r="M896" s="874"/>
      <c r="N896" s="874"/>
      <c r="O896" s="874"/>
      <c r="P896" s="874"/>
      <c r="Q896" s="874"/>
      <c r="R896" s="874"/>
      <c r="S896" s="874"/>
      <c r="T896" s="874"/>
      <c r="U896" s="874"/>
      <c r="V896" s="874"/>
      <c r="W896" s="874"/>
      <c r="X896" s="874"/>
      <c r="Y896" s="874"/>
      <c r="Z896" s="874"/>
    </row>
    <row r="897" ht="63.75" customHeight="1">
      <c r="A897" s="874"/>
      <c r="B897" s="874"/>
      <c r="C897" s="874"/>
      <c r="D897" s="882"/>
      <c r="E897" s="874"/>
      <c r="F897" s="874"/>
      <c r="G897" s="864"/>
      <c r="H897" s="874"/>
      <c r="I897" s="874"/>
      <c r="J897" s="874"/>
      <c r="K897" s="874"/>
      <c r="L897" s="874"/>
      <c r="M897" s="874"/>
      <c r="N897" s="874"/>
      <c r="O897" s="874"/>
      <c r="P897" s="874"/>
      <c r="Q897" s="874"/>
      <c r="R897" s="874"/>
      <c r="S897" s="874"/>
      <c r="T897" s="874"/>
      <c r="U897" s="874"/>
      <c r="V897" s="874"/>
      <c r="W897" s="874"/>
      <c r="X897" s="874"/>
      <c r="Y897" s="874"/>
      <c r="Z897" s="874"/>
    </row>
    <row r="898" ht="63.75" customHeight="1">
      <c r="A898" s="874"/>
      <c r="B898" s="874"/>
      <c r="C898" s="874"/>
      <c r="D898" s="882"/>
      <c r="E898" s="874"/>
      <c r="F898" s="874"/>
      <c r="G898" s="864"/>
      <c r="H898" s="874"/>
      <c r="I898" s="874"/>
      <c r="J898" s="874"/>
      <c r="K898" s="874"/>
      <c r="L898" s="874"/>
      <c r="M898" s="874"/>
      <c r="N898" s="874"/>
      <c r="O898" s="874"/>
      <c r="P898" s="874"/>
      <c r="Q898" s="874"/>
      <c r="R898" s="874"/>
      <c r="S898" s="874"/>
      <c r="T898" s="874"/>
      <c r="U898" s="874"/>
      <c r="V898" s="874"/>
      <c r="W898" s="874"/>
      <c r="X898" s="874"/>
      <c r="Y898" s="874"/>
      <c r="Z898" s="874"/>
    </row>
    <row r="899" ht="63.75" customHeight="1">
      <c r="A899" s="874"/>
      <c r="B899" s="874"/>
      <c r="C899" s="874"/>
      <c r="D899" s="882"/>
      <c r="E899" s="874"/>
      <c r="F899" s="874"/>
      <c r="G899" s="864"/>
      <c r="H899" s="874"/>
      <c r="I899" s="874"/>
      <c r="J899" s="874"/>
      <c r="K899" s="874"/>
      <c r="L899" s="874"/>
      <c r="M899" s="874"/>
      <c r="N899" s="874"/>
      <c r="O899" s="874"/>
      <c r="P899" s="874"/>
      <c r="Q899" s="874"/>
      <c r="R899" s="874"/>
      <c r="S899" s="874"/>
      <c r="T899" s="874"/>
      <c r="U899" s="874"/>
      <c r="V899" s="874"/>
      <c r="W899" s="874"/>
      <c r="X899" s="874"/>
      <c r="Y899" s="874"/>
      <c r="Z899" s="874"/>
    </row>
    <row r="900" ht="63.75" customHeight="1">
      <c r="A900" s="874"/>
      <c r="B900" s="874"/>
      <c r="C900" s="874"/>
      <c r="D900" s="882"/>
      <c r="E900" s="874"/>
      <c r="F900" s="874"/>
      <c r="G900" s="864"/>
      <c r="H900" s="874"/>
      <c r="I900" s="874"/>
      <c r="J900" s="874"/>
      <c r="K900" s="874"/>
      <c r="L900" s="874"/>
      <c r="M900" s="874"/>
      <c r="N900" s="874"/>
      <c r="O900" s="874"/>
      <c r="P900" s="874"/>
      <c r="Q900" s="874"/>
      <c r="R900" s="874"/>
      <c r="S900" s="874"/>
      <c r="T900" s="874"/>
      <c r="U900" s="874"/>
      <c r="V900" s="874"/>
      <c r="W900" s="874"/>
      <c r="X900" s="874"/>
      <c r="Y900" s="874"/>
      <c r="Z900" s="874"/>
    </row>
    <row r="901" ht="63.75" customHeight="1">
      <c r="A901" s="874"/>
      <c r="B901" s="874"/>
      <c r="C901" s="874"/>
      <c r="D901" s="882"/>
      <c r="E901" s="874"/>
      <c r="F901" s="874"/>
      <c r="G901" s="864"/>
      <c r="H901" s="874"/>
      <c r="I901" s="874"/>
      <c r="J901" s="874"/>
      <c r="K901" s="874"/>
      <c r="L901" s="874"/>
      <c r="M901" s="874"/>
      <c r="N901" s="874"/>
      <c r="O901" s="874"/>
      <c r="P901" s="874"/>
      <c r="Q901" s="874"/>
      <c r="R901" s="874"/>
      <c r="S901" s="874"/>
      <c r="T901" s="874"/>
      <c r="U901" s="874"/>
      <c r="V901" s="874"/>
      <c r="W901" s="874"/>
      <c r="X901" s="874"/>
      <c r="Y901" s="874"/>
      <c r="Z901" s="874"/>
    </row>
    <row r="902" ht="63.75" customHeight="1">
      <c r="A902" s="874"/>
      <c r="B902" s="874"/>
      <c r="C902" s="874"/>
      <c r="D902" s="882"/>
      <c r="E902" s="874"/>
      <c r="F902" s="874"/>
      <c r="G902" s="864"/>
      <c r="H902" s="874"/>
      <c r="I902" s="874"/>
      <c r="J902" s="874"/>
      <c r="K902" s="874"/>
      <c r="L902" s="874"/>
      <c r="M902" s="874"/>
      <c r="N902" s="874"/>
      <c r="O902" s="874"/>
      <c r="P902" s="874"/>
      <c r="Q902" s="874"/>
      <c r="R902" s="874"/>
      <c r="S902" s="874"/>
      <c r="T902" s="874"/>
      <c r="U902" s="874"/>
      <c r="V902" s="874"/>
      <c r="W902" s="874"/>
      <c r="X902" s="874"/>
      <c r="Y902" s="874"/>
      <c r="Z902" s="874"/>
    </row>
    <row r="903" ht="63.75" customHeight="1">
      <c r="A903" s="874"/>
      <c r="B903" s="874"/>
      <c r="C903" s="874"/>
      <c r="D903" s="882"/>
      <c r="E903" s="874"/>
      <c r="F903" s="874"/>
      <c r="G903" s="864"/>
      <c r="H903" s="874"/>
      <c r="I903" s="874"/>
      <c r="J903" s="874"/>
      <c r="K903" s="874"/>
      <c r="L903" s="874"/>
      <c r="M903" s="874"/>
      <c r="N903" s="874"/>
      <c r="O903" s="874"/>
      <c r="P903" s="874"/>
      <c r="Q903" s="874"/>
      <c r="R903" s="874"/>
      <c r="S903" s="874"/>
      <c r="T903" s="874"/>
      <c r="U903" s="874"/>
      <c r="V903" s="874"/>
      <c r="W903" s="874"/>
      <c r="X903" s="874"/>
      <c r="Y903" s="874"/>
      <c r="Z903" s="874"/>
    </row>
    <row r="904" ht="63.75" customHeight="1">
      <c r="A904" s="874"/>
      <c r="B904" s="874"/>
      <c r="C904" s="874"/>
      <c r="D904" s="882"/>
      <c r="E904" s="874"/>
      <c r="F904" s="874"/>
      <c r="G904" s="864"/>
      <c r="H904" s="874"/>
      <c r="I904" s="874"/>
      <c r="J904" s="874"/>
      <c r="K904" s="874"/>
      <c r="L904" s="874"/>
      <c r="M904" s="874"/>
      <c r="N904" s="874"/>
      <c r="O904" s="874"/>
      <c r="P904" s="874"/>
      <c r="Q904" s="874"/>
      <c r="R904" s="874"/>
      <c r="S904" s="874"/>
      <c r="T904" s="874"/>
      <c r="U904" s="874"/>
      <c r="V904" s="874"/>
      <c r="W904" s="874"/>
      <c r="X904" s="874"/>
      <c r="Y904" s="874"/>
      <c r="Z904" s="874"/>
    </row>
    <row r="905" ht="63.75" customHeight="1">
      <c r="A905" s="874"/>
      <c r="B905" s="874"/>
      <c r="C905" s="874"/>
      <c r="D905" s="882"/>
      <c r="E905" s="874"/>
      <c r="F905" s="874"/>
      <c r="G905" s="864"/>
      <c r="H905" s="874"/>
      <c r="I905" s="874"/>
      <c r="J905" s="874"/>
      <c r="K905" s="874"/>
      <c r="L905" s="874"/>
      <c r="M905" s="874"/>
      <c r="N905" s="874"/>
      <c r="O905" s="874"/>
      <c r="P905" s="874"/>
      <c r="Q905" s="874"/>
      <c r="R905" s="874"/>
      <c r="S905" s="874"/>
      <c r="T905" s="874"/>
      <c r="U905" s="874"/>
      <c r="V905" s="874"/>
      <c r="W905" s="874"/>
      <c r="X905" s="874"/>
      <c r="Y905" s="874"/>
      <c r="Z905" s="874"/>
    </row>
    <row r="906" ht="63.75" customHeight="1">
      <c r="A906" s="874"/>
      <c r="B906" s="874"/>
      <c r="C906" s="874"/>
      <c r="D906" s="882"/>
      <c r="E906" s="874"/>
      <c r="F906" s="874"/>
      <c r="G906" s="864"/>
      <c r="H906" s="874"/>
      <c r="I906" s="874"/>
      <c r="J906" s="874"/>
      <c r="K906" s="874"/>
      <c r="L906" s="874"/>
      <c r="M906" s="874"/>
      <c r="N906" s="874"/>
      <c r="O906" s="874"/>
      <c r="P906" s="874"/>
      <c r="Q906" s="874"/>
      <c r="R906" s="874"/>
      <c r="S906" s="874"/>
      <c r="T906" s="874"/>
      <c r="U906" s="874"/>
      <c r="V906" s="874"/>
      <c r="W906" s="874"/>
      <c r="X906" s="874"/>
      <c r="Y906" s="874"/>
      <c r="Z906" s="874"/>
    </row>
    <row r="907" ht="63.75" customHeight="1">
      <c r="A907" s="874"/>
      <c r="B907" s="874"/>
      <c r="C907" s="874"/>
      <c r="D907" s="882"/>
      <c r="E907" s="874"/>
      <c r="F907" s="874"/>
      <c r="G907" s="864"/>
      <c r="H907" s="874"/>
      <c r="I907" s="874"/>
      <c r="J907" s="874"/>
      <c r="K907" s="874"/>
      <c r="L907" s="874"/>
      <c r="M907" s="874"/>
      <c r="N907" s="874"/>
      <c r="O907" s="874"/>
      <c r="P907" s="874"/>
      <c r="Q907" s="874"/>
      <c r="R907" s="874"/>
      <c r="S907" s="874"/>
      <c r="T907" s="874"/>
      <c r="U907" s="874"/>
      <c r="V907" s="874"/>
      <c r="W907" s="874"/>
      <c r="X907" s="874"/>
      <c r="Y907" s="874"/>
      <c r="Z907" s="874"/>
    </row>
    <row r="908" ht="63.75" customHeight="1">
      <c r="A908" s="874"/>
      <c r="B908" s="874"/>
      <c r="C908" s="874"/>
      <c r="D908" s="882"/>
      <c r="E908" s="874"/>
      <c r="F908" s="874"/>
      <c r="G908" s="864"/>
      <c r="H908" s="874"/>
      <c r="I908" s="874"/>
      <c r="J908" s="874"/>
      <c r="K908" s="874"/>
      <c r="L908" s="874"/>
      <c r="M908" s="874"/>
      <c r="N908" s="874"/>
      <c r="O908" s="874"/>
      <c r="P908" s="874"/>
      <c r="Q908" s="874"/>
      <c r="R908" s="874"/>
      <c r="S908" s="874"/>
      <c r="T908" s="874"/>
      <c r="U908" s="874"/>
      <c r="V908" s="874"/>
      <c r="W908" s="874"/>
      <c r="X908" s="874"/>
      <c r="Y908" s="874"/>
      <c r="Z908" s="874"/>
    </row>
    <row r="909" ht="63.75" customHeight="1">
      <c r="A909" s="874"/>
      <c r="B909" s="874"/>
      <c r="C909" s="874"/>
      <c r="D909" s="882"/>
      <c r="E909" s="874"/>
      <c r="F909" s="874"/>
      <c r="G909" s="864"/>
      <c r="H909" s="874"/>
      <c r="I909" s="874"/>
      <c r="J909" s="874"/>
      <c r="K909" s="874"/>
      <c r="L909" s="874"/>
      <c r="M909" s="874"/>
      <c r="N909" s="874"/>
      <c r="O909" s="874"/>
      <c r="P909" s="874"/>
      <c r="Q909" s="874"/>
      <c r="R909" s="874"/>
      <c r="S909" s="874"/>
      <c r="T909" s="874"/>
      <c r="U909" s="874"/>
      <c r="V909" s="874"/>
      <c r="W909" s="874"/>
      <c r="X909" s="874"/>
      <c r="Y909" s="874"/>
      <c r="Z909" s="874"/>
    </row>
    <row r="910" ht="63.75" customHeight="1">
      <c r="A910" s="874"/>
      <c r="B910" s="874"/>
      <c r="C910" s="874"/>
      <c r="D910" s="882"/>
      <c r="E910" s="874"/>
      <c r="F910" s="874"/>
      <c r="G910" s="864"/>
      <c r="H910" s="874"/>
      <c r="I910" s="874"/>
      <c r="J910" s="874"/>
      <c r="K910" s="874"/>
      <c r="L910" s="874"/>
      <c r="M910" s="874"/>
      <c r="N910" s="874"/>
      <c r="O910" s="874"/>
      <c r="P910" s="874"/>
      <c r="Q910" s="874"/>
      <c r="R910" s="874"/>
      <c r="S910" s="874"/>
      <c r="T910" s="874"/>
      <c r="U910" s="874"/>
      <c r="V910" s="874"/>
      <c r="W910" s="874"/>
      <c r="X910" s="874"/>
      <c r="Y910" s="874"/>
      <c r="Z910" s="874"/>
    </row>
    <row r="911" ht="63.75" customHeight="1">
      <c r="A911" s="874"/>
      <c r="B911" s="874"/>
      <c r="C911" s="874"/>
      <c r="D911" s="882"/>
      <c r="E911" s="874"/>
      <c r="F911" s="874"/>
      <c r="G911" s="864"/>
      <c r="H911" s="874"/>
      <c r="I911" s="874"/>
      <c r="J911" s="874"/>
      <c r="K911" s="874"/>
      <c r="L911" s="874"/>
      <c r="M911" s="874"/>
      <c r="N911" s="874"/>
      <c r="O911" s="874"/>
      <c r="P911" s="874"/>
      <c r="Q911" s="874"/>
      <c r="R911" s="874"/>
      <c r="S911" s="874"/>
      <c r="T911" s="874"/>
      <c r="U911" s="874"/>
      <c r="V911" s="874"/>
      <c r="W911" s="874"/>
      <c r="X911" s="874"/>
      <c r="Y911" s="874"/>
      <c r="Z911" s="874"/>
    </row>
    <row r="912" ht="63.75" customHeight="1">
      <c r="A912" s="874"/>
      <c r="B912" s="874"/>
      <c r="C912" s="874"/>
      <c r="D912" s="882"/>
      <c r="E912" s="874"/>
      <c r="F912" s="874"/>
      <c r="G912" s="864"/>
      <c r="H912" s="874"/>
      <c r="I912" s="874"/>
      <c r="J912" s="874"/>
      <c r="K912" s="874"/>
      <c r="L912" s="874"/>
      <c r="M912" s="874"/>
      <c r="N912" s="874"/>
      <c r="O912" s="874"/>
      <c r="P912" s="874"/>
      <c r="Q912" s="874"/>
      <c r="R912" s="874"/>
      <c r="S912" s="874"/>
      <c r="T912" s="874"/>
      <c r="U912" s="874"/>
      <c r="V912" s="874"/>
      <c r="W912" s="874"/>
      <c r="X912" s="874"/>
      <c r="Y912" s="874"/>
      <c r="Z912" s="874"/>
    </row>
    <row r="913" ht="63.75" customHeight="1">
      <c r="A913" s="874"/>
      <c r="B913" s="874"/>
      <c r="C913" s="874"/>
      <c r="D913" s="882"/>
      <c r="E913" s="874"/>
      <c r="F913" s="874"/>
      <c r="G913" s="864"/>
      <c r="H913" s="874"/>
      <c r="I913" s="874"/>
      <c r="J913" s="874"/>
      <c r="K913" s="874"/>
      <c r="L913" s="874"/>
      <c r="M913" s="874"/>
      <c r="N913" s="874"/>
      <c r="O913" s="874"/>
      <c r="P913" s="874"/>
      <c r="Q913" s="874"/>
      <c r="R913" s="874"/>
      <c r="S913" s="874"/>
      <c r="T913" s="874"/>
      <c r="U913" s="874"/>
      <c r="V913" s="874"/>
      <c r="W913" s="874"/>
      <c r="X913" s="874"/>
      <c r="Y913" s="874"/>
      <c r="Z913" s="874"/>
    </row>
    <row r="914" ht="63.75" customHeight="1">
      <c r="A914" s="874"/>
      <c r="B914" s="874"/>
      <c r="C914" s="874"/>
      <c r="D914" s="882"/>
      <c r="E914" s="874"/>
      <c r="F914" s="874"/>
      <c r="G914" s="864"/>
      <c r="H914" s="874"/>
      <c r="I914" s="874"/>
      <c r="J914" s="874"/>
      <c r="K914" s="874"/>
      <c r="L914" s="874"/>
      <c r="M914" s="874"/>
      <c r="N914" s="874"/>
      <c r="O914" s="874"/>
      <c r="P914" s="874"/>
      <c r="Q914" s="874"/>
      <c r="R914" s="874"/>
      <c r="S914" s="874"/>
      <c r="T914" s="874"/>
      <c r="U914" s="874"/>
      <c r="V914" s="874"/>
      <c r="W914" s="874"/>
      <c r="X914" s="874"/>
      <c r="Y914" s="874"/>
      <c r="Z914" s="874"/>
    </row>
    <row r="915" ht="63.75" customHeight="1">
      <c r="A915" s="874"/>
      <c r="B915" s="874"/>
      <c r="C915" s="874"/>
      <c r="D915" s="882"/>
      <c r="E915" s="874"/>
      <c r="F915" s="874"/>
      <c r="G915" s="864"/>
      <c r="H915" s="874"/>
      <c r="I915" s="874"/>
      <c r="J915" s="874"/>
      <c r="K915" s="874"/>
      <c r="L915" s="874"/>
      <c r="M915" s="874"/>
      <c r="N915" s="874"/>
      <c r="O915" s="874"/>
      <c r="P915" s="874"/>
      <c r="Q915" s="874"/>
      <c r="R915" s="874"/>
      <c r="S915" s="874"/>
      <c r="T915" s="874"/>
      <c r="U915" s="874"/>
      <c r="V915" s="874"/>
      <c r="W915" s="874"/>
      <c r="X915" s="874"/>
      <c r="Y915" s="874"/>
      <c r="Z915" s="874"/>
    </row>
    <row r="916" ht="63.75" customHeight="1">
      <c r="A916" s="874"/>
      <c r="B916" s="874"/>
      <c r="C916" s="874"/>
      <c r="D916" s="882"/>
      <c r="E916" s="874"/>
      <c r="F916" s="874"/>
      <c r="G916" s="864"/>
      <c r="H916" s="874"/>
      <c r="I916" s="874"/>
      <c r="J916" s="874"/>
      <c r="K916" s="874"/>
      <c r="L916" s="874"/>
      <c r="M916" s="874"/>
      <c r="N916" s="874"/>
      <c r="O916" s="874"/>
      <c r="P916" s="874"/>
      <c r="Q916" s="874"/>
      <c r="R916" s="874"/>
      <c r="S916" s="874"/>
      <c r="T916" s="874"/>
      <c r="U916" s="874"/>
      <c r="V916" s="874"/>
      <c r="W916" s="874"/>
      <c r="X916" s="874"/>
      <c r="Y916" s="874"/>
      <c r="Z916" s="874"/>
    </row>
    <row r="917" ht="63.75" customHeight="1">
      <c r="A917" s="874"/>
      <c r="B917" s="874"/>
      <c r="C917" s="874"/>
      <c r="D917" s="882"/>
      <c r="E917" s="874"/>
      <c r="F917" s="874"/>
      <c r="G917" s="864"/>
      <c r="H917" s="874"/>
      <c r="I917" s="874"/>
      <c r="J917" s="874"/>
      <c r="K917" s="874"/>
      <c r="L917" s="874"/>
      <c r="M917" s="874"/>
      <c r="N917" s="874"/>
      <c r="O917" s="874"/>
      <c r="P917" s="874"/>
      <c r="Q917" s="874"/>
      <c r="R917" s="874"/>
      <c r="S917" s="874"/>
      <c r="T917" s="874"/>
      <c r="U917" s="874"/>
      <c r="V917" s="874"/>
      <c r="W917" s="874"/>
      <c r="X917" s="874"/>
      <c r="Y917" s="874"/>
      <c r="Z917" s="874"/>
    </row>
    <row r="918" ht="63.75" customHeight="1">
      <c r="A918" s="874"/>
      <c r="B918" s="874"/>
      <c r="C918" s="874"/>
      <c r="D918" s="882"/>
      <c r="E918" s="874"/>
      <c r="F918" s="874"/>
      <c r="G918" s="864"/>
      <c r="H918" s="874"/>
      <c r="I918" s="874"/>
      <c r="J918" s="874"/>
      <c r="K918" s="874"/>
      <c r="L918" s="874"/>
      <c r="M918" s="874"/>
      <c r="N918" s="874"/>
      <c r="O918" s="874"/>
      <c r="P918" s="874"/>
      <c r="Q918" s="874"/>
      <c r="R918" s="874"/>
      <c r="S918" s="874"/>
      <c r="T918" s="874"/>
      <c r="U918" s="874"/>
      <c r="V918" s="874"/>
      <c r="W918" s="874"/>
      <c r="X918" s="874"/>
      <c r="Y918" s="874"/>
      <c r="Z918" s="874"/>
    </row>
    <row r="919" ht="63.75" customHeight="1">
      <c r="A919" s="874"/>
      <c r="B919" s="874"/>
      <c r="C919" s="874"/>
      <c r="D919" s="882"/>
      <c r="E919" s="874"/>
      <c r="F919" s="874"/>
      <c r="G919" s="864"/>
      <c r="H919" s="874"/>
      <c r="I919" s="874"/>
      <c r="J919" s="874"/>
      <c r="K919" s="874"/>
      <c r="L919" s="874"/>
      <c r="M919" s="874"/>
      <c r="N919" s="874"/>
      <c r="O919" s="874"/>
      <c r="P919" s="874"/>
      <c r="Q919" s="874"/>
      <c r="R919" s="874"/>
      <c r="S919" s="874"/>
      <c r="T919" s="874"/>
      <c r="U919" s="874"/>
      <c r="V919" s="874"/>
      <c r="W919" s="874"/>
      <c r="X919" s="874"/>
      <c r="Y919" s="874"/>
      <c r="Z919" s="874"/>
    </row>
    <row r="920" ht="63.75" customHeight="1">
      <c r="A920" s="874"/>
      <c r="B920" s="874"/>
      <c r="C920" s="874"/>
      <c r="D920" s="882"/>
      <c r="E920" s="874"/>
      <c r="F920" s="874"/>
      <c r="G920" s="864"/>
      <c r="H920" s="874"/>
      <c r="I920" s="874"/>
      <c r="J920" s="874"/>
      <c r="K920" s="874"/>
      <c r="L920" s="874"/>
      <c r="M920" s="874"/>
      <c r="N920" s="874"/>
      <c r="O920" s="874"/>
      <c r="P920" s="874"/>
      <c r="Q920" s="874"/>
      <c r="R920" s="874"/>
      <c r="S920" s="874"/>
      <c r="T920" s="874"/>
      <c r="U920" s="874"/>
      <c r="V920" s="874"/>
      <c r="W920" s="874"/>
      <c r="X920" s="874"/>
      <c r="Y920" s="874"/>
      <c r="Z920" s="874"/>
    </row>
    <row r="921" ht="63.75" customHeight="1">
      <c r="A921" s="874"/>
      <c r="B921" s="874"/>
      <c r="C921" s="874"/>
      <c r="D921" s="882"/>
      <c r="E921" s="874"/>
      <c r="F921" s="874"/>
      <c r="G921" s="864"/>
      <c r="H921" s="874"/>
      <c r="I921" s="874"/>
      <c r="J921" s="874"/>
      <c r="K921" s="874"/>
      <c r="L921" s="874"/>
      <c r="M921" s="874"/>
      <c r="N921" s="874"/>
      <c r="O921" s="874"/>
      <c r="P921" s="874"/>
      <c r="Q921" s="874"/>
      <c r="R921" s="874"/>
      <c r="S921" s="874"/>
      <c r="T921" s="874"/>
      <c r="U921" s="874"/>
      <c r="V921" s="874"/>
      <c r="W921" s="874"/>
      <c r="X921" s="874"/>
      <c r="Y921" s="874"/>
      <c r="Z921" s="874"/>
    </row>
    <row r="922" ht="63.75" customHeight="1">
      <c r="A922" s="874"/>
      <c r="B922" s="874"/>
      <c r="C922" s="874"/>
      <c r="D922" s="882"/>
      <c r="E922" s="874"/>
      <c r="F922" s="874"/>
      <c r="G922" s="864"/>
      <c r="H922" s="874"/>
      <c r="I922" s="874"/>
      <c r="J922" s="874"/>
      <c r="K922" s="874"/>
      <c r="L922" s="874"/>
      <c r="M922" s="874"/>
      <c r="N922" s="874"/>
      <c r="O922" s="874"/>
      <c r="P922" s="874"/>
      <c r="Q922" s="874"/>
      <c r="R922" s="874"/>
      <c r="S922" s="874"/>
      <c r="T922" s="874"/>
      <c r="U922" s="874"/>
      <c r="V922" s="874"/>
      <c r="W922" s="874"/>
      <c r="X922" s="874"/>
      <c r="Y922" s="874"/>
      <c r="Z922" s="874"/>
    </row>
    <row r="923" ht="63.75" customHeight="1">
      <c r="A923" s="874"/>
      <c r="B923" s="874"/>
      <c r="C923" s="874"/>
      <c r="D923" s="882"/>
      <c r="E923" s="874"/>
      <c r="F923" s="874"/>
      <c r="G923" s="864"/>
      <c r="H923" s="874"/>
      <c r="I923" s="874"/>
      <c r="J923" s="874"/>
      <c r="K923" s="874"/>
      <c r="L923" s="874"/>
      <c r="M923" s="874"/>
      <c r="N923" s="874"/>
      <c r="O923" s="874"/>
      <c r="P923" s="874"/>
      <c r="Q923" s="874"/>
      <c r="R923" s="874"/>
      <c r="S923" s="874"/>
      <c r="T923" s="874"/>
      <c r="U923" s="874"/>
      <c r="V923" s="874"/>
      <c r="W923" s="874"/>
      <c r="X923" s="874"/>
      <c r="Y923" s="874"/>
      <c r="Z923" s="874"/>
    </row>
    <row r="924" ht="63.75" customHeight="1">
      <c r="A924" s="874"/>
      <c r="B924" s="874"/>
      <c r="C924" s="874"/>
      <c r="D924" s="882"/>
      <c r="E924" s="874"/>
      <c r="F924" s="874"/>
      <c r="G924" s="864"/>
      <c r="H924" s="874"/>
      <c r="I924" s="874"/>
      <c r="J924" s="874"/>
      <c r="K924" s="874"/>
      <c r="L924" s="874"/>
      <c r="M924" s="874"/>
      <c r="N924" s="874"/>
      <c r="O924" s="874"/>
      <c r="P924" s="874"/>
      <c r="Q924" s="874"/>
      <c r="R924" s="874"/>
      <c r="S924" s="874"/>
      <c r="T924" s="874"/>
      <c r="U924" s="874"/>
      <c r="V924" s="874"/>
      <c r="W924" s="874"/>
      <c r="X924" s="874"/>
      <c r="Y924" s="874"/>
      <c r="Z924" s="874"/>
    </row>
    <row r="925" ht="63.75" customHeight="1">
      <c r="A925" s="874"/>
      <c r="B925" s="874"/>
      <c r="C925" s="874"/>
      <c r="D925" s="882"/>
      <c r="E925" s="874"/>
      <c r="F925" s="874"/>
      <c r="G925" s="864"/>
      <c r="H925" s="874"/>
      <c r="I925" s="874"/>
      <c r="J925" s="874"/>
      <c r="K925" s="874"/>
      <c r="L925" s="874"/>
      <c r="M925" s="874"/>
      <c r="N925" s="874"/>
      <c r="O925" s="874"/>
      <c r="P925" s="874"/>
      <c r="Q925" s="874"/>
      <c r="R925" s="874"/>
      <c r="S925" s="874"/>
      <c r="T925" s="874"/>
      <c r="U925" s="874"/>
      <c r="V925" s="874"/>
      <c r="W925" s="874"/>
      <c r="X925" s="874"/>
      <c r="Y925" s="874"/>
      <c r="Z925" s="874"/>
    </row>
    <row r="926" ht="63.75" customHeight="1">
      <c r="A926" s="874"/>
      <c r="B926" s="874"/>
      <c r="C926" s="874"/>
      <c r="D926" s="882"/>
      <c r="E926" s="874"/>
      <c r="F926" s="874"/>
      <c r="G926" s="864"/>
      <c r="H926" s="874"/>
      <c r="I926" s="874"/>
      <c r="J926" s="874"/>
      <c r="K926" s="874"/>
      <c r="L926" s="874"/>
      <c r="M926" s="874"/>
      <c r="N926" s="874"/>
      <c r="O926" s="874"/>
      <c r="P926" s="874"/>
      <c r="Q926" s="874"/>
      <c r="R926" s="874"/>
      <c r="S926" s="874"/>
      <c r="T926" s="874"/>
      <c r="U926" s="874"/>
      <c r="V926" s="874"/>
      <c r="W926" s="874"/>
      <c r="X926" s="874"/>
      <c r="Y926" s="874"/>
      <c r="Z926" s="874"/>
    </row>
    <row r="927" ht="63.75" customHeight="1">
      <c r="A927" s="874"/>
      <c r="B927" s="874"/>
      <c r="C927" s="874"/>
      <c r="D927" s="882"/>
      <c r="E927" s="874"/>
      <c r="F927" s="874"/>
      <c r="G927" s="864"/>
      <c r="H927" s="874"/>
      <c r="I927" s="874"/>
      <c r="J927" s="874"/>
      <c r="K927" s="874"/>
      <c r="L927" s="874"/>
      <c r="M927" s="874"/>
      <c r="N927" s="874"/>
      <c r="O927" s="874"/>
      <c r="P927" s="874"/>
      <c r="Q927" s="874"/>
      <c r="R927" s="874"/>
      <c r="S927" s="874"/>
      <c r="T927" s="874"/>
      <c r="U927" s="874"/>
      <c r="V927" s="874"/>
      <c r="W927" s="874"/>
      <c r="X927" s="874"/>
      <c r="Y927" s="874"/>
      <c r="Z927" s="874"/>
    </row>
    <row r="928" ht="63.75" customHeight="1">
      <c r="A928" s="874"/>
      <c r="B928" s="874"/>
      <c r="C928" s="874"/>
      <c r="D928" s="882"/>
      <c r="E928" s="874"/>
      <c r="F928" s="874"/>
      <c r="G928" s="864"/>
      <c r="H928" s="874"/>
      <c r="I928" s="874"/>
      <c r="J928" s="874"/>
      <c r="K928" s="874"/>
      <c r="L928" s="874"/>
      <c r="M928" s="874"/>
      <c r="N928" s="874"/>
      <c r="O928" s="874"/>
      <c r="P928" s="874"/>
      <c r="Q928" s="874"/>
      <c r="R928" s="874"/>
      <c r="S928" s="874"/>
      <c r="T928" s="874"/>
      <c r="U928" s="874"/>
      <c r="V928" s="874"/>
      <c r="W928" s="874"/>
      <c r="X928" s="874"/>
      <c r="Y928" s="874"/>
      <c r="Z928" s="874"/>
    </row>
    <row r="929" ht="63.75" customHeight="1">
      <c r="A929" s="874"/>
      <c r="B929" s="874"/>
      <c r="C929" s="874"/>
      <c r="D929" s="882"/>
      <c r="E929" s="874"/>
      <c r="F929" s="874"/>
      <c r="G929" s="864"/>
      <c r="H929" s="874"/>
      <c r="I929" s="874"/>
      <c r="J929" s="874"/>
      <c r="K929" s="874"/>
      <c r="L929" s="874"/>
      <c r="M929" s="874"/>
      <c r="N929" s="874"/>
      <c r="O929" s="874"/>
      <c r="P929" s="874"/>
      <c r="Q929" s="874"/>
      <c r="R929" s="874"/>
      <c r="S929" s="874"/>
      <c r="T929" s="874"/>
      <c r="U929" s="874"/>
      <c r="V929" s="874"/>
      <c r="W929" s="874"/>
      <c r="X929" s="874"/>
      <c r="Y929" s="874"/>
      <c r="Z929" s="874"/>
    </row>
    <row r="930" ht="63.75" customHeight="1">
      <c r="A930" s="874"/>
      <c r="B930" s="874"/>
      <c r="C930" s="874"/>
      <c r="D930" s="882"/>
      <c r="E930" s="874"/>
      <c r="F930" s="874"/>
      <c r="G930" s="864"/>
      <c r="H930" s="874"/>
      <c r="I930" s="874"/>
      <c r="J930" s="874"/>
      <c r="K930" s="874"/>
      <c r="L930" s="874"/>
      <c r="M930" s="874"/>
      <c r="N930" s="874"/>
      <c r="O930" s="874"/>
      <c r="P930" s="874"/>
      <c r="Q930" s="874"/>
      <c r="R930" s="874"/>
      <c r="S930" s="874"/>
      <c r="T930" s="874"/>
      <c r="U930" s="874"/>
      <c r="V930" s="874"/>
      <c r="W930" s="874"/>
      <c r="X930" s="874"/>
      <c r="Y930" s="874"/>
      <c r="Z930" s="874"/>
    </row>
    <row r="931" ht="63.75" customHeight="1">
      <c r="A931" s="874"/>
      <c r="B931" s="874"/>
      <c r="C931" s="874"/>
      <c r="D931" s="882"/>
      <c r="E931" s="874"/>
      <c r="F931" s="874"/>
      <c r="G931" s="864"/>
      <c r="H931" s="874"/>
      <c r="I931" s="874"/>
      <c r="J931" s="874"/>
      <c r="K931" s="874"/>
      <c r="L931" s="874"/>
      <c r="M931" s="874"/>
      <c r="N931" s="874"/>
      <c r="O931" s="874"/>
      <c r="P931" s="874"/>
      <c r="Q931" s="874"/>
      <c r="R931" s="874"/>
      <c r="S931" s="874"/>
      <c r="T931" s="874"/>
      <c r="U931" s="874"/>
      <c r="V931" s="874"/>
      <c r="W931" s="874"/>
      <c r="X931" s="874"/>
      <c r="Y931" s="874"/>
      <c r="Z931" s="874"/>
    </row>
    <row r="932" ht="63.75" customHeight="1">
      <c r="A932" s="874"/>
      <c r="B932" s="874"/>
      <c r="C932" s="874"/>
      <c r="D932" s="882"/>
      <c r="E932" s="874"/>
      <c r="F932" s="874"/>
      <c r="G932" s="864"/>
      <c r="H932" s="874"/>
      <c r="I932" s="874"/>
      <c r="J932" s="874"/>
      <c r="K932" s="874"/>
      <c r="L932" s="874"/>
      <c r="M932" s="874"/>
      <c r="N932" s="874"/>
      <c r="O932" s="874"/>
      <c r="P932" s="874"/>
      <c r="Q932" s="874"/>
      <c r="R932" s="874"/>
      <c r="S932" s="874"/>
      <c r="T932" s="874"/>
      <c r="U932" s="874"/>
      <c r="V932" s="874"/>
      <c r="W932" s="874"/>
      <c r="X932" s="874"/>
      <c r="Y932" s="874"/>
      <c r="Z932" s="874"/>
    </row>
    <row r="933" ht="63.75" customHeight="1">
      <c r="A933" s="874"/>
      <c r="B933" s="874"/>
      <c r="C933" s="874"/>
      <c r="D933" s="882"/>
      <c r="E933" s="874"/>
      <c r="F933" s="874"/>
      <c r="G933" s="864"/>
      <c r="H933" s="874"/>
      <c r="I933" s="874"/>
      <c r="J933" s="874"/>
      <c r="K933" s="874"/>
      <c r="L933" s="874"/>
      <c r="M933" s="874"/>
      <c r="N933" s="874"/>
      <c r="O933" s="874"/>
      <c r="P933" s="874"/>
      <c r="Q933" s="874"/>
      <c r="R933" s="874"/>
      <c r="S933" s="874"/>
      <c r="T933" s="874"/>
      <c r="U933" s="874"/>
      <c r="V933" s="874"/>
      <c r="W933" s="874"/>
      <c r="X933" s="874"/>
      <c r="Y933" s="874"/>
      <c r="Z933" s="874"/>
    </row>
    <row r="934" ht="63.75" customHeight="1">
      <c r="A934" s="874"/>
      <c r="B934" s="874"/>
      <c r="C934" s="874"/>
      <c r="D934" s="882"/>
      <c r="E934" s="874"/>
      <c r="F934" s="874"/>
      <c r="G934" s="864"/>
      <c r="H934" s="874"/>
      <c r="I934" s="874"/>
      <c r="J934" s="874"/>
      <c r="K934" s="874"/>
      <c r="L934" s="874"/>
      <c r="M934" s="874"/>
      <c r="N934" s="874"/>
      <c r="O934" s="874"/>
      <c r="P934" s="874"/>
      <c r="Q934" s="874"/>
      <c r="R934" s="874"/>
      <c r="S934" s="874"/>
      <c r="T934" s="874"/>
      <c r="U934" s="874"/>
      <c r="V934" s="874"/>
      <c r="W934" s="874"/>
      <c r="X934" s="874"/>
      <c r="Y934" s="874"/>
      <c r="Z934" s="874"/>
    </row>
    <row r="935" ht="63.75" customHeight="1">
      <c r="A935" s="874"/>
      <c r="B935" s="874"/>
      <c r="C935" s="874"/>
      <c r="D935" s="882"/>
      <c r="E935" s="874"/>
      <c r="F935" s="874"/>
      <c r="G935" s="864"/>
      <c r="H935" s="874"/>
      <c r="I935" s="874"/>
      <c r="J935" s="874"/>
      <c r="K935" s="874"/>
      <c r="L935" s="874"/>
      <c r="M935" s="874"/>
      <c r="N935" s="874"/>
      <c r="O935" s="874"/>
      <c r="P935" s="874"/>
      <c r="Q935" s="874"/>
      <c r="R935" s="874"/>
      <c r="S935" s="874"/>
      <c r="T935" s="874"/>
      <c r="U935" s="874"/>
      <c r="V935" s="874"/>
      <c r="W935" s="874"/>
      <c r="X935" s="874"/>
      <c r="Y935" s="874"/>
      <c r="Z935" s="874"/>
    </row>
    <row r="936" ht="63.75" customHeight="1">
      <c r="A936" s="874"/>
      <c r="B936" s="874"/>
      <c r="C936" s="874"/>
      <c r="D936" s="882"/>
      <c r="E936" s="874"/>
      <c r="F936" s="874"/>
      <c r="G936" s="864"/>
      <c r="H936" s="874"/>
      <c r="I936" s="874"/>
      <c r="J936" s="874"/>
      <c r="K936" s="874"/>
      <c r="L936" s="874"/>
      <c r="M936" s="874"/>
      <c r="N936" s="874"/>
      <c r="O936" s="874"/>
      <c r="P936" s="874"/>
      <c r="Q936" s="874"/>
      <c r="R936" s="874"/>
      <c r="S936" s="874"/>
      <c r="T936" s="874"/>
      <c r="U936" s="874"/>
      <c r="V936" s="874"/>
      <c r="W936" s="874"/>
      <c r="X936" s="874"/>
      <c r="Y936" s="874"/>
      <c r="Z936" s="874"/>
    </row>
    <row r="937" ht="63.75" customHeight="1">
      <c r="A937" s="874"/>
      <c r="B937" s="874"/>
      <c r="C937" s="874"/>
      <c r="D937" s="882"/>
      <c r="E937" s="874"/>
      <c r="F937" s="874"/>
      <c r="G937" s="864"/>
      <c r="H937" s="874"/>
      <c r="I937" s="874"/>
      <c r="J937" s="874"/>
      <c r="K937" s="874"/>
      <c r="L937" s="874"/>
      <c r="M937" s="874"/>
      <c r="N937" s="874"/>
      <c r="O937" s="874"/>
      <c r="P937" s="874"/>
      <c r="Q937" s="874"/>
      <c r="R937" s="874"/>
      <c r="S937" s="874"/>
      <c r="T937" s="874"/>
      <c r="U937" s="874"/>
      <c r="V937" s="874"/>
      <c r="W937" s="874"/>
      <c r="X937" s="874"/>
      <c r="Y937" s="874"/>
      <c r="Z937" s="874"/>
    </row>
    <row r="938" ht="63.75" customHeight="1">
      <c r="A938" s="874"/>
      <c r="B938" s="874"/>
      <c r="C938" s="874"/>
      <c r="D938" s="882"/>
      <c r="E938" s="874"/>
      <c r="F938" s="874"/>
      <c r="G938" s="864"/>
      <c r="H938" s="874"/>
      <c r="I938" s="874"/>
      <c r="J938" s="874"/>
      <c r="K938" s="874"/>
      <c r="L938" s="874"/>
      <c r="M938" s="874"/>
      <c r="N938" s="874"/>
      <c r="O938" s="874"/>
      <c r="P938" s="874"/>
      <c r="Q938" s="874"/>
      <c r="R938" s="874"/>
      <c r="S938" s="874"/>
      <c r="T938" s="874"/>
      <c r="U938" s="874"/>
      <c r="V938" s="874"/>
      <c r="W938" s="874"/>
      <c r="X938" s="874"/>
      <c r="Y938" s="874"/>
      <c r="Z938" s="874"/>
    </row>
    <row r="939" ht="63.75" customHeight="1">
      <c r="A939" s="874"/>
      <c r="B939" s="874"/>
      <c r="C939" s="874"/>
      <c r="D939" s="882"/>
      <c r="E939" s="874"/>
      <c r="F939" s="874"/>
      <c r="G939" s="864"/>
      <c r="H939" s="874"/>
      <c r="I939" s="874"/>
      <c r="J939" s="874"/>
      <c r="K939" s="874"/>
      <c r="L939" s="874"/>
      <c r="M939" s="874"/>
      <c r="N939" s="874"/>
      <c r="O939" s="874"/>
      <c r="P939" s="874"/>
      <c r="Q939" s="874"/>
      <c r="R939" s="874"/>
      <c r="S939" s="874"/>
      <c r="T939" s="874"/>
      <c r="U939" s="874"/>
      <c r="V939" s="874"/>
      <c r="W939" s="874"/>
      <c r="X939" s="874"/>
      <c r="Y939" s="874"/>
      <c r="Z939" s="874"/>
    </row>
    <row r="940" ht="63.75" customHeight="1">
      <c r="A940" s="874"/>
      <c r="B940" s="874"/>
      <c r="C940" s="874"/>
      <c r="D940" s="882"/>
      <c r="E940" s="874"/>
      <c r="F940" s="874"/>
      <c r="G940" s="864"/>
      <c r="H940" s="874"/>
      <c r="I940" s="874"/>
      <c r="J940" s="874"/>
      <c r="K940" s="874"/>
      <c r="L940" s="874"/>
      <c r="M940" s="874"/>
      <c r="N940" s="874"/>
      <c r="O940" s="874"/>
      <c r="P940" s="874"/>
      <c r="Q940" s="874"/>
      <c r="R940" s="874"/>
      <c r="S940" s="874"/>
      <c r="T940" s="874"/>
      <c r="U940" s="874"/>
      <c r="V940" s="874"/>
      <c r="W940" s="874"/>
      <c r="X940" s="874"/>
      <c r="Y940" s="874"/>
      <c r="Z940" s="874"/>
    </row>
    <row r="941" ht="63.75" customHeight="1">
      <c r="A941" s="874"/>
      <c r="B941" s="874"/>
      <c r="C941" s="874"/>
      <c r="D941" s="882"/>
      <c r="E941" s="874"/>
      <c r="F941" s="874"/>
      <c r="G941" s="864"/>
      <c r="H941" s="874"/>
      <c r="I941" s="874"/>
      <c r="J941" s="874"/>
      <c r="K941" s="874"/>
      <c r="L941" s="874"/>
      <c r="M941" s="874"/>
      <c r="N941" s="874"/>
      <c r="O941" s="874"/>
      <c r="P941" s="874"/>
      <c r="Q941" s="874"/>
      <c r="R941" s="874"/>
      <c r="S941" s="874"/>
      <c r="T941" s="874"/>
      <c r="U941" s="874"/>
      <c r="V941" s="874"/>
      <c r="W941" s="874"/>
      <c r="X941" s="874"/>
      <c r="Y941" s="874"/>
      <c r="Z941" s="874"/>
    </row>
    <row r="942" ht="63.75" customHeight="1">
      <c r="A942" s="874"/>
      <c r="B942" s="874"/>
      <c r="C942" s="874"/>
      <c r="D942" s="882"/>
      <c r="E942" s="874"/>
      <c r="F942" s="874"/>
      <c r="G942" s="864"/>
      <c r="H942" s="874"/>
      <c r="I942" s="874"/>
      <c r="J942" s="874"/>
      <c r="K942" s="874"/>
      <c r="L942" s="874"/>
      <c r="M942" s="874"/>
      <c r="N942" s="874"/>
      <c r="O942" s="874"/>
      <c r="P942" s="874"/>
      <c r="Q942" s="874"/>
      <c r="R942" s="874"/>
      <c r="S942" s="874"/>
      <c r="T942" s="874"/>
      <c r="U942" s="874"/>
      <c r="V942" s="874"/>
      <c r="W942" s="874"/>
      <c r="X942" s="874"/>
      <c r="Y942" s="874"/>
      <c r="Z942" s="874"/>
    </row>
    <row r="943" ht="63.75" customHeight="1">
      <c r="A943" s="874"/>
      <c r="B943" s="874"/>
      <c r="C943" s="874"/>
      <c r="D943" s="882"/>
      <c r="E943" s="874"/>
      <c r="F943" s="874"/>
      <c r="G943" s="864"/>
      <c r="H943" s="874"/>
      <c r="I943" s="874"/>
      <c r="J943" s="874"/>
      <c r="K943" s="874"/>
      <c r="L943" s="874"/>
      <c r="M943" s="874"/>
      <c r="N943" s="874"/>
      <c r="O943" s="874"/>
      <c r="P943" s="874"/>
      <c r="Q943" s="874"/>
      <c r="R943" s="874"/>
      <c r="S943" s="874"/>
      <c r="T943" s="874"/>
      <c r="U943" s="874"/>
      <c r="V943" s="874"/>
      <c r="W943" s="874"/>
      <c r="X943" s="874"/>
      <c r="Y943" s="874"/>
      <c r="Z943" s="874"/>
    </row>
    <row r="944" ht="63.75" customHeight="1">
      <c r="A944" s="874"/>
      <c r="B944" s="874"/>
      <c r="C944" s="874"/>
      <c r="D944" s="882"/>
      <c r="E944" s="874"/>
      <c r="F944" s="874"/>
      <c r="G944" s="864"/>
      <c r="H944" s="874"/>
      <c r="I944" s="874"/>
      <c r="J944" s="874"/>
      <c r="K944" s="874"/>
      <c r="L944" s="874"/>
      <c r="M944" s="874"/>
      <c r="N944" s="874"/>
      <c r="O944" s="874"/>
      <c r="P944" s="874"/>
      <c r="Q944" s="874"/>
      <c r="R944" s="874"/>
      <c r="S944" s="874"/>
      <c r="T944" s="874"/>
      <c r="U944" s="874"/>
      <c r="V944" s="874"/>
      <c r="W944" s="874"/>
      <c r="X944" s="874"/>
      <c r="Y944" s="874"/>
      <c r="Z944" s="874"/>
    </row>
    <row r="945" ht="63.75" customHeight="1">
      <c r="A945" s="874"/>
      <c r="B945" s="874"/>
      <c r="C945" s="874"/>
      <c r="D945" s="882"/>
      <c r="E945" s="874"/>
      <c r="F945" s="874"/>
      <c r="G945" s="864"/>
      <c r="H945" s="874"/>
      <c r="I945" s="874"/>
      <c r="J945" s="874"/>
      <c r="K945" s="874"/>
      <c r="L945" s="874"/>
      <c r="M945" s="874"/>
      <c r="N945" s="874"/>
      <c r="O945" s="874"/>
      <c r="P945" s="874"/>
      <c r="Q945" s="874"/>
      <c r="R945" s="874"/>
      <c r="S945" s="874"/>
      <c r="T945" s="874"/>
      <c r="U945" s="874"/>
      <c r="V945" s="874"/>
      <c r="W945" s="874"/>
      <c r="X945" s="874"/>
      <c r="Y945" s="874"/>
      <c r="Z945" s="874"/>
    </row>
    <row r="946" ht="63.75" customHeight="1">
      <c r="A946" s="874"/>
      <c r="B946" s="874"/>
      <c r="C946" s="874"/>
      <c r="D946" s="882"/>
      <c r="E946" s="874"/>
      <c r="F946" s="874"/>
      <c r="G946" s="864"/>
      <c r="H946" s="874"/>
      <c r="I946" s="874"/>
      <c r="J946" s="874"/>
      <c r="K946" s="874"/>
      <c r="L946" s="874"/>
      <c r="M946" s="874"/>
      <c r="N946" s="874"/>
      <c r="O946" s="874"/>
      <c r="P946" s="874"/>
      <c r="Q946" s="874"/>
      <c r="R946" s="874"/>
      <c r="S946" s="874"/>
      <c r="T946" s="874"/>
      <c r="U946" s="874"/>
      <c r="V946" s="874"/>
      <c r="W946" s="874"/>
      <c r="X946" s="874"/>
      <c r="Y946" s="874"/>
      <c r="Z946" s="874"/>
    </row>
    <row r="947" ht="63.75" customHeight="1">
      <c r="A947" s="874"/>
      <c r="B947" s="874"/>
      <c r="C947" s="874"/>
      <c r="D947" s="882"/>
      <c r="E947" s="874"/>
      <c r="F947" s="874"/>
      <c r="G947" s="864"/>
      <c r="H947" s="874"/>
      <c r="I947" s="874"/>
      <c r="J947" s="874"/>
      <c r="K947" s="874"/>
      <c r="L947" s="874"/>
      <c r="M947" s="874"/>
      <c r="N947" s="874"/>
      <c r="O947" s="874"/>
      <c r="P947" s="874"/>
      <c r="Q947" s="874"/>
      <c r="R947" s="874"/>
      <c r="S947" s="874"/>
      <c r="T947" s="874"/>
      <c r="U947" s="874"/>
      <c r="V947" s="874"/>
      <c r="W947" s="874"/>
      <c r="X947" s="874"/>
      <c r="Y947" s="874"/>
      <c r="Z947" s="874"/>
    </row>
    <row r="948" ht="63.75" customHeight="1">
      <c r="A948" s="874"/>
      <c r="B948" s="874"/>
      <c r="C948" s="874"/>
      <c r="D948" s="882"/>
      <c r="E948" s="874"/>
      <c r="F948" s="874"/>
      <c r="G948" s="864"/>
      <c r="H948" s="874"/>
      <c r="I948" s="874"/>
      <c r="J948" s="874"/>
      <c r="K948" s="874"/>
      <c r="L948" s="874"/>
      <c r="M948" s="874"/>
      <c r="N948" s="874"/>
      <c r="O948" s="874"/>
      <c r="P948" s="874"/>
      <c r="Q948" s="874"/>
      <c r="R948" s="874"/>
      <c r="S948" s="874"/>
      <c r="T948" s="874"/>
      <c r="U948" s="874"/>
      <c r="V948" s="874"/>
      <c r="W948" s="874"/>
      <c r="X948" s="874"/>
      <c r="Y948" s="874"/>
      <c r="Z948" s="874"/>
    </row>
    <row r="949" ht="63.75" customHeight="1">
      <c r="A949" s="874"/>
      <c r="B949" s="874"/>
      <c r="C949" s="874"/>
      <c r="D949" s="882"/>
      <c r="E949" s="874"/>
      <c r="F949" s="874"/>
      <c r="G949" s="864"/>
      <c r="H949" s="874"/>
      <c r="I949" s="874"/>
      <c r="J949" s="874"/>
      <c r="K949" s="874"/>
      <c r="L949" s="874"/>
      <c r="M949" s="874"/>
      <c r="N949" s="874"/>
      <c r="O949" s="874"/>
      <c r="P949" s="874"/>
      <c r="Q949" s="874"/>
      <c r="R949" s="874"/>
      <c r="S949" s="874"/>
      <c r="T949" s="874"/>
      <c r="U949" s="874"/>
      <c r="V949" s="874"/>
      <c r="W949" s="874"/>
      <c r="X949" s="874"/>
      <c r="Y949" s="874"/>
      <c r="Z949" s="874"/>
    </row>
    <row r="950" ht="63.75" customHeight="1">
      <c r="A950" s="874"/>
      <c r="B950" s="874"/>
      <c r="C950" s="874"/>
      <c r="D950" s="882"/>
      <c r="E950" s="874"/>
      <c r="F950" s="874"/>
      <c r="G950" s="864"/>
      <c r="H950" s="874"/>
      <c r="I950" s="874"/>
      <c r="J950" s="874"/>
      <c r="K950" s="874"/>
      <c r="L950" s="874"/>
      <c r="M950" s="874"/>
      <c r="N950" s="874"/>
      <c r="O950" s="874"/>
      <c r="P950" s="874"/>
      <c r="Q950" s="874"/>
      <c r="R950" s="874"/>
      <c r="S950" s="874"/>
      <c r="T950" s="874"/>
      <c r="U950" s="874"/>
      <c r="V950" s="874"/>
      <c r="W950" s="874"/>
      <c r="X950" s="874"/>
      <c r="Y950" s="874"/>
      <c r="Z950" s="874"/>
    </row>
    <row r="951" ht="63.75" customHeight="1">
      <c r="A951" s="874"/>
      <c r="B951" s="874"/>
      <c r="C951" s="874"/>
      <c r="D951" s="882"/>
      <c r="E951" s="874"/>
      <c r="F951" s="874"/>
      <c r="G951" s="864"/>
      <c r="H951" s="874"/>
      <c r="I951" s="874"/>
      <c r="J951" s="874"/>
      <c r="K951" s="874"/>
      <c r="L951" s="874"/>
      <c r="M951" s="874"/>
      <c r="N951" s="874"/>
      <c r="O951" s="874"/>
      <c r="P951" s="874"/>
      <c r="Q951" s="874"/>
      <c r="R951" s="874"/>
      <c r="S951" s="874"/>
      <c r="T951" s="874"/>
      <c r="U951" s="874"/>
      <c r="V951" s="874"/>
      <c r="W951" s="874"/>
      <c r="X951" s="874"/>
      <c r="Y951" s="874"/>
      <c r="Z951" s="874"/>
    </row>
    <row r="952" ht="63.75" customHeight="1">
      <c r="A952" s="874"/>
      <c r="B952" s="874"/>
      <c r="C952" s="874"/>
      <c r="D952" s="882"/>
      <c r="E952" s="874"/>
      <c r="F952" s="874"/>
      <c r="G952" s="864"/>
      <c r="H952" s="874"/>
      <c r="I952" s="874"/>
      <c r="J952" s="874"/>
      <c r="K952" s="874"/>
      <c r="L952" s="874"/>
      <c r="M952" s="874"/>
      <c r="N952" s="874"/>
      <c r="O952" s="874"/>
      <c r="P952" s="874"/>
      <c r="Q952" s="874"/>
      <c r="R952" s="874"/>
      <c r="S952" s="874"/>
      <c r="T952" s="874"/>
      <c r="U952" s="874"/>
      <c r="V952" s="874"/>
      <c r="W952" s="874"/>
      <c r="X952" s="874"/>
      <c r="Y952" s="874"/>
      <c r="Z952" s="874"/>
    </row>
    <row r="953" ht="63.75" customHeight="1">
      <c r="A953" s="874"/>
      <c r="B953" s="874"/>
      <c r="C953" s="874"/>
      <c r="D953" s="882"/>
      <c r="E953" s="874"/>
      <c r="F953" s="874"/>
      <c r="G953" s="864"/>
      <c r="H953" s="874"/>
      <c r="I953" s="874"/>
      <c r="J953" s="874"/>
      <c r="K953" s="874"/>
      <c r="L953" s="874"/>
      <c r="M953" s="874"/>
      <c r="N953" s="874"/>
      <c r="O953" s="874"/>
      <c r="P953" s="874"/>
      <c r="Q953" s="874"/>
      <c r="R953" s="874"/>
      <c r="S953" s="874"/>
      <c r="T953" s="874"/>
      <c r="U953" s="874"/>
      <c r="V953" s="874"/>
      <c r="W953" s="874"/>
      <c r="X953" s="874"/>
      <c r="Y953" s="874"/>
      <c r="Z953" s="874"/>
    </row>
    <row r="954" ht="63.75" customHeight="1">
      <c r="A954" s="874"/>
      <c r="B954" s="874"/>
      <c r="C954" s="874"/>
      <c r="D954" s="882"/>
      <c r="E954" s="874"/>
      <c r="F954" s="874"/>
      <c r="G954" s="864"/>
      <c r="H954" s="874"/>
      <c r="I954" s="874"/>
      <c r="J954" s="874"/>
      <c r="K954" s="874"/>
      <c r="L954" s="874"/>
      <c r="M954" s="874"/>
      <c r="N954" s="874"/>
      <c r="O954" s="874"/>
      <c r="P954" s="874"/>
      <c r="Q954" s="874"/>
      <c r="R954" s="874"/>
      <c r="S954" s="874"/>
      <c r="T954" s="874"/>
      <c r="U954" s="874"/>
      <c r="V954" s="874"/>
      <c r="W954" s="874"/>
      <c r="X954" s="874"/>
      <c r="Y954" s="874"/>
      <c r="Z954" s="874"/>
    </row>
    <row r="955" ht="63.75" customHeight="1">
      <c r="A955" s="874"/>
      <c r="B955" s="874"/>
      <c r="C955" s="874"/>
      <c r="D955" s="882"/>
      <c r="E955" s="874"/>
      <c r="F955" s="874"/>
      <c r="G955" s="864"/>
      <c r="H955" s="874"/>
      <c r="I955" s="874"/>
      <c r="J955" s="874"/>
      <c r="K955" s="874"/>
      <c r="L955" s="874"/>
      <c r="M955" s="874"/>
      <c r="N955" s="874"/>
      <c r="O955" s="874"/>
      <c r="P955" s="874"/>
      <c r="Q955" s="874"/>
      <c r="R955" s="874"/>
      <c r="S955" s="874"/>
      <c r="T955" s="874"/>
      <c r="U955" s="874"/>
      <c r="V955" s="874"/>
      <c r="W955" s="874"/>
      <c r="X955" s="874"/>
      <c r="Y955" s="874"/>
      <c r="Z955" s="874"/>
    </row>
    <row r="956" ht="63.75" customHeight="1">
      <c r="A956" s="874"/>
      <c r="B956" s="874"/>
      <c r="C956" s="874"/>
      <c r="D956" s="882"/>
      <c r="E956" s="874"/>
      <c r="F956" s="874"/>
      <c r="G956" s="864"/>
      <c r="H956" s="874"/>
      <c r="I956" s="874"/>
      <c r="J956" s="874"/>
      <c r="K956" s="874"/>
      <c r="L956" s="874"/>
      <c r="M956" s="874"/>
      <c r="N956" s="874"/>
      <c r="O956" s="874"/>
      <c r="P956" s="874"/>
      <c r="Q956" s="874"/>
      <c r="R956" s="874"/>
      <c r="S956" s="874"/>
      <c r="T956" s="874"/>
      <c r="U956" s="874"/>
      <c r="V956" s="874"/>
      <c r="W956" s="874"/>
      <c r="X956" s="874"/>
      <c r="Y956" s="874"/>
      <c r="Z956" s="874"/>
    </row>
    <row r="957" ht="63.75" customHeight="1">
      <c r="A957" s="874"/>
      <c r="B957" s="874"/>
      <c r="C957" s="874"/>
      <c r="D957" s="882"/>
      <c r="E957" s="874"/>
      <c r="F957" s="874"/>
      <c r="G957" s="864"/>
      <c r="H957" s="874"/>
      <c r="I957" s="874"/>
      <c r="J957" s="874"/>
      <c r="K957" s="874"/>
      <c r="L957" s="874"/>
      <c r="M957" s="874"/>
      <c r="N957" s="874"/>
      <c r="O957" s="874"/>
      <c r="P957" s="874"/>
      <c r="Q957" s="874"/>
      <c r="R957" s="874"/>
      <c r="S957" s="874"/>
      <c r="T957" s="874"/>
      <c r="U957" s="874"/>
      <c r="V957" s="874"/>
      <c r="W957" s="874"/>
      <c r="X957" s="874"/>
      <c r="Y957" s="874"/>
      <c r="Z957" s="874"/>
    </row>
    <row r="958" ht="63.75" customHeight="1">
      <c r="A958" s="874"/>
      <c r="B958" s="874"/>
      <c r="C958" s="874"/>
      <c r="D958" s="882"/>
      <c r="E958" s="874"/>
      <c r="F958" s="874"/>
      <c r="G958" s="864"/>
      <c r="H958" s="874"/>
      <c r="I958" s="874"/>
      <c r="J958" s="874"/>
      <c r="K958" s="874"/>
      <c r="L958" s="874"/>
      <c r="M958" s="874"/>
      <c r="N958" s="874"/>
      <c r="O958" s="874"/>
      <c r="P958" s="874"/>
      <c r="Q958" s="874"/>
      <c r="R958" s="874"/>
      <c r="S958" s="874"/>
      <c r="T958" s="874"/>
      <c r="U958" s="874"/>
      <c r="V958" s="874"/>
      <c r="W958" s="874"/>
      <c r="X958" s="874"/>
      <c r="Y958" s="874"/>
      <c r="Z958" s="874"/>
    </row>
    <row r="959" ht="63.75" customHeight="1">
      <c r="A959" s="874"/>
      <c r="B959" s="874"/>
      <c r="C959" s="874"/>
      <c r="D959" s="882"/>
      <c r="E959" s="874"/>
      <c r="F959" s="874"/>
      <c r="G959" s="864"/>
      <c r="H959" s="874"/>
      <c r="I959" s="874"/>
      <c r="J959" s="874"/>
      <c r="K959" s="874"/>
      <c r="L959" s="874"/>
      <c r="M959" s="874"/>
      <c r="N959" s="874"/>
      <c r="O959" s="874"/>
      <c r="P959" s="874"/>
      <c r="Q959" s="874"/>
      <c r="R959" s="874"/>
      <c r="S959" s="874"/>
      <c r="T959" s="874"/>
      <c r="U959" s="874"/>
      <c r="V959" s="874"/>
      <c r="W959" s="874"/>
      <c r="X959" s="874"/>
      <c r="Y959" s="874"/>
      <c r="Z959" s="874"/>
    </row>
    <row r="960" ht="63.75" customHeight="1">
      <c r="A960" s="874"/>
      <c r="B960" s="874"/>
      <c r="C960" s="874"/>
      <c r="D960" s="882"/>
      <c r="E960" s="874"/>
      <c r="F960" s="874"/>
      <c r="G960" s="864"/>
      <c r="H960" s="874"/>
      <c r="I960" s="874"/>
      <c r="J960" s="874"/>
      <c r="K960" s="874"/>
      <c r="L960" s="874"/>
      <c r="M960" s="874"/>
      <c r="N960" s="874"/>
      <c r="O960" s="874"/>
      <c r="P960" s="874"/>
      <c r="Q960" s="874"/>
      <c r="R960" s="874"/>
      <c r="S960" s="874"/>
      <c r="T960" s="874"/>
      <c r="U960" s="874"/>
      <c r="V960" s="874"/>
      <c r="W960" s="874"/>
      <c r="X960" s="874"/>
      <c r="Y960" s="874"/>
      <c r="Z960" s="874"/>
    </row>
    <row r="961" ht="63.75" customHeight="1">
      <c r="A961" s="874"/>
      <c r="B961" s="874"/>
      <c r="C961" s="874"/>
      <c r="D961" s="882"/>
      <c r="E961" s="874"/>
      <c r="F961" s="874"/>
      <c r="G961" s="864"/>
      <c r="H961" s="874"/>
      <c r="I961" s="874"/>
      <c r="J961" s="874"/>
      <c r="K961" s="874"/>
      <c r="L961" s="874"/>
      <c r="M961" s="874"/>
      <c r="N961" s="874"/>
      <c r="O961" s="874"/>
      <c r="P961" s="874"/>
      <c r="Q961" s="874"/>
      <c r="R961" s="874"/>
      <c r="S961" s="874"/>
      <c r="T961" s="874"/>
      <c r="U961" s="874"/>
      <c r="V961" s="874"/>
      <c r="W961" s="874"/>
      <c r="X961" s="874"/>
      <c r="Y961" s="874"/>
      <c r="Z961" s="874"/>
    </row>
    <row r="962" ht="63.75" customHeight="1">
      <c r="A962" s="874"/>
      <c r="B962" s="874"/>
      <c r="C962" s="874"/>
      <c r="D962" s="882"/>
      <c r="E962" s="874"/>
      <c r="F962" s="874"/>
      <c r="G962" s="864"/>
      <c r="H962" s="874"/>
      <c r="I962" s="874"/>
      <c r="J962" s="874"/>
      <c r="K962" s="874"/>
      <c r="L962" s="874"/>
      <c r="M962" s="874"/>
      <c r="N962" s="874"/>
      <c r="O962" s="874"/>
      <c r="P962" s="874"/>
      <c r="Q962" s="874"/>
      <c r="R962" s="874"/>
      <c r="S962" s="874"/>
      <c r="T962" s="874"/>
      <c r="U962" s="874"/>
      <c r="V962" s="874"/>
      <c r="W962" s="874"/>
      <c r="X962" s="874"/>
      <c r="Y962" s="874"/>
      <c r="Z962" s="874"/>
    </row>
    <row r="963" ht="63.75" customHeight="1">
      <c r="A963" s="874"/>
      <c r="B963" s="874"/>
      <c r="C963" s="874"/>
      <c r="D963" s="882"/>
      <c r="E963" s="874"/>
      <c r="F963" s="874"/>
      <c r="G963" s="864"/>
      <c r="H963" s="874"/>
      <c r="I963" s="874"/>
      <c r="J963" s="874"/>
      <c r="K963" s="874"/>
      <c r="L963" s="874"/>
      <c r="M963" s="874"/>
      <c r="N963" s="874"/>
      <c r="O963" s="874"/>
      <c r="P963" s="874"/>
      <c r="Q963" s="874"/>
      <c r="R963" s="874"/>
      <c r="S963" s="874"/>
      <c r="T963" s="874"/>
      <c r="U963" s="874"/>
      <c r="V963" s="874"/>
      <c r="W963" s="874"/>
      <c r="X963" s="874"/>
      <c r="Y963" s="874"/>
      <c r="Z963" s="874"/>
    </row>
    <row r="964" ht="63.75" customHeight="1">
      <c r="A964" s="874"/>
      <c r="B964" s="874"/>
      <c r="C964" s="874"/>
      <c r="D964" s="882"/>
      <c r="E964" s="874"/>
      <c r="F964" s="874"/>
      <c r="G964" s="864"/>
      <c r="H964" s="874"/>
      <c r="I964" s="874"/>
      <c r="J964" s="874"/>
      <c r="K964" s="874"/>
      <c r="L964" s="874"/>
      <c r="M964" s="874"/>
      <c r="N964" s="874"/>
      <c r="O964" s="874"/>
      <c r="P964" s="874"/>
      <c r="Q964" s="874"/>
      <c r="R964" s="874"/>
      <c r="S964" s="874"/>
      <c r="T964" s="874"/>
      <c r="U964" s="874"/>
      <c r="V964" s="874"/>
      <c r="W964" s="874"/>
      <c r="X964" s="874"/>
      <c r="Y964" s="874"/>
      <c r="Z964" s="874"/>
    </row>
    <row r="965" ht="63.75" customHeight="1">
      <c r="A965" s="874"/>
      <c r="B965" s="874"/>
      <c r="C965" s="874"/>
      <c r="D965" s="882"/>
      <c r="E965" s="874"/>
      <c r="F965" s="874"/>
      <c r="G965" s="864"/>
      <c r="H965" s="874"/>
      <c r="I965" s="874"/>
      <c r="J965" s="874"/>
      <c r="K965" s="874"/>
      <c r="L965" s="874"/>
      <c r="M965" s="874"/>
      <c r="N965" s="874"/>
      <c r="O965" s="874"/>
      <c r="P965" s="874"/>
      <c r="Q965" s="874"/>
      <c r="R965" s="874"/>
      <c r="S965" s="874"/>
      <c r="T965" s="874"/>
      <c r="U965" s="874"/>
      <c r="V965" s="874"/>
      <c r="W965" s="874"/>
      <c r="X965" s="874"/>
      <c r="Y965" s="874"/>
      <c r="Z965" s="874"/>
    </row>
    <row r="966" ht="63.75" customHeight="1">
      <c r="A966" s="874"/>
      <c r="B966" s="874"/>
      <c r="C966" s="874"/>
      <c r="D966" s="882"/>
      <c r="E966" s="874"/>
      <c r="F966" s="874"/>
      <c r="G966" s="864"/>
      <c r="H966" s="874"/>
      <c r="I966" s="874"/>
      <c r="J966" s="874"/>
      <c r="K966" s="874"/>
      <c r="L966" s="874"/>
      <c r="M966" s="874"/>
      <c r="N966" s="874"/>
      <c r="O966" s="874"/>
      <c r="P966" s="874"/>
      <c r="Q966" s="874"/>
      <c r="R966" s="874"/>
      <c r="S966" s="874"/>
      <c r="T966" s="874"/>
      <c r="U966" s="874"/>
      <c r="V966" s="874"/>
      <c r="W966" s="874"/>
      <c r="X966" s="874"/>
      <c r="Y966" s="874"/>
      <c r="Z966" s="874"/>
    </row>
    <row r="967" ht="63.75" customHeight="1">
      <c r="A967" s="874"/>
      <c r="B967" s="874"/>
      <c r="C967" s="874"/>
      <c r="D967" s="882"/>
      <c r="E967" s="874"/>
      <c r="F967" s="874"/>
      <c r="G967" s="864"/>
      <c r="H967" s="874"/>
      <c r="I967" s="874"/>
      <c r="J967" s="874"/>
      <c r="K967" s="874"/>
      <c r="L967" s="874"/>
      <c r="M967" s="874"/>
      <c r="N967" s="874"/>
      <c r="O967" s="874"/>
      <c r="P967" s="874"/>
      <c r="Q967" s="874"/>
      <c r="R967" s="874"/>
      <c r="S967" s="874"/>
      <c r="T967" s="874"/>
      <c r="U967" s="874"/>
      <c r="V967" s="874"/>
      <c r="W967" s="874"/>
      <c r="X967" s="874"/>
      <c r="Y967" s="874"/>
      <c r="Z967" s="874"/>
    </row>
    <row r="968" ht="63.75" customHeight="1">
      <c r="A968" s="874"/>
      <c r="B968" s="874"/>
      <c r="C968" s="874"/>
      <c r="D968" s="882"/>
      <c r="E968" s="874"/>
      <c r="F968" s="874"/>
      <c r="G968" s="864"/>
      <c r="H968" s="874"/>
      <c r="I968" s="874"/>
      <c r="J968" s="874"/>
      <c r="K968" s="874"/>
      <c r="L968" s="874"/>
      <c r="M968" s="874"/>
      <c r="N968" s="874"/>
      <c r="O968" s="874"/>
      <c r="P968" s="874"/>
      <c r="Q968" s="874"/>
      <c r="R968" s="874"/>
      <c r="S968" s="874"/>
      <c r="T968" s="874"/>
      <c r="U968" s="874"/>
      <c r="V968" s="874"/>
      <c r="W968" s="874"/>
      <c r="X968" s="874"/>
      <c r="Y968" s="874"/>
      <c r="Z968" s="874"/>
    </row>
    <row r="969" ht="63.75" customHeight="1">
      <c r="A969" s="874"/>
      <c r="B969" s="874"/>
      <c r="C969" s="874"/>
      <c r="D969" s="882"/>
      <c r="E969" s="874"/>
      <c r="F969" s="874"/>
      <c r="G969" s="864"/>
      <c r="H969" s="874"/>
      <c r="I969" s="874"/>
      <c r="J969" s="874"/>
      <c r="K969" s="874"/>
      <c r="L969" s="874"/>
      <c r="M969" s="874"/>
      <c r="N969" s="874"/>
      <c r="O969" s="874"/>
      <c r="P969" s="874"/>
      <c r="Q969" s="874"/>
      <c r="R969" s="874"/>
      <c r="S969" s="874"/>
      <c r="T969" s="874"/>
      <c r="U969" s="874"/>
      <c r="V969" s="874"/>
      <c r="W969" s="874"/>
      <c r="X969" s="874"/>
      <c r="Y969" s="874"/>
      <c r="Z969" s="874"/>
    </row>
    <row r="970" ht="63.75" customHeight="1">
      <c r="A970" s="874"/>
      <c r="B970" s="874"/>
      <c r="C970" s="874"/>
      <c r="D970" s="882"/>
      <c r="E970" s="874"/>
      <c r="F970" s="874"/>
      <c r="G970" s="864"/>
      <c r="H970" s="874"/>
      <c r="I970" s="874"/>
      <c r="J970" s="874"/>
      <c r="K970" s="874"/>
      <c r="L970" s="874"/>
      <c r="M970" s="874"/>
      <c r="N970" s="874"/>
      <c r="O970" s="874"/>
      <c r="P970" s="874"/>
      <c r="Q970" s="874"/>
      <c r="R970" s="874"/>
      <c r="S970" s="874"/>
      <c r="T970" s="874"/>
      <c r="U970" s="874"/>
      <c r="V970" s="874"/>
      <c r="W970" s="874"/>
      <c r="X970" s="874"/>
      <c r="Y970" s="874"/>
      <c r="Z970" s="874"/>
    </row>
    <row r="971" ht="63.75" customHeight="1">
      <c r="A971" s="874"/>
      <c r="B971" s="874"/>
      <c r="C971" s="874"/>
      <c r="D971" s="882"/>
      <c r="E971" s="874"/>
      <c r="F971" s="874"/>
      <c r="G971" s="864"/>
      <c r="H971" s="874"/>
      <c r="I971" s="874"/>
      <c r="J971" s="874"/>
      <c r="K971" s="874"/>
      <c r="L971" s="874"/>
      <c r="M971" s="874"/>
      <c r="N971" s="874"/>
      <c r="O971" s="874"/>
      <c r="P971" s="874"/>
      <c r="Q971" s="874"/>
      <c r="R971" s="874"/>
      <c r="S971" s="874"/>
      <c r="T971" s="874"/>
      <c r="U971" s="874"/>
      <c r="V971" s="874"/>
      <c r="W971" s="874"/>
      <c r="X971" s="874"/>
      <c r="Y971" s="874"/>
      <c r="Z971" s="874"/>
    </row>
    <row r="972" ht="63.75" customHeight="1">
      <c r="A972" s="874"/>
      <c r="B972" s="874"/>
      <c r="C972" s="874"/>
      <c r="D972" s="882"/>
      <c r="E972" s="874"/>
      <c r="F972" s="874"/>
      <c r="G972" s="864"/>
      <c r="H972" s="874"/>
      <c r="I972" s="874"/>
      <c r="J972" s="874"/>
      <c r="K972" s="874"/>
      <c r="L972" s="874"/>
      <c r="M972" s="874"/>
      <c r="N972" s="874"/>
      <c r="O972" s="874"/>
      <c r="P972" s="874"/>
      <c r="Q972" s="874"/>
      <c r="R972" s="874"/>
      <c r="S972" s="874"/>
      <c r="T972" s="874"/>
      <c r="U972" s="874"/>
      <c r="V972" s="874"/>
      <c r="W972" s="874"/>
      <c r="X972" s="874"/>
      <c r="Y972" s="874"/>
      <c r="Z972" s="874"/>
    </row>
    <row r="973" ht="63.75" customHeight="1">
      <c r="A973" s="874"/>
      <c r="B973" s="874"/>
      <c r="C973" s="874"/>
      <c r="D973" s="882"/>
      <c r="E973" s="874"/>
      <c r="F973" s="874"/>
      <c r="G973" s="864"/>
      <c r="H973" s="874"/>
      <c r="I973" s="874"/>
      <c r="J973" s="874"/>
      <c r="K973" s="874"/>
      <c r="L973" s="874"/>
      <c r="M973" s="874"/>
      <c r="N973" s="874"/>
      <c r="O973" s="874"/>
      <c r="P973" s="874"/>
      <c r="Q973" s="874"/>
      <c r="R973" s="874"/>
      <c r="S973" s="874"/>
      <c r="T973" s="874"/>
      <c r="U973" s="874"/>
      <c r="V973" s="874"/>
      <c r="W973" s="874"/>
      <c r="X973" s="874"/>
      <c r="Y973" s="874"/>
      <c r="Z973" s="874"/>
    </row>
    <row r="974" ht="63.75" customHeight="1">
      <c r="A974" s="874"/>
      <c r="B974" s="874"/>
      <c r="C974" s="874"/>
      <c r="D974" s="882"/>
      <c r="E974" s="874"/>
      <c r="F974" s="874"/>
      <c r="G974" s="864"/>
      <c r="H974" s="874"/>
      <c r="I974" s="874"/>
      <c r="J974" s="874"/>
      <c r="K974" s="874"/>
      <c r="L974" s="874"/>
      <c r="M974" s="874"/>
      <c r="N974" s="874"/>
      <c r="O974" s="874"/>
      <c r="P974" s="874"/>
      <c r="Q974" s="874"/>
      <c r="R974" s="874"/>
      <c r="S974" s="874"/>
      <c r="T974" s="874"/>
      <c r="U974" s="874"/>
      <c r="V974" s="874"/>
      <c r="W974" s="874"/>
      <c r="X974" s="874"/>
      <c r="Y974" s="874"/>
      <c r="Z974" s="874"/>
    </row>
    <row r="975" ht="63.75" customHeight="1">
      <c r="A975" s="874"/>
      <c r="B975" s="874"/>
      <c r="C975" s="874"/>
      <c r="D975" s="882"/>
      <c r="E975" s="874"/>
      <c r="F975" s="874"/>
      <c r="G975" s="864"/>
      <c r="H975" s="874"/>
      <c r="I975" s="874"/>
      <c r="J975" s="874"/>
      <c r="K975" s="874"/>
      <c r="L975" s="874"/>
      <c r="M975" s="874"/>
      <c r="N975" s="874"/>
      <c r="O975" s="874"/>
      <c r="P975" s="874"/>
      <c r="Q975" s="874"/>
      <c r="R975" s="874"/>
      <c r="S975" s="874"/>
      <c r="T975" s="874"/>
      <c r="U975" s="874"/>
      <c r="V975" s="874"/>
      <c r="W975" s="874"/>
      <c r="X975" s="874"/>
      <c r="Y975" s="874"/>
      <c r="Z975" s="874"/>
    </row>
    <row r="976" ht="63.75" customHeight="1">
      <c r="A976" s="874"/>
      <c r="B976" s="874"/>
      <c r="C976" s="874"/>
      <c r="D976" s="882"/>
      <c r="E976" s="874"/>
      <c r="F976" s="874"/>
      <c r="G976" s="864"/>
      <c r="H976" s="874"/>
      <c r="I976" s="874"/>
      <c r="J976" s="874"/>
      <c r="K976" s="874"/>
      <c r="L976" s="874"/>
      <c r="M976" s="874"/>
      <c r="N976" s="874"/>
      <c r="O976" s="874"/>
      <c r="P976" s="874"/>
      <c r="Q976" s="874"/>
      <c r="R976" s="874"/>
      <c r="S976" s="874"/>
      <c r="T976" s="874"/>
      <c r="U976" s="874"/>
      <c r="V976" s="874"/>
      <c r="W976" s="874"/>
      <c r="X976" s="874"/>
      <c r="Y976" s="874"/>
      <c r="Z976" s="874"/>
    </row>
    <row r="977" ht="63.75" customHeight="1">
      <c r="A977" s="874"/>
      <c r="B977" s="874"/>
      <c r="C977" s="874"/>
      <c r="D977" s="882"/>
      <c r="E977" s="874"/>
      <c r="F977" s="874"/>
      <c r="G977" s="864"/>
      <c r="H977" s="874"/>
      <c r="I977" s="874"/>
      <c r="J977" s="874"/>
      <c r="K977" s="874"/>
      <c r="L977" s="874"/>
      <c r="M977" s="874"/>
      <c r="N977" s="874"/>
      <c r="O977" s="874"/>
      <c r="P977" s="874"/>
      <c r="Q977" s="874"/>
      <c r="R977" s="874"/>
      <c r="S977" s="874"/>
      <c r="T977" s="874"/>
      <c r="U977" s="874"/>
      <c r="V977" s="874"/>
      <c r="W977" s="874"/>
      <c r="X977" s="874"/>
      <c r="Y977" s="874"/>
      <c r="Z977" s="874"/>
    </row>
    <row r="978" ht="63.75" customHeight="1">
      <c r="A978" s="874"/>
      <c r="B978" s="874"/>
      <c r="C978" s="874"/>
      <c r="D978" s="882"/>
      <c r="E978" s="874"/>
      <c r="F978" s="874"/>
      <c r="G978" s="864"/>
      <c r="H978" s="874"/>
      <c r="I978" s="874"/>
      <c r="J978" s="874"/>
      <c r="K978" s="874"/>
      <c r="L978" s="874"/>
      <c r="M978" s="874"/>
      <c r="N978" s="874"/>
      <c r="O978" s="874"/>
      <c r="P978" s="874"/>
      <c r="Q978" s="874"/>
      <c r="R978" s="874"/>
      <c r="S978" s="874"/>
      <c r="T978" s="874"/>
      <c r="U978" s="874"/>
      <c r="V978" s="874"/>
      <c r="W978" s="874"/>
      <c r="X978" s="874"/>
      <c r="Y978" s="874"/>
      <c r="Z978" s="874"/>
    </row>
    <row r="979" ht="63.75" customHeight="1">
      <c r="A979" s="874"/>
      <c r="B979" s="874"/>
      <c r="C979" s="874"/>
      <c r="D979" s="882"/>
      <c r="E979" s="874"/>
      <c r="F979" s="874"/>
      <c r="G979" s="864"/>
      <c r="H979" s="874"/>
      <c r="I979" s="874"/>
      <c r="J979" s="874"/>
      <c r="K979" s="874"/>
      <c r="L979" s="874"/>
      <c r="M979" s="874"/>
      <c r="N979" s="874"/>
      <c r="O979" s="874"/>
      <c r="P979" s="874"/>
      <c r="Q979" s="874"/>
      <c r="R979" s="874"/>
      <c r="S979" s="874"/>
      <c r="T979" s="874"/>
      <c r="U979" s="874"/>
      <c r="V979" s="874"/>
      <c r="W979" s="874"/>
      <c r="X979" s="874"/>
      <c r="Y979" s="874"/>
      <c r="Z979" s="874"/>
    </row>
    <row r="980" ht="63.75" customHeight="1">
      <c r="A980" s="874"/>
      <c r="B980" s="874"/>
      <c r="C980" s="874"/>
      <c r="D980" s="882"/>
      <c r="E980" s="874"/>
      <c r="F980" s="874"/>
      <c r="G980" s="864"/>
      <c r="H980" s="874"/>
      <c r="I980" s="874"/>
      <c r="J980" s="874"/>
      <c r="K980" s="874"/>
      <c r="L980" s="874"/>
      <c r="M980" s="874"/>
      <c r="N980" s="874"/>
      <c r="O980" s="874"/>
      <c r="P980" s="874"/>
      <c r="Q980" s="874"/>
      <c r="R980" s="874"/>
      <c r="S980" s="874"/>
      <c r="T980" s="874"/>
      <c r="U980" s="874"/>
      <c r="V980" s="874"/>
      <c r="W980" s="874"/>
      <c r="X980" s="874"/>
      <c r="Y980" s="874"/>
      <c r="Z980" s="874"/>
    </row>
    <row r="981" ht="63.75" customHeight="1">
      <c r="A981" s="874"/>
      <c r="B981" s="874"/>
      <c r="C981" s="874"/>
      <c r="D981" s="882"/>
      <c r="E981" s="874"/>
      <c r="F981" s="874"/>
      <c r="G981" s="864"/>
      <c r="H981" s="874"/>
      <c r="I981" s="874"/>
      <c r="J981" s="874"/>
      <c r="K981" s="874"/>
      <c r="L981" s="874"/>
      <c r="M981" s="874"/>
      <c r="N981" s="874"/>
      <c r="O981" s="874"/>
      <c r="P981" s="874"/>
      <c r="Q981" s="874"/>
      <c r="R981" s="874"/>
      <c r="S981" s="874"/>
      <c r="T981" s="874"/>
      <c r="U981" s="874"/>
      <c r="V981" s="874"/>
      <c r="W981" s="874"/>
      <c r="X981" s="874"/>
      <c r="Y981" s="874"/>
      <c r="Z981" s="874"/>
    </row>
    <row r="982" ht="63.75" customHeight="1">
      <c r="A982" s="874"/>
      <c r="B982" s="874"/>
      <c r="C982" s="874"/>
      <c r="D982" s="882"/>
      <c r="E982" s="874"/>
      <c r="F982" s="874"/>
      <c r="G982" s="864"/>
      <c r="H982" s="874"/>
      <c r="I982" s="874"/>
      <c r="J982" s="874"/>
      <c r="K982" s="874"/>
      <c r="L982" s="874"/>
      <c r="M982" s="874"/>
      <c r="N982" s="874"/>
      <c r="O982" s="874"/>
      <c r="P982" s="874"/>
      <c r="Q982" s="874"/>
      <c r="R982" s="874"/>
      <c r="S982" s="874"/>
      <c r="T982" s="874"/>
      <c r="U982" s="874"/>
      <c r="V982" s="874"/>
      <c r="W982" s="874"/>
      <c r="X982" s="874"/>
      <c r="Y982" s="874"/>
      <c r="Z982" s="874"/>
    </row>
    <row r="983" ht="63.75" customHeight="1">
      <c r="A983" s="874"/>
      <c r="B983" s="874"/>
      <c r="C983" s="874"/>
      <c r="D983" s="882"/>
      <c r="E983" s="874"/>
      <c r="F983" s="874"/>
      <c r="G983" s="864"/>
      <c r="H983" s="874"/>
      <c r="I983" s="874"/>
      <c r="J983" s="874"/>
      <c r="K983" s="874"/>
      <c r="L983" s="874"/>
      <c r="M983" s="874"/>
      <c r="N983" s="874"/>
      <c r="O983" s="874"/>
      <c r="P983" s="874"/>
      <c r="Q983" s="874"/>
      <c r="R983" s="874"/>
      <c r="S983" s="874"/>
      <c r="T983" s="874"/>
      <c r="U983" s="874"/>
      <c r="V983" s="874"/>
      <c r="W983" s="874"/>
      <c r="X983" s="874"/>
      <c r="Y983" s="874"/>
      <c r="Z983" s="874"/>
    </row>
    <row r="984" ht="63.75" customHeight="1">
      <c r="A984" s="874"/>
      <c r="B984" s="874"/>
      <c r="C984" s="874"/>
      <c r="D984" s="882"/>
      <c r="E984" s="874"/>
      <c r="F984" s="874"/>
      <c r="G984" s="864"/>
      <c r="H984" s="874"/>
      <c r="I984" s="874"/>
      <c r="J984" s="874"/>
      <c r="K984" s="874"/>
      <c r="L984" s="874"/>
      <c r="M984" s="874"/>
      <c r="N984" s="874"/>
      <c r="O984" s="874"/>
      <c r="P984" s="874"/>
      <c r="Q984" s="874"/>
      <c r="R984" s="874"/>
      <c r="S984" s="874"/>
      <c r="T984" s="874"/>
      <c r="U984" s="874"/>
      <c r="V984" s="874"/>
      <c r="W984" s="874"/>
      <c r="X984" s="874"/>
      <c r="Y984" s="874"/>
      <c r="Z984" s="874"/>
    </row>
    <row r="985" ht="63.75" customHeight="1">
      <c r="A985" s="874"/>
      <c r="B985" s="874"/>
      <c r="C985" s="874"/>
      <c r="D985" s="882"/>
      <c r="E985" s="874"/>
      <c r="F985" s="874"/>
      <c r="G985" s="864"/>
      <c r="H985" s="874"/>
      <c r="I985" s="874"/>
      <c r="J985" s="874"/>
      <c r="K985" s="874"/>
      <c r="L985" s="874"/>
      <c r="M985" s="874"/>
      <c r="N985" s="874"/>
      <c r="O985" s="874"/>
      <c r="P985" s="874"/>
      <c r="Q985" s="874"/>
      <c r="R985" s="874"/>
      <c r="S985" s="874"/>
      <c r="T985" s="874"/>
      <c r="U985" s="874"/>
      <c r="V985" s="874"/>
      <c r="W985" s="874"/>
      <c r="X985" s="874"/>
      <c r="Y985" s="874"/>
      <c r="Z985" s="874"/>
    </row>
    <row r="986" ht="63.75" customHeight="1">
      <c r="A986" s="874"/>
      <c r="B986" s="874"/>
      <c r="C986" s="874"/>
      <c r="D986" s="882"/>
      <c r="E986" s="874"/>
      <c r="F986" s="874"/>
      <c r="G986" s="864"/>
      <c r="H986" s="874"/>
      <c r="I986" s="874"/>
      <c r="J986" s="874"/>
      <c r="K986" s="874"/>
      <c r="L986" s="874"/>
      <c r="M986" s="874"/>
      <c r="N986" s="874"/>
      <c r="O986" s="874"/>
      <c r="P986" s="874"/>
      <c r="Q986" s="874"/>
      <c r="R986" s="874"/>
      <c r="S986" s="874"/>
      <c r="T986" s="874"/>
      <c r="U986" s="874"/>
      <c r="V986" s="874"/>
      <c r="W986" s="874"/>
      <c r="X986" s="874"/>
      <c r="Y986" s="874"/>
      <c r="Z986" s="874"/>
    </row>
    <row r="987" ht="63.75" customHeight="1">
      <c r="A987" s="874"/>
      <c r="B987" s="874"/>
      <c r="C987" s="874"/>
      <c r="D987" s="882"/>
      <c r="E987" s="874"/>
      <c r="F987" s="874"/>
      <c r="G987" s="864"/>
      <c r="H987" s="874"/>
      <c r="I987" s="874"/>
      <c r="J987" s="874"/>
      <c r="K987" s="874"/>
      <c r="L987" s="874"/>
      <c r="M987" s="874"/>
      <c r="N987" s="874"/>
      <c r="O987" s="874"/>
      <c r="P987" s="874"/>
      <c r="Q987" s="874"/>
      <c r="R987" s="874"/>
      <c r="S987" s="874"/>
      <c r="T987" s="874"/>
      <c r="U987" s="874"/>
      <c r="V987" s="874"/>
      <c r="W987" s="874"/>
      <c r="X987" s="874"/>
      <c r="Y987" s="874"/>
      <c r="Z987" s="874"/>
    </row>
    <row r="988" ht="63.75" customHeight="1">
      <c r="A988" s="874"/>
      <c r="B988" s="874"/>
      <c r="C988" s="874"/>
      <c r="D988" s="882"/>
      <c r="E988" s="874"/>
      <c r="F988" s="874"/>
      <c r="G988" s="864"/>
      <c r="H988" s="874"/>
      <c r="I988" s="874"/>
      <c r="J988" s="874"/>
      <c r="K988" s="874"/>
      <c r="L988" s="874"/>
      <c r="M988" s="874"/>
      <c r="N988" s="874"/>
      <c r="O988" s="874"/>
      <c r="P988" s="874"/>
      <c r="Q988" s="874"/>
      <c r="R988" s="874"/>
      <c r="S988" s="874"/>
      <c r="T988" s="874"/>
      <c r="U988" s="874"/>
      <c r="V988" s="874"/>
      <c r="W988" s="874"/>
      <c r="X988" s="874"/>
      <c r="Y988" s="874"/>
      <c r="Z988" s="874"/>
    </row>
    <row r="989" ht="63.75" customHeight="1">
      <c r="A989" s="874"/>
      <c r="B989" s="874"/>
      <c r="C989" s="874"/>
      <c r="D989" s="882"/>
      <c r="E989" s="874"/>
      <c r="F989" s="874"/>
      <c r="G989" s="864"/>
      <c r="H989" s="874"/>
      <c r="I989" s="874"/>
      <c r="J989" s="874"/>
      <c r="K989" s="874"/>
      <c r="L989" s="874"/>
      <c r="M989" s="874"/>
      <c r="N989" s="874"/>
      <c r="O989" s="874"/>
      <c r="P989" s="874"/>
      <c r="Q989" s="874"/>
      <c r="R989" s="874"/>
      <c r="S989" s="874"/>
      <c r="T989" s="874"/>
      <c r="U989" s="874"/>
      <c r="V989" s="874"/>
      <c r="W989" s="874"/>
      <c r="X989" s="874"/>
      <c r="Y989" s="874"/>
      <c r="Z989" s="874"/>
    </row>
    <row r="990" ht="63.75" customHeight="1">
      <c r="A990" s="874"/>
      <c r="B990" s="874"/>
      <c r="C990" s="874"/>
      <c r="D990" s="882"/>
      <c r="E990" s="874"/>
      <c r="F990" s="874"/>
      <c r="G990" s="864"/>
      <c r="H990" s="874"/>
      <c r="I990" s="874"/>
      <c r="J990" s="874"/>
      <c r="K990" s="874"/>
      <c r="L990" s="874"/>
      <c r="M990" s="874"/>
      <c r="N990" s="874"/>
      <c r="O990" s="874"/>
      <c r="P990" s="874"/>
      <c r="Q990" s="874"/>
      <c r="R990" s="874"/>
      <c r="S990" s="874"/>
      <c r="T990" s="874"/>
      <c r="U990" s="874"/>
      <c r="V990" s="874"/>
      <c r="W990" s="874"/>
      <c r="X990" s="874"/>
      <c r="Y990" s="874"/>
      <c r="Z990" s="874"/>
    </row>
    <row r="991" ht="63.75" customHeight="1">
      <c r="A991" s="874"/>
      <c r="B991" s="874"/>
      <c r="C991" s="874"/>
      <c r="D991" s="882"/>
      <c r="E991" s="874"/>
      <c r="F991" s="874"/>
      <c r="G991" s="864"/>
      <c r="H991" s="874"/>
      <c r="I991" s="874"/>
      <c r="J991" s="874"/>
      <c r="K991" s="874"/>
      <c r="L991" s="874"/>
      <c r="M991" s="874"/>
      <c r="N991" s="874"/>
      <c r="O991" s="874"/>
      <c r="P991" s="874"/>
      <c r="Q991" s="874"/>
      <c r="R991" s="874"/>
      <c r="S991" s="874"/>
      <c r="T991" s="874"/>
      <c r="U991" s="874"/>
      <c r="V991" s="874"/>
      <c r="W991" s="874"/>
      <c r="X991" s="874"/>
      <c r="Y991" s="874"/>
      <c r="Z991" s="874"/>
    </row>
    <row r="992" ht="63.75" customHeight="1">
      <c r="A992" s="874"/>
      <c r="B992" s="874"/>
      <c r="C992" s="874"/>
      <c r="D992" s="882"/>
      <c r="E992" s="874"/>
      <c r="F992" s="874"/>
      <c r="G992" s="864"/>
      <c r="H992" s="874"/>
      <c r="I992" s="874"/>
      <c r="J992" s="874"/>
      <c r="K992" s="874"/>
      <c r="L992" s="874"/>
      <c r="M992" s="874"/>
      <c r="N992" s="874"/>
      <c r="O992" s="874"/>
      <c r="P992" s="874"/>
      <c r="Q992" s="874"/>
      <c r="R992" s="874"/>
      <c r="S992" s="874"/>
      <c r="T992" s="874"/>
      <c r="U992" s="874"/>
      <c r="V992" s="874"/>
      <c r="W992" s="874"/>
      <c r="X992" s="874"/>
      <c r="Y992" s="874"/>
      <c r="Z992" s="874"/>
    </row>
    <row r="993" ht="63.75" customHeight="1">
      <c r="A993" s="874"/>
      <c r="B993" s="874"/>
      <c r="C993" s="874"/>
      <c r="D993" s="882"/>
      <c r="E993" s="874"/>
      <c r="F993" s="874"/>
      <c r="G993" s="864"/>
      <c r="H993" s="874"/>
      <c r="I993" s="874"/>
      <c r="J993" s="874"/>
      <c r="K993" s="874"/>
      <c r="L993" s="874"/>
      <c r="M993" s="874"/>
      <c r="N993" s="874"/>
      <c r="O993" s="874"/>
      <c r="P993" s="874"/>
      <c r="Q993" s="874"/>
      <c r="R993" s="874"/>
      <c r="S993" s="874"/>
      <c r="T993" s="874"/>
      <c r="U993" s="874"/>
      <c r="V993" s="874"/>
      <c r="W993" s="874"/>
      <c r="X993" s="874"/>
      <c r="Y993" s="874"/>
      <c r="Z993" s="874"/>
    </row>
    <row r="994" ht="63.75" customHeight="1">
      <c r="A994" s="874"/>
      <c r="B994" s="874"/>
      <c r="C994" s="874"/>
      <c r="D994" s="882"/>
      <c r="E994" s="874"/>
      <c r="F994" s="874"/>
      <c r="G994" s="864"/>
      <c r="H994" s="874"/>
      <c r="I994" s="874"/>
      <c r="J994" s="874"/>
      <c r="K994" s="874"/>
      <c r="L994" s="874"/>
      <c r="M994" s="874"/>
      <c r="N994" s="874"/>
      <c r="O994" s="874"/>
      <c r="P994" s="874"/>
      <c r="Q994" s="874"/>
      <c r="R994" s="874"/>
      <c r="S994" s="874"/>
      <c r="T994" s="874"/>
      <c r="U994" s="874"/>
      <c r="V994" s="874"/>
      <c r="W994" s="874"/>
      <c r="X994" s="874"/>
      <c r="Y994" s="874"/>
      <c r="Z994" s="874"/>
    </row>
    <row r="995" ht="63.75" customHeight="1">
      <c r="A995" s="874"/>
      <c r="B995" s="874"/>
      <c r="C995" s="874"/>
      <c r="D995" s="882"/>
      <c r="E995" s="874"/>
      <c r="F995" s="874"/>
      <c r="G995" s="864"/>
      <c r="H995" s="874"/>
      <c r="I995" s="874"/>
      <c r="J995" s="874"/>
      <c r="K995" s="874"/>
      <c r="L995" s="874"/>
      <c r="M995" s="874"/>
      <c r="N995" s="874"/>
      <c r="O995" s="874"/>
      <c r="P995" s="874"/>
      <c r="Q995" s="874"/>
      <c r="R995" s="874"/>
      <c r="S995" s="874"/>
      <c r="T995" s="874"/>
      <c r="U995" s="874"/>
      <c r="V995" s="874"/>
      <c r="W995" s="874"/>
      <c r="X995" s="874"/>
      <c r="Y995" s="874"/>
      <c r="Z995" s="874"/>
    </row>
    <row r="996" ht="63.75" customHeight="1">
      <c r="A996" s="874"/>
      <c r="B996" s="874"/>
      <c r="C996" s="874"/>
      <c r="D996" s="882"/>
      <c r="E996" s="874"/>
      <c r="F996" s="874"/>
      <c r="G996" s="864"/>
      <c r="H996" s="874"/>
      <c r="I996" s="874"/>
      <c r="J996" s="874"/>
      <c r="K996" s="874"/>
      <c r="L996" s="874"/>
      <c r="M996" s="874"/>
      <c r="N996" s="874"/>
      <c r="O996" s="874"/>
      <c r="P996" s="874"/>
      <c r="Q996" s="874"/>
      <c r="R996" s="874"/>
      <c r="S996" s="874"/>
      <c r="T996" s="874"/>
      <c r="U996" s="874"/>
      <c r="V996" s="874"/>
      <c r="W996" s="874"/>
      <c r="X996" s="874"/>
      <c r="Y996" s="874"/>
      <c r="Z996" s="874"/>
    </row>
    <row r="997" ht="63.75" customHeight="1">
      <c r="A997" s="874"/>
      <c r="B997" s="874"/>
      <c r="C997" s="874"/>
      <c r="D997" s="882"/>
      <c r="E997" s="874"/>
      <c r="F997" s="874"/>
      <c r="G997" s="864"/>
      <c r="H997" s="874"/>
      <c r="I997" s="874"/>
      <c r="J997" s="874"/>
      <c r="K997" s="874"/>
      <c r="L997" s="874"/>
      <c r="M997" s="874"/>
      <c r="N997" s="874"/>
      <c r="O997" s="874"/>
      <c r="P997" s="874"/>
      <c r="Q997" s="874"/>
      <c r="R997" s="874"/>
      <c r="S997" s="874"/>
      <c r="T997" s="874"/>
      <c r="U997" s="874"/>
      <c r="V997" s="874"/>
      <c r="W997" s="874"/>
      <c r="X997" s="874"/>
      <c r="Y997" s="874"/>
      <c r="Z997" s="874"/>
    </row>
    <row r="998" ht="63.75" customHeight="1">
      <c r="A998" s="874"/>
      <c r="B998" s="874"/>
      <c r="C998" s="874"/>
      <c r="D998" s="882"/>
      <c r="E998" s="874"/>
      <c r="F998" s="874"/>
      <c r="G998" s="864"/>
      <c r="H998" s="874"/>
      <c r="I998" s="874"/>
      <c r="J998" s="874"/>
      <c r="K998" s="874"/>
      <c r="L998" s="874"/>
      <c r="M998" s="874"/>
      <c r="N998" s="874"/>
      <c r="O998" s="874"/>
      <c r="P998" s="874"/>
      <c r="Q998" s="874"/>
      <c r="R998" s="874"/>
      <c r="S998" s="874"/>
      <c r="T998" s="874"/>
      <c r="U998" s="874"/>
      <c r="V998" s="874"/>
      <c r="W998" s="874"/>
      <c r="X998" s="874"/>
      <c r="Y998" s="874"/>
      <c r="Z998" s="874"/>
    </row>
    <row r="999" ht="63.75" customHeight="1">
      <c r="A999" s="874"/>
      <c r="B999" s="874"/>
      <c r="C999" s="874"/>
      <c r="D999" s="882"/>
      <c r="E999" s="874"/>
      <c r="F999" s="874"/>
      <c r="G999" s="864"/>
      <c r="H999" s="874"/>
      <c r="I999" s="874"/>
      <c r="J999" s="874"/>
      <c r="K999" s="874"/>
      <c r="L999" s="874"/>
      <c r="M999" s="874"/>
      <c r="N999" s="874"/>
      <c r="O999" s="874"/>
      <c r="P999" s="874"/>
      <c r="Q999" s="874"/>
      <c r="R999" s="874"/>
      <c r="S999" s="874"/>
      <c r="T999" s="874"/>
      <c r="U999" s="874"/>
      <c r="V999" s="874"/>
      <c r="W999" s="874"/>
      <c r="X999" s="874"/>
      <c r="Y999" s="874"/>
      <c r="Z999" s="874"/>
    </row>
    <row r="1000" ht="63.75" customHeight="1">
      <c r="A1000" s="874"/>
      <c r="B1000" s="874"/>
      <c r="C1000" s="874"/>
      <c r="D1000" s="882"/>
      <c r="E1000" s="874"/>
      <c r="F1000" s="874"/>
      <c r="G1000" s="864"/>
      <c r="H1000" s="874"/>
      <c r="I1000" s="874"/>
      <c r="J1000" s="874"/>
      <c r="K1000" s="874"/>
      <c r="L1000" s="874"/>
      <c r="M1000" s="874"/>
      <c r="N1000" s="874"/>
      <c r="O1000" s="874"/>
      <c r="P1000" s="874"/>
      <c r="Q1000" s="874"/>
      <c r="R1000" s="874"/>
      <c r="S1000" s="874"/>
      <c r="T1000" s="874"/>
      <c r="U1000" s="874"/>
      <c r="V1000" s="874"/>
      <c r="W1000" s="874"/>
      <c r="X1000" s="874"/>
      <c r="Y1000" s="874"/>
      <c r="Z1000" s="874"/>
    </row>
  </sheetData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0.71"/>
    <col customWidth="1" min="2" max="2" width="29.0"/>
    <col customWidth="1" hidden="1" min="3" max="6" width="8.71"/>
    <col customWidth="1" min="7" max="7" width="31.71"/>
    <col customWidth="1" min="8" max="8" width="8.71"/>
    <col customWidth="1" hidden="1" min="9" max="9" width="21.71"/>
    <col customWidth="1" hidden="1" min="10" max="11" width="8.71"/>
    <col customWidth="1" min="12" max="26" width="8.71"/>
  </cols>
  <sheetData>
    <row r="1" ht="24.0" customHeight="1">
      <c r="A1" s="877" t="s">
        <v>1</v>
      </c>
      <c r="B1" s="877" t="s">
        <v>2815</v>
      </c>
      <c r="C1" s="877" t="s">
        <v>4</v>
      </c>
      <c r="D1" s="878" t="s">
        <v>6</v>
      </c>
      <c r="E1" s="877" t="s">
        <v>7</v>
      </c>
      <c r="F1" s="877" t="s">
        <v>3</v>
      </c>
      <c r="G1" s="877" t="s">
        <v>12</v>
      </c>
      <c r="H1" s="877" t="s">
        <v>13</v>
      </c>
      <c r="I1" s="877" t="s">
        <v>13</v>
      </c>
      <c r="J1" s="877"/>
      <c r="K1" s="219"/>
      <c r="L1" s="883" t="s">
        <v>4</v>
      </c>
      <c r="M1" s="864"/>
      <c r="N1" s="864"/>
      <c r="O1" s="864"/>
      <c r="P1" s="864"/>
      <c r="Q1" s="864"/>
      <c r="R1" s="864"/>
      <c r="S1" s="864"/>
      <c r="T1" s="864"/>
      <c r="U1" s="864"/>
      <c r="V1" s="864"/>
      <c r="W1" s="864"/>
      <c r="X1" s="864"/>
      <c r="Y1" s="864"/>
      <c r="Z1" s="864"/>
    </row>
    <row r="2" ht="49.5" customHeight="1">
      <c r="A2" s="219" t="str">
        <f>ARRAY_CONSTRAIN(ARRAYFORMULA(_xlfn._xlws.FILTER(Main!E4:P383,Main!#REF!="Uni-T")), 1, 1)</f>
        <v>#ERROR!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884">
        <v>60.0</v>
      </c>
      <c r="M2" s="864"/>
      <c r="N2" s="864"/>
      <c r="O2" s="864"/>
      <c r="P2" s="864"/>
      <c r="Q2" s="864"/>
      <c r="R2" s="864"/>
      <c r="S2" s="864"/>
      <c r="T2" s="864"/>
      <c r="U2" s="864"/>
      <c r="V2" s="864"/>
      <c r="W2" s="864"/>
      <c r="X2" s="864"/>
      <c r="Y2" s="864"/>
      <c r="Z2" s="864"/>
    </row>
    <row r="3" ht="49.5" customHeight="1">
      <c r="A3" s="219"/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884">
        <v>60.0</v>
      </c>
      <c r="M3" s="864"/>
      <c r="N3" s="864"/>
      <c r="O3" s="864"/>
      <c r="P3" s="864"/>
      <c r="Q3" s="864"/>
      <c r="R3" s="864"/>
      <c r="S3" s="864"/>
      <c r="T3" s="864"/>
      <c r="U3" s="864"/>
      <c r="V3" s="864"/>
      <c r="W3" s="864"/>
      <c r="X3" s="864"/>
      <c r="Y3" s="864"/>
      <c r="Z3" s="864"/>
    </row>
    <row r="4" ht="49.5" customHeight="1">
      <c r="A4" s="219"/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884">
        <v>60.0</v>
      </c>
      <c r="M4" s="864"/>
      <c r="N4" s="864"/>
      <c r="O4" s="864"/>
      <c r="P4" s="864"/>
      <c r="Q4" s="864"/>
      <c r="R4" s="864"/>
      <c r="S4" s="864"/>
      <c r="T4" s="864"/>
      <c r="U4" s="864"/>
      <c r="V4" s="864"/>
      <c r="W4" s="864"/>
      <c r="X4" s="864"/>
      <c r="Y4" s="864"/>
      <c r="Z4" s="864"/>
    </row>
    <row r="5" ht="49.5" customHeight="1">
      <c r="A5" s="219"/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884">
        <v>60.0</v>
      </c>
      <c r="M5" s="864"/>
      <c r="N5" s="864"/>
      <c r="O5" s="864"/>
      <c r="P5" s="864"/>
      <c r="Q5" s="864"/>
      <c r="R5" s="864"/>
      <c r="S5" s="864"/>
      <c r="T5" s="864"/>
      <c r="U5" s="864"/>
      <c r="V5" s="864"/>
      <c r="W5" s="864"/>
      <c r="X5" s="864"/>
      <c r="Y5" s="864"/>
      <c r="Z5" s="864"/>
    </row>
    <row r="6" ht="49.5" customHeight="1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884">
        <v>60.0</v>
      </c>
      <c r="M6" s="864"/>
      <c r="N6" s="864"/>
      <c r="O6" s="864"/>
      <c r="P6" s="864"/>
      <c r="Q6" s="864"/>
      <c r="R6" s="864"/>
      <c r="S6" s="864"/>
      <c r="T6" s="864"/>
      <c r="U6" s="864"/>
      <c r="V6" s="864"/>
      <c r="W6" s="864"/>
      <c r="X6" s="864"/>
      <c r="Y6" s="864"/>
      <c r="Z6" s="864"/>
    </row>
    <row r="7" ht="49.5" customHeight="1">
      <c r="A7" s="219"/>
      <c r="B7" s="219"/>
      <c r="C7" s="219"/>
      <c r="D7" s="219"/>
      <c r="E7" s="219"/>
      <c r="F7" s="219"/>
      <c r="G7" s="219"/>
      <c r="H7" s="219"/>
      <c r="I7" s="219"/>
      <c r="J7" s="219"/>
      <c r="K7" s="219"/>
      <c r="L7" s="884">
        <v>60.0</v>
      </c>
      <c r="M7" s="864"/>
      <c r="N7" s="864"/>
      <c r="O7" s="864"/>
      <c r="P7" s="864"/>
      <c r="Q7" s="864"/>
      <c r="R7" s="864"/>
      <c r="S7" s="864"/>
      <c r="T7" s="864"/>
      <c r="U7" s="864"/>
      <c r="V7" s="864"/>
      <c r="W7" s="864"/>
      <c r="X7" s="864"/>
      <c r="Y7" s="864"/>
      <c r="Z7" s="864"/>
    </row>
    <row r="8" ht="49.5" customHeight="1">
      <c r="A8" s="219"/>
      <c r="B8" s="219"/>
      <c r="C8" s="219"/>
      <c r="D8" s="219"/>
      <c r="E8" s="219"/>
      <c r="F8" s="219"/>
      <c r="G8" s="219"/>
      <c r="H8" s="219"/>
      <c r="I8" s="219"/>
      <c r="J8" s="219"/>
      <c r="K8" s="219"/>
      <c r="L8" s="884">
        <v>60.0</v>
      </c>
      <c r="M8" s="864"/>
      <c r="N8" s="864"/>
      <c r="O8" s="864"/>
      <c r="P8" s="864"/>
      <c r="Q8" s="864"/>
      <c r="R8" s="864"/>
      <c r="S8" s="864"/>
      <c r="T8" s="864"/>
      <c r="U8" s="864"/>
      <c r="V8" s="864"/>
      <c r="W8" s="864"/>
      <c r="X8" s="864"/>
      <c r="Y8" s="864"/>
      <c r="Z8" s="864"/>
    </row>
    <row r="9" ht="49.5" customHeight="1">
      <c r="A9" s="219"/>
      <c r="B9" s="219"/>
      <c r="C9" s="219"/>
      <c r="D9" s="219"/>
      <c r="E9" s="219"/>
      <c r="F9" s="219"/>
      <c r="G9" s="219"/>
      <c r="H9" s="219"/>
      <c r="I9" s="219"/>
      <c r="J9" s="219"/>
      <c r="K9" s="219"/>
      <c r="L9" s="884">
        <v>60.0</v>
      </c>
      <c r="M9" s="864"/>
      <c r="N9" s="864"/>
      <c r="O9" s="864"/>
      <c r="P9" s="864"/>
      <c r="Q9" s="864"/>
      <c r="R9" s="864"/>
      <c r="S9" s="864"/>
      <c r="T9" s="864"/>
      <c r="U9" s="864"/>
      <c r="V9" s="864"/>
      <c r="W9" s="864"/>
      <c r="X9" s="864"/>
      <c r="Y9" s="864"/>
      <c r="Z9" s="864"/>
    </row>
    <row r="10" ht="49.5" customHeight="1">
      <c r="A10" s="799"/>
      <c r="B10" s="799"/>
      <c r="C10" s="799"/>
      <c r="D10" s="799"/>
      <c r="E10" s="799"/>
      <c r="F10" s="799"/>
      <c r="G10" s="799"/>
      <c r="H10" s="799"/>
      <c r="I10" s="799"/>
      <c r="J10" s="799"/>
      <c r="K10" s="799"/>
      <c r="L10" s="885"/>
      <c r="M10" s="799"/>
      <c r="N10" s="799"/>
      <c r="O10" s="799"/>
      <c r="P10" s="799"/>
      <c r="Q10" s="799"/>
      <c r="R10" s="799"/>
      <c r="S10" s="799"/>
      <c r="T10" s="799"/>
      <c r="U10" s="799"/>
      <c r="V10" s="799"/>
      <c r="W10" s="799"/>
      <c r="X10" s="799"/>
      <c r="Y10" s="799"/>
      <c r="Z10" s="799"/>
    </row>
    <row r="11" ht="49.5" customHeight="1">
      <c r="A11" s="799"/>
      <c r="B11" s="799"/>
      <c r="C11" s="799"/>
      <c r="D11" s="799"/>
      <c r="E11" s="799"/>
      <c r="F11" s="799"/>
      <c r="G11" s="799"/>
      <c r="H11" s="799"/>
      <c r="I11" s="799"/>
      <c r="J11" s="799"/>
      <c r="K11" s="799"/>
      <c r="L11" s="885"/>
      <c r="M11" s="799"/>
      <c r="N11" s="799"/>
      <c r="O11" s="799"/>
      <c r="P11" s="799"/>
      <c r="Q11" s="799"/>
      <c r="R11" s="799"/>
      <c r="S11" s="799"/>
      <c r="T11" s="799"/>
      <c r="U11" s="799"/>
      <c r="V11" s="799"/>
      <c r="W11" s="799"/>
      <c r="X11" s="799"/>
      <c r="Y11" s="799"/>
      <c r="Z11" s="799"/>
    </row>
    <row r="12" ht="49.5" customHeight="1">
      <c r="A12" s="799"/>
      <c r="B12" s="799"/>
      <c r="C12" s="799"/>
      <c r="D12" s="799"/>
      <c r="E12" s="799"/>
      <c r="F12" s="799"/>
      <c r="G12" s="799"/>
      <c r="H12" s="799"/>
      <c r="I12" s="799"/>
      <c r="J12" s="799"/>
      <c r="K12" s="799"/>
      <c r="L12" s="885"/>
      <c r="M12" s="799"/>
      <c r="N12" s="799"/>
      <c r="O12" s="799"/>
      <c r="P12" s="799"/>
      <c r="Q12" s="799"/>
      <c r="R12" s="799"/>
      <c r="S12" s="799"/>
      <c r="T12" s="799"/>
      <c r="U12" s="799"/>
      <c r="V12" s="799"/>
      <c r="W12" s="799"/>
      <c r="X12" s="799"/>
      <c r="Y12" s="799"/>
      <c r="Z12" s="799"/>
    </row>
    <row r="13" ht="49.5" customHeight="1">
      <c r="A13" s="799"/>
      <c r="B13" s="799"/>
      <c r="C13" s="799"/>
      <c r="D13" s="799"/>
      <c r="E13" s="799"/>
      <c r="F13" s="799"/>
      <c r="G13" s="799"/>
      <c r="H13" s="799"/>
      <c r="I13" s="799"/>
      <c r="J13" s="799"/>
      <c r="K13" s="799"/>
      <c r="L13" s="885"/>
      <c r="M13" s="799"/>
      <c r="N13" s="799"/>
      <c r="O13" s="799"/>
      <c r="P13" s="799"/>
      <c r="Q13" s="799"/>
      <c r="R13" s="799"/>
      <c r="S13" s="799"/>
      <c r="T13" s="799"/>
      <c r="U13" s="799"/>
      <c r="V13" s="799"/>
      <c r="W13" s="799"/>
      <c r="X13" s="799"/>
      <c r="Y13" s="799"/>
      <c r="Z13" s="799"/>
    </row>
    <row r="14" ht="49.5" customHeight="1">
      <c r="A14" s="799"/>
      <c r="B14" s="799"/>
      <c r="C14" s="799"/>
      <c r="D14" s="799"/>
      <c r="E14" s="799"/>
      <c r="F14" s="799"/>
      <c r="G14" s="799"/>
      <c r="H14" s="799"/>
      <c r="I14" s="799"/>
      <c r="J14" s="799"/>
      <c r="K14" s="799"/>
      <c r="L14" s="885"/>
      <c r="M14" s="799"/>
      <c r="N14" s="799"/>
      <c r="O14" s="799"/>
      <c r="P14" s="799"/>
      <c r="Q14" s="799"/>
      <c r="R14" s="799"/>
      <c r="S14" s="799"/>
      <c r="T14" s="799"/>
      <c r="U14" s="799"/>
      <c r="V14" s="799"/>
      <c r="W14" s="799"/>
      <c r="X14" s="799"/>
      <c r="Y14" s="799"/>
      <c r="Z14" s="799"/>
    </row>
    <row r="15" ht="49.5" customHeight="1">
      <c r="A15" s="799"/>
      <c r="B15" s="799"/>
      <c r="C15" s="799"/>
      <c r="D15" s="799"/>
      <c r="E15" s="799"/>
      <c r="F15" s="799"/>
      <c r="G15" s="799"/>
      <c r="H15" s="799"/>
      <c r="I15" s="799"/>
      <c r="J15" s="799"/>
      <c r="K15" s="799"/>
      <c r="L15" s="885"/>
      <c r="M15" s="799"/>
      <c r="N15" s="799"/>
      <c r="O15" s="799"/>
      <c r="P15" s="799"/>
      <c r="Q15" s="799"/>
      <c r="R15" s="799"/>
      <c r="S15" s="799"/>
      <c r="T15" s="799"/>
      <c r="U15" s="799"/>
      <c r="V15" s="799"/>
      <c r="W15" s="799"/>
      <c r="X15" s="799"/>
      <c r="Y15" s="799"/>
      <c r="Z15" s="799"/>
    </row>
    <row r="16" ht="49.5" customHeight="1">
      <c r="A16" s="799"/>
      <c r="B16" s="799"/>
      <c r="C16" s="799"/>
      <c r="D16" s="799"/>
      <c r="E16" s="799"/>
      <c r="F16" s="799"/>
      <c r="G16" s="799"/>
      <c r="H16" s="799"/>
      <c r="I16" s="799"/>
      <c r="J16" s="799"/>
      <c r="K16" s="799"/>
      <c r="L16" s="885"/>
      <c r="M16" s="799"/>
      <c r="N16" s="799"/>
      <c r="O16" s="799"/>
      <c r="P16" s="799"/>
      <c r="Q16" s="799"/>
      <c r="R16" s="799"/>
      <c r="S16" s="799"/>
      <c r="T16" s="799"/>
      <c r="U16" s="799"/>
      <c r="V16" s="799"/>
      <c r="W16" s="799"/>
      <c r="X16" s="799"/>
      <c r="Y16" s="799"/>
      <c r="Z16" s="799"/>
    </row>
    <row r="17" ht="49.5" customHeight="1">
      <c r="A17" s="799"/>
      <c r="B17" s="799"/>
      <c r="C17" s="799"/>
      <c r="D17" s="799"/>
      <c r="E17" s="799"/>
      <c r="F17" s="799"/>
      <c r="G17" s="799"/>
      <c r="H17" s="799"/>
      <c r="I17" s="799"/>
      <c r="J17" s="799"/>
      <c r="K17" s="799"/>
      <c r="L17" s="885"/>
      <c r="M17" s="799"/>
      <c r="N17" s="799"/>
      <c r="O17" s="799"/>
      <c r="P17" s="799"/>
      <c r="Q17" s="799"/>
      <c r="R17" s="799"/>
      <c r="S17" s="799"/>
      <c r="T17" s="799"/>
      <c r="U17" s="799"/>
      <c r="V17" s="799"/>
      <c r="W17" s="799"/>
      <c r="X17" s="799"/>
      <c r="Y17" s="799"/>
      <c r="Z17" s="799"/>
    </row>
    <row r="18" ht="49.5" customHeight="1">
      <c r="A18" s="799"/>
      <c r="B18" s="799"/>
      <c r="C18" s="799"/>
      <c r="D18" s="799"/>
      <c r="E18" s="799"/>
      <c r="F18" s="799"/>
      <c r="G18" s="799"/>
      <c r="H18" s="799"/>
      <c r="I18" s="799"/>
      <c r="J18" s="799"/>
      <c r="K18" s="799"/>
      <c r="L18" s="885"/>
      <c r="M18" s="799"/>
      <c r="N18" s="799"/>
      <c r="O18" s="799"/>
      <c r="P18" s="799"/>
      <c r="Q18" s="799"/>
      <c r="R18" s="799"/>
      <c r="S18" s="799"/>
      <c r="T18" s="799"/>
      <c r="U18" s="799"/>
      <c r="V18" s="799"/>
      <c r="W18" s="799"/>
      <c r="X18" s="799"/>
      <c r="Y18" s="799"/>
      <c r="Z18" s="799"/>
    </row>
    <row r="19" ht="49.5" customHeight="1">
      <c r="A19" s="799"/>
      <c r="B19" s="799"/>
      <c r="C19" s="799"/>
      <c r="D19" s="799"/>
      <c r="E19" s="799"/>
      <c r="F19" s="799"/>
      <c r="G19" s="799"/>
      <c r="H19" s="799"/>
      <c r="I19" s="799"/>
      <c r="J19" s="799"/>
      <c r="K19" s="799"/>
      <c r="L19" s="885"/>
      <c r="M19" s="799"/>
      <c r="N19" s="799"/>
      <c r="O19" s="799"/>
      <c r="P19" s="799"/>
      <c r="Q19" s="799"/>
      <c r="R19" s="799"/>
      <c r="S19" s="799"/>
      <c r="T19" s="799"/>
      <c r="U19" s="799"/>
      <c r="V19" s="799"/>
      <c r="W19" s="799"/>
      <c r="X19" s="799"/>
      <c r="Y19" s="799"/>
      <c r="Z19" s="799"/>
    </row>
    <row r="20" ht="49.5" customHeight="1">
      <c r="A20" s="799"/>
      <c r="B20" s="799"/>
      <c r="C20" s="799"/>
      <c r="D20" s="799"/>
      <c r="E20" s="799"/>
      <c r="F20" s="799"/>
      <c r="G20" s="799"/>
      <c r="H20" s="799"/>
      <c r="I20" s="799"/>
      <c r="J20" s="799"/>
      <c r="K20" s="799"/>
      <c r="L20" s="885"/>
      <c r="M20" s="799"/>
      <c r="N20" s="799"/>
      <c r="O20" s="799"/>
      <c r="P20" s="799"/>
      <c r="Q20" s="799"/>
      <c r="R20" s="799"/>
      <c r="S20" s="799"/>
      <c r="T20" s="799"/>
      <c r="U20" s="799"/>
      <c r="V20" s="799"/>
      <c r="W20" s="799"/>
      <c r="X20" s="799"/>
      <c r="Y20" s="799"/>
      <c r="Z20" s="799"/>
    </row>
    <row r="21" ht="49.5" customHeight="1">
      <c r="A21" s="799"/>
      <c r="B21" s="799"/>
      <c r="C21" s="799"/>
      <c r="D21" s="799"/>
      <c r="E21" s="799"/>
      <c r="F21" s="799"/>
      <c r="G21" s="799"/>
      <c r="H21" s="799"/>
      <c r="I21" s="799"/>
      <c r="J21" s="799"/>
      <c r="K21" s="799"/>
      <c r="L21" s="885"/>
      <c r="M21" s="799"/>
      <c r="N21" s="799"/>
      <c r="O21" s="799"/>
      <c r="P21" s="799"/>
      <c r="Q21" s="799"/>
      <c r="R21" s="799"/>
      <c r="S21" s="799"/>
      <c r="T21" s="799"/>
      <c r="U21" s="799"/>
      <c r="V21" s="799"/>
      <c r="W21" s="799"/>
      <c r="X21" s="799"/>
      <c r="Y21" s="799"/>
      <c r="Z21" s="799"/>
    </row>
    <row r="22" ht="49.5" customHeight="1">
      <c r="A22" s="799"/>
      <c r="B22" s="799"/>
      <c r="C22" s="799"/>
      <c r="D22" s="799"/>
      <c r="E22" s="799"/>
      <c r="F22" s="799"/>
      <c r="G22" s="799"/>
      <c r="H22" s="799"/>
      <c r="I22" s="799"/>
      <c r="J22" s="799"/>
      <c r="K22" s="799"/>
      <c r="L22" s="885"/>
      <c r="M22" s="799"/>
      <c r="N22" s="799"/>
      <c r="O22" s="799"/>
      <c r="P22" s="799"/>
      <c r="Q22" s="799"/>
      <c r="R22" s="799"/>
      <c r="S22" s="799"/>
      <c r="T22" s="799"/>
      <c r="U22" s="799"/>
      <c r="V22" s="799"/>
      <c r="W22" s="799"/>
      <c r="X22" s="799"/>
      <c r="Y22" s="799"/>
      <c r="Z22" s="799"/>
    </row>
    <row r="23" ht="49.5" customHeight="1">
      <c r="A23" s="799"/>
      <c r="B23" s="799"/>
      <c r="C23" s="799"/>
      <c r="D23" s="799"/>
      <c r="E23" s="799"/>
      <c r="F23" s="799"/>
      <c r="G23" s="799"/>
      <c r="H23" s="799"/>
      <c r="I23" s="799"/>
      <c r="J23" s="799"/>
      <c r="K23" s="799"/>
      <c r="L23" s="885"/>
      <c r="M23" s="799"/>
      <c r="N23" s="799"/>
      <c r="O23" s="799"/>
      <c r="P23" s="799"/>
      <c r="Q23" s="799"/>
      <c r="R23" s="799"/>
      <c r="S23" s="799"/>
      <c r="T23" s="799"/>
      <c r="U23" s="799"/>
      <c r="V23" s="799"/>
      <c r="W23" s="799"/>
      <c r="X23" s="799"/>
      <c r="Y23" s="799"/>
      <c r="Z23" s="799"/>
    </row>
    <row r="24" ht="49.5" customHeight="1">
      <c r="A24" s="799"/>
      <c r="B24" s="799"/>
      <c r="C24" s="799"/>
      <c r="D24" s="799"/>
      <c r="E24" s="799"/>
      <c r="F24" s="799"/>
      <c r="G24" s="799"/>
      <c r="H24" s="799"/>
      <c r="I24" s="799"/>
      <c r="J24" s="799"/>
      <c r="K24" s="799"/>
      <c r="L24" s="885"/>
      <c r="M24" s="799"/>
      <c r="N24" s="799"/>
      <c r="O24" s="799"/>
      <c r="P24" s="799"/>
      <c r="Q24" s="799"/>
      <c r="R24" s="799"/>
      <c r="S24" s="799"/>
      <c r="T24" s="799"/>
      <c r="U24" s="799"/>
      <c r="V24" s="799"/>
      <c r="W24" s="799"/>
      <c r="X24" s="799"/>
      <c r="Y24" s="799"/>
      <c r="Z24" s="799"/>
    </row>
    <row r="25" ht="49.5" customHeight="1">
      <c r="A25" s="799"/>
      <c r="B25" s="799"/>
      <c r="C25" s="799"/>
      <c r="D25" s="799"/>
      <c r="E25" s="799"/>
      <c r="F25" s="799"/>
      <c r="G25" s="799"/>
      <c r="H25" s="799"/>
      <c r="I25" s="799"/>
      <c r="J25" s="799"/>
      <c r="K25" s="799"/>
      <c r="L25" s="885"/>
      <c r="M25" s="799"/>
      <c r="N25" s="799"/>
      <c r="O25" s="799"/>
      <c r="P25" s="799"/>
      <c r="Q25" s="799"/>
      <c r="R25" s="799"/>
      <c r="S25" s="799"/>
      <c r="T25" s="799"/>
      <c r="U25" s="799"/>
      <c r="V25" s="799"/>
      <c r="W25" s="799"/>
      <c r="X25" s="799"/>
      <c r="Y25" s="799"/>
      <c r="Z25" s="799"/>
    </row>
    <row r="26" ht="49.5" customHeight="1">
      <c r="A26" s="799"/>
      <c r="B26" s="799"/>
      <c r="C26" s="799"/>
      <c r="D26" s="799"/>
      <c r="E26" s="799"/>
      <c r="F26" s="799"/>
      <c r="G26" s="799"/>
      <c r="H26" s="799"/>
      <c r="I26" s="799"/>
      <c r="J26" s="799"/>
      <c r="K26" s="799"/>
      <c r="L26" s="885"/>
      <c r="M26" s="799"/>
      <c r="N26" s="799"/>
      <c r="O26" s="799"/>
      <c r="P26" s="799"/>
      <c r="Q26" s="799"/>
      <c r="R26" s="799"/>
      <c r="S26" s="799"/>
      <c r="T26" s="799"/>
      <c r="U26" s="799"/>
      <c r="V26" s="799"/>
      <c r="W26" s="799"/>
      <c r="X26" s="799"/>
      <c r="Y26" s="799"/>
      <c r="Z26" s="799"/>
    </row>
    <row r="27" ht="49.5" customHeight="1">
      <c r="A27" s="799"/>
      <c r="B27" s="799"/>
      <c r="C27" s="799"/>
      <c r="D27" s="799"/>
      <c r="E27" s="799"/>
      <c r="F27" s="799"/>
      <c r="G27" s="799"/>
      <c r="H27" s="799"/>
      <c r="I27" s="799"/>
      <c r="J27" s="799"/>
      <c r="K27" s="799"/>
      <c r="L27" s="885"/>
      <c r="M27" s="799"/>
      <c r="N27" s="799"/>
      <c r="O27" s="799"/>
      <c r="P27" s="799"/>
      <c r="Q27" s="799"/>
      <c r="R27" s="799"/>
      <c r="S27" s="799"/>
      <c r="T27" s="799"/>
      <c r="U27" s="799"/>
      <c r="V27" s="799"/>
      <c r="W27" s="799"/>
      <c r="X27" s="799"/>
      <c r="Y27" s="799"/>
      <c r="Z27" s="799"/>
    </row>
    <row r="28" ht="49.5" customHeight="1">
      <c r="A28" s="799"/>
      <c r="B28" s="799"/>
      <c r="C28" s="799"/>
      <c r="D28" s="799"/>
      <c r="E28" s="799"/>
      <c r="F28" s="799"/>
      <c r="G28" s="799"/>
      <c r="H28" s="799"/>
      <c r="I28" s="799"/>
      <c r="J28" s="799"/>
      <c r="K28" s="799"/>
      <c r="L28" s="885"/>
      <c r="M28" s="799"/>
      <c r="N28" s="799"/>
      <c r="O28" s="799"/>
      <c r="P28" s="799"/>
      <c r="Q28" s="799"/>
      <c r="R28" s="799"/>
      <c r="S28" s="799"/>
      <c r="T28" s="799"/>
      <c r="U28" s="799"/>
      <c r="V28" s="799"/>
      <c r="W28" s="799"/>
      <c r="X28" s="799"/>
      <c r="Y28" s="799"/>
      <c r="Z28" s="799"/>
    </row>
    <row r="29" ht="49.5" customHeight="1">
      <c r="A29" s="799"/>
      <c r="B29" s="799"/>
      <c r="C29" s="799"/>
      <c r="D29" s="799"/>
      <c r="E29" s="799"/>
      <c r="F29" s="799"/>
      <c r="G29" s="799"/>
      <c r="H29" s="799"/>
      <c r="I29" s="799"/>
      <c r="J29" s="799"/>
      <c r="K29" s="799"/>
      <c r="L29" s="885"/>
      <c r="M29" s="799"/>
      <c r="N29" s="799"/>
      <c r="O29" s="799"/>
      <c r="P29" s="799"/>
      <c r="Q29" s="799"/>
      <c r="R29" s="799"/>
      <c r="S29" s="799"/>
      <c r="T29" s="799"/>
      <c r="U29" s="799"/>
      <c r="V29" s="799"/>
      <c r="W29" s="799"/>
      <c r="X29" s="799"/>
      <c r="Y29" s="799"/>
      <c r="Z29" s="799"/>
    </row>
    <row r="30" ht="49.5" customHeight="1">
      <c r="A30" s="799"/>
      <c r="B30" s="799"/>
      <c r="C30" s="799"/>
      <c r="D30" s="799"/>
      <c r="E30" s="799"/>
      <c r="F30" s="799"/>
      <c r="G30" s="799"/>
      <c r="H30" s="799"/>
      <c r="I30" s="799"/>
      <c r="J30" s="799"/>
      <c r="K30" s="799"/>
      <c r="L30" s="885"/>
      <c r="M30" s="799"/>
      <c r="N30" s="799"/>
      <c r="O30" s="799"/>
      <c r="P30" s="799"/>
      <c r="Q30" s="799"/>
      <c r="R30" s="799"/>
      <c r="S30" s="799"/>
      <c r="T30" s="799"/>
      <c r="U30" s="799"/>
      <c r="V30" s="799"/>
      <c r="W30" s="799"/>
      <c r="X30" s="799"/>
      <c r="Y30" s="799"/>
      <c r="Z30" s="799"/>
    </row>
    <row r="31" ht="49.5" customHeight="1">
      <c r="A31" s="799"/>
      <c r="B31" s="799"/>
      <c r="C31" s="799"/>
      <c r="D31" s="799"/>
      <c r="E31" s="799"/>
      <c r="F31" s="799"/>
      <c r="G31" s="799"/>
      <c r="H31" s="799"/>
      <c r="I31" s="799"/>
      <c r="J31" s="799"/>
      <c r="K31" s="799"/>
      <c r="L31" s="885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Y31" s="799"/>
      <c r="Z31" s="799"/>
    </row>
    <row r="32" ht="49.5" customHeight="1">
      <c r="A32" s="799"/>
      <c r="B32" s="799"/>
      <c r="C32" s="799"/>
      <c r="D32" s="799"/>
      <c r="E32" s="799"/>
      <c r="F32" s="799"/>
      <c r="G32" s="799"/>
      <c r="H32" s="799"/>
      <c r="I32" s="799"/>
      <c r="J32" s="799"/>
      <c r="K32" s="799"/>
      <c r="L32" s="885"/>
      <c r="M32" s="799"/>
      <c r="N32" s="799"/>
      <c r="O32" s="799"/>
      <c r="P32" s="799"/>
      <c r="Q32" s="799"/>
      <c r="R32" s="799"/>
      <c r="S32" s="799"/>
      <c r="T32" s="799"/>
      <c r="U32" s="799"/>
      <c r="V32" s="799"/>
      <c r="W32" s="799"/>
      <c r="X32" s="799"/>
      <c r="Y32" s="799"/>
      <c r="Z32" s="799"/>
    </row>
    <row r="33" ht="49.5" customHeight="1">
      <c r="A33" s="799"/>
      <c r="B33" s="799"/>
      <c r="C33" s="799"/>
      <c r="D33" s="799"/>
      <c r="E33" s="799"/>
      <c r="F33" s="799"/>
      <c r="G33" s="799"/>
      <c r="H33" s="799"/>
      <c r="I33" s="799"/>
      <c r="J33" s="799"/>
      <c r="K33" s="799"/>
      <c r="L33" s="885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Y33" s="799"/>
      <c r="Z33" s="799"/>
    </row>
    <row r="34" ht="49.5" customHeight="1">
      <c r="A34" s="799"/>
      <c r="B34" s="799"/>
      <c r="C34" s="799"/>
      <c r="D34" s="799"/>
      <c r="E34" s="799"/>
      <c r="F34" s="799"/>
      <c r="G34" s="799"/>
      <c r="H34" s="799"/>
      <c r="I34" s="799"/>
      <c r="J34" s="799"/>
      <c r="K34" s="799"/>
      <c r="L34" s="885"/>
      <c r="M34" s="799"/>
      <c r="N34" s="799"/>
      <c r="O34" s="799"/>
      <c r="P34" s="799"/>
      <c r="Q34" s="799"/>
      <c r="R34" s="799"/>
      <c r="S34" s="799"/>
      <c r="T34" s="799"/>
      <c r="U34" s="799"/>
      <c r="V34" s="799"/>
      <c r="W34" s="799"/>
      <c r="X34" s="799"/>
      <c r="Y34" s="799"/>
      <c r="Z34" s="799"/>
    </row>
    <row r="35" ht="49.5" customHeight="1">
      <c r="A35" s="799"/>
      <c r="B35" s="799"/>
      <c r="C35" s="799"/>
      <c r="D35" s="799"/>
      <c r="E35" s="799"/>
      <c r="F35" s="799"/>
      <c r="G35" s="799"/>
      <c r="H35" s="799"/>
      <c r="I35" s="799"/>
      <c r="J35" s="799"/>
      <c r="K35" s="799"/>
      <c r="L35" s="885"/>
      <c r="M35" s="799"/>
      <c r="N35" s="799"/>
      <c r="O35" s="799"/>
      <c r="P35" s="799"/>
      <c r="Q35" s="799"/>
      <c r="R35" s="799"/>
      <c r="S35" s="799"/>
      <c r="T35" s="799"/>
      <c r="U35" s="799"/>
      <c r="V35" s="799"/>
      <c r="W35" s="799"/>
      <c r="X35" s="799"/>
      <c r="Y35" s="799"/>
      <c r="Z35" s="799"/>
    </row>
    <row r="36" ht="49.5" customHeight="1">
      <c r="A36" s="799"/>
      <c r="B36" s="799"/>
      <c r="C36" s="799"/>
      <c r="D36" s="799"/>
      <c r="E36" s="799"/>
      <c r="F36" s="799"/>
      <c r="G36" s="799"/>
      <c r="H36" s="799"/>
      <c r="I36" s="799"/>
      <c r="J36" s="799"/>
      <c r="K36" s="799"/>
      <c r="L36" s="885"/>
      <c r="M36" s="799"/>
      <c r="N36" s="799"/>
      <c r="O36" s="799"/>
      <c r="P36" s="799"/>
      <c r="Q36" s="799"/>
      <c r="R36" s="799"/>
      <c r="S36" s="799"/>
      <c r="T36" s="799"/>
      <c r="U36" s="799"/>
      <c r="V36" s="799"/>
      <c r="W36" s="799"/>
      <c r="X36" s="799"/>
      <c r="Y36" s="799"/>
      <c r="Z36" s="799"/>
    </row>
    <row r="37" ht="49.5" customHeight="1">
      <c r="A37" s="799"/>
      <c r="B37" s="799"/>
      <c r="C37" s="799"/>
      <c r="D37" s="799"/>
      <c r="E37" s="799"/>
      <c r="F37" s="799"/>
      <c r="G37" s="799"/>
      <c r="H37" s="799"/>
      <c r="I37" s="799"/>
      <c r="J37" s="799"/>
      <c r="K37" s="799"/>
      <c r="L37" s="885"/>
      <c r="M37" s="799"/>
      <c r="N37" s="799"/>
      <c r="O37" s="799"/>
      <c r="P37" s="799"/>
      <c r="Q37" s="799"/>
      <c r="R37" s="799"/>
      <c r="S37" s="799"/>
      <c r="T37" s="799"/>
      <c r="U37" s="799"/>
      <c r="V37" s="799"/>
      <c r="W37" s="799"/>
      <c r="X37" s="799"/>
      <c r="Y37" s="799"/>
      <c r="Z37" s="799"/>
    </row>
    <row r="38" ht="49.5" customHeight="1">
      <c r="A38" s="799"/>
      <c r="B38" s="799"/>
      <c r="C38" s="799"/>
      <c r="D38" s="799"/>
      <c r="E38" s="799"/>
      <c r="F38" s="799"/>
      <c r="G38" s="799"/>
      <c r="H38" s="799"/>
      <c r="I38" s="799"/>
      <c r="J38" s="799"/>
      <c r="K38" s="799"/>
      <c r="L38" s="885"/>
      <c r="M38" s="799"/>
      <c r="N38" s="799"/>
      <c r="O38" s="799"/>
      <c r="P38" s="799"/>
      <c r="Q38" s="799"/>
      <c r="R38" s="799"/>
      <c r="S38" s="799"/>
      <c r="T38" s="799"/>
      <c r="U38" s="799"/>
      <c r="V38" s="799"/>
      <c r="W38" s="799"/>
      <c r="X38" s="799"/>
      <c r="Y38" s="799"/>
      <c r="Z38" s="799"/>
    </row>
    <row r="39" ht="49.5" customHeight="1">
      <c r="A39" s="799"/>
      <c r="B39" s="799"/>
      <c r="C39" s="799"/>
      <c r="D39" s="799"/>
      <c r="E39" s="799"/>
      <c r="F39" s="799"/>
      <c r="G39" s="799"/>
      <c r="H39" s="799"/>
      <c r="I39" s="799"/>
      <c r="J39" s="799"/>
      <c r="K39" s="799"/>
      <c r="L39" s="885"/>
      <c r="M39" s="799"/>
      <c r="N39" s="799"/>
      <c r="O39" s="799"/>
      <c r="P39" s="799"/>
      <c r="Q39" s="799"/>
      <c r="R39" s="799"/>
      <c r="S39" s="799"/>
      <c r="T39" s="799"/>
      <c r="U39" s="799"/>
      <c r="V39" s="799"/>
      <c r="W39" s="799"/>
      <c r="X39" s="799"/>
      <c r="Y39" s="799"/>
      <c r="Z39" s="799"/>
    </row>
    <row r="40" ht="49.5" customHeight="1">
      <c r="A40" s="799"/>
      <c r="B40" s="799"/>
      <c r="C40" s="799"/>
      <c r="D40" s="799"/>
      <c r="E40" s="799"/>
      <c r="F40" s="799"/>
      <c r="G40" s="799"/>
      <c r="H40" s="799"/>
      <c r="I40" s="799"/>
      <c r="J40" s="799"/>
      <c r="K40" s="799"/>
      <c r="L40" s="885"/>
      <c r="M40" s="799"/>
      <c r="N40" s="799"/>
      <c r="O40" s="799"/>
      <c r="P40" s="799"/>
      <c r="Q40" s="799"/>
      <c r="R40" s="799"/>
      <c r="S40" s="799"/>
      <c r="T40" s="799"/>
      <c r="U40" s="799"/>
      <c r="V40" s="799"/>
      <c r="W40" s="799"/>
      <c r="X40" s="799"/>
      <c r="Y40" s="799"/>
      <c r="Z40" s="799"/>
    </row>
    <row r="41" ht="49.5" customHeight="1">
      <c r="A41" s="799"/>
      <c r="B41" s="799"/>
      <c r="C41" s="799"/>
      <c r="D41" s="799"/>
      <c r="E41" s="799"/>
      <c r="F41" s="799"/>
      <c r="G41" s="799"/>
      <c r="H41" s="799"/>
      <c r="I41" s="799"/>
      <c r="J41" s="799"/>
      <c r="K41" s="799"/>
      <c r="L41" s="885"/>
      <c r="M41" s="799"/>
      <c r="N41" s="799"/>
      <c r="O41" s="799"/>
      <c r="P41" s="799"/>
      <c r="Q41" s="799"/>
      <c r="R41" s="799"/>
      <c r="S41" s="799"/>
      <c r="T41" s="799"/>
      <c r="U41" s="799"/>
      <c r="V41" s="799"/>
      <c r="W41" s="799"/>
      <c r="X41" s="799"/>
      <c r="Y41" s="799"/>
      <c r="Z41" s="799"/>
    </row>
    <row r="42" ht="49.5" customHeight="1">
      <c r="A42" s="799"/>
      <c r="B42" s="799"/>
      <c r="C42" s="799"/>
      <c r="D42" s="799"/>
      <c r="E42" s="799"/>
      <c r="F42" s="799"/>
      <c r="G42" s="799"/>
      <c r="H42" s="799"/>
      <c r="I42" s="799"/>
      <c r="J42" s="799"/>
      <c r="K42" s="799"/>
      <c r="L42" s="885"/>
      <c r="M42" s="799"/>
      <c r="N42" s="799"/>
      <c r="O42" s="799"/>
      <c r="P42" s="799"/>
      <c r="Q42" s="799"/>
      <c r="R42" s="799"/>
      <c r="S42" s="799"/>
      <c r="T42" s="799"/>
      <c r="U42" s="799"/>
      <c r="V42" s="799"/>
      <c r="W42" s="799"/>
      <c r="X42" s="799"/>
      <c r="Y42" s="799"/>
      <c r="Z42" s="799"/>
    </row>
    <row r="43" ht="49.5" customHeight="1">
      <c r="A43" s="799"/>
      <c r="B43" s="799"/>
      <c r="C43" s="799"/>
      <c r="D43" s="799"/>
      <c r="E43" s="799"/>
      <c r="F43" s="799"/>
      <c r="G43" s="799"/>
      <c r="H43" s="799"/>
      <c r="I43" s="799"/>
      <c r="J43" s="799"/>
      <c r="K43" s="799"/>
      <c r="L43" s="885"/>
      <c r="M43" s="799"/>
      <c r="N43" s="799"/>
      <c r="O43" s="799"/>
      <c r="P43" s="799"/>
      <c r="Q43" s="799"/>
      <c r="R43" s="799"/>
      <c r="S43" s="799"/>
      <c r="T43" s="799"/>
      <c r="U43" s="799"/>
      <c r="V43" s="799"/>
      <c r="W43" s="799"/>
      <c r="X43" s="799"/>
      <c r="Y43" s="799"/>
      <c r="Z43" s="799"/>
    </row>
    <row r="44" ht="49.5" customHeight="1">
      <c r="A44" s="799"/>
      <c r="B44" s="799"/>
      <c r="C44" s="799"/>
      <c r="D44" s="799"/>
      <c r="E44" s="799"/>
      <c r="F44" s="799"/>
      <c r="G44" s="799"/>
      <c r="H44" s="799"/>
      <c r="I44" s="799"/>
      <c r="J44" s="799"/>
      <c r="K44" s="799"/>
      <c r="L44" s="885"/>
      <c r="M44" s="799"/>
      <c r="N44" s="799"/>
      <c r="O44" s="799"/>
      <c r="P44" s="799"/>
      <c r="Q44" s="799"/>
      <c r="R44" s="799"/>
      <c r="S44" s="799"/>
      <c r="T44" s="799"/>
      <c r="U44" s="799"/>
      <c r="V44" s="799"/>
      <c r="W44" s="799"/>
      <c r="X44" s="799"/>
      <c r="Y44" s="799"/>
      <c r="Z44" s="799"/>
    </row>
    <row r="45" ht="49.5" customHeight="1">
      <c r="A45" s="799"/>
      <c r="B45" s="799"/>
      <c r="C45" s="799"/>
      <c r="D45" s="799"/>
      <c r="E45" s="799"/>
      <c r="F45" s="799"/>
      <c r="G45" s="799"/>
      <c r="H45" s="799"/>
      <c r="I45" s="799"/>
      <c r="J45" s="799"/>
      <c r="K45" s="799"/>
      <c r="L45" s="885"/>
      <c r="M45" s="799"/>
      <c r="N45" s="799"/>
      <c r="O45" s="799"/>
      <c r="P45" s="799"/>
      <c r="Q45" s="799"/>
      <c r="R45" s="799"/>
      <c r="S45" s="799"/>
      <c r="T45" s="799"/>
      <c r="U45" s="799"/>
      <c r="V45" s="799"/>
      <c r="W45" s="799"/>
      <c r="X45" s="799"/>
      <c r="Y45" s="799"/>
      <c r="Z45" s="799"/>
    </row>
    <row r="46" ht="49.5" customHeight="1">
      <c r="A46" s="799"/>
      <c r="B46" s="799"/>
      <c r="C46" s="799"/>
      <c r="D46" s="799"/>
      <c r="E46" s="799"/>
      <c r="F46" s="799"/>
      <c r="G46" s="799"/>
      <c r="H46" s="799"/>
      <c r="I46" s="799"/>
      <c r="J46" s="799"/>
      <c r="K46" s="799"/>
      <c r="L46" s="885"/>
      <c r="M46" s="799"/>
      <c r="N46" s="799"/>
      <c r="O46" s="799"/>
      <c r="P46" s="799"/>
      <c r="Q46" s="799"/>
      <c r="R46" s="799"/>
      <c r="S46" s="799"/>
      <c r="T46" s="799"/>
      <c r="U46" s="799"/>
      <c r="V46" s="799"/>
      <c r="W46" s="799"/>
      <c r="X46" s="799"/>
      <c r="Y46" s="799"/>
      <c r="Z46" s="799"/>
    </row>
    <row r="47" ht="49.5" customHeight="1">
      <c r="A47" s="799"/>
      <c r="B47" s="799"/>
      <c r="C47" s="799"/>
      <c r="D47" s="799"/>
      <c r="E47" s="799"/>
      <c r="F47" s="799"/>
      <c r="G47" s="799"/>
      <c r="H47" s="799"/>
      <c r="I47" s="799"/>
      <c r="J47" s="799"/>
      <c r="K47" s="799"/>
      <c r="L47" s="885"/>
      <c r="M47" s="799"/>
      <c r="N47" s="799"/>
      <c r="O47" s="799"/>
      <c r="P47" s="799"/>
      <c r="Q47" s="799"/>
      <c r="R47" s="799"/>
      <c r="S47" s="799"/>
      <c r="T47" s="799"/>
      <c r="U47" s="799"/>
      <c r="V47" s="799"/>
      <c r="W47" s="799"/>
      <c r="X47" s="799"/>
      <c r="Y47" s="799"/>
      <c r="Z47" s="799"/>
    </row>
    <row r="48" ht="49.5" customHeight="1">
      <c r="A48" s="799"/>
      <c r="B48" s="799"/>
      <c r="C48" s="799"/>
      <c r="D48" s="799"/>
      <c r="E48" s="799"/>
      <c r="F48" s="799"/>
      <c r="G48" s="799"/>
      <c r="H48" s="799"/>
      <c r="I48" s="799"/>
      <c r="J48" s="799"/>
      <c r="K48" s="799"/>
      <c r="L48" s="885"/>
      <c r="M48" s="799"/>
      <c r="N48" s="799"/>
      <c r="O48" s="799"/>
      <c r="P48" s="799"/>
      <c r="Q48" s="799"/>
      <c r="R48" s="799"/>
      <c r="S48" s="799"/>
      <c r="T48" s="799"/>
      <c r="U48" s="799"/>
      <c r="V48" s="799"/>
      <c r="W48" s="799"/>
      <c r="X48" s="799"/>
      <c r="Y48" s="799"/>
      <c r="Z48" s="799"/>
    </row>
    <row r="49" ht="49.5" customHeight="1">
      <c r="A49" s="799"/>
      <c r="B49" s="799"/>
      <c r="C49" s="799"/>
      <c r="D49" s="799"/>
      <c r="E49" s="799"/>
      <c r="F49" s="799"/>
      <c r="G49" s="799"/>
      <c r="H49" s="799"/>
      <c r="I49" s="799"/>
      <c r="J49" s="799"/>
      <c r="K49" s="799"/>
      <c r="L49" s="885"/>
      <c r="M49" s="799"/>
      <c r="N49" s="799"/>
      <c r="O49" s="799"/>
      <c r="P49" s="799"/>
      <c r="Q49" s="799"/>
      <c r="R49" s="799"/>
      <c r="S49" s="799"/>
      <c r="T49" s="799"/>
      <c r="U49" s="799"/>
      <c r="V49" s="799"/>
      <c r="W49" s="799"/>
      <c r="X49" s="799"/>
      <c r="Y49" s="799"/>
      <c r="Z49" s="799"/>
    </row>
    <row r="50" ht="49.5" customHeight="1">
      <c r="A50" s="799"/>
      <c r="B50" s="799"/>
      <c r="C50" s="799"/>
      <c r="D50" s="799"/>
      <c r="E50" s="799"/>
      <c r="F50" s="799"/>
      <c r="G50" s="799"/>
      <c r="H50" s="799"/>
      <c r="I50" s="799"/>
      <c r="J50" s="799"/>
      <c r="K50" s="799"/>
      <c r="L50" s="885"/>
      <c r="M50" s="799"/>
      <c r="N50" s="799"/>
      <c r="O50" s="799"/>
      <c r="P50" s="799"/>
      <c r="Q50" s="799"/>
      <c r="R50" s="799"/>
      <c r="S50" s="799"/>
      <c r="T50" s="799"/>
      <c r="U50" s="799"/>
      <c r="V50" s="799"/>
      <c r="W50" s="799"/>
      <c r="X50" s="799"/>
      <c r="Y50" s="799"/>
      <c r="Z50" s="799"/>
    </row>
    <row r="51" ht="49.5" customHeight="1">
      <c r="A51" s="799"/>
      <c r="B51" s="799"/>
      <c r="C51" s="799"/>
      <c r="D51" s="799"/>
      <c r="E51" s="799"/>
      <c r="F51" s="799"/>
      <c r="G51" s="799"/>
      <c r="H51" s="799"/>
      <c r="I51" s="799"/>
      <c r="J51" s="799"/>
      <c r="K51" s="799"/>
      <c r="L51" s="885"/>
      <c r="M51" s="799"/>
      <c r="N51" s="799"/>
      <c r="O51" s="799"/>
      <c r="P51" s="799"/>
      <c r="Q51" s="799"/>
      <c r="R51" s="799"/>
      <c r="S51" s="799"/>
      <c r="T51" s="799"/>
      <c r="U51" s="799"/>
      <c r="V51" s="799"/>
      <c r="W51" s="799"/>
      <c r="X51" s="799"/>
      <c r="Y51" s="799"/>
      <c r="Z51" s="799"/>
    </row>
    <row r="52" ht="49.5" customHeight="1">
      <c r="A52" s="799"/>
      <c r="B52" s="799"/>
      <c r="C52" s="799"/>
      <c r="D52" s="799"/>
      <c r="E52" s="799"/>
      <c r="F52" s="799"/>
      <c r="G52" s="799"/>
      <c r="H52" s="799"/>
      <c r="I52" s="799"/>
      <c r="J52" s="799"/>
      <c r="K52" s="799"/>
      <c r="L52" s="885"/>
      <c r="M52" s="799"/>
      <c r="N52" s="799"/>
      <c r="O52" s="799"/>
      <c r="P52" s="799"/>
      <c r="Q52" s="799"/>
      <c r="R52" s="799"/>
      <c r="S52" s="799"/>
      <c r="T52" s="799"/>
      <c r="U52" s="799"/>
      <c r="V52" s="799"/>
      <c r="W52" s="799"/>
      <c r="X52" s="799"/>
      <c r="Y52" s="799"/>
      <c r="Z52" s="799"/>
    </row>
    <row r="53" ht="49.5" customHeight="1">
      <c r="A53" s="799"/>
      <c r="B53" s="799"/>
      <c r="C53" s="799"/>
      <c r="D53" s="799"/>
      <c r="E53" s="799"/>
      <c r="F53" s="799"/>
      <c r="G53" s="799"/>
      <c r="H53" s="799"/>
      <c r="I53" s="799"/>
      <c r="J53" s="799"/>
      <c r="K53" s="799"/>
      <c r="L53" s="885"/>
      <c r="M53" s="799"/>
      <c r="N53" s="799"/>
      <c r="O53" s="799"/>
      <c r="P53" s="799"/>
      <c r="Q53" s="799"/>
      <c r="R53" s="799"/>
      <c r="S53" s="799"/>
      <c r="T53" s="799"/>
      <c r="U53" s="799"/>
      <c r="V53" s="799"/>
      <c r="W53" s="799"/>
      <c r="X53" s="799"/>
      <c r="Y53" s="799"/>
      <c r="Z53" s="799"/>
    </row>
    <row r="54" ht="49.5" customHeight="1">
      <c r="A54" s="799"/>
      <c r="B54" s="799"/>
      <c r="C54" s="799"/>
      <c r="D54" s="799"/>
      <c r="E54" s="799"/>
      <c r="F54" s="799"/>
      <c r="G54" s="799"/>
      <c r="H54" s="799"/>
      <c r="I54" s="799"/>
      <c r="J54" s="799"/>
      <c r="K54" s="799"/>
      <c r="L54" s="885"/>
      <c r="M54" s="799"/>
      <c r="N54" s="799"/>
      <c r="O54" s="799"/>
      <c r="P54" s="799"/>
      <c r="Q54" s="799"/>
      <c r="R54" s="799"/>
      <c r="S54" s="799"/>
      <c r="T54" s="799"/>
      <c r="U54" s="799"/>
      <c r="V54" s="799"/>
      <c r="W54" s="799"/>
      <c r="X54" s="799"/>
      <c r="Y54" s="799"/>
      <c r="Z54" s="799"/>
    </row>
    <row r="55" ht="49.5" customHeight="1">
      <c r="A55" s="799"/>
      <c r="B55" s="799"/>
      <c r="C55" s="799"/>
      <c r="D55" s="799"/>
      <c r="E55" s="799"/>
      <c r="F55" s="799"/>
      <c r="G55" s="799"/>
      <c r="H55" s="799"/>
      <c r="I55" s="799"/>
      <c r="J55" s="799"/>
      <c r="K55" s="799"/>
      <c r="L55" s="885"/>
      <c r="M55" s="799"/>
      <c r="N55" s="799"/>
      <c r="O55" s="799"/>
      <c r="P55" s="799"/>
      <c r="Q55" s="799"/>
      <c r="R55" s="799"/>
      <c r="S55" s="799"/>
      <c r="T55" s="799"/>
      <c r="U55" s="799"/>
      <c r="V55" s="799"/>
      <c r="W55" s="799"/>
      <c r="X55" s="799"/>
      <c r="Y55" s="799"/>
      <c r="Z55" s="799"/>
    </row>
    <row r="56" ht="49.5" customHeight="1">
      <c r="A56" s="799"/>
      <c r="B56" s="799"/>
      <c r="C56" s="799"/>
      <c r="D56" s="799"/>
      <c r="E56" s="799"/>
      <c r="F56" s="799"/>
      <c r="G56" s="799"/>
      <c r="H56" s="799"/>
      <c r="I56" s="799"/>
      <c r="J56" s="799"/>
      <c r="K56" s="799"/>
      <c r="L56" s="885"/>
      <c r="M56" s="799"/>
      <c r="N56" s="799"/>
      <c r="O56" s="799"/>
      <c r="P56" s="799"/>
      <c r="Q56" s="799"/>
      <c r="R56" s="799"/>
      <c r="S56" s="799"/>
      <c r="T56" s="799"/>
      <c r="U56" s="799"/>
      <c r="V56" s="799"/>
      <c r="W56" s="799"/>
      <c r="X56" s="799"/>
      <c r="Y56" s="799"/>
      <c r="Z56" s="799"/>
    </row>
    <row r="57" ht="49.5" customHeight="1">
      <c r="A57" s="799"/>
      <c r="B57" s="799"/>
      <c r="C57" s="799"/>
      <c r="D57" s="799"/>
      <c r="E57" s="799"/>
      <c r="F57" s="799"/>
      <c r="G57" s="799"/>
      <c r="H57" s="799"/>
      <c r="I57" s="799"/>
      <c r="J57" s="799"/>
      <c r="K57" s="799"/>
      <c r="L57" s="885"/>
      <c r="M57" s="799"/>
      <c r="N57" s="799"/>
      <c r="O57" s="799"/>
      <c r="P57" s="799"/>
      <c r="Q57" s="799"/>
      <c r="R57" s="799"/>
      <c r="S57" s="799"/>
      <c r="T57" s="799"/>
      <c r="U57" s="799"/>
      <c r="V57" s="799"/>
      <c r="W57" s="799"/>
      <c r="X57" s="799"/>
      <c r="Y57" s="799"/>
      <c r="Z57" s="799"/>
    </row>
    <row r="58" ht="49.5" customHeight="1">
      <c r="A58" s="799"/>
      <c r="B58" s="799"/>
      <c r="C58" s="799"/>
      <c r="D58" s="799"/>
      <c r="E58" s="799"/>
      <c r="F58" s="799"/>
      <c r="G58" s="799"/>
      <c r="H58" s="799"/>
      <c r="I58" s="799"/>
      <c r="J58" s="799"/>
      <c r="K58" s="799"/>
      <c r="L58" s="885"/>
      <c r="M58" s="799"/>
      <c r="N58" s="799"/>
      <c r="O58" s="799"/>
      <c r="P58" s="799"/>
      <c r="Q58" s="799"/>
      <c r="R58" s="799"/>
      <c r="S58" s="799"/>
      <c r="T58" s="799"/>
      <c r="U58" s="799"/>
      <c r="V58" s="799"/>
      <c r="W58" s="799"/>
      <c r="X58" s="799"/>
      <c r="Y58" s="799"/>
      <c r="Z58" s="799"/>
    </row>
    <row r="59" ht="49.5" customHeight="1">
      <c r="A59" s="799"/>
      <c r="B59" s="799"/>
      <c r="C59" s="799"/>
      <c r="D59" s="799"/>
      <c r="E59" s="799"/>
      <c r="F59" s="799"/>
      <c r="G59" s="799"/>
      <c r="H59" s="799"/>
      <c r="I59" s="799"/>
      <c r="J59" s="799"/>
      <c r="K59" s="799"/>
      <c r="L59" s="885"/>
      <c r="M59" s="799"/>
      <c r="N59" s="799"/>
      <c r="O59" s="799"/>
      <c r="P59" s="799"/>
      <c r="Q59" s="799"/>
      <c r="R59" s="799"/>
      <c r="S59" s="799"/>
      <c r="T59" s="799"/>
      <c r="U59" s="799"/>
      <c r="V59" s="799"/>
      <c r="W59" s="799"/>
      <c r="X59" s="799"/>
      <c r="Y59" s="799"/>
      <c r="Z59" s="799"/>
    </row>
    <row r="60" ht="49.5" customHeight="1">
      <c r="A60" s="799"/>
      <c r="B60" s="799"/>
      <c r="C60" s="799"/>
      <c r="D60" s="799"/>
      <c r="E60" s="799"/>
      <c r="F60" s="799"/>
      <c r="G60" s="799"/>
      <c r="H60" s="799"/>
      <c r="I60" s="799"/>
      <c r="J60" s="799"/>
      <c r="K60" s="799"/>
      <c r="L60" s="885"/>
      <c r="M60" s="799"/>
      <c r="N60" s="799"/>
      <c r="O60" s="799"/>
      <c r="P60" s="799"/>
      <c r="Q60" s="799"/>
      <c r="R60" s="799"/>
      <c r="S60" s="799"/>
      <c r="T60" s="799"/>
      <c r="U60" s="799"/>
      <c r="V60" s="799"/>
      <c r="W60" s="799"/>
      <c r="X60" s="799"/>
      <c r="Y60" s="799"/>
      <c r="Z60" s="799"/>
    </row>
    <row r="61" ht="49.5" customHeight="1">
      <c r="A61" s="799"/>
      <c r="B61" s="799"/>
      <c r="C61" s="799"/>
      <c r="D61" s="799"/>
      <c r="E61" s="799"/>
      <c r="F61" s="799"/>
      <c r="G61" s="799"/>
      <c r="H61" s="799"/>
      <c r="I61" s="799"/>
      <c r="J61" s="799"/>
      <c r="K61" s="799"/>
      <c r="L61" s="885"/>
      <c r="M61" s="799"/>
      <c r="N61" s="799"/>
      <c r="O61" s="799"/>
      <c r="P61" s="799"/>
      <c r="Q61" s="799"/>
      <c r="R61" s="799"/>
      <c r="S61" s="799"/>
      <c r="T61" s="799"/>
      <c r="U61" s="799"/>
      <c r="V61" s="799"/>
      <c r="W61" s="799"/>
      <c r="X61" s="799"/>
      <c r="Y61" s="799"/>
      <c r="Z61" s="799"/>
    </row>
    <row r="62" ht="49.5" customHeight="1">
      <c r="A62" s="799"/>
      <c r="B62" s="799"/>
      <c r="C62" s="799"/>
      <c r="D62" s="799"/>
      <c r="E62" s="799"/>
      <c r="F62" s="799"/>
      <c r="G62" s="799"/>
      <c r="H62" s="799"/>
      <c r="I62" s="799"/>
      <c r="J62" s="799"/>
      <c r="K62" s="799"/>
      <c r="L62" s="885"/>
      <c r="M62" s="799"/>
      <c r="N62" s="799"/>
      <c r="O62" s="799"/>
      <c r="P62" s="799"/>
      <c r="Q62" s="799"/>
      <c r="R62" s="799"/>
      <c r="S62" s="799"/>
      <c r="T62" s="799"/>
      <c r="U62" s="799"/>
      <c r="V62" s="799"/>
      <c r="W62" s="799"/>
      <c r="X62" s="799"/>
      <c r="Y62" s="799"/>
      <c r="Z62" s="799"/>
    </row>
    <row r="63" ht="49.5" customHeight="1">
      <c r="A63" s="799"/>
      <c r="B63" s="799"/>
      <c r="C63" s="799"/>
      <c r="D63" s="799"/>
      <c r="E63" s="799"/>
      <c r="F63" s="799"/>
      <c r="G63" s="799"/>
      <c r="H63" s="799"/>
      <c r="I63" s="799"/>
      <c r="J63" s="799"/>
      <c r="K63" s="799"/>
      <c r="L63" s="885"/>
      <c r="M63" s="799"/>
      <c r="N63" s="799"/>
      <c r="O63" s="799"/>
      <c r="P63" s="799"/>
      <c r="Q63" s="799"/>
      <c r="R63" s="799"/>
      <c r="S63" s="799"/>
      <c r="T63" s="799"/>
      <c r="U63" s="799"/>
      <c r="V63" s="799"/>
      <c r="W63" s="799"/>
      <c r="X63" s="799"/>
      <c r="Y63" s="799"/>
      <c r="Z63" s="799"/>
    </row>
    <row r="64" ht="49.5" customHeight="1">
      <c r="A64" s="799"/>
      <c r="B64" s="799"/>
      <c r="C64" s="799"/>
      <c r="D64" s="799"/>
      <c r="E64" s="799"/>
      <c r="F64" s="799"/>
      <c r="G64" s="799"/>
      <c r="H64" s="799"/>
      <c r="I64" s="799"/>
      <c r="J64" s="799"/>
      <c r="K64" s="799"/>
      <c r="L64" s="885"/>
      <c r="M64" s="799"/>
      <c r="N64" s="799"/>
      <c r="O64" s="799"/>
      <c r="P64" s="799"/>
      <c r="Q64" s="799"/>
      <c r="R64" s="799"/>
      <c r="S64" s="799"/>
      <c r="T64" s="799"/>
      <c r="U64" s="799"/>
      <c r="V64" s="799"/>
      <c r="W64" s="799"/>
      <c r="X64" s="799"/>
      <c r="Y64" s="799"/>
      <c r="Z64" s="799"/>
    </row>
    <row r="65" ht="49.5" customHeight="1">
      <c r="A65" s="799"/>
      <c r="B65" s="799"/>
      <c r="C65" s="799"/>
      <c r="D65" s="799"/>
      <c r="E65" s="799"/>
      <c r="F65" s="799"/>
      <c r="G65" s="799"/>
      <c r="H65" s="799"/>
      <c r="I65" s="799"/>
      <c r="J65" s="799"/>
      <c r="K65" s="799"/>
      <c r="L65" s="885"/>
      <c r="M65" s="799"/>
      <c r="N65" s="799"/>
      <c r="O65" s="799"/>
      <c r="P65" s="799"/>
      <c r="Q65" s="799"/>
      <c r="R65" s="799"/>
      <c r="S65" s="799"/>
      <c r="T65" s="799"/>
      <c r="U65" s="799"/>
      <c r="V65" s="799"/>
      <c r="W65" s="799"/>
      <c r="X65" s="799"/>
      <c r="Y65" s="799"/>
      <c r="Z65" s="799"/>
    </row>
    <row r="66" ht="49.5" customHeight="1">
      <c r="A66" s="799"/>
      <c r="B66" s="799"/>
      <c r="C66" s="799"/>
      <c r="D66" s="799"/>
      <c r="E66" s="799"/>
      <c r="F66" s="799"/>
      <c r="G66" s="799"/>
      <c r="H66" s="799"/>
      <c r="I66" s="799"/>
      <c r="J66" s="799"/>
      <c r="K66" s="799"/>
      <c r="L66" s="885"/>
      <c r="M66" s="799"/>
      <c r="N66" s="799"/>
      <c r="O66" s="799"/>
      <c r="P66" s="799"/>
      <c r="Q66" s="799"/>
      <c r="R66" s="799"/>
      <c r="S66" s="799"/>
      <c r="T66" s="799"/>
      <c r="U66" s="799"/>
      <c r="V66" s="799"/>
      <c r="W66" s="799"/>
      <c r="X66" s="799"/>
      <c r="Y66" s="799"/>
      <c r="Z66" s="799"/>
    </row>
    <row r="67" ht="49.5" customHeight="1">
      <c r="A67" s="799"/>
      <c r="B67" s="799"/>
      <c r="C67" s="799"/>
      <c r="D67" s="799"/>
      <c r="E67" s="799"/>
      <c r="F67" s="799"/>
      <c r="G67" s="799"/>
      <c r="H67" s="799"/>
      <c r="I67" s="799"/>
      <c r="J67" s="799"/>
      <c r="K67" s="799"/>
      <c r="L67" s="885"/>
      <c r="M67" s="799"/>
      <c r="N67" s="799"/>
      <c r="O67" s="799"/>
      <c r="P67" s="799"/>
      <c r="Q67" s="799"/>
      <c r="R67" s="799"/>
      <c r="S67" s="799"/>
      <c r="T67" s="799"/>
      <c r="U67" s="799"/>
      <c r="V67" s="799"/>
      <c r="W67" s="799"/>
      <c r="X67" s="799"/>
      <c r="Y67" s="799"/>
      <c r="Z67" s="799"/>
    </row>
    <row r="68" ht="49.5" customHeight="1">
      <c r="A68" s="799"/>
      <c r="B68" s="799"/>
      <c r="C68" s="799"/>
      <c r="D68" s="799"/>
      <c r="E68" s="799"/>
      <c r="F68" s="799"/>
      <c r="G68" s="799"/>
      <c r="H68" s="799"/>
      <c r="I68" s="799"/>
      <c r="J68" s="799"/>
      <c r="K68" s="799"/>
      <c r="L68" s="885"/>
      <c r="M68" s="799"/>
      <c r="N68" s="799"/>
      <c r="O68" s="799"/>
      <c r="P68" s="799"/>
      <c r="Q68" s="799"/>
      <c r="R68" s="799"/>
      <c r="S68" s="799"/>
      <c r="T68" s="799"/>
      <c r="U68" s="799"/>
      <c r="V68" s="799"/>
      <c r="W68" s="799"/>
      <c r="X68" s="799"/>
      <c r="Y68" s="799"/>
      <c r="Z68" s="799"/>
    </row>
    <row r="69" ht="49.5" customHeight="1">
      <c r="A69" s="799"/>
      <c r="B69" s="799"/>
      <c r="C69" s="799"/>
      <c r="D69" s="799"/>
      <c r="E69" s="799"/>
      <c r="F69" s="799"/>
      <c r="G69" s="799"/>
      <c r="H69" s="799"/>
      <c r="I69" s="799"/>
      <c r="J69" s="799"/>
      <c r="K69" s="799"/>
      <c r="L69" s="885"/>
      <c r="M69" s="799"/>
      <c r="N69" s="799"/>
      <c r="O69" s="799"/>
      <c r="P69" s="799"/>
      <c r="Q69" s="799"/>
      <c r="R69" s="799"/>
      <c r="S69" s="799"/>
      <c r="T69" s="799"/>
      <c r="U69" s="799"/>
      <c r="V69" s="799"/>
      <c r="W69" s="799"/>
      <c r="X69" s="799"/>
      <c r="Y69" s="799"/>
      <c r="Z69" s="799"/>
    </row>
    <row r="70" ht="49.5" customHeight="1">
      <c r="A70" s="799"/>
      <c r="B70" s="799"/>
      <c r="C70" s="799"/>
      <c r="D70" s="799"/>
      <c r="E70" s="799"/>
      <c r="F70" s="799"/>
      <c r="G70" s="799"/>
      <c r="H70" s="799"/>
      <c r="I70" s="799"/>
      <c r="J70" s="799"/>
      <c r="K70" s="799"/>
      <c r="L70" s="885"/>
      <c r="M70" s="799"/>
      <c r="N70" s="799"/>
      <c r="O70" s="799"/>
      <c r="P70" s="799"/>
      <c r="Q70" s="799"/>
      <c r="R70" s="799"/>
      <c r="S70" s="799"/>
      <c r="T70" s="799"/>
      <c r="U70" s="799"/>
      <c r="V70" s="799"/>
      <c r="W70" s="799"/>
      <c r="X70" s="799"/>
      <c r="Y70" s="799"/>
      <c r="Z70" s="799"/>
    </row>
    <row r="71" ht="49.5" customHeight="1">
      <c r="A71" s="799"/>
      <c r="B71" s="799"/>
      <c r="C71" s="799"/>
      <c r="D71" s="799"/>
      <c r="E71" s="799"/>
      <c r="F71" s="799"/>
      <c r="G71" s="799"/>
      <c r="H71" s="799"/>
      <c r="I71" s="799"/>
      <c r="J71" s="799"/>
      <c r="K71" s="799"/>
      <c r="L71" s="885"/>
      <c r="M71" s="799"/>
      <c r="N71" s="799"/>
      <c r="O71" s="799"/>
      <c r="P71" s="799"/>
      <c r="Q71" s="799"/>
      <c r="R71" s="799"/>
      <c r="S71" s="799"/>
      <c r="T71" s="799"/>
      <c r="U71" s="799"/>
      <c r="V71" s="799"/>
      <c r="W71" s="799"/>
      <c r="X71" s="799"/>
      <c r="Y71" s="799"/>
      <c r="Z71" s="799"/>
    </row>
    <row r="72" ht="49.5" customHeight="1">
      <c r="A72" s="799"/>
      <c r="B72" s="799"/>
      <c r="C72" s="799"/>
      <c r="D72" s="799"/>
      <c r="E72" s="799"/>
      <c r="F72" s="799"/>
      <c r="G72" s="799"/>
      <c r="H72" s="799"/>
      <c r="I72" s="799"/>
      <c r="J72" s="799"/>
      <c r="K72" s="799"/>
      <c r="L72" s="885"/>
      <c r="M72" s="799"/>
      <c r="N72" s="799"/>
      <c r="O72" s="799"/>
      <c r="P72" s="799"/>
      <c r="Q72" s="799"/>
      <c r="R72" s="799"/>
      <c r="S72" s="799"/>
      <c r="T72" s="799"/>
      <c r="U72" s="799"/>
      <c r="V72" s="799"/>
      <c r="W72" s="799"/>
      <c r="X72" s="799"/>
      <c r="Y72" s="799"/>
      <c r="Z72" s="799"/>
    </row>
    <row r="73" ht="49.5" customHeight="1">
      <c r="A73" s="799"/>
      <c r="B73" s="799"/>
      <c r="C73" s="799"/>
      <c r="D73" s="799"/>
      <c r="E73" s="799"/>
      <c r="F73" s="799"/>
      <c r="G73" s="799"/>
      <c r="H73" s="799"/>
      <c r="I73" s="799"/>
      <c r="J73" s="799"/>
      <c r="K73" s="799"/>
      <c r="L73" s="885"/>
      <c r="M73" s="799"/>
      <c r="N73" s="799"/>
      <c r="O73" s="799"/>
      <c r="P73" s="799"/>
      <c r="Q73" s="799"/>
      <c r="R73" s="799"/>
      <c r="S73" s="799"/>
      <c r="T73" s="799"/>
      <c r="U73" s="799"/>
      <c r="V73" s="799"/>
      <c r="W73" s="799"/>
      <c r="X73" s="799"/>
      <c r="Y73" s="799"/>
      <c r="Z73" s="799"/>
    </row>
    <row r="74" ht="49.5" customHeight="1">
      <c r="A74" s="799"/>
      <c r="B74" s="799"/>
      <c r="C74" s="799"/>
      <c r="D74" s="799"/>
      <c r="E74" s="799"/>
      <c r="F74" s="799"/>
      <c r="G74" s="799"/>
      <c r="H74" s="799"/>
      <c r="I74" s="799"/>
      <c r="J74" s="799"/>
      <c r="K74" s="799"/>
      <c r="L74" s="885"/>
      <c r="M74" s="799"/>
      <c r="N74" s="799"/>
      <c r="O74" s="799"/>
      <c r="P74" s="799"/>
      <c r="Q74" s="799"/>
      <c r="R74" s="799"/>
      <c r="S74" s="799"/>
      <c r="T74" s="799"/>
      <c r="U74" s="799"/>
      <c r="V74" s="799"/>
      <c r="W74" s="799"/>
      <c r="X74" s="799"/>
      <c r="Y74" s="799"/>
      <c r="Z74" s="799"/>
    </row>
    <row r="75" ht="49.5" customHeight="1">
      <c r="A75" s="799"/>
      <c r="B75" s="799"/>
      <c r="C75" s="799"/>
      <c r="D75" s="799"/>
      <c r="E75" s="799"/>
      <c r="F75" s="799"/>
      <c r="G75" s="799"/>
      <c r="H75" s="799"/>
      <c r="I75" s="799"/>
      <c r="J75" s="799"/>
      <c r="K75" s="799"/>
      <c r="L75" s="885"/>
      <c r="M75" s="799"/>
      <c r="N75" s="799"/>
      <c r="O75" s="799"/>
      <c r="P75" s="799"/>
      <c r="Q75" s="799"/>
      <c r="R75" s="799"/>
      <c r="S75" s="799"/>
      <c r="T75" s="799"/>
      <c r="U75" s="799"/>
      <c r="V75" s="799"/>
      <c r="W75" s="799"/>
      <c r="X75" s="799"/>
      <c r="Y75" s="799"/>
      <c r="Z75" s="799"/>
    </row>
    <row r="76" ht="49.5" customHeight="1">
      <c r="A76" s="799"/>
      <c r="B76" s="799"/>
      <c r="C76" s="799"/>
      <c r="D76" s="799"/>
      <c r="E76" s="799"/>
      <c r="F76" s="799"/>
      <c r="G76" s="799"/>
      <c r="H76" s="799"/>
      <c r="I76" s="799"/>
      <c r="J76" s="799"/>
      <c r="K76" s="799"/>
      <c r="L76" s="885"/>
      <c r="M76" s="799"/>
      <c r="N76" s="799"/>
      <c r="O76" s="799"/>
      <c r="P76" s="799"/>
      <c r="Q76" s="799"/>
      <c r="R76" s="799"/>
      <c r="S76" s="799"/>
      <c r="T76" s="799"/>
      <c r="U76" s="799"/>
      <c r="V76" s="799"/>
      <c r="W76" s="799"/>
      <c r="X76" s="799"/>
      <c r="Y76" s="799"/>
      <c r="Z76" s="799"/>
    </row>
    <row r="77" ht="49.5" customHeight="1">
      <c r="A77" s="799"/>
      <c r="B77" s="799"/>
      <c r="C77" s="799"/>
      <c r="D77" s="799"/>
      <c r="E77" s="799"/>
      <c r="F77" s="799"/>
      <c r="G77" s="799"/>
      <c r="H77" s="799"/>
      <c r="I77" s="799"/>
      <c r="J77" s="799"/>
      <c r="K77" s="799"/>
      <c r="L77" s="885"/>
      <c r="M77" s="799"/>
      <c r="N77" s="799"/>
      <c r="O77" s="799"/>
      <c r="P77" s="799"/>
      <c r="Q77" s="799"/>
      <c r="R77" s="799"/>
      <c r="S77" s="799"/>
      <c r="T77" s="799"/>
      <c r="U77" s="799"/>
      <c r="V77" s="799"/>
      <c r="W77" s="799"/>
      <c r="X77" s="799"/>
      <c r="Y77" s="799"/>
      <c r="Z77" s="799"/>
    </row>
    <row r="78" ht="49.5" customHeight="1">
      <c r="A78" s="799"/>
      <c r="B78" s="799"/>
      <c r="C78" s="799"/>
      <c r="D78" s="799"/>
      <c r="E78" s="799"/>
      <c r="F78" s="799"/>
      <c r="G78" s="799"/>
      <c r="H78" s="799"/>
      <c r="I78" s="799"/>
      <c r="J78" s="799"/>
      <c r="K78" s="799"/>
      <c r="L78" s="885"/>
      <c r="M78" s="799"/>
      <c r="N78" s="799"/>
      <c r="O78" s="799"/>
      <c r="P78" s="799"/>
      <c r="Q78" s="799"/>
      <c r="R78" s="799"/>
      <c r="S78" s="799"/>
      <c r="T78" s="799"/>
      <c r="U78" s="799"/>
      <c r="V78" s="799"/>
      <c r="W78" s="799"/>
      <c r="X78" s="799"/>
      <c r="Y78" s="799"/>
      <c r="Z78" s="799"/>
    </row>
    <row r="79" ht="49.5" customHeight="1">
      <c r="A79" s="799"/>
      <c r="B79" s="799"/>
      <c r="C79" s="799"/>
      <c r="D79" s="799"/>
      <c r="E79" s="799"/>
      <c r="F79" s="799"/>
      <c r="G79" s="799"/>
      <c r="H79" s="799"/>
      <c r="I79" s="799"/>
      <c r="J79" s="799"/>
      <c r="K79" s="799"/>
      <c r="L79" s="885"/>
      <c r="M79" s="799"/>
      <c r="N79" s="799"/>
      <c r="O79" s="799"/>
      <c r="P79" s="799"/>
      <c r="Q79" s="799"/>
      <c r="R79" s="799"/>
      <c r="S79" s="799"/>
      <c r="T79" s="799"/>
      <c r="U79" s="799"/>
      <c r="V79" s="799"/>
      <c r="W79" s="799"/>
      <c r="X79" s="799"/>
      <c r="Y79" s="799"/>
      <c r="Z79" s="799"/>
    </row>
    <row r="80" ht="49.5" customHeight="1">
      <c r="A80" s="799"/>
      <c r="B80" s="799"/>
      <c r="C80" s="799"/>
      <c r="D80" s="799"/>
      <c r="E80" s="799"/>
      <c r="F80" s="799"/>
      <c r="G80" s="799"/>
      <c r="H80" s="799"/>
      <c r="I80" s="799"/>
      <c r="J80" s="799"/>
      <c r="K80" s="799"/>
      <c r="L80" s="885"/>
      <c r="M80" s="799"/>
      <c r="N80" s="799"/>
      <c r="O80" s="799"/>
      <c r="P80" s="799"/>
      <c r="Q80" s="799"/>
      <c r="R80" s="799"/>
      <c r="S80" s="799"/>
      <c r="T80" s="799"/>
      <c r="U80" s="799"/>
      <c r="V80" s="799"/>
      <c r="W80" s="799"/>
      <c r="X80" s="799"/>
      <c r="Y80" s="799"/>
      <c r="Z80" s="799"/>
    </row>
    <row r="81" ht="49.5" customHeight="1">
      <c r="A81" s="799"/>
      <c r="B81" s="799"/>
      <c r="C81" s="799"/>
      <c r="D81" s="799"/>
      <c r="E81" s="799"/>
      <c r="F81" s="799"/>
      <c r="G81" s="799"/>
      <c r="H81" s="799"/>
      <c r="I81" s="799"/>
      <c r="J81" s="799"/>
      <c r="K81" s="799"/>
      <c r="L81" s="885"/>
      <c r="M81" s="799"/>
      <c r="N81" s="799"/>
      <c r="O81" s="799"/>
      <c r="P81" s="799"/>
      <c r="Q81" s="799"/>
      <c r="R81" s="799"/>
      <c r="S81" s="799"/>
      <c r="T81" s="799"/>
      <c r="U81" s="799"/>
      <c r="V81" s="799"/>
      <c r="W81" s="799"/>
      <c r="X81" s="799"/>
      <c r="Y81" s="799"/>
      <c r="Z81" s="799"/>
    </row>
    <row r="82" ht="49.5" customHeight="1">
      <c r="A82" s="799"/>
      <c r="B82" s="799"/>
      <c r="C82" s="799"/>
      <c r="D82" s="799"/>
      <c r="E82" s="799"/>
      <c r="F82" s="799"/>
      <c r="G82" s="799"/>
      <c r="H82" s="799"/>
      <c r="I82" s="799"/>
      <c r="J82" s="799"/>
      <c r="K82" s="799"/>
      <c r="L82" s="885"/>
      <c r="M82" s="799"/>
      <c r="N82" s="799"/>
      <c r="O82" s="799"/>
      <c r="P82" s="799"/>
      <c r="Q82" s="799"/>
      <c r="R82" s="799"/>
      <c r="S82" s="799"/>
      <c r="T82" s="799"/>
      <c r="U82" s="799"/>
      <c r="V82" s="799"/>
      <c r="W82" s="799"/>
      <c r="X82" s="799"/>
      <c r="Y82" s="799"/>
      <c r="Z82" s="799"/>
    </row>
    <row r="83" ht="49.5" customHeight="1">
      <c r="A83" s="799"/>
      <c r="B83" s="799"/>
      <c r="C83" s="799"/>
      <c r="D83" s="799"/>
      <c r="E83" s="799"/>
      <c r="F83" s="799"/>
      <c r="G83" s="799"/>
      <c r="H83" s="799"/>
      <c r="I83" s="799"/>
      <c r="J83" s="799"/>
      <c r="K83" s="799"/>
      <c r="L83" s="885"/>
      <c r="M83" s="799"/>
      <c r="N83" s="799"/>
      <c r="O83" s="799"/>
      <c r="P83" s="799"/>
      <c r="Q83" s="799"/>
      <c r="R83" s="799"/>
      <c r="S83" s="799"/>
      <c r="T83" s="799"/>
      <c r="U83" s="799"/>
      <c r="V83" s="799"/>
      <c r="W83" s="799"/>
      <c r="X83" s="799"/>
      <c r="Y83" s="799"/>
      <c r="Z83" s="799"/>
    </row>
    <row r="84" ht="49.5" customHeight="1">
      <c r="A84" s="799"/>
      <c r="B84" s="799"/>
      <c r="C84" s="799"/>
      <c r="D84" s="799"/>
      <c r="E84" s="799"/>
      <c r="F84" s="799"/>
      <c r="G84" s="799"/>
      <c r="H84" s="799"/>
      <c r="I84" s="799"/>
      <c r="J84" s="799"/>
      <c r="K84" s="799"/>
      <c r="L84" s="885"/>
      <c r="M84" s="799"/>
      <c r="N84" s="799"/>
      <c r="O84" s="799"/>
      <c r="P84" s="799"/>
      <c r="Q84" s="799"/>
      <c r="R84" s="799"/>
      <c r="S84" s="799"/>
      <c r="T84" s="799"/>
      <c r="U84" s="799"/>
      <c r="V84" s="799"/>
      <c r="W84" s="799"/>
      <c r="X84" s="799"/>
      <c r="Y84" s="799"/>
      <c r="Z84" s="799"/>
    </row>
    <row r="85" ht="49.5" customHeight="1">
      <c r="A85" s="799"/>
      <c r="B85" s="799"/>
      <c r="C85" s="799"/>
      <c r="D85" s="799"/>
      <c r="E85" s="799"/>
      <c r="F85" s="799"/>
      <c r="G85" s="799"/>
      <c r="H85" s="799"/>
      <c r="I85" s="799"/>
      <c r="J85" s="799"/>
      <c r="K85" s="799"/>
      <c r="L85" s="885"/>
      <c r="M85" s="799"/>
      <c r="N85" s="799"/>
      <c r="O85" s="799"/>
      <c r="P85" s="799"/>
      <c r="Q85" s="799"/>
      <c r="R85" s="799"/>
      <c r="S85" s="799"/>
      <c r="T85" s="799"/>
      <c r="U85" s="799"/>
      <c r="V85" s="799"/>
      <c r="W85" s="799"/>
      <c r="X85" s="799"/>
      <c r="Y85" s="799"/>
      <c r="Z85" s="799"/>
    </row>
    <row r="86" ht="49.5" customHeight="1">
      <c r="A86" s="799"/>
      <c r="B86" s="799"/>
      <c r="C86" s="799"/>
      <c r="D86" s="799"/>
      <c r="E86" s="799"/>
      <c r="F86" s="799"/>
      <c r="G86" s="799"/>
      <c r="H86" s="799"/>
      <c r="I86" s="799"/>
      <c r="J86" s="799"/>
      <c r="K86" s="799"/>
      <c r="L86" s="885"/>
      <c r="M86" s="799"/>
      <c r="N86" s="799"/>
      <c r="O86" s="799"/>
      <c r="P86" s="799"/>
      <c r="Q86" s="799"/>
      <c r="R86" s="799"/>
      <c r="S86" s="799"/>
      <c r="T86" s="799"/>
      <c r="U86" s="799"/>
      <c r="V86" s="799"/>
      <c r="W86" s="799"/>
      <c r="X86" s="799"/>
      <c r="Y86" s="799"/>
      <c r="Z86" s="799"/>
    </row>
    <row r="87" ht="49.5" customHeight="1">
      <c r="A87" s="799"/>
      <c r="B87" s="799"/>
      <c r="C87" s="799"/>
      <c r="D87" s="799"/>
      <c r="E87" s="799"/>
      <c r="F87" s="799"/>
      <c r="G87" s="799"/>
      <c r="H87" s="799"/>
      <c r="I87" s="799"/>
      <c r="J87" s="799"/>
      <c r="K87" s="799"/>
      <c r="L87" s="885"/>
      <c r="M87" s="799"/>
      <c r="N87" s="799"/>
      <c r="O87" s="799"/>
      <c r="P87" s="799"/>
      <c r="Q87" s="799"/>
      <c r="R87" s="799"/>
      <c r="S87" s="799"/>
      <c r="T87" s="799"/>
      <c r="U87" s="799"/>
      <c r="V87" s="799"/>
      <c r="W87" s="799"/>
      <c r="X87" s="799"/>
      <c r="Y87" s="799"/>
      <c r="Z87" s="799"/>
    </row>
    <row r="88" ht="49.5" customHeight="1">
      <c r="A88" s="799"/>
      <c r="B88" s="799"/>
      <c r="C88" s="799"/>
      <c r="D88" s="799"/>
      <c r="E88" s="799"/>
      <c r="F88" s="799"/>
      <c r="G88" s="799"/>
      <c r="H88" s="799"/>
      <c r="I88" s="799"/>
      <c r="J88" s="799"/>
      <c r="K88" s="799"/>
      <c r="L88" s="885"/>
      <c r="M88" s="799"/>
      <c r="N88" s="799"/>
      <c r="O88" s="799"/>
      <c r="P88" s="799"/>
      <c r="Q88" s="799"/>
      <c r="R88" s="799"/>
      <c r="S88" s="799"/>
      <c r="T88" s="799"/>
      <c r="U88" s="799"/>
      <c r="V88" s="799"/>
      <c r="W88" s="799"/>
      <c r="X88" s="799"/>
      <c r="Y88" s="799"/>
      <c r="Z88" s="799"/>
    </row>
    <row r="89" ht="49.5" customHeight="1">
      <c r="A89" s="799"/>
      <c r="B89" s="799"/>
      <c r="C89" s="799"/>
      <c r="D89" s="799"/>
      <c r="E89" s="799"/>
      <c r="F89" s="799"/>
      <c r="G89" s="799"/>
      <c r="H89" s="799"/>
      <c r="I89" s="799"/>
      <c r="J89" s="799"/>
      <c r="K89" s="799"/>
      <c r="L89" s="885"/>
      <c r="M89" s="799"/>
      <c r="N89" s="799"/>
      <c r="O89" s="799"/>
      <c r="P89" s="799"/>
      <c r="Q89" s="799"/>
      <c r="R89" s="799"/>
      <c r="S89" s="799"/>
      <c r="T89" s="799"/>
      <c r="U89" s="799"/>
      <c r="V89" s="799"/>
      <c r="W89" s="799"/>
      <c r="X89" s="799"/>
      <c r="Y89" s="799"/>
      <c r="Z89" s="799"/>
    </row>
    <row r="90" ht="49.5" customHeight="1">
      <c r="A90" s="799"/>
      <c r="B90" s="799"/>
      <c r="C90" s="799"/>
      <c r="D90" s="799"/>
      <c r="E90" s="799"/>
      <c r="F90" s="799"/>
      <c r="G90" s="799"/>
      <c r="H90" s="799"/>
      <c r="I90" s="799"/>
      <c r="J90" s="799"/>
      <c r="K90" s="799"/>
      <c r="L90" s="885"/>
      <c r="M90" s="799"/>
      <c r="N90" s="799"/>
      <c r="O90" s="799"/>
      <c r="P90" s="799"/>
      <c r="Q90" s="799"/>
      <c r="R90" s="799"/>
      <c r="S90" s="799"/>
      <c r="T90" s="799"/>
      <c r="U90" s="799"/>
      <c r="V90" s="799"/>
      <c r="W90" s="799"/>
      <c r="X90" s="799"/>
      <c r="Y90" s="799"/>
      <c r="Z90" s="799"/>
    </row>
    <row r="91" ht="49.5" customHeight="1">
      <c r="A91" s="799"/>
      <c r="B91" s="799"/>
      <c r="C91" s="799"/>
      <c r="D91" s="799"/>
      <c r="E91" s="799"/>
      <c r="F91" s="799"/>
      <c r="G91" s="799"/>
      <c r="H91" s="799"/>
      <c r="I91" s="799"/>
      <c r="J91" s="799"/>
      <c r="K91" s="799"/>
      <c r="L91" s="885"/>
      <c r="M91" s="799"/>
      <c r="N91" s="799"/>
      <c r="O91" s="799"/>
      <c r="P91" s="799"/>
      <c r="Q91" s="799"/>
      <c r="R91" s="799"/>
      <c r="S91" s="799"/>
      <c r="T91" s="799"/>
      <c r="U91" s="799"/>
      <c r="V91" s="799"/>
      <c r="W91" s="799"/>
      <c r="X91" s="799"/>
      <c r="Y91" s="799"/>
      <c r="Z91" s="799"/>
    </row>
    <row r="92" ht="49.5" customHeight="1">
      <c r="A92" s="799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885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799"/>
      <c r="Z92" s="799"/>
    </row>
    <row r="93" ht="49.5" customHeight="1">
      <c r="A93" s="799"/>
      <c r="B93" s="799"/>
      <c r="C93" s="799"/>
      <c r="D93" s="799"/>
      <c r="E93" s="799"/>
      <c r="F93" s="799"/>
      <c r="G93" s="799"/>
      <c r="H93" s="799"/>
      <c r="I93" s="799"/>
      <c r="J93" s="799"/>
      <c r="K93" s="799"/>
      <c r="L93" s="885"/>
      <c r="M93" s="799"/>
      <c r="N93" s="799"/>
      <c r="O93" s="799"/>
      <c r="P93" s="799"/>
      <c r="Q93" s="799"/>
      <c r="R93" s="799"/>
      <c r="S93" s="799"/>
      <c r="T93" s="799"/>
      <c r="U93" s="799"/>
      <c r="V93" s="799"/>
      <c r="W93" s="799"/>
      <c r="X93" s="799"/>
      <c r="Y93" s="799"/>
      <c r="Z93" s="799"/>
    </row>
    <row r="94" ht="49.5" customHeight="1">
      <c r="A94" s="799"/>
      <c r="B94" s="799"/>
      <c r="C94" s="799"/>
      <c r="D94" s="799"/>
      <c r="E94" s="799"/>
      <c r="F94" s="799"/>
      <c r="G94" s="799"/>
      <c r="H94" s="799"/>
      <c r="I94" s="799"/>
      <c r="J94" s="799"/>
      <c r="K94" s="799"/>
      <c r="L94" s="885"/>
      <c r="M94" s="799"/>
      <c r="N94" s="799"/>
      <c r="O94" s="799"/>
      <c r="P94" s="799"/>
      <c r="Q94" s="799"/>
      <c r="R94" s="799"/>
      <c r="S94" s="799"/>
      <c r="T94" s="799"/>
      <c r="U94" s="799"/>
      <c r="V94" s="799"/>
      <c r="W94" s="799"/>
      <c r="X94" s="799"/>
      <c r="Y94" s="799"/>
      <c r="Z94" s="799"/>
    </row>
    <row r="95" ht="49.5" customHeight="1">
      <c r="A95" s="799"/>
      <c r="B95" s="799"/>
      <c r="C95" s="799"/>
      <c r="D95" s="799"/>
      <c r="E95" s="799"/>
      <c r="F95" s="799"/>
      <c r="G95" s="799"/>
      <c r="H95" s="799"/>
      <c r="I95" s="799"/>
      <c r="J95" s="799"/>
      <c r="K95" s="799"/>
      <c r="L95" s="885"/>
      <c r="M95" s="799"/>
      <c r="N95" s="799"/>
      <c r="O95" s="799"/>
      <c r="P95" s="799"/>
      <c r="Q95" s="799"/>
      <c r="R95" s="799"/>
      <c r="S95" s="799"/>
      <c r="T95" s="799"/>
      <c r="U95" s="799"/>
      <c r="V95" s="799"/>
      <c r="W95" s="799"/>
      <c r="X95" s="799"/>
      <c r="Y95" s="799"/>
      <c r="Z95" s="799"/>
    </row>
    <row r="96" ht="49.5" customHeight="1">
      <c r="A96" s="799"/>
      <c r="B96" s="799"/>
      <c r="C96" s="799"/>
      <c r="D96" s="799"/>
      <c r="E96" s="799"/>
      <c r="F96" s="799"/>
      <c r="G96" s="799"/>
      <c r="H96" s="799"/>
      <c r="I96" s="799"/>
      <c r="J96" s="799"/>
      <c r="K96" s="799"/>
      <c r="L96" s="885"/>
      <c r="M96" s="799"/>
      <c r="N96" s="799"/>
      <c r="O96" s="799"/>
      <c r="P96" s="799"/>
      <c r="Q96" s="799"/>
      <c r="R96" s="799"/>
      <c r="S96" s="799"/>
      <c r="T96" s="799"/>
      <c r="U96" s="799"/>
      <c r="V96" s="799"/>
      <c r="W96" s="799"/>
      <c r="X96" s="799"/>
      <c r="Y96" s="799"/>
      <c r="Z96" s="799"/>
    </row>
    <row r="97" ht="49.5" customHeight="1">
      <c r="A97" s="799"/>
      <c r="B97" s="799"/>
      <c r="C97" s="799"/>
      <c r="D97" s="799"/>
      <c r="E97" s="799"/>
      <c r="F97" s="799"/>
      <c r="G97" s="799"/>
      <c r="H97" s="799"/>
      <c r="I97" s="799"/>
      <c r="J97" s="799"/>
      <c r="K97" s="799"/>
      <c r="L97" s="885"/>
      <c r="M97" s="799"/>
      <c r="N97" s="799"/>
      <c r="O97" s="799"/>
      <c r="P97" s="799"/>
      <c r="Q97" s="799"/>
      <c r="R97" s="799"/>
      <c r="S97" s="799"/>
      <c r="T97" s="799"/>
      <c r="U97" s="799"/>
      <c r="V97" s="799"/>
      <c r="W97" s="799"/>
      <c r="X97" s="799"/>
      <c r="Y97" s="799"/>
      <c r="Z97" s="799"/>
    </row>
    <row r="98" ht="49.5" customHeight="1">
      <c r="A98" s="799"/>
      <c r="B98" s="799"/>
      <c r="C98" s="799"/>
      <c r="D98" s="799"/>
      <c r="E98" s="799"/>
      <c r="F98" s="799"/>
      <c r="G98" s="799"/>
      <c r="H98" s="799"/>
      <c r="I98" s="799"/>
      <c r="J98" s="799"/>
      <c r="K98" s="799"/>
      <c r="L98" s="885"/>
      <c r="M98" s="799"/>
      <c r="N98" s="799"/>
      <c r="O98" s="799"/>
      <c r="P98" s="799"/>
      <c r="Q98" s="799"/>
      <c r="R98" s="799"/>
      <c r="S98" s="799"/>
      <c r="T98" s="799"/>
      <c r="U98" s="799"/>
      <c r="V98" s="799"/>
      <c r="W98" s="799"/>
      <c r="X98" s="799"/>
      <c r="Y98" s="799"/>
      <c r="Z98" s="799"/>
    </row>
    <row r="99" ht="49.5" customHeight="1">
      <c r="A99" s="799"/>
      <c r="B99" s="799"/>
      <c r="C99" s="799"/>
      <c r="D99" s="799"/>
      <c r="E99" s="799"/>
      <c r="F99" s="799"/>
      <c r="G99" s="799"/>
      <c r="H99" s="799"/>
      <c r="I99" s="799"/>
      <c r="J99" s="799"/>
      <c r="K99" s="799"/>
      <c r="L99" s="885"/>
      <c r="M99" s="799"/>
      <c r="N99" s="799"/>
      <c r="O99" s="799"/>
      <c r="P99" s="799"/>
      <c r="Q99" s="799"/>
      <c r="R99" s="799"/>
      <c r="S99" s="799"/>
      <c r="T99" s="799"/>
      <c r="U99" s="799"/>
      <c r="V99" s="799"/>
      <c r="W99" s="799"/>
      <c r="X99" s="799"/>
      <c r="Y99" s="799"/>
      <c r="Z99" s="799"/>
    </row>
    <row r="100" ht="49.5" customHeight="1">
      <c r="A100" s="799"/>
      <c r="B100" s="799"/>
      <c r="C100" s="799"/>
      <c r="D100" s="799"/>
      <c r="E100" s="799"/>
      <c r="F100" s="799"/>
      <c r="G100" s="799"/>
      <c r="H100" s="799"/>
      <c r="I100" s="799"/>
      <c r="J100" s="799"/>
      <c r="K100" s="799"/>
      <c r="L100" s="885"/>
      <c r="M100" s="799"/>
      <c r="N100" s="799"/>
      <c r="O100" s="799"/>
      <c r="P100" s="799"/>
      <c r="Q100" s="799"/>
      <c r="R100" s="799"/>
      <c r="S100" s="799"/>
      <c r="T100" s="799"/>
      <c r="U100" s="799"/>
      <c r="V100" s="799"/>
      <c r="W100" s="799"/>
      <c r="X100" s="799"/>
      <c r="Y100" s="799"/>
      <c r="Z100" s="799"/>
    </row>
    <row r="101" ht="49.5" customHeight="1">
      <c r="A101" s="799"/>
      <c r="B101" s="799"/>
      <c r="C101" s="799"/>
      <c r="D101" s="799"/>
      <c r="E101" s="799"/>
      <c r="F101" s="799"/>
      <c r="G101" s="799"/>
      <c r="H101" s="799"/>
      <c r="I101" s="799"/>
      <c r="J101" s="799"/>
      <c r="K101" s="799"/>
      <c r="L101" s="885"/>
      <c r="M101" s="799"/>
      <c r="N101" s="799"/>
      <c r="O101" s="799"/>
      <c r="P101" s="799"/>
      <c r="Q101" s="799"/>
      <c r="R101" s="799"/>
      <c r="S101" s="799"/>
      <c r="T101" s="799"/>
      <c r="U101" s="799"/>
      <c r="V101" s="799"/>
      <c r="W101" s="799"/>
      <c r="X101" s="799"/>
      <c r="Y101" s="799"/>
      <c r="Z101" s="799"/>
    </row>
    <row r="102" ht="49.5" customHeight="1">
      <c r="A102" s="799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885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799"/>
      <c r="Z102" s="799"/>
    </row>
    <row r="103" ht="49.5" customHeight="1">
      <c r="A103" s="799"/>
      <c r="B103" s="799"/>
      <c r="C103" s="799"/>
      <c r="D103" s="799"/>
      <c r="E103" s="799"/>
      <c r="F103" s="799"/>
      <c r="G103" s="799"/>
      <c r="H103" s="799"/>
      <c r="I103" s="799"/>
      <c r="J103" s="799"/>
      <c r="K103" s="799"/>
      <c r="L103" s="885"/>
      <c r="M103" s="799"/>
      <c r="N103" s="799"/>
      <c r="O103" s="799"/>
      <c r="P103" s="799"/>
      <c r="Q103" s="799"/>
      <c r="R103" s="799"/>
      <c r="S103" s="799"/>
      <c r="T103" s="799"/>
      <c r="U103" s="799"/>
      <c r="V103" s="799"/>
      <c r="W103" s="799"/>
      <c r="X103" s="799"/>
      <c r="Y103" s="799"/>
      <c r="Z103" s="799"/>
    </row>
    <row r="104" ht="49.5" customHeight="1">
      <c r="A104" s="799"/>
      <c r="B104" s="799"/>
      <c r="C104" s="799"/>
      <c r="D104" s="799"/>
      <c r="E104" s="799"/>
      <c r="F104" s="799"/>
      <c r="G104" s="799"/>
      <c r="H104" s="799"/>
      <c r="I104" s="799"/>
      <c r="J104" s="799"/>
      <c r="K104" s="799"/>
      <c r="L104" s="885"/>
      <c r="M104" s="799"/>
      <c r="N104" s="799"/>
      <c r="O104" s="799"/>
      <c r="P104" s="799"/>
      <c r="Q104" s="799"/>
      <c r="R104" s="799"/>
      <c r="S104" s="799"/>
      <c r="T104" s="799"/>
      <c r="U104" s="799"/>
      <c r="V104" s="799"/>
      <c r="W104" s="799"/>
      <c r="X104" s="799"/>
      <c r="Y104" s="799"/>
      <c r="Z104" s="799"/>
    </row>
    <row r="105" ht="49.5" customHeight="1">
      <c r="A105" s="799"/>
      <c r="B105" s="799"/>
      <c r="C105" s="799"/>
      <c r="D105" s="799"/>
      <c r="E105" s="799"/>
      <c r="F105" s="799"/>
      <c r="G105" s="799"/>
      <c r="H105" s="799"/>
      <c r="I105" s="799"/>
      <c r="J105" s="799"/>
      <c r="K105" s="799"/>
      <c r="L105" s="885"/>
      <c r="M105" s="799"/>
      <c r="N105" s="799"/>
      <c r="O105" s="799"/>
      <c r="P105" s="799"/>
      <c r="Q105" s="799"/>
      <c r="R105" s="799"/>
      <c r="S105" s="799"/>
      <c r="T105" s="799"/>
      <c r="U105" s="799"/>
      <c r="V105" s="799"/>
      <c r="W105" s="799"/>
      <c r="X105" s="799"/>
      <c r="Y105" s="799"/>
      <c r="Z105" s="799"/>
    </row>
    <row r="106" ht="49.5" customHeight="1">
      <c r="A106" s="799"/>
      <c r="B106" s="799"/>
      <c r="C106" s="799"/>
      <c r="D106" s="799"/>
      <c r="E106" s="799"/>
      <c r="F106" s="799"/>
      <c r="G106" s="799"/>
      <c r="H106" s="799"/>
      <c r="I106" s="799"/>
      <c r="J106" s="799"/>
      <c r="K106" s="799"/>
      <c r="L106" s="885"/>
      <c r="M106" s="799"/>
      <c r="N106" s="799"/>
      <c r="O106" s="799"/>
      <c r="P106" s="799"/>
      <c r="Q106" s="799"/>
      <c r="R106" s="799"/>
      <c r="S106" s="799"/>
      <c r="T106" s="799"/>
      <c r="U106" s="799"/>
      <c r="V106" s="799"/>
      <c r="W106" s="799"/>
      <c r="X106" s="799"/>
      <c r="Y106" s="799"/>
      <c r="Z106" s="799"/>
    </row>
    <row r="107" ht="49.5" customHeight="1">
      <c r="A107" s="799"/>
      <c r="B107" s="799"/>
      <c r="C107" s="799"/>
      <c r="D107" s="799"/>
      <c r="E107" s="799"/>
      <c r="F107" s="799"/>
      <c r="G107" s="799"/>
      <c r="H107" s="799"/>
      <c r="I107" s="799"/>
      <c r="J107" s="799"/>
      <c r="K107" s="799"/>
      <c r="L107" s="885"/>
      <c r="M107" s="799"/>
      <c r="N107" s="799"/>
      <c r="O107" s="799"/>
      <c r="P107" s="799"/>
      <c r="Q107" s="799"/>
      <c r="R107" s="799"/>
      <c r="S107" s="799"/>
      <c r="T107" s="799"/>
      <c r="U107" s="799"/>
      <c r="V107" s="799"/>
      <c r="W107" s="799"/>
      <c r="X107" s="799"/>
      <c r="Y107" s="799"/>
      <c r="Z107" s="799"/>
    </row>
    <row r="108" ht="49.5" customHeight="1">
      <c r="A108" s="799"/>
      <c r="B108" s="799"/>
      <c r="C108" s="799"/>
      <c r="D108" s="799"/>
      <c r="E108" s="799"/>
      <c r="F108" s="799"/>
      <c r="G108" s="799"/>
      <c r="H108" s="799"/>
      <c r="I108" s="799"/>
      <c r="J108" s="799"/>
      <c r="K108" s="799"/>
      <c r="L108" s="885"/>
      <c r="M108" s="799"/>
      <c r="N108" s="799"/>
      <c r="O108" s="799"/>
      <c r="P108" s="799"/>
      <c r="Q108" s="799"/>
      <c r="R108" s="799"/>
      <c r="S108" s="799"/>
      <c r="T108" s="799"/>
      <c r="U108" s="799"/>
      <c r="V108" s="799"/>
      <c r="W108" s="799"/>
      <c r="X108" s="799"/>
      <c r="Y108" s="799"/>
      <c r="Z108" s="799"/>
    </row>
    <row r="109" ht="49.5" customHeight="1">
      <c r="A109" s="799"/>
      <c r="B109" s="799"/>
      <c r="C109" s="799"/>
      <c r="D109" s="799"/>
      <c r="E109" s="799"/>
      <c r="F109" s="799"/>
      <c r="G109" s="799"/>
      <c r="H109" s="799"/>
      <c r="I109" s="799"/>
      <c r="J109" s="799"/>
      <c r="K109" s="799"/>
      <c r="L109" s="885"/>
      <c r="M109" s="799"/>
      <c r="N109" s="799"/>
      <c r="O109" s="799"/>
      <c r="P109" s="799"/>
      <c r="Q109" s="799"/>
      <c r="R109" s="799"/>
      <c r="S109" s="799"/>
      <c r="T109" s="799"/>
      <c r="U109" s="799"/>
      <c r="V109" s="799"/>
      <c r="W109" s="799"/>
      <c r="X109" s="799"/>
      <c r="Y109" s="799"/>
      <c r="Z109" s="799"/>
    </row>
    <row r="110" ht="49.5" customHeight="1">
      <c r="A110" s="799"/>
      <c r="B110" s="799"/>
      <c r="C110" s="799"/>
      <c r="D110" s="799"/>
      <c r="E110" s="799"/>
      <c r="F110" s="799"/>
      <c r="G110" s="799"/>
      <c r="H110" s="799"/>
      <c r="I110" s="799"/>
      <c r="J110" s="799"/>
      <c r="K110" s="799"/>
      <c r="L110" s="885"/>
      <c r="M110" s="799"/>
      <c r="N110" s="799"/>
      <c r="O110" s="799"/>
      <c r="P110" s="799"/>
      <c r="Q110" s="799"/>
      <c r="R110" s="799"/>
      <c r="S110" s="799"/>
      <c r="T110" s="799"/>
      <c r="U110" s="799"/>
      <c r="V110" s="799"/>
      <c r="W110" s="799"/>
      <c r="X110" s="799"/>
      <c r="Y110" s="799"/>
      <c r="Z110" s="799"/>
    </row>
    <row r="111" ht="49.5" customHeight="1">
      <c r="A111" s="799"/>
      <c r="B111" s="799"/>
      <c r="C111" s="799"/>
      <c r="D111" s="799"/>
      <c r="E111" s="799"/>
      <c r="F111" s="799"/>
      <c r="G111" s="799"/>
      <c r="H111" s="799"/>
      <c r="I111" s="799"/>
      <c r="J111" s="799"/>
      <c r="K111" s="799"/>
      <c r="L111" s="885"/>
      <c r="M111" s="799"/>
      <c r="N111" s="799"/>
      <c r="O111" s="799"/>
      <c r="P111" s="799"/>
      <c r="Q111" s="799"/>
      <c r="R111" s="799"/>
      <c r="S111" s="799"/>
      <c r="T111" s="799"/>
      <c r="U111" s="799"/>
      <c r="V111" s="799"/>
      <c r="W111" s="799"/>
      <c r="X111" s="799"/>
      <c r="Y111" s="799"/>
      <c r="Z111" s="799"/>
    </row>
    <row r="112" ht="49.5" customHeight="1">
      <c r="A112" s="799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885"/>
      <c r="M112" s="799"/>
      <c r="N112" s="799"/>
      <c r="O112" s="799"/>
      <c r="P112" s="799"/>
      <c r="Q112" s="799"/>
      <c r="R112" s="799"/>
      <c r="S112" s="799"/>
      <c r="T112" s="799"/>
      <c r="U112" s="799"/>
      <c r="V112" s="799"/>
      <c r="W112" s="799"/>
      <c r="X112" s="799"/>
      <c r="Y112" s="799"/>
      <c r="Z112" s="799"/>
    </row>
    <row r="113" ht="49.5" customHeight="1">
      <c r="A113" s="799"/>
      <c r="B113" s="799"/>
      <c r="C113" s="799"/>
      <c r="D113" s="799"/>
      <c r="E113" s="799"/>
      <c r="F113" s="799"/>
      <c r="G113" s="799"/>
      <c r="H113" s="799"/>
      <c r="I113" s="799"/>
      <c r="J113" s="799"/>
      <c r="K113" s="799"/>
      <c r="L113" s="885"/>
      <c r="M113" s="799"/>
      <c r="N113" s="799"/>
      <c r="O113" s="799"/>
      <c r="P113" s="799"/>
      <c r="Q113" s="799"/>
      <c r="R113" s="799"/>
      <c r="S113" s="799"/>
      <c r="T113" s="799"/>
      <c r="U113" s="799"/>
      <c r="V113" s="799"/>
      <c r="W113" s="799"/>
      <c r="X113" s="799"/>
      <c r="Y113" s="799"/>
      <c r="Z113" s="799"/>
    </row>
    <row r="114" ht="49.5" customHeight="1">
      <c r="A114" s="799"/>
      <c r="B114" s="799"/>
      <c r="C114" s="799"/>
      <c r="D114" s="799"/>
      <c r="E114" s="799"/>
      <c r="F114" s="799"/>
      <c r="G114" s="799"/>
      <c r="H114" s="799"/>
      <c r="I114" s="799"/>
      <c r="J114" s="799"/>
      <c r="K114" s="799"/>
      <c r="L114" s="885"/>
      <c r="M114" s="799"/>
      <c r="N114" s="799"/>
      <c r="O114" s="799"/>
      <c r="P114" s="799"/>
      <c r="Q114" s="799"/>
      <c r="R114" s="799"/>
      <c r="S114" s="799"/>
      <c r="T114" s="799"/>
      <c r="U114" s="799"/>
      <c r="V114" s="799"/>
      <c r="W114" s="799"/>
      <c r="X114" s="799"/>
      <c r="Y114" s="799"/>
      <c r="Z114" s="799"/>
    </row>
    <row r="115" ht="49.5" customHeight="1">
      <c r="A115" s="799"/>
      <c r="B115" s="799"/>
      <c r="C115" s="799"/>
      <c r="D115" s="799"/>
      <c r="E115" s="799"/>
      <c r="F115" s="799"/>
      <c r="G115" s="799"/>
      <c r="H115" s="799"/>
      <c r="I115" s="799"/>
      <c r="J115" s="799"/>
      <c r="K115" s="799"/>
      <c r="L115" s="885"/>
      <c r="M115" s="799"/>
      <c r="N115" s="799"/>
      <c r="O115" s="799"/>
      <c r="P115" s="799"/>
      <c r="Q115" s="799"/>
      <c r="R115" s="799"/>
      <c r="S115" s="799"/>
      <c r="T115" s="799"/>
      <c r="U115" s="799"/>
      <c r="V115" s="799"/>
      <c r="W115" s="799"/>
      <c r="X115" s="799"/>
      <c r="Y115" s="799"/>
      <c r="Z115" s="799"/>
    </row>
    <row r="116" ht="49.5" customHeight="1">
      <c r="A116" s="799"/>
      <c r="B116" s="799"/>
      <c r="C116" s="799"/>
      <c r="D116" s="799"/>
      <c r="E116" s="799"/>
      <c r="F116" s="799"/>
      <c r="G116" s="799"/>
      <c r="H116" s="799"/>
      <c r="I116" s="799"/>
      <c r="J116" s="799"/>
      <c r="K116" s="799"/>
      <c r="L116" s="885"/>
      <c r="M116" s="799"/>
      <c r="N116" s="799"/>
      <c r="O116" s="799"/>
      <c r="P116" s="799"/>
      <c r="Q116" s="799"/>
      <c r="R116" s="799"/>
      <c r="S116" s="799"/>
      <c r="T116" s="799"/>
      <c r="U116" s="799"/>
      <c r="V116" s="799"/>
      <c r="W116" s="799"/>
      <c r="X116" s="799"/>
      <c r="Y116" s="799"/>
      <c r="Z116" s="799"/>
    </row>
    <row r="117" ht="49.5" customHeight="1">
      <c r="A117" s="799"/>
      <c r="B117" s="799"/>
      <c r="C117" s="799"/>
      <c r="D117" s="799"/>
      <c r="E117" s="799"/>
      <c r="F117" s="799"/>
      <c r="G117" s="799"/>
      <c r="H117" s="799"/>
      <c r="I117" s="799"/>
      <c r="J117" s="799"/>
      <c r="K117" s="799"/>
      <c r="L117" s="885"/>
      <c r="M117" s="799"/>
      <c r="N117" s="799"/>
      <c r="O117" s="799"/>
      <c r="P117" s="799"/>
      <c r="Q117" s="799"/>
      <c r="R117" s="799"/>
      <c r="S117" s="799"/>
      <c r="T117" s="799"/>
      <c r="U117" s="799"/>
      <c r="V117" s="799"/>
      <c r="W117" s="799"/>
      <c r="X117" s="799"/>
      <c r="Y117" s="799"/>
      <c r="Z117" s="799"/>
    </row>
    <row r="118" ht="49.5" customHeight="1">
      <c r="A118" s="799"/>
      <c r="B118" s="799"/>
      <c r="C118" s="799"/>
      <c r="D118" s="799"/>
      <c r="E118" s="799"/>
      <c r="F118" s="799"/>
      <c r="G118" s="799"/>
      <c r="H118" s="799"/>
      <c r="I118" s="799"/>
      <c r="J118" s="799"/>
      <c r="K118" s="799"/>
      <c r="L118" s="885"/>
      <c r="M118" s="799"/>
      <c r="N118" s="799"/>
      <c r="O118" s="799"/>
      <c r="P118" s="799"/>
      <c r="Q118" s="799"/>
      <c r="R118" s="799"/>
      <c r="S118" s="799"/>
      <c r="T118" s="799"/>
      <c r="U118" s="799"/>
      <c r="V118" s="799"/>
      <c r="W118" s="799"/>
      <c r="X118" s="799"/>
      <c r="Y118" s="799"/>
      <c r="Z118" s="799"/>
    </row>
    <row r="119" ht="49.5" customHeight="1">
      <c r="A119" s="799"/>
      <c r="B119" s="799"/>
      <c r="C119" s="799"/>
      <c r="D119" s="799"/>
      <c r="E119" s="799"/>
      <c r="F119" s="799"/>
      <c r="G119" s="799"/>
      <c r="H119" s="799"/>
      <c r="I119" s="799"/>
      <c r="J119" s="799"/>
      <c r="K119" s="799"/>
      <c r="L119" s="885"/>
      <c r="M119" s="799"/>
      <c r="N119" s="799"/>
      <c r="O119" s="799"/>
      <c r="P119" s="799"/>
      <c r="Q119" s="799"/>
      <c r="R119" s="799"/>
      <c r="S119" s="799"/>
      <c r="T119" s="799"/>
      <c r="U119" s="799"/>
      <c r="V119" s="799"/>
      <c r="W119" s="799"/>
      <c r="X119" s="799"/>
      <c r="Y119" s="799"/>
      <c r="Z119" s="799"/>
    </row>
    <row r="120" ht="49.5" customHeight="1">
      <c r="A120" s="799"/>
      <c r="B120" s="799"/>
      <c r="C120" s="799"/>
      <c r="D120" s="799"/>
      <c r="E120" s="799"/>
      <c r="F120" s="799"/>
      <c r="G120" s="799"/>
      <c r="H120" s="799"/>
      <c r="I120" s="799"/>
      <c r="J120" s="799"/>
      <c r="K120" s="799"/>
      <c r="L120" s="885"/>
      <c r="M120" s="799"/>
      <c r="N120" s="799"/>
      <c r="O120" s="799"/>
      <c r="P120" s="799"/>
      <c r="Q120" s="799"/>
      <c r="R120" s="799"/>
      <c r="S120" s="799"/>
      <c r="T120" s="799"/>
      <c r="U120" s="799"/>
      <c r="V120" s="799"/>
      <c r="W120" s="799"/>
      <c r="X120" s="799"/>
      <c r="Y120" s="799"/>
      <c r="Z120" s="799"/>
    </row>
    <row r="121" ht="49.5" customHeight="1">
      <c r="A121" s="799"/>
      <c r="B121" s="799"/>
      <c r="C121" s="799"/>
      <c r="D121" s="799"/>
      <c r="E121" s="799"/>
      <c r="F121" s="799"/>
      <c r="G121" s="799"/>
      <c r="H121" s="799"/>
      <c r="I121" s="799"/>
      <c r="J121" s="799"/>
      <c r="K121" s="799"/>
      <c r="L121" s="885"/>
      <c r="M121" s="799"/>
      <c r="N121" s="799"/>
      <c r="O121" s="799"/>
      <c r="P121" s="799"/>
      <c r="Q121" s="799"/>
      <c r="R121" s="799"/>
      <c r="S121" s="799"/>
      <c r="T121" s="799"/>
      <c r="U121" s="799"/>
      <c r="V121" s="799"/>
      <c r="W121" s="799"/>
      <c r="X121" s="799"/>
      <c r="Y121" s="799"/>
      <c r="Z121" s="799"/>
    </row>
    <row r="122" ht="49.5" customHeight="1">
      <c r="A122" s="799"/>
      <c r="B122" s="799"/>
      <c r="C122" s="799"/>
      <c r="D122" s="799"/>
      <c r="E122" s="799"/>
      <c r="F122" s="799"/>
      <c r="G122" s="799"/>
      <c r="H122" s="799"/>
      <c r="I122" s="799"/>
      <c r="J122" s="799"/>
      <c r="K122" s="799"/>
      <c r="L122" s="885"/>
      <c r="M122" s="799"/>
      <c r="N122" s="799"/>
      <c r="O122" s="799"/>
      <c r="P122" s="799"/>
      <c r="Q122" s="799"/>
      <c r="R122" s="799"/>
      <c r="S122" s="799"/>
      <c r="T122" s="799"/>
      <c r="U122" s="799"/>
      <c r="V122" s="799"/>
      <c r="W122" s="799"/>
      <c r="X122" s="799"/>
      <c r="Y122" s="799"/>
      <c r="Z122" s="799"/>
    </row>
    <row r="123" ht="49.5" customHeight="1">
      <c r="A123" s="799"/>
      <c r="B123" s="799"/>
      <c r="C123" s="799"/>
      <c r="D123" s="799"/>
      <c r="E123" s="799"/>
      <c r="F123" s="799"/>
      <c r="G123" s="799"/>
      <c r="H123" s="799"/>
      <c r="I123" s="799"/>
      <c r="J123" s="799"/>
      <c r="K123" s="799"/>
      <c r="L123" s="885"/>
      <c r="M123" s="799"/>
      <c r="N123" s="799"/>
      <c r="O123" s="799"/>
      <c r="P123" s="799"/>
      <c r="Q123" s="799"/>
      <c r="R123" s="799"/>
      <c r="S123" s="799"/>
      <c r="T123" s="799"/>
      <c r="U123" s="799"/>
      <c r="V123" s="799"/>
      <c r="W123" s="799"/>
      <c r="X123" s="799"/>
      <c r="Y123" s="799"/>
      <c r="Z123" s="799"/>
    </row>
    <row r="124" ht="49.5" customHeight="1">
      <c r="A124" s="799"/>
      <c r="B124" s="799"/>
      <c r="C124" s="799"/>
      <c r="D124" s="799"/>
      <c r="E124" s="799"/>
      <c r="F124" s="799"/>
      <c r="G124" s="799"/>
      <c r="H124" s="799"/>
      <c r="I124" s="799"/>
      <c r="J124" s="799"/>
      <c r="K124" s="799"/>
      <c r="L124" s="885"/>
      <c r="M124" s="799"/>
      <c r="N124" s="799"/>
      <c r="O124" s="799"/>
      <c r="P124" s="799"/>
      <c r="Q124" s="799"/>
      <c r="R124" s="799"/>
      <c r="S124" s="799"/>
      <c r="T124" s="799"/>
      <c r="U124" s="799"/>
      <c r="V124" s="799"/>
      <c r="W124" s="799"/>
      <c r="X124" s="799"/>
      <c r="Y124" s="799"/>
      <c r="Z124" s="799"/>
    </row>
    <row r="125" ht="49.5" customHeight="1">
      <c r="A125" s="799"/>
      <c r="B125" s="799"/>
      <c r="C125" s="799"/>
      <c r="D125" s="799"/>
      <c r="E125" s="799"/>
      <c r="F125" s="799"/>
      <c r="G125" s="799"/>
      <c r="H125" s="799"/>
      <c r="I125" s="799"/>
      <c r="J125" s="799"/>
      <c r="K125" s="799"/>
      <c r="L125" s="885"/>
      <c r="M125" s="799"/>
      <c r="N125" s="799"/>
      <c r="O125" s="799"/>
      <c r="P125" s="799"/>
      <c r="Q125" s="799"/>
      <c r="R125" s="799"/>
      <c r="S125" s="799"/>
      <c r="T125" s="799"/>
      <c r="U125" s="799"/>
      <c r="V125" s="799"/>
      <c r="W125" s="799"/>
      <c r="X125" s="799"/>
      <c r="Y125" s="799"/>
      <c r="Z125" s="799"/>
    </row>
    <row r="126" ht="49.5" customHeight="1">
      <c r="A126" s="799"/>
      <c r="B126" s="799"/>
      <c r="C126" s="799"/>
      <c r="D126" s="799"/>
      <c r="E126" s="799"/>
      <c r="F126" s="799"/>
      <c r="G126" s="799"/>
      <c r="H126" s="799"/>
      <c r="I126" s="799"/>
      <c r="J126" s="799"/>
      <c r="K126" s="799"/>
      <c r="L126" s="885"/>
      <c r="M126" s="799"/>
      <c r="N126" s="799"/>
      <c r="O126" s="799"/>
      <c r="P126" s="799"/>
      <c r="Q126" s="799"/>
      <c r="R126" s="799"/>
      <c r="S126" s="799"/>
      <c r="T126" s="799"/>
      <c r="U126" s="799"/>
      <c r="V126" s="799"/>
      <c r="W126" s="799"/>
      <c r="X126" s="799"/>
      <c r="Y126" s="799"/>
      <c r="Z126" s="799"/>
    </row>
    <row r="127" ht="49.5" customHeight="1">
      <c r="A127" s="799"/>
      <c r="B127" s="799"/>
      <c r="C127" s="799"/>
      <c r="D127" s="799"/>
      <c r="E127" s="799"/>
      <c r="F127" s="799"/>
      <c r="G127" s="799"/>
      <c r="H127" s="799"/>
      <c r="I127" s="799"/>
      <c r="J127" s="799"/>
      <c r="K127" s="799"/>
      <c r="L127" s="885"/>
      <c r="M127" s="799"/>
      <c r="N127" s="799"/>
      <c r="O127" s="799"/>
      <c r="P127" s="799"/>
      <c r="Q127" s="799"/>
      <c r="R127" s="799"/>
      <c r="S127" s="799"/>
      <c r="T127" s="799"/>
      <c r="U127" s="799"/>
      <c r="V127" s="799"/>
      <c r="W127" s="799"/>
      <c r="X127" s="799"/>
      <c r="Y127" s="799"/>
      <c r="Z127" s="799"/>
    </row>
    <row r="128" ht="49.5" customHeight="1">
      <c r="A128" s="799"/>
      <c r="B128" s="799"/>
      <c r="C128" s="799"/>
      <c r="D128" s="799"/>
      <c r="E128" s="799"/>
      <c r="F128" s="799"/>
      <c r="G128" s="799"/>
      <c r="H128" s="799"/>
      <c r="I128" s="799"/>
      <c r="J128" s="799"/>
      <c r="K128" s="799"/>
      <c r="L128" s="885"/>
      <c r="M128" s="799"/>
      <c r="N128" s="799"/>
      <c r="O128" s="799"/>
      <c r="P128" s="799"/>
      <c r="Q128" s="799"/>
      <c r="R128" s="799"/>
      <c r="S128" s="799"/>
      <c r="T128" s="799"/>
      <c r="U128" s="799"/>
      <c r="V128" s="799"/>
      <c r="W128" s="799"/>
      <c r="X128" s="799"/>
      <c r="Y128" s="799"/>
      <c r="Z128" s="799"/>
    </row>
    <row r="129" ht="49.5" customHeight="1">
      <c r="A129" s="799"/>
      <c r="B129" s="799"/>
      <c r="C129" s="799"/>
      <c r="D129" s="799"/>
      <c r="E129" s="799"/>
      <c r="F129" s="799"/>
      <c r="G129" s="799"/>
      <c r="H129" s="799"/>
      <c r="I129" s="799"/>
      <c r="J129" s="799"/>
      <c r="K129" s="799"/>
      <c r="L129" s="885"/>
      <c r="M129" s="799"/>
      <c r="N129" s="799"/>
      <c r="O129" s="799"/>
      <c r="P129" s="799"/>
      <c r="Q129" s="799"/>
      <c r="R129" s="799"/>
      <c r="S129" s="799"/>
      <c r="T129" s="799"/>
      <c r="U129" s="799"/>
      <c r="V129" s="799"/>
      <c r="W129" s="799"/>
      <c r="X129" s="799"/>
      <c r="Y129" s="799"/>
      <c r="Z129" s="799"/>
    </row>
    <row r="130" ht="49.5" customHeight="1">
      <c r="A130" s="799"/>
      <c r="B130" s="799"/>
      <c r="C130" s="799"/>
      <c r="D130" s="799"/>
      <c r="E130" s="799"/>
      <c r="F130" s="799"/>
      <c r="G130" s="799"/>
      <c r="H130" s="799"/>
      <c r="I130" s="799"/>
      <c r="J130" s="799"/>
      <c r="K130" s="799"/>
      <c r="L130" s="885"/>
      <c r="M130" s="799"/>
      <c r="N130" s="799"/>
      <c r="O130" s="799"/>
      <c r="P130" s="799"/>
      <c r="Q130" s="799"/>
      <c r="R130" s="799"/>
      <c r="S130" s="799"/>
      <c r="T130" s="799"/>
      <c r="U130" s="799"/>
      <c r="V130" s="799"/>
      <c r="W130" s="799"/>
      <c r="X130" s="799"/>
      <c r="Y130" s="799"/>
      <c r="Z130" s="799"/>
    </row>
    <row r="131" ht="49.5" customHeight="1">
      <c r="A131" s="799"/>
      <c r="B131" s="799"/>
      <c r="C131" s="799"/>
      <c r="D131" s="799"/>
      <c r="E131" s="799"/>
      <c r="F131" s="799"/>
      <c r="G131" s="799"/>
      <c r="H131" s="799"/>
      <c r="I131" s="799"/>
      <c r="J131" s="799"/>
      <c r="K131" s="799"/>
      <c r="L131" s="885"/>
      <c r="M131" s="799"/>
      <c r="N131" s="799"/>
      <c r="O131" s="799"/>
      <c r="P131" s="799"/>
      <c r="Q131" s="799"/>
      <c r="R131" s="799"/>
      <c r="S131" s="799"/>
      <c r="T131" s="799"/>
      <c r="U131" s="799"/>
      <c r="V131" s="799"/>
      <c r="W131" s="799"/>
      <c r="X131" s="799"/>
      <c r="Y131" s="799"/>
      <c r="Z131" s="799"/>
    </row>
    <row r="132" ht="49.5" customHeight="1">
      <c r="A132" s="799"/>
      <c r="B132" s="799"/>
      <c r="C132" s="799"/>
      <c r="D132" s="799"/>
      <c r="E132" s="799"/>
      <c r="F132" s="799"/>
      <c r="G132" s="799"/>
      <c r="H132" s="799"/>
      <c r="I132" s="799"/>
      <c r="J132" s="799"/>
      <c r="K132" s="799"/>
      <c r="L132" s="885"/>
      <c r="M132" s="799"/>
      <c r="N132" s="799"/>
      <c r="O132" s="799"/>
      <c r="P132" s="799"/>
      <c r="Q132" s="799"/>
      <c r="R132" s="799"/>
      <c r="S132" s="799"/>
      <c r="T132" s="799"/>
      <c r="U132" s="799"/>
      <c r="V132" s="799"/>
      <c r="W132" s="799"/>
      <c r="X132" s="799"/>
      <c r="Y132" s="799"/>
      <c r="Z132" s="799"/>
    </row>
    <row r="133" ht="49.5" customHeight="1">
      <c r="A133" s="799"/>
      <c r="B133" s="799"/>
      <c r="C133" s="799"/>
      <c r="D133" s="799"/>
      <c r="E133" s="799"/>
      <c r="F133" s="799"/>
      <c r="G133" s="799"/>
      <c r="H133" s="799"/>
      <c r="I133" s="799"/>
      <c r="J133" s="799"/>
      <c r="K133" s="799"/>
      <c r="L133" s="885"/>
      <c r="M133" s="799"/>
      <c r="N133" s="799"/>
      <c r="O133" s="799"/>
      <c r="P133" s="799"/>
      <c r="Q133" s="799"/>
      <c r="R133" s="799"/>
      <c r="S133" s="799"/>
      <c r="T133" s="799"/>
      <c r="U133" s="799"/>
      <c r="V133" s="799"/>
      <c r="W133" s="799"/>
      <c r="X133" s="799"/>
      <c r="Y133" s="799"/>
      <c r="Z133" s="799"/>
    </row>
    <row r="134" ht="49.5" customHeight="1">
      <c r="A134" s="799"/>
      <c r="B134" s="799"/>
      <c r="C134" s="799"/>
      <c r="D134" s="799"/>
      <c r="E134" s="799"/>
      <c r="F134" s="799"/>
      <c r="G134" s="799"/>
      <c r="H134" s="799"/>
      <c r="I134" s="799"/>
      <c r="J134" s="799"/>
      <c r="K134" s="799"/>
      <c r="L134" s="885"/>
      <c r="M134" s="799"/>
      <c r="N134" s="799"/>
      <c r="O134" s="799"/>
      <c r="P134" s="799"/>
      <c r="Q134" s="799"/>
      <c r="R134" s="799"/>
      <c r="S134" s="799"/>
      <c r="T134" s="799"/>
      <c r="U134" s="799"/>
      <c r="V134" s="799"/>
      <c r="W134" s="799"/>
      <c r="X134" s="799"/>
      <c r="Y134" s="799"/>
      <c r="Z134" s="799"/>
    </row>
    <row r="135" ht="49.5" customHeight="1">
      <c r="A135" s="799"/>
      <c r="B135" s="799"/>
      <c r="C135" s="799"/>
      <c r="D135" s="799"/>
      <c r="E135" s="799"/>
      <c r="F135" s="799"/>
      <c r="G135" s="799"/>
      <c r="H135" s="799"/>
      <c r="I135" s="799"/>
      <c r="J135" s="799"/>
      <c r="K135" s="799"/>
      <c r="L135" s="885"/>
      <c r="M135" s="799"/>
      <c r="N135" s="799"/>
      <c r="O135" s="799"/>
      <c r="P135" s="799"/>
      <c r="Q135" s="799"/>
      <c r="R135" s="799"/>
      <c r="S135" s="799"/>
      <c r="T135" s="799"/>
      <c r="U135" s="799"/>
      <c r="V135" s="799"/>
      <c r="W135" s="799"/>
      <c r="X135" s="799"/>
      <c r="Y135" s="799"/>
      <c r="Z135" s="799"/>
    </row>
    <row r="136" ht="49.5" customHeight="1">
      <c r="A136" s="799"/>
      <c r="B136" s="799"/>
      <c r="C136" s="799"/>
      <c r="D136" s="799"/>
      <c r="E136" s="799"/>
      <c r="F136" s="799"/>
      <c r="G136" s="799"/>
      <c r="H136" s="799"/>
      <c r="I136" s="799"/>
      <c r="J136" s="799"/>
      <c r="K136" s="799"/>
      <c r="L136" s="885"/>
      <c r="M136" s="799"/>
      <c r="N136" s="799"/>
      <c r="O136" s="799"/>
      <c r="P136" s="799"/>
      <c r="Q136" s="799"/>
      <c r="R136" s="799"/>
      <c r="S136" s="799"/>
      <c r="T136" s="799"/>
      <c r="U136" s="799"/>
      <c r="V136" s="799"/>
      <c r="W136" s="799"/>
      <c r="X136" s="799"/>
      <c r="Y136" s="799"/>
      <c r="Z136" s="799"/>
    </row>
    <row r="137" ht="49.5" customHeight="1">
      <c r="A137" s="799"/>
      <c r="B137" s="799"/>
      <c r="C137" s="799"/>
      <c r="D137" s="799"/>
      <c r="E137" s="799"/>
      <c r="F137" s="799"/>
      <c r="G137" s="799"/>
      <c r="H137" s="799"/>
      <c r="I137" s="799"/>
      <c r="J137" s="799"/>
      <c r="K137" s="799"/>
      <c r="L137" s="885"/>
      <c r="M137" s="799"/>
      <c r="N137" s="799"/>
      <c r="O137" s="799"/>
      <c r="P137" s="799"/>
      <c r="Q137" s="799"/>
      <c r="R137" s="799"/>
      <c r="S137" s="799"/>
      <c r="T137" s="799"/>
      <c r="U137" s="799"/>
      <c r="V137" s="799"/>
      <c r="W137" s="799"/>
      <c r="X137" s="799"/>
      <c r="Y137" s="799"/>
      <c r="Z137" s="799"/>
    </row>
    <row r="138" ht="49.5" customHeight="1">
      <c r="A138" s="799"/>
      <c r="B138" s="799"/>
      <c r="C138" s="799"/>
      <c r="D138" s="799"/>
      <c r="E138" s="799"/>
      <c r="F138" s="799"/>
      <c r="G138" s="799"/>
      <c r="H138" s="799"/>
      <c r="I138" s="799"/>
      <c r="J138" s="799"/>
      <c r="K138" s="799"/>
      <c r="L138" s="885"/>
      <c r="M138" s="799"/>
      <c r="N138" s="799"/>
      <c r="O138" s="799"/>
      <c r="P138" s="799"/>
      <c r="Q138" s="799"/>
      <c r="R138" s="799"/>
      <c r="S138" s="799"/>
      <c r="T138" s="799"/>
      <c r="U138" s="799"/>
      <c r="V138" s="799"/>
      <c r="W138" s="799"/>
      <c r="X138" s="799"/>
      <c r="Y138" s="799"/>
      <c r="Z138" s="799"/>
    </row>
    <row r="139" ht="49.5" customHeight="1">
      <c r="A139" s="799"/>
      <c r="B139" s="799"/>
      <c r="C139" s="799"/>
      <c r="D139" s="799"/>
      <c r="E139" s="799"/>
      <c r="F139" s="799"/>
      <c r="G139" s="799"/>
      <c r="H139" s="799"/>
      <c r="I139" s="799"/>
      <c r="J139" s="799"/>
      <c r="K139" s="799"/>
      <c r="L139" s="885"/>
      <c r="M139" s="799"/>
      <c r="N139" s="799"/>
      <c r="O139" s="799"/>
      <c r="P139" s="799"/>
      <c r="Q139" s="799"/>
      <c r="R139" s="799"/>
      <c r="S139" s="799"/>
      <c r="T139" s="799"/>
      <c r="U139" s="799"/>
      <c r="V139" s="799"/>
      <c r="W139" s="799"/>
      <c r="X139" s="799"/>
      <c r="Y139" s="799"/>
      <c r="Z139" s="799"/>
    </row>
    <row r="140" ht="49.5" customHeight="1">
      <c r="A140" s="799"/>
      <c r="B140" s="799"/>
      <c r="C140" s="799"/>
      <c r="D140" s="799"/>
      <c r="E140" s="799"/>
      <c r="F140" s="799"/>
      <c r="G140" s="799"/>
      <c r="H140" s="799"/>
      <c r="I140" s="799"/>
      <c r="J140" s="799"/>
      <c r="K140" s="799"/>
      <c r="L140" s="885"/>
      <c r="M140" s="799"/>
      <c r="N140" s="799"/>
      <c r="O140" s="799"/>
      <c r="P140" s="799"/>
      <c r="Q140" s="799"/>
      <c r="R140" s="799"/>
      <c r="S140" s="799"/>
      <c r="T140" s="799"/>
      <c r="U140" s="799"/>
      <c r="V140" s="799"/>
      <c r="W140" s="799"/>
      <c r="X140" s="799"/>
      <c r="Y140" s="799"/>
      <c r="Z140" s="799"/>
    </row>
    <row r="141" ht="49.5" customHeight="1">
      <c r="A141" s="799"/>
      <c r="B141" s="799"/>
      <c r="C141" s="799"/>
      <c r="D141" s="799"/>
      <c r="E141" s="799"/>
      <c r="F141" s="799"/>
      <c r="G141" s="799"/>
      <c r="H141" s="799"/>
      <c r="I141" s="799"/>
      <c r="J141" s="799"/>
      <c r="K141" s="799"/>
      <c r="L141" s="885"/>
      <c r="M141" s="799"/>
      <c r="N141" s="799"/>
      <c r="O141" s="799"/>
      <c r="P141" s="799"/>
      <c r="Q141" s="799"/>
      <c r="R141" s="799"/>
      <c r="S141" s="799"/>
      <c r="T141" s="799"/>
      <c r="U141" s="799"/>
      <c r="V141" s="799"/>
      <c r="W141" s="799"/>
      <c r="X141" s="799"/>
      <c r="Y141" s="799"/>
      <c r="Z141" s="799"/>
    </row>
    <row r="142" ht="49.5" customHeight="1">
      <c r="A142" s="799"/>
      <c r="B142" s="799"/>
      <c r="C142" s="799"/>
      <c r="D142" s="799"/>
      <c r="E142" s="799"/>
      <c r="F142" s="799"/>
      <c r="G142" s="799"/>
      <c r="H142" s="799"/>
      <c r="I142" s="799"/>
      <c r="J142" s="799"/>
      <c r="K142" s="799"/>
      <c r="L142" s="885"/>
      <c r="M142" s="799"/>
      <c r="N142" s="799"/>
      <c r="O142" s="799"/>
      <c r="P142" s="799"/>
      <c r="Q142" s="799"/>
      <c r="R142" s="799"/>
      <c r="S142" s="799"/>
      <c r="T142" s="799"/>
      <c r="U142" s="799"/>
      <c r="V142" s="799"/>
      <c r="W142" s="799"/>
      <c r="X142" s="799"/>
      <c r="Y142" s="799"/>
      <c r="Z142" s="799"/>
    </row>
    <row r="143" ht="49.5" customHeight="1">
      <c r="A143" s="799"/>
      <c r="B143" s="799"/>
      <c r="C143" s="799"/>
      <c r="D143" s="799"/>
      <c r="E143" s="799"/>
      <c r="F143" s="799"/>
      <c r="G143" s="799"/>
      <c r="H143" s="799"/>
      <c r="I143" s="799"/>
      <c r="J143" s="799"/>
      <c r="K143" s="799"/>
      <c r="L143" s="885"/>
      <c r="M143" s="799"/>
      <c r="N143" s="799"/>
      <c r="O143" s="799"/>
      <c r="P143" s="799"/>
      <c r="Q143" s="799"/>
      <c r="R143" s="799"/>
      <c r="S143" s="799"/>
      <c r="T143" s="799"/>
      <c r="U143" s="799"/>
      <c r="V143" s="799"/>
      <c r="W143" s="799"/>
      <c r="X143" s="799"/>
      <c r="Y143" s="799"/>
      <c r="Z143" s="799"/>
    </row>
    <row r="144" ht="49.5" customHeight="1">
      <c r="A144" s="799"/>
      <c r="B144" s="799"/>
      <c r="C144" s="799"/>
      <c r="D144" s="799"/>
      <c r="E144" s="799"/>
      <c r="F144" s="799"/>
      <c r="G144" s="799"/>
      <c r="H144" s="799"/>
      <c r="I144" s="799"/>
      <c r="J144" s="799"/>
      <c r="K144" s="799"/>
      <c r="L144" s="885"/>
      <c r="M144" s="799"/>
      <c r="N144" s="799"/>
      <c r="O144" s="799"/>
      <c r="P144" s="799"/>
      <c r="Q144" s="799"/>
      <c r="R144" s="799"/>
      <c r="S144" s="799"/>
      <c r="T144" s="799"/>
      <c r="U144" s="799"/>
      <c r="V144" s="799"/>
      <c r="W144" s="799"/>
      <c r="X144" s="799"/>
      <c r="Y144" s="799"/>
      <c r="Z144" s="799"/>
    </row>
    <row r="145" ht="49.5" customHeight="1">
      <c r="A145" s="799"/>
      <c r="B145" s="799"/>
      <c r="C145" s="799"/>
      <c r="D145" s="799"/>
      <c r="E145" s="799"/>
      <c r="F145" s="799"/>
      <c r="G145" s="799"/>
      <c r="H145" s="799"/>
      <c r="I145" s="799"/>
      <c r="J145" s="799"/>
      <c r="K145" s="799"/>
      <c r="L145" s="885"/>
      <c r="M145" s="799"/>
      <c r="N145" s="799"/>
      <c r="O145" s="799"/>
      <c r="P145" s="799"/>
      <c r="Q145" s="799"/>
      <c r="R145" s="799"/>
      <c r="S145" s="799"/>
      <c r="T145" s="799"/>
      <c r="U145" s="799"/>
      <c r="V145" s="799"/>
      <c r="W145" s="799"/>
      <c r="X145" s="799"/>
      <c r="Y145" s="799"/>
      <c r="Z145" s="799"/>
    </row>
    <row r="146" ht="49.5" customHeight="1">
      <c r="A146" s="799"/>
      <c r="B146" s="799"/>
      <c r="C146" s="799"/>
      <c r="D146" s="799"/>
      <c r="E146" s="799"/>
      <c r="F146" s="799"/>
      <c r="G146" s="799"/>
      <c r="H146" s="799"/>
      <c r="I146" s="799"/>
      <c r="J146" s="799"/>
      <c r="K146" s="799"/>
      <c r="L146" s="885"/>
      <c r="M146" s="799"/>
      <c r="N146" s="799"/>
      <c r="O146" s="799"/>
      <c r="P146" s="799"/>
      <c r="Q146" s="799"/>
      <c r="R146" s="799"/>
      <c r="S146" s="799"/>
      <c r="T146" s="799"/>
      <c r="U146" s="799"/>
      <c r="V146" s="799"/>
      <c r="W146" s="799"/>
      <c r="X146" s="799"/>
      <c r="Y146" s="799"/>
      <c r="Z146" s="799"/>
    </row>
    <row r="147" ht="49.5" customHeight="1">
      <c r="A147" s="799"/>
      <c r="B147" s="799"/>
      <c r="C147" s="799"/>
      <c r="D147" s="799"/>
      <c r="E147" s="799"/>
      <c r="F147" s="799"/>
      <c r="G147" s="799"/>
      <c r="H147" s="799"/>
      <c r="I147" s="799"/>
      <c r="J147" s="799"/>
      <c r="K147" s="799"/>
      <c r="L147" s="885"/>
      <c r="M147" s="799"/>
      <c r="N147" s="799"/>
      <c r="O147" s="799"/>
      <c r="P147" s="799"/>
      <c r="Q147" s="799"/>
      <c r="R147" s="799"/>
      <c r="S147" s="799"/>
      <c r="T147" s="799"/>
      <c r="U147" s="799"/>
      <c r="V147" s="799"/>
      <c r="W147" s="799"/>
      <c r="X147" s="799"/>
      <c r="Y147" s="799"/>
      <c r="Z147" s="799"/>
    </row>
    <row r="148" ht="49.5" customHeight="1">
      <c r="A148" s="799"/>
      <c r="B148" s="799"/>
      <c r="C148" s="799"/>
      <c r="D148" s="799"/>
      <c r="E148" s="799"/>
      <c r="F148" s="799"/>
      <c r="G148" s="799"/>
      <c r="H148" s="799"/>
      <c r="I148" s="799"/>
      <c r="J148" s="799"/>
      <c r="K148" s="799"/>
      <c r="L148" s="885"/>
      <c r="M148" s="799"/>
      <c r="N148" s="799"/>
      <c r="O148" s="799"/>
      <c r="P148" s="799"/>
      <c r="Q148" s="799"/>
      <c r="R148" s="799"/>
      <c r="S148" s="799"/>
      <c r="T148" s="799"/>
      <c r="U148" s="799"/>
      <c r="V148" s="799"/>
      <c r="W148" s="799"/>
      <c r="X148" s="799"/>
      <c r="Y148" s="799"/>
      <c r="Z148" s="799"/>
    </row>
    <row r="149" ht="49.5" customHeight="1">
      <c r="A149" s="799"/>
      <c r="B149" s="799"/>
      <c r="C149" s="799"/>
      <c r="D149" s="799"/>
      <c r="E149" s="799"/>
      <c r="F149" s="799"/>
      <c r="G149" s="799"/>
      <c r="H149" s="799"/>
      <c r="I149" s="799"/>
      <c r="J149" s="799"/>
      <c r="K149" s="799"/>
      <c r="L149" s="885"/>
      <c r="M149" s="799"/>
      <c r="N149" s="799"/>
      <c r="O149" s="799"/>
      <c r="P149" s="799"/>
      <c r="Q149" s="799"/>
      <c r="R149" s="799"/>
      <c r="S149" s="799"/>
      <c r="T149" s="799"/>
      <c r="U149" s="799"/>
      <c r="V149" s="799"/>
      <c r="W149" s="799"/>
      <c r="X149" s="799"/>
      <c r="Y149" s="799"/>
      <c r="Z149" s="799"/>
    </row>
    <row r="150" ht="49.5" customHeight="1">
      <c r="A150" s="799"/>
      <c r="B150" s="799"/>
      <c r="C150" s="799"/>
      <c r="D150" s="799"/>
      <c r="E150" s="799"/>
      <c r="F150" s="799"/>
      <c r="G150" s="799"/>
      <c r="H150" s="799"/>
      <c r="I150" s="799"/>
      <c r="J150" s="799"/>
      <c r="K150" s="799"/>
      <c r="L150" s="885"/>
      <c r="M150" s="799"/>
      <c r="N150" s="799"/>
      <c r="O150" s="799"/>
      <c r="P150" s="799"/>
      <c r="Q150" s="799"/>
      <c r="R150" s="799"/>
      <c r="S150" s="799"/>
      <c r="T150" s="799"/>
      <c r="U150" s="799"/>
      <c r="V150" s="799"/>
      <c r="W150" s="799"/>
      <c r="X150" s="799"/>
      <c r="Y150" s="799"/>
      <c r="Z150" s="799"/>
    </row>
    <row r="151" ht="49.5" customHeight="1">
      <c r="A151" s="799"/>
      <c r="B151" s="799"/>
      <c r="C151" s="799"/>
      <c r="D151" s="799"/>
      <c r="E151" s="799"/>
      <c r="F151" s="799"/>
      <c r="G151" s="799"/>
      <c r="H151" s="799"/>
      <c r="I151" s="799"/>
      <c r="J151" s="799"/>
      <c r="K151" s="799"/>
      <c r="L151" s="885"/>
      <c r="M151" s="799"/>
      <c r="N151" s="799"/>
      <c r="O151" s="799"/>
      <c r="P151" s="799"/>
      <c r="Q151" s="799"/>
      <c r="R151" s="799"/>
      <c r="S151" s="799"/>
      <c r="T151" s="799"/>
      <c r="U151" s="799"/>
      <c r="V151" s="799"/>
      <c r="W151" s="799"/>
      <c r="X151" s="799"/>
      <c r="Y151" s="799"/>
      <c r="Z151" s="799"/>
    </row>
    <row r="152" ht="49.5" customHeight="1">
      <c r="A152" s="799"/>
      <c r="B152" s="799"/>
      <c r="C152" s="799"/>
      <c r="D152" s="799"/>
      <c r="E152" s="799"/>
      <c r="F152" s="799"/>
      <c r="G152" s="799"/>
      <c r="H152" s="799"/>
      <c r="I152" s="799"/>
      <c r="J152" s="799"/>
      <c r="K152" s="799"/>
      <c r="L152" s="885"/>
      <c r="M152" s="799"/>
      <c r="N152" s="799"/>
      <c r="O152" s="799"/>
      <c r="P152" s="799"/>
      <c r="Q152" s="799"/>
      <c r="R152" s="799"/>
      <c r="S152" s="799"/>
      <c r="T152" s="799"/>
      <c r="U152" s="799"/>
      <c r="V152" s="799"/>
      <c r="W152" s="799"/>
      <c r="X152" s="799"/>
      <c r="Y152" s="799"/>
      <c r="Z152" s="799"/>
    </row>
    <row r="153" ht="49.5" customHeight="1">
      <c r="A153" s="799"/>
      <c r="B153" s="799"/>
      <c r="C153" s="799"/>
      <c r="D153" s="799"/>
      <c r="E153" s="799"/>
      <c r="F153" s="799"/>
      <c r="G153" s="799"/>
      <c r="H153" s="799"/>
      <c r="I153" s="799"/>
      <c r="J153" s="799"/>
      <c r="K153" s="799"/>
      <c r="L153" s="885"/>
      <c r="M153" s="799"/>
      <c r="N153" s="799"/>
      <c r="O153" s="799"/>
      <c r="P153" s="799"/>
      <c r="Q153" s="799"/>
      <c r="R153" s="799"/>
      <c r="S153" s="799"/>
      <c r="T153" s="799"/>
      <c r="U153" s="799"/>
      <c r="V153" s="799"/>
      <c r="W153" s="799"/>
      <c r="X153" s="799"/>
      <c r="Y153" s="799"/>
      <c r="Z153" s="799"/>
    </row>
    <row r="154" ht="49.5" customHeight="1">
      <c r="A154" s="799"/>
      <c r="B154" s="799"/>
      <c r="C154" s="799"/>
      <c r="D154" s="799"/>
      <c r="E154" s="799"/>
      <c r="F154" s="799"/>
      <c r="G154" s="799"/>
      <c r="H154" s="799"/>
      <c r="I154" s="799"/>
      <c r="J154" s="799"/>
      <c r="K154" s="799"/>
      <c r="L154" s="885"/>
      <c r="M154" s="799"/>
      <c r="N154" s="799"/>
      <c r="O154" s="799"/>
      <c r="P154" s="799"/>
      <c r="Q154" s="799"/>
      <c r="R154" s="799"/>
      <c r="S154" s="799"/>
      <c r="T154" s="799"/>
      <c r="U154" s="799"/>
      <c r="V154" s="799"/>
      <c r="W154" s="799"/>
      <c r="X154" s="799"/>
      <c r="Y154" s="799"/>
      <c r="Z154" s="799"/>
    </row>
    <row r="155" ht="49.5" customHeight="1">
      <c r="A155" s="799"/>
      <c r="B155" s="799"/>
      <c r="C155" s="799"/>
      <c r="D155" s="799"/>
      <c r="E155" s="799"/>
      <c r="F155" s="799"/>
      <c r="G155" s="799"/>
      <c r="H155" s="799"/>
      <c r="I155" s="799"/>
      <c r="J155" s="799"/>
      <c r="K155" s="799"/>
      <c r="L155" s="885"/>
      <c r="M155" s="799"/>
      <c r="N155" s="799"/>
      <c r="O155" s="799"/>
      <c r="P155" s="799"/>
      <c r="Q155" s="799"/>
      <c r="R155" s="799"/>
      <c r="S155" s="799"/>
      <c r="T155" s="799"/>
      <c r="U155" s="799"/>
      <c r="V155" s="799"/>
      <c r="W155" s="799"/>
      <c r="X155" s="799"/>
      <c r="Y155" s="799"/>
      <c r="Z155" s="799"/>
    </row>
    <row r="156" ht="49.5" customHeight="1">
      <c r="A156" s="799"/>
      <c r="B156" s="799"/>
      <c r="C156" s="799"/>
      <c r="D156" s="799"/>
      <c r="E156" s="799"/>
      <c r="F156" s="799"/>
      <c r="G156" s="799"/>
      <c r="H156" s="799"/>
      <c r="I156" s="799"/>
      <c r="J156" s="799"/>
      <c r="K156" s="799"/>
      <c r="L156" s="885"/>
      <c r="M156" s="799"/>
      <c r="N156" s="799"/>
      <c r="O156" s="799"/>
      <c r="P156" s="799"/>
      <c r="Q156" s="799"/>
      <c r="R156" s="799"/>
      <c r="S156" s="799"/>
      <c r="T156" s="799"/>
      <c r="U156" s="799"/>
      <c r="V156" s="799"/>
      <c r="W156" s="799"/>
      <c r="X156" s="799"/>
      <c r="Y156" s="799"/>
      <c r="Z156" s="799"/>
    </row>
    <row r="157" ht="49.5" customHeight="1">
      <c r="A157" s="799"/>
      <c r="B157" s="799"/>
      <c r="C157" s="799"/>
      <c r="D157" s="799"/>
      <c r="E157" s="799"/>
      <c r="F157" s="799"/>
      <c r="G157" s="799"/>
      <c r="H157" s="799"/>
      <c r="I157" s="799"/>
      <c r="J157" s="799"/>
      <c r="K157" s="799"/>
      <c r="L157" s="885"/>
      <c r="M157" s="799"/>
      <c r="N157" s="799"/>
      <c r="O157" s="799"/>
      <c r="P157" s="799"/>
      <c r="Q157" s="799"/>
      <c r="R157" s="799"/>
      <c r="S157" s="799"/>
      <c r="T157" s="799"/>
      <c r="U157" s="799"/>
      <c r="V157" s="799"/>
      <c r="W157" s="799"/>
      <c r="X157" s="799"/>
      <c r="Y157" s="799"/>
      <c r="Z157" s="799"/>
    </row>
    <row r="158" ht="49.5" customHeight="1">
      <c r="A158" s="799"/>
      <c r="B158" s="799"/>
      <c r="C158" s="799"/>
      <c r="D158" s="799"/>
      <c r="E158" s="799"/>
      <c r="F158" s="799"/>
      <c r="G158" s="799"/>
      <c r="H158" s="799"/>
      <c r="I158" s="799"/>
      <c r="J158" s="799"/>
      <c r="K158" s="799"/>
      <c r="L158" s="885"/>
      <c r="M158" s="799"/>
      <c r="N158" s="799"/>
      <c r="O158" s="799"/>
      <c r="P158" s="799"/>
      <c r="Q158" s="799"/>
      <c r="R158" s="799"/>
      <c r="S158" s="799"/>
      <c r="T158" s="799"/>
      <c r="U158" s="799"/>
      <c r="V158" s="799"/>
      <c r="W158" s="799"/>
      <c r="X158" s="799"/>
      <c r="Y158" s="799"/>
      <c r="Z158" s="799"/>
    </row>
    <row r="159" ht="49.5" customHeight="1">
      <c r="A159" s="799"/>
      <c r="B159" s="799"/>
      <c r="C159" s="799"/>
      <c r="D159" s="799"/>
      <c r="E159" s="799"/>
      <c r="F159" s="799"/>
      <c r="G159" s="799"/>
      <c r="H159" s="799"/>
      <c r="I159" s="799"/>
      <c r="J159" s="799"/>
      <c r="K159" s="799"/>
      <c r="L159" s="885"/>
      <c r="M159" s="799"/>
      <c r="N159" s="799"/>
      <c r="O159" s="799"/>
      <c r="P159" s="799"/>
      <c r="Q159" s="799"/>
      <c r="R159" s="799"/>
      <c r="S159" s="799"/>
      <c r="T159" s="799"/>
      <c r="U159" s="799"/>
      <c r="V159" s="799"/>
      <c r="W159" s="799"/>
      <c r="X159" s="799"/>
      <c r="Y159" s="799"/>
      <c r="Z159" s="799"/>
    </row>
    <row r="160" ht="49.5" customHeight="1">
      <c r="A160" s="799"/>
      <c r="B160" s="799"/>
      <c r="C160" s="799"/>
      <c r="D160" s="799"/>
      <c r="E160" s="799"/>
      <c r="F160" s="799"/>
      <c r="G160" s="799"/>
      <c r="H160" s="799"/>
      <c r="I160" s="799"/>
      <c r="J160" s="799"/>
      <c r="K160" s="799"/>
      <c r="L160" s="885"/>
      <c r="M160" s="799"/>
      <c r="N160" s="799"/>
      <c r="O160" s="799"/>
      <c r="P160" s="799"/>
      <c r="Q160" s="799"/>
      <c r="R160" s="799"/>
      <c r="S160" s="799"/>
      <c r="T160" s="799"/>
      <c r="U160" s="799"/>
      <c r="V160" s="799"/>
      <c r="W160" s="799"/>
      <c r="X160" s="799"/>
      <c r="Y160" s="799"/>
      <c r="Z160" s="799"/>
    </row>
    <row r="161" ht="49.5" customHeight="1">
      <c r="A161" s="799"/>
      <c r="B161" s="799"/>
      <c r="C161" s="799"/>
      <c r="D161" s="799"/>
      <c r="E161" s="799"/>
      <c r="F161" s="799"/>
      <c r="G161" s="799"/>
      <c r="H161" s="799"/>
      <c r="I161" s="799"/>
      <c r="J161" s="799"/>
      <c r="K161" s="799"/>
      <c r="L161" s="885"/>
      <c r="M161" s="799"/>
      <c r="N161" s="799"/>
      <c r="O161" s="799"/>
      <c r="P161" s="799"/>
      <c r="Q161" s="799"/>
      <c r="R161" s="799"/>
      <c r="S161" s="799"/>
      <c r="T161" s="799"/>
      <c r="U161" s="799"/>
      <c r="V161" s="799"/>
      <c r="W161" s="799"/>
      <c r="X161" s="799"/>
      <c r="Y161" s="799"/>
      <c r="Z161" s="799"/>
    </row>
    <row r="162" ht="49.5" customHeight="1">
      <c r="A162" s="799"/>
      <c r="B162" s="799"/>
      <c r="C162" s="799"/>
      <c r="D162" s="799"/>
      <c r="E162" s="799"/>
      <c r="F162" s="799"/>
      <c r="G162" s="799"/>
      <c r="H162" s="799"/>
      <c r="I162" s="799"/>
      <c r="J162" s="799"/>
      <c r="K162" s="799"/>
      <c r="L162" s="885"/>
      <c r="M162" s="799"/>
      <c r="N162" s="799"/>
      <c r="O162" s="799"/>
      <c r="P162" s="799"/>
      <c r="Q162" s="799"/>
      <c r="R162" s="799"/>
      <c r="S162" s="799"/>
      <c r="T162" s="799"/>
      <c r="U162" s="799"/>
      <c r="V162" s="799"/>
      <c r="W162" s="799"/>
      <c r="X162" s="799"/>
      <c r="Y162" s="799"/>
      <c r="Z162" s="799"/>
    </row>
    <row r="163" ht="49.5" customHeight="1">
      <c r="A163" s="799"/>
      <c r="B163" s="799"/>
      <c r="C163" s="799"/>
      <c r="D163" s="799"/>
      <c r="E163" s="799"/>
      <c r="F163" s="799"/>
      <c r="G163" s="799"/>
      <c r="H163" s="799"/>
      <c r="I163" s="799"/>
      <c r="J163" s="799"/>
      <c r="K163" s="799"/>
      <c r="L163" s="885"/>
      <c r="M163" s="799"/>
      <c r="N163" s="799"/>
      <c r="O163" s="799"/>
      <c r="P163" s="799"/>
      <c r="Q163" s="799"/>
      <c r="R163" s="799"/>
      <c r="S163" s="799"/>
      <c r="T163" s="799"/>
      <c r="U163" s="799"/>
      <c r="V163" s="799"/>
      <c r="W163" s="799"/>
      <c r="X163" s="799"/>
      <c r="Y163" s="799"/>
      <c r="Z163" s="799"/>
    </row>
    <row r="164" ht="49.5" customHeight="1">
      <c r="A164" s="799"/>
      <c r="B164" s="799"/>
      <c r="C164" s="799"/>
      <c r="D164" s="799"/>
      <c r="E164" s="799"/>
      <c r="F164" s="799"/>
      <c r="G164" s="799"/>
      <c r="H164" s="799"/>
      <c r="I164" s="799"/>
      <c r="J164" s="799"/>
      <c r="K164" s="799"/>
      <c r="L164" s="885"/>
      <c r="M164" s="799"/>
      <c r="N164" s="799"/>
      <c r="O164" s="799"/>
      <c r="P164" s="799"/>
      <c r="Q164" s="799"/>
      <c r="R164" s="799"/>
      <c r="S164" s="799"/>
      <c r="T164" s="799"/>
      <c r="U164" s="799"/>
      <c r="V164" s="799"/>
      <c r="W164" s="799"/>
      <c r="X164" s="799"/>
      <c r="Y164" s="799"/>
      <c r="Z164" s="799"/>
    </row>
    <row r="165" ht="49.5" customHeight="1">
      <c r="A165" s="799"/>
      <c r="B165" s="799"/>
      <c r="C165" s="799"/>
      <c r="D165" s="799"/>
      <c r="E165" s="799"/>
      <c r="F165" s="799"/>
      <c r="G165" s="799"/>
      <c r="H165" s="799"/>
      <c r="I165" s="799"/>
      <c r="J165" s="799"/>
      <c r="K165" s="799"/>
      <c r="L165" s="885"/>
      <c r="M165" s="799"/>
      <c r="N165" s="799"/>
      <c r="O165" s="799"/>
      <c r="P165" s="799"/>
      <c r="Q165" s="799"/>
      <c r="R165" s="799"/>
      <c r="S165" s="799"/>
      <c r="T165" s="799"/>
      <c r="U165" s="799"/>
      <c r="V165" s="799"/>
      <c r="W165" s="799"/>
      <c r="X165" s="799"/>
      <c r="Y165" s="799"/>
      <c r="Z165" s="799"/>
    </row>
    <row r="166" ht="49.5" customHeight="1">
      <c r="A166" s="799"/>
      <c r="B166" s="799"/>
      <c r="C166" s="799"/>
      <c r="D166" s="799"/>
      <c r="E166" s="799"/>
      <c r="F166" s="799"/>
      <c r="G166" s="799"/>
      <c r="H166" s="799"/>
      <c r="I166" s="799"/>
      <c r="J166" s="799"/>
      <c r="K166" s="799"/>
      <c r="L166" s="885"/>
      <c r="M166" s="799"/>
      <c r="N166" s="799"/>
      <c r="O166" s="799"/>
      <c r="P166" s="799"/>
      <c r="Q166" s="799"/>
      <c r="R166" s="799"/>
      <c r="S166" s="799"/>
      <c r="T166" s="799"/>
      <c r="U166" s="799"/>
      <c r="V166" s="799"/>
      <c r="W166" s="799"/>
      <c r="X166" s="799"/>
      <c r="Y166" s="799"/>
      <c r="Z166" s="799"/>
    </row>
    <row r="167" ht="49.5" customHeight="1">
      <c r="A167" s="799"/>
      <c r="B167" s="799"/>
      <c r="C167" s="799"/>
      <c r="D167" s="799"/>
      <c r="E167" s="799"/>
      <c r="F167" s="799"/>
      <c r="G167" s="799"/>
      <c r="H167" s="799"/>
      <c r="I167" s="799"/>
      <c r="J167" s="799"/>
      <c r="K167" s="799"/>
      <c r="L167" s="885"/>
      <c r="M167" s="799"/>
      <c r="N167" s="799"/>
      <c r="O167" s="799"/>
      <c r="P167" s="799"/>
      <c r="Q167" s="799"/>
      <c r="R167" s="799"/>
      <c r="S167" s="799"/>
      <c r="T167" s="799"/>
      <c r="U167" s="799"/>
      <c r="V167" s="799"/>
      <c r="W167" s="799"/>
      <c r="X167" s="799"/>
      <c r="Y167" s="799"/>
      <c r="Z167" s="799"/>
    </row>
    <row r="168" ht="49.5" customHeight="1">
      <c r="A168" s="799"/>
      <c r="B168" s="799"/>
      <c r="C168" s="799"/>
      <c r="D168" s="799"/>
      <c r="E168" s="799"/>
      <c r="F168" s="799"/>
      <c r="G168" s="799"/>
      <c r="H168" s="799"/>
      <c r="I168" s="799"/>
      <c r="J168" s="799"/>
      <c r="K168" s="799"/>
      <c r="L168" s="885"/>
      <c r="M168" s="799"/>
      <c r="N168" s="799"/>
      <c r="O168" s="799"/>
      <c r="P168" s="799"/>
      <c r="Q168" s="799"/>
      <c r="R168" s="799"/>
      <c r="S168" s="799"/>
      <c r="T168" s="799"/>
      <c r="U168" s="799"/>
      <c r="V168" s="799"/>
      <c r="W168" s="799"/>
      <c r="X168" s="799"/>
      <c r="Y168" s="799"/>
      <c r="Z168" s="799"/>
    </row>
    <row r="169" ht="49.5" customHeight="1">
      <c r="A169" s="799"/>
      <c r="B169" s="799"/>
      <c r="C169" s="799"/>
      <c r="D169" s="799"/>
      <c r="E169" s="799"/>
      <c r="F169" s="799"/>
      <c r="G169" s="799"/>
      <c r="H169" s="799"/>
      <c r="I169" s="799"/>
      <c r="J169" s="799"/>
      <c r="K169" s="799"/>
      <c r="L169" s="885"/>
      <c r="M169" s="799"/>
      <c r="N169" s="799"/>
      <c r="O169" s="799"/>
      <c r="P169" s="799"/>
      <c r="Q169" s="799"/>
      <c r="R169" s="799"/>
      <c r="S169" s="799"/>
      <c r="T169" s="799"/>
      <c r="U169" s="799"/>
      <c r="V169" s="799"/>
      <c r="W169" s="799"/>
      <c r="X169" s="799"/>
      <c r="Y169" s="799"/>
      <c r="Z169" s="799"/>
    </row>
    <row r="170" ht="49.5" customHeight="1">
      <c r="A170" s="799"/>
      <c r="B170" s="799"/>
      <c r="C170" s="799"/>
      <c r="D170" s="799"/>
      <c r="E170" s="799"/>
      <c r="F170" s="799"/>
      <c r="G170" s="799"/>
      <c r="H170" s="799"/>
      <c r="I170" s="799"/>
      <c r="J170" s="799"/>
      <c r="K170" s="799"/>
      <c r="L170" s="885"/>
      <c r="M170" s="799"/>
      <c r="N170" s="799"/>
      <c r="O170" s="799"/>
      <c r="P170" s="799"/>
      <c r="Q170" s="799"/>
      <c r="R170" s="799"/>
      <c r="S170" s="799"/>
      <c r="T170" s="799"/>
      <c r="U170" s="799"/>
      <c r="V170" s="799"/>
      <c r="W170" s="799"/>
      <c r="X170" s="799"/>
      <c r="Y170" s="799"/>
      <c r="Z170" s="799"/>
    </row>
    <row r="171" ht="49.5" customHeight="1">
      <c r="A171" s="799"/>
      <c r="B171" s="799"/>
      <c r="C171" s="799"/>
      <c r="D171" s="799"/>
      <c r="E171" s="799"/>
      <c r="F171" s="799"/>
      <c r="G171" s="799"/>
      <c r="H171" s="799"/>
      <c r="I171" s="799"/>
      <c r="J171" s="799"/>
      <c r="K171" s="799"/>
      <c r="L171" s="885"/>
      <c r="M171" s="799"/>
      <c r="N171" s="799"/>
      <c r="O171" s="799"/>
      <c r="P171" s="799"/>
      <c r="Q171" s="799"/>
      <c r="R171" s="799"/>
      <c r="S171" s="799"/>
      <c r="T171" s="799"/>
      <c r="U171" s="799"/>
      <c r="V171" s="799"/>
      <c r="W171" s="799"/>
      <c r="X171" s="799"/>
      <c r="Y171" s="799"/>
      <c r="Z171" s="799"/>
    </row>
    <row r="172" ht="49.5" customHeight="1">
      <c r="A172" s="799"/>
      <c r="B172" s="799"/>
      <c r="C172" s="799"/>
      <c r="D172" s="799"/>
      <c r="E172" s="799"/>
      <c r="F172" s="799"/>
      <c r="G172" s="799"/>
      <c r="H172" s="799"/>
      <c r="I172" s="799"/>
      <c r="J172" s="799"/>
      <c r="K172" s="799"/>
      <c r="L172" s="885"/>
      <c r="M172" s="799"/>
      <c r="N172" s="799"/>
      <c r="O172" s="799"/>
      <c r="P172" s="799"/>
      <c r="Q172" s="799"/>
      <c r="R172" s="799"/>
      <c r="S172" s="799"/>
      <c r="T172" s="799"/>
      <c r="U172" s="799"/>
      <c r="V172" s="799"/>
      <c r="W172" s="799"/>
      <c r="X172" s="799"/>
      <c r="Y172" s="799"/>
      <c r="Z172" s="799"/>
    </row>
    <row r="173" ht="49.5" customHeight="1">
      <c r="A173" s="799"/>
      <c r="B173" s="799"/>
      <c r="C173" s="799"/>
      <c r="D173" s="799"/>
      <c r="E173" s="799"/>
      <c r="F173" s="799"/>
      <c r="G173" s="799"/>
      <c r="H173" s="799"/>
      <c r="I173" s="799"/>
      <c r="J173" s="799"/>
      <c r="K173" s="799"/>
      <c r="L173" s="885"/>
      <c r="M173" s="799"/>
      <c r="N173" s="799"/>
      <c r="O173" s="799"/>
      <c r="P173" s="799"/>
      <c r="Q173" s="799"/>
      <c r="R173" s="799"/>
      <c r="S173" s="799"/>
      <c r="T173" s="799"/>
      <c r="U173" s="799"/>
      <c r="V173" s="799"/>
      <c r="W173" s="799"/>
      <c r="X173" s="799"/>
      <c r="Y173" s="799"/>
      <c r="Z173" s="799"/>
    </row>
    <row r="174" ht="49.5" customHeight="1">
      <c r="A174" s="799"/>
      <c r="B174" s="799"/>
      <c r="C174" s="799"/>
      <c r="D174" s="799"/>
      <c r="E174" s="799"/>
      <c r="F174" s="799"/>
      <c r="G174" s="799"/>
      <c r="H174" s="799"/>
      <c r="I174" s="799"/>
      <c r="J174" s="799"/>
      <c r="K174" s="799"/>
      <c r="L174" s="885"/>
      <c r="M174" s="799"/>
      <c r="N174" s="799"/>
      <c r="O174" s="799"/>
      <c r="P174" s="799"/>
      <c r="Q174" s="799"/>
      <c r="R174" s="799"/>
      <c r="S174" s="799"/>
      <c r="T174" s="799"/>
      <c r="U174" s="799"/>
      <c r="V174" s="799"/>
      <c r="W174" s="799"/>
      <c r="X174" s="799"/>
      <c r="Y174" s="799"/>
      <c r="Z174" s="799"/>
    </row>
    <row r="175" ht="49.5" customHeight="1">
      <c r="A175" s="799"/>
      <c r="B175" s="799"/>
      <c r="C175" s="799"/>
      <c r="D175" s="799"/>
      <c r="E175" s="799"/>
      <c r="F175" s="799"/>
      <c r="G175" s="799"/>
      <c r="H175" s="799"/>
      <c r="I175" s="799"/>
      <c r="J175" s="799"/>
      <c r="K175" s="799"/>
      <c r="L175" s="885"/>
      <c r="M175" s="799"/>
      <c r="N175" s="799"/>
      <c r="O175" s="799"/>
      <c r="P175" s="799"/>
      <c r="Q175" s="799"/>
      <c r="R175" s="799"/>
      <c r="S175" s="799"/>
      <c r="T175" s="799"/>
      <c r="U175" s="799"/>
      <c r="V175" s="799"/>
      <c r="W175" s="799"/>
      <c r="X175" s="799"/>
      <c r="Y175" s="799"/>
      <c r="Z175" s="799"/>
    </row>
    <row r="176" ht="49.5" customHeight="1">
      <c r="A176" s="799"/>
      <c r="B176" s="799"/>
      <c r="C176" s="799"/>
      <c r="D176" s="799"/>
      <c r="E176" s="799"/>
      <c r="F176" s="799"/>
      <c r="G176" s="799"/>
      <c r="H176" s="799"/>
      <c r="I176" s="799"/>
      <c r="J176" s="799"/>
      <c r="K176" s="799"/>
      <c r="L176" s="885"/>
      <c r="M176" s="799"/>
      <c r="N176" s="799"/>
      <c r="O176" s="799"/>
      <c r="P176" s="799"/>
      <c r="Q176" s="799"/>
      <c r="R176" s="799"/>
      <c r="S176" s="799"/>
      <c r="T176" s="799"/>
      <c r="U176" s="799"/>
      <c r="V176" s="799"/>
      <c r="W176" s="799"/>
      <c r="X176" s="799"/>
      <c r="Y176" s="799"/>
      <c r="Z176" s="799"/>
    </row>
    <row r="177" ht="49.5" customHeight="1">
      <c r="A177" s="799"/>
      <c r="B177" s="799"/>
      <c r="C177" s="799"/>
      <c r="D177" s="799"/>
      <c r="E177" s="799"/>
      <c r="F177" s="799"/>
      <c r="G177" s="799"/>
      <c r="H177" s="799"/>
      <c r="I177" s="799"/>
      <c r="J177" s="799"/>
      <c r="K177" s="799"/>
      <c r="L177" s="885"/>
      <c r="M177" s="799"/>
      <c r="N177" s="799"/>
      <c r="O177" s="799"/>
      <c r="P177" s="799"/>
      <c r="Q177" s="799"/>
      <c r="R177" s="799"/>
      <c r="S177" s="799"/>
      <c r="T177" s="799"/>
      <c r="U177" s="799"/>
      <c r="V177" s="799"/>
      <c r="W177" s="799"/>
      <c r="X177" s="799"/>
      <c r="Y177" s="799"/>
      <c r="Z177" s="799"/>
    </row>
    <row r="178" ht="49.5" customHeight="1">
      <c r="A178" s="799"/>
      <c r="B178" s="799"/>
      <c r="C178" s="799"/>
      <c r="D178" s="799"/>
      <c r="E178" s="799"/>
      <c r="F178" s="799"/>
      <c r="G178" s="799"/>
      <c r="H178" s="799"/>
      <c r="I178" s="799"/>
      <c r="J178" s="799"/>
      <c r="K178" s="799"/>
      <c r="L178" s="885"/>
      <c r="M178" s="799"/>
      <c r="N178" s="799"/>
      <c r="O178" s="799"/>
      <c r="P178" s="799"/>
      <c r="Q178" s="799"/>
      <c r="R178" s="799"/>
      <c r="S178" s="799"/>
      <c r="T178" s="799"/>
      <c r="U178" s="799"/>
      <c r="V178" s="799"/>
      <c r="W178" s="799"/>
      <c r="X178" s="799"/>
      <c r="Y178" s="799"/>
      <c r="Z178" s="799"/>
    </row>
    <row r="179" ht="49.5" customHeight="1">
      <c r="A179" s="799"/>
      <c r="B179" s="799"/>
      <c r="C179" s="799"/>
      <c r="D179" s="799"/>
      <c r="E179" s="799"/>
      <c r="F179" s="799"/>
      <c r="G179" s="799"/>
      <c r="H179" s="799"/>
      <c r="I179" s="799"/>
      <c r="J179" s="799"/>
      <c r="K179" s="799"/>
      <c r="L179" s="885"/>
      <c r="M179" s="799"/>
      <c r="N179" s="799"/>
      <c r="O179" s="799"/>
      <c r="P179" s="799"/>
      <c r="Q179" s="799"/>
      <c r="R179" s="799"/>
      <c r="S179" s="799"/>
      <c r="T179" s="799"/>
      <c r="U179" s="799"/>
      <c r="V179" s="799"/>
      <c r="W179" s="799"/>
      <c r="X179" s="799"/>
      <c r="Y179" s="799"/>
      <c r="Z179" s="799"/>
    </row>
    <row r="180" ht="49.5" customHeight="1">
      <c r="A180" s="799"/>
      <c r="B180" s="799"/>
      <c r="C180" s="799"/>
      <c r="D180" s="799"/>
      <c r="E180" s="799"/>
      <c r="F180" s="799"/>
      <c r="G180" s="799"/>
      <c r="H180" s="799"/>
      <c r="I180" s="799"/>
      <c r="J180" s="799"/>
      <c r="K180" s="799"/>
      <c r="L180" s="885"/>
      <c r="M180" s="799"/>
      <c r="N180" s="799"/>
      <c r="O180" s="799"/>
      <c r="P180" s="799"/>
      <c r="Q180" s="799"/>
      <c r="R180" s="799"/>
      <c r="S180" s="799"/>
      <c r="T180" s="799"/>
      <c r="U180" s="799"/>
      <c r="V180" s="799"/>
      <c r="W180" s="799"/>
      <c r="X180" s="799"/>
      <c r="Y180" s="799"/>
      <c r="Z180" s="799"/>
    </row>
    <row r="181" ht="49.5" customHeight="1">
      <c r="A181" s="799"/>
      <c r="B181" s="799"/>
      <c r="C181" s="799"/>
      <c r="D181" s="799"/>
      <c r="E181" s="799"/>
      <c r="F181" s="799"/>
      <c r="G181" s="799"/>
      <c r="H181" s="799"/>
      <c r="I181" s="799"/>
      <c r="J181" s="799"/>
      <c r="K181" s="799"/>
      <c r="L181" s="885"/>
      <c r="M181" s="799"/>
      <c r="N181" s="799"/>
      <c r="O181" s="799"/>
      <c r="P181" s="799"/>
      <c r="Q181" s="799"/>
      <c r="R181" s="799"/>
      <c r="S181" s="799"/>
      <c r="T181" s="799"/>
      <c r="U181" s="799"/>
      <c r="V181" s="799"/>
      <c r="W181" s="799"/>
      <c r="X181" s="799"/>
      <c r="Y181" s="799"/>
      <c r="Z181" s="799"/>
    </row>
    <row r="182" ht="49.5" customHeight="1">
      <c r="A182" s="799"/>
      <c r="B182" s="799"/>
      <c r="C182" s="799"/>
      <c r="D182" s="799"/>
      <c r="E182" s="799"/>
      <c r="F182" s="799"/>
      <c r="G182" s="799"/>
      <c r="H182" s="799"/>
      <c r="I182" s="799"/>
      <c r="J182" s="799"/>
      <c r="K182" s="799"/>
      <c r="L182" s="885"/>
      <c r="M182" s="799"/>
      <c r="N182" s="799"/>
      <c r="O182" s="799"/>
      <c r="P182" s="799"/>
      <c r="Q182" s="799"/>
      <c r="R182" s="799"/>
      <c r="S182" s="799"/>
      <c r="T182" s="799"/>
      <c r="U182" s="799"/>
      <c r="V182" s="799"/>
      <c r="W182" s="799"/>
      <c r="X182" s="799"/>
      <c r="Y182" s="799"/>
      <c r="Z182" s="799"/>
    </row>
    <row r="183" ht="49.5" customHeight="1">
      <c r="A183" s="799"/>
      <c r="B183" s="799"/>
      <c r="C183" s="799"/>
      <c r="D183" s="799"/>
      <c r="E183" s="799"/>
      <c r="F183" s="799"/>
      <c r="G183" s="799"/>
      <c r="H183" s="799"/>
      <c r="I183" s="799"/>
      <c r="J183" s="799"/>
      <c r="K183" s="799"/>
      <c r="L183" s="885"/>
      <c r="M183" s="799"/>
      <c r="N183" s="799"/>
      <c r="O183" s="799"/>
      <c r="P183" s="799"/>
      <c r="Q183" s="799"/>
      <c r="R183" s="799"/>
      <c r="S183" s="799"/>
      <c r="T183" s="799"/>
      <c r="U183" s="799"/>
      <c r="V183" s="799"/>
      <c r="W183" s="799"/>
      <c r="X183" s="799"/>
      <c r="Y183" s="799"/>
      <c r="Z183" s="799"/>
    </row>
    <row r="184" ht="49.5" customHeight="1">
      <c r="A184" s="799"/>
      <c r="B184" s="799"/>
      <c r="C184" s="799"/>
      <c r="D184" s="799"/>
      <c r="E184" s="799"/>
      <c r="F184" s="799"/>
      <c r="G184" s="799"/>
      <c r="H184" s="799"/>
      <c r="I184" s="799"/>
      <c r="J184" s="799"/>
      <c r="K184" s="799"/>
      <c r="L184" s="885"/>
      <c r="M184" s="799"/>
      <c r="N184" s="799"/>
      <c r="O184" s="799"/>
      <c r="P184" s="799"/>
      <c r="Q184" s="799"/>
      <c r="R184" s="799"/>
      <c r="S184" s="799"/>
      <c r="T184" s="799"/>
      <c r="U184" s="799"/>
      <c r="V184" s="799"/>
      <c r="W184" s="799"/>
      <c r="X184" s="799"/>
      <c r="Y184" s="799"/>
      <c r="Z184" s="799"/>
    </row>
    <row r="185" ht="49.5" customHeight="1">
      <c r="A185" s="799"/>
      <c r="B185" s="799"/>
      <c r="C185" s="799"/>
      <c r="D185" s="799"/>
      <c r="E185" s="799"/>
      <c r="F185" s="799"/>
      <c r="G185" s="799"/>
      <c r="H185" s="799"/>
      <c r="I185" s="799"/>
      <c r="J185" s="799"/>
      <c r="K185" s="799"/>
      <c r="L185" s="885"/>
      <c r="M185" s="799"/>
      <c r="N185" s="799"/>
      <c r="O185" s="799"/>
      <c r="P185" s="799"/>
      <c r="Q185" s="799"/>
      <c r="R185" s="799"/>
      <c r="S185" s="799"/>
      <c r="T185" s="799"/>
      <c r="U185" s="799"/>
      <c r="V185" s="799"/>
      <c r="W185" s="799"/>
      <c r="X185" s="799"/>
      <c r="Y185" s="799"/>
      <c r="Z185" s="799"/>
    </row>
    <row r="186" ht="49.5" customHeight="1">
      <c r="A186" s="799"/>
      <c r="B186" s="799"/>
      <c r="C186" s="799"/>
      <c r="D186" s="799"/>
      <c r="E186" s="799"/>
      <c r="F186" s="799"/>
      <c r="G186" s="799"/>
      <c r="H186" s="799"/>
      <c r="I186" s="799"/>
      <c r="J186" s="799"/>
      <c r="K186" s="799"/>
      <c r="L186" s="885"/>
      <c r="M186" s="799"/>
      <c r="N186" s="799"/>
      <c r="O186" s="799"/>
      <c r="P186" s="799"/>
      <c r="Q186" s="799"/>
      <c r="R186" s="799"/>
      <c r="S186" s="799"/>
      <c r="T186" s="799"/>
      <c r="U186" s="799"/>
      <c r="V186" s="799"/>
      <c r="W186" s="799"/>
      <c r="X186" s="799"/>
      <c r="Y186" s="799"/>
      <c r="Z186" s="799"/>
    </row>
    <row r="187" ht="49.5" customHeight="1">
      <c r="A187" s="799"/>
      <c r="B187" s="799"/>
      <c r="C187" s="799"/>
      <c r="D187" s="799"/>
      <c r="E187" s="799"/>
      <c r="F187" s="799"/>
      <c r="G187" s="799"/>
      <c r="H187" s="799"/>
      <c r="I187" s="799"/>
      <c r="J187" s="799"/>
      <c r="K187" s="799"/>
      <c r="L187" s="885"/>
      <c r="M187" s="799"/>
      <c r="N187" s="799"/>
      <c r="O187" s="799"/>
      <c r="P187" s="799"/>
      <c r="Q187" s="799"/>
      <c r="R187" s="799"/>
      <c r="S187" s="799"/>
      <c r="T187" s="799"/>
      <c r="U187" s="799"/>
      <c r="V187" s="799"/>
      <c r="W187" s="799"/>
      <c r="X187" s="799"/>
      <c r="Y187" s="799"/>
      <c r="Z187" s="799"/>
    </row>
    <row r="188" ht="49.5" customHeight="1">
      <c r="A188" s="799"/>
      <c r="B188" s="799"/>
      <c r="C188" s="799"/>
      <c r="D188" s="799"/>
      <c r="E188" s="799"/>
      <c r="F188" s="799"/>
      <c r="G188" s="799"/>
      <c r="H188" s="799"/>
      <c r="I188" s="799"/>
      <c r="J188" s="799"/>
      <c r="K188" s="799"/>
      <c r="L188" s="885"/>
      <c r="M188" s="799"/>
      <c r="N188" s="799"/>
      <c r="O188" s="799"/>
      <c r="P188" s="799"/>
      <c r="Q188" s="799"/>
      <c r="R188" s="799"/>
      <c r="S188" s="799"/>
      <c r="T188" s="799"/>
      <c r="U188" s="799"/>
      <c r="V188" s="799"/>
      <c r="W188" s="799"/>
      <c r="X188" s="799"/>
      <c r="Y188" s="799"/>
      <c r="Z188" s="799"/>
    </row>
    <row r="189" ht="49.5" customHeight="1">
      <c r="A189" s="799"/>
      <c r="B189" s="799"/>
      <c r="C189" s="799"/>
      <c r="D189" s="799"/>
      <c r="E189" s="799"/>
      <c r="F189" s="799"/>
      <c r="G189" s="799"/>
      <c r="H189" s="799"/>
      <c r="I189" s="799"/>
      <c r="J189" s="799"/>
      <c r="K189" s="799"/>
      <c r="L189" s="885"/>
      <c r="M189" s="799"/>
      <c r="N189" s="799"/>
      <c r="O189" s="799"/>
      <c r="P189" s="799"/>
      <c r="Q189" s="799"/>
      <c r="R189" s="799"/>
      <c r="S189" s="799"/>
      <c r="T189" s="799"/>
      <c r="U189" s="799"/>
      <c r="V189" s="799"/>
      <c r="W189" s="799"/>
      <c r="X189" s="799"/>
      <c r="Y189" s="799"/>
      <c r="Z189" s="799"/>
    </row>
    <row r="190" ht="49.5" customHeight="1">
      <c r="A190" s="799"/>
      <c r="B190" s="799"/>
      <c r="C190" s="799"/>
      <c r="D190" s="799"/>
      <c r="E190" s="799"/>
      <c r="F190" s="799"/>
      <c r="G190" s="799"/>
      <c r="H190" s="799"/>
      <c r="I190" s="799"/>
      <c r="J190" s="799"/>
      <c r="K190" s="799"/>
      <c r="L190" s="885"/>
      <c r="M190" s="799"/>
      <c r="N190" s="799"/>
      <c r="O190" s="799"/>
      <c r="P190" s="799"/>
      <c r="Q190" s="799"/>
      <c r="R190" s="799"/>
      <c r="S190" s="799"/>
      <c r="T190" s="799"/>
      <c r="U190" s="799"/>
      <c r="V190" s="799"/>
      <c r="W190" s="799"/>
      <c r="X190" s="799"/>
      <c r="Y190" s="799"/>
      <c r="Z190" s="799"/>
    </row>
    <row r="191" ht="49.5" customHeight="1">
      <c r="A191" s="799"/>
      <c r="B191" s="799"/>
      <c r="C191" s="799"/>
      <c r="D191" s="799"/>
      <c r="E191" s="799"/>
      <c r="F191" s="799"/>
      <c r="G191" s="799"/>
      <c r="H191" s="799"/>
      <c r="I191" s="799"/>
      <c r="J191" s="799"/>
      <c r="K191" s="799"/>
      <c r="L191" s="885"/>
      <c r="M191" s="799"/>
      <c r="N191" s="799"/>
      <c r="O191" s="799"/>
      <c r="P191" s="799"/>
      <c r="Q191" s="799"/>
      <c r="R191" s="799"/>
      <c r="S191" s="799"/>
      <c r="T191" s="799"/>
      <c r="U191" s="799"/>
      <c r="V191" s="799"/>
      <c r="W191" s="799"/>
      <c r="X191" s="799"/>
      <c r="Y191" s="799"/>
      <c r="Z191" s="799"/>
    </row>
    <row r="192" ht="49.5" customHeight="1">
      <c r="A192" s="799"/>
      <c r="B192" s="799"/>
      <c r="C192" s="799"/>
      <c r="D192" s="799"/>
      <c r="E192" s="799"/>
      <c r="F192" s="799"/>
      <c r="G192" s="799"/>
      <c r="H192" s="799"/>
      <c r="I192" s="799"/>
      <c r="J192" s="799"/>
      <c r="K192" s="799"/>
      <c r="L192" s="885"/>
      <c r="M192" s="799"/>
      <c r="N192" s="799"/>
      <c r="O192" s="799"/>
      <c r="P192" s="799"/>
      <c r="Q192" s="799"/>
      <c r="R192" s="799"/>
      <c r="S192" s="799"/>
      <c r="T192" s="799"/>
      <c r="U192" s="799"/>
      <c r="V192" s="799"/>
      <c r="W192" s="799"/>
      <c r="X192" s="799"/>
      <c r="Y192" s="799"/>
      <c r="Z192" s="799"/>
    </row>
    <row r="193" ht="49.5" customHeight="1">
      <c r="A193" s="799"/>
      <c r="B193" s="799"/>
      <c r="C193" s="799"/>
      <c r="D193" s="799"/>
      <c r="E193" s="799"/>
      <c r="F193" s="799"/>
      <c r="G193" s="799"/>
      <c r="H193" s="799"/>
      <c r="I193" s="799"/>
      <c r="J193" s="799"/>
      <c r="K193" s="799"/>
      <c r="L193" s="885"/>
      <c r="M193" s="799"/>
      <c r="N193" s="799"/>
      <c r="O193" s="799"/>
      <c r="P193" s="799"/>
      <c r="Q193" s="799"/>
      <c r="R193" s="799"/>
      <c r="S193" s="799"/>
      <c r="T193" s="799"/>
      <c r="U193" s="799"/>
      <c r="V193" s="799"/>
      <c r="W193" s="799"/>
      <c r="X193" s="799"/>
      <c r="Y193" s="799"/>
      <c r="Z193" s="799"/>
    </row>
    <row r="194" ht="49.5" customHeight="1">
      <c r="A194" s="799"/>
      <c r="B194" s="799"/>
      <c r="C194" s="799"/>
      <c r="D194" s="799"/>
      <c r="E194" s="799"/>
      <c r="F194" s="799"/>
      <c r="G194" s="799"/>
      <c r="H194" s="799"/>
      <c r="I194" s="799"/>
      <c r="J194" s="799"/>
      <c r="K194" s="799"/>
      <c r="L194" s="885"/>
      <c r="M194" s="799"/>
      <c r="N194" s="799"/>
      <c r="O194" s="799"/>
      <c r="P194" s="799"/>
      <c r="Q194" s="799"/>
      <c r="R194" s="799"/>
      <c r="S194" s="799"/>
      <c r="T194" s="799"/>
      <c r="U194" s="799"/>
      <c r="V194" s="799"/>
      <c r="W194" s="799"/>
      <c r="X194" s="799"/>
      <c r="Y194" s="799"/>
      <c r="Z194" s="799"/>
    </row>
    <row r="195" ht="49.5" customHeight="1">
      <c r="A195" s="799"/>
      <c r="B195" s="799"/>
      <c r="C195" s="799"/>
      <c r="D195" s="799"/>
      <c r="E195" s="799"/>
      <c r="F195" s="799"/>
      <c r="G195" s="799"/>
      <c r="H195" s="799"/>
      <c r="I195" s="799"/>
      <c r="J195" s="799"/>
      <c r="K195" s="799"/>
      <c r="L195" s="885"/>
      <c r="M195" s="799"/>
      <c r="N195" s="799"/>
      <c r="O195" s="799"/>
      <c r="P195" s="799"/>
      <c r="Q195" s="799"/>
      <c r="R195" s="799"/>
      <c r="S195" s="799"/>
      <c r="T195" s="799"/>
      <c r="U195" s="799"/>
      <c r="V195" s="799"/>
      <c r="W195" s="799"/>
      <c r="X195" s="799"/>
      <c r="Y195" s="799"/>
      <c r="Z195" s="799"/>
    </row>
    <row r="196" ht="49.5" customHeight="1">
      <c r="A196" s="799"/>
      <c r="B196" s="799"/>
      <c r="C196" s="799"/>
      <c r="D196" s="799"/>
      <c r="E196" s="799"/>
      <c r="F196" s="799"/>
      <c r="G196" s="799"/>
      <c r="H196" s="799"/>
      <c r="I196" s="799"/>
      <c r="J196" s="799"/>
      <c r="K196" s="799"/>
      <c r="L196" s="885"/>
      <c r="M196" s="799"/>
      <c r="N196" s="799"/>
      <c r="O196" s="799"/>
      <c r="P196" s="799"/>
      <c r="Q196" s="799"/>
      <c r="R196" s="799"/>
      <c r="S196" s="799"/>
      <c r="T196" s="799"/>
      <c r="U196" s="799"/>
      <c r="V196" s="799"/>
      <c r="W196" s="799"/>
      <c r="X196" s="799"/>
      <c r="Y196" s="799"/>
      <c r="Z196" s="799"/>
    </row>
    <row r="197" ht="49.5" customHeight="1">
      <c r="A197" s="799"/>
      <c r="B197" s="799"/>
      <c r="C197" s="799"/>
      <c r="D197" s="799"/>
      <c r="E197" s="799"/>
      <c r="F197" s="799"/>
      <c r="G197" s="799"/>
      <c r="H197" s="799"/>
      <c r="I197" s="799"/>
      <c r="J197" s="799"/>
      <c r="K197" s="799"/>
      <c r="L197" s="885"/>
      <c r="M197" s="799"/>
      <c r="N197" s="799"/>
      <c r="O197" s="799"/>
      <c r="P197" s="799"/>
      <c r="Q197" s="799"/>
      <c r="R197" s="799"/>
      <c r="S197" s="799"/>
      <c r="T197" s="799"/>
      <c r="U197" s="799"/>
      <c r="V197" s="799"/>
      <c r="W197" s="799"/>
      <c r="X197" s="799"/>
      <c r="Y197" s="799"/>
      <c r="Z197" s="799"/>
    </row>
    <row r="198" ht="49.5" customHeight="1">
      <c r="A198" s="799"/>
      <c r="B198" s="799"/>
      <c r="C198" s="799"/>
      <c r="D198" s="799"/>
      <c r="E198" s="799"/>
      <c r="F198" s="799"/>
      <c r="G198" s="799"/>
      <c r="H198" s="799"/>
      <c r="I198" s="799"/>
      <c r="J198" s="799"/>
      <c r="K198" s="799"/>
      <c r="L198" s="885"/>
      <c r="M198" s="799"/>
      <c r="N198" s="799"/>
      <c r="O198" s="799"/>
      <c r="P198" s="799"/>
      <c r="Q198" s="799"/>
      <c r="R198" s="799"/>
      <c r="S198" s="799"/>
      <c r="T198" s="799"/>
      <c r="U198" s="799"/>
      <c r="V198" s="799"/>
      <c r="W198" s="799"/>
      <c r="X198" s="799"/>
      <c r="Y198" s="799"/>
      <c r="Z198" s="799"/>
    </row>
    <row r="199" ht="49.5" customHeight="1">
      <c r="A199" s="799"/>
      <c r="B199" s="799"/>
      <c r="C199" s="799"/>
      <c r="D199" s="799"/>
      <c r="E199" s="799"/>
      <c r="F199" s="799"/>
      <c r="G199" s="799"/>
      <c r="H199" s="799"/>
      <c r="I199" s="799"/>
      <c r="J199" s="799"/>
      <c r="K199" s="799"/>
      <c r="L199" s="885"/>
      <c r="M199" s="799"/>
      <c r="N199" s="799"/>
      <c r="O199" s="799"/>
      <c r="P199" s="799"/>
      <c r="Q199" s="799"/>
      <c r="R199" s="799"/>
      <c r="S199" s="799"/>
      <c r="T199" s="799"/>
      <c r="U199" s="799"/>
      <c r="V199" s="799"/>
      <c r="W199" s="799"/>
      <c r="X199" s="799"/>
      <c r="Y199" s="799"/>
      <c r="Z199" s="799"/>
    </row>
    <row r="200" ht="49.5" customHeight="1">
      <c r="A200" s="799"/>
      <c r="B200" s="799"/>
      <c r="C200" s="799"/>
      <c r="D200" s="799"/>
      <c r="E200" s="799"/>
      <c r="F200" s="799"/>
      <c r="G200" s="799"/>
      <c r="H200" s="799"/>
      <c r="I200" s="799"/>
      <c r="J200" s="799"/>
      <c r="K200" s="799"/>
      <c r="L200" s="885"/>
      <c r="M200" s="799"/>
      <c r="N200" s="799"/>
      <c r="O200" s="799"/>
      <c r="P200" s="799"/>
      <c r="Q200" s="799"/>
      <c r="R200" s="799"/>
      <c r="S200" s="799"/>
      <c r="T200" s="799"/>
      <c r="U200" s="799"/>
      <c r="V200" s="799"/>
      <c r="W200" s="799"/>
      <c r="X200" s="799"/>
      <c r="Y200" s="799"/>
      <c r="Z200" s="799"/>
    </row>
    <row r="201" ht="49.5" customHeight="1">
      <c r="A201" s="799"/>
      <c r="B201" s="799"/>
      <c r="C201" s="799"/>
      <c r="D201" s="799"/>
      <c r="E201" s="799"/>
      <c r="F201" s="799"/>
      <c r="G201" s="799"/>
      <c r="H201" s="799"/>
      <c r="I201" s="799"/>
      <c r="J201" s="799"/>
      <c r="K201" s="799"/>
      <c r="L201" s="885"/>
      <c r="M201" s="799"/>
      <c r="N201" s="799"/>
      <c r="O201" s="799"/>
      <c r="P201" s="799"/>
      <c r="Q201" s="799"/>
      <c r="R201" s="799"/>
      <c r="S201" s="799"/>
      <c r="T201" s="799"/>
      <c r="U201" s="799"/>
      <c r="V201" s="799"/>
      <c r="W201" s="799"/>
      <c r="X201" s="799"/>
      <c r="Y201" s="799"/>
      <c r="Z201" s="799"/>
    </row>
    <row r="202" ht="49.5" customHeight="1">
      <c r="A202" s="799"/>
      <c r="B202" s="799"/>
      <c r="C202" s="799"/>
      <c r="D202" s="799"/>
      <c r="E202" s="799"/>
      <c r="F202" s="799"/>
      <c r="G202" s="799"/>
      <c r="H202" s="799"/>
      <c r="I202" s="799"/>
      <c r="J202" s="799"/>
      <c r="K202" s="799"/>
      <c r="L202" s="885"/>
      <c r="M202" s="799"/>
      <c r="N202" s="799"/>
      <c r="O202" s="799"/>
      <c r="P202" s="799"/>
      <c r="Q202" s="799"/>
      <c r="R202" s="799"/>
      <c r="S202" s="799"/>
      <c r="T202" s="799"/>
      <c r="U202" s="799"/>
      <c r="V202" s="799"/>
      <c r="W202" s="799"/>
      <c r="X202" s="799"/>
      <c r="Y202" s="799"/>
      <c r="Z202" s="799"/>
    </row>
    <row r="203" ht="49.5" customHeight="1">
      <c r="A203" s="799"/>
      <c r="B203" s="799"/>
      <c r="C203" s="799"/>
      <c r="D203" s="799"/>
      <c r="E203" s="799"/>
      <c r="F203" s="799"/>
      <c r="G203" s="799"/>
      <c r="H203" s="799"/>
      <c r="I203" s="799"/>
      <c r="J203" s="799"/>
      <c r="K203" s="799"/>
      <c r="L203" s="885"/>
      <c r="M203" s="799"/>
      <c r="N203" s="799"/>
      <c r="O203" s="799"/>
      <c r="P203" s="799"/>
      <c r="Q203" s="799"/>
      <c r="R203" s="799"/>
      <c r="S203" s="799"/>
      <c r="T203" s="799"/>
      <c r="U203" s="799"/>
      <c r="V203" s="799"/>
      <c r="W203" s="799"/>
      <c r="X203" s="799"/>
      <c r="Y203" s="799"/>
      <c r="Z203" s="799"/>
    </row>
    <row r="204" ht="49.5" customHeight="1">
      <c r="A204" s="799"/>
      <c r="B204" s="799"/>
      <c r="C204" s="799"/>
      <c r="D204" s="799"/>
      <c r="E204" s="799"/>
      <c r="F204" s="799"/>
      <c r="G204" s="799"/>
      <c r="H204" s="799"/>
      <c r="I204" s="799"/>
      <c r="J204" s="799"/>
      <c r="K204" s="799"/>
      <c r="L204" s="885"/>
      <c r="M204" s="799"/>
      <c r="N204" s="799"/>
      <c r="O204" s="799"/>
      <c r="P204" s="799"/>
      <c r="Q204" s="799"/>
      <c r="R204" s="799"/>
      <c r="S204" s="799"/>
      <c r="T204" s="799"/>
      <c r="U204" s="799"/>
      <c r="V204" s="799"/>
      <c r="W204" s="799"/>
      <c r="X204" s="799"/>
      <c r="Y204" s="799"/>
      <c r="Z204" s="799"/>
    </row>
    <row r="205" ht="49.5" customHeight="1">
      <c r="A205" s="799"/>
      <c r="B205" s="799"/>
      <c r="C205" s="799"/>
      <c r="D205" s="799"/>
      <c r="E205" s="799"/>
      <c r="F205" s="799"/>
      <c r="G205" s="799"/>
      <c r="H205" s="799"/>
      <c r="I205" s="799"/>
      <c r="J205" s="799"/>
      <c r="K205" s="799"/>
      <c r="L205" s="885"/>
      <c r="M205" s="799"/>
      <c r="N205" s="799"/>
      <c r="O205" s="799"/>
      <c r="P205" s="799"/>
      <c r="Q205" s="799"/>
      <c r="R205" s="799"/>
      <c r="S205" s="799"/>
      <c r="T205" s="799"/>
      <c r="U205" s="799"/>
      <c r="V205" s="799"/>
      <c r="W205" s="799"/>
      <c r="X205" s="799"/>
      <c r="Y205" s="799"/>
      <c r="Z205" s="799"/>
    </row>
    <row r="206" ht="49.5" customHeight="1">
      <c r="A206" s="799"/>
      <c r="B206" s="799"/>
      <c r="C206" s="799"/>
      <c r="D206" s="799"/>
      <c r="E206" s="799"/>
      <c r="F206" s="799"/>
      <c r="G206" s="799"/>
      <c r="H206" s="799"/>
      <c r="I206" s="799"/>
      <c r="J206" s="799"/>
      <c r="K206" s="799"/>
      <c r="L206" s="885"/>
      <c r="M206" s="799"/>
      <c r="N206" s="799"/>
      <c r="O206" s="799"/>
      <c r="P206" s="799"/>
      <c r="Q206" s="799"/>
      <c r="R206" s="799"/>
      <c r="S206" s="799"/>
      <c r="T206" s="799"/>
      <c r="U206" s="799"/>
      <c r="V206" s="799"/>
      <c r="W206" s="799"/>
      <c r="X206" s="799"/>
      <c r="Y206" s="799"/>
      <c r="Z206" s="799"/>
    </row>
    <row r="207" ht="49.5" customHeight="1">
      <c r="A207" s="799"/>
      <c r="B207" s="799"/>
      <c r="C207" s="799"/>
      <c r="D207" s="799"/>
      <c r="E207" s="799"/>
      <c r="F207" s="799"/>
      <c r="G207" s="799"/>
      <c r="H207" s="799"/>
      <c r="I207" s="799"/>
      <c r="J207" s="799"/>
      <c r="K207" s="799"/>
      <c r="L207" s="885"/>
      <c r="M207" s="799"/>
      <c r="N207" s="799"/>
      <c r="O207" s="799"/>
      <c r="P207" s="799"/>
      <c r="Q207" s="799"/>
      <c r="R207" s="799"/>
      <c r="S207" s="799"/>
      <c r="T207" s="799"/>
      <c r="U207" s="799"/>
      <c r="V207" s="799"/>
      <c r="W207" s="799"/>
      <c r="X207" s="799"/>
      <c r="Y207" s="799"/>
      <c r="Z207" s="799"/>
    </row>
    <row r="208" ht="49.5" customHeight="1">
      <c r="A208" s="799"/>
      <c r="B208" s="799"/>
      <c r="C208" s="799"/>
      <c r="D208" s="799"/>
      <c r="E208" s="799"/>
      <c r="F208" s="799"/>
      <c r="G208" s="799"/>
      <c r="H208" s="799"/>
      <c r="I208" s="799"/>
      <c r="J208" s="799"/>
      <c r="K208" s="799"/>
      <c r="L208" s="885"/>
      <c r="M208" s="799"/>
      <c r="N208" s="799"/>
      <c r="O208" s="799"/>
      <c r="P208" s="799"/>
      <c r="Q208" s="799"/>
      <c r="R208" s="799"/>
      <c r="S208" s="799"/>
      <c r="T208" s="799"/>
      <c r="U208" s="799"/>
      <c r="V208" s="799"/>
      <c r="W208" s="799"/>
      <c r="X208" s="799"/>
      <c r="Y208" s="799"/>
      <c r="Z208" s="799"/>
    </row>
    <row r="209" ht="49.5" customHeight="1">
      <c r="A209" s="799"/>
      <c r="B209" s="799"/>
      <c r="C209" s="799"/>
      <c r="D209" s="799"/>
      <c r="E209" s="799"/>
      <c r="F209" s="799"/>
      <c r="G209" s="799"/>
      <c r="H209" s="799"/>
      <c r="I209" s="799"/>
      <c r="J209" s="799"/>
      <c r="K209" s="799"/>
      <c r="L209" s="885"/>
      <c r="M209" s="799"/>
      <c r="N209" s="799"/>
      <c r="O209" s="799"/>
      <c r="P209" s="799"/>
      <c r="Q209" s="799"/>
      <c r="R209" s="799"/>
      <c r="S209" s="799"/>
      <c r="T209" s="799"/>
      <c r="U209" s="799"/>
      <c r="V209" s="799"/>
      <c r="W209" s="799"/>
      <c r="X209" s="799"/>
      <c r="Y209" s="799"/>
      <c r="Z209" s="799"/>
    </row>
    <row r="210" ht="49.5" customHeight="1">
      <c r="A210" s="799"/>
      <c r="B210" s="799"/>
      <c r="C210" s="799"/>
      <c r="D210" s="799"/>
      <c r="E210" s="799"/>
      <c r="F210" s="799"/>
      <c r="G210" s="799"/>
      <c r="H210" s="799"/>
      <c r="I210" s="799"/>
      <c r="J210" s="799"/>
      <c r="K210" s="799"/>
      <c r="L210" s="885"/>
      <c r="M210" s="799"/>
      <c r="N210" s="799"/>
      <c r="O210" s="799"/>
      <c r="P210" s="799"/>
      <c r="Q210" s="799"/>
      <c r="R210" s="799"/>
      <c r="S210" s="799"/>
      <c r="T210" s="799"/>
      <c r="U210" s="799"/>
      <c r="V210" s="799"/>
      <c r="W210" s="799"/>
      <c r="X210" s="799"/>
      <c r="Y210" s="799"/>
      <c r="Z210" s="799"/>
    </row>
    <row r="211" ht="49.5" customHeight="1">
      <c r="A211" s="799"/>
      <c r="B211" s="799"/>
      <c r="C211" s="799"/>
      <c r="D211" s="799"/>
      <c r="E211" s="799"/>
      <c r="F211" s="799"/>
      <c r="G211" s="799"/>
      <c r="H211" s="799"/>
      <c r="I211" s="799"/>
      <c r="J211" s="799"/>
      <c r="K211" s="799"/>
      <c r="L211" s="885"/>
      <c r="M211" s="799"/>
      <c r="N211" s="799"/>
      <c r="O211" s="799"/>
      <c r="P211" s="799"/>
      <c r="Q211" s="799"/>
      <c r="R211" s="799"/>
      <c r="S211" s="799"/>
      <c r="T211" s="799"/>
      <c r="U211" s="799"/>
      <c r="V211" s="799"/>
      <c r="W211" s="799"/>
      <c r="X211" s="799"/>
      <c r="Y211" s="799"/>
      <c r="Z211" s="799"/>
    </row>
    <row r="212" ht="49.5" customHeight="1">
      <c r="A212" s="799"/>
      <c r="B212" s="799"/>
      <c r="C212" s="799"/>
      <c r="D212" s="799"/>
      <c r="E212" s="799"/>
      <c r="F212" s="799"/>
      <c r="G212" s="799"/>
      <c r="H212" s="799"/>
      <c r="I212" s="799"/>
      <c r="J212" s="799"/>
      <c r="K212" s="799"/>
      <c r="L212" s="885"/>
      <c r="M212" s="799"/>
      <c r="N212" s="799"/>
      <c r="O212" s="799"/>
      <c r="P212" s="799"/>
      <c r="Q212" s="799"/>
      <c r="R212" s="799"/>
      <c r="S212" s="799"/>
      <c r="T212" s="799"/>
      <c r="U212" s="799"/>
      <c r="V212" s="799"/>
      <c r="W212" s="799"/>
      <c r="X212" s="799"/>
      <c r="Y212" s="799"/>
      <c r="Z212" s="799"/>
    </row>
    <row r="213" ht="49.5" customHeight="1">
      <c r="A213" s="799"/>
      <c r="B213" s="799"/>
      <c r="C213" s="799"/>
      <c r="D213" s="799"/>
      <c r="E213" s="799"/>
      <c r="F213" s="799"/>
      <c r="G213" s="799"/>
      <c r="H213" s="799"/>
      <c r="I213" s="799"/>
      <c r="J213" s="799"/>
      <c r="K213" s="799"/>
      <c r="L213" s="885"/>
      <c r="M213" s="799"/>
      <c r="N213" s="799"/>
      <c r="O213" s="799"/>
      <c r="P213" s="799"/>
      <c r="Q213" s="799"/>
      <c r="R213" s="799"/>
      <c r="S213" s="799"/>
      <c r="T213" s="799"/>
      <c r="U213" s="799"/>
      <c r="V213" s="799"/>
      <c r="W213" s="799"/>
      <c r="X213" s="799"/>
      <c r="Y213" s="799"/>
      <c r="Z213" s="799"/>
    </row>
    <row r="214" ht="49.5" customHeight="1">
      <c r="A214" s="799"/>
      <c r="B214" s="799"/>
      <c r="C214" s="799"/>
      <c r="D214" s="799"/>
      <c r="E214" s="799"/>
      <c r="F214" s="799"/>
      <c r="G214" s="799"/>
      <c r="H214" s="799"/>
      <c r="I214" s="799"/>
      <c r="J214" s="799"/>
      <c r="K214" s="799"/>
      <c r="L214" s="885"/>
      <c r="M214" s="799"/>
      <c r="N214" s="799"/>
      <c r="O214" s="799"/>
      <c r="P214" s="799"/>
      <c r="Q214" s="799"/>
      <c r="R214" s="799"/>
      <c r="S214" s="799"/>
      <c r="T214" s="799"/>
      <c r="U214" s="799"/>
      <c r="V214" s="799"/>
      <c r="W214" s="799"/>
      <c r="X214" s="799"/>
      <c r="Y214" s="799"/>
      <c r="Z214" s="799"/>
    </row>
    <row r="215" ht="49.5" customHeight="1">
      <c r="A215" s="799"/>
      <c r="B215" s="799"/>
      <c r="C215" s="799"/>
      <c r="D215" s="799"/>
      <c r="E215" s="799"/>
      <c r="F215" s="799"/>
      <c r="G215" s="799"/>
      <c r="H215" s="799"/>
      <c r="I215" s="799"/>
      <c r="J215" s="799"/>
      <c r="K215" s="799"/>
      <c r="L215" s="885"/>
      <c r="M215" s="799"/>
      <c r="N215" s="799"/>
      <c r="O215" s="799"/>
      <c r="P215" s="799"/>
      <c r="Q215" s="799"/>
      <c r="R215" s="799"/>
      <c r="S215" s="799"/>
      <c r="T215" s="799"/>
      <c r="U215" s="799"/>
      <c r="V215" s="799"/>
      <c r="W215" s="799"/>
      <c r="X215" s="799"/>
      <c r="Y215" s="799"/>
      <c r="Z215" s="799"/>
    </row>
    <row r="216" ht="49.5" customHeight="1">
      <c r="A216" s="799"/>
      <c r="B216" s="799"/>
      <c r="C216" s="799"/>
      <c r="D216" s="799"/>
      <c r="E216" s="799"/>
      <c r="F216" s="799"/>
      <c r="G216" s="799"/>
      <c r="H216" s="799"/>
      <c r="I216" s="799"/>
      <c r="J216" s="799"/>
      <c r="K216" s="799"/>
      <c r="L216" s="885"/>
      <c r="M216" s="799"/>
      <c r="N216" s="799"/>
      <c r="O216" s="799"/>
      <c r="P216" s="799"/>
      <c r="Q216" s="799"/>
      <c r="R216" s="799"/>
      <c r="S216" s="799"/>
      <c r="T216" s="799"/>
      <c r="U216" s="799"/>
      <c r="V216" s="799"/>
      <c r="W216" s="799"/>
      <c r="X216" s="799"/>
      <c r="Y216" s="799"/>
      <c r="Z216" s="799"/>
    </row>
    <row r="217" ht="49.5" customHeight="1">
      <c r="A217" s="799"/>
      <c r="B217" s="799"/>
      <c r="C217" s="799"/>
      <c r="D217" s="799"/>
      <c r="E217" s="799"/>
      <c r="F217" s="799"/>
      <c r="G217" s="799"/>
      <c r="H217" s="799"/>
      <c r="I217" s="799"/>
      <c r="J217" s="799"/>
      <c r="K217" s="799"/>
      <c r="L217" s="885"/>
      <c r="M217" s="799"/>
      <c r="N217" s="799"/>
      <c r="O217" s="799"/>
      <c r="P217" s="799"/>
      <c r="Q217" s="799"/>
      <c r="R217" s="799"/>
      <c r="S217" s="799"/>
      <c r="T217" s="799"/>
      <c r="U217" s="799"/>
      <c r="V217" s="799"/>
      <c r="W217" s="799"/>
      <c r="X217" s="799"/>
      <c r="Y217" s="799"/>
      <c r="Z217" s="799"/>
    </row>
    <row r="218" ht="49.5" customHeight="1">
      <c r="A218" s="799"/>
      <c r="B218" s="799"/>
      <c r="C218" s="799"/>
      <c r="D218" s="799"/>
      <c r="E218" s="799"/>
      <c r="F218" s="799"/>
      <c r="G218" s="799"/>
      <c r="H218" s="799"/>
      <c r="I218" s="799"/>
      <c r="J218" s="799"/>
      <c r="K218" s="799"/>
      <c r="L218" s="885"/>
      <c r="M218" s="799"/>
      <c r="N218" s="799"/>
      <c r="O218" s="799"/>
      <c r="P218" s="799"/>
      <c r="Q218" s="799"/>
      <c r="R218" s="799"/>
      <c r="S218" s="799"/>
      <c r="T218" s="799"/>
      <c r="U218" s="799"/>
      <c r="V218" s="799"/>
      <c r="W218" s="799"/>
      <c r="X218" s="799"/>
      <c r="Y218" s="799"/>
      <c r="Z218" s="799"/>
    </row>
    <row r="219" ht="49.5" customHeight="1">
      <c r="A219" s="799"/>
      <c r="B219" s="799"/>
      <c r="C219" s="799"/>
      <c r="D219" s="799"/>
      <c r="E219" s="799"/>
      <c r="F219" s="799"/>
      <c r="G219" s="799"/>
      <c r="H219" s="799"/>
      <c r="I219" s="799"/>
      <c r="J219" s="799"/>
      <c r="K219" s="799"/>
      <c r="L219" s="885"/>
      <c r="M219" s="799"/>
      <c r="N219" s="799"/>
      <c r="O219" s="799"/>
      <c r="P219" s="799"/>
      <c r="Q219" s="799"/>
      <c r="R219" s="799"/>
      <c r="S219" s="799"/>
      <c r="T219" s="799"/>
      <c r="U219" s="799"/>
      <c r="V219" s="799"/>
      <c r="W219" s="799"/>
      <c r="X219" s="799"/>
      <c r="Y219" s="799"/>
      <c r="Z219" s="799"/>
    </row>
    <row r="220" ht="49.5" customHeight="1">
      <c r="A220" s="799"/>
      <c r="B220" s="799"/>
      <c r="C220" s="799"/>
      <c r="D220" s="799"/>
      <c r="E220" s="799"/>
      <c r="F220" s="799"/>
      <c r="G220" s="799"/>
      <c r="H220" s="799"/>
      <c r="I220" s="799"/>
      <c r="J220" s="799"/>
      <c r="K220" s="799"/>
      <c r="L220" s="885"/>
      <c r="M220" s="799"/>
      <c r="N220" s="799"/>
      <c r="O220" s="799"/>
      <c r="P220" s="799"/>
      <c r="Q220" s="799"/>
      <c r="R220" s="799"/>
      <c r="S220" s="799"/>
      <c r="T220" s="799"/>
      <c r="U220" s="799"/>
      <c r="V220" s="799"/>
      <c r="W220" s="799"/>
      <c r="X220" s="799"/>
      <c r="Y220" s="799"/>
      <c r="Z220" s="799"/>
    </row>
    <row r="221" ht="49.5" customHeight="1">
      <c r="A221" s="799"/>
      <c r="B221" s="799"/>
      <c r="C221" s="799"/>
      <c r="D221" s="799"/>
      <c r="E221" s="799"/>
      <c r="F221" s="799"/>
      <c r="G221" s="799"/>
      <c r="H221" s="799"/>
      <c r="I221" s="799"/>
      <c r="J221" s="799"/>
      <c r="K221" s="799"/>
      <c r="L221" s="885"/>
      <c r="M221" s="799"/>
      <c r="N221" s="799"/>
      <c r="O221" s="799"/>
      <c r="P221" s="799"/>
      <c r="Q221" s="799"/>
      <c r="R221" s="799"/>
      <c r="S221" s="799"/>
      <c r="T221" s="799"/>
      <c r="U221" s="799"/>
      <c r="V221" s="799"/>
      <c r="W221" s="799"/>
      <c r="X221" s="799"/>
      <c r="Y221" s="799"/>
      <c r="Z221" s="799"/>
    </row>
    <row r="222" ht="49.5" customHeight="1">
      <c r="A222" s="799"/>
      <c r="B222" s="799"/>
      <c r="C222" s="799"/>
      <c r="D222" s="799"/>
      <c r="E222" s="799"/>
      <c r="F222" s="799"/>
      <c r="G222" s="799"/>
      <c r="H222" s="799"/>
      <c r="I222" s="799"/>
      <c r="J222" s="799"/>
      <c r="K222" s="799"/>
      <c r="L222" s="885"/>
      <c r="M222" s="799"/>
      <c r="N222" s="799"/>
      <c r="O222" s="799"/>
      <c r="P222" s="799"/>
      <c r="Q222" s="799"/>
      <c r="R222" s="799"/>
      <c r="S222" s="799"/>
      <c r="T222" s="799"/>
      <c r="U222" s="799"/>
      <c r="V222" s="799"/>
      <c r="W222" s="799"/>
      <c r="X222" s="799"/>
      <c r="Y222" s="799"/>
      <c r="Z222" s="799"/>
    </row>
    <row r="223" ht="49.5" customHeight="1">
      <c r="A223" s="799"/>
      <c r="B223" s="799"/>
      <c r="C223" s="799"/>
      <c r="D223" s="799"/>
      <c r="E223" s="799"/>
      <c r="F223" s="799"/>
      <c r="G223" s="799"/>
      <c r="H223" s="799"/>
      <c r="I223" s="799"/>
      <c r="J223" s="799"/>
      <c r="K223" s="799"/>
      <c r="L223" s="885"/>
      <c r="M223" s="799"/>
      <c r="N223" s="799"/>
      <c r="O223" s="799"/>
      <c r="P223" s="799"/>
      <c r="Q223" s="799"/>
      <c r="R223" s="799"/>
      <c r="S223" s="799"/>
      <c r="T223" s="799"/>
      <c r="U223" s="799"/>
      <c r="V223" s="799"/>
      <c r="W223" s="799"/>
      <c r="X223" s="799"/>
      <c r="Y223" s="799"/>
      <c r="Z223" s="799"/>
    </row>
    <row r="224" ht="49.5" customHeight="1">
      <c r="A224" s="799"/>
      <c r="B224" s="799"/>
      <c r="C224" s="799"/>
      <c r="D224" s="799"/>
      <c r="E224" s="799"/>
      <c r="F224" s="799"/>
      <c r="G224" s="799"/>
      <c r="H224" s="799"/>
      <c r="I224" s="799"/>
      <c r="J224" s="799"/>
      <c r="K224" s="799"/>
      <c r="L224" s="885"/>
      <c r="M224" s="799"/>
      <c r="N224" s="799"/>
      <c r="O224" s="799"/>
      <c r="P224" s="799"/>
      <c r="Q224" s="799"/>
      <c r="R224" s="799"/>
      <c r="S224" s="799"/>
      <c r="T224" s="799"/>
      <c r="U224" s="799"/>
      <c r="V224" s="799"/>
      <c r="W224" s="799"/>
      <c r="X224" s="799"/>
      <c r="Y224" s="799"/>
      <c r="Z224" s="799"/>
    </row>
    <row r="225" ht="49.5" customHeight="1">
      <c r="A225" s="799"/>
      <c r="B225" s="799"/>
      <c r="C225" s="799"/>
      <c r="D225" s="799"/>
      <c r="E225" s="799"/>
      <c r="F225" s="799"/>
      <c r="G225" s="799"/>
      <c r="H225" s="799"/>
      <c r="I225" s="799"/>
      <c r="J225" s="799"/>
      <c r="K225" s="799"/>
      <c r="L225" s="885"/>
      <c r="M225" s="799"/>
      <c r="N225" s="799"/>
      <c r="O225" s="799"/>
      <c r="P225" s="799"/>
      <c r="Q225" s="799"/>
      <c r="R225" s="799"/>
      <c r="S225" s="799"/>
      <c r="T225" s="799"/>
      <c r="U225" s="799"/>
      <c r="V225" s="799"/>
      <c r="W225" s="799"/>
      <c r="X225" s="799"/>
      <c r="Y225" s="799"/>
      <c r="Z225" s="799"/>
    </row>
    <row r="226" ht="49.5" customHeight="1">
      <c r="A226" s="799"/>
      <c r="B226" s="799"/>
      <c r="C226" s="799"/>
      <c r="D226" s="799"/>
      <c r="E226" s="799"/>
      <c r="F226" s="799"/>
      <c r="G226" s="799"/>
      <c r="H226" s="799"/>
      <c r="I226" s="799"/>
      <c r="J226" s="799"/>
      <c r="K226" s="799"/>
      <c r="L226" s="885"/>
      <c r="M226" s="799"/>
      <c r="N226" s="799"/>
      <c r="O226" s="799"/>
      <c r="P226" s="799"/>
      <c r="Q226" s="799"/>
      <c r="R226" s="799"/>
      <c r="S226" s="799"/>
      <c r="T226" s="799"/>
      <c r="U226" s="799"/>
      <c r="V226" s="799"/>
      <c r="W226" s="799"/>
      <c r="X226" s="799"/>
      <c r="Y226" s="799"/>
      <c r="Z226" s="799"/>
    </row>
    <row r="227" ht="49.5" customHeight="1">
      <c r="A227" s="799"/>
      <c r="B227" s="799"/>
      <c r="C227" s="799"/>
      <c r="D227" s="799"/>
      <c r="E227" s="799"/>
      <c r="F227" s="799"/>
      <c r="G227" s="799"/>
      <c r="H227" s="799"/>
      <c r="I227" s="799"/>
      <c r="J227" s="799"/>
      <c r="K227" s="799"/>
      <c r="L227" s="885"/>
      <c r="M227" s="799"/>
      <c r="N227" s="799"/>
      <c r="O227" s="799"/>
      <c r="P227" s="799"/>
      <c r="Q227" s="799"/>
      <c r="R227" s="799"/>
      <c r="S227" s="799"/>
      <c r="T227" s="799"/>
      <c r="U227" s="799"/>
      <c r="V227" s="799"/>
      <c r="W227" s="799"/>
      <c r="X227" s="799"/>
      <c r="Y227" s="799"/>
      <c r="Z227" s="799"/>
    </row>
    <row r="228" ht="49.5" customHeight="1">
      <c r="A228" s="799"/>
      <c r="B228" s="799"/>
      <c r="C228" s="799"/>
      <c r="D228" s="799"/>
      <c r="E228" s="799"/>
      <c r="F228" s="799"/>
      <c r="G228" s="799"/>
      <c r="H228" s="799"/>
      <c r="I228" s="799"/>
      <c r="J228" s="799"/>
      <c r="K228" s="799"/>
      <c r="L228" s="885"/>
      <c r="M228" s="799"/>
      <c r="N228" s="799"/>
      <c r="O228" s="799"/>
      <c r="P228" s="799"/>
      <c r="Q228" s="799"/>
      <c r="R228" s="799"/>
      <c r="S228" s="799"/>
      <c r="T228" s="799"/>
      <c r="U228" s="799"/>
      <c r="V228" s="799"/>
      <c r="W228" s="799"/>
      <c r="X228" s="799"/>
      <c r="Y228" s="799"/>
      <c r="Z228" s="799"/>
    </row>
    <row r="229" ht="49.5" customHeight="1">
      <c r="A229" s="799"/>
      <c r="B229" s="799"/>
      <c r="C229" s="799"/>
      <c r="D229" s="799"/>
      <c r="E229" s="799"/>
      <c r="F229" s="799"/>
      <c r="G229" s="799"/>
      <c r="H229" s="799"/>
      <c r="I229" s="799"/>
      <c r="J229" s="799"/>
      <c r="K229" s="799"/>
      <c r="L229" s="885"/>
      <c r="M229" s="799"/>
      <c r="N229" s="799"/>
      <c r="O229" s="799"/>
      <c r="P229" s="799"/>
      <c r="Q229" s="799"/>
      <c r="R229" s="799"/>
      <c r="S229" s="799"/>
      <c r="T229" s="799"/>
      <c r="U229" s="799"/>
      <c r="V229" s="799"/>
      <c r="W229" s="799"/>
      <c r="X229" s="799"/>
      <c r="Y229" s="799"/>
      <c r="Z229" s="799"/>
    </row>
    <row r="230" ht="49.5" customHeight="1">
      <c r="A230" s="799"/>
      <c r="B230" s="799"/>
      <c r="C230" s="799"/>
      <c r="D230" s="799"/>
      <c r="E230" s="799"/>
      <c r="F230" s="799"/>
      <c r="G230" s="799"/>
      <c r="H230" s="799"/>
      <c r="I230" s="799"/>
      <c r="J230" s="799"/>
      <c r="K230" s="799"/>
      <c r="L230" s="885"/>
      <c r="M230" s="799"/>
      <c r="N230" s="799"/>
      <c r="O230" s="799"/>
      <c r="P230" s="799"/>
      <c r="Q230" s="799"/>
      <c r="R230" s="799"/>
      <c r="S230" s="799"/>
      <c r="T230" s="799"/>
      <c r="U230" s="799"/>
      <c r="V230" s="799"/>
      <c r="W230" s="799"/>
      <c r="X230" s="799"/>
      <c r="Y230" s="799"/>
      <c r="Z230" s="799"/>
    </row>
    <row r="231" ht="49.5" customHeight="1">
      <c r="A231" s="799"/>
      <c r="B231" s="799"/>
      <c r="C231" s="799"/>
      <c r="D231" s="799"/>
      <c r="E231" s="799"/>
      <c r="F231" s="799"/>
      <c r="G231" s="799"/>
      <c r="H231" s="799"/>
      <c r="I231" s="799"/>
      <c r="J231" s="799"/>
      <c r="K231" s="799"/>
      <c r="L231" s="885"/>
      <c r="M231" s="799"/>
      <c r="N231" s="799"/>
      <c r="O231" s="799"/>
      <c r="P231" s="799"/>
      <c r="Q231" s="799"/>
      <c r="R231" s="799"/>
      <c r="S231" s="799"/>
      <c r="T231" s="799"/>
      <c r="U231" s="799"/>
      <c r="V231" s="799"/>
      <c r="W231" s="799"/>
      <c r="X231" s="799"/>
      <c r="Y231" s="799"/>
      <c r="Z231" s="799"/>
    </row>
    <row r="232" ht="49.5" customHeight="1">
      <c r="A232" s="799"/>
      <c r="B232" s="799"/>
      <c r="C232" s="799"/>
      <c r="D232" s="799"/>
      <c r="E232" s="799"/>
      <c r="F232" s="799"/>
      <c r="G232" s="799"/>
      <c r="H232" s="799"/>
      <c r="I232" s="799"/>
      <c r="J232" s="799"/>
      <c r="K232" s="799"/>
      <c r="L232" s="885"/>
      <c r="M232" s="799"/>
      <c r="N232" s="799"/>
      <c r="O232" s="799"/>
      <c r="P232" s="799"/>
      <c r="Q232" s="799"/>
      <c r="R232" s="799"/>
      <c r="S232" s="799"/>
      <c r="T232" s="799"/>
      <c r="U232" s="799"/>
      <c r="V232" s="799"/>
      <c r="W232" s="799"/>
      <c r="X232" s="799"/>
      <c r="Y232" s="799"/>
      <c r="Z232" s="799"/>
    </row>
    <row r="233" ht="49.5" customHeight="1">
      <c r="A233" s="799"/>
      <c r="B233" s="799"/>
      <c r="C233" s="799"/>
      <c r="D233" s="799"/>
      <c r="E233" s="799"/>
      <c r="F233" s="799"/>
      <c r="G233" s="799"/>
      <c r="H233" s="799"/>
      <c r="I233" s="799"/>
      <c r="J233" s="799"/>
      <c r="K233" s="799"/>
      <c r="L233" s="885"/>
      <c r="M233" s="799"/>
      <c r="N233" s="799"/>
      <c r="O233" s="799"/>
      <c r="P233" s="799"/>
      <c r="Q233" s="799"/>
      <c r="R233" s="799"/>
      <c r="S233" s="799"/>
      <c r="T233" s="799"/>
      <c r="U233" s="799"/>
      <c r="V233" s="799"/>
      <c r="W233" s="799"/>
      <c r="X233" s="799"/>
      <c r="Y233" s="799"/>
      <c r="Z233" s="799"/>
    </row>
    <row r="234" ht="49.5" customHeight="1">
      <c r="A234" s="799"/>
      <c r="B234" s="799"/>
      <c r="C234" s="799"/>
      <c r="D234" s="799"/>
      <c r="E234" s="799"/>
      <c r="F234" s="799"/>
      <c r="G234" s="799"/>
      <c r="H234" s="799"/>
      <c r="I234" s="799"/>
      <c r="J234" s="799"/>
      <c r="K234" s="799"/>
      <c r="L234" s="885"/>
      <c r="M234" s="799"/>
      <c r="N234" s="799"/>
      <c r="O234" s="799"/>
      <c r="P234" s="799"/>
      <c r="Q234" s="799"/>
      <c r="R234" s="799"/>
      <c r="S234" s="799"/>
      <c r="T234" s="799"/>
      <c r="U234" s="799"/>
      <c r="V234" s="799"/>
      <c r="W234" s="799"/>
      <c r="X234" s="799"/>
      <c r="Y234" s="799"/>
      <c r="Z234" s="799"/>
    </row>
    <row r="235" ht="49.5" customHeight="1">
      <c r="A235" s="799"/>
      <c r="B235" s="799"/>
      <c r="C235" s="799"/>
      <c r="D235" s="799"/>
      <c r="E235" s="799"/>
      <c r="F235" s="799"/>
      <c r="G235" s="799"/>
      <c r="H235" s="799"/>
      <c r="I235" s="799"/>
      <c r="J235" s="799"/>
      <c r="K235" s="799"/>
      <c r="L235" s="885"/>
      <c r="M235" s="799"/>
      <c r="N235" s="799"/>
      <c r="O235" s="799"/>
      <c r="P235" s="799"/>
      <c r="Q235" s="799"/>
      <c r="R235" s="799"/>
      <c r="S235" s="799"/>
      <c r="T235" s="799"/>
      <c r="U235" s="799"/>
      <c r="V235" s="799"/>
      <c r="W235" s="799"/>
      <c r="X235" s="799"/>
      <c r="Y235" s="799"/>
      <c r="Z235" s="799"/>
    </row>
    <row r="236" ht="49.5" customHeight="1">
      <c r="A236" s="799"/>
      <c r="B236" s="799"/>
      <c r="C236" s="799"/>
      <c r="D236" s="799"/>
      <c r="E236" s="799"/>
      <c r="F236" s="799"/>
      <c r="G236" s="799"/>
      <c r="H236" s="799"/>
      <c r="I236" s="799"/>
      <c r="J236" s="799"/>
      <c r="K236" s="799"/>
      <c r="L236" s="885"/>
      <c r="M236" s="799"/>
      <c r="N236" s="799"/>
      <c r="O236" s="799"/>
      <c r="P236" s="799"/>
      <c r="Q236" s="799"/>
      <c r="R236" s="799"/>
      <c r="S236" s="799"/>
      <c r="T236" s="799"/>
      <c r="U236" s="799"/>
      <c r="V236" s="799"/>
      <c r="W236" s="799"/>
      <c r="X236" s="799"/>
      <c r="Y236" s="799"/>
      <c r="Z236" s="799"/>
    </row>
    <row r="237" ht="49.5" customHeight="1">
      <c r="A237" s="799"/>
      <c r="B237" s="799"/>
      <c r="C237" s="799"/>
      <c r="D237" s="799"/>
      <c r="E237" s="799"/>
      <c r="F237" s="799"/>
      <c r="G237" s="799"/>
      <c r="H237" s="799"/>
      <c r="I237" s="799"/>
      <c r="J237" s="799"/>
      <c r="K237" s="799"/>
      <c r="L237" s="885"/>
      <c r="M237" s="799"/>
      <c r="N237" s="799"/>
      <c r="O237" s="799"/>
      <c r="P237" s="799"/>
      <c r="Q237" s="799"/>
      <c r="R237" s="799"/>
      <c r="S237" s="799"/>
      <c r="T237" s="799"/>
      <c r="U237" s="799"/>
      <c r="V237" s="799"/>
      <c r="W237" s="799"/>
      <c r="X237" s="799"/>
      <c r="Y237" s="799"/>
      <c r="Z237" s="799"/>
    </row>
    <row r="238" ht="49.5" customHeight="1">
      <c r="A238" s="799"/>
      <c r="B238" s="799"/>
      <c r="C238" s="799"/>
      <c r="D238" s="799"/>
      <c r="E238" s="799"/>
      <c r="F238" s="799"/>
      <c r="G238" s="799"/>
      <c r="H238" s="799"/>
      <c r="I238" s="799"/>
      <c r="J238" s="799"/>
      <c r="K238" s="799"/>
      <c r="L238" s="885"/>
      <c r="M238" s="799"/>
      <c r="N238" s="799"/>
      <c r="O238" s="799"/>
      <c r="P238" s="799"/>
      <c r="Q238" s="799"/>
      <c r="R238" s="799"/>
      <c r="S238" s="799"/>
      <c r="T238" s="799"/>
      <c r="U238" s="799"/>
      <c r="V238" s="799"/>
      <c r="W238" s="799"/>
      <c r="X238" s="799"/>
      <c r="Y238" s="799"/>
      <c r="Z238" s="799"/>
    </row>
    <row r="239" ht="49.5" customHeight="1">
      <c r="A239" s="799"/>
      <c r="B239" s="799"/>
      <c r="C239" s="799"/>
      <c r="D239" s="799"/>
      <c r="E239" s="799"/>
      <c r="F239" s="799"/>
      <c r="G239" s="799"/>
      <c r="H239" s="799"/>
      <c r="I239" s="799"/>
      <c r="J239" s="799"/>
      <c r="K239" s="799"/>
      <c r="L239" s="885"/>
      <c r="M239" s="799"/>
      <c r="N239" s="799"/>
      <c r="O239" s="799"/>
      <c r="P239" s="799"/>
      <c r="Q239" s="799"/>
      <c r="R239" s="799"/>
      <c r="S239" s="799"/>
      <c r="T239" s="799"/>
      <c r="U239" s="799"/>
      <c r="V239" s="799"/>
      <c r="W239" s="799"/>
      <c r="X239" s="799"/>
      <c r="Y239" s="799"/>
      <c r="Z239" s="799"/>
    </row>
    <row r="240" ht="49.5" customHeight="1">
      <c r="A240" s="799"/>
      <c r="B240" s="799"/>
      <c r="C240" s="799"/>
      <c r="D240" s="799"/>
      <c r="E240" s="799"/>
      <c r="F240" s="799"/>
      <c r="G240" s="799"/>
      <c r="H240" s="799"/>
      <c r="I240" s="799"/>
      <c r="J240" s="799"/>
      <c r="K240" s="799"/>
      <c r="L240" s="885"/>
      <c r="M240" s="799"/>
      <c r="N240" s="799"/>
      <c r="O240" s="799"/>
      <c r="P240" s="799"/>
      <c r="Q240" s="799"/>
      <c r="R240" s="799"/>
      <c r="S240" s="799"/>
      <c r="T240" s="799"/>
      <c r="U240" s="799"/>
      <c r="V240" s="799"/>
      <c r="W240" s="799"/>
      <c r="X240" s="799"/>
      <c r="Y240" s="799"/>
      <c r="Z240" s="799"/>
    </row>
    <row r="241" ht="49.5" customHeight="1">
      <c r="A241" s="799"/>
      <c r="B241" s="799"/>
      <c r="C241" s="799"/>
      <c r="D241" s="799"/>
      <c r="E241" s="799"/>
      <c r="F241" s="799"/>
      <c r="G241" s="799"/>
      <c r="H241" s="799"/>
      <c r="I241" s="799"/>
      <c r="J241" s="799"/>
      <c r="K241" s="799"/>
      <c r="L241" s="885"/>
      <c r="M241" s="799"/>
      <c r="N241" s="799"/>
      <c r="O241" s="799"/>
      <c r="P241" s="799"/>
      <c r="Q241" s="799"/>
      <c r="R241" s="799"/>
      <c r="S241" s="799"/>
      <c r="T241" s="799"/>
      <c r="U241" s="799"/>
      <c r="V241" s="799"/>
      <c r="W241" s="799"/>
      <c r="X241" s="799"/>
      <c r="Y241" s="799"/>
      <c r="Z241" s="799"/>
    </row>
    <row r="242" ht="49.5" customHeight="1">
      <c r="A242" s="799"/>
      <c r="B242" s="799"/>
      <c r="C242" s="799"/>
      <c r="D242" s="799"/>
      <c r="E242" s="799"/>
      <c r="F242" s="799"/>
      <c r="G242" s="799"/>
      <c r="H242" s="799"/>
      <c r="I242" s="799"/>
      <c r="J242" s="799"/>
      <c r="K242" s="799"/>
      <c r="L242" s="885"/>
      <c r="M242" s="799"/>
      <c r="N242" s="799"/>
      <c r="O242" s="799"/>
      <c r="P242" s="799"/>
      <c r="Q242" s="799"/>
      <c r="R242" s="799"/>
      <c r="S242" s="799"/>
      <c r="T242" s="799"/>
      <c r="U242" s="799"/>
      <c r="V242" s="799"/>
      <c r="W242" s="799"/>
      <c r="X242" s="799"/>
      <c r="Y242" s="799"/>
      <c r="Z242" s="799"/>
    </row>
    <row r="243" ht="49.5" customHeight="1">
      <c r="A243" s="799"/>
      <c r="B243" s="799"/>
      <c r="C243" s="799"/>
      <c r="D243" s="799"/>
      <c r="E243" s="799"/>
      <c r="F243" s="799"/>
      <c r="G243" s="799"/>
      <c r="H243" s="799"/>
      <c r="I243" s="799"/>
      <c r="J243" s="799"/>
      <c r="K243" s="799"/>
      <c r="L243" s="885"/>
      <c r="M243" s="799"/>
      <c r="N243" s="799"/>
      <c r="O243" s="799"/>
      <c r="P243" s="799"/>
      <c r="Q243" s="799"/>
      <c r="R243" s="799"/>
      <c r="S243" s="799"/>
      <c r="T243" s="799"/>
      <c r="U243" s="799"/>
      <c r="V243" s="799"/>
      <c r="W243" s="799"/>
      <c r="X243" s="799"/>
      <c r="Y243" s="799"/>
      <c r="Z243" s="799"/>
    </row>
    <row r="244" ht="49.5" customHeight="1">
      <c r="A244" s="799"/>
      <c r="B244" s="799"/>
      <c r="C244" s="799"/>
      <c r="D244" s="799"/>
      <c r="E244" s="799"/>
      <c r="F244" s="799"/>
      <c r="G244" s="799"/>
      <c r="H244" s="799"/>
      <c r="I244" s="799"/>
      <c r="J244" s="799"/>
      <c r="K244" s="799"/>
      <c r="L244" s="885"/>
      <c r="M244" s="799"/>
      <c r="N244" s="799"/>
      <c r="O244" s="799"/>
      <c r="P244" s="799"/>
      <c r="Q244" s="799"/>
      <c r="R244" s="799"/>
      <c r="S244" s="799"/>
      <c r="T244" s="799"/>
      <c r="U244" s="799"/>
      <c r="V244" s="799"/>
      <c r="W244" s="799"/>
      <c r="X244" s="799"/>
      <c r="Y244" s="799"/>
      <c r="Z244" s="799"/>
    </row>
    <row r="245" ht="49.5" customHeight="1">
      <c r="A245" s="799"/>
      <c r="B245" s="799"/>
      <c r="C245" s="799"/>
      <c r="D245" s="799"/>
      <c r="E245" s="799"/>
      <c r="F245" s="799"/>
      <c r="G245" s="799"/>
      <c r="H245" s="799"/>
      <c r="I245" s="799"/>
      <c r="J245" s="799"/>
      <c r="K245" s="799"/>
      <c r="L245" s="885"/>
      <c r="M245" s="799"/>
      <c r="N245" s="799"/>
      <c r="O245" s="799"/>
      <c r="P245" s="799"/>
      <c r="Q245" s="799"/>
      <c r="R245" s="799"/>
      <c r="S245" s="799"/>
      <c r="T245" s="799"/>
      <c r="U245" s="799"/>
      <c r="V245" s="799"/>
      <c r="W245" s="799"/>
      <c r="X245" s="799"/>
      <c r="Y245" s="799"/>
      <c r="Z245" s="799"/>
    </row>
    <row r="246" ht="49.5" customHeight="1">
      <c r="A246" s="799"/>
      <c r="B246" s="799"/>
      <c r="C246" s="799"/>
      <c r="D246" s="799"/>
      <c r="E246" s="799"/>
      <c r="F246" s="799"/>
      <c r="G246" s="799"/>
      <c r="H246" s="799"/>
      <c r="I246" s="799"/>
      <c r="J246" s="799"/>
      <c r="K246" s="799"/>
      <c r="L246" s="885"/>
      <c r="M246" s="799"/>
      <c r="N246" s="799"/>
      <c r="O246" s="799"/>
      <c r="P246" s="799"/>
      <c r="Q246" s="799"/>
      <c r="R246" s="799"/>
      <c r="S246" s="799"/>
      <c r="T246" s="799"/>
      <c r="U246" s="799"/>
      <c r="V246" s="799"/>
      <c r="W246" s="799"/>
      <c r="X246" s="799"/>
      <c r="Y246" s="799"/>
      <c r="Z246" s="799"/>
    </row>
    <row r="247" ht="49.5" customHeight="1">
      <c r="A247" s="799"/>
      <c r="B247" s="799"/>
      <c r="C247" s="799"/>
      <c r="D247" s="799"/>
      <c r="E247" s="799"/>
      <c r="F247" s="799"/>
      <c r="G247" s="799"/>
      <c r="H247" s="799"/>
      <c r="I247" s="799"/>
      <c r="J247" s="799"/>
      <c r="K247" s="799"/>
      <c r="L247" s="885"/>
      <c r="M247" s="799"/>
      <c r="N247" s="799"/>
      <c r="O247" s="799"/>
      <c r="P247" s="799"/>
      <c r="Q247" s="799"/>
      <c r="R247" s="799"/>
      <c r="S247" s="799"/>
      <c r="T247" s="799"/>
      <c r="U247" s="799"/>
      <c r="V247" s="799"/>
      <c r="W247" s="799"/>
      <c r="X247" s="799"/>
      <c r="Y247" s="799"/>
      <c r="Z247" s="799"/>
    </row>
    <row r="248" ht="49.5" customHeight="1">
      <c r="A248" s="799"/>
      <c r="B248" s="799"/>
      <c r="C248" s="799"/>
      <c r="D248" s="799"/>
      <c r="E248" s="799"/>
      <c r="F248" s="799"/>
      <c r="G248" s="799"/>
      <c r="H248" s="799"/>
      <c r="I248" s="799"/>
      <c r="J248" s="799"/>
      <c r="K248" s="799"/>
      <c r="L248" s="885"/>
      <c r="M248" s="799"/>
      <c r="N248" s="799"/>
      <c r="O248" s="799"/>
      <c r="P248" s="799"/>
      <c r="Q248" s="799"/>
      <c r="R248" s="799"/>
      <c r="S248" s="799"/>
      <c r="T248" s="799"/>
      <c r="U248" s="799"/>
      <c r="V248" s="799"/>
      <c r="W248" s="799"/>
      <c r="X248" s="799"/>
      <c r="Y248" s="799"/>
      <c r="Z248" s="799"/>
    </row>
    <row r="249" ht="49.5" customHeight="1">
      <c r="A249" s="799"/>
      <c r="B249" s="799"/>
      <c r="C249" s="799"/>
      <c r="D249" s="799"/>
      <c r="E249" s="799"/>
      <c r="F249" s="799"/>
      <c r="G249" s="799"/>
      <c r="H249" s="799"/>
      <c r="I249" s="799"/>
      <c r="J249" s="799"/>
      <c r="K249" s="799"/>
      <c r="L249" s="885"/>
      <c r="M249" s="799"/>
      <c r="N249" s="799"/>
      <c r="O249" s="799"/>
      <c r="P249" s="799"/>
      <c r="Q249" s="799"/>
      <c r="R249" s="799"/>
      <c r="S249" s="799"/>
      <c r="T249" s="799"/>
      <c r="U249" s="799"/>
      <c r="V249" s="799"/>
      <c r="W249" s="799"/>
      <c r="X249" s="799"/>
      <c r="Y249" s="799"/>
      <c r="Z249" s="799"/>
    </row>
    <row r="250" ht="49.5" customHeight="1">
      <c r="A250" s="799"/>
      <c r="B250" s="799"/>
      <c r="C250" s="799"/>
      <c r="D250" s="799"/>
      <c r="E250" s="799"/>
      <c r="F250" s="799"/>
      <c r="G250" s="799"/>
      <c r="H250" s="799"/>
      <c r="I250" s="799"/>
      <c r="J250" s="799"/>
      <c r="K250" s="799"/>
      <c r="L250" s="885"/>
      <c r="M250" s="799"/>
      <c r="N250" s="799"/>
      <c r="O250" s="799"/>
      <c r="P250" s="799"/>
      <c r="Q250" s="799"/>
      <c r="R250" s="799"/>
      <c r="S250" s="799"/>
      <c r="T250" s="799"/>
      <c r="U250" s="799"/>
      <c r="V250" s="799"/>
      <c r="W250" s="799"/>
      <c r="X250" s="799"/>
      <c r="Y250" s="799"/>
      <c r="Z250" s="799"/>
    </row>
    <row r="251" ht="49.5" customHeight="1">
      <c r="A251" s="799"/>
      <c r="B251" s="799"/>
      <c r="C251" s="799"/>
      <c r="D251" s="799"/>
      <c r="E251" s="799"/>
      <c r="F251" s="799"/>
      <c r="G251" s="799"/>
      <c r="H251" s="799"/>
      <c r="I251" s="799"/>
      <c r="J251" s="799"/>
      <c r="K251" s="799"/>
      <c r="L251" s="885"/>
      <c r="M251" s="799"/>
      <c r="N251" s="799"/>
      <c r="O251" s="799"/>
      <c r="P251" s="799"/>
      <c r="Q251" s="799"/>
      <c r="R251" s="799"/>
      <c r="S251" s="799"/>
      <c r="T251" s="799"/>
      <c r="U251" s="799"/>
      <c r="V251" s="799"/>
      <c r="W251" s="799"/>
      <c r="X251" s="799"/>
      <c r="Y251" s="799"/>
      <c r="Z251" s="799"/>
    </row>
    <row r="252" ht="49.5" customHeight="1">
      <c r="A252" s="799"/>
      <c r="B252" s="799"/>
      <c r="C252" s="799"/>
      <c r="D252" s="799"/>
      <c r="E252" s="799"/>
      <c r="F252" s="799"/>
      <c r="G252" s="799"/>
      <c r="H252" s="799"/>
      <c r="I252" s="799"/>
      <c r="J252" s="799"/>
      <c r="K252" s="799"/>
      <c r="L252" s="885"/>
      <c r="M252" s="799"/>
      <c r="N252" s="799"/>
      <c r="O252" s="799"/>
      <c r="P252" s="799"/>
      <c r="Q252" s="799"/>
      <c r="R252" s="799"/>
      <c r="S252" s="799"/>
      <c r="T252" s="799"/>
      <c r="U252" s="799"/>
      <c r="V252" s="799"/>
      <c r="W252" s="799"/>
      <c r="X252" s="799"/>
      <c r="Y252" s="799"/>
      <c r="Z252" s="799"/>
    </row>
    <row r="253" ht="49.5" customHeight="1">
      <c r="A253" s="799"/>
      <c r="B253" s="799"/>
      <c r="C253" s="799"/>
      <c r="D253" s="799"/>
      <c r="E253" s="799"/>
      <c r="F253" s="799"/>
      <c r="G253" s="799"/>
      <c r="H253" s="799"/>
      <c r="I253" s="799"/>
      <c r="J253" s="799"/>
      <c r="K253" s="799"/>
      <c r="L253" s="885"/>
      <c r="M253" s="799"/>
      <c r="N253" s="799"/>
      <c r="O253" s="799"/>
      <c r="P253" s="799"/>
      <c r="Q253" s="799"/>
      <c r="R253" s="799"/>
      <c r="S253" s="799"/>
      <c r="T253" s="799"/>
      <c r="U253" s="799"/>
      <c r="V253" s="799"/>
      <c r="W253" s="799"/>
      <c r="X253" s="799"/>
      <c r="Y253" s="799"/>
      <c r="Z253" s="799"/>
    </row>
    <row r="254" ht="49.5" customHeight="1">
      <c r="A254" s="799"/>
      <c r="B254" s="799"/>
      <c r="C254" s="799"/>
      <c r="D254" s="799"/>
      <c r="E254" s="799"/>
      <c r="F254" s="799"/>
      <c r="G254" s="799"/>
      <c r="H254" s="799"/>
      <c r="I254" s="799"/>
      <c r="J254" s="799"/>
      <c r="K254" s="799"/>
      <c r="L254" s="885"/>
      <c r="M254" s="799"/>
      <c r="N254" s="799"/>
      <c r="O254" s="799"/>
      <c r="P254" s="799"/>
      <c r="Q254" s="799"/>
      <c r="R254" s="799"/>
      <c r="S254" s="799"/>
      <c r="T254" s="799"/>
      <c r="U254" s="799"/>
      <c r="V254" s="799"/>
      <c r="W254" s="799"/>
      <c r="X254" s="799"/>
      <c r="Y254" s="799"/>
      <c r="Z254" s="799"/>
    </row>
    <row r="255" ht="49.5" customHeight="1">
      <c r="A255" s="799"/>
      <c r="B255" s="799"/>
      <c r="C255" s="799"/>
      <c r="D255" s="799"/>
      <c r="E255" s="799"/>
      <c r="F255" s="799"/>
      <c r="G255" s="799"/>
      <c r="H255" s="799"/>
      <c r="I255" s="799"/>
      <c r="J255" s="799"/>
      <c r="K255" s="799"/>
      <c r="L255" s="885"/>
      <c r="M255" s="799"/>
      <c r="N255" s="799"/>
      <c r="O255" s="799"/>
      <c r="P255" s="799"/>
      <c r="Q255" s="799"/>
      <c r="R255" s="799"/>
      <c r="S255" s="799"/>
      <c r="T255" s="799"/>
      <c r="U255" s="799"/>
      <c r="V255" s="799"/>
      <c r="W255" s="799"/>
      <c r="X255" s="799"/>
      <c r="Y255" s="799"/>
      <c r="Z255" s="799"/>
    </row>
    <row r="256" ht="49.5" customHeight="1">
      <c r="A256" s="799"/>
      <c r="B256" s="799"/>
      <c r="C256" s="799"/>
      <c r="D256" s="799"/>
      <c r="E256" s="799"/>
      <c r="F256" s="799"/>
      <c r="G256" s="799"/>
      <c r="H256" s="799"/>
      <c r="I256" s="799"/>
      <c r="J256" s="799"/>
      <c r="K256" s="799"/>
      <c r="L256" s="885"/>
      <c r="M256" s="799"/>
      <c r="N256" s="799"/>
      <c r="O256" s="799"/>
      <c r="P256" s="799"/>
      <c r="Q256" s="799"/>
      <c r="R256" s="799"/>
      <c r="S256" s="799"/>
      <c r="T256" s="799"/>
      <c r="U256" s="799"/>
      <c r="V256" s="799"/>
      <c r="W256" s="799"/>
      <c r="X256" s="799"/>
      <c r="Y256" s="799"/>
      <c r="Z256" s="799"/>
    </row>
    <row r="257" ht="49.5" customHeight="1">
      <c r="A257" s="799"/>
      <c r="B257" s="799"/>
      <c r="C257" s="799"/>
      <c r="D257" s="799"/>
      <c r="E257" s="799"/>
      <c r="F257" s="799"/>
      <c r="G257" s="799"/>
      <c r="H257" s="799"/>
      <c r="I257" s="799"/>
      <c r="J257" s="799"/>
      <c r="K257" s="799"/>
      <c r="L257" s="885"/>
      <c r="M257" s="799"/>
      <c r="N257" s="799"/>
      <c r="O257" s="799"/>
      <c r="P257" s="799"/>
      <c r="Q257" s="799"/>
      <c r="R257" s="799"/>
      <c r="S257" s="799"/>
      <c r="T257" s="799"/>
      <c r="U257" s="799"/>
      <c r="V257" s="799"/>
      <c r="W257" s="799"/>
      <c r="X257" s="799"/>
      <c r="Y257" s="799"/>
      <c r="Z257" s="799"/>
    </row>
    <row r="258" ht="49.5" customHeight="1">
      <c r="A258" s="799"/>
      <c r="B258" s="799"/>
      <c r="C258" s="799"/>
      <c r="D258" s="799"/>
      <c r="E258" s="799"/>
      <c r="F258" s="799"/>
      <c r="G258" s="799"/>
      <c r="H258" s="799"/>
      <c r="I258" s="799"/>
      <c r="J258" s="799"/>
      <c r="K258" s="799"/>
      <c r="L258" s="885"/>
      <c r="M258" s="799"/>
      <c r="N258" s="799"/>
      <c r="O258" s="799"/>
      <c r="P258" s="799"/>
      <c r="Q258" s="799"/>
      <c r="R258" s="799"/>
      <c r="S258" s="799"/>
      <c r="T258" s="799"/>
      <c r="U258" s="799"/>
      <c r="V258" s="799"/>
      <c r="W258" s="799"/>
      <c r="X258" s="799"/>
      <c r="Y258" s="799"/>
      <c r="Z258" s="799"/>
    </row>
    <row r="259" ht="49.5" customHeight="1">
      <c r="A259" s="799"/>
      <c r="B259" s="799"/>
      <c r="C259" s="799"/>
      <c r="D259" s="799"/>
      <c r="E259" s="799"/>
      <c r="F259" s="799"/>
      <c r="G259" s="799"/>
      <c r="H259" s="799"/>
      <c r="I259" s="799"/>
      <c r="J259" s="799"/>
      <c r="K259" s="799"/>
      <c r="L259" s="885"/>
      <c r="M259" s="799"/>
      <c r="N259" s="799"/>
      <c r="O259" s="799"/>
      <c r="P259" s="799"/>
      <c r="Q259" s="799"/>
      <c r="R259" s="799"/>
      <c r="S259" s="799"/>
      <c r="T259" s="799"/>
      <c r="U259" s="799"/>
      <c r="V259" s="799"/>
      <c r="W259" s="799"/>
      <c r="X259" s="799"/>
      <c r="Y259" s="799"/>
      <c r="Z259" s="799"/>
    </row>
    <row r="260" ht="49.5" customHeight="1">
      <c r="A260" s="799"/>
      <c r="B260" s="799"/>
      <c r="C260" s="799"/>
      <c r="D260" s="799"/>
      <c r="E260" s="799"/>
      <c r="F260" s="799"/>
      <c r="G260" s="799"/>
      <c r="H260" s="799"/>
      <c r="I260" s="799"/>
      <c r="J260" s="799"/>
      <c r="K260" s="799"/>
      <c r="L260" s="885"/>
      <c r="M260" s="799"/>
      <c r="N260" s="799"/>
      <c r="O260" s="799"/>
      <c r="P260" s="799"/>
      <c r="Q260" s="799"/>
      <c r="R260" s="799"/>
      <c r="S260" s="799"/>
      <c r="T260" s="799"/>
      <c r="U260" s="799"/>
      <c r="V260" s="799"/>
      <c r="W260" s="799"/>
      <c r="X260" s="799"/>
      <c r="Y260" s="799"/>
      <c r="Z260" s="799"/>
    </row>
    <row r="261" ht="49.5" customHeight="1">
      <c r="A261" s="799"/>
      <c r="B261" s="799"/>
      <c r="C261" s="799"/>
      <c r="D261" s="799"/>
      <c r="E261" s="799"/>
      <c r="F261" s="799"/>
      <c r="G261" s="799"/>
      <c r="H261" s="799"/>
      <c r="I261" s="799"/>
      <c r="J261" s="799"/>
      <c r="K261" s="799"/>
      <c r="L261" s="885"/>
      <c r="M261" s="799"/>
      <c r="N261" s="799"/>
      <c r="O261" s="799"/>
      <c r="P261" s="799"/>
      <c r="Q261" s="799"/>
      <c r="R261" s="799"/>
      <c r="S261" s="799"/>
      <c r="T261" s="799"/>
      <c r="U261" s="799"/>
      <c r="V261" s="799"/>
      <c r="W261" s="799"/>
      <c r="X261" s="799"/>
      <c r="Y261" s="799"/>
      <c r="Z261" s="799"/>
    </row>
    <row r="262" ht="49.5" customHeight="1">
      <c r="A262" s="799"/>
      <c r="B262" s="799"/>
      <c r="C262" s="799"/>
      <c r="D262" s="799"/>
      <c r="E262" s="799"/>
      <c r="F262" s="799"/>
      <c r="G262" s="799"/>
      <c r="H262" s="799"/>
      <c r="I262" s="799"/>
      <c r="J262" s="799"/>
      <c r="K262" s="799"/>
      <c r="L262" s="885"/>
      <c r="M262" s="799"/>
      <c r="N262" s="799"/>
      <c r="O262" s="799"/>
      <c r="P262" s="799"/>
      <c r="Q262" s="799"/>
      <c r="R262" s="799"/>
      <c r="S262" s="799"/>
      <c r="T262" s="799"/>
      <c r="U262" s="799"/>
      <c r="V262" s="799"/>
      <c r="W262" s="799"/>
      <c r="X262" s="799"/>
      <c r="Y262" s="799"/>
      <c r="Z262" s="799"/>
    </row>
    <row r="263" ht="49.5" customHeight="1">
      <c r="A263" s="799"/>
      <c r="B263" s="799"/>
      <c r="C263" s="799"/>
      <c r="D263" s="799"/>
      <c r="E263" s="799"/>
      <c r="F263" s="799"/>
      <c r="G263" s="799"/>
      <c r="H263" s="799"/>
      <c r="I263" s="799"/>
      <c r="J263" s="799"/>
      <c r="K263" s="799"/>
      <c r="L263" s="885"/>
      <c r="M263" s="799"/>
      <c r="N263" s="799"/>
      <c r="O263" s="799"/>
      <c r="P263" s="799"/>
      <c r="Q263" s="799"/>
      <c r="R263" s="799"/>
      <c r="S263" s="799"/>
      <c r="T263" s="799"/>
      <c r="U263" s="799"/>
      <c r="V263" s="799"/>
      <c r="W263" s="799"/>
      <c r="X263" s="799"/>
      <c r="Y263" s="799"/>
      <c r="Z263" s="799"/>
    </row>
    <row r="264" ht="49.5" customHeight="1">
      <c r="A264" s="799"/>
      <c r="B264" s="799"/>
      <c r="C264" s="799"/>
      <c r="D264" s="799"/>
      <c r="E264" s="799"/>
      <c r="F264" s="799"/>
      <c r="G264" s="799"/>
      <c r="H264" s="799"/>
      <c r="I264" s="799"/>
      <c r="J264" s="799"/>
      <c r="K264" s="799"/>
      <c r="L264" s="885"/>
      <c r="M264" s="799"/>
      <c r="N264" s="799"/>
      <c r="O264" s="799"/>
      <c r="P264" s="799"/>
      <c r="Q264" s="799"/>
      <c r="R264" s="799"/>
      <c r="S264" s="799"/>
      <c r="T264" s="799"/>
      <c r="U264" s="799"/>
      <c r="V264" s="799"/>
      <c r="W264" s="799"/>
      <c r="X264" s="799"/>
      <c r="Y264" s="799"/>
      <c r="Z264" s="799"/>
    </row>
    <row r="265" ht="49.5" customHeight="1">
      <c r="A265" s="799"/>
      <c r="B265" s="799"/>
      <c r="C265" s="799"/>
      <c r="D265" s="799"/>
      <c r="E265" s="799"/>
      <c r="F265" s="799"/>
      <c r="G265" s="799"/>
      <c r="H265" s="799"/>
      <c r="I265" s="799"/>
      <c r="J265" s="799"/>
      <c r="K265" s="799"/>
      <c r="L265" s="885"/>
      <c r="M265" s="799"/>
      <c r="N265" s="799"/>
      <c r="O265" s="799"/>
      <c r="P265" s="799"/>
      <c r="Q265" s="799"/>
      <c r="R265" s="799"/>
      <c r="S265" s="799"/>
      <c r="T265" s="799"/>
      <c r="U265" s="799"/>
      <c r="V265" s="799"/>
      <c r="W265" s="799"/>
      <c r="X265" s="799"/>
      <c r="Y265" s="799"/>
      <c r="Z265" s="799"/>
    </row>
    <row r="266" ht="49.5" customHeight="1">
      <c r="A266" s="799"/>
      <c r="B266" s="799"/>
      <c r="C266" s="799"/>
      <c r="D266" s="799"/>
      <c r="E266" s="799"/>
      <c r="F266" s="799"/>
      <c r="G266" s="799"/>
      <c r="H266" s="799"/>
      <c r="I266" s="799"/>
      <c r="J266" s="799"/>
      <c r="K266" s="799"/>
      <c r="L266" s="885"/>
      <c r="M266" s="799"/>
      <c r="N266" s="799"/>
      <c r="O266" s="799"/>
      <c r="P266" s="799"/>
      <c r="Q266" s="799"/>
      <c r="R266" s="799"/>
      <c r="S266" s="799"/>
      <c r="T266" s="799"/>
      <c r="U266" s="799"/>
      <c r="V266" s="799"/>
      <c r="W266" s="799"/>
      <c r="X266" s="799"/>
      <c r="Y266" s="799"/>
      <c r="Z266" s="799"/>
    </row>
    <row r="267" ht="49.5" customHeight="1">
      <c r="A267" s="799"/>
      <c r="B267" s="799"/>
      <c r="C267" s="799"/>
      <c r="D267" s="799"/>
      <c r="E267" s="799"/>
      <c r="F267" s="799"/>
      <c r="G267" s="799"/>
      <c r="H267" s="799"/>
      <c r="I267" s="799"/>
      <c r="J267" s="799"/>
      <c r="K267" s="799"/>
      <c r="L267" s="885"/>
      <c r="M267" s="799"/>
      <c r="N267" s="799"/>
      <c r="O267" s="799"/>
      <c r="P267" s="799"/>
      <c r="Q267" s="799"/>
      <c r="R267" s="799"/>
      <c r="S267" s="799"/>
      <c r="T267" s="799"/>
      <c r="U267" s="799"/>
      <c r="V267" s="799"/>
      <c r="W267" s="799"/>
      <c r="X267" s="799"/>
      <c r="Y267" s="799"/>
      <c r="Z267" s="799"/>
    </row>
    <row r="268" ht="49.5" customHeight="1">
      <c r="A268" s="799"/>
      <c r="B268" s="799"/>
      <c r="C268" s="799"/>
      <c r="D268" s="799"/>
      <c r="E268" s="799"/>
      <c r="F268" s="799"/>
      <c r="G268" s="799"/>
      <c r="H268" s="799"/>
      <c r="I268" s="799"/>
      <c r="J268" s="799"/>
      <c r="K268" s="799"/>
      <c r="L268" s="885"/>
      <c r="M268" s="799"/>
      <c r="N268" s="799"/>
      <c r="O268" s="799"/>
      <c r="P268" s="799"/>
      <c r="Q268" s="799"/>
      <c r="R268" s="799"/>
      <c r="S268" s="799"/>
      <c r="T268" s="799"/>
      <c r="U268" s="799"/>
      <c r="V268" s="799"/>
      <c r="W268" s="799"/>
      <c r="X268" s="799"/>
      <c r="Y268" s="799"/>
      <c r="Z268" s="799"/>
    </row>
    <row r="269" ht="49.5" customHeight="1">
      <c r="A269" s="799"/>
      <c r="B269" s="799"/>
      <c r="C269" s="799"/>
      <c r="D269" s="799"/>
      <c r="E269" s="799"/>
      <c r="F269" s="799"/>
      <c r="G269" s="799"/>
      <c r="H269" s="799"/>
      <c r="I269" s="799"/>
      <c r="J269" s="799"/>
      <c r="K269" s="799"/>
      <c r="L269" s="885"/>
      <c r="M269" s="799"/>
      <c r="N269" s="799"/>
      <c r="O269" s="799"/>
      <c r="P269" s="799"/>
      <c r="Q269" s="799"/>
      <c r="R269" s="799"/>
      <c r="S269" s="799"/>
      <c r="T269" s="799"/>
      <c r="U269" s="799"/>
      <c r="V269" s="799"/>
      <c r="W269" s="799"/>
      <c r="X269" s="799"/>
      <c r="Y269" s="799"/>
      <c r="Z269" s="799"/>
    </row>
    <row r="270" ht="49.5" customHeight="1">
      <c r="A270" s="799"/>
      <c r="B270" s="799"/>
      <c r="C270" s="799"/>
      <c r="D270" s="799"/>
      <c r="E270" s="799"/>
      <c r="F270" s="799"/>
      <c r="G270" s="799"/>
      <c r="H270" s="799"/>
      <c r="I270" s="799"/>
      <c r="J270" s="799"/>
      <c r="K270" s="799"/>
      <c r="L270" s="885"/>
      <c r="M270" s="799"/>
      <c r="N270" s="799"/>
      <c r="O270" s="799"/>
      <c r="P270" s="799"/>
      <c r="Q270" s="799"/>
      <c r="R270" s="799"/>
      <c r="S270" s="799"/>
      <c r="T270" s="799"/>
      <c r="U270" s="799"/>
      <c r="V270" s="799"/>
      <c r="W270" s="799"/>
      <c r="X270" s="799"/>
      <c r="Y270" s="799"/>
      <c r="Z270" s="799"/>
    </row>
    <row r="271" ht="49.5" customHeight="1">
      <c r="A271" s="799"/>
      <c r="B271" s="799"/>
      <c r="C271" s="799"/>
      <c r="D271" s="799"/>
      <c r="E271" s="799"/>
      <c r="F271" s="799"/>
      <c r="G271" s="799"/>
      <c r="H271" s="799"/>
      <c r="I271" s="799"/>
      <c r="J271" s="799"/>
      <c r="K271" s="799"/>
      <c r="L271" s="885"/>
      <c r="M271" s="799"/>
      <c r="N271" s="799"/>
      <c r="O271" s="799"/>
      <c r="P271" s="799"/>
      <c r="Q271" s="799"/>
      <c r="R271" s="799"/>
      <c r="S271" s="799"/>
      <c r="T271" s="799"/>
      <c r="U271" s="799"/>
      <c r="V271" s="799"/>
      <c r="W271" s="799"/>
      <c r="X271" s="799"/>
      <c r="Y271" s="799"/>
      <c r="Z271" s="799"/>
    </row>
    <row r="272" ht="49.5" customHeight="1">
      <c r="A272" s="799"/>
      <c r="B272" s="799"/>
      <c r="C272" s="799"/>
      <c r="D272" s="799"/>
      <c r="E272" s="799"/>
      <c r="F272" s="799"/>
      <c r="G272" s="799"/>
      <c r="H272" s="799"/>
      <c r="I272" s="799"/>
      <c r="J272" s="799"/>
      <c r="K272" s="799"/>
      <c r="L272" s="885"/>
      <c r="M272" s="799"/>
      <c r="N272" s="799"/>
      <c r="O272" s="799"/>
      <c r="P272" s="799"/>
      <c r="Q272" s="799"/>
      <c r="R272" s="799"/>
      <c r="S272" s="799"/>
      <c r="T272" s="799"/>
      <c r="U272" s="799"/>
      <c r="V272" s="799"/>
      <c r="W272" s="799"/>
      <c r="X272" s="799"/>
      <c r="Y272" s="799"/>
      <c r="Z272" s="799"/>
    </row>
    <row r="273" ht="49.5" customHeight="1">
      <c r="A273" s="799"/>
      <c r="B273" s="799"/>
      <c r="C273" s="799"/>
      <c r="D273" s="799"/>
      <c r="E273" s="799"/>
      <c r="F273" s="799"/>
      <c r="G273" s="799"/>
      <c r="H273" s="799"/>
      <c r="I273" s="799"/>
      <c r="J273" s="799"/>
      <c r="K273" s="799"/>
      <c r="L273" s="885"/>
      <c r="M273" s="799"/>
      <c r="N273" s="799"/>
      <c r="O273" s="799"/>
      <c r="P273" s="799"/>
      <c r="Q273" s="799"/>
      <c r="R273" s="799"/>
      <c r="S273" s="799"/>
      <c r="T273" s="799"/>
      <c r="U273" s="799"/>
      <c r="V273" s="799"/>
      <c r="W273" s="799"/>
      <c r="X273" s="799"/>
      <c r="Y273" s="799"/>
      <c r="Z273" s="799"/>
    </row>
    <row r="274" ht="49.5" customHeight="1">
      <c r="A274" s="799"/>
      <c r="B274" s="799"/>
      <c r="C274" s="799"/>
      <c r="D274" s="799"/>
      <c r="E274" s="799"/>
      <c r="F274" s="799"/>
      <c r="G274" s="799"/>
      <c r="H274" s="799"/>
      <c r="I274" s="799"/>
      <c r="J274" s="799"/>
      <c r="K274" s="799"/>
      <c r="L274" s="885"/>
      <c r="M274" s="799"/>
      <c r="N274" s="799"/>
      <c r="O274" s="799"/>
      <c r="P274" s="799"/>
      <c r="Q274" s="799"/>
      <c r="R274" s="799"/>
      <c r="S274" s="799"/>
      <c r="T274" s="799"/>
      <c r="U274" s="799"/>
      <c r="V274" s="799"/>
      <c r="W274" s="799"/>
      <c r="X274" s="799"/>
      <c r="Y274" s="799"/>
      <c r="Z274" s="799"/>
    </row>
    <row r="275" ht="49.5" customHeight="1">
      <c r="A275" s="799"/>
      <c r="B275" s="799"/>
      <c r="C275" s="799"/>
      <c r="D275" s="799"/>
      <c r="E275" s="799"/>
      <c r="F275" s="799"/>
      <c r="G275" s="799"/>
      <c r="H275" s="799"/>
      <c r="I275" s="799"/>
      <c r="J275" s="799"/>
      <c r="K275" s="799"/>
      <c r="L275" s="885"/>
      <c r="M275" s="799"/>
      <c r="N275" s="799"/>
      <c r="O275" s="799"/>
      <c r="P275" s="799"/>
      <c r="Q275" s="799"/>
      <c r="R275" s="799"/>
      <c r="S275" s="799"/>
      <c r="T275" s="799"/>
      <c r="U275" s="799"/>
      <c r="V275" s="799"/>
      <c r="W275" s="799"/>
      <c r="X275" s="799"/>
      <c r="Y275" s="799"/>
      <c r="Z275" s="799"/>
    </row>
    <row r="276" ht="49.5" customHeight="1">
      <c r="A276" s="799"/>
      <c r="B276" s="799"/>
      <c r="C276" s="799"/>
      <c r="D276" s="799"/>
      <c r="E276" s="799"/>
      <c r="F276" s="799"/>
      <c r="G276" s="799"/>
      <c r="H276" s="799"/>
      <c r="I276" s="799"/>
      <c r="J276" s="799"/>
      <c r="K276" s="799"/>
      <c r="L276" s="885"/>
      <c r="M276" s="799"/>
      <c r="N276" s="799"/>
      <c r="O276" s="799"/>
      <c r="P276" s="799"/>
      <c r="Q276" s="799"/>
      <c r="R276" s="799"/>
      <c r="S276" s="799"/>
      <c r="T276" s="799"/>
      <c r="U276" s="799"/>
      <c r="V276" s="799"/>
      <c r="W276" s="799"/>
      <c r="X276" s="799"/>
      <c r="Y276" s="799"/>
      <c r="Z276" s="799"/>
    </row>
    <row r="277" ht="49.5" customHeight="1">
      <c r="A277" s="799"/>
      <c r="B277" s="799"/>
      <c r="C277" s="799"/>
      <c r="D277" s="799"/>
      <c r="E277" s="799"/>
      <c r="F277" s="799"/>
      <c r="G277" s="799"/>
      <c r="H277" s="799"/>
      <c r="I277" s="799"/>
      <c r="J277" s="799"/>
      <c r="K277" s="799"/>
      <c r="L277" s="885"/>
      <c r="M277" s="799"/>
      <c r="N277" s="799"/>
      <c r="O277" s="799"/>
      <c r="P277" s="799"/>
      <c r="Q277" s="799"/>
      <c r="R277" s="799"/>
      <c r="S277" s="799"/>
      <c r="T277" s="799"/>
      <c r="U277" s="799"/>
      <c r="V277" s="799"/>
      <c r="W277" s="799"/>
      <c r="X277" s="799"/>
      <c r="Y277" s="799"/>
      <c r="Z277" s="799"/>
    </row>
    <row r="278" ht="49.5" customHeight="1">
      <c r="A278" s="799"/>
      <c r="B278" s="799"/>
      <c r="C278" s="799"/>
      <c r="D278" s="799"/>
      <c r="E278" s="799"/>
      <c r="F278" s="799"/>
      <c r="G278" s="799"/>
      <c r="H278" s="799"/>
      <c r="I278" s="799"/>
      <c r="J278" s="799"/>
      <c r="K278" s="799"/>
      <c r="L278" s="885"/>
      <c r="M278" s="799"/>
      <c r="N278" s="799"/>
      <c r="O278" s="799"/>
      <c r="P278" s="799"/>
      <c r="Q278" s="799"/>
      <c r="R278" s="799"/>
      <c r="S278" s="799"/>
      <c r="T278" s="799"/>
      <c r="U278" s="799"/>
      <c r="V278" s="799"/>
      <c r="W278" s="799"/>
      <c r="X278" s="799"/>
      <c r="Y278" s="799"/>
      <c r="Z278" s="799"/>
    </row>
    <row r="279" ht="49.5" customHeight="1">
      <c r="A279" s="799"/>
      <c r="B279" s="799"/>
      <c r="C279" s="799"/>
      <c r="D279" s="799"/>
      <c r="E279" s="799"/>
      <c r="F279" s="799"/>
      <c r="G279" s="799"/>
      <c r="H279" s="799"/>
      <c r="I279" s="799"/>
      <c r="J279" s="799"/>
      <c r="K279" s="799"/>
      <c r="L279" s="885"/>
      <c r="M279" s="799"/>
      <c r="N279" s="799"/>
      <c r="O279" s="799"/>
      <c r="P279" s="799"/>
      <c r="Q279" s="799"/>
      <c r="R279" s="799"/>
      <c r="S279" s="799"/>
      <c r="T279" s="799"/>
      <c r="U279" s="799"/>
      <c r="V279" s="799"/>
      <c r="W279" s="799"/>
      <c r="X279" s="799"/>
      <c r="Y279" s="799"/>
      <c r="Z279" s="799"/>
    </row>
    <row r="280" ht="49.5" customHeight="1">
      <c r="A280" s="799"/>
      <c r="B280" s="799"/>
      <c r="C280" s="799"/>
      <c r="D280" s="799"/>
      <c r="E280" s="799"/>
      <c r="F280" s="799"/>
      <c r="G280" s="799"/>
      <c r="H280" s="799"/>
      <c r="I280" s="799"/>
      <c r="J280" s="799"/>
      <c r="K280" s="799"/>
      <c r="L280" s="885"/>
      <c r="M280" s="799"/>
      <c r="N280" s="799"/>
      <c r="O280" s="799"/>
      <c r="P280" s="799"/>
      <c r="Q280" s="799"/>
      <c r="R280" s="799"/>
      <c r="S280" s="799"/>
      <c r="T280" s="799"/>
      <c r="U280" s="799"/>
      <c r="V280" s="799"/>
      <c r="W280" s="799"/>
      <c r="X280" s="799"/>
      <c r="Y280" s="799"/>
      <c r="Z280" s="799"/>
    </row>
    <row r="281" ht="49.5" customHeight="1">
      <c r="A281" s="799"/>
      <c r="B281" s="799"/>
      <c r="C281" s="799"/>
      <c r="D281" s="799"/>
      <c r="E281" s="799"/>
      <c r="F281" s="799"/>
      <c r="G281" s="799"/>
      <c r="H281" s="799"/>
      <c r="I281" s="799"/>
      <c r="J281" s="799"/>
      <c r="K281" s="799"/>
      <c r="L281" s="885"/>
      <c r="M281" s="799"/>
      <c r="N281" s="799"/>
      <c r="O281" s="799"/>
      <c r="P281" s="799"/>
      <c r="Q281" s="799"/>
      <c r="R281" s="799"/>
      <c r="S281" s="799"/>
      <c r="T281" s="799"/>
      <c r="U281" s="799"/>
      <c r="V281" s="799"/>
      <c r="W281" s="799"/>
      <c r="X281" s="799"/>
      <c r="Y281" s="799"/>
      <c r="Z281" s="799"/>
    </row>
    <row r="282" ht="49.5" customHeight="1">
      <c r="A282" s="799"/>
      <c r="B282" s="799"/>
      <c r="C282" s="799"/>
      <c r="D282" s="799"/>
      <c r="E282" s="799"/>
      <c r="F282" s="799"/>
      <c r="G282" s="799"/>
      <c r="H282" s="799"/>
      <c r="I282" s="799"/>
      <c r="J282" s="799"/>
      <c r="K282" s="799"/>
      <c r="L282" s="885"/>
      <c r="M282" s="799"/>
      <c r="N282" s="799"/>
      <c r="O282" s="799"/>
      <c r="P282" s="799"/>
      <c r="Q282" s="799"/>
      <c r="R282" s="799"/>
      <c r="S282" s="799"/>
      <c r="T282" s="799"/>
      <c r="U282" s="799"/>
      <c r="V282" s="799"/>
      <c r="W282" s="799"/>
      <c r="X282" s="799"/>
      <c r="Y282" s="799"/>
      <c r="Z282" s="799"/>
    </row>
    <row r="283" ht="49.5" customHeight="1">
      <c r="A283" s="799"/>
      <c r="B283" s="799"/>
      <c r="C283" s="799"/>
      <c r="D283" s="799"/>
      <c r="E283" s="799"/>
      <c r="F283" s="799"/>
      <c r="G283" s="799"/>
      <c r="H283" s="799"/>
      <c r="I283" s="799"/>
      <c r="J283" s="799"/>
      <c r="K283" s="799"/>
      <c r="L283" s="885"/>
      <c r="M283" s="799"/>
      <c r="N283" s="799"/>
      <c r="O283" s="799"/>
      <c r="P283" s="799"/>
      <c r="Q283" s="799"/>
      <c r="R283" s="799"/>
      <c r="S283" s="799"/>
      <c r="T283" s="799"/>
      <c r="U283" s="799"/>
      <c r="V283" s="799"/>
      <c r="W283" s="799"/>
      <c r="X283" s="799"/>
      <c r="Y283" s="799"/>
      <c r="Z283" s="799"/>
    </row>
    <row r="284" ht="49.5" customHeight="1">
      <c r="A284" s="799"/>
      <c r="B284" s="799"/>
      <c r="C284" s="799"/>
      <c r="D284" s="799"/>
      <c r="E284" s="799"/>
      <c r="F284" s="799"/>
      <c r="G284" s="799"/>
      <c r="H284" s="799"/>
      <c r="I284" s="799"/>
      <c r="J284" s="799"/>
      <c r="K284" s="799"/>
      <c r="L284" s="885"/>
      <c r="M284" s="799"/>
      <c r="N284" s="799"/>
      <c r="O284" s="799"/>
      <c r="P284" s="799"/>
      <c r="Q284" s="799"/>
      <c r="R284" s="799"/>
      <c r="S284" s="799"/>
      <c r="T284" s="799"/>
      <c r="U284" s="799"/>
      <c r="V284" s="799"/>
      <c r="W284" s="799"/>
      <c r="X284" s="799"/>
      <c r="Y284" s="799"/>
      <c r="Z284" s="799"/>
    </row>
    <row r="285" ht="49.5" customHeight="1">
      <c r="A285" s="799"/>
      <c r="B285" s="799"/>
      <c r="C285" s="799"/>
      <c r="D285" s="799"/>
      <c r="E285" s="799"/>
      <c r="F285" s="799"/>
      <c r="G285" s="799"/>
      <c r="H285" s="799"/>
      <c r="I285" s="799"/>
      <c r="J285" s="799"/>
      <c r="K285" s="799"/>
      <c r="L285" s="885"/>
      <c r="M285" s="799"/>
      <c r="N285" s="799"/>
      <c r="O285" s="799"/>
      <c r="P285" s="799"/>
      <c r="Q285" s="799"/>
      <c r="R285" s="799"/>
      <c r="S285" s="799"/>
      <c r="T285" s="799"/>
      <c r="U285" s="799"/>
      <c r="V285" s="799"/>
      <c r="W285" s="799"/>
      <c r="X285" s="799"/>
      <c r="Y285" s="799"/>
      <c r="Z285" s="799"/>
    </row>
    <row r="286" ht="49.5" customHeight="1">
      <c r="A286" s="799"/>
      <c r="B286" s="799"/>
      <c r="C286" s="799"/>
      <c r="D286" s="799"/>
      <c r="E286" s="799"/>
      <c r="F286" s="799"/>
      <c r="G286" s="799"/>
      <c r="H286" s="799"/>
      <c r="I286" s="799"/>
      <c r="J286" s="799"/>
      <c r="K286" s="799"/>
      <c r="L286" s="885"/>
      <c r="M286" s="799"/>
      <c r="N286" s="799"/>
      <c r="O286" s="799"/>
      <c r="P286" s="799"/>
      <c r="Q286" s="799"/>
      <c r="R286" s="799"/>
      <c r="S286" s="799"/>
      <c r="T286" s="799"/>
      <c r="U286" s="799"/>
      <c r="V286" s="799"/>
      <c r="W286" s="799"/>
      <c r="X286" s="799"/>
      <c r="Y286" s="799"/>
      <c r="Z286" s="799"/>
    </row>
    <row r="287" ht="49.5" customHeight="1">
      <c r="A287" s="799"/>
      <c r="B287" s="799"/>
      <c r="C287" s="799"/>
      <c r="D287" s="799"/>
      <c r="E287" s="799"/>
      <c r="F287" s="799"/>
      <c r="G287" s="799"/>
      <c r="H287" s="799"/>
      <c r="I287" s="799"/>
      <c r="J287" s="799"/>
      <c r="K287" s="799"/>
      <c r="L287" s="885"/>
      <c r="M287" s="799"/>
      <c r="N287" s="799"/>
      <c r="O287" s="799"/>
      <c r="P287" s="799"/>
      <c r="Q287" s="799"/>
      <c r="R287" s="799"/>
      <c r="S287" s="799"/>
      <c r="T287" s="799"/>
      <c r="U287" s="799"/>
      <c r="V287" s="799"/>
      <c r="W287" s="799"/>
      <c r="X287" s="799"/>
      <c r="Y287" s="799"/>
      <c r="Z287" s="799"/>
    </row>
    <row r="288" ht="49.5" customHeight="1">
      <c r="A288" s="799"/>
      <c r="B288" s="799"/>
      <c r="C288" s="799"/>
      <c r="D288" s="799"/>
      <c r="E288" s="799"/>
      <c r="F288" s="799"/>
      <c r="G288" s="799"/>
      <c r="H288" s="799"/>
      <c r="I288" s="799"/>
      <c r="J288" s="799"/>
      <c r="K288" s="799"/>
      <c r="L288" s="885"/>
      <c r="M288" s="799"/>
      <c r="N288" s="799"/>
      <c r="O288" s="799"/>
      <c r="P288" s="799"/>
      <c r="Q288" s="799"/>
      <c r="R288" s="799"/>
      <c r="S288" s="799"/>
      <c r="T288" s="799"/>
      <c r="U288" s="799"/>
      <c r="V288" s="799"/>
      <c r="W288" s="799"/>
      <c r="X288" s="799"/>
      <c r="Y288" s="799"/>
      <c r="Z288" s="799"/>
    </row>
    <row r="289" ht="49.5" customHeight="1">
      <c r="A289" s="799"/>
      <c r="B289" s="799"/>
      <c r="C289" s="799"/>
      <c r="D289" s="799"/>
      <c r="E289" s="799"/>
      <c r="F289" s="799"/>
      <c r="G289" s="799"/>
      <c r="H289" s="799"/>
      <c r="I289" s="799"/>
      <c r="J289" s="799"/>
      <c r="K289" s="799"/>
      <c r="L289" s="885"/>
      <c r="M289" s="799"/>
      <c r="N289" s="799"/>
      <c r="O289" s="799"/>
      <c r="P289" s="799"/>
      <c r="Q289" s="799"/>
      <c r="R289" s="799"/>
      <c r="S289" s="799"/>
      <c r="T289" s="799"/>
      <c r="U289" s="799"/>
      <c r="V289" s="799"/>
      <c r="W289" s="799"/>
      <c r="X289" s="799"/>
      <c r="Y289" s="799"/>
      <c r="Z289" s="799"/>
    </row>
    <row r="290" ht="49.5" customHeight="1">
      <c r="A290" s="799"/>
      <c r="B290" s="799"/>
      <c r="C290" s="799"/>
      <c r="D290" s="799"/>
      <c r="E290" s="799"/>
      <c r="F290" s="799"/>
      <c r="G290" s="799"/>
      <c r="H290" s="799"/>
      <c r="I290" s="799"/>
      <c r="J290" s="799"/>
      <c r="K290" s="799"/>
      <c r="L290" s="885"/>
      <c r="M290" s="799"/>
      <c r="N290" s="799"/>
      <c r="O290" s="799"/>
      <c r="P290" s="799"/>
      <c r="Q290" s="799"/>
      <c r="R290" s="799"/>
      <c r="S290" s="799"/>
      <c r="T290" s="799"/>
      <c r="U290" s="799"/>
      <c r="V290" s="799"/>
      <c r="W290" s="799"/>
      <c r="X290" s="799"/>
      <c r="Y290" s="799"/>
      <c r="Z290" s="799"/>
    </row>
    <row r="291" ht="49.5" customHeight="1">
      <c r="A291" s="799"/>
      <c r="B291" s="799"/>
      <c r="C291" s="799"/>
      <c r="D291" s="799"/>
      <c r="E291" s="799"/>
      <c r="F291" s="799"/>
      <c r="G291" s="799"/>
      <c r="H291" s="799"/>
      <c r="I291" s="799"/>
      <c r="J291" s="799"/>
      <c r="K291" s="799"/>
      <c r="L291" s="885"/>
      <c r="M291" s="799"/>
      <c r="N291" s="799"/>
      <c r="O291" s="799"/>
      <c r="P291" s="799"/>
      <c r="Q291" s="799"/>
      <c r="R291" s="799"/>
      <c r="S291" s="799"/>
      <c r="T291" s="799"/>
      <c r="U291" s="799"/>
      <c r="V291" s="799"/>
      <c r="W291" s="799"/>
      <c r="X291" s="799"/>
      <c r="Y291" s="799"/>
      <c r="Z291" s="799"/>
    </row>
    <row r="292" ht="49.5" customHeight="1">
      <c r="A292" s="799"/>
      <c r="B292" s="799"/>
      <c r="C292" s="799"/>
      <c r="D292" s="799"/>
      <c r="E292" s="799"/>
      <c r="F292" s="799"/>
      <c r="G292" s="799"/>
      <c r="H292" s="799"/>
      <c r="I292" s="799"/>
      <c r="J292" s="799"/>
      <c r="K292" s="799"/>
      <c r="L292" s="885"/>
      <c r="M292" s="799"/>
      <c r="N292" s="799"/>
      <c r="O292" s="799"/>
      <c r="P292" s="799"/>
      <c r="Q292" s="799"/>
      <c r="R292" s="799"/>
      <c r="S292" s="799"/>
      <c r="T292" s="799"/>
      <c r="U292" s="799"/>
      <c r="V292" s="799"/>
      <c r="W292" s="799"/>
      <c r="X292" s="799"/>
      <c r="Y292" s="799"/>
      <c r="Z292" s="799"/>
    </row>
    <row r="293" ht="49.5" customHeight="1">
      <c r="A293" s="799"/>
      <c r="B293" s="799"/>
      <c r="C293" s="799"/>
      <c r="D293" s="799"/>
      <c r="E293" s="799"/>
      <c r="F293" s="799"/>
      <c r="G293" s="799"/>
      <c r="H293" s="799"/>
      <c r="I293" s="799"/>
      <c r="J293" s="799"/>
      <c r="K293" s="799"/>
      <c r="L293" s="885"/>
      <c r="M293" s="799"/>
      <c r="N293" s="799"/>
      <c r="O293" s="799"/>
      <c r="P293" s="799"/>
      <c r="Q293" s="799"/>
      <c r="R293" s="799"/>
      <c r="S293" s="799"/>
      <c r="T293" s="799"/>
      <c r="U293" s="799"/>
      <c r="V293" s="799"/>
      <c r="W293" s="799"/>
      <c r="X293" s="799"/>
      <c r="Y293" s="799"/>
      <c r="Z293" s="799"/>
    </row>
    <row r="294" ht="49.5" customHeight="1">
      <c r="A294" s="799"/>
      <c r="B294" s="799"/>
      <c r="C294" s="799"/>
      <c r="D294" s="799"/>
      <c r="E294" s="799"/>
      <c r="F294" s="799"/>
      <c r="G294" s="799"/>
      <c r="H294" s="799"/>
      <c r="I294" s="799"/>
      <c r="J294" s="799"/>
      <c r="K294" s="799"/>
      <c r="L294" s="885"/>
      <c r="M294" s="799"/>
      <c r="N294" s="799"/>
      <c r="O294" s="799"/>
      <c r="P294" s="799"/>
      <c r="Q294" s="799"/>
      <c r="R294" s="799"/>
      <c r="S294" s="799"/>
      <c r="T294" s="799"/>
      <c r="U294" s="799"/>
      <c r="V294" s="799"/>
      <c r="W294" s="799"/>
      <c r="X294" s="799"/>
      <c r="Y294" s="799"/>
      <c r="Z294" s="799"/>
    </row>
    <row r="295" ht="49.5" customHeight="1">
      <c r="A295" s="799"/>
      <c r="B295" s="799"/>
      <c r="C295" s="799"/>
      <c r="D295" s="799"/>
      <c r="E295" s="799"/>
      <c r="F295" s="799"/>
      <c r="G295" s="799"/>
      <c r="H295" s="799"/>
      <c r="I295" s="799"/>
      <c r="J295" s="799"/>
      <c r="K295" s="799"/>
      <c r="L295" s="885"/>
      <c r="M295" s="799"/>
      <c r="N295" s="799"/>
      <c r="O295" s="799"/>
      <c r="P295" s="799"/>
      <c r="Q295" s="799"/>
      <c r="R295" s="799"/>
      <c r="S295" s="799"/>
      <c r="T295" s="799"/>
      <c r="U295" s="799"/>
      <c r="V295" s="799"/>
      <c r="W295" s="799"/>
      <c r="X295" s="799"/>
      <c r="Y295" s="799"/>
      <c r="Z295" s="799"/>
    </row>
    <row r="296" ht="49.5" customHeight="1">
      <c r="A296" s="799"/>
      <c r="B296" s="799"/>
      <c r="C296" s="799"/>
      <c r="D296" s="799"/>
      <c r="E296" s="799"/>
      <c r="F296" s="799"/>
      <c r="G296" s="799"/>
      <c r="H296" s="799"/>
      <c r="I296" s="799"/>
      <c r="J296" s="799"/>
      <c r="K296" s="799"/>
      <c r="L296" s="885"/>
      <c r="M296" s="799"/>
      <c r="N296" s="799"/>
      <c r="O296" s="799"/>
      <c r="P296" s="799"/>
      <c r="Q296" s="799"/>
      <c r="R296" s="799"/>
      <c r="S296" s="799"/>
      <c r="T296" s="799"/>
      <c r="U296" s="799"/>
      <c r="V296" s="799"/>
      <c r="W296" s="799"/>
      <c r="X296" s="799"/>
      <c r="Y296" s="799"/>
      <c r="Z296" s="799"/>
    </row>
    <row r="297" ht="49.5" customHeight="1">
      <c r="A297" s="799"/>
      <c r="B297" s="799"/>
      <c r="C297" s="799"/>
      <c r="D297" s="799"/>
      <c r="E297" s="799"/>
      <c r="F297" s="799"/>
      <c r="G297" s="799"/>
      <c r="H297" s="799"/>
      <c r="I297" s="799"/>
      <c r="J297" s="799"/>
      <c r="K297" s="799"/>
      <c r="L297" s="885"/>
      <c r="M297" s="799"/>
      <c r="N297" s="799"/>
      <c r="O297" s="799"/>
      <c r="P297" s="799"/>
      <c r="Q297" s="799"/>
      <c r="R297" s="799"/>
      <c r="S297" s="799"/>
      <c r="T297" s="799"/>
      <c r="U297" s="799"/>
      <c r="V297" s="799"/>
      <c r="W297" s="799"/>
      <c r="X297" s="799"/>
      <c r="Y297" s="799"/>
      <c r="Z297" s="799"/>
    </row>
    <row r="298" ht="49.5" customHeight="1">
      <c r="A298" s="799"/>
      <c r="B298" s="799"/>
      <c r="C298" s="799"/>
      <c r="D298" s="799"/>
      <c r="E298" s="799"/>
      <c r="F298" s="799"/>
      <c r="G298" s="799"/>
      <c r="H298" s="799"/>
      <c r="I298" s="799"/>
      <c r="J298" s="799"/>
      <c r="K298" s="799"/>
      <c r="L298" s="885"/>
      <c r="M298" s="799"/>
      <c r="N298" s="799"/>
      <c r="O298" s="799"/>
      <c r="P298" s="799"/>
      <c r="Q298" s="799"/>
      <c r="R298" s="799"/>
      <c r="S298" s="799"/>
      <c r="T298" s="799"/>
      <c r="U298" s="799"/>
      <c r="V298" s="799"/>
      <c r="W298" s="799"/>
      <c r="X298" s="799"/>
      <c r="Y298" s="799"/>
      <c r="Z298" s="799"/>
    </row>
    <row r="299" ht="49.5" customHeight="1">
      <c r="A299" s="799"/>
      <c r="B299" s="799"/>
      <c r="C299" s="799"/>
      <c r="D299" s="799"/>
      <c r="E299" s="799"/>
      <c r="F299" s="799"/>
      <c r="G299" s="799"/>
      <c r="H299" s="799"/>
      <c r="I299" s="799"/>
      <c r="J299" s="799"/>
      <c r="K299" s="799"/>
      <c r="L299" s="885"/>
      <c r="M299" s="799"/>
      <c r="N299" s="799"/>
      <c r="O299" s="799"/>
      <c r="P299" s="799"/>
      <c r="Q299" s="799"/>
      <c r="R299" s="799"/>
      <c r="S299" s="799"/>
      <c r="T299" s="799"/>
      <c r="U299" s="799"/>
      <c r="V299" s="799"/>
      <c r="W299" s="799"/>
      <c r="X299" s="799"/>
      <c r="Y299" s="799"/>
      <c r="Z299" s="799"/>
    </row>
    <row r="300" ht="49.5" customHeight="1">
      <c r="A300" s="799"/>
      <c r="B300" s="799"/>
      <c r="C300" s="799"/>
      <c r="D300" s="799"/>
      <c r="E300" s="799"/>
      <c r="F300" s="799"/>
      <c r="G300" s="799"/>
      <c r="H300" s="799"/>
      <c r="I300" s="799"/>
      <c r="J300" s="799"/>
      <c r="K300" s="799"/>
      <c r="L300" s="885"/>
      <c r="M300" s="799"/>
      <c r="N300" s="799"/>
      <c r="O300" s="799"/>
      <c r="P300" s="799"/>
      <c r="Q300" s="799"/>
      <c r="R300" s="799"/>
      <c r="S300" s="799"/>
      <c r="T300" s="799"/>
      <c r="U300" s="799"/>
      <c r="V300" s="799"/>
      <c r="W300" s="799"/>
      <c r="X300" s="799"/>
      <c r="Y300" s="799"/>
      <c r="Z300" s="799"/>
    </row>
    <row r="301" ht="49.5" customHeight="1">
      <c r="A301" s="799"/>
      <c r="B301" s="799"/>
      <c r="C301" s="799"/>
      <c r="D301" s="799"/>
      <c r="E301" s="799"/>
      <c r="F301" s="799"/>
      <c r="G301" s="799"/>
      <c r="H301" s="799"/>
      <c r="I301" s="799"/>
      <c r="J301" s="799"/>
      <c r="K301" s="799"/>
      <c r="L301" s="885"/>
      <c r="M301" s="799"/>
      <c r="N301" s="799"/>
      <c r="O301" s="799"/>
      <c r="P301" s="799"/>
      <c r="Q301" s="799"/>
      <c r="R301" s="799"/>
      <c r="S301" s="799"/>
      <c r="T301" s="799"/>
      <c r="U301" s="799"/>
      <c r="V301" s="799"/>
      <c r="W301" s="799"/>
      <c r="X301" s="799"/>
      <c r="Y301" s="799"/>
      <c r="Z301" s="799"/>
    </row>
    <row r="302" ht="49.5" customHeight="1">
      <c r="A302" s="799"/>
      <c r="B302" s="799"/>
      <c r="C302" s="799"/>
      <c r="D302" s="799"/>
      <c r="E302" s="799"/>
      <c r="F302" s="799"/>
      <c r="G302" s="799"/>
      <c r="H302" s="799"/>
      <c r="I302" s="799"/>
      <c r="J302" s="799"/>
      <c r="K302" s="799"/>
      <c r="L302" s="885"/>
      <c r="M302" s="799"/>
      <c r="N302" s="799"/>
      <c r="O302" s="799"/>
      <c r="P302" s="799"/>
      <c r="Q302" s="799"/>
      <c r="R302" s="799"/>
      <c r="S302" s="799"/>
      <c r="T302" s="799"/>
      <c r="U302" s="799"/>
      <c r="V302" s="799"/>
      <c r="W302" s="799"/>
      <c r="X302" s="799"/>
      <c r="Y302" s="799"/>
      <c r="Z302" s="799"/>
    </row>
    <row r="303" ht="49.5" customHeight="1">
      <c r="A303" s="799"/>
      <c r="B303" s="799"/>
      <c r="C303" s="799"/>
      <c r="D303" s="799"/>
      <c r="E303" s="799"/>
      <c r="F303" s="799"/>
      <c r="G303" s="799"/>
      <c r="H303" s="799"/>
      <c r="I303" s="799"/>
      <c r="J303" s="799"/>
      <c r="K303" s="799"/>
      <c r="L303" s="885"/>
      <c r="M303" s="799"/>
      <c r="N303" s="799"/>
      <c r="O303" s="799"/>
      <c r="P303" s="799"/>
      <c r="Q303" s="799"/>
      <c r="R303" s="799"/>
      <c r="S303" s="799"/>
      <c r="T303" s="799"/>
      <c r="U303" s="799"/>
      <c r="V303" s="799"/>
      <c r="W303" s="799"/>
      <c r="X303" s="799"/>
      <c r="Y303" s="799"/>
      <c r="Z303" s="799"/>
    </row>
    <row r="304" ht="49.5" customHeight="1">
      <c r="A304" s="799"/>
      <c r="B304" s="799"/>
      <c r="C304" s="799"/>
      <c r="D304" s="799"/>
      <c r="E304" s="799"/>
      <c r="F304" s="799"/>
      <c r="G304" s="799"/>
      <c r="H304" s="799"/>
      <c r="I304" s="799"/>
      <c r="J304" s="799"/>
      <c r="K304" s="799"/>
      <c r="L304" s="885"/>
      <c r="M304" s="799"/>
      <c r="N304" s="799"/>
      <c r="O304" s="799"/>
      <c r="P304" s="799"/>
      <c r="Q304" s="799"/>
      <c r="R304" s="799"/>
      <c r="S304" s="799"/>
      <c r="T304" s="799"/>
      <c r="U304" s="799"/>
      <c r="V304" s="799"/>
      <c r="W304" s="799"/>
      <c r="X304" s="799"/>
      <c r="Y304" s="799"/>
      <c r="Z304" s="799"/>
    </row>
    <row r="305" ht="49.5" customHeight="1">
      <c r="A305" s="799"/>
      <c r="B305" s="799"/>
      <c r="C305" s="799"/>
      <c r="D305" s="799"/>
      <c r="E305" s="799"/>
      <c r="F305" s="799"/>
      <c r="G305" s="799"/>
      <c r="H305" s="799"/>
      <c r="I305" s="799"/>
      <c r="J305" s="799"/>
      <c r="K305" s="799"/>
      <c r="L305" s="885"/>
      <c r="M305" s="799"/>
      <c r="N305" s="799"/>
      <c r="O305" s="799"/>
      <c r="P305" s="799"/>
      <c r="Q305" s="799"/>
      <c r="R305" s="799"/>
      <c r="S305" s="799"/>
      <c r="T305" s="799"/>
      <c r="U305" s="799"/>
      <c r="V305" s="799"/>
      <c r="W305" s="799"/>
      <c r="X305" s="799"/>
      <c r="Y305" s="799"/>
      <c r="Z305" s="799"/>
    </row>
    <row r="306" ht="49.5" customHeight="1">
      <c r="A306" s="799"/>
      <c r="B306" s="799"/>
      <c r="C306" s="799"/>
      <c r="D306" s="799"/>
      <c r="E306" s="799"/>
      <c r="F306" s="799"/>
      <c r="G306" s="799"/>
      <c r="H306" s="799"/>
      <c r="I306" s="799"/>
      <c r="J306" s="799"/>
      <c r="K306" s="799"/>
      <c r="L306" s="885"/>
      <c r="M306" s="799"/>
      <c r="N306" s="799"/>
      <c r="O306" s="799"/>
      <c r="P306" s="799"/>
      <c r="Q306" s="799"/>
      <c r="R306" s="799"/>
      <c r="S306" s="799"/>
      <c r="T306" s="799"/>
      <c r="U306" s="799"/>
      <c r="V306" s="799"/>
      <c r="W306" s="799"/>
      <c r="X306" s="799"/>
      <c r="Y306" s="799"/>
      <c r="Z306" s="799"/>
    </row>
    <row r="307" ht="49.5" customHeight="1">
      <c r="A307" s="799"/>
      <c r="B307" s="799"/>
      <c r="C307" s="799"/>
      <c r="D307" s="799"/>
      <c r="E307" s="799"/>
      <c r="F307" s="799"/>
      <c r="G307" s="799"/>
      <c r="H307" s="799"/>
      <c r="I307" s="799"/>
      <c r="J307" s="799"/>
      <c r="K307" s="799"/>
      <c r="L307" s="885"/>
      <c r="M307" s="799"/>
      <c r="N307" s="799"/>
      <c r="O307" s="799"/>
      <c r="P307" s="799"/>
      <c r="Q307" s="799"/>
      <c r="R307" s="799"/>
      <c r="S307" s="799"/>
      <c r="T307" s="799"/>
      <c r="U307" s="799"/>
      <c r="V307" s="799"/>
      <c r="W307" s="799"/>
      <c r="X307" s="799"/>
      <c r="Y307" s="799"/>
      <c r="Z307" s="799"/>
    </row>
    <row r="308" ht="49.5" customHeight="1">
      <c r="A308" s="799"/>
      <c r="B308" s="799"/>
      <c r="C308" s="799"/>
      <c r="D308" s="799"/>
      <c r="E308" s="799"/>
      <c r="F308" s="799"/>
      <c r="G308" s="799"/>
      <c r="H308" s="799"/>
      <c r="I308" s="799"/>
      <c r="J308" s="799"/>
      <c r="K308" s="799"/>
      <c r="L308" s="885"/>
      <c r="M308" s="799"/>
      <c r="N308" s="799"/>
      <c r="O308" s="799"/>
      <c r="P308" s="799"/>
      <c r="Q308" s="799"/>
      <c r="R308" s="799"/>
      <c r="S308" s="799"/>
      <c r="T308" s="799"/>
      <c r="U308" s="799"/>
      <c r="V308" s="799"/>
      <c r="W308" s="799"/>
      <c r="X308" s="799"/>
      <c r="Y308" s="799"/>
      <c r="Z308" s="799"/>
    </row>
    <row r="309" ht="49.5" customHeight="1">
      <c r="A309" s="799"/>
      <c r="B309" s="799"/>
      <c r="C309" s="799"/>
      <c r="D309" s="799"/>
      <c r="E309" s="799"/>
      <c r="F309" s="799"/>
      <c r="G309" s="799"/>
      <c r="H309" s="799"/>
      <c r="I309" s="799"/>
      <c r="J309" s="799"/>
      <c r="K309" s="799"/>
      <c r="L309" s="885"/>
      <c r="M309" s="799"/>
      <c r="N309" s="799"/>
      <c r="O309" s="799"/>
      <c r="P309" s="799"/>
      <c r="Q309" s="799"/>
      <c r="R309" s="799"/>
      <c r="S309" s="799"/>
      <c r="T309" s="799"/>
      <c r="U309" s="799"/>
      <c r="V309" s="799"/>
      <c r="W309" s="799"/>
      <c r="X309" s="799"/>
      <c r="Y309" s="799"/>
      <c r="Z309" s="799"/>
    </row>
    <row r="310" ht="49.5" customHeight="1">
      <c r="A310" s="799"/>
      <c r="B310" s="799"/>
      <c r="C310" s="799"/>
      <c r="D310" s="799"/>
      <c r="E310" s="799"/>
      <c r="F310" s="799"/>
      <c r="G310" s="799"/>
      <c r="H310" s="799"/>
      <c r="I310" s="799"/>
      <c r="J310" s="799"/>
      <c r="K310" s="799"/>
      <c r="L310" s="885"/>
      <c r="M310" s="799"/>
      <c r="N310" s="799"/>
      <c r="O310" s="799"/>
      <c r="P310" s="799"/>
      <c r="Q310" s="799"/>
      <c r="R310" s="799"/>
      <c r="S310" s="799"/>
      <c r="T310" s="799"/>
      <c r="U310" s="799"/>
      <c r="V310" s="799"/>
      <c r="W310" s="799"/>
      <c r="X310" s="799"/>
      <c r="Y310" s="799"/>
      <c r="Z310" s="799"/>
    </row>
    <row r="311" ht="49.5" customHeight="1">
      <c r="A311" s="799"/>
      <c r="B311" s="799"/>
      <c r="C311" s="799"/>
      <c r="D311" s="799"/>
      <c r="E311" s="799"/>
      <c r="F311" s="799"/>
      <c r="G311" s="799"/>
      <c r="H311" s="799"/>
      <c r="I311" s="799"/>
      <c r="J311" s="799"/>
      <c r="K311" s="799"/>
      <c r="L311" s="885"/>
      <c r="M311" s="799"/>
      <c r="N311" s="799"/>
      <c r="O311" s="799"/>
      <c r="P311" s="799"/>
      <c r="Q311" s="799"/>
      <c r="R311" s="799"/>
      <c r="S311" s="799"/>
      <c r="T311" s="799"/>
      <c r="U311" s="799"/>
      <c r="V311" s="799"/>
      <c r="W311" s="799"/>
      <c r="X311" s="799"/>
      <c r="Y311" s="799"/>
      <c r="Z311" s="799"/>
    </row>
    <row r="312" ht="49.5" customHeight="1">
      <c r="A312" s="799"/>
      <c r="B312" s="799"/>
      <c r="C312" s="799"/>
      <c r="D312" s="799"/>
      <c r="E312" s="799"/>
      <c r="F312" s="799"/>
      <c r="G312" s="799"/>
      <c r="H312" s="799"/>
      <c r="I312" s="799"/>
      <c r="J312" s="799"/>
      <c r="K312" s="799"/>
      <c r="L312" s="885"/>
      <c r="M312" s="799"/>
      <c r="N312" s="799"/>
      <c r="O312" s="799"/>
      <c r="P312" s="799"/>
      <c r="Q312" s="799"/>
      <c r="R312" s="799"/>
      <c r="S312" s="799"/>
      <c r="T312" s="799"/>
      <c r="U312" s="799"/>
      <c r="V312" s="799"/>
      <c r="W312" s="799"/>
      <c r="X312" s="799"/>
      <c r="Y312" s="799"/>
      <c r="Z312" s="799"/>
    </row>
    <row r="313" ht="49.5" customHeight="1">
      <c r="A313" s="799"/>
      <c r="B313" s="799"/>
      <c r="C313" s="799"/>
      <c r="D313" s="799"/>
      <c r="E313" s="799"/>
      <c r="F313" s="799"/>
      <c r="G313" s="799"/>
      <c r="H313" s="799"/>
      <c r="I313" s="799"/>
      <c r="J313" s="799"/>
      <c r="K313" s="799"/>
      <c r="L313" s="885"/>
      <c r="M313" s="799"/>
      <c r="N313" s="799"/>
      <c r="O313" s="799"/>
      <c r="P313" s="799"/>
      <c r="Q313" s="799"/>
      <c r="R313" s="799"/>
      <c r="S313" s="799"/>
      <c r="T313" s="799"/>
      <c r="U313" s="799"/>
      <c r="V313" s="799"/>
      <c r="W313" s="799"/>
      <c r="X313" s="799"/>
      <c r="Y313" s="799"/>
      <c r="Z313" s="799"/>
    </row>
    <row r="314" ht="49.5" customHeight="1">
      <c r="A314" s="799"/>
      <c r="B314" s="799"/>
      <c r="C314" s="799"/>
      <c r="D314" s="799"/>
      <c r="E314" s="799"/>
      <c r="F314" s="799"/>
      <c r="G314" s="799"/>
      <c r="H314" s="799"/>
      <c r="I314" s="799"/>
      <c r="J314" s="799"/>
      <c r="K314" s="799"/>
      <c r="L314" s="885"/>
      <c r="M314" s="799"/>
      <c r="N314" s="799"/>
      <c r="O314" s="799"/>
      <c r="P314" s="799"/>
      <c r="Q314" s="799"/>
      <c r="R314" s="799"/>
      <c r="S314" s="799"/>
      <c r="T314" s="799"/>
      <c r="U314" s="799"/>
      <c r="V314" s="799"/>
      <c r="W314" s="799"/>
      <c r="X314" s="799"/>
      <c r="Y314" s="799"/>
      <c r="Z314" s="799"/>
    </row>
    <row r="315" ht="49.5" customHeight="1">
      <c r="A315" s="799"/>
      <c r="B315" s="799"/>
      <c r="C315" s="799"/>
      <c r="D315" s="799"/>
      <c r="E315" s="799"/>
      <c r="F315" s="799"/>
      <c r="G315" s="799"/>
      <c r="H315" s="799"/>
      <c r="I315" s="799"/>
      <c r="J315" s="799"/>
      <c r="K315" s="799"/>
      <c r="L315" s="885"/>
      <c r="M315" s="799"/>
      <c r="N315" s="799"/>
      <c r="O315" s="799"/>
      <c r="P315" s="799"/>
      <c r="Q315" s="799"/>
      <c r="R315" s="799"/>
      <c r="S315" s="799"/>
      <c r="T315" s="799"/>
      <c r="U315" s="799"/>
      <c r="V315" s="799"/>
      <c r="W315" s="799"/>
      <c r="X315" s="799"/>
      <c r="Y315" s="799"/>
      <c r="Z315" s="799"/>
    </row>
    <row r="316" ht="49.5" customHeight="1">
      <c r="A316" s="799"/>
      <c r="B316" s="799"/>
      <c r="C316" s="799"/>
      <c r="D316" s="799"/>
      <c r="E316" s="799"/>
      <c r="F316" s="799"/>
      <c r="G316" s="799"/>
      <c r="H316" s="799"/>
      <c r="I316" s="799"/>
      <c r="J316" s="799"/>
      <c r="K316" s="799"/>
      <c r="L316" s="885"/>
      <c r="M316" s="799"/>
      <c r="N316" s="799"/>
      <c r="O316" s="799"/>
      <c r="P316" s="799"/>
      <c r="Q316" s="799"/>
      <c r="R316" s="799"/>
      <c r="S316" s="799"/>
      <c r="T316" s="799"/>
      <c r="U316" s="799"/>
      <c r="V316" s="799"/>
      <c r="W316" s="799"/>
      <c r="X316" s="799"/>
      <c r="Y316" s="799"/>
      <c r="Z316" s="799"/>
    </row>
    <row r="317" ht="49.5" customHeight="1">
      <c r="A317" s="799"/>
      <c r="B317" s="799"/>
      <c r="C317" s="799"/>
      <c r="D317" s="799"/>
      <c r="E317" s="799"/>
      <c r="F317" s="799"/>
      <c r="G317" s="799"/>
      <c r="H317" s="799"/>
      <c r="I317" s="799"/>
      <c r="J317" s="799"/>
      <c r="K317" s="799"/>
      <c r="L317" s="885"/>
      <c r="M317" s="799"/>
      <c r="N317" s="799"/>
      <c r="O317" s="799"/>
      <c r="P317" s="799"/>
      <c r="Q317" s="799"/>
      <c r="R317" s="799"/>
      <c r="S317" s="799"/>
      <c r="T317" s="799"/>
      <c r="U317" s="799"/>
      <c r="V317" s="799"/>
      <c r="W317" s="799"/>
      <c r="X317" s="799"/>
      <c r="Y317" s="799"/>
      <c r="Z317" s="799"/>
    </row>
    <row r="318" ht="49.5" customHeight="1">
      <c r="A318" s="799"/>
      <c r="B318" s="799"/>
      <c r="C318" s="799"/>
      <c r="D318" s="799"/>
      <c r="E318" s="799"/>
      <c r="F318" s="799"/>
      <c r="G318" s="799"/>
      <c r="H318" s="799"/>
      <c r="I318" s="799"/>
      <c r="J318" s="799"/>
      <c r="K318" s="799"/>
      <c r="L318" s="885"/>
      <c r="M318" s="799"/>
      <c r="N318" s="799"/>
      <c r="O318" s="799"/>
      <c r="P318" s="799"/>
      <c r="Q318" s="799"/>
      <c r="R318" s="799"/>
      <c r="S318" s="799"/>
      <c r="T318" s="799"/>
      <c r="U318" s="799"/>
      <c r="V318" s="799"/>
      <c r="W318" s="799"/>
      <c r="X318" s="799"/>
      <c r="Y318" s="799"/>
      <c r="Z318" s="799"/>
    </row>
    <row r="319" ht="49.5" customHeight="1">
      <c r="A319" s="799"/>
      <c r="B319" s="799"/>
      <c r="C319" s="799"/>
      <c r="D319" s="799"/>
      <c r="E319" s="799"/>
      <c r="F319" s="799"/>
      <c r="G319" s="799"/>
      <c r="H319" s="799"/>
      <c r="I319" s="799"/>
      <c r="J319" s="799"/>
      <c r="K319" s="799"/>
      <c r="L319" s="885"/>
      <c r="M319" s="799"/>
      <c r="N319" s="799"/>
      <c r="O319" s="799"/>
      <c r="P319" s="799"/>
      <c r="Q319" s="799"/>
      <c r="R319" s="799"/>
      <c r="S319" s="799"/>
      <c r="T319" s="799"/>
      <c r="U319" s="799"/>
      <c r="V319" s="799"/>
      <c r="W319" s="799"/>
      <c r="X319" s="799"/>
      <c r="Y319" s="799"/>
      <c r="Z319" s="799"/>
    </row>
    <row r="320" ht="49.5" customHeight="1">
      <c r="A320" s="799"/>
      <c r="B320" s="799"/>
      <c r="C320" s="799"/>
      <c r="D320" s="799"/>
      <c r="E320" s="799"/>
      <c r="F320" s="799"/>
      <c r="G320" s="799"/>
      <c r="H320" s="799"/>
      <c r="I320" s="799"/>
      <c r="J320" s="799"/>
      <c r="K320" s="799"/>
      <c r="L320" s="885"/>
      <c r="M320" s="799"/>
      <c r="N320" s="799"/>
      <c r="O320" s="799"/>
      <c r="P320" s="799"/>
      <c r="Q320" s="799"/>
      <c r="R320" s="799"/>
      <c r="S320" s="799"/>
      <c r="T320" s="799"/>
      <c r="U320" s="799"/>
      <c r="V320" s="799"/>
      <c r="W320" s="799"/>
      <c r="X320" s="799"/>
      <c r="Y320" s="799"/>
      <c r="Z320" s="799"/>
    </row>
    <row r="321" ht="49.5" customHeight="1">
      <c r="A321" s="799"/>
      <c r="B321" s="799"/>
      <c r="C321" s="799"/>
      <c r="D321" s="799"/>
      <c r="E321" s="799"/>
      <c r="F321" s="799"/>
      <c r="G321" s="799"/>
      <c r="H321" s="799"/>
      <c r="I321" s="799"/>
      <c r="J321" s="799"/>
      <c r="K321" s="799"/>
      <c r="L321" s="885"/>
      <c r="M321" s="799"/>
      <c r="N321" s="799"/>
      <c r="O321" s="799"/>
      <c r="P321" s="799"/>
      <c r="Q321" s="799"/>
      <c r="R321" s="799"/>
      <c r="S321" s="799"/>
      <c r="T321" s="799"/>
      <c r="U321" s="799"/>
      <c r="V321" s="799"/>
      <c r="W321" s="799"/>
      <c r="X321" s="799"/>
      <c r="Y321" s="799"/>
      <c r="Z321" s="799"/>
    </row>
    <row r="322" ht="49.5" customHeight="1">
      <c r="A322" s="799"/>
      <c r="B322" s="799"/>
      <c r="C322" s="799"/>
      <c r="D322" s="799"/>
      <c r="E322" s="799"/>
      <c r="F322" s="799"/>
      <c r="G322" s="799"/>
      <c r="H322" s="799"/>
      <c r="I322" s="799"/>
      <c r="J322" s="799"/>
      <c r="K322" s="799"/>
      <c r="L322" s="885"/>
      <c r="M322" s="799"/>
      <c r="N322" s="799"/>
      <c r="O322" s="799"/>
      <c r="P322" s="799"/>
      <c r="Q322" s="799"/>
      <c r="R322" s="799"/>
      <c r="S322" s="799"/>
      <c r="T322" s="799"/>
      <c r="U322" s="799"/>
      <c r="V322" s="799"/>
      <c r="W322" s="799"/>
      <c r="X322" s="799"/>
      <c r="Y322" s="799"/>
      <c r="Z322" s="799"/>
    </row>
    <row r="323" ht="49.5" customHeight="1">
      <c r="A323" s="799"/>
      <c r="B323" s="799"/>
      <c r="C323" s="799"/>
      <c r="D323" s="799"/>
      <c r="E323" s="799"/>
      <c r="F323" s="799"/>
      <c r="G323" s="799"/>
      <c r="H323" s="799"/>
      <c r="I323" s="799"/>
      <c r="J323" s="799"/>
      <c r="K323" s="799"/>
      <c r="L323" s="885"/>
      <c r="M323" s="799"/>
      <c r="N323" s="799"/>
      <c r="O323" s="799"/>
      <c r="P323" s="799"/>
      <c r="Q323" s="799"/>
      <c r="R323" s="799"/>
      <c r="S323" s="799"/>
      <c r="T323" s="799"/>
      <c r="U323" s="799"/>
      <c r="V323" s="799"/>
      <c r="W323" s="799"/>
      <c r="X323" s="799"/>
      <c r="Y323" s="799"/>
      <c r="Z323" s="799"/>
    </row>
    <row r="324" ht="49.5" customHeight="1">
      <c r="A324" s="799"/>
      <c r="B324" s="799"/>
      <c r="C324" s="799"/>
      <c r="D324" s="799"/>
      <c r="E324" s="799"/>
      <c r="F324" s="799"/>
      <c r="G324" s="799"/>
      <c r="H324" s="799"/>
      <c r="I324" s="799"/>
      <c r="J324" s="799"/>
      <c r="K324" s="799"/>
      <c r="L324" s="885"/>
      <c r="M324" s="799"/>
      <c r="N324" s="799"/>
      <c r="O324" s="799"/>
      <c r="P324" s="799"/>
      <c r="Q324" s="799"/>
      <c r="R324" s="799"/>
      <c r="S324" s="799"/>
      <c r="T324" s="799"/>
      <c r="U324" s="799"/>
      <c r="V324" s="799"/>
      <c r="W324" s="799"/>
      <c r="X324" s="799"/>
      <c r="Y324" s="799"/>
      <c r="Z324" s="799"/>
    </row>
    <row r="325" ht="49.5" customHeight="1">
      <c r="A325" s="799"/>
      <c r="B325" s="799"/>
      <c r="C325" s="799"/>
      <c r="D325" s="799"/>
      <c r="E325" s="799"/>
      <c r="F325" s="799"/>
      <c r="G325" s="799"/>
      <c r="H325" s="799"/>
      <c r="I325" s="799"/>
      <c r="J325" s="799"/>
      <c r="K325" s="799"/>
      <c r="L325" s="885"/>
      <c r="M325" s="799"/>
      <c r="N325" s="799"/>
      <c r="O325" s="799"/>
      <c r="P325" s="799"/>
      <c r="Q325" s="799"/>
      <c r="R325" s="799"/>
      <c r="S325" s="799"/>
      <c r="T325" s="799"/>
      <c r="U325" s="799"/>
      <c r="V325" s="799"/>
      <c r="W325" s="799"/>
      <c r="X325" s="799"/>
      <c r="Y325" s="799"/>
      <c r="Z325" s="799"/>
    </row>
    <row r="326" ht="49.5" customHeight="1">
      <c r="A326" s="799"/>
      <c r="B326" s="799"/>
      <c r="C326" s="799"/>
      <c r="D326" s="799"/>
      <c r="E326" s="799"/>
      <c r="F326" s="799"/>
      <c r="G326" s="799"/>
      <c r="H326" s="799"/>
      <c r="I326" s="799"/>
      <c r="J326" s="799"/>
      <c r="K326" s="799"/>
      <c r="L326" s="885"/>
      <c r="M326" s="799"/>
      <c r="N326" s="799"/>
      <c r="O326" s="799"/>
      <c r="P326" s="799"/>
      <c r="Q326" s="799"/>
      <c r="R326" s="799"/>
      <c r="S326" s="799"/>
      <c r="T326" s="799"/>
      <c r="U326" s="799"/>
      <c r="V326" s="799"/>
      <c r="W326" s="799"/>
      <c r="X326" s="799"/>
      <c r="Y326" s="799"/>
      <c r="Z326" s="799"/>
    </row>
    <row r="327" ht="49.5" customHeight="1">
      <c r="A327" s="799"/>
      <c r="B327" s="799"/>
      <c r="C327" s="799"/>
      <c r="D327" s="799"/>
      <c r="E327" s="799"/>
      <c r="F327" s="799"/>
      <c r="G327" s="799"/>
      <c r="H327" s="799"/>
      <c r="I327" s="799"/>
      <c r="J327" s="799"/>
      <c r="K327" s="799"/>
      <c r="L327" s="885"/>
      <c r="M327" s="799"/>
      <c r="N327" s="799"/>
      <c r="O327" s="799"/>
      <c r="P327" s="799"/>
      <c r="Q327" s="799"/>
      <c r="R327" s="799"/>
      <c r="S327" s="799"/>
      <c r="T327" s="799"/>
      <c r="U327" s="799"/>
      <c r="V327" s="799"/>
      <c r="W327" s="799"/>
      <c r="X327" s="799"/>
      <c r="Y327" s="799"/>
      <c r="Z327" s="799"/>
    </row>
    <row r="328" ht="49.5" customHeight="1">
      <c r="A328" s="799"/>
      <c r="B328" s="799"/>
      <c r="C328" s="799"/>
      <c r="D328" s="799"/>
      <c r="E328" s="799"/>
      <c r="F328" s="799"/>
      <c r="G328" s="799"/>
      <c r="H328" s="799"/>
      <c r="I328" s="799"/>
      <c r="J328" s="799"/>
      <c r="K328" s="799"/>
      <c r="L328" s="885"/>
      <c r="M328" s="799"/>
      <c r="N328" s="799"/>
      <c r="O328" s="799"/>
      <c r="P328" s="799"/>
      <c r="Q328" s="799"/>
      <c r="R328" s="799"/>
      <c r="S328" s="799"/>
      <c r="T328" s="799"/>
      <c r="U328" s="799"/>
      <c r="V328" s="799"/>
      <c r="W328" s="799"/>
      <c r="X328" s="799"/>
      <c r="Y328" s="799"/>
      <c r="Z328" s="799"/>
    </row>
    <row r="329" ht="49.5" customHeight="1">
      <c r="A329" s="799"/>
      <c r="B329" s="799"/>
      <c r="C329" s="799"/>
      <c r="D329" s="799"/>
      <c r="E329" s="799"/>
      <c r="F329" s="799"/>
      <c r="G329" s="799"/>
      <c r="H329" s="799"/>
      <c r="I329" s="799"/>
      <c r="J329" s="799"/>
      <c r="K329" s="799"/>
      <c r="L329" s="885"/>
      <c r="M329" s="799"/>
      <c r="N329" s="799"/>
      <c r="O329" s="799"/>
      <c r="P329" s="799"/>
      <c r="Q329" s="799"/>
      <c r="R329" s="799"/>
      <c r="S329" s="799"/>
      <c r="T329" s="799"/>
      <c r="U329" s="799"/>
      <c r="V329" s="799"/>
      <c r="W329" s="799"/>
      <c r="X329" s="799"/>
      <c r="Y329" s="799"/>
      <c r="Z329" s="799"/>
    </row>
    <row r="330" ht="49.5" customHeight="1">
      <c r="A330" s="799"/>
      <c r="B330" s="799"/>
      <c r="C330" s="799"/>
      <c r="D330" s="799"/>
      <c r="E330" s="799"/>
      <c r="F330" s="799"/>
      <c r="G330" s="799"/>
      <c r="H330" s="799"/>
      <c r="I330" s="799"/>
      <c r="J330" s="799"/>
      <c r="K330" s="799"/>
      <c r="L330" s="885"/>
      <c r="M330" s="799"/>
      <c r="N330" s="799"/>
      <c r="O330" s="799"/>
      <c r="P330" s="799"/>
      <c r="Q330" s="799"/>
      <c r="R330" s="799"/>
      <c r="S330" s="799"/>
      <c r="T330" s="799"/>
      <c r="U330" s="799"/>
      <c r="V330" s="799"/>
      <c r="W330" s="799"/>
      <c r="X330" s="799"/>
      <c r="Y330" s="799"/>
      <c r="Z330" s="799"/>
    </row>
    <row r="331" ht="49.5" customHeight="1">
      <c r="A331" s="799"/>
      <c r="B331" s="799"/>
      <c r="C331" s="799"/>
      <c r="D331" s="799"/>
      <c r="E331" s="799"/>
      <c r="F331" s="799"/>
      <c r="G331" s="799"/>
      <c r="H331" s="799"/>
      <c r="I331" s="799"/>
      <c r="J331" s="799"/>
      <c r="K331" s="799"/>
      <c r="L331" s="885"/>
      <c r="M331" s="799"/>
      <c r="N331" s="799"/>
      <c r="O331" s="799"/>
      <c r="P331" s="799"/>
      <c r="Q331" s="799"/>
      <c r="R331" s="799"/>
      <c r="S331" s="799"/>
      <c r="T331" s="799"/>
      <c r="U331" s="799"/>
      <c r="V331" s="799"/>
      <c r="W331" s="799"/>
      <c r="X331" s="799"/>
      <c r="Y331" s="799"/>
      <c r="Z331" s="799"/>
    </row>
    <row r="332" ht="49.5" customHeight="1">
      <c r="A332" s="799"/>
      <c r="B332" s="799"/>
      <c r="C332" s="799"/>
      <c r="D332" s="799"/>
      <c r="E332" s="799"/>
      <c r="F332" s="799"/>
      <c r="G332" s="799"/>
      <c r="H332" s="799"/>
      <c r="I332" s="799"/>
      <c r="J332" s="799"/>
      <c r="K332" s="799"/>
      <c r="L332" s="885"/>
      <c r="M332" s="799"/>
      <c r="N332" s="799"/>
      <c r="O332" s="799"/>
      <c r="P332" s="799"/>
      <c r="Q332" s="799"/>
      <c r="R332" s="799"/>
      <c r="S332" s="799"/>
      <c r="T332" s="799"/>
      <c r="U332" s="799"/>
      <c r="V332" s="799"/>
      <c r="W332" s="799"/>
      <c r="X332" s="799"/>
      <c r="Y332" s="799"/>
      <c r="Z332" s="799"/>
    </row>
    <row r="333" ht="49.5" customHeight="1">
      <c r="A333" s="799"/>
      <c r="B333" s="799"/>
      <c r="C333" s="799"/>
      <c r="D333" s="799"/>
      <c r="E333" s="799"/>
      <c r="F333" s="799"/>
      <c r="G333" s="799"/>
      <c r="H333" s="799"/>
      <c r="I333" s="799"/>
      <c r="J333" s="799"/>
      <c r="K333" s="799"/>
      <c r="L333" s="885"/>
      <c r="M333" s="799"/>
      <c r="N333" s="799"/>
      <c r="O333" s="799"/>
      <c r="P333" s="799"/>
      <c r="Q333" s="799"/>
      <c r="R333" s="799"/>
      <c r="S333" s="799"/>
      <c r="T333" s="799"/>
      <c r="U333" s="799"/>
      <c r="V333" s="799"/>
      <c r="W333" s="799"/>
      <c r="X333" s="799"/>
      <c r="Y333" s="799"/>
      <c r="Z333" s="799"/>
    </row>
    <row r="334" ht="49.5" customHeight="1">
      <c r="A334" s="799"/>
      <c r="B334" s="799"/>
      <c r="C334" s="799"/>
      <c r="D334" s="799"/>
      <c r="E334" s="799"/>
      <c r="F334" s="799"/>
      <c r="G334" s="799"/>
      <c r="H334" s="799"/>
      <c r="I334" s="799"/>
      <c r="J334" s="799"/>
      <c r="K334" s="799"/>
      <c r="L334" s="885"/>
      <c r="M334" s="799"/>
      <c r="N334" s="799"/>
      <c r="O334" s="799"/>
      <c r="P334" s="799"/>
      <c r="Q334" s="799"/>
      <c r="R334" s="799"/>
      <c r="S334" s="799"/>
      <c r="T334" s="799"/>
      <c r="U334" s="799"/>
      <c r="V334" s="799"/>
      <c r="W334" s="799"/>
      <c r="X334" s="799"/>
      <c r="Y334" s="799"/>
      <c r="Z334" s="799"/>
    </row>
    <row r="335" ht="49.5" customHeight="1">
      <c r="A335" s="799"/>
      <c r="B335" s="799"/>
      <c r="C335" s="799"/>
      <c r="D335" s="799"/>
      <c r="E335" s="799"/>
      <c r="F335" s="799"/>
      <c r="G335" s="799"/>
      <c r="H335" s="799"/>
      <c r="I335" s="799"/>
      <c r="J335" s="799"/>
      <c r="K335" s="799"/>
      <c r="L335" s="885"/>
      <c r="M335" s="799"/>
      <c r="N335" s="799"/>
      <c r="O335" s="799"/>
      <c r="P335" s="799"/>
      <c r="Q335" s="799"/>
      <c r="R335" s="799"/>
      <c r="S335" s="799"/>
      <c r="T335" s="799"/>
      <c r="U335" s="799"/>
      <c r="V335" s="799"/>
      <c r="W335" s="799"/>
      <c r="X335" s="799"/>
      <c r="Y335" s="799"/>
      <c r="Z335" s="799"/>
    </row>
    <row r="336" ht="49.5" customHeight="1">
      <c r="A336" s="799"/>
      <c r="B336" s="799"/>
      <c r="C336" s="799"/>
      <c r="D336" s="799"/>
      <c r="E336" s="799"/>
      <c r="F336" s="799"/>
      <c r="G336" s="799"/>
      <c r="H336" s="799"/>
      <c r="I336" s="799"/>
      <c r="J336" s="799"/>
      <c r="K336" s="799"/>
      <c r="L336" s="885"/>
      <c r="M336" s="799"/>
      <c r="N336" s="799"/>
      <c r="O336" s="799"/>
      <c r="P336" s="799"/>
      <c r="Q336" s="799"/>
      <c r="R336" s="799"/>
      <c r="S336" s="799"/>
      <c r="T336" s="799"/>
      <c r="U336" s="799"/>
      <c r="V336" s="799"/>
      <c r="W336" s="799"/>
      <c r="X336" s="799"/>
      <c r="Y336" s="799"/>
      <c r="Z336" s="799"/>
    </row>
    <row r="337" ht="49.5" customHeight="1">
      <c r="A337" s="799"/>
      <c r="B337" s="799"/>
      <c r="C337" s="799"/>
      <c r="D337" s="799"/>
      <c r="E337" s="799"/>
      <c r="F337" s="799"/>
      <c r="G337" s="799"/>
      <c r="H337" s="799"/>
      <c r="I337" s="799"/>
      <c r="J337" s="799"/>
      <c r="K337" s="799"/>
      <c r="L337" s="885"/>
      <c r="M337" s="799"/>
      <c r="N337" s="799"/>
      <c r="O337" s="799"/>
      <c r="P337" s="799"/>
      <c r="Q337" s="799"/>
      <c r="R337" s="799"/>
      <c r="S337" s="799"/>
      <c r="T337" s="799"/>
      <c r="U337" s="799"/>
      <c r="V337" s="799"/>
      <c r="W337" s="799"/>
      <c r="X337" s="799"/>
      <c r="Y337" s="799"/>
      <c r="Z337" s="799"/>
    </row>
    <row r="338" ht="49.5" customHeight="1">
      <c r="A338" s="799"/>
      <c r="B338" s="799"/>
      <c r="C338" s="799"/>
      <c r="D338" s="799"/>
      <c r="E338" s="799"/>
      <c r="F338" s="799"/>
      <c r="G338" s="799"/>
      <c r="H338" s="799"/>
      <c r="I338" s="799"/>
      <c r="J338" s="799"/>
      <c r="K338" s="799"/>
      <c r="L338" s="885"/>
      <c r="M338" s="799"/>
      <c r="N338" s="799"/>
      <c r="O338" s="799"/>
      <c r="P338" s="799"/>
      <c r="Q338" s="799"/>
      <c r="R338" s="799"/>
      <c r="S338" s="799"/>
      <c r="T338" s="799"/>
      <c r="U338" s="799"/>
      <c r="V338" s="799"/>
      <c r="W338" s="799"/>
      <c r="X338" s="799"/>
      <c r="Y338" s="799"/>
      <c r="Z338" s="799"/>
    </row>
    <row r="339" ht="49.5" customHeight="1">
      <c r="A339" s="799"/>
      <c r="B339" s="799"/>
      <c r="C339" s="799"/>
      <c r="D339" s="799"/>
      <c r="E339" s="799"/>
      <c r="F339" s="799"/>
      <c r="G339" s="799"/>
      <c r="H339" s="799"/>
      <c r="I339" s="799"/>
      <c r="J339" s="799"/>
      <c r="K339" s="799"/>
      <c r="L339" s="885"/>
      <c r="M339" s="799"/>
      <c r="N339" s="799"/>
      <c r="O339" s="799"/>
      <c r="P339" s="799"/>
      <c r="Q339" s="799"/>
      <c r="R339" s="799"/>
      <c r="S339" s="799"/>
      <c r="T339" s="799"/>
      <c r="U339" s="799"/>
      <c r="V339" s="799"/>
      <c r="W339" s="799"/>
      <c r="X339" s="799"/>
      <c r="Y339" s="799"/>
      <c r="Z339" s="799"/>
    </row>
    <row r="340" ht="49.5" customHeight="1">
      <c r="A340" s="799"/>
      <c r="B340" s="799"/>
      <c r="C340" s="799"/>
      <c r="D340" s="799"/>
      <c r="E340" s="799"/>
      <c r="F340" s="799"/>
      <c r="G340" s="799"/>
      <c r="H340" s="799"/>
      <c r="I340" s="799"/>
      <c r="J340" s="799"/>
      <c r="K340" s="799"/>
      <c r="L340" s="885"/>
      <c r="M340" s="799"/>
      <c r="N340" s="799"/>
      <c r="O340" s="799"/>
      <c r="P340" s="799"/>
      <c r="Q340" s="799"/>
      <c r="R340" s="799"/>
      <c r="S340" s="799"/>
      <c r="T340" s="799"/>
      <c r="U340" s="799"/>
      <c r="V340" s="799"/>
      <c r="W340" s="799"/>
      <c r="X340" s="799"/>
      <c r="Y340" s="799"/>
      <c r="Z340" s="799"/>
    </row>
    <row r="341" ht="49.5" customHeight="1">
      <c r="A341" s="799"/>
      <c r="B341" s="799"/>
      <c r="C341" s="799"/>
      <c r="D341" s="799"/>
      <c r="E341" s="799"/>
      <c r="F341" s="799"/>
      <c r="G341" s="799"/>
      <c r="H341" s="799"/>
      <c r="I341" s="799"/>
      <c r="J341" s="799"/>
      <c r="K341" s="799"/>
      <c r="L341" s="885"/>
      <c r="M341" s="799"/>
      <c r="N341" s="799"/>
      <c r="O341" s="799"/>
      <c r="P341" s="799"/>
      <c r="Q341" s="799"/>
      <c r="R341" s="799"/>
      <c r="S341" s="799"/>
      <c r="T341" s="799"/>
      <c r="U341" s="799"/>
      <c r="V341" s="799"/>
      <c r="W341" s="799"/>
      <c r="X341" s="799"/>
      <c r="Y341" s="799"/>
      <c r="Z341" s="799"/>
    </row>
    <row r="342" ht="49.5" customHeight="1">
      <c r="A342" s="799"/>
      <c r="B342" s="799"/>
      <c r="C342" s="799"/>
      <c r="D342" s="799"/>
      <c r="E342" s="799"/>
      <c r="F342" s="799"/>
      <c r="G342" s="799"/>
      <c r="H342" s="799"/>
      <c r="I342" s="799"/>
      <c r="J342" s="799"/>
      <c r="K342" s="799"/>
      <c r="L342" s="885"/>
      <c r="M342" s="799"/>
      <c r="N342" s="799"/>
      <c r="O342" s="799"/>
      <c r="P342" s="799"/>
      <c r="Q342" s="799"/>
      <c r="R342" s="799"/>
      <c r="S342" s="799"/>
      <c r="T342" s="799"/>
      <c r="U342" s="799"/>
      <c r="V342" s="799"/>
      <c r="W342" s="799"/>
      <c r="X342" s="799"/>
      <c r="Y342" s="799"/>
      <c r="Z342" s="799"/>
    </row>
    <row r="343" ht="49.5" customHeight="1">
      <c r="A343" s="799"/>
      <c r="B343" s="799"/>
      <c r="C343" s="799"/>
      <c r="D343" s="799"/>
      <c r="E343" s="799"/>
      <c r="F343" s="799"/>
      <c r="G343" s="799"/>
      <c r="H343" s="799"/>
      <c r="I343" s="799"/>
      <c r="J343" s="799"/>
      <c r="K343" s="799"/>
      <c r="L343" s="885"/>
      <c r="M343" s="799"/>
      <c r="N343" s="799"/>
      <c r="O343" s="799"/>
      <c r="P343" s="799"/>
      <c r="Q343" s="799"/>
      <c r="R343" s="799"/>
      <c r="S343" s="799"/>
      <c r="T343" s="799"/>
      <c r="U343" s="799"/>
      <c r="V343" s="799"/>
      <c r="W343" s="799"/>
      <c r="X343" s="799"/>
      <c r="Y343" s="799"/>
      <c r="Z343" s="799"/>
    </row>
    <row r="344" ht="49.5" customHeight="1">
      <c r="A344" s="799"/>
      <c r="B344" s="799"/>
      <c r="C344" s="799"/>
      <c r="D344" s="799"/>
      <c r="E344" s="799"/>
      <c r="F344" s="799"/>
      <c r="G344" s="799"/>
      <c r="H344" s="799"/>
      <c r="I344" s="799"/>
      <c r="J344" s="799"/>
      <c r="K344" s="799"/>
      <c r="L344" s="885"/>
      <c r="M344" s="799"/>
      <c r="N344" s="799"/>
      <c r="O344" s="799"/>
      <c r="P344" s="799"/>
      <c r="Q344" s="799"/>
      <c r="R344" s="799"/>
      <c r="S344" s="799"/>
      <c r="T344" s="799"/>
      <c r="U344" s="799"/>
      <c r="V344" s="799"/>
      <c r="W344" s="799"/>
      <c r="X344" s="799"/>
      <c r="Y344" s="799"/>
      <c r="Z344" s="799"/>
    </row>
    <row r="345" ht="49.5" customHeight="1">
      <c r="A345" s="799"/>
      <c r="B345" s="799"/>
      <c r="C345" s="799"/>
      <c r="D345" s="799"/>
      <c r="E345" s="799"/>
      <c r="F345" s="799"/>
      <c r="G345" s="799"/>
      <c r="H345" s="799"/>
      <c r="I345" s="799"/>
      <c r="J345" s="799"/>
      <c r="K345" s="799"/>
      <c r="L345" s="885"/>
      <c r="M345" s="799"/>
      <c r="N345" s="799"/>
      <c r="O345" s="799"/>
      <c r="P345" s="799"/>
      <c r="Q345" s="799"/>
      <c r="R345" s="799"/>
      <c r="S345" s="799"/>
      <c r="T345" s="799"/>
      <c r="U345" s="799"/>
      <c r="V345" s="799"/>
      <c r="W345" s="799"/>
      <c r="X345" s="799"/>
      <c r="Y345" s="799"/>
      <c r="Z345" s="799"/>
    </row>
    <row r="346" ht="49.5" customHeight="1">
      <c r="A346" s="799"/>
      <c r="B346" s="799"/>
      <c r="C346" s="799"/>
      <c r="D346" s="799"/>
      <c r="E346" s="799"/>
      <c r="F346" s="799"/>
      <c r="G346" s="799"/>
      <c r="H346" s="799"/>
      <c r="I346" s="799"/>
      <c r="J346" s="799"/>
      <c r="K346" s="799"/>
      <c r="L346" s="885"/>
      <c r="M346" s="799"/>
      <c r="N346" s="799"/>
      <c r="O346" s="799"/>
      <c r="P346" s="799"/>
      <c r="Q346" s="799"/>
      <c r="R346" s="799"/>
      <c r="S346" s="799"/>
      <c r="T346" s="799"/>
      <c r="U346" s="799"/>
      <c r="V346" s="799"/>
      <c r="W346" s="799"/>
      <c r="X346" s="799"/>
      <c r="Y346" s="799"/>
      <c r="Z346" s="799"/>
    </row>
    <row r="347" ht="49.5" customHeight="1">
      <c r="A347" s="799"/>
      <c r="B347" s="799"/>
      <c r="C347" s="799"/>
      <c r="D347" s="799"/>
      <c r="E347" s="799"/>
      <c r="F347" s="799"/>
      <c r="G347" s="799"/>
      <c r="H347" s="799"/>
      <c r="I347" s="799"/>
      <c r="J347" s="799"/>
      <c r="K347" s="799"/>
      <c r="L347" s="885"/>
      <c r="M347" s="799"/>
      <c r="N347" s="799"/>
      <c r="O347" s="799"/>
      <c r="P347" s="799"/>
      <c r="Q347" s="799"/>
      <c r="R347" s="799"/>
      <c r="S347" s="799"/>
      <c r="T347" s="799"/>
      <c r="U347" s="799"/>
      <c r="V347" s="799"/>
      <c r="W347" s="799"/>
      <c r="X347" s="799"/>
      <c r="Y347" s="799"/>
      <c r="Z347" s="799"/>
    </row>
    <row r="348" ht="49.5" customHeight="1">
      <c r="A348" s="799"/>
      <c r="B348" s="799"/>
      <c r="C348" s="799"/>
      <c r="D348" s="799"/>
      <c r="E348" s="799"/>
      <c r="F348" s="799"/>
      <c r="G348" s="799"/>
      <c r="H348" s="799"/>
      <c r="I348" s="799"/>
      <c r="J348" s="799"/>
      <c r="K348" s="799"/>
      <c r="L348" s="885"/>
      <c r="M348" s="799"/>
      <c r="N348" s="799"/>
      <c r="O348" s="799"/>
      <c r="P348" s="799"/>
      <c r="Q348" s="799"/>
      <c r="R348" s="799"/>
      <c r="S348" s="799"/>
      <c r="T348" s="799"/>
      <c r="U348" s="799"/>
      <c r="V348" s="799"/>
      <c r="W348" s="799"/>
      <c r="X348" s="799"/>
      <c r="Y348" s="799"/>
      <c r="Z348" s="799"/>
    </row>
    <row r="349" ht="49.5" customHeight="1">
      <c r="A349" s="799"/>
      <c r="B349" s="799"/>
      <c r="C349" s="799"/>
      <c r="D349" s="799"/>
      <c r="E349" s="799"/>
      <c r="F349" s="799"/>
      <c r="G349" s="799"/>
      <c r="H349" s="799"/>
      <c r="I349" s="799"/>
      <c r="J349" s="799"/>
      <c r="K349" s="799"/>
      <c r="L349" s="885"/>
      <c r="M349" s="799"/>
      <c r="N349" s="799"/>
      <c r="O349" s="799"/>
      <c r="P349" s="799"/>
      <c r="Q349" s="799"/>
      <c r="R349" s="799"/>
      <c r="S349" s="799"/>
      <c r="T349" s="799"/>
      <c r="U349" s="799"/>
      <c r="V349" s="799"/>
      <c r="W349" s="799"/>
      <c r="X349" s="799"/>
      <c r="Y349" s="799"/>
      <c r="Z349" s="799"/>
    </row>
    <row r="350" ht="49.5" customHeight="1">
      <c r="A350" s="799"/>
      <c r="B350" s="799"/>
      <c r="C350" s="799"/>
      <c r="D350" s="799"/>
      <c r="E350" s="799"/>
      <c r="F350" s="799"/>
      <c r="G350" s="799"/>
      <c r="H350" s="799"/>
      <c r="I350" s="799"/>
      <c r="J350" s="799"/>
      <c r="K350" s="799"/>
      <c r="L350" s="885"/>
      <c r="M350" s="799"/>
      <c r="N350" s="799"/>
      <c r="O350" s="799"/>
      <c r="P350" s="799"/>
      <c r="Q350" s="799"/>
      <c r="R350" s="799"/>
      <c r="S350" s="799"/>
      <c r="T350" s="799"/>
      <c r="U350" s="799"/>
      <c r="V350" s="799"/>
      <c r="W350" s="799"/>
      <c r="X350" s="799"/>
      <c r="Y350" s="799"/>
      <c r="Z350" s="799"/>
    </row>
    <row r="351" ht="49.5" customHeight="1">
      <c r="A351" s="799"/>
      <c r="B351" s="799"/>
      <c r="C351" s="799"/>
      <c r="D351" s="799"/>
      <c r="E351" s="799"/>
      <c r="F351" s="799"/>
      <c r="G351" s="799"/>
      <c r="H351" s="799"/>
      <c r="I351" s="799"/>
      <c r="J351" s="799"/>
      <c r="K351" s="799"/>
      <c r="L351" s="885"/>
      <c r="M351" s="799"/>
      <c r="N351" s="799"/>
      <c r="O351" s="799"/>
      <c r="P351" s="799"/>
      <c r="Q351" s="799"/>
      <c r="R351" s="799"/>
      <c r="S351" s="799"/>
      <c r="T351" s="799"/>
      <c r="U351" s="799"/>
      <c r="V351" s="799"/>
      <c r="W351" s="799"/>
      <c r="X351" s="799"/>
      <c r="Y351" s="799"/>
      <c r="Z351" s="799"/>
    </row>
    <row r="352" ht="49.5" customHeight="1">
      <c r="A352" s="799"/>
      <c r="B352" s="799"/>
      <c r="C352" s="799"/>
      <c r="D352" s="799"/>
      <c r="E352" s="799"/>
      <c r="F352" s="799"/>
      <c r="G352" s="799"/>
      <c r="H352" s="799"/>
      <c r="I352" s="799"/>
      <c r="J352" s="799"/>
      <c r="K352" s="799"/>
      <c r="L352" s="885"/>
      <c r="M352" s="799"/>
      <c r="N352" s="799"/>
      <c r="O352" s="799"/>
      <c r="P352" s="799"/>
      <c r="Q352" s="799"/>
      <c r="R352" s="799"/>
      <c r="S352" s="799"/>
      <c r="T352" s="799"/>
      <c r="U352" s="799"/>
      <c r="V352" s="799"/>
      <c r="W352" s="799"/>
      <c r="X352" s="799"/>
      <c r="Y352" s="799"/>
      <c r="Z352" s="799"/>
    </row>
    <row r="353" ht="49.5" customHeight="1">
      <c r="A353" s="799"/>
      <c r="B353" s="799"/>
      <c r="C353" s="799"/>
      <c r="D353" s="799"/>
      <c r="E353" s="799"/>
      <c r="F353" s="799"/>
      <c r="G353" s="799"/>
      <c r="H353" s="799"/>
      <c r="I353" s="799"/>
      <c r="J353" s="799"/>
      <c r="K353" s="799"/>
      <c r="L353" s="885"/>
      <c r="M353" s="799"/>
      <c r="N353" s="799"/>
      <c r="O353" s="799"/>
      <c r="P353" s="799"/>
      <c r="Q353" s="799"/>
      <c r="R353" s="799"/>
      <c r="S353" s="799"/>
      <c r="T353" s="799"/>
      <c r="U353" s="799"/>
      <c r="V353" s="799"/>
      <c r="W353" s="799"/>
      <c r="X353" s="799"/>
      <c r="Y353" s="799"/>
      <c r="Z353" s="799"/>
    </row>
    <row r="354" ht="49.5" customHeight="1">
      <c r="A354" s="799"/>
      <c r="B354" s="799"/>
      <c r="C354" s="799"/>
      <c r="D354" s="799"/>
      <c r="E354" s="799"/>
      <c r="F354" s="799"/>
      <c r="G354" s="799"/>
      <c r="H354" s="799"/>
      <c r="I354" s="799"/>
      <c r="J354" s="799"/>
      <c r="K354" s="799"/>
      <c r="L354" s="885"/>
      <c r="M354" s="799"/>
      <c r="N354" s="799"/>
      <c r="O354" s="799"/>
      <c r="P354" s="799"/>
      <c r="Q354" s="799"/>
      <c r="R354" s="799"/>
      <c r="S354" s="799"/>
      <c r="T354" s="799"/>
      <c r="U354" s="799"/>
      <c r="V354" s="799"/>
      <c r="W354" s="799"/>
      <c r="X354" s="799"/>
      <c r="Y354" s="799"/>
      <c r="Z354" s="799"/>
    </row>
    <row r="355" ht="49.5" customHeight="1">
      <c r="A355" s="799"/>
      <c r="B355" s="799"/>
      <c r="C355" s="799"/>
      <c r="D355" s="799"/>
      <c r="E355" s="799"/>
      <c r="F355" s="799"/>
      <c r="G355" s="799"/>
      <c r="H355" s="799"/>
      <c r="I355" s="799"/>
      <c r="J355" s="799"/>
      <c r="K355" s="799"/>
      <c r="L355" s="885"/>
      <c r="M355" s="799"/>
      <c r="N355" s="799"/>
      <c r="O355" s="799"/>
      <c r="P355" s="799"/>
      <c r="Q355" s="799"/>
      <c r="R355" s="799"/>
      <c r="S355" s="799"/>
      <c r="T355" s="799"/>
      <c r="U355" s="799"/>
      <c r="V355" s="799"/>
      <c r="W355" s="799"/>
      <c r="X355" s="799"/>
      <c r="Y355" s="799"/>
      <c r="Z355" s="799"/>
    </row>
    <row r="356" ht="49.5" customHeight="1">
      <c r="A356" s="799"/>
      <c r="B356" s="799"/>
      <c r="C356" s="799"/>
      <c r="D356" s="799"/>
      <c r="E356" s="799"/>
      <c r="F356" s="799"/>
      <c r="G356" s="799"/>
      <c r="H356" s="799"/>
      <c r="I356" s="799"/>
      <c r="J356" s="799"/>
      <c r="K356" s="799"/>
      <c r="L356" s="885"/>
      <c r="M356" s="799"/>
      <c r="N356" s="799"/>
      <c r="O356" s="799"/>
      <c r="P356" s="799"/>
      <c r="Q356" s="799"/>
      <c r="R356" s="799"/>
      <c r="S356" s="799"/>
      <c r="T356" s="799"/>
      <c r="U356" s="799"/>
      <c r="V356" s="799"/>
      <c r="W356" s="799"/>
      <c r="X356" s="799"/>
      <c r="Y356" s="799"/>
      <c r="Z356" s="799"/>
    </row>
    <row r="357" ht="49.5" customHeight="1">
      <c r="A357" s="799"/>
      <c r="B357" s="799"/>
      <c r="C357" s="799"/>
      <c r="D357" s="799"/>
      <c r="E357" s="799"/>
      <c r="F357" s="799"/>
      <c r="G357" s="799"/>
      <c r="H357" s="799"/>
      <c r="I357" s="799"/>
      <c r="J357" s="799"/>
      <c r="K357" s="799"/>
      <c r="L357" s="885"/>
      <c r="M357" s="799"/>
      <c r="N357" s="799"/>
      <c r="O357" s="799"/>
      <c r="P357" s="799"/>
      <c r="Q357" s="799"/>
      <c r="R357" s="799"/>
      <c r="S357" s="799"/>
      <c r="T357" s="799"/>
      <c r="U357" s="799"/>
      <c r="V357" s="799"/>
      <c r="W357" s="799"/>
      <c r="X357" s="799"/>
      <c r="Y357" s="799"/>
      <c r="Z357" s="799"/>
    </row>
    <row r="358" ht="49.5" customHeight="1">
      <c r="A358" s="799"/>
      <c r="B358" s="799"/>
      <c r="C358" s="799"/>
      <c r="D358" s="799"/>
      <c r="E358" s="799"/>
      <c r="F358" s="799"/>
      <c r="G358" s="799"/>
      <c r="H358" s="799"/>
      <c r="I358" s="799"/>
      <c r="J358" s="799"/>
      <c r="K358" s="799"/>
      <c r="L358" s="885"/>
      <c r="M358" s="799"/>
      <c r="N358" s="799"/>
      <c r="O358" s="799"/>
      <c r="P358" s="799"/>
      <c r="Q358" s="799"/>
      <c r="R358" s="799"/>
      <c r="S358" s="799"/>
      <c r="T358" s="799"/>
      <c r="U358" s="799"/>
      <c r="V358" s="799"/>
      <c r="W358" s="799"/>
      <c r="X358" s="799"/>
      <c r="Y358" s="799"/>
      <c r="Z358" s="799"/>
    </row>
    <row r="359" ht="49.5" customHeight="1">
      <c r="A359" s="799"/>
      <c r="B359" s="799"/>
      <c r="C359" s="799"/>
      <c r="D359" s="799"/>
      <c r="E359" s="799"/>
      <c r="F359" s="799"/>
      <c r="G359" s="799"/>
      <c r="H359" s="799"/>
      <c r="I359" s="799"/>
      <c r="J359" s="799"/>
      <c r="K359" s="799"/>
      <c r="L359" s="885"/>
      <c r="M359" s="799"/>
      <c r="N359" s="799"/>
      <c r="O359" s="799"/>
      <c r="P359" s="799"/>
      <c r="Q359" s="799"/>
      <c r="R359" s="799"/>
      <c r="S359" s="799"/>
      <c r="T359" s="799"/>
      <c r="U359" s="799"/>
      <c r="V359" s="799"/>
      <c r="W359" s="799"/>
      <c r="X359" s="799"/>
      <c r="Y359" s="799"/>
      <c r="Z359" s="799"/>
    </row>
    <row r="360" ht="49.5" customHeight="1">
      <c r="A360" s="799"/>
      <c r="B360" s="799"/>
      <c r="C360" s="799"/>
      <c r="D360" s="799"/>
      <c r="E360" s="799"/>
      <c r="F360" s="799"/>
      <c r="G360" s="799"/>
      <c r="H360" s="799"/>
      <c r="I360" s="799"/>
      <c r="J360" s="799"/>
      <c r="K360" s="799"/>
      <c r="L360" s="885"/>
      <c r="M360" s="799"/>
      <c r="N360" s="799"/>
      <c r="O360" s="799"/>
      <c r="P360" s="799"/>
      <c r="Q360" s="799"/>
      <c r="R360" s="799"/>
      <c r="S360" s="799"/>
      <c r="T360" s="799"/>
      <c r="U360" s="799"/>
      <c r="V360" s="799"/>
      <c r="W360" s="799"/>
      <c r="X360" s="799"/>
      <c r="Y360" s="799"/>
      <c r="Z360" s="799"/>
    </row>
    <row r="361" ht="49.5" customHeight="1">
      <c r="A361" s="799"/>
      <c r="B361" s="799"/>
      <c r="C361" s="799"/>
      <c r="D361" s="799"/>
      <c r="E361" s="799"/>
      <c r="F361" s="799"/>
      <c r="G361" s="799"/>
      <c r="H361" s="799"/>
      <c r="I361" s="799"/>
      <c r="J361" s="799"/>
      <c r="K361" s="799"/>
      <c r="L361" s="885"/>
      <c r="M361" s="799"/>
      <c r="N361" s="799"/>
      <c r="O361" s="799"/>
      <c r="P361" s="799"/>
      <c r="Q361" s="799"/>
      <c r="R361" s="799"/>
      <c r="S361" s="799"/>
      <c r="T361" s="799"/>
      <c r="U361" s="799"/>
      <c r="V361" s="799"/>
      <c r="W361" s="799"/>
      <c r="X361" s="799"/>
      <c r="Y361" s="799"/>
      <c r="Z361" s="799"/>
    </row>
    <row r="362" ht="49.5" customHeight="1">
      <c r="A362" s="799"/>
      <c r="B362" s="799"/>
      <c r="C362" s="799"/>
      <c r="D362" s="799"/>
      <c r="E362" s="799"/>
      <c r="F362" s="799"/>
      <c r="G362" s="799"/>
      <c r="H362" s="799"/>
      <c r="I362" s="799"/>
      <c r="J362" s="799"/>
      <c r="K362" s="799"/>
      <c r="L362" s="885"/>
      <c r="M362" s="799"/>
      <c r="N362" s="799"/>
      <c r="O362" s="799"/>
      <c r="P362" s="799"/>
      <c r="Q362" s="799"/>
      <c r="R362" s="799"/>
      <c r="S362" s="799"/>
      <c r="T362" s="799"/>
      <c r="U362" s="799"/>
      <c r="V362" s="799"/>
      <c r="W362" s="799"/>
      <c r="X362" s="799"/>
      <c r="Y362" s="799"/>
      <c r="Z362" s="799"/>
    </row>
    <row r="363" ht="49.5" customHeight="1">
      <c r="A363" s="799"/>
      <c r="B363" s="799"/>
      <c r="C363" s="799"/>
      <c r="D363" s="799"/>
      <c r="E363" s="799"/>
      <c r="F363" s="799"/>
      <c r="G363" s="799"/>
      <c r="H363" s="799"/>
      <c r="I363" s="799"/>
      <c r="J363" s="799"/>
      <c r="K363" s="799"/>
      <c r="L363" s="885"/>
      <c r="M363" s="799"/>
      <c r="N363" s="799"/>
      <c r="O363" s="799"/>
      <c r="P363" s="799"/>
      <c r="Q363" s="799"/>
      <c r="R363" s="799"/>
      <c r="S363" s="799"/>
      <c r="T363" s="799"/>
      <c r="U363" s="799"/>
      <c r="V363" s="799"/>
      <c r="W363" s="799"/>
      <c r="X363" s="799"/>
      <c r="Y363" s="799"/>
      <c r="Z363" s="799"/>
    </row>
    <row r="364" ht="49.5" customHeight="1">
      <c r="A364" s="799"/>
      <c r="B364" s="799"/>
      <c r="C364" s="799"/>
      <c r="D364" s="799"/>
      <c r="E364" s="799"/>
      <c r="F364" s="799"/>
      <c r="G364" s="799"/>
      <c r="H364" s="799"/>
      <c r="I364" s="799"/>
      <c r="J364" s="799"/>
      <c r="K364" s="799"/>
      <c r="L364" s="885"/>
      <c r="M364" s="799"/>
      <c r="N364" s="799"/>
      <c r="O364" s="799"/>
      <c r="P364" s="799"/>
      <c r="Q364" s="799"/>
      <c r="R364" s="799"/>
      <c r="S364" s="799"/>
      <c r="T364" s="799"/>
      <c r="U364" s="799"/>
      <c r="V364" s="799"/>
      <c r="W364" s="799"/>
      <c r="X364" s="799"/>
      <c r="Y364" s="799"/>
      <c r="Z364" s="799"/>
    </row>
    <row r="365" ht="49.5" customHeight="1">
      <c r="A365" s="799"/>
      <c r="B365" s="799"/>
      <c r="C365" s="799"/>
      <c r="D365" s="799"/>
      <c r="E365" s="799"/>
      <c r="F365" s="799"/>
      <c r="G365" s="799"/>
      <c r="H365" s="799"/>
      <c r="I365" s="799"/>
      <c r="J365" s="799"/>
      <c r="K365" s="799"/>
      <c r="L365" s="885"/>
      <c r="M365" s="799"/>
      <c r="N365" s="799"/>
      <c r="O365" s="799"/>
      <c r="P365" s="799"/>
      <c r="Q365" s="799"/>
      <c r="R365" s="799"/>
      <c r="S365" s="799"/>
      <c r="T365" s="799"/>
      <c r="U365" s="799"/>
      <c r="V365" s="799"/>
      <c r="W365" s="799"/>
      <c r="X365" s="799"/>
      <c r="Y365" s="799"/>
      <c r="Z365" s="799"/>
    </row>
    <row r="366" ht="49.5" customHeight="1">
      <c r="A366" s="799"/>
      <c r="B366" s="799"/>
      <c r="C366" s="799"/>
      <c r="D366" s="799"/>
      <c r="E366" s="799"/>
      <c r="F366" s="799"/>
      <c r="G366" s="799"/>
      <c r="H366" s="799"/>
      <c r="I366" s="799"/>
      <c r="J366" s="799"/>
      <c r="K366" s="799"/>
      <c r="L366" s="885"/>
      <c r="M366" s="799"/>
      <c r="N366" s="799"/>
      <c r="O366" s="799"/>
      <c r="P366" s="799"/>
      <c r="Q366" s="799"/>
      <c r="R366" s="799"/>
      <c r="S366" s="799"/>
      <c r="T366" s="799"/>
      <c r="U366" s="799"/>
      <c r="V366" s="799"/>
      <c r="W366" s="799"/>
      <c r="X366" s="799"/>
      <c r="Y366" s="799"/>
      <c r="Z366" s="799"/>
    </row>
    <row r="367" ht="49.5" customHeight="1">
      <c r="A367" s="799"/>
      <c r="B367" s="799"/>
      <c r="C367" s="799"/>
      <c r="D367" s="799"/>
      <c r="E367" s="799"/>
      <c r="F367" s="799"/>
      <c r="G367" s="799"/>
      <c r="H367" s="799"/>
      <c r="I367" s="799"/>
      <c r="J367" s="799"/>
      <c r="K367" s="799"/>
      <c r="L367" s="885"/>
      <c r="M367" s="799"/>
      <c r="N367" s="799"/>
      <c r="O367" s="799"/>
      <c r="P367" s="799"/>
      <c r="Q367" s="799"/>
      <c r="R367" s="799"/>
      <c r="S367" s="799"/>
      <c r="T367" s="799"/>
      <c r="U367" s="799"/>
      <c r="V367" s="799"/>
      <c r="W367" s="799"/>
      <c r="X367" s="799"/>
      <c r="Y367" s="799"/>
      <c r="Z367" s="799"/>
    </row>
    <row r="368" ht="49.5" customHeight="1">
      <c r="A368" s="799"/>
      <c r="B368" s="799"/>
      <c r="C368" s="799"/>
      <c r="D368" s="799"/>
      <c r="E368" s="799"/>
      <c r="F368" s="799"/>
      <c r="G368" s="799"/>
      <c r="H368" s="799"/>
      <c r="I368" s="799"/>
      <c r="J368" s="799"/>
      <c r="K368" s="799"/>
      <c r="L368" s="885"/>
      <c r="M368" s="799"/>
      <c r="N368" s="799"/>
      <c r="O368" s="799"/>
      <c r="P368" s="799"/>
      <c r="Q368" s="799"/>
      <c r="R368" s="799"/>
      <c r="S368" s="799"/>
      <c r="T368" s="799"/>
      <c r="U368" s="799"/>
      <c r="V368" s="799"/>
      <c r="W368" s="799"/>
      <c r="X368" s="799"/>
      <c r="Y368" s="799"/>
      <c r="Z368" s="799"/>
    </row>
    <row r="369" ht="49.5" customHeight="1">
      <c r="A369" s="799"/>
      <c r="B369" s="799"/>
      <c r="C369" s="799"/>
      <c r="D369" s="799"/>
      <c r="E369" s="799"/>
      <c r="F369" s="799"/>
      <c r="G369" s="799"/>
      <c r="H369" s="799"/>
      <c r="I369" s="799"/>
      <c r="J369" s="799"/>
      <c r="K369" s="799"/>
      <c r="L369" s="885"/>
      <c r="M369" s="799"/>
      <c r="N369" s="799"/>
      <c r="O369" s="799"/>
      <c r="P369" s="799"/>
      <c r="Q369" s="799"/>
      <c r="R369" s="799"/>
      <c r="S369" s="799"/>
      <c r="T369" s="799"/>
      <c r="U369" s="799"/>
      <c r="V369" s="799"/>
      <c r="W369" s="799"/>
      <c r="X369" s="799"/>
      <c r="Y369" s="799"/>
      <c r="Z369" s="799"/>
    </row>
    <row r="370" ht="49.5" customHeight="1">
      <c r="A370" s="799"/>
      <c r="B370" s="799"/>
      <c r="C370" s="799"/>
      <c r="D370" s="799"/>
      <c r="E370" s="799"/>
      <c r="F370" s="799"/>
      <c r="G370" s="799"/>
      <c r="H370" s="799"/>
      <c r="I370" s="799"/>
      <c r="J370" s="799"/>
      <c r="K370" s="799"/>
      <c r="L370" s="885"/>
      <c r="M370" s="799"/>
      <c r="N370" s="799"/>
      <c r="O370" s="799"/>
      <c r="P370" s="799"/>
      <c r="Q370" s="799"/>
      <c r="R370" s="799"/>
      <c r="S370" s="799"/>
      <c r="T370" s="799"/>
      <c r="U370" s="799"/>
      <c r="V370" s="799"/>
      <c r="W370" s="799"/>
      <c r="X370" s="799"/>
      <c r="Y370" s="799"/>
      <c r="Z370" s="799"/>
    </row>
    <row r="371" ht="49.5" customHeight="1">
      <c r="A371" s="799"/>
      <c r="B371" s="799"/>
      <c r="C371" s="799"/>
      <c r="D371" s="799"/>
      <c r="E371" s="799"/>
      <c r="F371" s="799"/>
      <c r="G371" s="799"/>
      <c r="H371" s="799"/>
      <c r="I371" s="799"/>
      <c r="J371" s="799"/>
      <c r="K371" s="799"/>
      <c r="L371" s="885"/>
      <c r="M371" s="799"/>
      <c r="N371" s="799"/>
      <c r="O371" s="799"/>
      <c r="P371" s="799"/>
      <c r="Q371" s="799"/>
      <c r="R371" s="799"/>
      <c r="S371" s="799"/>
      <c r="T371" s="799"/>
      <c r="U371" s="799"/>
      <c r="V371" s="799"/>
      <c r="W371" s="799"/>
      <c r="X371" s="799"/>
      <c r="Y371" s="799"/>
      <c r="Z371" s="799"/>
    </row>
    <row r="372" ht="49.5" customHeight="1">
      <c r="A372" s="799"/>
      <c r="B372" s="799"/>
      <c r="C372" s="799"/>
      <c r="D372" s="799"/>
      <c r="E372" s="799"/>
      <c r="F372" s="799"/>
      <c r="G372" s="799"/>
      <c r="H372" s="799"/>
      <c r="I372" s="799"/>
      <c r="J372" s="799"/>
      <c r="K372" s="799"/>
      <c r="L372" s="885"/>
      <c r="M372" s="799"/>
      <c r="N372" s="799"/>
      <c r="O372" s="799"/>
      <c r="P372" s="799"/>
      <c r="Q372" s="799"/>
      <c r="R372" s="799"/>
      <c r="S372" s="799"/>
      <c r="T372" s="799"/>
      <c r="U372" s="799"/>
      <c r="V372" s="799"/>
      <c r="W372" s="799"/>
      <c r="X372" s="799"/>
      <c r="Y372" s="799"/>
      <c r="Z372" s="799"/>
    </row>
    <row r="373" ht="49.5" customHeight="1">
      <c r="A373" s="799"/>
      <c r="B373" s="799"/>
      <c r="C373" s="799"/>
      <c r="D373" s="799"/>
      <c r="E373" s="799"/>
      <c r="F373" s="799"/>
      <c r="G373" s="799"/>
      <c r="H373" s="799"/>
      <c r="I373" s="799"/>
      <c r="J373" s="799"/>
      <c r="K373" s="799"/>
      <c r="L373" s="885"/>
      <c r="M373" s="799"/>
      <c r="N373" s="799"/>
      <c r="O373" s="799"/>
      <c r="P373" s="799"/>
      <c r="Q373" s="799"/>
      <c r="R373" s="799"/>
      <c r="S373" s="799"/>
      <c r="T373" s="799"/>
      <c r="U373" s="799"/>
      <c r="V373" s="799"/>
      <c r="W373" s="799"/>
      <c r="X373" s="799"/>
      <c r="Y373" s="799"/>
      <c r="Z373" s="799"/>
    </row>
    <row r="374" ht="49.5" customHeight="1">
      <c r="A374" s="799"/>
      <c r="B374" s="799"/>
      <c r="C374" s="799"/>
      <c r="D374" s="799"/>
      <c r="E374" s="799"/>
      <c r="F374" s="799"/>
      <c r="G374" s="799"/>
      <c r="H374" s="799"/>
      <c r="I374" s="799"/>
      <c r="J374" s="799"/>
      <c r="K374" s="799"/>
      <c r="L374" s="885"/>
      <c r="M374" s="799"/>
      <c r="N374" s="799"/>
      <c r="O374" s="799"/>
      <c r="P374" s="799"/>
      <c r="Q374" s="799"/>
      <c r="R374" s="799"/>
      <c r="S374" s="799"/>
      <c r="T374" s="799"/>
      <c r="U374" s="799"/>
      <c r="V374" s="799"/>
      <c r="W374" s="799"/>
      <c r="X374" s="799"/>
      <c r="Y374" s="799"/>
      <c r="Z374" s="799"/>
    </row>
    <row r="375" ht="49.5" customHeight="1">
      <c r="A375" s="799"/>
      <c r="B375" s="799"/>
      <c r="C375" s="799"/>
      <c r="D375" s="799"/>
      <c r="E375" s="799"/>
      <c r="F375" s="799"/>
      <c r="G375" s="799"/>
      <c r="H375" s="799"/>
      <c r="I375" s="799"/>
      <c r="J375" s="799"/>
      <c r="K375" s="799"/>
      <c r="L375" s="885"/>
      <c r="M375" s="799"/>
      <c r="N375" s="799"/>
      <c r="O375" s="799"/>
      <c r="P375" s="799"/>
      <c r="Q375" s="799"/>
      <c r="R375" s="799"/>
      <c r="S375" s="799"/>
      <c r="T375" s="799"/>
      <c r="U375" s="799"/>
      <c r="V375" s="799"/>
      <c r="W375" s="799"/>
      <c r="X375" s="799"/>
      <c r="Y375" s="799"/>
      <c r="Z375" s="799"/>
    </row>
    <row r="376" ht="49.5" customHeight="1">
      <c r="A376" s="799"/>
      <c r="B376" s="799"/>
      <c r="C376" s="799"/>
      <c r="D376" s="799"/>
      <c r="E376" s="799"/>
      <c r="F376" s="799"/>
      <c r="G376" s="799"/>
      <c r="H376" s="799"/>
      <c r="I376" s="799"/>
      <c r="J376" s="799"/>
      <c r="K376" s="799"/>
      <c r="L376" s="885"/>
      <c r="M376" s="799"/>
      <c r="N376" s="799"/>
      <c r="O376" s="799"/>
      <c r="P376" s="799"/>
      <c r="Q376" s="799"/>
      <c r="R376" s="799"/>
      <c r="S376" s="799"/>
      <c r="T376" s="799"/>
      <c r="U376" s="799"/>
      <c r="V376" s="799"/>
      <c r="W376" s="799"/>
      <c r="X376" s="799"/>
      <c r="Y376" s="799"/>
      <c r="Z376" s="799"/>
    </row>
    <row r="377" ht="49.5" customHeight="1">
      <c r="A377" s="799"/>
      <c r="B377" s="799"/>
      <c r="C377" s="799"/>
      <c r="D377" s="799"/>
      <c r="E377" s="799"/>
      <c r="F377" s="799"/>
      <c r="G377" s="799"/>
      <c r="H377" s="799"/>
      <c r="I377" s="799"/>
      <c r="J377" s="799"/>
      <c r="K377" s="799"/>
      <c r="L377" s="885"/>
      <c r="M377" s="799"/>
      <c r="N377" s="799"/>
      <c r="O377" s="799"/>
      <c r="P377" s="799"/>
      <c r="Q377" s="799"/>
      <c r="R377" s="799"/>
      <c r="S377" s="799"/>
      <c r="T377" s="799"/>
      <c r="U377" s="799"/>
      <c r="V377" s="799"/>
      <c r="W377" s="799"/>
      <c r="X377" s="799"/>
      <c r="Y377" s="799"/>
      <c r="Z377" s="799"/>
    </row>
    <row r="378" ht="49.5" customHeight="1">
      <c r="A378" s="799"/>
      <c r="B378" s="799"/>
      <c r="C378" s="799"/>
      <c r="D378" s="799"/>
      <c r="E378" s="799"/>
      <c r="F378" s="799"/>
      <c r="G378" s="799"/>
      <c r="H378" s="799"/>
      <c r="I378" s="799"/>
      <c r="J378" s="799"/>
      <c r="K378" s="799"/>
      <c r="L378" s="885"/>
      <c r="M378" s="799"/>
      <c r="N378" s="799"/>
      <c r="O378" s="799"/>
      <c r="P378" s="799"/>
      <c r="Q378" s="799"/>
      <c r="R378" s="799"/>
      <c r="S378" s="799"/>
      <c r="T378" s="799"/>
      <c r="U378" s="799"/>
      <c r="V378" s="799"/>
      <c r="W378" s="799"/>
      <c r="X378" s="799"/>
      <c r="Y378" s="799"/>
      <c r="Z378" s="799"/>
    </row>
    <row r="379" ht="49.5" customHeight="1">
      <c r="A379" s="799"/>
      <c r="B379" s="799"/>
      <c r="C379" s="799"/>
      <c r="D379" s="799"/>
      <c r="E379" s="799"/>
      <c r="F379" s="799"/>
      <c r="G379" s="799"/>
      <c r="H379" s="799"/>
      <c r="I379" s="799"/>
      <c r="J379" s="799"/>
      <c r="K379" s="799"/>
      <c r="L379" s="885"/>
      <c r="M379" s="799"/>
      <c r="N379" s="799"/>
      <c r="O379" s="799"/>
      <c r="P379" s="799"/>
      <c r="Q379" s="799"/>
      <c r="R379" s="799"/>
      <c r="S379" s="799"/>
      <c r="T379" s="799"/>
      <c r="U379" s="799"/>
      <c r="V379" s="799"/>
      <c r="W379" s="799"/>
      <c r="X379" s="799"/>
      <c r="Y379" s="799"/>
      <c r="Z379" s="799"/>
    </row>
    <row r="380" ht="49.5" customHeight="1">
      <c r="A380" s="799"/>
      <c r="B380" s="799"/>
      <c r="C380" s="799"/>
      <c r="D380" s="799"/>
      <c r="E380" s="799"/>
      <c r="F380" s="799"/>
      <c r="G380" s="799"/>
      <c r="H380" s="799"/>
      <c r="I380" s="799"/>
      <c r="J380" s="799"/>
      <c r="K380" s="799"/>
      <c r="L380" s="885"/>
      <c r="M380" s="799"/>
      <c r="N380" s="799"/>
      <c r="O380" s="799"/>
      <c r="P380" s="799"/>
      <c r="Q380" s="799"/>
      <c r="R380" s="799"/>
      <c r="S380" s="799"/>
      <c r="T380" s="799"/>
      <c r="U380" s="799"/>
      <c r="V380" s="799"/>
      <c r="W380" s="799"/>
      <c r="X380" s="799"/>
      <c r="Y380" s="799"/>
      <c r="Z380" s="799"/>
    </row>
    <row r="381" ht="49.5" customHeight="1">
      <c r="A381" s="799"/>
      <c r="B381" s="799"/>
      <c r="C381" s="799"/>
      <c r="D381" s="799"/>
      <c r="E381" s="799"/>
      <c r="F381" s="799"/>
      <c r="G381" s="799"/>
      <c r="H381" s="799"/>
      <c r="I381" s="799"/>
      <c r="J381" s="799"/>
      <c r="K381" s="799"/>
      <c r="L381" s="885"/>
      <c r="M381" s="799"/>
      <c r="N381" s="799"/>
      <c r="O381" s="799"/>
      <c r="P381" s="799"/>
      <c r="Q381" s="799"/>
      <c r="R381" s="799"/>
      <c r="S381" s="799"/>
      <c r="T381" s="799"/>
      <c r="U381" s="799"/>
      <c r="V381" s="799"/>
      <c r="W381" s="799"/>
      <c r="X381" s="799"/>
      <c r="Y381" s="799"/>
      <c r="Z381" s="799"/>
    </row>
    <row r="382" ht="49.5" customHeight="1">
      <c r="A382" s="799"/>
      <c r="B382" s="799"/>
      <c r="C382" s="799"/>
      <c r="D382" s="799"/>
      <c r="E382" s="799"/>
      <c r="F382" s="799"/>
      <c r="G382" s="799"/>
      <c r="H382" s="799"/>
      <c r="I382" s="799"/>
      <c r="J382" s="799"/>
      <c r="K382" s="799"/>
      <c r="L382" s="885"/>
      <c r="M382" s="799"/>
      <c r="N382" s="799"/>
      <c r="O382" s="799"/>
      <c r="P382" s="799"/>
      <c r="Q382" s="799"/>
      <c r="R382" s="799"/>
      <c r="S382" s="799"/>
      <c r="T382" s="799"/>
      <c r="U382" s="799"/>
      <c r="V382" s="799"/>
      <c r="W382" s="799"/>
      <c r="X382" s="799"/>
      <c r="Y382" s="799"/>
      <c r="Z382" s="799"/>
    </row>
    <row r="383" ht="49.5" customHeight="1">
      <c r="A383" s="799"/>
      <c r="B383" s="799"/>
      <c r="C383" s="799"/>
      <c r="D383" s="799"/>
      <c r="E383" s="799"/>
      <c r="F383" s="799"/>
      <c r="G383" s="799"/>
      <c r="H383" s="799"/>
      <c r="I383" s="799"/>
      <c r="J383" s="799"/>
      <c r="K383" s="799"/>
      <c r="L383" s="885"/>
      <c r="M383" s="799"/>
      <c r="N383" s="799"/>
      <c r="O383" s="799"/>
      <c r="P383" s="799"/>
      <c r="Q383" s="799"/>
      <c r="R383" s="799"/>
      <c r="S383" s="799"/>
      <c r="T383" s="799"/>
      <c r="U383" s="799"/>
      <c r="V383" s="799"/>
      <c r="W383" s="799"/>
      <c r="X383" s="799"/>
      <c r="Y383" s="799"/>
      <c r="Z383" s="799"/>
    </row>
    <row r="384" ht="49.5" customHeight="1">
      <c r="A384" s="799"/>
      <c r="B384" s="799"/>
      <c r="C384" s="799"/>
      <c r="D384" s="799"/>
      <c r="E384" s="799"/>
      <c r="F384" s="799"/>
      <c r="G384" s="799"/>
      <c r="H384" s="799"/>
      <c r="I384" s="799"/>
      <c r="J384" s="799"/>
      <c r="K384" s="799"/>
      <c r="L384" s="885"/>
      <c r="M384" s="799"/>
      <c r="N384" s="799"/>
      <c r="O384" s="799"/>
      <c r="P384" s="799"/>
      <c r="Q384" s="799"/>
      <c r="R384" s="799"/>
      <c r="S384" s="799"/>
      <c r="T384" s="799"/>
      <c r="U384" s="799"/>
      <c r="V384" s="799"/>
      <c r="W384" s="799"/>
      <c r="X384" s="799"/>
      <c r="Y384" s="799"/>
      <c r="Z384" s="799"/>
    </row>
    <row r="385" ht="49.5" customHeight="1">
      <c r="A385" s="799"/>
      <c r="B385" s="799"/>
      <c r="C385" s="799"/>
      <c r="D385" s="799"/>
      <c r="E385" s="799"/>
      <c r="F385" s="799"/>
      <c r="G385" s="799"/>
      <c r="H385" s="799"/>
      <c r="I385" s="799"/>
      <c r="J385" s="799"/>
      <c r="K385" s="799"/>
      <c r="L385" s="885"/>
      <c r="M385" s="799"/>
      <c r="N385" s="799"/>
      <c r="O385" s="799"/>
      <c r="P385" s="799"/>
      <c r="Q385" s="799"/>
      <c r="R385" s="799"/>
      <c r="S385" s="799"/>
      <c r="T385" s="799"/>
      <c r="U385" s="799"/>
      <c r="V385" s="799"/>
      <c r="W385" s="799"/>
      <c r="X385" s="799"/>
      <c r="Y385" s="799"/>
      <c r="Z385" s="799"/>
    </row>
    <row r="386" ht="49.5" customHeight="1">
      <c r="A386" s="799"/>
      <c r="B386" s="799"/>
      <c r="C386" s="799"/>
      <c r="D386" s="799"/>
      <c r="E386" s="799"/>
      <c r="F386" s="799"/>
      <c r="G386" s="799"/>
      <c r="H386" s="799"/>
      <c r="I386" s="799"/>
      <c r="J386" s="799"/>
      <c r="K386" s="799"/>
      <c r="L386" s="885"/>
      <c r="M386" s="799"/>
      <c r="N386" s="799"/>
      <c r="O386" s="799"/>
      <c r="P386" s="799"/>
      <c r="Q386" s="799"/>
      <c r="R386" s="799"/>
      <c r="S386" s="799"/>
      <c r="T386" s="799"/>
      <c r="U386" s="799"/>
      <c r="V386" s="799"/>
      <c r="W386" s="799"/>
      <c r="X386" s="799"/>
      <c r="Y386" s="799"/>
      <c r="Z386" s="799"/>
    </row>
    <row r="387" ht="49.5" customHeight="1">
      <c r="A387" s="799"/>
      <c r="B387" s="799"/>
      <c r="C387" s="799"/>
      <c r="D387" s="799"/>
      <c r="E387" s="799"/>
      <c r="F387" s="799"/>
      <c r="G387" s="799"/>
      <c r="H387" s="799"/>
      <c r="I387" s="799"/>
      <c r="J387" s="799"/>
      <c r="K387" s="799"/>
      <c r="L387" s="885"/>
      <c r="M387" s="799"/>
      <c r="N387" s="799"/>
      <c r="O387" s="799"/>
      <c r="P387" s="799"/>
      <c r="Q387" s="799"/>
      <c r="R387" s="799"/>
      <c r="S387" s="799"/>
      <c r="T387" s="799"/>
      <c r="U387" s="799"/>
      <c r="V387" s="799"/>
      <c r="W387" s="799"/>
      <c r="X387" s="799"/>
      <c r="Y387" s="799"/>
      <c r="Z387" s="799"/>
    </row>
    <row r="388" ht="49.5" customHeight="1">
      <c r="A388" s="799"/>
      <c r="B388" s="799"/>
      <c r="C388" s="799"/>
      <c r="D388" s="799"/>
      <c r="E388" s="799"/>
      <c r="F388" s="799"/>
      <c r="G388" s="799"/>
      <c r="H388" s="799"/>
      <c r="I388" s="799"/>
      <c r="J388" s="799"/>
      <c r="K388" s="799"/>
      <c r="L388" s="885"/>
      <c r="M388" s="799"/>
      <c r="N388" s="799"/>
      <c r="O388" s="799"/>
      <c r="P388" s="799"/>
      <c r="Q388" s="799"/>
      <c r="R388" s="799"/>
      <c r="S388" s="799"/>
      <c r="T388" s="799"/>
      <c r="U388" s="799"/>
      <c r="V388" s="799"/>
      <c r="W388" s="799"/>
      <c r="X388" s="799"/>
      <c r="Y388" s="799"/>
      <c r="Z388" s="799"/>
    </row>
    <row r="389" ht="49.5" customHeight="1">
      <c r="A389" s="799"/>
      <c r="B389" s="799"/>
      <c r="C389" s="799"/>
      <c r="D389" s="799"/>
      <c r="E389" s="799"/>
      <c r="F389" s="799"/>
      <c r="G389" s="799"/>
      <c r="H389" s="799"/>
      <c r="I389" s="799"/>
      <c r="J389" s="799"/>
      <c r="K389" s="799"/>
      <c r="L389" s="885"/>
      <c r="M389" s="799"/>
      <c r="N389" s="799"/>
      <c r="O389" s="799"/>
      <c r="P389" s="799"/>
      <c r="Q389" s="799"/>
      <c r="R389" s="799"/>
      <c r="S389" s="799"/>
      <c r="T389" s="799"/>
      <c r="U389" s="799"/>
      <c r="V389" s="799"/>
      <c r="W389" s="799"/>
      <c r="X389" s="799"/>
      <c r="Y389" s="799"/>
      <c r="Z389" s="799"/>
    </row>
    <row r="390" ht="49.5" customHeight="1">
      <c r="A390" s="799"/>
      <c r="B390" s="799"/>
      <c r="C390" s="799"/>
      <c r="D390" s="799"/>
      <c r="E390" s="799"/>
      <c r="F390" s="799"/>
      <c r="G390" s="799"/>
      <c r="H390" s="799"/>
      <c r="I390" s="799"/>
      <c r="J390" s="799"/>
      <c r="K390" s="799"/>
      <c r="L390" s="885"/>
      <c r="M390" s="799"/>
      <c r="N390" s="799"/>
      <c r="O390" s="799"/>
      <c r="P390" s="799"/>
      <c r="Q390" s="799"/>
      <c r="R390" s="799"/>
      <c r="S390" s="799"/>
      <c r="T390" s="799"/>
      <c r="U390" s="799"/>
      <c r="V390" s="799"/>
      <c r="W390" s="799"/>
      <c r="X390" s="799"/>
      <c r="Y390" s="799"/>
      <c r="Z390" s="799"/>
    </row>
    <row r="391" ht="49.5" customHeight="1">
      <c r="A391" s="799"/>
      <c r="B391" s="799"/>
      <c r="C391" s="799"/>
      <c r="D391" s="799"/>
      <c r="E391" s="799"/>
      <c r="F391" s="799"/>
      <c r="G391" s="799"/>
      <c r="H391" s="799"/>
      <c r="I391" s="799"/>
      <c r="J391" s="799"/>
      <c r="K391" s="799"/>
      <c r="L391" s="885"/>
      <c r="M391" s="799"/>
      <c r="N391" s="799"/>
      <c r="O391" s="799"/>
      <c r="P391" s="799"/>
      <c r="Q391" s="799"/>
      <c r="R391" s="799"/>
      <c r="S391" s="799"/>
      <c r="T391" s="799"/>
      <c r="U391" s="799"/>
      <c r="V391" s="799"/>
      <c r="W391" s="799"/>
      <c r="X391" s="799"/>
      <c r="Y391" s="799"/>
      <c r="Z391" s="799"/>
    </row>
    <row r="392" ht="49.5" customHeight="1">
      <c r="A392" s="799"/>
      <c r="B392" s="799"/>
      <c r="C392" s="799"/>
      <c r="D392" s="799"/>
      <c r="E392" s="799"/>
      <c r="F392" s="799"/>
      <c r="G392" s="799"/>
      <c r="H392" s="799"/>
      <c r="I392" s="799"/>
      <c r="J392" s="799"/>
      <c r="K392" s="799"/>
      <c r="L392" s="885"/>
      <c r="M392" s="799"/>
      <c r="N392" s="799"/>
      <c r="O392" s="799"/>
      <c r="P392" s="799"/>
      <c r="Q392" s="799"/>
      <c r="R392" s="799"/>
      <c r="S392" s="799"/>
      <c r="T392" s="799"/>
      <c r="U392" s="799"/>
      <c r="V392" s="799"/>
      <c r="W392" s="799"/>
      <c r="X392" s="799"/>
      <c r="Y392" s="799"/>
      <c r="Z392" s="799"/>
    </row>
    <row r="393" ht="49.5" customHeight="1">
      <c r="A393" s="799"/>
      <c r="B393" s="799"/>
      <c r="C393" s="799"/>
      <c r="D393" s="799"/>
      <c r="E393" s="799"/>
      <c r="F393" s="799"/>
      <c r="G393" s="799"/>
      <c r="H393" s="799"/>
      <c r="I393" s="799"/>
      <c r="J393" s="799"/>
      <c r="K393" s="799"/>
      <c r="L393" s="885"/>
      <c r="M393" s="799"/>
      <c r="N393" s="799"/>
      <c r="O393" s="799"/>
      <c r="P393" s="799"/>
      <c r="Q393" s="799"/>
      <c r="R393" s="799"/>
      <c r="S393" s="799"/>
      <c r="T393" s="799"/>
      <c r="U393" s="799"/>
      <c r="V393" s="799"/>
      <c r="W393" s="799"/>
      <c r="X393" s="799"/>
      <c r="Y393" s="799"/>
      <c r="Z393" s="799"/>
    </row>
    <row r="394" ht="49.5" customHeight="1">
      <c r="A394" s="799"/>
      <c r="B394" s="799"/>
      <c r="C394" s="799"/>
      <c r="D394" s="799"/>
      <c r="E394" s="799"/>
      <c r="F394" s="799"/>
      <c r="G394" s="799"/>
      <c r="H394" s="799"/>
      <c r="I394" s="799"/>
      <c r="J394" s="799"/>
      <c r="K394" s="799"/>
      <c r="L394" s="885"/>
      <c r="M394" s="799"/>
      <c r="N394" s="799"/>
      <c r="O394" s="799"/>
      <c r="P394" s="799"/>
      <c r="Q394" s="799"/>
      <c r="R394" s="799"/>
      <c r="S394" s="799"/>
      <c r="T394" s="799"/>
      <c r="U394" s="799"/>
      <c r="V394" s="799"/>
      <c r="W394" s="799"/>
      <c r="X394" s="799"/>
      <c r="Y394" s="799"/>
      <c r="Z394" s="799"/>
    </row>
    <row r="395" ht="49.5" customHeight="1">
      <c r="A395" s="799"/>
      <c r="B395" s="799"/>
      <c r="C395" s="799"/>
      <c r="D395" s="799"/>
      <c r="E395" s="799"/>
      <c r="F395" s="799"/>
      <c r="G395" s="799"/>
      <c r="H395" s="799"/>
      <c r="I395" s="799"/>
      <c r="J395" s="799"/>
      <c r="K395" s="799"/>
      <c r="L395" s="885"/>
      <c r="M395" s="799"/>
      <c r="N395" s="799"/>
      <c r="O395" s="799"/>
      <c r="P395" s="799"/>
      <c r="Q395" s="799"/>
      <c r="R395" s="799"/>
      <c r="S395" s="799"/>
      <c r="T395" s="799"/>
      <c r="U395" s="799"/>
      <c r="V395" s="799"/>
      <c r="W395" s="799"/>
      <c r="X395" s="799"/>
      <c r="Y395" s="799"/>
      <c r="Z395" s="799"/>
    </row>
    <row r="396" ht="49.5" customHeight="1">
      <c r="A396" s="799"/>
      <c r="B396" s="799"/>
      <c r="C396" s="799"/>
      <c r="D396" s="799"/>
      <c r="E396" s="799"/>
      <c r="F396" s="799"/>
      <c r="G396" s="799"/>
      <c r="H396" s="799"/>
      <c r="I396" s="799"/>
      <c r="J396" s="799"/>
      <c r="K396" s="799"/>
      <c r="L396" s="885"/>
      <c r="M396" s="799"/>
      <c r="N396" s="799"/>
      <c r="O396" s="799"/>
      <c r="P396" s="799"/>
      <c r="Q396" s="799"/>
      <c r="R396" s="799"/>
      <c r="S396" s="799"/>
      <c r="T396" s="799"/>
      <c r="U396" s="799"/>
      <c r="V396" s="799"/>
      <c r="W396" s="799"/>
      <c r="X396" s="799"/>
      <c r="Y396" s="799"/>
      <c r="Z396" s="799"/>
    </row>
    <row r="397" ht="49.5" customHeight="1">
      <c r="A397" s="799"/>
      <c r="B397" s="799"/>
      <c r="C397" s="799"/>
      <c r="D397" s="799"/>
      <c r="E397" s="799"/>
      <c r="F397" s="799"/>
      <c r="G397" s="799"/>
      <c r="H397" s="799"/>
      <c r="I397" s="799"/>
      <c r="J397" s="799"/>
      <c r="K397" s="799"/>
      <c r="L397" s="885"/>
      <c r="M397" s="799"/>
      <c r="N397" s="799"/>
      <c r="O397" s="799"/>
      <c r="P397" s="799"/>
      <c r="Q397" s="799"/>
      <c r="R397" s="799"/>
      <c r="S397" s="799"/>
      <c r="T397" s="799"/>
      <c r="U397" s="799"/>
      <c r="V397" s="799"/>
      <c r="W397" s="799"/>
      <c r="X397" s="799"/>
      <c r="Y397" s="799"/>
      <c r="Z397" s="799"/>
    </row>
    <row r="398" ht="49.5" customHeight="1">
      <c r="A398" s="799"/>
      <c r="B398" s="799"/>
      <c r="C398" s="799"/>
      <c r="D398" s="799"/>
      <c r="E398" s="799"/>
      <c r="F398" s="799"/>
      <c r="G398" s="799"/>
      <c r="H398" s="799"/>
      <c r="I398" s="799"/>
      <c r="J398" s="799"/>
      <c r="K398" s="799"/>
      <c r="L398" s="885"/>
      <c r="M398" s="799"/>
      <c r="N398" s="799"/>
      <c r="O398" s="799"/>
      <c r="P398" s="799"/>
      <c r="Q398" s="799"/>
      <c r="R398" s="799"/>
      <c r="S398" s="799"/>
      <c r="T398" s="799"/>
      <c r="U398" s="799"/>
      <c r="V398" s="799"/>
      <c r="W398" s="799"/>
      <c r="X398" s="799"/>
      <c r="Y398" s="799"/>
      <c r="Z398" s="799"/>
    </row>
    <row r="399" ht="49.5" customHeight="1">
      <c r="A399" s="799"/>
      <c r="B399" s="799"/>
      <c r="C399" s="799"/>
      <c r="D399" s="799"/>
      <c r="E399" s="799"/>
      <c r="F399" s="799"/>
      <c r="G399" s="799"/>
      <c r="H399" s="799"/>
      <c r="I399" s="799"/>
      <c r="J399" s="799"/>
      <c r="K399" s="799"/>
      <c r="L399" s="885"/>
      <c r="M399" s="799"/>
      <c r="N399" s="799"/>
      <c r="O399" s="799"/>
      <c r="P399" s="799"/>
      <c r="Q399" s="799"/>
      <c r="R399" s="799"/>
      <c r="S399" s="799"/>
      <c r="T399" s="799"/>
      <c r="U399" s="799"/>
      <c r="V399" s="799"/>
      <c r="W399" s="799"/>
      <c r="X399" s="799"/>
      <c r="Y399" s="799"/>
      <c r="Z399" s="799"/>
    </row>
    <row r="400" ht="49.5" customHeight="1">
      <c r="A400" s="799"/>
      <c r="B400" s="799"/>
      <c r="C400" s="799"/>
      <c r="D400" s="799"/>
      <c r="E400" s="799"/>
      <c r="F400" s="799"/>
      <c r="G400" s="799"/>
      <c r="H400" s="799"/>
      <c r="I400" s="799"/>
      <c r="J400" s="799"/>
      <c r="K400" s="799"/>
      <c r="L400" s="885"/>
      <c r="M400" s="799"/>
      <c r="N400" s="799"/>
      <c r="O400" s="799"/>
      <c r="P400" s="799"/>
      <c r="Q400" s="799"/>
      <c r="R400" s="799"/>
      <c r="S400" s="799"/>
      <c r="T400" s="799"/>
      <c r="U400" s="799"/>
      <c r="V400" s="799"/>
      <c r="W400" s="799"/>
      <c r="X400" s="799"/>
      <c r="Y400" s="799"/>
      <c r="Z400" s="799"/>
    </row>
    <row r="401" ht="49.5" customHeight="1">
      <c r="A401" s="799"/>
      <c r="B401" s="799"/>
      <c r="C401" s="799"/>
      <c r="D401" s="799"/>
      <c r="E401" s="799"/>
      <c r="F401" s="799"/>
      <c r="G401" s="799"/>
      <c r="H401" s="799"/>
      <c r="I401" s="799"/>
      <c r="J401" s="799"/>
      <c r="K401" s="799"/>
      <c r="L401" s="885"/>
      <c r="M401" s="799"/>
      <c r="N401" s="799"/>
      <c r="O401" s="799"/>
      <c r="P401" s="799"/>
      <c r="Q401" s="799"/>
      <c r="R401" s="799"/>
      <c r="S401" s="799"/>
      <c r="T401" s="799"/>
      <c r="U401" s="799"/>
      <c r="V401" s="799"/>
      <c r="W401" s="799"/>
      <c r="X401" s="799"/>
      <c r="Y401" s="799"/>
      <c r="Z401" s="799"/>
    </row>
    <row r="402" ht="49.5" customHeight="1">
      <c r="A402" s="799"/>
      <c r="B402" s="799"/>
      <c r="C402" s="799"/>
      <c r="D402" s="799"/>
      <c r="E402" s="799"/>
      <c r="F402" s="799"/>
      <c r="G402" s="799"/>
      <c r="H402" s="799"/>
      <c r="I402" s="799"/>
      <c r="J402" s="799"/>
      <c r="K402" s="799"/>
      <c r="L402" s="885"/>
      <c r="M402" s="799"/>
      <c r="N402" s="799"/>
      <c r="O402" s="799"/>
      <c r="P402" s="799"/>
      <c r="Q402" s="799"/>
      <c r="R402" s="799"/>
      <c r="S402" s="799"/>
      <c r="T402" s="799"/>
      <c r="U402" s="799"/>
      <c r="V402" s="799"/>
      <c r="W402" s="799"/>
      <c r="X402" s="799"/>
      <c r="Y402" s="799"/>
      <c r="Z402" s="799"/>
    </row>
    <row r="403" ht="49.5" customHeight="1">
      <c r="A403" s="799"/>
      <c r="B403" s="799"/>
      <c r="C403" s="799"/>
      <c r="D403" s="799"/>
      <c r="E403" s="799"/>
      <c r="F403" s="799"/>
      <c r="G403" s="799"/>
      <c r="H403" s="799"/>
      <c r="I403" s="799"/>
      <c r="J403" s="799"/>
      <c r="K403" s="799"/>
      <c r="L403" s="885"/>
      <c r="M403" s="799"/>
      <c r="N403" s="799"/>
      <c r="O403" s="799"/>
      <c r="P403" s="799"/>
      <c r="Q403" s="799"/>
      <c r="R403" s="799"/>
      <c r="S403" s="799"/>
      <c r="T403" s="799"/>
      <c r="U403" s="799"/>
      <c r="V403" s="799"/>
      <c r="W403" s="799"/>
      <c r="X403" s="799"/>
      <c r="Y403" s="799"/>
      <c r="Z403" s="799"/>
    </row>
    <row r="404" ht="49.5" customHeight="1">
      <c r="A404" s="799"/>
      <c r="B404" s="799"/>
      <c r="C404" s="799"/>
      <c r="D404" s="799"/>
      <c r="E404" s="799"/>
      <c r="F404" s="799"/>
      <c r="G404" s="799"/>
      <c r="H404" s="799"/>
      <c r="I404" s="799"/>
      <c r="J404" s="799"/>
      <c r="K404" s="799"/>
      <c r="L404" s="885"/>
      <c r="M404" s="799"/>
      <c r="N404" s="799"/>
      <c r="O404" s="799"/>
      <c r="P404" s="799"/>
      <c r="Q404" s="799"/>
      <c r="R404" s="799"/>
      <c r="S404" s="799"/>
      <c r="T404" s="799"/>
      <c r="U404" s="799"/>
      <c r="V404" s="799"/>
      <c r="W404" s="799"/>
      <c r="X404" s="799"/>
      <c r="Y404" s="799"/>
      <c r="Z404" s="799"/>
    </row>
    <row r="405" ht="49.5" customHeight="1">
      <c r="A405" s="799"/>
      <c r="B405" s="799"/>
      <c r="C405" s="799"/>
      <c r="D405" s="799"/>
      <c r="E405" s="799"/>
      <c r="F405" s="799"/>
      <c r="G405" s="799"/>
      <c r="H405" s="799"/>
      <c r="I405" s="799"/>
      <c r="J405" s="799"/>
      <c r="K405" s="799"/>
      <c r="L405" s="885"/>
      <c r="M405" s="799"/>
      <c r="N405" s="799"/>
      <c r="O405" s="799"/>
      <c r="P405" s="799"/>
      <c r="Q405" s="799"/>
      <c r="R405" s="799"/>
      <c r="S405" s="799"/>
      <c r="T405" s="799"/>
      <c r="U405" s="799"/>
      <c r="V405" s="799"/>
      <c r="W405" s="799"/>
      <c r="X405" s="799"/>
      <c r="Y405" s="799"/>
      <c r="Z405" s="799"/>
    </row>
    <row r="406" ht="49.5" customHeight="1">
      <c r="A406" s="799"/>
      <c r="B406" s="799"/>
      <c r="C406" s="799"/>
      <c r="D406" s="799"/>
      <c r="E406" s="799"/>
      <c r="F406" s="799"/>
      <c r="G406" s="799"/>
      <c r="H406" s="799"/>
      <c r="I406" s="799"/>
      <c r="J406" s="799"/>
      <c r="K406" s="799"/>
      <c r="L406" s="885"/>
      <c r="M406" s="799"/>
      <c r="N406" s="799"/>
      <c r="O406" s="799"/>
      <c r="P406" s="799"/>
      <c r="Q406" s="799"/>
      <c r="R406" s="799"/>
      <c r="S406" s="799"/>
      <c r="T406" s="799"/>
      <c r="U406" s="799"/>
      <c r="V406" s="799"/>
      <c r="W406" s="799"/>
      <c r="X406" s="799"/>
      <c r="Y406" s="799"/>
      <c r="Z406" s="799"/>
    </row>
    <row r="407" ht="49.5" customHeight="1">
      <c r="A407" s="799"/>
      <c r="B407" s="799"/>
      <c r="C407" s="799"/>
      <c r="D407" s="799"/>
      <c r="E407" s="799"/>
      <c r="F407" s="799"/>
      <c r="G407" s="799"/>
      <c r="H407" s="799"/>
      <c r="I407" s="799"/>
      <c r="J407" s="799"/>
      <c r="K407" s="799"/>
      <c r="L407" s="885"/>
      <c r="M407" s="799"/>
      <c r="N407" s="799"/>
      <c r="O407" s="799"/>
      <c r="P407" s="799"/>
      <c r="Q407" s="799"/>
      <c r="R407" s="799"/>
      <c r="S407" s="799"/>
      <c r="T407" s="799"/>
      <c r="U407" s="799"/>
      <c r="V407" s="799"/>
      <c r="W407" s="799"/>
      <c r="X407" s="799"/>
      <c r="Y407" s="799"/>
      <c r="Z407" s="799"/>
    </row>
    <row r="408" ht="49.5" customHeight="1">
      <c r="A408" s="799"/>
      <c r="B408" s="799"/>
      <c r="C408" s="799"/>
      <c r="D408" s="799"/>
      <c r="E408" s="799"/>
      <c r="F408" s="799"/>
      <c r="G408" s="799"/>
      <c r="H408" s="799"/>
      <c r="I408" s="799"/>
      <c r="J408" s="799"/>
      <c r="K408" s="799"/>
      <c r="L408" s="885"/>
      <c r="M408" s="799"/>
      <c r="N408" s="799"/>
      <c r="O408" s="799"/>
      <c r="P408" s="799"/>
      <c r="Q408" s="799"/>
      <c r="R408" s="799"/>
      <c r="S408" s="799"/>
      <c r="T408" s="799"/>
      <c r="U408" s="799"/>
      <c r="V408" s="799"/>
      <c r="W408" s="799"/>
      <c r="X408" s="799"/>
      <c r="Y408" s="799"/>
      <c r="Z408" s="799"/>
    </row>
    <row r="409" ht="49.5" customHeight="1">
      <c r="A409" s="799"/>
      <c r="B409" s="799"/>
      <c r="C409" s="799"/>
      <c r="D409" s="799"/>
      <c r="E409" s="799"/>
      <c r="F409" s="799"/>
      <c r="G409" s="799"/>
      <c r="H409" s="799"/>
      <c r="I409" s="799"/>
      <c r="J409" s="799"/>
      <c r="K409" s="799"/>
      <c r="L409" s="885"/>
      <c r="M409" s="799"/>
      <c r="N409" s="799"/>
      <c r="O409" s="799"/>
      <c r="P409" s="799"/>
      <c r="Q409" s="799"/>
      <c r="R409" s="799"/>
      <c r="S409" s="799"/>
      <c r="T409" s="799"/>
      <c r="U409" s="799"/>
      <c r="V409" s="799"/>
      <c r="W409" s="799"/>
      <c r="X409" s="799"/>
      <c r="Y409" s="799"/>
      <c r="Z409" s="799"/>
    </row>
    <row r="410" ht="49.5" customHeight="1">
      <c r="A410" s="799"/>
      <c r="B410" s="799"/>
      <c r="C410" s="799"/>
      <c r="D410" s="799"/>
      <c r="E410" s="799"/>
      <c r="F410" s="799"/>
      <c r="G410" s="799"/>
      <c r="H410" s="799"/>
      <c r="I410" s="799"/>
      <c r="J410" s="799"/>
      <c r="K410" s="799"/>
      <c r="L410" s="885"/>
      <c r="M410" s="799"/>
      <c r="N410" s="799"/>
      <c r="O410" s="799"/>
      <c r="P410" s="799"/>
      <c r="Q410" s="799"/>
      <c r="R410" s="799"/>
      <c r="S410" s="799"/>
      <c r="T410" s="799"/>
      <c r="U410" s="799"/>
      <c r="V410" s="799"/>
      <c r="W410" s="799"/>
      <c r="X410" s="799"/>
      <c r="Y410" s="799"/>
      <c r="Z410" s="799"/>
    </row>
    <row r="411" ht="49.5" customHeight="1">
      <c r="A411" s="799"/>
      <c r="B411" s="799"/>
      <c r="C411" s="799"/>
      <c r="D411" s="799"/>
      <c r="E411" s="799"/>
      <c r="F411" s="799"/>
      <c r="G411" s="799"/>
      <c r="H411" s="799"/>
      <c r="I411" s="799"/>
      <c r="J411" s="799"/>
      <c r="K411" s="799"/>
      <c r="L411" s="885"/>
      <c r="M411" s="799"/>
      <c r="N411" s="799"/>
      <c r="O411" s="799"/>
      <c r="P411" s="799"/>
      <c r="Q411" s="799"/>
      <c r="R411" s="799"/>
      <c r="S411" s="799"/>
      <c r="T411" s="799"/>
      <c r="U411" s="799"/>
      <c r="V411" s="799"/>
      <c r="W411" s="799"/>
      <c r="X411" s="799"/>
      <c r="Y411" s="799"/>
      <c r="Z411" s="799"/>
    </row>
    <row r="412" ht="49.5" customHeight="1">
      <c r="A412" s="799"/>
      <c r="B412" s="799"/>
      <c r="C412" s="799"/>
      <c r="D412" s="799"/>
      <c r="E412" s="799"/>
      <c r="F412" s="799"/>
      <c r="G412" s="799"/>
      <c r="H412" s="799"/>
      <c r="I412" s="799"/>
      <c r="J412" s="799"/>
      <c r="K412" s="799"/>
      <c r="L412" s="885"/>
      <c r="M412" s="799"/>
      <c r="N412" s="799"/>
      <c r="O412" s="799"/>
      <c r="P412" s="799"/>
      <c r="Q412" s="799"/>
      <c r="R412" s="799"/>
      <c r="S412" s="799"/>
      <c r="T412" s="799"/>
      <c r="U412" s="799"/>
      <c r="V412" s="799"/>
      <c r="W412" s="799"/>
      <c r="X412" s="799"/>
      <c r="Y412" s="799"/>
      <c r="Z412" s="799"/>
    </row>
    <row r="413" ht="49.5" customHeight="1">
      <c r="A413" s="799"/>
      <c r="B413" s="799"/>
      <c r="C413" s="799"/>
      <c r="D413" s="799"/>
      <c r="E413" s="799"/>
      <c r="F413" s="799"/>
      <c r="G413" s="799"/>
      <c r="H413" s="799"/>
      <c r="I413" s="799"/>
      <c r="J413" s="799"/>
      <c r="K413" s="799"/>
      <c r="L413" s="885"/>
      <c r="M413" s="799"/>
      <c r="N413" s="799"/>
      <c r="O413" s="799"/>
      <c r="P413" s="799"/>
      <c r="Q413" s="799"/>
      <c r="R413" s="799"/>
      <c r="S413" s="799"/>
      <c r="T413" s="799"/>
      <c r="U413" s="799"/>
      <c r="V413" s="799"/>
      <c r="W413" s="799"/>
      <c r="X413" s="799"/>
      <c r="Y413" s="799"/>
      <c r="Z413" s="799"/>
    </row>
    <row r="414" ht="49.5" customHeight="1">
      <c r="A414" s="799"/>
      <c r="B414" s="799"/>
      <c r="C414" s="799"/>
      <c r="D414" s="799"/>
      <c r="E414" s="799"/>
      <c r="F414" s="799"/>
      <c r="G414" s="799"/>
      <c r="H414" s="799"/>
      <c r="I414" s="799"/>
      <c r="J414" s="799"/>
      <c r="K414" s="799"/>
      <c r="L414" s="885"/>
      <c r="M414" s="799"/>
      <c r="N414" s="799"/>
      <c r="O414" s="799"/>
      <c r="P414" s="799"/>
      <c r="Q414" s="799"/>
      <c r="R414" s="799"/>
      <c r="S414" s="799"/>
      <c r="T414" s="799"/>
      <c r="U414" s="799"/>
      <c r="V414" s="799"/>
      <c r="W414" s="799"/>
      <c r="X414" s="799"/>
      <c r="Y414" s="799"/>
      <c r="Z414" s="799"/>
    </row>
    <row r="415" ht="49.5" customHeight="1">
      <c r="A415" s="799"/>
      <c r="B415" s="799"/>
      <c r="C415" s="799"/>
      <c r="D415" s="799"/>
      <c r="E415" s="799"/>
      <c r="F415" s="799"/>
      <c r="G415" s="799"/>
      <c r="H415" s="799"/>
      <c r="I415" s="799"/>
      <c r="J415" s="799"/>
      <c r="K415" s="799"/>
      <c r="L415" s="885"/>
      <c r="M415" s="799"/>
      <c r="N415" s="799"/>
      <c r="O415" s="799"/>
      <c r="P415" s="799"/>
      <c r="Q415" s="799"/>
      <c r="R415" s="799"/>
      <c r="S415" s="799"/>
      <c r="T415" s="799"/>
      <c r="U415" s="799"/>
      <c r="V415" s="799"/>
      <c r="W415" s="799"/>
      <c r="X415" s="799"/>
      <c r="Y415" s="799"/>
      <c r="Z415" s="799"/>
    </row>
    <row r="416" ht="49.5" customHeight="1">
      <c r="A416" s="799"/>
      <c r="B416" s="799"/>
      <c r="C416" s="799"/>
      <c r="D416" s="799"/>
      <c r="E416" s="799"/>
      <c r="F416" s="799"/>
      <c r="G416" s="799"/>
      <c r="H416" s="799"/>
      <c r="I416" s="799"/>
      <c r="J416" s="799"/>
      <c r="K416" s="799"/>
      <c r="L416" s="885"/>
      <c r="M416" s="799"/>
      <c r="N416" s="799"/>
      <c r="O416" s="799"/>
      <c r="P416" s="799"/>
      <c r="Q416" s="799"/>
      <c r="R416" s="799"/>
      <c r="S416" s="799"/>
      <c r="T416" s="799"/>
      <c r="U416" s="799"/>
      <c r="V416" s="799"/>
      <c r="W416" s="799"/>
      <c r="X416" s="799"/>
      <c r="Y416" s="799"/>
      <c r="Z416" s="799"/>
    </row>
    <row r="417" ht="49.5" customHeight="1">
      <c r="A417" s="799"/>
      <c r="B417" s="799"/>
      <c r="C417" s="799"/>
      <c r="D417" s="799"/>
      <c r="E417" s="799"/>
      <c r="F417" s="799"/>
      <c r="G417" s="799"/>
      <c r="H417" s="799"/>
      <c r="I417" s="799"/>
      <c r="J417" s="799"/>
      <c r="K417" s="799"/>
      <c r="L417" s="885"/>
      <c r="M417" s="799"/>
      <c r="N417" s="799"/>
      <c r="O417" s="799"/>
      <c r="P417" s="799"/>
      <c r="Q417" s="799"/>
      <c r="R417" s="799"/>
      <c r="S417" s="799"/>
      <c r="T417" s="799"/>
      <c r="U417" s="799"/>
      <c r="V417" s="799"/>
      <c r="W417" s="799"/>
      <c r="X417" s="799"/>
      <c r="Y417" s="799"/>
      <c r="Z417" s="799"/>
    </row>
    <row r="418" ht="49.5" customHeight="1">
      <c r="A418" s="799"/>
      <c r="B418" s="799"/>
      <c r="C418" s="799"/>
      <c r="D418" s="799"/>
      <c r="E418" s="799"/>
      <c r="F418" s="799"/>
      <c r="G418" s="799"/>
      <c r="H418" s="799"/>
      <c r="I418" s="799"/>
      <c r="J418" s="799"/>
      <c r="K418" s="799"/>
      <c r="L418" s="885"/>
      <c r="M418" s="799"/>
      <c r="N418" s="799"/>
      <c r="O418" s="799"/>
      <c r="P418" s="799"/>
      <c r="Q418" s="799"/>
      <c r="R418" s="799"/>
      <c r="S418" s="799"/>
      <c r="T418" s="799"/>
      <c r="U418" s="799"/>
      <c r="V418" s="799"/>
      <c r="W418" s="799"/>
      <c r="X418" s="799"/>
      <c r="Y418" s="799"/>
      <c r="Z418" s="799"/>
    </row>
    <row r="419" ht="49.5" customHeight="1">
      <c r="A419" s="799"/>
      <c r="B419" s="799"/>
      <c r="C419" s="799"/>
      <c r="D419" s="799"/>
      <c r="E419" s="799"/>
      <c r="F419" s="799"/>
      <c r="G419" s="799"/>
      <c r="H419" s="799"/>
      <c r="I419" s="799"/>
      <c r="J419" s="799"/>
      <c r="K419" s="799"/>
      <c r="L419" s="885"/>
      <c r="M419" s="799"/>
      <c r="N419" s="799"/>
      <c r="O419" s="799"/>
      <c r="P419" s="799"/>
      <c r="Q419" s="799"/>
      <c r="R419" s="799"/>
      <c r="S419" s="799"/>
      <c r="T419" s="799"/>
      <c r="U419" s="799"/>
      <c r="V419" s="799"/>
      <c r="W419" s="799"/>
      <c r="X419" s="799"/>
      <c r="Y419" s="799"/>
      <c r="Z419" s="799"/>
    </row>
    <row r="420" ht="49.5" customHeight="1">
      <c r="A420" s="799"/>
      <c r="B420" s="799"/>
      <c r="C420" s="799"/>
      <c r="D420" s="799"/>
      <c r="E420" s="799"/>
      <c r="F420" s="799"/>
      <c r="G420" s="799"/>
      <c r="H420" s="799"/>
      <c r="I420" s="799"/>
      <c r="J420" s="799"/>
      <c r="K420" s="799"/>
      <c r="L420" s="885"/>
      <c r="M420" s="799"/>
      <c r="N420" s="799"/>
      <c r="O420" s="799"/>
      <c r="P420" s="799"/>
      <c r="Q420" s="799"/>
      <c r="R420" s="799"/>
      <c r="S420" s="799"/>
      <c r="T420" s="799"/>
      <c r="U420" s="799"/>
      <c r="V420" s="799"/>
      <c r="W420" s="799"/>
      <c r="X420" s="799"/>
      <c r="Y420" s="799"/>
      <c r="Z420" s="799"/>
    </row>
    <row r="421" ht="49.5" customHeight="1">
      <c r="A421" s="799"/>
      <c r="B421" s="799"/>
      <c r="C421" s="799"/>
      <c r="D421" s="799"/>
      <c r="E421" s="799"/>
      <c r="F421" s="799"/>
      <c r="G421" s="799"/>
      <c r="H421" s="799"/>
      <c r="I421" s="799"/>
      <c r="J421" s="799"/>
      <c r="K421" s="799"/>
      <c r="L421" s="885"/>
      <c r="M421" s="799"/>
      <c r="N421" s="799"/>
      <c r="O421" s="799"/>
      <c r="P421" s="799"/>
      <c r="Q421" s="799"/>
      <c r="R421" s="799"/>
      <c r="S421" s="799"/>
      <c r="T421" s="799"/>
      <c r="U421" s="799"/>
      <c r="V421" s="799"/>
      <c r="W421" s="799"/>
      <c r="X421" s="799"/>
      <c r="Y421" s="799"/>
      <c r="Z421" s="799"/>
    </row>
    <row r="422" ht="49.5" customHeight="1">
      <c r="A422" s="799"/>
      <c r="B422" s="799"/>
      <c r="C422" s="799"/>
      <c r="D422" s="799"/>
      <c r="E422" s="799"/>
      <c r="F422" s="799"/>
      <c r="G422" s="799"/>
      <c r="H422" s="799"/>
      <c r="I422" s="799"/>
      <c r="J422" s="799"/>
      <c r="K422" s="799"/>
      <c r="L422" s="885"/>
      <c r="M422" s="799"/>
      <c r="N422" s="799"/>
      <c r="O422" s="799"/>
      <c r="P422" s="799"/>
      <c r="Q422" s="799"/>
      <c r="R422" s="799"/>
      <c r="S422" s="799"/>
      <c r="T422" s="799"/>
      <c r="U422" s="799"/>
      <c r="V422" s="799"/>
      <c r="W422" s="799"/>
      <c r="X422" s="799"/>
      <c r="Y422" s="799"/>
      <c r="Z422" s="799"/>
    </row>
    <row r="423" ht="49.5" customHeight="1">
      <c r="A423" s="799"/>
      <c r="B423" s="799"/>
      <c r="C423" s="799"/>
      <c r="D423" s="799"/>
      <c r="E423" s="799"/>
      <c r="F423" s="799"/>
      <c r="G423" s="799"/>
      <c r="H423" s="799"/>
      <c r="I423" s="799"/>
      <c r="J423" s="799"/>
      <c r="K423" s="799"/>
      <c r="L423" s="885"/>
      <c r="M423" s="799"/>
      <c r="N423" s="799"/>
      <c r="O423" s="799"/>
      <c r="P423" s="799"/>
      <c r="Q423" s="799"/>
      <c r="R423" s="799"/>
      <c r="S423" s="799"/>
      <c r="T423" s="799"/>
      <c r="U423" s="799"/>
      <c r="V423" s="799"/>
      <c r="W423" s="799"/>
      <c r="X423" s="799"/>
      <c r="Y423" s="799"/>
      <c r="Z423" s="799"/>
    </row>
    <row r="424" ht="49.5" customHeight="1">
      <c r="A424" s="799"/>
      <c r="B424" s="799"/>
      <c r="C424" s="799"/>
      <c r="D424" s="799"/>
      <c r="E424" s="799"/>
      <c r="F424" s="799"/>
      <c r="G424" s="799"/>
      <c r="H424" s="799"/>
      <c r="I424" s="799"/>
      <c r="J424" s="799"/>
      <c r="K424" s="799"/>
      <c r="L424" s="885"/>
      <c r="M424" s="799"/>
      <c r="N424" s="799"/>
      <c r="O424" s="799"/>
      <c r="P424" s="799"/>
      <c r="Q424" s="799"/>
      <c r="R424" s="799"/>
      <c r="S424" s="799"/>
      <c r="T424" s="799"/>
      <c r="U424" s="799"/>
      <c r="V424" s="799"/>
      <c r="W424" s="799"/>
      <c r="X424" s="799"/>
      <c r="Y424" s="799"/>
      <c r="Z424" s="799"/>
    </row>
    <row r="425" ht="49.5" customHeight="1">
      <c r="A425" s="799"/>
      <c r="B425" s="799"/>
      <c r="C425" s="799"/>
      <c r="D425" s="799"/>
      <c r="E425" s="799"/>
      <c r="F425" s="799"/>
      <c r="G425" s="799"/>
      <c r="H425" s="799"/>
      <c r="I425" s="799"/>
      <c r="J425" s="799"/>
      <c r="K425" s="799"/>
      <c r="L425" s="885"/>
      <c r="M425" s="799"/>
      <c r="N425" s="799"/>
      <c r="O425" s="799"/>
      <c r="P425" s="799"/>
      <c r="Q425" s="799"/>
      <c r="R425" s="799"/>
      <c r="S425" s="799"/>
      <c r="T425" s="799"/>
      <c r="U425" s="799"/>
      <c r="V425" s="799"/>
      <c r="W425" s="799"/>
      <c r="X425" s="799"/>
      <c r="Y425" s="799"/>
      <c r="Z425" s="799"/>
    </row>
    <row r="426" ht="49.5" customHeight="1">
      <c r="A426" s="799"/>
      <c r="B426" s="799"/>
      <c r="C426" s="799"/>
      <c r="D426" s="799"/>
      <c r="E426" s="799"/>
      <c r="F426" s="799"/>
      <c r="G426" s="799"/>
      <c r="H426" s="799"/>
      <c r="I426" s="799"/>
      <c r="J426" s="799"/>
      <c r="K426" s="799"/>
      <c r="L426" s="885"/>
      <c r="M426" s="799"/>
      <c r="N426" s="799"/>
      <c r="O426" s="799"/>
      <c r="P426" s="799"/>
      <c r="Q426" s="799"/>
      <c r="R426" s="799"/>
      <c r="S426" s="799"/>
      <c r="T426" s="799"/>
      <c r="U426" s="799"/>
      <c r="V426" s="799"/>
      <c r="W426" s="799"/>
      <c r="X426" s="799"/>
      <c r="Y426" s="799"/>
      <c r="Z426" s="799"/>
    </row>
    <row r="427" ht="49.5" customHeight="1">
      <c r="A427" s="799"/>
      <c r="B427" s="799"/>
      <c r="C427" s="799"/>
      <c r="D427" s="799"/>
      <c r="E427" s="799"/>
      <c r="F427" s="799"/>
      <c r="G427" s="799"/>
      <c r="H427" s="799"/>
      <c r="I427" s="799"/>
      <c r="J427" s="799"/>
      <c r="K427" s="799"/>
      <c r="L427" s="885"/>
      <c r="M427" s="799"/>
      <c r="N427" s="799"/>
      <c r="O427" s="799"/>
      <c r="P427" s="799"/>
      <c r="Q427" s="799"/>
      <c r="R427" s="799"/>
      <c r="S427" s="799"/>
      <c r="T427" s="799"/>
      <c r="U427" s="799"/>
      <c r="V427" s="799"/>
      <c r="W427" s="799"/>
      <c r="X427" s="799"/>
      <c r="Y427" s="799"/>
      <c r="Z427" s="799"/>
    </row>
    <row r="428" ht="49.5" customHeight="1">
      <c r="A428" s="799"/>
      <c r="B428" s="799"/>
      <c r="C428" s="799"/>
      <c r="D428" s="799"/>
      <c r="E428" s="799"/>
      <c r="F428" s="799"/>
      <c r="G428" s="799"/>
      <c r="H428" s="799"/>
      <c r="I428" s="799"/>
      <c r="J428" s="799"/>
      <c r="K428" s="799"/>
      <c r="L428" s="885"/>
      <c r="M428" s="799"/>
      <c r="N428" s="799"/>
      <c r="O428" s="799"/>
      <c r="P428" s="799"/>
      <c r="Q428" s="799"/>
      <c r="R428" s="799"/>
      <c r="S428" s="799"/>
      <c r="T428" s="799"/>
      <c r="U428" s="799"/>
      <c r="V428" s="799"/>
      <c r="W428" s="799"/>
      <c r="X428" s="799"/>
      <c r="Y428" s="799"/>
      <c r="Z428" s="799"/>
    </row>
    <row r="429" ht="49.5" customHeight="1">
      <c r="A429" s="799"/>
      <c r="B429" s="799"/>
      <c r="C429" s="799"/>
      <c r="D429" s="799"/>
      <c r="E429" s="799"/>
      <c r="F429" s="799"/>
      <c r="G429" s="799"/>
      <c r="H429" s="799"/>
      <c r="I429" s="799"/>
      <c r="J429" s="799"/>
      <c r="K429" s="799"/>
      <c r="L429" s="885"/>
      <c r="M429" s="799"/>
      <c r="N429" s="799"/>
      <c r="O429" s="799"/>
      <c r="P429" s="799"/>
      <c r="Q429" s="799"/>
      <c r="R429" s="799"/>
      <c r="S429" s="799"/>
      <c r="T429" s="799"/>
      <c r="U429" s="799"/>
      <c r="V429" s="799"/>
      <c r="W429" s="799"/>
      <c r="X429" s="799"/>
      <c r="Y429" s="799"/>
      <c r="Z429" s="799"/>
    </row>
    <row r="430" ht="49.5" customHeight="1">
      <c r="A430" s="799"/>
      <c r="B430" s="799"/>
      <c r="C430" s="799"/>
      <c r="D430" s="799"/>
      <c r="E430" s="799"/>
      <c r="F430" s="799"/>
      <c r="G430" s="799"/>
      <c r="H430" s="799"/>
      <c r="I430" s="799"/>
      <c r="J430" s="799"/>
      <c r="K430" s="799"/>
      <c r="L430" s="885"/>
      <c r="M430" s="799"/>
      <c r="N430" s="799"/>
      <c r="O430" s="799"/>
      <c r="P430" s="799"/>
      <c r="Q430" s="799"/>
      <c r="R430" s="799"/>
      <c r="S430" s="799"/>
      <c r="T430" s="799"/>
      <c r="U430" s="799"/>
      <c r="V430" s="799"/>
      <c r="W430" s="799"/>
      <c r="X430" s="799"/>
      <c r="Y430" s="799"/>
      <c r="Z430" s="799"/>
    </row>
    <row r="431" ht="49.5" customHeight="1">
      <c r="A431" s="799"/>
      <c r="B431" s="799"/>
      <c r="C431" s="799"/>
      <c r="D431" s="799"/>
      <c r="E431" s="799"/>
      <c r="F431" s="799"/>
      <c r="G431" s="799"/>
      <c r="H431" s="799"/>
      <c r="I431" s="799"/>
      <c r="J431" s="799"/>
      <c r="K431" s="799"/>
      <c r="L431" s="885"/>
      <c r="M431" s="799"/>
      <c r="N431" s="799"/>
      <c r="O431" s="799"/>
      <c r="P431" s="799"/>
      <c r="Q431" s="799"/>
      <c r="R431" s="799"/>
      <c r="S431" s="799"/>
      <c r="T431" s="799"/>
      <c r="U431" s="799"/>
      <c r="V431" s="799"/>
      <c r="W431" s="799"/>
      <c r="X431" s="799"/>
      <c r="Y431" s="799"/>
      <c r="Z431" s="799"/>
    </row>
    <row r="432" ht="49.5" customHeight="1">
      <c r="A432" s="799"/>
      <c r="B432" s="799"/>
      <c r="C432" s="799"/>
      <c r="D432" s="799"/>
      <c r="E432" s="799"/>
      <c r="F432" s="799"/>
      <c r="G432" s="799"/>
      <c r="H432" s="799"/>
      <c r="I432" s="799"/>
      <c r="J432" s="799"/>
      <c r="K432" s="799"/>
      <c r="L432" s="885"/>
      <c r="M432" s="799"/>
      <c r="N432" s="799"/>
      <c r="O432" s="799"/>
      <c r="P432" s="799"/>
      <c r="Q432" s="799"/>
      <c r="R432" s="799"/>
      <c r="S432" s="799"/>
      <c r="T432" s="799"/>
      <c r="U432" s="799"/>
      <c r="V432" s="799"/>
      <c r="W432" s="799"/>
      <c r="X432" s="799"/>
      <c r="Y432" s="799"/>
      <c r="Z432" s="799"/>
    </row>
    <row r="433" ht="49.5" customHeight="1">
      <c r="A433" s="799"/>
      <c r="B433" s="799"/>
      <c r="C433" s="799"/>
      <c r="D433" s="799"/>
      <c r="E433" s="799"/>
      <c r="F433" s="799"/>
      <c r="G433" s="799"/>
      <c r="H433" s="799"/>
      <c r="I433" s="799"/>
      <c r="J433" s="799"/>
      <c r="K433" s="799"/>
      <c r="L433" s="885"/>
      <c r="M433" s="799"/>
      <c r="N433" s="799"/>
      <c r="O433" s="799"/>
      <c r="P433" s="799"/>
      <c r="Q433" s="799"/>
      <c r="R433" s="799"/>
      <c r="S433" s="799"/>
      <c r="T433" s="799"/>
      <c r="U433" s="799"/>
      <c r="V433" s="799"/>
      <c r="W433" s="799"/>
      <c r="X433" s="799"/>
      <c r="Y433" s="799"/>
      <c r="Z433" s="799"/>
    </row>
    <row r="434" ht="49.5" customHeight="1">
      <c r="A434" s="799"/>
      <c r="B434" s="799"/>
      <c r="C434" s="799"/>
      <c r="D434" s="799"/>
      <c r="E434" s="799"/>
      <c r="F434" s="799"/>
      <c r="G434" s="799"/>
      <c r="H434" s="799"/>
      <c r="I434" s="799"/>
      <c r="J434" s="799"/>
      <c r="K434" s="799"/>
      <c r="L434" s="885"/>
      <c r="M434" s="799"/>
      <c r="N434" s="799"/>
      <c r="O434" s="799"/>
      <c r="P434" s="799"/>
      <c r="Q434" s="799"/>
      <c r="R434" s="799"/>
      <c r="S434" s="799"/>
      <c r="T434" s="799"/>
      <c r="U434" s="799"/>
      <c r="V434" s="799"/>
      <c r="W434" s="799"/>
      <c r="X434" s="799"/>
      <c r="Y434" s="799"/>
      <c r="Z434" s="799"/>
    </row>
    <row r="435" ht="49.5" customHeight="1">
      <c r="A435" s="799"/>
      <c r="B435" s="799"/>
      <c r="C435" s="799"/>
      <c r="D435" s="799"/>
      <c r="E435" s="799"/>
      <c r="F435" s="799"/>
      <c r="G435" s="799"/>
      <c r="H435" s="799"/>
      <c r="I435" s="799"/>
      <c r="J435" s="799"/>
      <c r="K435" s="799"/>
      <c r="L435" s="885"/>
      <c r="M435" s="799"/>
      <c r="N435" s="799"/>
      <c r="O435" s="799"/>
      <c r="P435" s="799"/>
      <c r="Q435" s="799"/>
      <c r="R435" s="799"/>
      <c r="S435" s="799"/>
      <c r="T435" s="799"/>
      <c r="U435" s="799"/>
      <c r="V435" s="799"/>
      <c r="W435" s="799"/>
      <c r="X435" s="799"/>
      <c r="Y435" s="799"/>
      <c r="Z435" s="799"/>
    </row>
    <row r="436" ht="49.5" customHeight="1">
      <c r="A436" s="799"/>
      <c r="B436" s="799"/>
      <c r="C436" s="799"/>
      <c r="D436" s="799"/>
      <c r="E436" s="799"/>
      <c r="F436" s="799"/>
      <c r="G436" s="799"/>
      <c r="H436" s="799"/>
      <c r="I436" s="799"/>
      <c r="J436" s="799"/>
      <c r="K436" s="799"/>
      <c r="L436" s="885"/>
      <c r="M436" s="799"/>
      <c r="N436" s="799"/>
      <c r="O436" s="799"/>
      <c r="P436" s="799"/>
      <c r="Q436" s="799"/>
      <c r="R436" s="799"/>
      <c r="S436" s="799"/>
      <c r="T436" s="799"/>
      <c r="U436" s="799"/>
      <c r="V436" s="799"/>
      <c r="W436" s="799"/>
      <c r="X436" s="799"/>
      <c r="Y436" s="799"/>
      <c r="Z436" s="799"/>
    </row>
    <row r="437" ht="49.5" customHeight="1">
      <c r="A437" s="799"/>
      <c r="B437" s="799"/>
      <c r="C437" s="799"/>
      <c r="D437" s="799"/>
      <c r="E437" s="799"/>
      <c r="F437" s="799"/>
      <c r="G437" s="799"/>
      <c r="H437" s="799"/>
      <c r="I437" s="799"/>
      <c r="J437" s="799"/>
      <c r="K437" s="799"/>
      <c r="L437" s="885"/>
      <c r="M437" s="799"/>
      <c r="N437" s="799"/>
      <c r="O437" s="799"/>
      <c r="P437" s="799"/>
      <c r="Q437" s="799"/>
      <c r="R437" s="799"/>
      <c r="S437" s="799"/>
      <c r="T437" s="799"/>
      <c r="U437" s="799"/>
      <c r="V437" s="799"/>
      <c r="W437" s="799"/>
      <c r="X437" s="799"/>
      <c r="Y437" s="799"/>
      <c r="Z437" s="799"/>
    </row>
    <row r="438" ht="49.5" customHeight="1">
      <c r="A438" s="799"/>
      <c r="B438" s="799"/>
      <c r="C438" s="799"/>
      <c r="D438" s="799"/>
      <c r="E438" s="799"/>
      <c r="F438" s="799"/>
      <c r="G438" s="799"/>
      <c r="H438" s="799"/>
      <c r="I438" s="799"/>
      <c r="J438" s="799"/>
      <c r="K438" s="799"/>
      <c r="L438" s="885"/>
      <c r="M438" s="799"/>
      <c r="N438" s="799"/>
      <c r="O438" s="799"/>
      <c r="P438" s="799"/>
      <c r="Q438" s="799"/>
      <c r="R438" s="799"/>
      <c r="S438" s="799"/>
      <c r="T438" s="799"/>
      <c r="U438" s="799"/>
      <c r="V438" s="799"/>
      <c r="W438" s="799"/>
      <c r="X438" s="799"/>
      <c r="Y438" s="799"/>
      <c r="Z438" s="799"/>
    </row>
    <row r="439" ht="49.5" customHeight="1">
      <c r="A439" s="799"/>
      <c r="B439" s="799"/>
      <c r="C439" s="799"/>
      <c r="D439" s="799"/>
      <c r="E439" s="799"/>
      <c r="F439" s="799"/>
      <c r="G439" s="799"/>
      <c r="H439" s="799"/>
      <c r="I439" s="799"/>
      <c r="J439" s="799"/>
      <c r="K439" s="799"/>
      <c r="L439" s="885"/>
      <c r="M439" s="799"/>
      <c r="N439" s="799"/>
      <c r="O439" s="799"/>
      <c r="P439" s="799"/>
      <c r="Q439" s="799"/>
      <c r="R439" s="799"/>
      <c r="S439" s="799"/>
      <c r="T439" s="799"/>
      <c r="U439" s="799"/>
      <c r="V439" s="799"/>
      <c r="W439" s="799"/>
      <c r="X439" s="799"/>
      <c r="Y439" s="799"/>
      <c r="Z439" s="799"/>
    </row>
    <row r="440" ht="49.5" customHeight="1">
      <c r="A440" s="799"/>
      <c r="B440" s="799"/>
      <c r="C440" s="799"/>
      <c r="D440" s="799"/>
      <c r="E440" s="799"/>
      <c r="F440" s="799"/>
      <c r="G440" s="799"/>
      <c r="H440" s="799"/>
      <c r="I440" s="799"/>
      <c r="J440" s="799"/>
      <c r="K440" s="799"/>
      <c r="L440" s="885"/>
      <c r="M440" s="799"/>
      <c r="N440" s="799"/>
      <c r="O440" s="799"/>
      <c r="P440" s="799"/>
      <c r="Q440" s="799"/>
      <c r="R440" s="799"/>
      <c r="S440" s="799"/>
      <c r="T440" s="799"/>
      <c r="U440" s="799"/>
      <c r="V440" s="799"/>
      <c r="W440" s="799"/>
      <c r="X440" s="799"/>
      <c r="Y440" s="799"/>
      <c r="Z440" s="799"/>
    </row>
    <row r="441" ht="49.5" customHeight="1">
      <c r="A441" s="799"/>
      <c r="B441" s="799"/>
      <c r="C441" s="799"/>
      <c r="D441" s="799"/>
      <c r="E441" s="799"/>
      <c r="F441" s="799"/>
      <c r="G441" s="799"/>
      <c r="H441" s="799"/>
      <c r="I441" s="799"/>
      <c r="J441" s="799"/>
      <c r="K441" s="799"/>
      <c r="L441" s="885"/>
      <c r="M441" s="799"/>
      <c r="N441" s="799"/>
      <c r="O441" s="799"/>
      <c r="P441" s="799"/>
      <c r="Q441" s="799"/>
      <c r="R441" s="799"/>
      <c r="S441" s="799"/>
      <c r="T441" s="799"/>
      <c r="U441" s="799"/>
      <c r="V441" s="799"/>
      <c r="W441" s="799"/>
      <c r="X441" s="799"/>
      <c r="Y441" s="799"/>
      <c r="Z441" s="799"/>
    </row>
    <row r="442" ht="49.5" customHeight="1">
      <c r="A442" s="799"/>
      <c r="B442" s="799"/>
      <c r="C442" s="799"/>
      <c r="D442" s="799"/>
      <c r="E442" s="799"/>
      <c r="F442" s="799"/>
      <c r="G442" s="799"/>
      <c r="H442" s="799"/>
      <c r="I442" s="799"/>
      <c r="J442" s="799"/>
      <c r="K442" s="799"/>
      <c r="L442" s="885"/>
      <c r="M442" s="799"/>
      <c r="N442" s="799"/>
      <c r="O442" s="799"/>
      <c r="P442" s="799"/>
      <c r="Q442" s="799"/>
      <c r="R442" s="799"/>
      <c r="S442" s="799"/>
      <c r="T442" s="799"/>
      <c r="U442" s="799"/>
      <c r="V442" s="799"/>
      <c r="W442" s="799"/>
      <c r="X442" s="799"/>
      <c r="Y442" s="799"/>
      <c r="Z442" s="799"/>
    </row>
    <row r="443" ht="49.5" customHeight="1">
      <c r="A443" s="799"/>
      <c r="B443" s="799"/>
      <c r="C443" s="799"/>
      <c r="D443" s="799"/>
      <c r="E443" s="799"/>
      <c r="F443" s="799"/>
      <c r="G443" s="799"/>
      <c r="H443" s="799"/>
      <c r="I443" s="799"/>
      <c r="J443" s="799"/>
      <c r="K443" s="799"/>
      <c r="L443" s="885"/>
      <c r="M443" s="799"/>
      <c r="N443" s="799"/>
      <c r="O443" s="799"/>
      <c r="P443" s="799"/>
      <c r="Q443" s="799"/>
      <c r="R443" s="799"/>
      <c r="S443" s="799"/>
      <c r="T443" s="799"/>
      <c r="U443" s="799"/>
      <c r="V443" s="799"/>
      <c r="W443" s="799"/>
      <c r="X443" s="799"/>
      <c r="Y443" s="799"/>
      <c r="Z443" s="799"/>
    </row>
    <row r="444" ht="49.5" customHeight="1">
      <c r="A444" s="799"/>
      <c r="B444" s="799"/>
      <c r="C444" s="799"/>
      <c r="D444" s="799"/>
      <c r="E444" s="799"/>
      <c r="F444" s="799"/>
      <c r="G444" s="799"/>
      <c r="H444" s="799"/>
      <c r="I444" s="799"/>
      <c r="J444" s="799"/>
      <c r="K444" s="799"/>
      <c r="L444" s="885"/>
      <c r="M444" s="799"/>
      <c r="N444" s="799"/>
      <c r="O444" s="799"/>
      <c r="P444" s="799"/>
      <c r="Q444" s="799"/>
      <c r="R444" s="799"/>
      <c r="S444" s="799"/>
      <c r="T444" s="799"/>
      <c r="U444" s="799"/>
      <c r="V444" s="799"/>
      <c r="W444" s="799"/>
      <c r="X444" s="799"/>
      <c r="Y444" s="799"/>
      <c r="Z444" s="799"/>
    </row>
    <row r="445" ht="49.5" customHeight="1">
      <c r="A445" s="799"/>
      <c r="B445" s="799"/>
      <c r="C445" s="799"/>
      <c r="D445" s="799"/>
      <c r="E445" s="799"/>
      <c r="F445" s="799"/>
      <c r="G445" s="799"/>
      <c r="H445" s="799"/>
      <c r="I445" s="799"/>
      <c r="J445" s="799"/>
      <c r="K445" s="799"/>
      <c r="L445" s="885"/>
      <c r="M445" s="799"/>
      <c r="N445" s="799"/>
      <c r="O445" s="799"/>
      <c r="P445" s="799"/>
      <c r="Q445" s="799"/>
      <c r="R445" s="799"/>
      <c r="S445" s="799"/>
      <c r="T445" s="799"/>
      <c r="U445" s="799"/>
      <c r="V445" s="799"/>
      <c r="W445" s="799"/>
      <c r="X445" s="799"/>
      <c r="Y445" s="799"/>
      <c r="Z445" s="799"/>
    </row>
    <row r="446" ht="49.5" customHeight="1">
      <c r="A446" s="799"/>
      <c r="B446" s="799"/>
      <c r="C446" s="799"/>
      <c r="D446" s="799"/>
      <c r="E446" s="799"/>
      <c r="F446" s="799"/>
      <c r="G446" s="799"/>
      <c r="H446" s="799"/>
      <c r="I446" s="799"/>
      <c r="J446" s="799"/>
      <c r="K446" s="799"/>
      <c r="L446" s="885"/>
      <c r="M446" s="799"/>
      <c r="N446" s="799"/>
      <c r="O446" s="799"/>
      <c r="P446" s="799"/>
      <c r="Q446" s="799"/>
      <c r="R446" s="799"/>
      <c r="S446" s="799"/>
      <c r="T446" s="799"/>
      <c r="U446" s="799"/>
      <c r="V446" s="799"/>
      <c r="W446" s="799"/>
      <c r="X446" s="799"/>
      <c r="Y446" s="799"/>
      <c r="Z446" s="799"/>
    </row>
    <row r="447" ht="49.5" customHeight="1">
      <c r="A447" s="799"/>
      <c r="B447" s="799"/>
      <c r="C447" s="799"/>
      <c r="D447" s="799"/>
      <c r="E447" s="799"/>
      <c r="F447" s="799"/>
      <c r="G447" s="799"/>
      <c r="H447" s="799"/>
      <c r="I447" s="799"/>
      <c r="J447" s="799"/>
      <c r="K447" s="799"/>
      <c r="L447" s="885"/>
      <c r="M447" s="799"/>
      <c r="N447" s="799"/>
      <c r="O447" s="799"/>
      <c r="P447" s="799"/>
      <c r="Q447" s="799"/>
      <c r="R447" s="799"/>
      <c r="S447" s="799"/>
      <c r="T447" s="799"/>
      <c r="U447" s="799"/>
      <c r="V447" s="799"/>
      <c r="W447" s="799"/>
      <c r="X447" s="799"/>
      <c r="Y447" s="799"/>
      <c r="Z447" s="799"/>
    </row>
    <row r="448" ht="49.5" customHeight="1">
      <c r="A448" s="799"/>
      <c r="B448" s="799"/>
      <c r="C448" s="799"/>
      <c r="D448" s="799"/>
      <c r="E448" s="799"/>
      <c r="F448" s="799"/>
      <c r="G448" s="799"/>
      <c r="H448" s="799"/>
      <c r="I448" s="799"/>
      <c r="J448" s="799"/>
      <c r="K448" s="799"/>
      <c r="L448" s="885"/>
      <c r="M448" s="799"/>
      <c r="N448" s="799"/>
      <c r="O448" s="799"/>
      <c r="P448" s="799"/>
      <c r="Q448" s="799"/>
      <c r="R448" s="799"/>
      <c r="S448" s="799"/>
      <c r="T448" s="799"/>
      <c r="U448" s="799"/>
      <c r="V448" s="799"/>
      <c r="W448" s="799"/>
      <c r="X448" s="799"/>
      <c r="Y448" s="799"/>
      <c r="Z448" s="799"/>
    </row>
    <row r="449" ht="49.5" customHeight="1">
      <c r="A449" s="799"/>
      <c r="B449" s="799"/>
      <c r="C449" s="799"/>
      <c r="D449" s="799"/>
      <c r="E449" s="799"/>
      <c r="F449" s="799"/>
      <c r="G449" s="799"/>
      <c r="H449" s="799"/>
      <c r="I449" s="799"/>
      <c r="J449" s="799"/>
      <c r="K449" s="799"/>
      <c r="L449" s="885"/>
      <c r="M449" s="799"/>
      <c r="N449" s="799"/>
      <c r="O449" s="799"/>
      <c r="P449" s="799"/>
      <c r="Q449" s="799"/>
      <c r="R449" s="799"/>
      <c r="S449" s="799"/>
      <c r="T449" s="799"/>
      <c r="U449" s="799"/>
      <c r="V449" s="799"/>
      <c r="W449" s="799"/>
      <c r="X449" s="799"/>
      <c r="Y449" s="799"/>
      <c r="Z449" s="799"/>
    </row>
    <row r="450" ht="49.5" customHeight="1">
      <c r="A450" s="799"/>
      <c r="B450" s="799"/>
      <c r="C450" s="799"/>
      <c r="D450" s="799"/>
      <c r="E450" s="799"/>
      <c r="F450" s="799"/>
      <c r="G450" s="799"/>
      <c r="H450" s="799"/>
      <c r="I450" s="799"/>
      <c r="J450" s="799"/>
      <c r="K450" s="799"/>
      <c r="L450" s="885"/>
      <c r="M450" s="799"/>
      <c r="N450" s="799"/>
      <c r="O450" s="799"/>
      <c r="P450" s="799"/>
      <c r="Q450" s="799"/>
      <c r="R450" s="799"/>
      <c r="S450" s="799"/>
      <c r="T450" s="799"/>
      <c r="U450" s="799"/>
      <c r="V450" s="799"/>
      <c r="W450" s="799"/>
      <c r="X450" s="799"/>
      <c r="Y450" s="799"/>
      <c r="Z450" s="799"/>
    </row>
    <row r="451" ht="49.5" customHeight="1">
      <c r="A451" s="799"/>
      <c r="B451" s="799"/>
      <c r="C451" s="799"/>
      <c r="D451" s="799"/>
      <c r="E451" s="799"/>
      <c r="F451" s="799"/>
      <c r="G451" s="799"/>
      <c r="H451" s="799"/>
      <c r="I451" s="799"/>
      <c r="J451" s="799"/>
      <c r="K451" s="799"/>
      <c r="L451" s="885"/>
      <c r="M451" s="799"/>
      <c r="N451" s="799"/>
      <c r="O451" s="799"/>
      <c r="P451" s="799"/>
      <c r="Q451" s="799"/>
      <c r="R451" s="799"/>
      <c r="S451" s="799"/>
      <c r="T451" s="799"/>
      <c r="U451" s="799"/>
      <c r="V451" s="799"/>
      <c r="W451" s="799"/>
      <c r="X451" s="799"/>
      <c r="Y451" s="799"/>
      <c r="Z451" s="799"/>
    </row>
    <row r="452" ht="49.5" customHeight="1">
      <c r="A452" s="799"/>
      <c r="B452" s="799"/>
      <c r="C452" s="799"/>
      <c r="D452" s="799"/>
      <c r="E452" s="799"/>
      <c r="F452" s="799"/>
      <c r="G452" s="799"/>
      <c r="H452" s="799"/>
      <c r="I452" s="799"/>
      <c r="J452" s="799"/>
      <c r="K452" s="799"/>
      <c r="L452" s="885"/>
      <c r="M452" s="799"/>
      <c r="N452" s="799"/>
      <c r="O452" s="799"/>
      <c r="P452" s="799"/>
      <c r="Q452" s="799"/>
      <c r="R452" s="799"/>
      <c r="S452" s="799"/>
      <c r="T452" s="799"/>
      <c r="U452" s="799"/>
      <c r="V452" s="799"/>
      <c r="W452" s="799"/>
      <c r="X452" s="799"/>
      <c r="Y452" s="799"/>
      <c r="Z452" s="799"/>
    </row>
    <row r="453" ht="49.5" customHeight="1">
      <c r="A453" s="799"/>
      <c r="B453" s="799"/>
      <c r="C453" s="799"/>
      <c r="D453" s="799"/>
      <c r="E453" s="799"/>
      <c r="F453" s="799"/>
      <c r="G453" s="799"/>
      <c r="H453" s="799"/>
      <c r="I453" s="799"/>
      <c r="J453" s="799"/>
      <c r="K453" s="799"/>
      <c r="L453" s="885"/>
      <c r="M453" s="799"/>
      <c r="N453" s="799"/>
      <c r="O453" s="799"/>
      <c r="P453" s="799"/>
      <c r="Q453" s="799"/>
      <c r="R453" s="799"/>
      <c r="S453" s="799"/>
      <c r="T453" s="799"/>
      <c r="U453" s="799"/>
      <c r="V453" s="799"/>
      <c r="W453" s="799"/>
      <c r="X453" s="799"/>
      <c r="Y453" s="799"/>
      <c r="Z453" s="799"/>
    </row>
    <row r="454" ht="49.5" customHeight="1">
      <c r="A454" s="799"/>
      <c r="B454" s="799"/>
      <c r="C454" s="799"/>
      <c r="D454" s="799"/>
      <c r="E454" s="799"/>
      <c r="F454" s="799"/>
      <c r="G454" s="799"/>
      <c r="H454" s="799"/>
      <c r="I454" s="799"/>
      <c r="J454" s="799"/>
      <c r="K454" s="799"/>
      <c r="L454" s="885"/>
      <c r="M454" s="799"/>
      <c r="N454" s="799"/>
      <c r="O454" s="799"/>
      <c r="P454" s="799"/>
      <c r="Q454" s="799"/>
      <c r="R454" s="799"/>
      <c r="S454" s="799"/>
      <c r="T454" s="799"/>
      <c r="U454" s="799"/>
      <c r="V454" s="799"/>
      <c r="W454" s="799"/>
      <c r="X454" s="799"/>
      <c r="Y454" s="799"/>
      <c r="Z454" s="799"/>
    </row>
    <row r="455" ht="49.5" customHeight="1">
      <c r="A455" s="799"/>
      <c r="B455" s="799"/>
      <c r="C455" s="799"/>
      <c r="D455" s="799"/>
      <c r="E455" s="799"/>
      <c r="F455" s="799"/>
      <c r="G455" s="799"/>
      <c r="H455" s="799"/>
      <c r="I455" s="799"/>
      <c r="J455" s="799"/>
      <c r="K455" s="799"/>
      <c r="L455" s="885"/>
      <c r="M455" s="799"/>
      <c r="N455" s="799"/>
      <c r="O455" s="799"/>
      <c r="P455" s="799"/>
      <c r="Q455" s="799"/>
      <c r="R455" s="799"/>
      <c r="S455" s="799"/>
      <c r="T455" s="799"/>
      <c r="U455" s="799"/>
      <c r="V455" s="799"/>
      <c r="W455" s="799"/>
      <c r="X455" s="799"/>
      <c r="Y455" s="799"/>
      <c r="Z455" s="799"/>
    </row>
    <row r="456" ht="49.5" customHeight="1">
      <c r="A456" s="799"/>
      <c r="B456" s="799"/>
      <c r="C456" s="799"/>
      <c r="D456" s="799"/>
      <c r="E456" s="799"/>
      <c r="F456" s="799"/>
      <c r="G456" s="799"/>
      <c r="H456" s="799"/>
      <c r="I456" s="799"/>
      <c r="J456" s="799"/>
      <c r="K456" s="799"/>
      <c r="L456" s="885"/>
      <c r="M456" s="799"/>
      <c r="N456" s="799"/>
      <c r="O456" s="799"/>
      <c r="P456" s="799"/>
      <c r="Q456" s="799"/>
      <c r="R456" s="799"/>
      <c r="S456" s="799"/>
      <c r="T456" s="799"/>
      <c r="U456" s="799"/>
      <c r="V456" s="799"/>
      <c r="W456" s="799"/>
      <c r="X456" s="799"/>
      <c r="Y456" s="799"/>
      <c r="Z456" s="799"/>
    </row>
    <row r="457" ht="49.5" customHeight="1">
      <c r="A457" s="799"/>
      <c r="B457" s="799"/>
      <c r="C457" s="799"/>
      <c r="D457" s="799"/>
      <c r="E457" s="799"/>
      <c r="F457" s="799"/>
      <c r="G457" s="799"/>
      <c r="H457" s="799"/>
      <c r="I457" s="799"/>
      <c r="J457" s="799"/>
      <c r="K457" s="799"/>
      <c r="L457" s="885"/>
      <c r="M457" s="799"/>
      <c r="N457" s="799"/>
      <c r="O457" s="799"/>
      <c r="P457" s="799"/>
      <c r="Q457" s="799"/>
      <c r="R457" s="799"/>
      <c r="S457" s="799"/>
      <c r="T457" s="799"/>
      <c r="U457" s="799"/>
      <c r="V457" s="799"/>
      <c r="W457" s="799"/>
      <c r="X457" s="799"/>
      <c r="Y457" s="799"/>
      <c r="Z457" s="799"/>
    </row>
    <row r="458" ht="49.5" customHeight="1">
      <c r="A458" s="799"/>
      <c r="B458" s="799"/>
      <c r="C458" s="799"/>
      <c r="D458" s="799"/>
      <c r="E458" s="799"/>
      <c r="F458" s="799"/>
      <c r="G458" s="799"/>
      <c r="H458" s="799"/>
      <c r="I458" s="799"/>
      <c r="J458" s="799"/>
      <c r="K458" s="799"/>
      <c r="L458" s="885"/>
      <c r="M458" s="799"/>
      <c r="N458" s="799"/>
      <c r="O458" s="799"/>
      <c r="P458" s="799"/>
      <c r="Q458" s="799"/>
      <c r="R458" s="799"/>
      <c r="S458" s="799"/>
      <c r="T458" s="799"/>
      <c r="U458" s="799"/>
      <c r="V458" s="799"/>
      <c r="W458" s="799"/>
      <c r="X458" s="799"/>
      <c r="Y458" s="799"/>
      <c r="Z458" s="799"/>
    </row>
    <row r="459" ht="49.5" customHeight="1">
      <c r="A459" s="799"/>
      <c r="B459" s="799"/>
      <c r="C459" s="799"/>
      <c r="D459" s="799"/>
      <c r="E459" s="799"/>
      <c r="F459" s="799"/>
      <c r="G459" s="799"/>
      <c r="H459" s="799"/>
      <c r="I459" s="799"/>
      <c r="J459" s="799"/>
      <c r="K459" s="799"/>
      <c r="L459" s="885"/>
      <c r="M459" s="799"/>
      <c r="N459" s="799"/>
      <c r="O459" s="799"/>
      <c r="P459" s="799"/>
      <c r="Q459" s="799"/>
      <c r="R459" s="799"/>
      <c r="S459" s="799"/>
      <c r="T459" s="799"/>
      <c r="U459" s="799"/>
      <c r="V459" s="799"/>
      <c r="W459" s="799"/>
      <c r="X459" s="799"/>
      <c r="Y459" s="799"/>
      <c r="Z459" s="799"/>
    </row>
    <row r="460" ht="49.5" customHeight="1">
      <c r="A460" s="799"/>
      <c r="B460" s="799"/>
      <c r="C460" s="799"/>
      <c r="D460" s="799"/>
      <c r="E460" s="799"/>
      <c r="F460" s="799"/>
      <c r="G460" s="799"/>
      <c r="H460" s="799"/>
      <c r="I460" s="799"/>
      <c r="J460" s="799"/>
      <c r="K460" s="799"/>
      <c r="L460" s="885"/>
      <c r="M460" s="799"/>
      <c r="N460" s="799"/>
      <c r="O460" s="799"/>
      <c r="P460" s="799"/>
      <c r="Q460" s="799"/>
      <c r="R460" s="799"/>
      <c r="S460" s="799"/>
      <c r="T460" s="799"/>
      <c r="U460" s="799"/>
      <c r="V460" s="799"/>
      <c r="W460" s="799"/>
      <c r="X460" s="799"/>
      <c r="Y460" s="799"/>
      <c r="Z460" s="799"/>
    </row>
    <row r="461" ht="49.5" customHeight="1">
      <c r="A461" s="799"/>
      <c r="B461" s="799"/>
      <c r="C461" s="799"/>
      <c r="D461" s="799"/>
      <c r="E461" s="799"/>
      <c r="F461" s="799"/>
      <c r="G461" s="799"/>
      <c r="H461" s="799"/>
      <c r="I461" s="799"/>
      <c r="J461" s="799"/>
      <c r="K461" s="799"/>
      <c r="L461" s="885"/>
      <c r="M461" s="799"/>
      <c r="N461" s="799"/>
      <c r="O461" s="799"/>
      <c r="P461" s="799"/>
      <c r="Q461" s="799"/>
      <c r="R461" s="799"/>
      <c r="S461" s="799"/>
      <c r="T461" s="799"/>
      <c r="U461" s="799"/>
      <c r="V461" s="799"/>
      <c r="W461" s="799"/>
      <c r="X461" s="799"/>
      <c r="Y461" s="799"/>
      <c r="Z461" s="799"/>
    </row>
    <row r="462" ht="49.5" customHeight="1">
      <c r="A462" s="799"/>
      <c r="B462" s="799"/>
      <c r="C462" s="799"/>
      <c r="D462" s="799"/>
      <c r="E462" s="799"/>
      <c r="F462" s="799"/>
      <c r="G462" s="799"/>
      <c r="H462" s="799"/>
      <c r="I462" s="799"/>
      <c r="J462" s="799"/>
      <c r="K462" s="799"/>
      <c r="L462" s="885"/>
      <c r="M462" s="799"/>
      <c r="N462" s="799"/>
      <c r="O462" s="799"/>
      <c r="P462" s="799"/>
      <c r="Q462" s="799"/>
      <c r="R462" s="799"/>
      <c r="S462" s="799"/>
      <c r="T462" s="799"/>
      <c r="U462" s="799"/>
      <c r="V462" s="799"/>
      <c r="W462" s="799"/>
      <c r="X462" s="799"/>
      <c r="Y462" s="799"/>
      <c r="Z462" s="799"/>
    </row>
    <row r="463" ht="49.5" customHeight="1">
      <c r="A463" s="799"/>
      <c r="B463" s="799"/>
      <c r="C463" s="799"/>
      <c r="D463" s="799"/>
      <c r="E463" s="799"/>
      <c r="F463" s="799"/>
      <c r="G463" s="799"/>
      <c r="H463" s="799"/>
      <c r="I463" s="799"/>
      <c r="J463" s="799"/>
      <c r="K463" s="799"/>
      <c r="L463" s="885"/>
      <c r="M463" s="799"/>
      <c r="N463" s="799"/>
      <c r="O463" s="799"/>
      <c r="P463" s="799"/>
      <c r="Q463" s="799"/>
      <c r="R463" s="799"/>
      <c r="S463" s="799"/>
      <c r="T463" s="799"/>
      <c r="U463" s="799"/>
      <c r="V463" s="799"/>
      <c r="W463" s="799"/>
      <c r="X463" s="799"/>
      <c r="Y463" s="799"/>
      <c r="Z463" s="799"/>
    </row>
    <row r="464" ht="49.5" customHeight="1">
      <c r="A464" s="799"/>
      <c r="B464" s="799"/>
      <c r="C464" s="799"/>
      <c r="D464" s="799"/>
      <c r="E464" s="799"/>
      <c r="F464" s="799"/>
      <c r="G464" s="799"/>
      <c r="H464" s="799"/>
      <c r="I464" s="799"/>
      <c r="J464" s="799"/>
      <c r="K464" s="799"/>
      <c r="L464" s="885"/>
      <c r="M464" s="799"/>
      <c r="N464" s="799"/>
      <c r="O464" s="799"/>
      <c r="P464" s="799"/>
      <c r="Q464" s="799"/>
      <c r="R464" s="799"/>
      <c r="S464" s="799"/>
      <c r="T464" s="799"/>
      <c r="U464" s="799"/>
      <c r="V464" s="799"/>
      <c r="W464" s="799"/>
      <c r="X464" s="799"/>
      <c r="Y464" s="799"/>
      <c r="Z464" s="799"/>
    </row>
    <row r="465" ht="49.5" customHeight="1">
      <c r="A465" s="799"/>
      <c r="B465" s="799"/>
      <c r="C465" s="799"/>
      <c r="D465" s="799"/>
      <c r="E465" s="799"/>
      <c r="F465" s="799"/>
      <c r="G465" s="799"/>
      <c r="H465" s="799"/>
      <c r="I465" s="799"/>
      <c r="J465" s="799"/>
      <c r="K465" s="799"/>
      <c r="L465" s="885"/>
      <c r="M465" s="799"/>
      <c r="N465" s="799"/>
      <c r="O465" s="799"/>
      <c r="P465" s="799"/>
      <c r="Q465" s="799"/>
      <c r="R465" s="799"/>
      <c r="S465" s="799"/>
      <c r="T465" s="799"/>
      <c r="U465" s="799"/>
      <c r="V465" s="799"/>
      <c r="W465" s="799"/>
      <c r="X465" s="799"/>
      <c r="Y465" s="799"/>
      <c r="Z465" s="799"/>
    </row>
    <row r="466" ht="49.5" customHeight="1">
      <c r="A466" s="799"/>
      <c r="B466" s="799"/>
      <c r="C466" s="799"/>
      <c r="D466" s="799"/>
      <c r="E466" s="799"/>
      <c r="F466" s="799"/>
      <c r="G466" s="799"/>
      <c r="H466" s="799"/>
      <c r="I466" s="799"/>
      <c r="J466" s="799"/>
      <c r="K466" s="799"/>
      <c r="L466" s="885"/>
      <c r="M466" s="799"/>
      <c r="N466" s="799"/>
      <c r="O466" s="799"/>
      <c r="P466" s="799"/>
      <c r="Q466" s="799"/>
      <c r="R466" s="799"/>
      <c r="S466" s="799"/>
      <c r="T466" s="799"/>
      <c r="U466" s="799"/>
      <c r="V466" s="799"/>
      <c r="W466" s="799"/>
      <c r="X466" s="799"/>
      <c r="Y466" s="799"/>
      <c r="Z466" s="799"/>
    </row>
    <row r="467" ht="49.5" customHeight="1">
      <c r="A467" s="799"/>
      <c r="B467" s="799"/>
      <c r="C467" s="799"/>
      <c r="D467" s="799"/>
      <c r="E467" s="799"/>
      <c r="F467" s="799"/>
      <c r="G467" s="799"/>
      <c r="H467" s="799"/>
      <c r="I467" s="799"/>
      <c r="J467" s="799"/>
      <c r="K467" s="799"/>
      <c r="L467" s="885"/>
      <c r="M467" s="799"/>
      <c r="N467" s="799"/>
      <c r="O467" s="799"/>
      <c r="P467" s="799"/>
      <c r="Q467" s="799"/>
      <c r="R467" s="799"/>
      <c r="S467" s="799"/>
      <c r="T467" s="799"/>
      <c r="U467" s="799"/>
      <c r="V467" s="799"/>
      <c r="W467" s="799"/>
      <c r="X467" s="799"/>
      <c r="Y467" s="799"/>
      <c r="Z467" s="799"/>
    </row>
    <row r="468" ht="49.5" customHeight="1">
      <c r="A468" s="799"/>
      <c r="B468" s="799"/>
      <c r="C468" s="799"/>
      <c r="D468" s="799"/>
      <c r="E468" s="799"/>
      <c r="F468" s="799"/>
      <c r="G468" s="799"/>
      <c r="H468" s="799"/>
      <c r="I468" s="799"/>
      <c r="J468" s="799"/>
      <c r="K468" s="799"/>
      <c r="L468" s="885"/>
      <c r="M468" s="799"/>
      <c r="N468" s="799"/>
      <c r="O468" s="799"/>
      <c r="P468" s="799"/>
      <c r="Q468" s="799"/>
      <c r="R468" s="799"/>
      <c r="S468" s="799"/>
      <c r="T468" s="799"/>
      <c r="U468" s="799"/>
      <c r="V468" s="799"/>
      <c r="W468" s="799"/>
      <c r="X468" s="799"/>
      <c r="Y468" s="799"/>
      <c r="Z468" s="799"/>
    </row>
    <row r="469" ht="49.5" customHeight="1">
      <c r="A469" s="799"/>
      <c r="B469" s="799"/>
      <c r="C469" s="799"/>
      <c r="D469" s="799"/>
      <c r="E469" s="799"/>
      <c r="F469" s="799"/>
      <c r="G469" s="799"/>
      <c r="H469" s="799"/>
      <c r="I469" s="799"/>
      <c r="J469" s="799"/>
      <c r="K469" s="799"/>
      <c r="L469" s="885"/>
      <c r="M469" s="799"/>
      <c r="N469" s="799"/>
      <c r="O469" s="799"/>
      <c r="P469" s="799"/>
      <c r="Q469" s="799"/>
      <c r="R469" s="799"/>
      <c r="S469" s="799"/>
      <c r="T469" s="799"/>
      <c r="U469" s="799"/>
      <c r="V469" s="799"/>
      <c r="W469" s="799"/>
      <c r="X469" s="799"/>
      <c r="Y469" s="799"/>
      <c r="Z469" s="799"/>
    </row>
    <row r="470" ht="49.5" customHeight="1">
      <c r="A470" s="799"/>
      <c r="B470" s="799"/>
      <c r="C470" s="799"/>
      <c r="D470" s="799"/>
      <c r="E470" s="799"/>
      <c r="F470" s="799"/>
      <c r="G470" s="799"/>
      <c r="H470" s="799"/>
      <c r="I470" s="799"/>
      <c r="J470" s="799"/>
      <c r="K470" s="799"/>
      <c r="L470" s="885"/>
      <c r="M470" s="799"/>
      <c r="N470" s="799"/>
      <c r="O470" s="799"/>
      <c r="P470" s="799"/>
      <c r="Q470" s="799"/>
      <c r="R470" s="799"/>
      <c r="S470" s="799"/>
      <c r="T470" s="799"/>
      <c r="U470" s="799"/>
      <c r="V470" s="799"/>
      <c r="W470" s="799"/>
      <c r="X470" s="799"/>
      <c r="Y470" s="799"/>
      <c r="Z470" s="799"/>
    </row>
    <row r="471" ht="49.5" customHeight="1">
      <c r="A471" s="799"/>
      <c r="B471" s="799"/>
      <c r="C471" s="799"/>
      <c r="D471" s="799"/>
      <c r="E471" s="799"/>
      <c r="F471" s="799"/>
      <c r="G471" s="799"/>
      <c r="H471" s="799"/>
      <c r="I471" s="799"/>
      <c r="J471" s="799"/>
      <c r="K471" s="799"/>
      <c r="L471" s="885"/>
      <c r="M471" s="799"/>
      <c r="N471" s="799"/>
      <c r="O471" s="799"/>
      <c r="P471" s="799"/>
      <c r="Q471" s="799"/>
      <c r="R471" s="799"/>
      <c r="S471" s="799"/>
      <c r="T471" s="799"/>
      <c r="U471" s="799"/>
      <c r="V471" s="799"/>
      <c r="W471" s="799"/>
      <c r="X471" s="799"/>
      <c r="Y471" s="799"/>
      <c r="Z471" s="799"/>
    </row>
    <row r="472" ht="49.5" customHeight="1">
      <c r="A472" s="799"/>
      <c r="B472" s="799"/>
      <c r="C472" s="799"/>
      <c r="D472" s="799"/>
      <c r="E472" s="799"/>
      <c r="F472" s="799"/>
      <c r="G472" s="799"/>
      <c r="H472" s="799"/>
      <c r="I472" s="799"/>
      <c r="J472" s="799"/>
      <c r="K472" s="799"/>
      <c r="L472" s="885"/>
      <c r="M472" s="799"/>
      <c r="N472" s="799"/>
      <c r="O472" s="799"/>
      <c r="P472" s="799"/>
      <c r="Q472" s="799"/>
      <c r="R472" s="799"/>
      <c r="S472" s="799"/>
      <c r="T472" s="799"/>
      <c r="U472" s="799"/>
      <c r="V472" s="799"/>
      <c r="W472" s="799"/>
      <c r="X472" s="799"/>
      <c r="Y472" s="799"/>
      <c r="Z472" s="799"/>
    </row>
    <row r="473" ht="49.5" customHeight="1">
      <c r="A473" s="799"/>
      <c r="B473" s="799"/>
      <c r="C473" s="799"/>
      <c r="D473" s="799"/>
      <c r="E473" s="799"/>
      <c r="F473" s="799"/>
      <c r="G473" s="799"/>
      <c r="H473" s="799"/>
      <c r="I473" s="799"/>
      <c r="J473" s="799"/>
      <c r="K473" s="799"/>
      <c r="L473" s="885"/>
      <c r="M473" s="799"/>
      <c r="N473" s="799"/>
      <c r="O473" s="799"/>
      <c r="P473" s="799"/>
      <c r="Q473" s="799"/>
      <c r="R473" s="799"/>
      <c r="S473" s="799"/>
      <c r="T473" s="799"/>
      <c r="U473" s="799"/>
      <c r="V473" s="799"/>
      <c r="W473" s="799"/>
      <c r="X473" s="799"/>
      <c r="Y473" s="799"/>
      <c r="Z473" s="799"/>
    </row>
    <row r="474" ht="49.5" customHeight="1">
      <c r="A474" s="799"/>
      <c r="B474" s="799"/>
      <c r="C474" s="799"/>
      <c r="D474" s="799"/>
      <c r="E474" s="799"/>
      <c r="F474" s="799"/>
      <c r="G474" s="799"/>
      <c r="H474" s="799"/>
      <c r="I474" s="799"/>
      <c r="J474" s="799"/>
      <c r="K474" s="799"/>
      <c r="L474" s="885"/>
      <c r="M474" s="799"/>
      <c r="N474" s="799"/>
      <c r="O474" s="799"/>
      <c r="P474" s="799"/>
      <c r="Q474" s="799"/>
      <c r="R474" s="799"/>
      <c r="S474" s="799"/>
      <c r="T474" s="799"/>
      <c r="U474" s="799"/>
      <c r="V474" s="799"/>
      <c r="W474" s="799"/>
      <c r="X474" s="799"/>
      <c r="Y474" s="799"/>
      <c r="Z474" s="799"/>
    </row>
    <row r="475" ht="49.5" customHeight="1">
      <c r="A475" s="799"/>
      <c r="B475" s="799"/>
      <c r="C475" s="799"/>
      <c r="D475" s="799"/>
      <c r="E475" s="799"/>
      <c r="F475" s="799"/>
      <c r="G475" s="799"/>
      <c r="H475" s="799"/>
      <c r="I475" s="799"/>
      <c r="J475" s="799"/>
      <c r="K475" s="799"/>
      <c r="L475" s="885"/>
      <c r="M475" s="799"/>
      <c r="N475" s="799"/>
      <c r="O475" s="799"/>
      <c r="P475" s="799"/>
      <c r="Q475" s="799"/>
      <c r="R475" s="799"/>
      <c r="S475" s="799"/>
      <c r="T475" s="799"/>
      <c r="U475" s="799"/>
      <c r="V475" s="799"/>
      <c r="W475" s="799"/>
      <c r="X475" s="799"/>
      <c r="Y475" s="799"/>
      <c r="Z475" s="799"/>
    </row>
    <row r="476" ht="49.5" customHeight="1">
      <c r="A476" s="799"/>
      <c r="B476" s="799"/>
      <c r="C476" s="799"/>
      <c r="D476" s="799"/>
      <c r="E476" s="799"/>
      <c r="F476" s="799"/>
      <c r="G476" s="799"/>
      <c r="H476" s="799"/>
      <c r="I476" s="799"/>
      <c r="J476" s="799"/>
      <c r="K476" s="799"/>
      <c r="L476" s="885"/>
      <c r="M476" s="799"/>
      <c r="N476" s="799"/>
      <c r="O476" s="799"/>
      <c r="P476" s="799"/>
      <c r="Q476" s="799"/>
      <c r="R476" s="799"/>
      <c r="S476" s="799"/>
      <c r="T476" s="799"/>
      <c r="U476" s="799"/>
      <c r="V476" s="799"/>
      <c r="W476" s="799"/>
      <c r="X476" s="799"/>
      <c r="Y476" s="799"/>
      <c r="Z476" s="799"/>
    </row>
    <row r="477" ht="49.5" customHeight="1">
      <c r="A477" s="799"/>
      <c r="B477" s="799"/>
      <c r="C477" s="799"/>
      <c r="D477" s="799"/>
      <c r="E477" s="799"/>
      <c r="F477" s="799"/>
      <c r="G477" s="799"/>
      <c r="H477" s="799"/>
      <c r="I477" s="799"/>
      <c r="J477" s="799"/>
      <c r="K477" s="799"/>
      <c r="L477" s="885"/>
      <c r="M477" s="799"/>
      <c r="N477" s="799"/>
      <c r="O477" s="799"/>
      <c r="P477" s="799"/>
      <c r="Q477" s="799"/>
      <c r="R477" s="799"/>
      <c r="S477" s="799"/>
      <c r="T477" s="799"/>
      <c r="U477" s="799"/>
      <c r="V477" s="799"/>
      <c r="W477" s="799"/>
      <c r="X477" s="799"/>
      <c r="Y477" s="799"/>
      <c r="Z477" s="799"/>
    </row>
    <row r="478" ht="49.5" customHeight="1">
      <c r="A478" s="799"/>
      <c r="B478" s="799"/>
      <c r="C478" s="799"/>
      <c r="D478" s="799"/>
      <c r="E478" s="799"/>
      <c r="F478" s="799"/>
      <c r="G478" s="799"/>
      <c r="H478" s="799"/>
      <c r="I478" s="799"/>
      <c r="J478" s="799"/>
      <c r="K478" s="799"/>
      <c r="L478" s="885"/>
      <c r="M478" s="799"/>
      <c r="N478" s="799"/>
      <c r="O478" s="799"/>
      <c r="P478" s="799"/>
      <c r="Q478" s="799"/>
      <c r="R478" s="799"/>
      <c r="S478" s="799"/>
      <c r="T478" s="799"/>
      <c r="U478" s="799"/>
      <c r="V478" s="799"/>
      <c r="W478" s="799"/>
      <c r="X478" s="799"/>
      <c r="Y478" s="799"/>
      <c r="Z478" s="799"/>
    </row>
    <row r="479" ht="49.5" customHeight="1">
      <c r="A479" s="799"/>
      <c r="B479" s="799"/>
      <c r="C479" s="799"/>
      <c r="D479" s="799"/>
      <c r="E479" s="799"/>
      <c r="F479" s="799"/>
      <c r="G479" s="799"/>
      <c r="H479" s="799"/>
      <c r="I479" s="799"/>
      <c r="J479" s="799"/>
      <c r="K479" s="799"/>
      <c r="L479" s="885"/>
      <c r="M479" s="799"/>
      <c r="N479" s="799"/>
      <c r="O479" s="799"/>
      <c r="P479" s="799"/>
      <c r="Q479" s="799"/>
      <c r="R479" s="799"/>
      <c r="S479" s="799"/>
      <c r="T479" s="799"/>
      <c r="U479" s="799"/>
      <c r="V479" s="799"/>
      <c r="W479" s="799"/>
      <c r="X479" s="799"/>
      <c r="Y479" s="799"/>
      <c r="Z479" s="799"/>
    </row>
    <row r="480" ht="49.5" customHeight="1">
      <c r="A480" s="799"/>
      <c r="B480" s="799"/>
      <c r="C480" s="799"/>
      <c r="D480" s="799"/>
      <c r="E480" s="799"/>
      <c r="F480" s="799"/>
      <c r="G480" s="799"/>
      <c r="H480" s="799"/>
      <c r="I480" s="799"/>
      <c r="J480" s="799"/>
      <c r="K480" s="799"/>
      <c r="L480" s="885"/>
      <c r="M480" s="799"/>
      <c r="N480" s="799"/>
      <c r="O480" s="799"/>
      <c r="P480" s="799"/>
      <c r="Q480" s="799"/>
      <c r="R480" s="799"/>
      <c r="S480" s="799"/>
      <c r="T480" s="799"/>
      <c r="U480" s="799"/>
      <c r="V480" s="799"/>
      <c r="W480" s="799"/>
      <c r="X480" s="799"/>
      <c r="Y480" s="799"/>
      <c r="Z480" s="799"/>
    </row>
    <row r="481" ht="49.5" customHeight="1">
      <c r="A481" s="799"/>
      <c r="B481" s="799"/>
      <c r="C481" s="799"/>
      <c r="D481" s="799"/>
      <c r="E481" s="799"/>
      <c r="F481" s="799"/>
      <c r="G481" s="799"/>
      <c r="H481" s="799"/>
      <c r="I481" s="799"/>
      <c r="J481" s="799"/>
      <c r="K481" s="799"/>
      <c r="L481" s="885"/>
      <c r="M481" s="799"/>
      <c r="N481" s="799"/>
      <c r="O481" s="799"/>
      <c r="P481" s="799"/>
      <c r="Q481" s="799"/>
      <c r="R481" s="799"/>
      <c r="S481" s="799"/>
      <c r="T481" s="799"/>
      <c r="U481" s="799"/>
      <c r="V481" s="799"/>
      <c r="W481" s="799"/>
      <c r="X481" s="799"/>
      <c r="Y481" s="799"/>
      <c r="Z481" s="799"/>
    </row>
    <row r="482" ht="49.5" customHeight="1">
      <c r="A482" s="799"/>
      <c r="B482" s="799"/>
      <c r="C482" s="799"/>
      <c r="D482" s="799"/>
      <c r="E482" s="799"/>
      <c r="F482" s="799"/>
      <c r="G482" s="799"/>
      <c r="H482" s="799"/>
      <c r="I482" s="799"/>
      <c r="J482" s="799"/>
      <c r="K482" s="799"/>
      <c r="L482" s="885"/>
      <c r="M482" s="799"/>
      <c r="N482" s="799"/>
      <c r="O482" s="799"/>
      <c r="P482" s="799"/>
      <c r="Q482" s="799"/>
      <c r="R482" s="799"/>
      <c r="S482" s="799"/>
      <c r="T482" s="799"/>
      <c r="U482" s="799"/>
      <c r="V482" s="799"/>
      <c r="W482" s="799"/>
      <c r="X482" s="799"/>
      <c r="Y482" s="799"/>
      <c r="Z482" s="799"/>
    </row>
    <row r="483" ht="49.5" customHeight="1">
      <c r="A483" s="799"/>
      <c r="B483" s="799"/>
      <c r="C483" s="799"/>
      <c r="D483" s="799"/>
      <c r="E483" s="799"/>
      <c r="F483" s="799"/>
      <c r="G483" s="799"/>
      <c r="H483" s="799"/>
      <c r="I483" s="799"/>
      <c r="J483" s="799"/>
      <c r="K483" s="799"/>
      <c r="L483" s="885"/>
      <c r="M483" s="799"/>
      <c r="N483" s="799"/>
      <c r="O483" s="799"/>
      <c r="P483" s="799"/>
      <c r="Q483" s="799"/>
      <c r="R483" s="799"/>
      <c r="S483" s="799"/>
      <c r="T483" s="799"/>
      <c r="U483" s="799"/>
      <c r="V483" s="799"/>
      <c r="W483" s="799"/>
      <c r="X483" s="799"/>
      <c r="Y483" s="799"/>
      <c r="Z483" s="799"/>
    </row>
    <row r="484" ht="49.5" customHeight="1">
      <c r="A484" s="799"/>
      <c r="B484" s="799"/>
      <c r="C484" s="799"/>
      <c r="D484" s="799"/>
      <c r="E484" s="799"/>
      <c r="F484" s="799"/>
      <c r="G484" s="799"/>
      <c r="H484" s="799"/>
      <c r="I484" s="799"/>
      <c r="J484" s="799"/>
      <c r="K484" s="799"/>
      <c r="L484" s="885"/>
      <c r="M484" s="799"/>
      <c r="N484" s="799"/>
      <c r="O484" s="799"/>
      <c r="P484" s="799"/>
      <c r="Q484" s="799"/>
      <c r="R484" s="799"/>
      <c r="S484" s="799"/>
      <c r="T484" s="799"/>
      <c r="U484" s="799"/>
      <c r="V484" s="799"/>
      <c r="W484" s="799"/>
      <c r="X484" s="799"/>
      <c r="Y484" s="799"/>
      <c r="Z484" s="799"/>
    </row>
    <row r="485" ht="49.5" customHeight="1">
      <c r="A485" s="799"/>
      <c r="B485" s="799"/>
      <c r="C485" s="799"/>
      <c r="D485" s="799"/>
      <c r="E485" s="799"/>
      <c r="F485" s="799"/>
      <c r="G485" s="799"/>
      <c r="H485" s="799"/>
      <c r="I485" s="799"/>
      <c r="J485" s="799"/>
      <c r="K485" s="799"/>
      <c r="L485" s="885"/>
      <c r="M485" s="799"/>
      <c r="N485" s="799"/>
      <c r="O485" s="799"/>
      <c r="P485" s="799"/>
      <c r="Q485" s="799"/>
      <c r="R485" s="799"/>
      <c r="S485" s="799"/>
      <c r="T485" s="799"/>
      <c r="U485" s="799"/>
      <c r="V485" s="799"/>
      <c r="W485" s="799"/>
      <c r="X485" s="799"/>
      <c r="Y485" s="799"/>
      <c r="Z485" s="799"/>
    </row>
    <row r="486" ht="49.5" customHeight="1">
      <c r="A486" s="799"/>
      <c r="B486" s="799"/>
      <c r="C486" s="799"/>
      <c r="D486" s="799"/>
      <c r="E486" s="799"/>
      <c r="F486" s="799"/>
      <c r="G486" s="799"/>
      <c r="H486" s="799"/>
      <c r="I486" s="799"/>
      <c r="J486" s="799"/>
      <c r="K486" s="799"/>
      <c r="L486" s="885"/>
      <c r="M486" s="799"/>
      <c r="N486" s="799"/>
      <c r="O486" s="799"/>
      <c r="P486" s="799"/>
      <c r="Q486" s="799"/>
      <c r="R486" s="799"/>
      <c r="S486" s="799"/>
      <c r="T486" s="799"/>
      <c r="U486" s="799"/>
      <c r="V486" s="799"/>
      <c r="W486" s="799"/>
      <c r="X486" s="799"/>
      <c r="Y486" s="799"/>
      <c r="Z486" s="799"/>
    </row>
    <row r="487" ht="49.5" customHeight="1">
      <c r="A487" s="799"/>
      <c r="B487" s="799"/>
      <c r="C487" s="799"/>
      <c r="D487" s="799"/>
      <c r="E487" s="799"/>
      <c r="F487" s="799"/>
      <c r="G487" s="799"/>
      <c r="H487" s="799"/>
      <c r="I487" s="799"/>
      <c r="J487" s="799"/>
      <c r="K487" s="799"/>
      <c r="L487" s="885"/>
      <c r="M487" s="799"/>
      <c r="N487" s="799"/>
      <c r="O487" s="799"/>
      <c r="P487" s="799"/>
      <c r="Q487" s="799"/>
      <c r="R487" s="799"/>
      <c r="S487" s="799"/>
      <c r="T487" s="799"/>
      <c r="U487" s="799"/>
      <c r="V487" s="799"/>
      <c r="W487" s="799"/>
      <c r="X487" s="799"/>
      <c r="Y487" s="799"/>
      <c r="Z487" s="799"/>
    </row>
    <row r="488" ht="49.5" customHeight="1">
      <c r="A488" s="799"/>
      <c r="B488" s="799"/>
      <c r="C488" s="799"/>
      <c r="D488" s="799"/>
      <c r="E488" s="799"/>
      <c r="F488" s="799"/>
      <c r="G488" s="799"/>
      <c r="H488" s="799"/>
      <c r="I488" s="799"/>
      <c r="J488" s="799"/>
      <c r="K488" s="799"/>
      <c r="L488" s="885"/>
      <c r="M488" s="799"/>
      <c r="N488" s="799"/>
      <c r="O488" s="799"/>
      <c r="P488" s="799"/>
      <c r="Q488" s="799"/>
      <c r="R488" s="799"/>
      <c r="S488" s="799"/>
      <c r="T488" s="799"/>
      <c r="U488" s="799"/>
      <c r="V488" s="799"/>
      <c r="W488" s="799"/>
      <c r="X488" s="799"/>
      <c r="Y488" s="799"/>
      <c r="Z488" s="799"/>
    </row>
    <row r="489" ht="49.5" customHeight="1">
      <c r="A489" s="799"/>
      <c r="B489" s="799"/>
      <c r="C489" s="799"/>
      <c r="D489" s="799"/>
      <c r="E489" s="799"/>
      <c r="F489" s="799"/>
      <c r="G489" s="799"/>
      <c r="H489" s="799"/>
      <c r="I489" s="799"/>
      <c r="J489" s="799"/>
      <c r="K489" s="799"/>
      <c r="L489" s="885"/>
      <c r="M489" s="799"/>
      <c r="N489" s="799"/>
      <c r="O489" s="799"/>
      <c r="P489" s="799"/>
      <c r="Q489" s="799"/>
      <c r="R489" s="799"/>
      <c r="S489" s="799"/>
      <c r="T489" s="799"/>
      <c r="U489" s="799"/>
      <c r="V489" s="799"/>
      <c r="W489" s="799"/>
      <c r="X489" s="799"/>
      <c r="Y489" s="799"/>
      <c r="Z489" s="799"/>
    </row>
    <row r="490" ht="49.5" customHeight="1">
      <c r="A490" s="799"/>
      <c r="B490" s="799"/>
      <c r="C490" s="799"/>
      <c r="D490" s="799"/>
      <c r="E490" s="799"/>
      <c r="F490" s="799"/>
      <c r="G490" s="799"/>
      <c r="H490" s="799"/>
      <c r="I490" s="799"/>
      <c r="J490" s="799"/>
      <c r="K490" s="799"/>
      <c r="L490" s="885"/>
      <c r="M490" s="799"/>
      <c r="N490" s="799"/>
      <c r="O490" s="799"/>
      <c r="P490" s="799"/>
      <c r="Q490" s="799"/>
      <c r="R490" s="799"/>
      <c r="S490" s="799"/>
      <c r="T490" s="799"/>
      <c r="U490" s="799"/>
      <c r="V490" s="799"/>
      <c r="W490" s="799"/>
      <c r="X490" s="799"/>
      <c r="Y490" s="799"/>
      <c r="Z490" s="799"/>
    </row>
    <row r="491" ht="49.5" customHeight="1">
      <c r="A491" s="799"/>
      <c r="B491" s="799"/>
      <c r="C491" s="799"/>
      <c r="D491" s="799"/>
      <c r="E491" s="799"/>
      <c r="F491" s="799"/>
      <c r="G491" s="799"/>
      <c r="H491" s="799"/>
      <c r="I491" s="799"/>
      <c r="J491" s="799"/>
      <c r="K491" s="799"/>
      <c r="L491" s="885"/>
      <c r="M491" s="799"/>
      <c r="N491" s="799"/>
      <c r="O491" s="799"/>
      <c r="P491" s="799"/>
      <c r="Q491" s="799"/>
      <c r="R491" s="799"/>
      <c r="S491" s="799"/>
      <c r="T491" s="799"/>
      <c r="U491" s="799"/>
      <c r="V491" s="799"/>
      <c r="W491" s="799"/>
      <c r="X491" s="799"/>
      <c r="Y491" s="799"/>
      <c r="Z491" s="799"/>
    </row>
    <row r="492" ht="49.5" customHeight="1">
      <c r="A492" s="799"/>
      <c r="B492" s="799"/>
      <c r="C492" s="799"/>
      <c r="D492" s="799"/>
      <c r="E492" s="799"/>
      <c r="F492" s="799"/>
      <c r="G492" s="799"/>
      <c r="H492" s="799"/>
      <c r="I492" s="799"/>
      <c r="J492" s="799"/>
      <c r="K492" s="799"/>
      <c r="L492" s="885"/>
      <c r="M492" s="799"/>
      <c r="N492" s="799"/>
      <c r="O492" s="799"/>
      <c r="P492" s="799"/>
      <c r="Q492" s="799"/>
      <c r="R492" s="799"/>
      <c r="S492" s="799"/>
      <c r="T492" s="799"/>
      <c r="U492" s="799"/>
      <c r="V492" s="799"/>
      <c r="W492" s="799"/>
      <c r="X492" s="799"/>
      <c r="Y492" s="799"/>
      <c r="Z492" s="799"/>
    </row>
    <row r="493" ht="49.5" customHeight="1">
      <c r="A493" s="799"/>
      <c r="B493" s="799"/>
      <c r="C493" s="799"/>
      <c r="D493" s="799"/>
      <c r="E493" s="799"/>
      <c r="F493" s="799"/>
      <c r="G493" s="799"/>
      <c r="H493" s="799"/>
      <c r="I493" s="799"/>
      <c r="J493" s="799"/>
      <c r="K493" s="799"/>
      <c r="L493" s="885"/>
      <c r="M493" s="799"/>
      <c r="N493" s="799"/>
      <c r="O493" s="799"/>
      <c r="P493" s="799"/>
      <c r="Q493" s="799"/>
      <c r="R493" s="799"/>
      <c r="S493" s="799"/>
      <c r="T493" s="799"/>
      <c r="U493" s="799"/>
      <c r="V493" s="799"/>
      <c r="W493" s="799"/>
      <c r="X493" s="799"/>
      <c r="Y493" s="799"/>
      <c r="Z493" s="799"/>
    </row>
    <row r="494" ht="49.5" customHeight="1">
      <c r="A494" s="799"/>
      <c r="B494" s="799"/>
      <c r="C494" s="799"/>
      <c r="D494" s="799"/>
      <c r="E494" s="799"/>
      <c r="F494" s="799"/>
      <c r="G494" s="799"/>
      <c r="H494" s="799"/>
      <c r="I494" s="799"/>
      <c r="J494" s="799"/>
      <c r="K494" s="799"/>
      <c r="L494" s="885"/>
      <c r="M494" s="799"/>
      <c r="N494" s="799"/>
      <c r="O494" s="799"/>
      <c r="P494" s="799"/>
      <c r="Q494" s="799"/>
      <c r="R494" s="799"/>
      <c r="S494" s="799"/>
      <c r="T494" s="799"/>
      <c r="U494" s="799"/>
      <c r="V494" s="799"/>
      <c r="W494" s="799"/>
      <c r="X494" s="799"/>
      <c r="Y494" s="799"/>
      <c r="Z494" s="799"/>
    </row>
    <row r="495" ht="49.5" customHeight="1">
      <c r="A495" s="799"/>
      <c r="B495" s="799"/>
      <c r="C495" s="799"/>
      <c r="D495" s="799"/>
      <c r="E495" s="799"/>
      <c r="F495" s="799"/>
      <c r="G495" s="799"/>
      <c r="H495" s="799"/>
      <c r="I495" s="799"/>
      <c r="J495" s="799"/>
      <c r="K495" s="799"/>
      <c r="L495" s="885"/>
      <c r="M495" s="799"/>
      <c r="N495" s="799"/>
      <c r="O495" s="799"/>
      <c r="P495" s="799"/>
      <c r="Q495" s="799"/>
      <c r="R495" s="799"/>
      <c r="S495" s="799"/>
      <c r="T495" s="799"/>
      <c r="U495" s="799"/>
      <c r="V495" s="799"/>
      <c r="W495" s="799"/>
      <c r="X495" s="799"/>
      <c r="Y495" s="799"/>
      <c r="Z495" s="799"/>
    </row>
    <row r="496" ht="49.5" customHeight="1">
      <c r="A496" s="799"/>
      <c r="B496" s="799"/>
      <c r="C496" s="799"/>
      <c r="D496" s="799"/>
      <c r="E496" s="799"/>
      <c r="F496" s="799"/>
      <c r="G496" s="799"/>
      <c r="H496" s="799"/>
      <c r="I496" s="799"/>
      <c r="J496" s="799"/>
      <c r="K496" s="799"/>
      <c r="L496" s="885"/>
      <c r="M496" s="799"/>
      <c r="N496" s="799"/>
      <c r="O496" s="799"/>
      <c r="P496" s="799"/>
      <c r="Q496" s="799"/>
      <c r="R496" s="799"/>
      <c r="S496" s="799"/>
      <c r="T496" s="799"/>
      <c r="U496" s="799"/>
      <c r="V496" s="799"/>
      <c r="W496" s="799"/>
      <c r="X496" s="799"/>
      <c r="Y496" s="799"/>
      <c r="Z496" s="799"/>
    </row>
    <row r="497" ht="49.5" customHeight="1">
      <c r="A497" s="799"/>
      <c r="B497" s="799"/>
      <c r="C497" s="799"/>
      <c r="D497" s="799"/>
      <c r="E497" s="799"/>
      <c r="F497" s="799"/>
      <c r="G497" s="799"/>
      <c r="H497" s="799"/>
      <c r="I497" s="799"/>
      <c r="J497" s="799"/>
      <c r="K497" s="799"/>
      <c r="L497" s="885"/>
      <c r="M497" s="799"/>
      <c r="N497" s="799"/>
      <c r="O497" s="799"/>
      <c r="P497" s="799"/>
      <c r="Q497" s="799"/>
      <c r="R497" s="799"/>
      <c r="S497" s="799"/>
      <c r="T497" s="799"/>
      <c r="U497" s="799"/>
      <c r="V497" s="799"/>
      <c r="W497" s="799"/>
      <c r="X497" s="799"/>
      <c r="Y497" s="799"/>
      <c r="Z497" s="799"/>
    </row>
    <row r="498" ht="49.5" customHeight="1">
      <c r="A498" s="799"/>
      <c r="B498" s="799"/>
      <c r="C498" s="799"/>
      <c r="D498" s="799"/>
      <c r="E498" s="799"/>
      <c r="F498" s="799"/>
      <c r="G498" s="799"/>
      <c r="H498" s="799"/>
      <c r="I498" s="799"/>
      <c r="J498" s="799"/>
      <c r="K498" s="799"/>
      <c r="L498" s="885"/>
      <c r="M498" s="799"/>
      <c r="N498" s="799"/>
      <c r="O498" s="799"/>
      <c r="P498" s="799"/>
      <c r="Q498" s="799"/>
      <c r="R498" s="799"/>
      <c r="S498" s="799"/>
      <c r="T498" s="799"/>
      <c r="U498" s="799"/>
      <c r="V498" s="799"/>
      <c r="W498" s="799"/>
      <c r="X498" s="799"/>
      <c r="Y498" s="799"/>
      <c r="Z498" s="799"/>
    </row>
    <row r="499" ht="49.5" customHeight="1">
      <c r="A499" s="799"/>
      <c r="B499" s="799"/>
      <c r="C499" s="799"/>
      <c r="D499" s="799"/>
      <c r="E499" s="799"/>
      <c r="F499" s="799"/>
      <c r="G499" s="799"/>
      <c r="H499" s="799"/>
      <c r="I499" s="799"/>
      <c r="J499" s="799"/>
      <c r="K499" s="799"/>
      <c r="L499" s="885"/>
      <c r="M499" s="799"/>
      <c r="N499" s="799"/>
      <c r="O499" s="799"/>
      <c r="P499" s="799"/>
      <c r="Q499" s="799"/>
      <c r="R499" s="799"/>
      <c r="S499" s="799"/>
      <c r="T499" s="799"/>
      <c r="U499" s="799"/>
      <c r="V499" s="799"/>
      <c r="W499" s="799"/>
      <c r="X499" s="799"/>
      <c r="Y499" s="799"/>
      <c r="Z499" s="799"/>
    </row>
    <row r="500" ht="49.5" customHeight="1">
      <c r="A500" s="799"/>
      <c r="B500" s="799"/>
      <c r="C500" s="799"/>
      <c r="D500" s="799"/>
      <c r="E500" s="799"/>
      <c r="F500" s="799"/>
      <c r="G500" s="799"/>
      <c r="H500" s="799"/>
      <c r="I500" s="799"/>
      <c r="J500" s="799"/>
      <c r="K500" s="799"/>
      <c r="L500" s="885"/>
      <c r="M500" s="799"/>
      <c r="N500" s="799"/>
      <c r="O500" s="799"/>
      <c r="P500" s="799"/>
      <c r="Q500" s="799"/>
      <c r="R500" s="799"/>
      <c r="S500" s="799"/>
      <c r="T500" s="799"/>
      <c r="U500" s="799"/>
      <c r="V500" s="799"/>
      <c r="W500" s="799"/>
      <c r="X500" s="799"/>
      <c r="Y500" s="799"/>
      <c r="Z500" s="799"/>
    </row>
    <row r="501" ht="49.5" customHeight="1">
      <c r="A501" s="799"/>
      <c r="B501" s="799"/>
      <c r="C501" s="799"/>
      <c r="D501" s="799"/>
      <c r="E501" s="799"/>
      <c r="F501" s="799"/>
      <c r="G501" s="799"/>
      <c r="H501" s="799"/>
      <c r="I501" s="799"/>
      <c r="J501" s="799"/>
      <c r="K501" s="799"/>
      <c r="L501" s="885"/>
      <c r="M501" s="799"/>
      <c r="N501" s="799"/>
      <c r="O501" s="799"/>
      <c r="P501" s="799"/>
      <c r="Q501" s="799"/>
      <c r="R501" s="799"/>
      <c r="S501" s="799"/>
      <c r="T501" s="799"/>
      <c r="U501" s="799"/>
      <c r="V501" s="799"/>
      <c r="W501" s="799"/>
      <c r="X501" s="799"/>
      <c r="Y501" s="799"/>
      <c r="Z501" s="799"/>
    </row>
    <row r="502" ht="49.5" customHeight="1">
      <c r="A502" s="799"/>
      <c r="B502" s="799"/>
      <c r="C502" s="799"/>
      <c r="D502" s="799"/>
      <c r="E502" s="799"/>
      <c r="F502" s="799"/>
      <c r="G502" s="799"/>
      <c r="H502" s="799"/>
      <c r="I502" s="799"/>
      <c r="J502" s="799"/>
      <c r="K502" s="799"/>
      <c r="L502" s="885"/>
      <c r="M502" s="799"/>
      <c r="N502" s="799"/>
      <c r="O502" s="799"/>
      <c r="P502" s="799"/>
      <c r="Q502" s="799"/>
      <c r="R502" s="799"/>
      <c r="S502" s="799"/>
      <c r="T502" s="799"/>
      <c r="U502" s="799"/>
      <c r="V502" s="799"/>
      <c r="W502" s="799"/>
      <c r="X502" s="799"/>
      <c r="Y502" s="799"/>
      <c r="Z502" s="799"/>
    </row>
    <row r="503" ht="49.5" customHeight="1">
      <c r="A503" s="799"/>
      <c r="B503" s="799"/>
      <c r="C503" s="799"/>
      <c r="D503" s="799"/>
      <c r="E503" s="799"/>
      <c r="F503" s="799"/>
      <c r="G503" s="799"/>
      <c r="H503" s="799"/>
      <c r="I503" s="799"/>
      <c r="J503" s="799"/>
      <c r="K503" s="799"/>
      <c r="L503" s="885"/>
      <c r="M503" s="799"/>
      <c r="N503" s="799"/>
      <c r="O503" s="799"/>
      <c r="P503" s="799"/>
      <c r="Q503" s="799"/>
      <c r="R503" s="799"/>
      <c r="S503" s="799"/>
      <c r="T503" s="799"/>
      <c r="U503" s="799"/>
      <c r="V503" s="799"/>
      <c r="W503" s="799"/>
      <c r="X503" s="799"/>
      <c r="Y503" s="799"/>
      <c r="Z503" s="799"/>
    </row>
    <row r="504" ht="49.5" customHeight="1">
      <c r="A504" s="799"/>
      <c r="B504" s="799"/>
      <c r="C504" s="799"/>
      <c r="D504" s="799"/>
      <c r="E504" s="799"/>
      <c r="F504" s="799"/>
      <c r="G504" s="799"/>
      <c r="H504" s="799"/>
      <c r="I504" s="799"/>
      <c r="J504" s="799"/>
      <c r="K504" s="799"/>
      <c r="L504" s="885"/>
      <c r="M504" s="799"/>
      <c r="N504" s="799"/>
      <c r="O504" s="799"/>
      <c r="P504" s="799"/>
      <c r="Q504" s="799"/>
      <c r="R504" s="799"/>
      <c r="S504" s="799"/>
      <c r="T504" s="799"/>
      <c r="U504" s="799"/>
      <c r="V504" s="799"/>
      <c r="W504" s="799"/>
      <c r="X504" s="799"/>
      <c r="Y504" s="799"/>
      <c r="Z504" s="799"/>
    </row>
    <row r="505" ht="49.5" customHeight="1">
      <c r="A505" s="799"/>
      <c r="B505" s="799"/>
      <c r="C505" s="799"/>
      <c r="D505" s="799"/>
      <c r="E505" s="799"/>
      <c r="F505" s="799"/>
      <c r="G505" s="799"/>
      <c r="H505" s="799"/>
      <c r="I505" s="799"/>
      <c r="J505" s="799"/>
      <c r="K505" s="799"/>
      <c r="L505" s="885"/>
      <c r="M505" s="799"/>
      <c r="N505" s="799"/>
      <c r="O505" s="799"/>
      <c r="P505" s="799"/>
      <c r="Q505" s="799"/>
      <c r="R505" s="799"/>
      <c r="S505" s="799"/>
      <c r="T505" s="799"/>
      <c r="U505" s="799"/>
      <c r="V505" s="799"/>
      <c r="W505" s="799"/>
      <c r="X505" s="799"/>
      <c r="Y505" s="799"/>
      <c r="Z505" s="799"/>
    </row>
    <row r="506" ht="49.5" customHeight="1">
      <c r="A506" s="799"/>
      <c r="B506" s="799"/>
      <c r="C506" s="799"/>
      <c r="D506" s="799"/>
      <c r="E506" s="799"/>
      <c r="F506" s="799"/>
      <c r="G506" s="799"/>
      <c r="H506" s="799"/>
      <c r="I506" s="799"/>
      <c r="J506" s="799"/>
      <c r="K506" s="799"/>
      <c r="L506" s="885"/>
      <c r="M506" s="799"/>
      <c r="N506" s="799"/>
      <c r="O506" s="799"/>
      <c r="P506" s="799"/>
      <c r="Q506" s="799"/>
      <c r="R506" s="799"/>
      <c r="S506" s="799"/>
      <c r="T506" s="799"/>
      <c r="U506" s="799"/>
      <c r="V506" s="799"/>
      <c r="W506" s="799"/>
      <c r="X506" s="799"/>
      <c r="Y506" s="799"/>
      <c r="Z506" s="799"/>
    </row>
    <row r="507" ht="49.5" customHeight="1">
      <c r="A507" s="799"/>
      <c r="B507" s="799"/>
      <c r="C507" s="799"/>
      <c r="D507" s="799"/>
      <c r="E507" s="799"/>
      <c r="F507" s="799"/>
      <c r="G507" s="799"/>
      <c r="H507" s="799"/>
      <c r="I507" s="799"/>
      <c r="J507" s="799"/>
      <c r="K507" s="799"/>
      <c r="L507" s="885"/>
      <c r="M507" s="799"/>
      <c r="N507" s="799"/>
      <c r="O507" s="799"/>
      <c r="P507" s="799"/>
      <c r="Q507" s="799"/>
      <c r="R507" s="799"/>
      <c r="S507" s="799"/>
      <c r="T507" s="799"/>
      <c r="U507" s="799"/>
      <c r="V507" s="799"/>
      <c r="W507" s="799"/>
      <c r="X507" s="799"/>
      <c r="Y507" s="799"/>
      <c r="Z507" s="799"/>
    </row>
    <row r="508" ht="49.5" customHeight="1">
      <c r="A508" s="799"/>
      <c r="B508" s="799"/>
      <c r="C508" s="799"/>
      <c r="D508" s="799"/>
      <c r="E508" s="799"/>
      <c r="F508" s="799"/>
      <c r="G508" s="799"/>
      <c r="H508" s="799"/>
      <c r="I508" s="799"/>
      <c r="J508" s="799"/>
      <c r="K508" s="799"/>
      <c r="L508" s="885"/>
      <c r="M508" s="799"/>
      <c r="N508" s="799"/>
      <c r="O508" s="799"/>
      <c r="P508" s="799"/>
      <c r="Q508" s="799"/>
      <c r="R508" s="799"/>
      <c r="S508" s="799"/>
      <c r="T508" s="799"/>
      <c r="U508" s="799"/>
      <c r="V508" s="799"/>
      <c r="W508" s="799"/>
      <c r="X508" s="799"/>
      <c r="Y508" s="799"/>
      <c r="Z508" s="799"/>
    </row>
    <row r="509" ht="49.5" customHeight="1">
      <c r="A509" s="799"/>
      <c r="B509" s="799"/>
      <c r="C509" s="799"/>
      <c r="D509" s="799"/>
      <c r="E509" s="799"/>
      <c r="F509" s="799"/>
      <c r="G509" s="799"/>
      <c r="H509" s="799"/>
      <c r="I509" s="799"/>
      <c r="J509" s="799"/>
      <c r="K509" s="799"/>
      <c r="L509" s="885"/>
      <c r="M509" s="799"/>
      <c r="N509" s="799"/>
      <c r="O509" s="799"/>
      <c r="P509" s="799"/>
      <c r="Q509" s="799"/>
      <c r="R509" s="799"/>
      <c r="S509" s="799"/>
      <c r="T509" s="799"/>
      <c r="U509" s="799"/>
      <c r="V509" s="799"/>
      <c r="W509" s="799"/>
      <c r="X509" s="799"/>
      <c r="Y509" s="799"/>
      <c r="Z509" s="799"/>
    </row>
    <row r="510" ht="49.5" customHeight="1">
      <c r="A510" s="799"/>
      <c r="B510" s="799"/>
      <c r="C510" s="799"/>
      <c r="D510" s="799"/>
      <c r="E510" s="799"/>
      <c r="F510" s="799"/>
      <c r="G510" s="799"/>
      <c r="H510" s="799"/>
      <c r="I510" s="799"/>
      <c r="J510" s="799"/>
      <c r="K510" s="799"/>
      <c r="L510" s="885"/>
      <c r="M510" s="799"/>
      <c r="N510" s="799"/>
      <c r="O510" s="799"/>
      <c r="P510" s="799"/>
      <c r="Q510" s="799"/>
      <c r="R510" s="799"/>
      <c r="S510" s="799"/>
      <c r="T510" s="799"/>
      <c r="U510" s="799"/>
      <c r="V510" s="799"/>
      <c r="W510" s="799"/>
      <c r="X510" s="799"/>
      <c r="Y510" s="799"/>
      <c r="Z510" s="799"/>
    </row>
    <row r="511" ht="49.5" customHeight="1">
      <c r="A511" s="799"/>
      <c r="B511" s="799"/>
      <c r="C511" s="799"/>
      <c r="D511" s="799"/>
      <c r="E511" s="799"/>
      <c r="F511" s="799"/>
      <c r="G511" s="799"/>
      <c r="H511" s="799"/>
      <c r="I511" s="799"/>
      <c r="J511" s="799"/>
      <c r="K511" s="799"/>
      <c r="L511" s="885"/>
      <c r="M511" s="799"/>
      <c r="N511" s="799"/>
      <c r="O511" s="799"/>
      <c r="P511" s="799"/>
      <c r="Q511" s="799"/>
      <c r="R511" s="799"/>
      <c r="S511" s="799"/>
      <c r="T511" s="799"/>
      <c r="U511" s="799"/>
      <c r="V511" s="799"/>
      <c r="W511" s="799"/>
      <c r="X511" s="799"/>
      <c r="Y511" s="799"/>
      <c r="Z511" s="799"/>
    </row>
    <row r="512" ht="49.5" customHeight="1">
      <c r="A512" s="799"/>
      <c r="B512" s="799"/>
      <c r="C512" s="799"/>
      <c r="D512" s="799"/>
      <c r="E512" s="799"/>
      <c r="F512" s="799"/>
      <c r="G512" s="799"/>
      <c r="H512" s="799"/>
      <c r="I512" s="799"/>
      <c r="J512" s="799"/>
      <c r="K512" s="799"/>
      <c r="L512" s="885"/>
      <c r="M512" s="799"/>
      <c r="N512" s="799"/>
      <c r="O512" s="799"/>
      <c r="P512" s="799"/>
      <c r="Q512" s="799"/>
      <c r="R512" s="799"/>
      <c r="S512" s="799"/>
      <c r="T512" s="799"/>
      <c r="U512" s="799"/>
      <c r="V512" s="799"/>
      <c r="W512" s="799"/>
      <c r="X512" s="799"/>
      <c r="Y512" s="799"/>
      <c r="Z512" s="799"/>
    </row>
    <row r="513" ht="49.5" customHeight="1">
      <c r="A513" s="799"/>
      <c r="B513" s="799"/>
      <c r="C513" s="799"/>
      <c r="D513" s="799"/>
      <c r="E513" s="799"/>
      <c r="F513" s="799"/>
      <c r="G513" s="799"/>
      <c r="H513" s="799"/>
      <c r="I513" s="799"/>
      <c r="J513" s="799"/>
      <c r="K513" s="799"/>
      <c r="L513" s="885"/>
      <c r="M513" s="799"/>
      <c r="N513" s="799"/>
      <c r="O513" s="799"/>
      <c r="P513" s="799"/>
      <c r="Q513" s="799"/>
      <c r="R513" s="799"/>
      <c r="S513" s="799"/>
      <c r="T513" s="799"/>
      <c r="U513" s="799"/>
      <c r="V513" s="799"/>
      <c r="W513" s="799"/>
      <c r="X513" s="799"/>
      <c r="Y513" s="799"/>
      <c r="Z513" s="799"/>
    </row>
    <row r="514" ht="49.5" customHeight="1">
      <c r="A514" s="799"/>
      <c r="B514" s="799"/>
      <c r="C514" s="799"/>
      <c r="D514" s="799"/>
      <c r="E514" s="799"/>
      <c r="F514" s="799"/>
      <c r="G514" s="799"/>
      <c r="H514" s="799"/>
      <c r="I514" s="799"/>
      <c r="J514" s="799"/>
      <c r="K514" s="799"/>
      <c r="L514" s="885"/>
      <c r="M514" s="799"/>
      <c r="N514" s="799"/>
      <c r="O514" s="799"/>
      <c r="P514" s="799"/>
      <c r="Q514" s="799"/>
      <c r="R514" s="799"/>
      <c r="S514" s="799"/>
      <c r="T514" s="799"/>
      <c r="U514" s="799"/>
      <c r="V514" s="799"/>
      <c r="W514" s="799"/>
      <c r="X514" s="799"/>
      <c r="Y514" s="799"/>
      <c r="Z514" s="799"/>
    </row>
    <row r="515" ht="49.5" customHeight="1">
      <c r="A515" s="799"/>
      <c r="B515" s="799"/>
      <c r="C515" s="799"/>
      <c r="D515" s="799"/>
      <c r="E515" s="799"/>
      <c r="F515" s="799"/>
      <c r="G515" s="799"/>
      <c r="H515" s="799"/>
      <c r="I515" s="799"/>
      <c r="J515" s="799"/>
      <c r="K515" s="799"/>
      <c r="L515" s="885"/>
      <c r="M515" s="799"/>
      <c r="N515" s="799"/>
      <c r="O515" s="799"/>
      <c r="P515" s="799"/>
      <c r="Q515" s="799"/>
      <c r="R515" s="799"/>
      <c r="S515" s="799"/>
      <c r="T515" s="799"/>
      <c r="U515" s="799"/>
      <c r="V515" s="799"/>
      <c r="W515" s="799"/>
      <c r="X515" s="799"/>
      <c r="Y515" s="799"/>
      <c r="Z515" s="799"/>
    </row>
    <row r="516" ht="49.5" customHeight="1">
      <c r="A516" s="799"/>
      <c r="B516" s="799"/>
      <c r="C516" s="799"/>
      <c r="D516" s="799"/>
      <c r="E516" s="799"/>
      <c r="F516" s="799"/>
      <c r="G516" s="799"/>
      <c r="H516" s="799"/>
      <c r="I516" s="799"/>
      <c r="J516" s="799"/>
      <c r="K516" s="799"/>
      <c r="L516" s="885"/>
      <c r="M516" s="799"/>
      <c r="N516" s="799"/>
      <c r="O516" s="799"/>
      <c r="P516" s="799"/>
      <c r="Q516" s="799"/>
      <c r="R516" s="799"/>
      <c r="S516" s="799"/>
      <c r="T516" s="799"/>
      <c r="U516" s="799"/>
      <c r="V516" s="799"/>
      <c r="W516" s="799"/>
      <c r="X516" s="799"/>
      <c r="Y516" s="799"/>
      <c r="Z516" s="799"/>
    </row>
    <row r="517" ht="49.5" customHeight="1">
      <c r="A517" s="799"/>
      <c r="B517" s="799"/>
      <c r="C517" s="799"/>
      <c r="D517" s="799"/>
      <c r="E517" s="799"/>
      <c r="F517" s="799"/>
      <c r="G517" s="799"/>
      <c r="H517" s="799"/>
      <c r="I517" s="799"/>
      <c r="J517" s="799"/>
      <c r="K517" s="799"/>
      <c r="L517" s="885"/>
      <c r="M517" s="799"/>
      <c r="N517" s="799"/>
      <c r="O517" s="799"/>
      <c r="P517" s="799"/>
      <c r="Q517" s="799"/>
      <c r="R517" s="799"/>
      <c r="S517" s="799"/>
      <c r="T517" s="799"/>
      <c r="U517" s="799"/>
      <c r="V517" s="799"/>
      <c r="W517" s="799"/>
      <c r="X517" s="799"/>
      <c r="Y517" s="799"/>
      <c r="Z517" s="799"/>
    </row>
    <row r="518" ht="49.5" customHeight="1">
      <c r="A518" s="799"/>
      <c r="B518" s="799"/>
      <c r="C518" s="799"/>
      <c r="D518" s="799"/>
      <c r="E518" s="799"/>
      <c r="F518" s="799"/>
      <c r="G518" s="799"/>
      <c r="H518" s="799"/>
      <c r="I518" s="799"/>
      <c r="J518" s="799"/>
      <c r="K518" s="799"/>
      <c r="L518" s="885"/>
      <c r="M518" s="799"/>
      <c r="N518" s="799"/>
      <c r="O518" s="799"/>
      <c r="P518" s="799"/>
      <c r="Q518" s="799"/>
      <c r="R518" s="799"/>
      <c r="S518" s="799"/>
      <c r="T518" s="799"/>
      <c r="U518" s="799"/>
      <c r="V518" s="799"/>
      <c r="W518" s="799"/>
      <c r="X518" s="799"/>
      <c r="Y518" s="799"/>
      <c r="Z518" s="799"/>
    </row>
    <row r="519" ht="49.5" customHeight="1">
      <c r="A519" s="799"/>
      <c r="B519" s="799"/>
      <c r="C519" s="799"/>
      <c r="D519" s="799"/>
      <c r="E519" s="799"/>
      <c r="F519" s="799"/>
      <c r="G519" s="799"/>
      <c r="H519" s="799"/>
      <c r="I519" s="799"/>
      <c r="J519" s="799"/>
      <c r="K519" s="799"/>
      <c r="L519" s="885"/>
      <c r="M519" s="799"/>
      <c r="N519" s="799"/>
      <c r="O519" s="799"/>
      <c r="P519" s="799"/>
      <c r="Q519" s="799"/>
      <c r="R519" s="799"/>
      <c r="S519" s="799"/>
      <c r="T519" s="799"/>
      <c r="U519" s="799"/>
      <c r="V519" s="799"/>
      <c r="W519" s="799"/>
      <c r="X519" s="799"/>
      <c r="Y519" s="799"/>
      <c r="Z519" s="799"/>
    </row>
    <row r="520" ht="49.5" customHeight="1">
      <c r="A520" s="799"/>
      <c r="B520" s="799"/>
      <c r="C520" s="799"/>
      <c r="D520" s="799"/>
      <c r="E520" s="799"/>
      <c r="F520" s="799"/>
      <c r="G520" s="799"/>
      <c r="H520" s="799"/>
      <c r="I520" s="799"/>
      <c r="J520" s="799"/>
      <c r="K520" s="799"/>
      <c r="L520" s="885"/>
      <c r="M520" s="799"/>
      <c r="N520" s="799"/>
      <c r="O520" s="799"/>
      <c r="P520" s="799"/>
      <c r="Q520" s="799"/>
      <c r="R520" s="799"/>
      <c r="S520" s="799"/>
      <c r="T520" s="799"/>
      <c r="U520" s="799"/>
      <c r="V520" s="799"/>
      <c r="W520" s="799"/>
      <c r="X520" s="799"/>
      <c r="Y520" s="799"/>
      <c r="Z520" s="799"/>
    </row>
    <row r="521" ht="49.5" customHeight="1">
      <c r="A521" s="799"/>
      <c r="B521" s="799"/>
      <c r="C521" s="799"/>
      <c r="D521" s="799"/>
      <c r="E521" s="799"/>
      <c r="F521" s="799"/>
      <c r="G521" s="799"/>
      <c r="H521" s="799"/>
      <c r="I521" s="799"/>
      <c r="J521" s="799"/>
      <c r="K521" s="799"/>
      <c r="L521" s="885"/>
      <c r="M521" s="799"/>
      <c r="N521" s="799"/>
      <c r="O521" s="799"/>
      <c r="P521" s="799"/>
      <c r="Q521" s="799"/>
      <c r="R521" s="799"/>
      <c r="S521" s="799"/>
      <c r="T521" s="799"/>
      <c r="U521" s="799"/>
      <c r="V521" s="799"/>
      <c r="W521" s="799"/>
      <c r="X521" s="799"/>
      <c r="Y521" s="799"/>
      <c r="Z521" s="799"/>
    </row>
    <row r="522" ht="49.5" customHeight="1">
      <c r="A522" s="799"/>
      <c r="B522" s="799"/>
      <c r="C522" s="799"/>
      <c r="D522" s="799"/>
      <c r="E522" s="799"/>
      <c r="F522" s="799"/>
      <c r="G522" s="799"/>
      <c r="H522" s="799"/>
      <c r="I522" s="799"/>
      <c r="J522" s="799"/>
      <c r="K522" s="799"/>
      <c r="L522" s="885"/>
      <c r="M522" s="799"/>
      <c r="N522" s="799"/>
      <c r="O522" s="799"/>
      <c r="P522" s="799"/>
      <c r="Q522" s="799"/>
      <c r="R522" s="799"/>
      <c r="S522" s="799"/>
      <c r="T522" s="799"/>
      <c r="U522" s="799"/>
      <c r="V522" s="799"/>
      <c r="W522" s="799"/>
      <c r="X522" s="799"/>
      <c r="Y522" s="799"/>
      <c r="Z522" s="799"/>
    </row>
    <row r="523" ht="49.5" customHeight="1">
      <c r="A523" s="799"/>
      <c r="B523" s="799"/>
      <c r="C523" s="799"/>
      <c r="D523" s="799"/>
      <c r="E523" s="799"/>
      <c r="F523" s="799"/>
      <c r="G523" s="799"/>
      <c r="H523" s="799"/>
      <c r="I523" s="799"/>
      <c r="J523" s="799"/>
      <c r="K523" s="799"/>
      <c r="L523" s="885"/>
      <c r="M523" s="799"/>
      <c r="N523" s="799"/>
      <c r="O523" s="799"/>
      <c r="P523" s="799"/>
      <c r="Q523" s="799"/>
      <c r="R523" s="799"/>
      <c r="S523" s="799"/>
      <c r="T523" s="799"/>
      <c r="U523" s="799"/>
      <c r="V523" s="799"/>
      <c r="W523" s="799"/>
      <c r="X523" s="799"/>
      <c r="Y523" s="799"/>
      <c r="Z523" s="799"/>
    </row>
    <row r="524" ht="49.5" customHeight="1">
      <c r="A524" s="799"/>
      <c r="B524" s="799"/>
      <c r="C524" s="799"/>
      <c r="D524" s="799"/>
      <c r="E524" s="799"/>
      <c r="F524" s="799"/>
      <c r="G524" s="799"/>
      <c r="H524" s="799"/>
      <c r="I524" s="799"/>
      <c r="J524" s="799"/>
      <c r="K524" s="799"/>
      <c r="L524" s="885"/>
      <c r="M524" s="799"/>
      <c r="N524" s="799"/>
      <c r="O524" s="799"/>
      <c r="P524" s="799"/>
      <c r="Q524" s="799"/>
      <c r="R524" s="799"/>
      <c r="S524" s="799"/>
      <c r="T524" s="799"/>
      <c r="U524" s="799"/>
      <c r="V524" s="799"/>
      <c r="W524" s="799"/>
      <c r="X524" s="799"/>
      <c r="Y524" s="799"/>
      <c r="Z524" s="799"/>
    </row>
    <row r="525" ht="49.5" customHeight="1">
      <c r="A525" s="799"/>
      <c r="B525" s="799"/>
      <c r="C525" s="799"/>
      <c r="D525" s="799"/>
      <c r="E525" s="799"/>
      <c r="F525" s="799"/>
      <c r="G525" s="799"/>
      <c r="H525" s="799"/>
      <c r="I525" s="799"/>
      <c r="J525" s="799"/>
      <c r="K525" s="799"/>
      <c r="L525" s="885"/>
      <c r="M525" s="799"/>
      <c r="N525" s="799"/>
      <c r="O525" s="799"/>
      <c r="P525" s="799"/>
      <c r="Q525" s="799"/>
      <c r="R525" s="799"/>
      <c r="S525" s="799"/>
      <c r="T525" s="799"/>
      <c r="U525" s="799"/>
      <c r="V525" s="799"/>
      <c r="W525" s="799"/>
      <c r="X525" s="799"/>
      <c r="Y525" s="799"/>
      <c r="Z525" s="799"/>
    </row>
    <row r="526" ht="49.5" customHeight="1">
      <c r="A526" s="799"/>
      <c r="B526" s="799"/>
      <c r="C526" s="799"/>
      <c r="D526" s="799"/>
      <c r="E526" s="799"/>
      <c r="F526" s="799"/>
      <c r="G526" s="799"/>
      <c r="H526" s="799"/>
      <c r="I526" s="799"/>
      <c r="J526" s="799"/>
      <c r="K526" s="799"/>
      <c r="L526" s="885"/>
      <c r="M526" s="799"/>
      <c r="N526" s="799"/>
      <c r="O526" s="799"/>
      <c r="P526" s="799"/>
      <c r="Q526" s="799"/>
      <c r="R526" s="799"/>
      <c r="S526" s="799"/>
      <c r="T526" s="799"/>
      <c r="U526" s="799"/>
      <c r="V526" s="799"/>
      <c r="W526" s="799"/>
      <c r="X526" s="799"/>
      <c r="Y526" s="799"/>
      <c r="Z526" s="799"/>
    </row>
    <row r="527" ht="49.5" customHeight="1">
      <c r="A527" s="799"/>
      <c r="B527" s="799"/>
      <c r="C527" s="799"/>
      <c r="D527" s="799"/>
      <c r="E527" s="799"/>
      <c r="F527" s="799"/>
      <c r="G527" s="799"/>
      <c r="H527" s="799"/>
      <c r="I527" s="799"/>
      <c r="J527" s="799"/>
      <c r="K527" s="799"/>
      <c r="L527" s="885"/>
      <c r="M527" s="799"/>
      <c r="N527" s="799"/>
      <c r="O527" s="799"/>
      <c r="P527" s="799"/>
      <c r="Q527" s="799"/>
      <c r="R527" s="799"/>
      <c r="S527" s="799"/>
      <c r="T527" s="799"/>
      <c r="U527" s="799"/>
      <c r="V527" s="799"/>
      <c r="W527" s="799"/>
      <c r="X527" s="799"/>
      <c r="Y527" s="799"/>
      <c r="Z527" s="799"/>
    </row>
    <row r="528" ht="49.5" customHeight="1">
      <c r="A528" s="799"/>
      <c r="B528" s="799"/>
      <c r="C528" s="799"/>
      <c r="D528" s="799"/>
      <c r="E528" s="799"/>
      <c r="F528" s="799"/>
      <c r="G528" s="799"/>
      <c r="H528" s="799"/>
      <c r="I528" s="799"/>
      <c r="J528" s="799"/>
      <c r="K528" s="799"/>
      <c r="L528" s="885"/>
      <c r="M528" s="799"/>
      <c r="N528" s="799"/>
      <c r="O528" s="799"/>
      <c r="P528" s="799"/>
      <c r="Q528" s="799"/>
      <c r="R528" s="799"/>
      <c r="S528" s="799"/>
      <c r="T528" s="799"/>
      <c r="U528" s="799"/>
      <c r="V528" s="799"/>
      <c r="W528" s="799"/>
      <c r="X528" s="799"/>
      <c r="Y528" s="799"/>
      <c r="Z528" s="799"/>
    </row>
    <row r="529" ht="49.5" customHeight="1">
      <c r="A529" s="799"/>
      <c r="B529" s="799"/>
      <c r="C529" s="799"/>
      <c r="D529" s="799"/>
      <c r="E529" s="799"/>
      <c r="F529" s="799"/>
      <c r="G529" s="799"/>
      <c r="H529" s="799"/>
      <c r="I529" s="799"/>
      <c r="J529" s="799"/>
      <c r="K529" s="799"/>
      <c r="L529" s="885"/>
      <c r="M529" s="799"/>
      <c r="N529" s="799"/>
      <c r="O529" s="799"/>
      <c r="P529" s="799"/>
      <c r="Q529" s="799"/>
      <c r="R529" s="799"/>
      <c r="S529" s="799"/>
      <c r="T529" s="799"/>
      <c r="U529" s="799"/>
      <c r="V529" s="799"/>
      <c r="W529" s="799"/>
      <c r="X529" s="799"/>
      <c r="Y529" s="799"/>
      <c r="Z529" s="799"/>
    </row>
    <row r="530" ht="49.5" customHeight="1">
      <c r="A530" s="799"/>
      <c r="B530" s="799"/>
      <c r="C530" s="799"/>
      <c r="D530" s="799"/>
      <c r="E530" s="799"/>
      <c r="F530" s="799"/>
      <c r="G530" s="799"/>
      <c r="H530" s="799"/>
      <c r="I530" s="799"/>
      <c r="J530" s="799"/>
      <c r="K530" s="799"/>
      <c r="L530" s="885"/>
      <c r="M530" s="799"/>
      <c r="N530" s="799"/>
      <c r="O530" s="799"/>
      <c r="P530" s="799"/>
      <c r="Q530" s="799"/>
      <c r="R530" s="799"/>
      <c r="S530" s="799"/>
      <c r="T530" s="799"/>
      <c r="U530" s="799"/>
      <c r="V530" s="799"/>
      <c r="W530" s="799"/>
      <c r="X530" s="799"/>
      <c r="Y530" s="799"/>
      <c r="Z530" s="799"/>
    </row>
    <row r="531" ht="49.5" customHeight="1">
      <c r="A531" s="799"/>
      <c r="B531" s="799"/>
      <c r="C531" s="799"/>
      <c r="D531" s="799"/>
      <c r="E531" s="799"/>
      <c r="F531" s="799"/>
      <c r="G531" s="799"/>
      <c r="H531" s="799"/>
      <c r="I531" s="799"/>
      <c r="J531" s="799"/>
      <c r="K531" s="799"/>
      <c r="L531" s="885"/>
      <c r="M531" s="799"/>
      <c r="N531" s="799"/>
      <c r="O531" s="799"/>
      <c r="P531" s="799"/>
      <c r="Q531" s="799"/>
      <c r="R531" s="799"/>
      <c r="S531" s="799"/>
      <c r="T531" s="799"/>
      <c r="U531" s="799"/>
      <c r="V531" s="799"/>
      <c r="W531" s="799"/>
      <c r="X531" s="799"/>
      <c r="Y531" s="799"/>
      <c r="Z531" s="799"/>
    </row>
    <row r="532" ht="49.5" customHeight="1">
      <c r="A532" s="799"/>
      <c r="B532" s="799"/>
      <c r="C532" s="799"/>
      <c r="D532" s="799"/>
      <c r="E532" s="799"/>
      <c r="F532" s="799"/>
      <c r="G532" s="799"/>
      <c r="H532" s="799"/>
      <c r="I532" s="799"/>
      <c r="J532" s="799"/>
      <c r="K532" s="799"/>
      <c r="L532" s="885"/>
      <c r="M532" s="799"/>
      <c r="N532" s="799"/>
      <c r="O532" s="799"/>
      <c r="P532" s="799"/>
      <c r="Q532" s="799"/>
      <c r="R532" s="799"/>
      <c r="S532" s="799"/>
      <c r="T532" s="799"/>
      <c r="U532" s="799"/>
      <c r="V532" s="799"/>
      <c r="W532" s="799"/>
      <c r="X532" s="799"/>
      <c r="Y532" s="799"/>
      <c r="Z532" s="799"/>
    </row>
    <row r="533" ht="49.5" customHeight="1">
      <c r="A533" s="799"/>
      <c r="B533" s="799"/>
      <c r="C533" s="799"/>
      <c r="D533" s="799"/>
      <c r="E533" s="799"/>
      <c r="F533" s="799"/>
      <c r="G533" s="799"/>
      <c r="H533" s="799"/>
      <c r="I533" s="799"/>
      <c r="J533" s="799"/>
      <c r="K533" s="799"/>
      <c r="L533" s="885"/>
      <c r="M533" s="799"/>
      <c r="N533" s="799"/>
      <c r="O533" s="799"/>
      <c r="P533" s="799"/>
      <c r="Q533" s="799"/>
      <c r="R533" s="799"/>
      <c r="S533" s="799"/>
      <c r="T533" s="799"/>
      <c r="U533" s="799"/>
      <c r="V533" s="799"/>
      <c r="W533" s="799"/>
      <c r="X533" s="799"/>
      <c r="Y533" s="799"/>
      <c r="Z533" s="799"/>
    </row>
    <row r="534" ht="49.5" customHeight="1">
      <c r="A534" s="799"/>
      <c r="B534" s="799"/>
      <c r="C534" s="799"/>
      <c r="D534" s="799"/>
      <c r="E534" s="799"/>
      <c r="F534" s="799"/>
      <c r="G534" s="799"/>
      <c r="H534" s="799"/>
      <c r="I534" s="799"/>
      <c r="J534" s="799"/>
      <c r="K534" s="799"/>
      <c r="L534" s="885"/>
      <c r="M534" s="799"/>
      <c r="N534" s="799"/>
      <c r="O534" s="799"/>
      <c r="P534" s="799"/>
      <c r="Q534" s="799"/>
      <c r="R534" s="799"/>
      <c r="S534" s="799"/>
      <c r="T534" s="799"/>
      <c r="U534" s="799"/>
      <c r="V534" s="799"/>
      <c r="W534" s="799"/>
      <c r="X534" s="799"/>
      <c r="Y534" s="799"/>
      <c r="Z534" s="799"/>
    </row>
    <row r="535" ht="49.5" customHeight="1">
      <c r="A535" s="799"/>
      <c r="B535" s="799"/>
      <c r="C535" s="799"/>
      <c r="D535" s="799"/>
      <c r="E535" s="799"/>
      <c r="F535" s="799"/>
      <c r="G535" s="799"/>
      <c r="H535" s="799"/>
      <c r="I535" s="799"/>
      <c r="J535" s="799"/>
      <c r="K535" s="799"/>
      <c r="L535" s="885"/>
      <c r="M535" s="799"/>
      <c r="N535" s="799"/>
      <c r="O535" s="799"/>
      <c r="P535" s="799"/>
      <c r="Q535" s="799"/>
      <c r="R535" s="799"/>
      <c r="S535" s="799"/>
      <c r="T535" s="799"/>
      <c r="U535" s="799"/>
      <c r="V535" s="799"/>
      <c r="W535" s="799"/>
      <c r="X535" s="799"/>
      <c r="Y535" s="799"/>
      <c r="Z535" s="799"/>
    </row>
    <row r="536" ht="49.5" customHeight="1">
      <c r="A536" s="799"/>
      <c r="B536" s="799"/>
      <c r="C536" s="799"/>
      <c r="D536" s="799"/>
      <c r="E536" s="799"/>
      <c r="F536" s="799"/>
      <c r="G536" s="799"/>
      <c r="H536" s="799"/>
      <c r="I536" s="799"/>
      <c r="J536" s="799"/>
      <c r="K536" s="799"/>
      <c r="L536" s="885"/>
      <c r="M536" s="799"/>
      <c r="N536" s="799"/>
      <c r="O536" s="799"/>
      <c r="P536" s="799"/>
      <c r="Q536" s="799"/>
      <c r="R536" s="799"/>
      <c r="S536" s="799"/>
      <c r="T536" s="799"/>
      <c r="U536" s="799"/>
      <c r="V536" s="799"/>
      <c r="W536" s="799"/>
      <c r="X536" s="799"/>
      <c r="Y536" s="799"/>
      <c r="Z536" s="799"/>
    </row>
    <row r="537" ht="49.5" customHeight="1">
      <c r="A537" s="799"/>
      <c r="B537" s="799"/>
      <c r="C537" s="799"/>
      <c r="D537" s="799"/>
      <c r="E537" s="799"/>
      <c r="F537" s="799"/>
      <c r="G537" s="799"/>
      <c r="H537" s="799"/>
      <c r="I537" s="799"/>
      <c r="J537" s="799"/>
      <c r="K537" s="799"/>
      <c r="L537" s="885"/>
      <c r="M537" s="799"/>
      <c r="N537" s="799"/>
      <c r="O537" s="799"/>
      <c r="P537" s="799"/>
      <c r="Q537" s="799"/>
      <c r="R537" s="799"/>
      <c r="S537" s="799"/>
      <c r="T537" s="799"/>
      <c r="U537" s="799"/>
      <c r="V537" s="799"/>
      <c r="W537" s="799"/>
      <c r="X537" s="799"/>
      <c r="Y537" s="799"/>
      <c r="Z537" s="799"/>
    </row>
    <row r="538" ht="49.5" customHeight="1">
      <c r="A538" s="799"/>
      <c r="B538" s="799"/>
      <c r="C538" s="799"/>
      <c r="D538" s="799"/>
      <c r="E538" s="799"/>
      <c r="F538" s="799"/>
      <c r="G538" s="799"/>
      <c r="H538" s="799"/>
      <c r="I538" s="799"/>
      <c r="J538" s="799"/>
      <c r="K538" s="799"/>
      <c r="L538" s="885"/>
      <c r="M538" s="799"/>
      <c r="N538" s="799"/>
      <c r="O538" s="799"/>
      <c r="P538" s="799"/>
      <c r="Q538" s="799"/>
      <c r="R538" s="799"/>
      <c r="S538" s="799"/>
      <c r="T538" s="799"/>
      <c r="U538" s="799"/>
      <c r="V538" s="799"/>
      <c r="W538" s="799"/>
      <c r="X538" s="799"/>
      <c r="Y538" s="799"/>
      <c r="Z538" s="799"/>
    </row>
    <row r="539" ht="49.5" customHeight="1">
      <c r="A539" s="799"/>
      <c r="B539" s="799"/>
      <c r="C539" s="799"/>
      <c r="D539" s="799"/>
      <c r="E539" s="799"/>
      <c r="F539" s="799"/>
      <c r="G539" s="799"/>
      <c r="H539" s="799"/>
      <c r="I539" s="799"/>
      <c r="J539" s="799"/>
      <c r="K539" s="799"/>
      <c r="L539" s="885"/>
      <c r="M539" s="799"/>
      <c r="N539" s="799"/>
      <c r="O539" s="799"/>
      <c r="P539" s="799"/>
      <c r="Q539" s="799"/>
      <c r="R539" s="799"/>
      <c r="S539" s="799"/>
      <c r="T539" s="799"/>
      <c r="U539" s="799"/>
      <c r="V539" s="799"/>
      <c r="W539" s="799"/>
      <c r="X539" s="799"/>
      <c r="Y539" s="799"/>
      <c r="Z539" s="799"/>
    </row>
    <row r="540" ht="49.5" customHeight="1">
      <c r="A540" s="799"/>
      <c r="B540" s="799"/>
      <c r="C540" s="799"/>
      <c r="D540" s="799"/>
      <c r="E540" s="799"/>
      <c r="F540" s="799"/>
      <c r="G540" s="799"/>
      <c r="H540" s="799"/>
      <c r="I540" s="799"/>
      <c r="J540" s="799"/>
      <c r="K540" s="799"/>
      <c r="L540" s="885"/>
      <c r="M540" s="799"/>
      <c r="N540" s="799"/>
      <c r="O540" s="799"/>
      <c r="P540" s="799"/>
      <c r="Q540" s="799"/>
      <c r="R540" s="799"/>
      <c r="S540" s="799"/>
      <c r="T540" s="799"/>
      <c r="U540" s="799"/>
      <c r="V540" s="799"/>
      <c r="W540" s="799"/>
      <c r="X540" s="799"/>
      <c r="Y540" s="799"/>
      <c r="Z540" s="799"/>
    </row>
    <row r="541" ht="49.5" customHeight="1">
      <c r="A541" s="799"/>
      <c r="B541" s="799"/>
      <c r="C541" s="799"/>
      <c r="D541" s="799"/>
      <c r="E541" s="799"/>
      <c r="F541" s="799"/>
      <c r="G541" s="799"/>
      <c r="H541" s="799"/>
      <c r="I541" s="799"/>
      <c r="J541" s="799"/>
      <c r="K541" s="799"/>
      <c r="L541" s="885"/>
      <c r="M541" s="799"/>
      <c r="N541" s="799"/>
      <c r="O541" s="799"/>
      <c r="P541" s="799"/>
      <c r="Q541" s="799"/>
      <c r="R541" s="799"/>
      <c r="S541" s="799"/>
      <c r="T541" s="799"/>
      <c r="U541" s="799"/>
      <c r="V541" s="799"/>
      <c r="W541" s="799"/>
      <c r="X541" s="799"/>
      <c r="Y541" s="799"/>
      <c r="Z541" s="799"/>
    </row>
    <row r="542" ht="49.5" customHeight="1">
      <c r="A542" s="799"/>
      <c r="B542" s="799"/>
      <c r="C542" s="799"/>
      <c r="D542" s="799"/>
      <c r="E542" s="799"/>
      <c r="F542" s="799"/>
      <c r="G542" s="799"/>
      <c r="H542" s="799"/>
      <c r="I542" s="799"/>
      <c r="J542" s="799"/>
      <c r="K542" s="799"/>
      <c r="L542" s="885"/>
      <c r="M542" s="799"/>
      <c r="N542" s="799"/>
      <c r="O542" s="799"/>
      <c r="P542" s="799"/>
      <c r="Q542" s="799"/>
      <c r="R542" s="799"/>
      <c r="S542" s="799"/>
      <c r="T542" s="799"/>
      <c r="U542" s="799"/>
      <c r="V542" s="799"/>
      <c r="W542" s="799"/>
      <c r="X542" s="799"/>
      <c r="Y542" s="799"/>
      <c r="Z542" s="799"/>
    </row>
    <row r="543" ht="49.5" customHeight="1">
      <c r="A543" s="799"/>
      <c r="B543" s="799"/>
      <c r="C543" s="799"/>
      <c r="D543" s="799"/>
      <c r="E543" s="799"/>
      <c r="F543" s="799"/>
      <c r="G543" s="799"/>
      <c r="H543" s="799"/>
      <c r="I543" s="799"/>
      <c r="J543" s="799"/>
      <c r="K543" s="799"/>
      <c r="L543" s="885"/>
      <c r="M543" s="799"/>
      <c r="N543" s="799"/>
      <c r="O543" s="799"/>
      <c r="P543" s="799"/>
      <c r="Q543" s="799"/>
      <c r="R543" s="799"/>
      <c r="S543" s="799"/>
      <c r="T543" s="799"/>
      <c r="U543" s="799"/>
      <c r="V543" s="799"/>
      <c r="W543" s="799"/>
      <c r="X543" s="799"/>
      <c r="Y543" s="799"/>
      <c r="Z543" s="799"/>
    </row>
    <row r="544" ht="49.5" customHeight="1">
      <c r="A544" s="799"/>
      <c r="B544" s="799"/>
      <c r="C544" s="799"/>
      <c r="D544" s="799"/>
      <c r="E544" s="799"/>
      <c r="F544" s="799"/>
      <c r="G544" s="799"/>
      <c r="H544" s="799"/>
      <c r="I544" s="799"/>
      <c r="J544" s="799"/>
      <c r="K544" s="799"/>
      <c r="L544" s="885"/>
      <c r="M544" s="799"/>
      <c r="N544" s="799"/>
      <c r="O544" s="799"/>
      <c r="P544" s="799"/>
      <c r="Q544" s="799"/>
      <c r="R544" s="799"/>
      <c r="S544" s="799"/>
      <c r="T544" s="799"/>
      <c r="U544" s="799"/>
      <c r="V544" s="799"/>
      <c r="W544" s="799"/>
      <c r="X544" s="799"/>
      <c r="Y544" s="799"/>
      <c r="Z544" s="799"/>
    </row>
    <row r="545" ht="49.5" customHeight="1">
      <c r="A545" s="799"/>
      <c r="B545" s="799"/>
      <c r="C545" s="799"/>
      <c r="D545" s="799"/>
      <c r="E545" s="799"/>
      <c r="F545" s="799"/>
      <c r="G545" s="799"/>
      <c r="H545" s="799"/>
      <c r="I545" s="799"/>
      <c r="J545" s="799"/>
      <c r="K545" s="799"/>
      <c r="L545" s="885"/>
      <c r="M545" s="799"/>
      <c r="N545" s="799"/>
      <c r="O545" s="799"/>
      <c r="P545" s="799"/>
      <c r="Q545" s="799"/>
      <c r="R545" s="799"/>
      <c r="S545" s="799"/>
      <c r="T545" s="799"/>
      <c r="U545" s="799"/>
      <c r="V545" s="799"/>
      <c r="W545" s="799"/>
      <c r="X545" s="799"/>
      <c r="Y545" s="799"/>
      <c r="Z545" s="799"/>
    </row>
    <row r="546" ht="49.5" customHeight="1">
      <c r="A546" s="799"/>
      <c r="B546" s="799"/>
      <c r="C546" s="799"/>
      <c r="D546" s="799"/>
      <c r="E546" s="799"/>
      <c r="F546" s="799"/>
      <c r="G546" s="799"/>
      <c r="H546" s="799"/>
      <c r="I546" s="799"/>
      <c r="J546" s="799"/>
      <c r="K546" s="799"/>
      <c r="L546" s="885"/>
      <c r="M546" s="799"/>
      <c r="N546" s="799"/>
      <c r="O546" s="799"/>
      <c r="P546" s="799"/>
      <c r="Q546" s="799"/>
      <c r="R546" s="799"/>
      <c r="S546" s="799"/>
      <c r="T546" s="799"/>
      <c r="U546" s="799"/>
      <c r="V546" s="799"/>
      <c r="W546" s="799"/>
      <c r="X546" s="799"/>
      <c r="Y546" s="799"/>
      <c r="Z546" s="799"/>
    </row>
    <row r="547" ht="49.5" customHeight="1">
      <c r="A547" s="799"/>
      <c r="B547" s="799"/>
      <c r="C547" s="799"/>
      <c r="D547" s="799"/>
      <c r="E547" s="799"/>
      <c r="F547" s="799"/>
      <c r="G547" s="799"/>
      <c r="H547" s="799"/>
      <c r="I547" s="799"/>
      <c r="J547" s="799"/>
      <c r="K547" s="799"/>
      <c r="L547" s="885"/>
      <c r="M547" s="799"/>
      <c r="N547" s="799"/>
      <c r="O547" s="799"/>
      <c r="P547" s="799"/>
      <c r="Q547" s="799"/>
      <c r="R547" s="799"/>
      <c r="S547" s="799"/>
      <c r="T547" s="799"/>
      <c r="U547" s="799"/>
      <c r="V547" s="799"/>
      <c r="W547" s="799"/>
      <c r="X547" s="799"/>
      <c r="Y547" s="799"/>
      <c r="Z547" s="799"/>
    </row>
    <row r="548" ht="49.5" customHeight="1">
      <c r="A548" s="799"/>
      <c r="B548" s="799"/>
      <c r="C548" s="799"/>
      <c r="D548" s="799"/>
      <c r="E548" s="799"/>
      <c r="F548" s="799"/>
      <c r="G548" s="799"/>
      <c r="H548" s="799"/>
      <c r="I548" s="799"/>
      <c r="J548" s="799"/>
      <c r="K548" s="799"/>
      <c r="L548" s="885"/>
      <c r="M548" s="799"/>
      <c r="N548" s="799"/>
      <c r="O548" s="799"/>
      <c r="P548" s="799"/>
      <c r="Q548" s="799"/>
      <c r="R548" s="799"/>
      <c r="S548" s="799"/>
      <c r="T548" s="799"/>
      <c r="U548" s="799"/>
      <c r="V548" s="799"/>
      <c r="W548" s="799"/>
      <c r="X548" s="799"/>
      <c r="Y548" s="799"/>
      <c r="Z548" s="799"/>
    </row>
    <row r="549" ht="49.5" customHeight="1">
      <c r="A549" s="799"/>
      <c r="B549" s="799"/>
      <c r="C549" s="799"/>
      <c r="D549" s="799"/>
      <c r="E549" s="799"/>
      <c r="F549" s="799"/>
      <c r="G549" s="799"/>
      <c r="H549" s="799"/>
      <c r="I549" s="799"/>
      <c r="J549" s="799"/>
      <c r="K549" s="799"/>
      <c r="L549" s="885"/>
      <c r="M549" s="799"/>
      <c r="N549" s="799"/>
      <c r="O549" s="799"/>
      <c r="P549" s="799"/>
      <c r="Q549" s="799"/>
      <c r="R549" s="799"/>
      <c r="S549" s="799"/>
      <c r="T549" s="799"/>
      <c r="U549" s="799"/>
      <c r="V549" s="799"/>
      <c r="W549" s="799"/>
      <c r="X549" s="799"/>
      <c r="Y549" s="799"/>
      <c r="Z549" s="799"/>
    </row>
    <row r="550" ht="49.5" customHeight="1">
      <c r="A550" s="799"/>
      <c r="B550" s="799"/>
      <c r="C550" s="799"/>
      <c r="D550" s="799"/>
      <c r="E550" s="799"/>
      <c r="F550" s="799"/>
      <c r="G550" s="799"/>
      <c r="H550" s="799"/>
      <c r="I550" s="799"/>
      <c r="J550" s="799"/>
      <c r="K550" s="799"/>
      <c r="L550" s="885"/>
      <c r="M550" s="799"/>
      <c r="N550" s="799"/>
      <c r="O550" s="799"/>
      <c r="P550" s="799"/>
      <c r="Q550" s="799"/>
      <c r="R550" s="799"/>
      <c r="S550" s="799"/>
      <c r="T550" s="799"/>
      <c r="U550" s="799"/>
      <c r="V550" s="799"/>
      <c r="W550" s="799"/>
      <c r="X550" s="799"/>
      <c r="Y550" s="799"/>
      <c r="Z550" s="799"/>
    </row>
    <row r="551" ht="49.5" customHeight="1">
      <c r="A551" s="799"/>
      <c r="B551" s="799"/>
      <c r="C551" s="799"/>
      <c r="D551" s="799"/>
      <c r="E551" s="799"/>
      <c r="F551" s="799"/>
      <c r="G551" s="799"/>
      <c r="H551" s="799"/>
      <c r="I551" s="799"/>
      <c r="J551" s="799"/>
      <c r="K551" s="799"/>
      <c r="L551" s="885"/>
      <c r="M551" s="799"/>
      <c r="N551" s="799"/>
      <c r="O551" s="799"/>
      <c r="P551" s="799"/>
      <c r="Q551" s="799"/>
      <c r="R551" s="799"/>
      <c r="S551" s="799"/>
      <c r="T551" s="799"/>
      <c r="U551" s="799"/>
      <c r="V551" s="799"/>
      <c r="W551" s="799"/>
      <c r="X551" s="799"/>
      <c r="Y551" s="799"/>
      <c r="Z551" s="799"/>
    </row>
    <row r="552" ht="49.5" customHeight="1">
      <c r="A552" s="799"/>
      <c r="B552" s="799"/>
      <c r="C552" s="799"/>
      <c r="D552" s="799"/>
      <c r="E552" s="799"/>
      <c r="F552" s="799"/>
      <c r="G552" s="799"/>
      <c r="H552" s="799"/>
      <c r="I552" s="799"/>
      <c r="J552" s="799"/>
      <c r="K552" s="799"/>
      <c r="L552" s="885"/>
      <c r="M552" s="799"/>
      <c r="N552" s="799"/>
      <c r="O552" s="799"/>
      <c r="P552" s="799"/>
      <c r="Q552" s="799"/>
      <c r="R552" s="799"/>
      <c r="S552" s="799"/>
      <c r="T552" s="799"/>
      <c r="U552" s="799"/>
      <c r="V552" s="799"/>
      <c r="W552" s="799"/>
      <c r="X552" s="799"/>
      <c r="Y552" s="799"/>
      <c r="Z552" s="799"/>
    </row>
    <row r="553" ht="49.5" customHeight="1">
      <c r="A553" s="799"/>
      <c r="B553" s="799"/>
      <c r="C553" s="799"/>
      <c r="D553" s="799"/>
      <c r="E553" s="799"/>
      <c r="F553" s="799"/>
      <c r="G553" s="799"/>
      <c r="H553" s="799"/>
      <c r="I553" s="799"/>
      <c r="J553" s="799"/>
      <c r="K553" s="799"/>
      <c r="L553" s="885"/>
      <c r="M553" s="799"/>
      <c r="N553" s="799"/>
      <c r="O553" s="799"/>
      <c r="P553" s="799"/>
      <c r="Q553" s="799"/>
      <c r="R553" s="799"/>
      <c r="S553" s="799"/>
      <c r="T553" s="799"/>
      <c r="U553" s="799"/>
      <c r="V553" s="799"/>
      <c r="W553" s="799"/>
      <c r="X553" s="799"/>
      <c r="Y553" s="799"/>
      <c r="Z553" s="799"/>
    </row>
    <row r="554" ht="49.5" customHeight="1">
      <c r="A554" s="799"/>
      <c r="B554" s="799"/>
      <c r="C554" s="799"/>
      <c r="D554" s="799"/>
      <c r="E554" s="799"/>
      <c r="F554" s="799"/>
      <c r="G554" s="799"/>
      <c r="H554" s="799"/>
      <c r="I554" s="799"/>
      <c r="J554" s="799"/>
      <c r="K554" s="799"/>
      <c r="L554" s="885"/>
      <c r="M554" s="799"/>
      <c r="N554" s="799"/>
      <c r="O554" s="799"/>
      <c r="P554" s="799"/>
      <c r="Q554" s="799"/>
      <c r="R554" s="799"/>
      <c r="S554" s="799"/>
      <c r="T554" s="799"/>
      <c r="U554" s="799"/>
      <c r="V554" s="799"/>
      <c r="W554" s="799"/>
      <c r="X554" s="799"/>
      <c r="Y554" s="799"/>
      <c r="Z554" s="799"/>
    </row>
    <row r="555" ht="49.5" customHeight="1">
      <c r="A555" s="799"/>
      <c r="B555" s="799"/>
      <c r="C555" s="799"/>
      <c r="D555" s="799"/>
      <c r="E555" s="799"/>
      <c r="F555" s="799"/>
      <c r="G555" s="799"/>
      <c r="H555" s="799"/>
      <c r="I555" s="799"/>
      <c r="J555" s="799"/>
      <c r="K555" s="799"/>
      <c r="L555" s="885"/>
      <c r="M555" s="799"/>
      <c r="N555" s="799"/>
      <c r="O555" s="799"/>
      <c r="P555" s="799"/>
      <c r="Q555" s="799"/>
      <c r="R555" s="799"/>
      <c r="S555" s="799"/>
      <c r="T555" s="799"/>
      <c r="U555" s="799"/>
      <c r="V555" s="799"/>
      <c r="W555" s="799"/>
      <c r="X555" s="799"/>
      <c r="Y555" s="799"/>
      <c r="Z555" s="799"/>
    </row>
    <row r="556" ht="49.5" customHeight="1">
      <c r="A556" s="799"/>
      <c r="B556" s="799"/>
      <c r="C556" s="799"/>
      <c r="D556" s="799"/>
      <c r="E556" s="799"/>
      <c r="F556" s="799"/>
      <c r="G556" s="799"/>
      <c r="H556" s="799"/>
      <c r="I556" s="799"/>
      <c r="J556" s="799"/>
      <c r="K556" s="799"/>
      <c r="L556" s="885"/>
      <c r="M556" s="799"/>
      <c r="N556" s="799"/>
      <c r="O556" s="799"/>
      <c r="P556" s="799"/>
      <c r="Q556" s="799"/>
      <c r="R556" s="799"/>
      <c r="S556" s="799"/>
      <c r="T556" s="799"/>
      <c r="U556" s="799"/>
      <c r="V556" s="799"/>
      <c r="W556" s="799"/>
      <c r="X556" s="799"/>
      <c r="Y556" s="799"/>
      <c r="Z556" s="799"/>
    </row>
    <row r="557" ht="49.5" customHeight="1">
      <c r="A557" s="799"/>
      <c r="B557" s="799"/>
      <c r="C557" s="799"/>
      <c r="D557" s="799"/>
      <c r="E557" s="799"/>
      <c r="F557" s="799"/>
      <c r="G557" s="799"/>
      <c r="H557" s="799"/>
      <c r="I557" s="799"/>
      <c r="J557" s="799"/>
      <c r="K557" s="799"/>
      <c r="L557" s="885"/>
      <c r="M557" s="799"/>
      <c r="N557" s="799"/>
      <c r="O557" s="799"/>
      <c r="P557" s="799"/>
      <c r="Q557" s="799"/>
      <c r="R557" s="799"/>
      <c r="S557" s="799"/>
      <c r="T557" s="799"/>
      <c r="U557" s="799"/>
      <c r="V557" s="799"/>
      <c r="W557" s="799"/>
      <c r="X557" s="799"/>
      <c r="Y557" s="799"/>
      <c r="Z557" s="799"/>
    </row>
    <row r="558" ht="49.5" customHeight="1">
      <c r="A558" s="799"/>
      <c r="B558" s="799"/>
      <c r="C558" s="799"/>
      <c r="D558" s="799"/>
      <c r="E558" s="799"/>
      <c r="F558" s="799"/>
      <c r="G558" s="799"/>
      <c r="H558" s="799"/>
      <c r="I558" s="799"/>
      <c r="J558" s="799"/>
      <c r="K558" s="799"/>
      <c r="L558" s="885"/>
      <c r="M558" s="799"/>
      <c r="N558" s="799"/>
      <c r="O558" s="799"/>
      <c r="P558" s="799"/>
      <c r="Q558" s="799"/>
      <c r="R558" s="799"/>
      <c r="S558" s="799"/>
      <c r="T558" s="799"/>
      <c r="U558" s="799"/>
      <c r="V558" s="799"/>
      <c r="W558" s="799"/>
      <c r="X558" s="799"/>
      <c r="Y558" s="799"/>
      <c r="Z558" s="799"/>
    </row>
    <row r="559" ht="49.5" customHeight="1">
      <c r="A559" s="799"/>
      <c r="B559" s="799"/>
      <c r="C559" s="799"/>
      <c r="D559" s="799"/>
      <c r="E559" s="799"/>
      <c r="F559" s="799"/>
      <c r="G559" s="799"/>
      <c r="H559" s="799"/>
      <c r="I559" s="799"/>
      <c r="J559" s="799"/>
      <c r="K559" s="799"/>
      <c r="L559" s="885"/>
      <c r="M559" s="799"/>
      <c r="N559" s="799"/>
      <c r="O559" s="799"/>
      <c r="P559" s="799"/>
      <c r="Q559" s="799"/>
      <c r="R559" s="799"/>
      <c r="S559" s="799"/>
      <c r="T559" s="799"/>
      <c r="U559" s="799"/>
      <c r="V559" s="799"/>
      <c r="W559" s="799"/>
      <c r="X559" s="799"/>
      <c r="Y559" s="799"/>
      <c r="Z559" s="799"/>
    </row>
    <row r="560" ht="49.5" customHeight="1">
      <c r="A560" s="799"/>
      <c r="B560" s="799"/>
      <c r="C560" s="799"/>
      <c r="D560" s="799"/>
      <c r="E560" s="799"/>
      <c r="F560" s="799"/>
      <c r="G560" s="799"/>
      <c r="H560" s="799"/>
      <c r="I560" s="799"/>
      <c r="J560" s="799"/>
      <c r="K560" s="799"/>
      <c r="L560" s="885"/>
      <c r="M560" s="799"/>
      <c r="N560" s="799"/>
      <c r="O560" s="799"/>
      <c r="P560" s="799"/>
      <c r="Q560" s="799"/>
      <c r="R560" s="799"/>
      <c r="S560" s="799"/>
      <c r="T560" s="799"/>
      <c r="U560" s="799"/>
      <c r="V560" s="799"/>
      <c r="W560" s="799"/>
      <c r="X560" s="799"/>
      <c r="Y560" s="799"/>
      <c r="Z560" s="799"/>
    </row>
    <row r="561" ht="49.5" customHeight="1">
      <c r="A561" s="799"/>
      <c r="B561" s="799"/>
      <c r="C561" s="799"/>
      <c r="D561" s="799"/>
      <c r="E561" s="799"/>
      <c r="F561" s="799"/>
      <c r="G561" s="799"/>
      <c r="H561" s="799"/>
      <c r="I561" s="799"/>
      <c r="J561" s="799"/>
      <c r="K561" s="799"/>
      <c r="L561" s="885"/>
      <c r="M561" s="799"/>
      <c r="N561" s="799"/>
      <c r="O561" s="799"/>
      <c r="P561" s="799"/>
      <c r="Q561" s="799"/>
      <c r="R561" s="799"/>
      <c r="S561" s="799"/>
      <c r="T561" s="799"/>
      <c r="U561" s="799"/>
      <c r="V561" s="799"/>
      <c r="W561" s="799"/>
      <c r="X561" s="799"/>
      <c r="Y561" s="799"/>
      <c r="Z561" s="799"/>
    </row>
    <row r="562" ht="49.5" customHeight="1">
      <c r="A562" s="799"/>
      <c r="B562" s="799"/>
      <c r="C562" s="799"/>
      <c r="D562" s="799"/>
      <c r="E562" s="799"/>
      <c r="F562" s="799"/>
      <c r="G562" s="799"/>
      <c r="H562" s="799"/>
      <c r="I562" s="799"/>
      <c r="J562" s="799"/>
      <c r="K562" s="799"/>
      <c r="L562" s="885"/>
      <c r="M562" s="799"/>
      <c r="N562" s="799"/>
      <c r="O562" s="799"/>
      <c r="P562" s="799"/>
      <c r="Q562" s="799"/>
      <c r="R562" s="799"/>
      <c r="S562" s="799"/>
      <c r="T562" s="799"/>
      <c r="U562" s="799"/>
      <c r="V562" s="799"/>
      <c r="W562" s="799"/>
      <c r="X562" s="799"/>
      <c r="Y562" s="799"/>
      <c r="Z562" s="799"/>
    </row>
    <row r="563" ht="49.5" customHeight="1">
      <c r="A563" s="799"/>
      <c r="B563" s="799"/>
      <c r="C563" s="799"/>
      <c r="D563" s="799"/>
      <c r="E563" s="799"/>
      <c r="F563" s="799"/>
      <c r="G563" s="799"/>
      <c r="H563" s="799"/>
      <c r="I563" s="799"/>
      <c r="J563" s="799"/>
      <c r="K563" s="799"/>
      <c r="L563" s="885"/>
      <c r="M563" s="799"/>
      <c r="N563" s="799"/>
      <c r="O563" s="799"/>
      <c r="P563" s="799"/>
      <c r="Q563" s="799"/>
      <c r="R563" s="799"/>
      <c r="S563" s="799"/>
      <c r="T563" s="799"/>
      <c r="U563" s="799"/>
      <c r="V563" s="799"/>
      <c r="W563" s="799"/>
      <c r="X563" s="799"/>
      <c r="Y563" s="799"/>
      <c r="Z563" s="799"/>
    </row>
    <row r="564" ht="49.5" customHeight="1">
      <c r="A564" s="799"/>
      <c r="B564" s="799"/>
      <c r="C564" s="799"/>
      <c r="D564" s="799"/>
      <c r="E564" s="799"/>
      <c r="F564" s="799"/>
      <c r="G564" s="799"/>
      <c r="H564" s="799"/>
      <c r="I564" s="799"/>
      <c r="J564" s="799"/>
      <c r="K564" s="799"/>
      <c r="L564" s="885"/>
      <c r="M564" s="799"/>
      <c r="N564" s="799"/>
      <c r="O564" s="799"/>
      <c r="P564" s="799"/>
      <c r="Q564" s="799"/>
      <c r="R564" s="799"/>
      <c r="S564" s="799"/>
      <c r="T564" s="799"/>
      <c r="U564" s="799"/>
      <c r="V564" s="799"/>
      <c r="W564" s="799"/>
      <c r="X564" s="799"/>
      <c r="Y564" s="799"/>
      <c r="Z564" s="799"/>
    </row>
    <row r="565" ht="49.5" customHeight="1">
      <c r="A565" s="799"/>
      <c r="B565" s="799"/>
      <c r="C565" s="799"/>
      <c r="D565" s="799"/>
      <c r="E565" s="799"/>
      <c r="F565" s="799"/>
      <c r="G565" s="799"/>
      <c r="H565" s="799"/>
      <c r="I565" s="799"/>
      <c r="J565" s="799"/>
      <c r="K565" s="799"/>
      <c r="L565" s="885"/>
      <c r="M565" s="799"/>
      <c r="N565" s="799"/>
      <c r="O565" s="799"/>
      <c r="P565" s="799"/>
      <c r="Q565" s="799"/>
      <c r="R565" s="799"/>
      <c r="S565" s="799"/>
      <c r="T565" s="799"/>
      <c r="U565" s="799"/>
      <c r="V565" s="799"/>
      <c r="W565" s="799"/>
      <c r="X565" s="799"/>
      <c r="Y565" s="799"/>
      <c r="Z565" s="799"/>
    </row>
    <row r="566" ht="49.5" customHeight="1">
      <c r="A566" s="799"/>
      <c r="B566" s="799"/>
      <c r="C566" s="799"/>
      <c r="D566" s="799"/>
      <c r="E566" s="799"/>
      <c r="F566" s="799"/>
      <c r="G566" s="799"/>
      <c r="H566" s="799"/>
      <c r="I566" s="799"/>
      <c r="J566" s="799"/>
      <c r="K566" s="799"/>
      <c r="L566" s="885"/>
      <c r="M566" s="799"/>
      <c r="N566" s="799"/>
      <c r="O566" s="799"/>
      <c r="P566" s="799"/>
      <c r="Q566" s="799"/>
      <c r="R566" s="799"/>
      <c r="S566" s="799"/>
      <c r="T566" s="799"/>
      <c r="U566" s="799"/>
      <c r="V566" s="799"/>
      <c r="W566" s="799"/>
      <c r="X566" s="799"/>
      <c r="Y566" s="799"/>
      <c r="Z566" s="799"/>
    </row>
    <row r="567" ht="49.5" customHeight="1">
      <c r="A567" s="799"/>
      <c r="B567" s="799"/>
      <c r="C567" s="799"/>
      <c r="D567" s="799"/>
      <c r="E567" s="799"/>
      <c r="F567" s="799"/>
      <c r="G567" s="799"/>
      <c r="H567" s="799"/>
      <c r="I567" s="799"/>
      <c r="J567" s="799"/>
      <c r="K567" s="799"/>
      <c r="L567" s="885"/>
      <c r="M567" s="799"/>
      <c r="N567" s="799"/>
      <c r="O567" s="799"/>
      <c r="P567" s="799"/>
      <c r="Q567" s="799"/>
      <c r="R567" s="799"/>
      <c r="S567" s="799"/>
      <c r="T567" s="799"/>
      <c r="U567" s="799"/>
      <c r="V567" s="799"/>
      <c r="W567" s="799"/>
      <c r="X567" s="799"/>
      <c r="Y567" s="799"/>
      <c r="Z567" s="799"/>
    </row>
    <row r="568" ht="49.5" customHeight="1">
      <c r="A568" s="799"/>
      <c r="B568" s="799"/>
      <c r="C568" s="799"/>
      <c r="D568" s="799"/>
      <c r="E568" s="799"/>
      <c r="F568" s="799"/>
      <c r="G568" s="799"/>
      <c r="H568" s="799"/>
      <c r="I568" s="799"/>
      <c r="J568" s="799"/>
      <c r="K568" s="799"/>
      <c r="L568" s="885"/>
      <c r="M568" s="799"/>
      <c r="N568" s="799"/>
      <c r="O568" s="799"/>
      <c r="P568" s="799"/>
      <c r="Q568" s="799"/>
      <c r="R568" s="799"/>
      <c r="S568" s="799"/>
      <c r="T568" s="799"/>
      <c r="U568" s="799"/>
      <c r="V568" s="799"/>
      <c r="W568" s="799"/>
      <c r="X568" s="799"/>
      <c r="Y568" s="799"/>
      <c r="Z568" s="799"/>
    </row>
    <row r="569" ht="49.5" customHeight="1">
      <c r="A569" s="799"/>
      <c r="B569" s="799"/>
      <c r="C569" s="799"/>
      <c r="D569" s="799"/>
      <c r="E569" s="799"/>
      <c r="F569" s="799"/>
      <c r="G569" s="799"/>
      <c r="H569" s="799"/>
      <c r="I569" s="799"/>
      <c r="J569" s="799"/>
      <c r="K569" s="799"/>
      <c r="L569" s="885"/>
      <c r="M569" s="799"/>
      <c r="N569" s="799"/>
      <c r="O569" s="799"/>
      <c r="P569" s="799"/>
      <c r="Q569" s="799"/>
      <c r="R569" s="799"/>
      <c r="S569" s="799"/>
      <c r="T569" s="799"/>
      <c r="U569" s="799"/>
      <c r="V569" s="799"/>
      <c r="W569" s="799"/>
      <c r="X569" s="799"/>
      <c r="Y569" s="799"/>
      <c r="Z569" s="799"/>
    </row>
    <row r="570" ht="49.5" customHeight="1">
      <c r="A570" s="799"/>
      <c r="B570" s="799"/>
      <c r="C570" s="799"/>
      <c r="D570" s="799"/>
      <c r="E570" s="799"/>
      <c r="F570" s="799"/>
      <c r="G570" s="799"/>
      <c r="H570" s="799"/>
      <c r="I570" s="799"/>
      <c r="J570" s="799"/>
      <c r="K570" s="799"/>
      <c r="L570" s="885"/>
      <c r="M570" s="799"/>
      <c r="N570" s="799"/>
      <c r="O570" s="799"/>
      <c r="P570" s="799"/>
      <c r="Q570" s="799"/>
      <c r="R570" s="799"/>
      <c r="S570" s="799"/>
      <c r="T570" s="799"/>
      <c r="U570" s="799"/>
      <c r="V570" s="799"/>
      <c r="W570" s="799"/>
      <c r="X570" s="799"/>
      <c r="Y570" s="799"/>
      <c r="Z570" s="799"/>
    </row>
    <row r="571" ht="49.5" customHeight="1">
      <c r="A571" s="799"/>
      <c r="B571" s="799"/>
      <c r="C571" s="799"/>
      <c r="D571" s="799"/>
      <c r="E571" s="799"/>
      <c r="F571" s="799"/>
      <c r="G571" s="799"/>
      <c r="H571" s="799"/>
      <c r="I571" s="799"/>
      <c r="J571" s="799"/>
      <c r="K571" s="799"/>
      <c r="L571" s="885"/>
      <c r="M571" s="799"/>
      <c r="N571" s="799"/>
      <c r="O571" s="799"/>
      <c r="P571" s="799"/>
      <c r="Q571" s="799"/>
      <c r="R571" s="799"/>
      <c r="S571" s="799"/>
      <c r="T571" s="799"/>
      <c r="U571" s="799"/>
      <c r="V571" s="799"/>
      <c r="W571" s="799"/>
      <c r="X571" s="799"/>
      <c r="Y571" s="799"/>
      <c r="Z571" s="799"/>
    </row>
    <row r="572" ht="49.5" customHeight="1">
      <c r="A572" s="799"/>
      <c r="B572" s="799"/>
      <c r="C572" s="799"/>
      <c r="D572" s="799"/>
      <c r="E572" s="799"/>
      <c r="F572" s="799"/>
      <c r="G572" s="799"/>
      <c r="H572" s="799"/>
      <c r="I572" s="799"/>
      <c r="J572" s="799"/>
      <c r="K572" s="799"/>
      <c r="L572" s="885"/>
      <c r="M572" s="799"/>
      <c r="N572" s="799"/>
      <c r="O572" s="799"/>
      <c r="P572" s="799"/>
      <c r="Q572" s="799"/>
      <c r="R572" s="799"/>
      <c r="S572" s="799"/>
      <c r="T572" s="799"/>
      <c r="U572" s="799"/>
      <c r="V572" s="799"/>
      <c r="W572" s="799"/>
      <c r="X572" s="799"/>
      <c r="Y572" s="799"/>
      <c r="Z572" s="799"/>
    </row>
    <row r="573" ht="49.5" customHeight="1">
      <c r="A573" s="799"/>
      <c r="B573" s="799"/>
      <c r="C573" s="799"/>
      <c r="D573" s="799"/>
      <c r="E573" s="799"/>
      <c r="F573" s="799"/>
      <c r="G573" s="799"/>
      <c r="H573" s="799"/>
      <c r="I573" s="799"/>
      <c r="J573" s="799"/>
      <c r="K573" s="799"/>
      <c r="L573" s="885"/>
      <c r="M573" s="799"/>
      <c r="N573" s="799"/>
      <c r="O573" s="799"/>
      <c r="P573" s="799"/>
      <c r="Q573" s="799"/>
      <c r="R573" s="799"/>
      <c r="S573" s="799"/>
      <c r="T573" s="799"/>
      <c r="U573" s="799"/>
      <c r="V573" s="799"/>
      <c r="W573" s="799"/>
      <c r="X573" s="799"/>
      <c r="Y573" s="799"/>
      <c r="Z573" s="799"/>
    </row>
    <row r="574" ht="49.5" customHeight="1">
      <c r="A574" s="799"/>
      <c r="B574" s="799"/>
      <c r="C574" s="799"/>
      <c r="D574" s="799"/>
      <c r="E574" s="799"/>
      <c r="F574" s="799"/>
      <c r="G574" s="799"/>
      <c r="H574" s="799"/>
      <c r="I574" s="799"/>
      <c r="J574" s="799"/>
      <c r="K574" s="799"/>
      <c r="L574" s="885"/>
      <c r="M574" s="799"/>
      <c r="N574" s="799"/>
      <c r="O574" s="799"/>
      <c r="P574" s="799"/>
      <c r="Q574" s="799"/>
      <c r="R574" s="799"/>
      <c r="S574" s="799"/>
      <c r="T574" s="799"/>
      <c r="U574" s="799"/>
      <c r="V574" s="799"/>
      <c r="W574" s="799"/>
      <c r="X574" s="799"/>
      <c r="Y574" s="799"/>
      <c r="Z574" s="799"/>
    </row>
    <row r="575" ht="49.5" customHeight="1">
      <c r="A575" s="799"/>
      <c r="B575" s="799"/>
      <c r="C575" s="799"/>
      <c r="D575" s="799"/>
      <c r="E575" s="799"/>
      <c r="F575" s="799"/>
      <c r="G575" s="799"/>
      <c r="H575" s="799"/>
      <c r="I575" s="799"/>
      <c r="J575" s="799"/>
      <c r="K575" s="799"/>
      <c r="L575" s="885"/>
      <c r="M575" s="799"/>
      <c r="N575" s="799"/>
      <c r="O575" s="799"/>
      <c r="P575" s="799"/>
      <c r="Q575" s="799"/>
      <c r="R575" s="799"/>
      <c r="S575" s="799"/>
      <c r="T575" s="799"/>
      <c r="U575" s="799"/>
      <c r="V575" s="799"/>
      <c r="W575" s="799"/>
      <c r="X575" s="799"/>
      <c r="Y575" s="799"/>
      <c r="Z575" s="799"/>
    </row>
    <row r="576" ht="49.5" customHeight="1">
      <c r="A576" s="799"/>
      <c r="B576" s="799"/>
      <c r="C576" s="799"/>
      <c r="D576" s="799"/>
      <c r="E576" s="799"/>
      <c r="F576" s="799"/>
      <c r="G576" s="799"/>
      <c r="H576" s="799"/>
      <c r="I576" s="799"/>
      <c r="J576" s="799"/>
      <c r="K576" s="799"/>
      <c r="L576" s="885"/>
      <c r="M576" s="799"/>
      <c r="N576" s="799"/>
      <c r="O576" s="799"/>
      <c r="P576" s="799"/>
      <c r="Q576" s="799"/>
      <c r="R576" s="799"/>
      <c r="S576" s="799"/>
      <c r="T576" s="799"/>
      <c r="U576" s="799"/>
      <c r="V576" s="799"/>
      <c r="W576" s="799"/>
      <c r="X576" s="799"/>
      <c r="Y576" s="799"/>
      <c r="Z576" s="799"/>
    </row>
    <row r="577" ht="49.5" customHeight="1">
      <c r="A577" s="799"/>
      <c r="B577" s="799"/>
      <c r="C577" s="799"/>
      <c r="D577" s="799"/>
      <c r="E577" s="799"/>
      <c r="F577" s="799"/>
      <c r="G577" s="799"/>
      <c r="H577" s="799"/>
      <c r="I577" s="799"/>
      <c r="J577" s="799"/>
      <c r="K577" s="799"/>
      <c r="L577" s="885"/>
      <c r="M577" s="799"/>
      <c r="N577" s="799"/>
      <c r="O577" s="799"/>
      <c r="P577" s="799"/>
      <c r="Q577" s="799"/>
      <c r="R577" s="799"/>
      <c r="S577" s="799"/>
      <c r="T577" s="799"/>
      <c r="U577" s="799"/>
      <c r="V577" s="799"/>
      <c r="W577" s="799"/>
      <c r="X577" s="799"/>
      <c r="Y577" s="799"/>
      <c r="Z577" s="799"/>
    </row>
    <row r="578" ht="49.5" customHeight="1">
      <c r="A578" s="799"/>
      <c r="B578" s="799"/>
      <c r="C578" s="799"/>
      <c r="D578" s="799"/>
      <c r="E578" s="799"/>
      <c r="F578" s="799"/>
      <c r="G578" s="799"/>
      <c r="H578" s="799"/>
      <c r="I578" s="799"/>
      <c r="J578" s="799"/>
      <c r="K578" s="799"/>
      <c r="L578" s="885"/>
      <c r="M578" s="799"/>
      <c r="N578" s="799"/>
      <c r="O578" s="799"/>
      <c r="P578" s="799"/>
      <c r="Q578" s="799"/>
      <c r="R578" s="799"/>
      <c r="S578" s="799"/>
      <c r="T578" s="799"/>
      <c r="U578" s="799"/>
      <c r="V578" s="799"/>
      <c r="W578" s="799"/>
      <c r="X578" s="799"/>
      <c r="Y578" s="799"/>
      <c r="Z578" s="799"/>
    </row>
    <row r="579" ht="49.5" customHeight="1">
      <c r="A579" s="799"/>
      <c r="B579" s="799"/>
      <c r="C579" s="799"/>
      <c r="D579" s="799"/>
      <c r="E579" s="799"/>
      <c r="F579" s="799"/>
      <c r="G579" s="799"/>
      <c r="H579" s="799"/>
      <c r="I579" s="799"/>
      <c r="J579" s="799"/>
      <c r="K579" s="799"/>
      <c r="L579" s="885"/>
      <c r="M579" s="799"/>
      <c r="N579" s="799"/>
      <c r="O579" s="799"/>
      <c r="P579" s="799"/>
      <c r="Q579" s="799"/>
      <c r="R579" s="799"/>
      <c r="S579" s="799"/>
      <c r="T579" s="799"/>
      <c r="U579" s="799"/>
      <c r="V579" s="799"/>
      <c r="W579" s="799"/>
      <c r="X579" s="799"/>
      <c r="Y579" s="799"/>
      <c r="Z579" s="799"/>
    </row>
    <row r="580" ht="49.5" customHeight="1">
      <c r="A580" s="799"/>
      <c r="B580" s="799"/>
      <c r="C580" s="799"/>
      <c r="D580" s="799"/>
      <c r="E580" s="799"/>
      <c r="F580" s="799"/>
      <c r="G580" s="799"/>
      <c r="H580" s="799"/>
      <c r="I580" s="799"/>
      <c r="J580" s="799"/>
      <c r="K580" s="799"/>
      <c r="L580" s="885"/>
      <c r="M580" s="799"/>
      <c r="N580" s="799"/>
      <c r="O580" s="799"/>
      <c r="P580" s="799"/>
      <c r="Q580" s="799"/>
      <c r="R580" s="799"/>
      <c r="S580" s="799"/>
      <c r="T580" s="799"/>
      <c r="U580" s="799"/>
      <c r="V580" s="799"/>
      <c r="W580" s="799"/>
      <c r="X580" s="799"/>
      <c r="Y580" s="799"/>
      <c r="Z580" s="799"/>
    </row>
    <row r="581" ht="49.5" customHeight="1">
      <c r="A581" s="799"/>
      <c r="B581" s="799"/>
      <c r="C581" s="799"/>
      <c r="D581" s="799"/>
      <c r="E581" s="799"/>
      <c r="F581" s="799"/>
      <c r="G581" s="799"/>
      <c r="H581" s="799"/>
      <c r="I581" s="799"/>
      <c r="J581" s="799"/>
      <c r="K581" s="799"/>
      <c r="L581" s="885"/>
      <c r="M581" s="799"/>
      <c r="N581" s="799"/>
      <c r="O581" s="799"/>
      <c r="P581" s="799"/>
      <c r="Q581" s="799"/>
      <c r="R581" s="799"/>
      <c r="S581" s="799"/>
      <c r="T581" s="799"/>
      <c r="U581" s="799"/>
      <c r="V581" s="799"/>
      <c r="W581" s="799"/>
      <c r="X581" s="799"/>
      <c r="Y581" s="799"/>
      <c r="Z581" s="799"/>
    </row>
    <row r="582" ht="49.5" customHeight="1">
      <c r="A582" s="799"/>
      <c r="B582" s="799"/>
      <c r="C582" s="799"/>
      <c r="D582" s="799"/>
      <c r="E582" s="799"/>
      <c r="F582" s="799"/>
      <c r="G582" s="799"/>
      <c r="H582" s="799"/>
      <c r="I582" s="799"/>
      <c r="J582" s="799"/>
      <c r="K582" s="799"/>
      <c r="L582" s="885"/>
      <c r="M582" s="799"/>
      <c r="N582" s="799"/>
      <c r="O582" s="799"/>
      <c r="P582" s="799"/>
      <c r="Q582" s="799"/>
      <c r="R582" s="799"/>
      <c r="S582" s="799"/>
      <c r="T582" s="799"/>
      <c r="U582" s="799"/>
      <c r="V582" s="799"/>
      <c r="W582" s="799"/>
      <c r="X582" s="799"/>
      <c r="Y582" s="799"/>
      <c r="Z582" s="799"/>
    </row>
    <row r="583" ht="49.5" customHeight="1">
      <c r="A583" s="799"/>
      <c r="B583" s="799"/>
      <c r="C583" s="799"/>
      <c r="D583" s="799"/>
      <c r="E583" s="799"/>
      <c r="F583" s="799"/>
      <c r="G583" s="799"/>
      <c r="H583" s="799"/>
      <c r="I583" s="799"/>
      <c r="J583" s="799"/>
      <c r="K583" s="799"/>
      <c r="L583" s="885"/>
      <c r="M583" s="799"/>
      <c r="N583" s="799"/>
      <c r="O583" s="799"/>
      <c r="P583" s="799"/>
      <c r="Q583" s="799"/>
      <c r="R583" s="799"/>
      <c r="S583" s="799"/>
      <c r="T583" s="799"/>
      <c r="U583" s="799"/>
      <c r="V583" s="799"/>
      <c r="W583" s="799"/>
      <c r="X583" s="799"/>
      <c r="Y583" s="799"/>
      <c r="Z583" s="799"/>
    </row>
    <row r="584" ht="49.5" customHeight="1">
      <c r="A584" s="799"/>
      <c r="B584" s="799"/>
      <c r="C584" s="799"/>
      <c r="D584" s="799"/>
      <c r="E584" s="799"/>
      <c r="F584" s="799"/>
      <c r="G584" s="799"/>
      <c r="H584" s="799"/>
      <c r="I584" s="799"/>
      <c r="J584" s="799"/>
      <c r="K584" s="799"/>
      <c r="L584" s="885"/>
      <c r="M584" s="799"/>
      <c r="N584" s="799"/>
      <c r="O584" s="799"/>
      <c r="P584" s="799"/>
      <c r="Q584" s="799"/>
      <c r="R584" s="799"/>
      <c r="S584" s="799"/>
      <c r="T584" s="799"/>
      <c r="U584" s="799"/>
      <c r="V584" s="799"/>
      <c r="W584" s="799"/>
      <c r="X584" s="799"/>
      <c r="Y584" s="799"/>
      <c r="Z584" s="799"/>
    </row>
    <row r="585" ht="49.5" customHeight="1">
      <c r="A585" s="799"/>
      <c r="B585" s="799"/>
      <c r="C585" s="799"/>
      <c r="D585" s="799"/>
      <c r="E585" s="799"/>
      <c r="F585" s="799"/>
      <c r="G585" s="799"/>
      <c r="H585" s="799"/>
      <c r="I585" s="799"/>
      <c r="J585" s="799"/>
      <c r="K585" s="799"/>
      <c r="L585" s="885"/>
      <c r="M585" s="799"/>
      <c r="N585" s="799"/>
      <c r="O585" s="799"/>
      <c r="P585" s="799"/>
      <c r="Q585" s="799"/>
      <c r="R585" s="799"/>
      <c r="S585" s="799"/>
      <c r="T585" s="799"/>
      <c r="U585" s="799"/>
      <c r="V585" s="799"/>
      <c r="W585" s="799"/>
      <c r="X585" s="799"/>
      <c r="Y585" s="799"/>
      <c r="Z585" s="799"/>
    </row>
    <row r="586" ht="49.5" customHeight="1">
      <c r="A586" s="799"/>
      <c r="B586" s="799"/>
      <c r="C586" s="799"/>
      <c r="D586" s="799"/>
      <c r="E586" s="799"/>
      <c r="F586" s="799"/>
      <c r="G586" s="799"/>
      <c r="H586" s="799"/>
      <c r="I586" s="799"/>
      <c r="J586" s="799"/>
      <c r="K586" s="799"/>
      <c r="L586" s="885"/>
      <c r="M586" s="799"/>
      <c r="N586" s="799"/>
      <c r="O586" s="799"/>
      <c r="P586" s="799"/>
      <c r="Q586" s="799"/>
      <c r="R586" s="799"/>
      <c r="S586" s="799"/>
      <c r="T586" s="799"/>
      <c r="U586" s="799"/>
      <c r="V586" s="799"/>
      <c r="W586" s="799"/>
      <c r="X586" s="799"/>
      <c r="Y586" s="799"/>
      <c r="Z586" s="799"/>
    </row>
    <row r="587" ht="49.5" customHeight="1">
      <c r="A587" s="799"/>
      <c r="B587" s="799"/>
      <c r="C587" s="799"/>
      <c r="D587" s="799"/>
      <c r="E587" s="799"/>
      <c r="F587" s="799"/>
      <c r="G587" s="799"/>
      <c r="H587" s="799"/>
      <c r="I587" s="799"/>
      <c r="J587" s="799"/>
      <c r="K587" s="799"/>
      <c r="L587" s="885"/>
      <c r="M587" s="799"/>
      <c r="N587" s="799"/>
      <c r="O587" s="799"/>
      <c r="P587" s="799"/>
      <c r="Q587" s="799"/>
      <c r="R587" s="799"/>
      <c r="S587" s="799"/>
      <c r="T587" s="799"/>
      <c r="U587" s="799"/>
      <c r="V587" s="799"/>
      <c r="W587" s="799"/>
      <c r="X587" s="799"/>
      <c r="Y587" s="799"/>
      <c r="Z587" s="799"/>
    </row>
    <row r="588" ht="49.5" customHeight="1">
      <c r="A588" s="799"/>
      <c r="B588" s="799"/>
      <c r="C588" s="799"/>
      <c r="D588" s="799"/>
      <c r="E588" s="799"/>
      <c r="F588" s="799"/>
      <c r="G588" s="799"/>
      <c r="H588" s="799"/>
      <c r="I588" s="799"/>
      <c r="J588" s="799"/>
      <c r="K588" s="799"/>
      <c r="L588" s="885"/>
      <c r="M588" s="799"/>
      <c r="N588" s="799"/>
      <c r="O588" s="799"/>
      <c r="P588" s="799"/>
      <c r="Q588" s="799"/>
      <c r="R588" s="799"/>
      <c r="S588" s="799"/>
      <c r="T588" s="799"/>
      <c r="U588" s="799"/>
      <c r="V588" s="799"/>
      <c r="W588" s="799"/>
      <c r="X588" s="799"/>
      <c r="Y588" s="799"/>
      <c r="Z588" s="799"/>
    </row>
    <row r="589" ht="49.5" customHeight="1">
      <c r="A589" s="799"/>
      <c r="B589" s="799"/>
      <c r="C589" s="799"/>
      <c r="D589" s="799"/>
      <c r="E589" s="799"/>
      <c r="F589" s="799"/>
      <c r="G589" s="799"/>
      <c r="H589" s="799"/>
      <c r="I589" s="799"/>
      <c r="J589" s="799"/>
      <c r="K589" s="799"/>
      <c r="L589" s="885"/>
      <c r="M589" s="799"/>
      <c r="N589" s="799"/>
      <c r="O589" s="799"/>
      <c r="P589" s="799"/>
      <c r="Q589" s="799"/>
      <c r="R589" s="799"/>
      <c r="S589" s="799"/>
      <c r="T589" s="799"/>
      <c r="U589" s="799"/>
      <c r="V589" s="799"/>
      <c r="W589" s="799"/>
      <c r="X589" s="799"/>
      <c r="Y589" s="799"/>
      <c r="Z589" s="799"/>
    </row>
    <row r="590" ht="49.5" customHeight="1">
      <c r="A590" s="799"/>
      <c r="B590" s="799"/>
      <c r="C590" s="799"/>
      <c r="D590" s="799"/>
      <c r="E590" s="799"/>
      <c r="F590" s="799"/>
      <c r="G590" s="799"/>
      <c r="H590" s="799"/>
      <c r="I590" s="799"/>
      <c r="J590" s="799"/>
      <c r="K590" s="799"/>
      <c r="L590" s="885"/>
      <c r="M590" s="799"/>
      <c r="N590" s="799"/>
      <c r="O590" s="799"/>
      <c r="P590" s="799"/>
      <c r="Q590" s="799"/>
      <c r="R590" s="799"/>
      <c r="S590" s="799"/>
      <c r="T590" s="799"/>
      <c r="U590" s="799"/>
      <c r="V590" s="799"/>
      <c r="W590" s="799"/>
      <c r="X590" s="799"/>
      <c r="Y590" s="799"/>
      <c r="Z590" s="799"/>
    </row>
    <row r="591" ht="49.5" customHeight="1">
      <c r="A591" s="799"/>
      <c r="B591" s="799"/>
      <c r="C591" s="799"/>
      <c r="D591" s="799"/>
      <c r="E591" s="799"/>
      <c r="F591" s="799"/>
      <c r="G591" s="799"/>
      <c r="H591" s="799"/>
      <c r="I591" s="799"/>
      <c r="J591" s="799"/>
      <c r="K591" s="799"/>
      <c r="L591" s="885"/>
      <c r="M591" s="799"/>
      <c r="N591" s="799"/>
      <c r="O591" s="799"/>
      <c r="P591" s="799"/>
      <c r="Q591" s="799"/>
      <c r="R591" s="799"/>
      <c r="S591" s="799"/>
      <c r="T591" s="799"/>
      <c r="U591" s="799"/>
      <c r="V591" s="799"/>
      <c r="W591" s="799"/>
      <c r="X591" s="799"/>
      <c r="Y591" s="799"/>
      <c r="Z591" s="799"/>
    </row>
    <row r="592" ht="49.5" customHeight="1">
      <c r="A592" s="799"/>
      <c r="B592" s="799"/>
      <c r="C592" s="799"/>
      <c r="D592" s="799"/>
      <c r="E592" s="799"/>
      <c r="F592" s="799"/>
      <c r="G592" s="799"/>
      <c r="H592" s="799"/>
      <c r="I592" s="799"/>
      <c r="J592" s="799"/>
      <c r="K592" s="799"/>
      <c r="L592" s="885"/>
      <c r="M592" s="799"/>
      <c r="N592" s="799"/>
      <c r="O592" s="799"/>
      <c r="P592" s="799"/>
      <c r="Q592" s="799"/>
      <c r="R592" s="799"/>
      <c r="S592" s="799"/>
      <c r="T592" s="799"/>
      <c r="U592" s="799"/>
      <c r="V592" s="799"/>
      <c r="W592" s="799"/>
      <c r="X592" s="799"/>
      <c r="Y592" s="799"/>
      <c r="Z592" s="799"/>
    </row>
    <row r="593" ht="49.5" customHeight="1">
      <c r="A593" s="799"/>
      <c r="B593" s="799"/>
      <c r="C593" s="799"/>
      <c r="D593" s="799"/>
      <c r="E593" s="799"/>
      <c r="F593" s="799"/>
      <c r="G593" s="799"/>
      <c r="H593" s="799"/>
      <c r="I593" s="799"/>
      <c r="J593" s="799"/>
      <c r="K593" s="799"/>
      <c r="L593" s="885"/>
      <c r="M593" s="799"/>
      <c r="N593" s="799"/>
      <c r="O593" s="799"/>
      <c r="P593" s="799"/>
      <c r="Q593" s="799"/>
      <c r="R593" s="799"/>
      <c r="S593" s="799"/>
      <c r="T593" s="799"/>
      <c r="U593" s="799"/>
      <c r="V593" s="799"/>
      <c r="W593" s="799"/>
      <c r="X593" s="799"/>
      <c r="Y593" s="799"/>
      <c r="Z593" s="799"/>
    </row>
    <row r="594" ht="49.5" customHeight="1">
      <c r="A594" s="799"/>
      <c r="B594" s="799"/>
      <c r="C594" s="799"/>
      <c r="D594" s="799"/>
      <c r="E594" s="799"/>
      <c r="F594" s="799"/>
      <c r="G594" s="799"/>
      <c r="H594" s="799"/>
      <c r="I594" s="799"/>
      <c r="J594" s="799"/>
      <c r="K594" s="799"/>
      <c r="L594" s="885"/>
      <c r="M594" s="799"/>
      <c r="N594" s="799"/>
      <c r="O594" s="799"/>
      <c r="P594" s="799"/>
      <c r="Q594" s="799"/>
      <c r="R594" s="799"/>
      <c r="S594" s="799"/>
      <c r="T594" s="799"/>
      <c r="U594" s="799"/>
      <c r="V594" s="799"/>
      <c r="W594" s="799"/>
      <c r="X594" s="799"/>
      <c r="Y594" s="799"/>
      <c r="Z594" s="799"/>
    </row>
    <row r="595" ht="49.5" customHeight="1">
      <c r="A595" s="799"/>
      <c r="B595" s="799"/>
      <c r="C595" s="799"/>
      <c r="D595" s="799"/>
      <c r="E595" s="799"/>
      <c r="F595" s="799"/>
      <c r="G595" s="799"/>
      <c r="H595" s="799"/>
      <c r="I595" s="799"/>
      <c r="J595" s="799"/>
      <c r="K595" s="799"/>
      <c r="L595" s="885"/>
      <c r="M595" s="799"/>
      <c r="N595" s="799"/>
      <c r="O595" s="799"/>
      <c r="P595" s="799"/>
      <c r="Q595" s="799"/>
      <c r="R595" s="799"/>
      <c r="S595" s="799"/>
      <c r="T595" s="799"/>
      <c r="U595" s="799"/>
      <c r="V595" s="799"/>
      <c r="W595" s="799"/>
      <c r="X595" s="799"/>
      <c r="Y595" s="799"/>
      <c r="Z595" s="799"/>
    </row>
    <row r="596" ht="49.5" customHeight="1">
      <c r="A596" s="799"/>
      <c r="B596" s="799"/>
      <c r="C596" s="799"/>
      <c r="D596" s="799"/>
      <c r="E596" s="799"/>
      <c r="F596" s="799"/>
      <c r="G596" s="799"/>
      <c r="H596" s="799"/>
      <c r="I596" s="799"/>
      <c r="J596" s="799"/>
      <c r="K596" s="799"/>
      <c r="L596" s="885"/>
      <c r="M596" s="799"/>
      <c r="N596" s="799"/>
      <c r="O596" s="799"/>
      <c r="P596" s="799"/>
      <c r="Q596" s="799"/>
      <c r="R596" s="799"/>
      <c r="S596" s="799"/>
      <c r="T596" s="799"/>
      <c r="U596" s="799"/>
      <c r="V596" s="799"/>
      <c r="W596" s="799"/>
      <c r="X596" s="799"/>
      <c r="Y596" s="799"/>
      <c r="Z596" s="799"/>
    </row>
    <row r="597" ht="49.5" customHeight="1">
      <c r="A597" s="799"/>
      <c r="B597" s="799"/>
      <c r="C597" s="799"/>
      <c r="D597" s="799"/>
      <c r="E597" s="799"/>
      <c r="F597" s="799"/>
      <c r="G597" s="799"/>
      <c r="H597" s="799"/>
      <c r="I597" s="799"/>
      <c r="J597" s="799"/>
      <c r="K597" s="799"/>
      <c r="L597" s="885"/>
      <c r="M597" s="799"/>
      <c r="N597" s="799"/>
      <c r="O597" s="799"/>
      <c r="P597" s="799"/>
      <c r="Q597" s="799"/>
      <c r="R597" s="799"/>
      <c r="S597" s="799"/>
      <c r="T597" s="799"/>
      <c r="U597" s="799"/>
      <c r="V597" s="799"/>
      <c r="W597" s="799"/>
      <c r="X597" s="799"/>
      <c r="Y597" s="799"/>
      <c r="Z597" s="799"/>
    </row>
    <row r="598" ht="49.5" customHeight="1">
      <c r="A598" s="799"/>
      <c r="B598" s="799"/>
      <c r="C598" s="799"/>
      <c r="D598" s="799"/>
      <c r="E598" s="799"/>
      <c r="F598" s="799"/>
      <c r="G598" s="799"/>
      <c r="H598" s="799"/>
      <c r="I598" s="799"/>
      <c r="J598" s="799"/>
      <c r="K598" s="799"/>
      <c r="L598" s="885"/>
      <c r="M598" s="799"/>
      <c r="N598" s="799"/>
      <c r="O598" s="799"/>
      <c r="P598" s="799"/>
      <c r="Q598" s="799"/>
      <c r="R598" s="799"/>
      <c r="S598" s="799"/>
      <c r="T598" s="799"/>
      <c r="U598" s="799"/>
      <c r="V598" s="799"/>
      <c r="W598" s="799"/>
      <c r="X598" s="799"/>
      <c r="Y598" s="799"/>
      <c r="Z598" s="799"/>
    </row>
    <row r="599" ht="49.5" customHeight="1">
      <c r="A599" s="799"/>
      <c r="B599" s="799"/>
      <c r="C599" s="799"/>
      <c r="D599" s="799"/>
      <c r="E599" s="799"/>
      <c r="F599" s="799"/>
      <c r="G599" s="799"/>
      <c r="H599" s="799"/>
      <c r="I599" s="799"/>
      <c r="J599" s="799"/>
      <c r="K599" s="799"/>
      <c r="L599" s="885"/>
      <c r="M599" s="799"/>
      <c r="N599" s="799"/>
      <c r="O599" s="799"/>
      <c r="P599" s="799"/>
      <c r="Q599" s="799"/>
      <c r="R599" s="799"/>
      <c r="S599" s="799"/>
      <c r="T599" s="799"/>
      <c r="U599" s="799"/>
      <c r="V599" s="799"/>
      <c r="W599" s="799"/>
      <c r="X599" s="799"/>
      <c r="Y599" s="799"/>
      <c r="Z599" s="799"/>
    </row>
    <row r="600" ht="49.5" customHeight="1">
      <c r="A600" s="799"/>
      <c r="B600" s="799"/>
      <c r="C600" s="799"/>
      <c r="D600" s="799"/>
      <c r="E600" s="799"/>
      <c r="F600" s="799"/>
      <c r="G600" s="799"/>
      <c r="H600" s="799"/>
      <c r="I600" s="799"/>
      <c r="J600" s="799"/>
      <c r="K600" s="799"/>
      <c r="L600" s="885"/>
      <c r="M600" s="799"/>
      <c r="N600" s="799"/>
      <c r="O600" s="799"/>
      <c r="P600" s="799"/>
      <c r="Q600" s="799"/>
      <c r="R600" s="799"/>
      <c r="S600" s="799"/>
      <c r="T600" s="799"/>
      <c r="U600" s="799"/>
      <c r="V600" s="799"/>
      <c r="W600" s="799"/>
      <c r="X600" s="799"/>
      <c r="Y600" s="799"/>
      <c r="Z600" s="799"/>
    </row>
    <row r="601" ht="49.5" customHeight="1">
      <c r="A601" s="799"/>
      <c r="B601" s="799"/>
      <c r="C601" s="799"/>
      <c r="D601" s="799"/>
      <c r="E601" s="799"/>
      <c r="F601" s="799"/>
      <c r="G601" s="799"/>
      <c r="H601" s="799"/>
      <c r="I601" s="799"/>
      <c r="J601" s="799"/>
      <c r="K601" s="799"/>
      <c r="L601" s="885"/>
      <c r="M601" s="799"/>
      <c r="N601" s="799"/>
      <c r="O601" s="799"/>
      <c r="P601" s="799"/>
      <c r="Q601" s="799"/>
      <c r="R601" s="799"/>
      <c r="S601" s="799"/>
      <c r="T601" s="799"/>
      <c r="U601" s="799"/>
      <c r="V601" s="799"/>
      <c r="W601" s="799"/>
      <c r="X601" s="799"/>
      <c r="Y601" s="799"/>
      <c r="Z601" s="799"/>
    </row>
    <row r="602" ht="49.5" customHeight="1">
      <c r="A602" s="799"/>
      <c r="B602" s="799"/>
      <c r="C602" s="799"/>
      <c r="D602" s="799"/>
      <c r="E602" s="799"/>
      <c r="F602" s="799"/>
      <c r="G602" s="799"/>
      <c r="H602" s="799"/>
      <c r="I602" s="799"/>
      <c r="J602" s="799"/>
      <c r="K602" s="799"/>
      <c r="L602" s="885"/>
      <c r="M602" s="799"/>
      <c r="N602" s="799"/>
      <c r="O602" s="799"/>
      <c r="P602" s="799"/>
      <c r="Q602" s="799"/>
      <c r="R602" s="799"/>
      <c r="S602" s="799"/>
      <c r="T602" s="799"/>
      <c r="U602" s="799"/>
      <c r="V602" s="799"/>
      <c r="W602" s="799"/>
      <c r="X602" s="799"/>
      <c r="Y602" s="799"/>
      <c r="Z602" s="799"/>
    </row>
    <row r="603" ht="49.5" customHeight="1">
      <c r="A603" s="799"/>
      <c r="B603" s="799"/>
      <c r="C603" s="799"/>
      <c r="D603" s="799"/>
      <c r="E603" s="799"/>
      <c r="F603" s="799"/>
      <c r="G603" s="799"/>
      <c r="H603" s="799"/>
      <c r="I603" s="799"/>
      <c r="J603" s="799"/>
      <c r="K603" s="799"/>
      <c r="L603" s="885"/>
      <c r="M603" s="799"/>
      <c r="N603" s="799"/>
      <c r="O603" s="799"/>
      <c r="P603" s="799"/>
      <c r="Q603" s="799"/>
      <c r="R603" s="799"/>
      <c r="S603" s="799"/>
      <c r="T603" s="799"/>
      <c r="U603" s="799"/>
      <c r="V603" s="799"/>
      <c r="W603" s="799"/>
      <c r="X603" s="799"/>
      <c r="Y603" s="799"/>
      <c r="Z603" s="799"/>
    </row>
    <row r="604" ht="49.5" customHeight="1">
      <c r="A604" s="799"/>
      <c r="B604" s="799"/>
      <c r="C604" s="799"/>
      <c r="D604" s="799"/>
      <c r="E604" s="799"/>
      <c r="F604" s="799"/>
      <c r="G604" s="799"/>
      <c r="H604" s="799"/>
      <c r="I604" s="799"/>
      <c r="J604" s="799"/>
      <c r="K604" s="799"/>
      <c r="L604" s="885"/>
      <c r="M604" s="799"/>
      <c r="N604" s="799"/>
      <c r="O604" s="799"/>
      <c r="P604" s="799"/>
      <c r="Q604" s="799"/>
      <c r="R604" s="799"/>
      <c r="S604" s="799"/>
      <c r="T604" s="799"/>
      <c r="U604" s="799"/>
      <c r="V604" s="799"/>
      <c r="W604" s="799"/>
      <c r="X604" s="799"/>
      <c r="Y604" s="799"/>
      <c r="Z604" s="799"/>
    </row>
    <row r="605" ht="49.5" customHeight="1">
      <c r="A605" s="799"/>
      <c r="B605" s="799"/>
      <c r="C605" s="799"/>
      <c r="D605" s="799"/>
      <c r="E605" s="799"/>
      <c r="F605" s="799"/>
      <c r="G605" s="799"/>
      <c r="H605" s="799"/>
      <c r="I605" s="799"/>
      <c r="J605" s="799"/>
      <c r="K605" s="799"/>
      <c r="L605" s="885"/>
      <c r="M605" s="799"/>
      <c r="N605" s="799"/>
      <c r="O605" s="799"/>
      <c r="P605" s="799"/>
      <c r="Q605" s="799"/>
      <c r="R605" s="799"/>
      <c r="S605" s="799"/>
      <c r="T605" s="799"/>
      <c r="U605" s="799"/>
      <c r="V605" s="799"/>
      <c r="W605" s="799"/>
      <c r="X605" s="799"/>
      <c r="Y605" s="799"/>
      <c r="Z605" s="799"/>
    </row>
    <row r="606" ht="49.5" customHeight="1">
      <c r="A606" s="799"/>
      <c r="B606" s="799"/>
      <c r="C606" s="799"/>
      <c r="D606" s="799"/>
      <c r="E606" s="799"/>
      <c r="F606" s="799"/>
      <c r="G606" s="799"/>
      <c r="H606" s="799"/>
      <c r="I606" s="799"/>
      <c r="J606" s="799"/>
      <c r="K606" s="799"/>
      <c r="L606" s="885"/>
      <c r="M606" s="799"/>
      <c r="N606" s="799"/>
      <c r="O606" s="799"/>
      <c r="P606" s="799"/>
      <c r="Q606" s="799"/>
      <c r="R606" s="799"/>
      <c r="S606" s="799"/>
      <c r="T606" s="799"/>
      <c r="U606" s="799"/>
      <c r="V606" s="799"/>
      <c r="W606" s="799"/>
      <c r="X606" s="799"/>
      <c r="Y606" s="799"/>
      <c r="Z606" s="799"/>
    </row>
    <row r="607" ht="49.5" customHeight="1">
      <c r="A607" s="799"/>
      <c r="B607" s="799"/>
      <c r="C607" s="799"/>
      <c r="D607" s="799"/>
      <c r="E607" s="799"/>
      <c r="F607" s="799"/>
      <c r="G607" s="799"/>
      <c r="H607" s="799"/>
      <c r="I607" s="799"/>
      <c r="J607" s="799"/>
      <c r="K607" s="799"/>
      <c r="L607" s="885"/>
      <c r="M607" s="799"/>
      <c r="N607" s="799"/>
      <c r="O607" s="799"/>
      <c r="P607" s="799"/>
      <c r="Q607" s="799"/>
      <c r="R607" s="799"/>
      <c r="S607" s="799"/>
      <c r="T607" s="799"/>
      <c r="U607" s="799"/>
      <c r="V607" s="799"/>
      <c r="W607" s="799"/>
      <c r="X607" s="799"/>
      <c r="Y607" s="799"/>
      <c r="Z607" s="799"/>
    </row>
    <row r="608" ht="49.5" customHeight="1">
      <c r="A608" s="799"/>
      <c r="B608" s="799"/>
      <c r="C608" s="799"/>
      <c r="D608" s="799"/>
      <c r="E608" s="799"/>
      <c r="F608" s="799"/>
      <c r="G608" s="799"/>
      <c r="H608" s="799"/>
      <c r="I608" s="799"/>
      <c r="J608" s="799"/>
      <c r="K608" s="799"/>
      <c r="L608" s="885"/>
      <c r="M608" s="799"/>
      <c r="N608" s="799"/>
      <c r="O608" s="799"/>
      <c r="P608" s="799"/>
      <c r="Q608" s="799"/>
      <c r="R608" s="799"/>
      <c r="S608" s="799"/>
      <c r="T608" s="799"/>
      <c r="U608" s="799"/>
      <c r="V608" s="799"/>
      <c r="W608" s="799"/>
      <c r="X608" s="799"/>
      <c r="Y608" s="799"/>
      <c r="Z608" s="799"/>
    </row>
    <row r="609" ht="49.5" customHeight="1">
      <c r="A609" s="799"/>
      <c r="B609" s="799"/>
      <c r="C609" s="799"/>
      <c r="D609" s="799"/>
      <c r="E609" s="799"/>
      <c r="F609" s="799"/>
      <c r="G609" s="799"/>
      <c r="H609" s="799"/>
      <c r="I609" s="799"/>
      <c r="J609" s="799"/>
      <c r="K609" s="799"/>
      <c r="L609" s="885"/>
      <c r="M609" s="799"/>
      <c r="N609" s="799"/>
      <c r="O609" s="799"/>
      <c r="P609" s="799"/>
      <c r="Q609" s="799"/>
      <c r="R609" s="799"/>
      <c r="S609" s="799"/>
      <c r="T609" s="799"/>
      <c r="U609" s="799"/>
      <c r="V609" s="799"/>
      <c r="W609" s="799"/>
      <c r="X609" s="799"/>
      <c r="Y609" s="799"/>
      <c r="Z609" s="799"/>
    </row>
    <row r="610" ht="49.5" customHeight="1">
      <c r="A610" s="799"/>
      <c r="B610" s="799"/>
      <c r="C610" s="799"/>
      <c r="D610" s="799"/>
      <c r="E610" s="799"/>
      <c r="F610" s="799"/>
      <c r="G610" s="799"/>
      <c r="H610" s="799"/>
      <c r="I610" s="799"/>
      <c r="J610" s="799"/>
      <c r="K610" s="799"/>
      <c r="L610" s="885"/>
      <c r="M610" s="799"/>
      <c r="N610" s="799"/>
      <c r="O610" s="799"/>
      <c r="P610" s="799"/>
      <c r="Q610" s="799"/>
      <c r="R610" s="799"/>
      <c r="S610" s="799"/>
      <c r="T610" s="799"/>
      <c r="U610" s="799"/>
      <c r="V610" s="799"/>
      <c r="W610" s="799"/>
      <c r="X610" s="799"/>
      <c r="Y610" s="799"/>
      <c r="Z610" s="799"/>
    </row>
    <row r="611" ht="49.5" customHeight="1">
      <c r="A611" s="799"/>
      <c r="B611" s="799"/>
      <c r="C611" s="799"/>
      <c r="D611" s="799"/>
      <c r="E611" s="799"/>
      <c r="F611" s="799"/>
      <c r="G611" s="799"/>
      <c r="H611" s="799"/>
      <c r="I611" s="799"/>
      <c r="J611" s="799"/>
      <c r="K611" s="799"/>
      <c r="L611" s="885"/>
      <c r="M611" s="799"/>
      <c r="N611" s="799"/>
      <c r="O611" s="799"/>
      <c r="P611" s="799"/>
      <c r="Q611" s="799"/>
      <c r="R611" s="799"/>
      <c r="S611" s="799"/>
      <c r="T611" s="799"/>
      <c r="U611" s="799"/>
      <c r="V611" s="799"/>
      <c r="W611" s="799"/>
      <c r="X611" s="799"/>
      <c r="Y611" s="799"/>
      <c r="Z611" s="799"/>
    </row>
    <row r="612" ht="49.5" customHeight="1">
      <c r="A612" s="799"/>
      <c r="B612" s="799"/>
      <c r="C612" s="799"/>
      <c r="D612" s="799"/>
      <c r="E612" s="799"/>
      <c r="F612" s="799"/>
      <c r="G612" s="799"/>
      <c r="H612" s="799"/>
      <c r="I612" s="799"/>
      <c r="J612" s="799"/>
      <c r="K612" s="799"/>
      <c r="L612" s="885"/>
      <c r="M612" s="799"/>
      <c r="N612" s="799"/>
      <c r="O612" s="799"/>
      <c r="P612" s="799"/>
      <c r="Q612" s="799"/>
      <c r="R612" s="799"/>
      <c r="S612" s="799"/>
      <c r="T612" s="799"/>
      <c r="U612" s="799"/>
      <c r="V612" s="799"/>
      <c r="W612" s="799"/>
      <c r="X612" s="799"/>
      <c r="Y612" s="799"/>
      <c r="Z612" s="799"/>
    </row>
    <row r="613" ht="49.5" customHeight="1">
      <c r="A613" s="799"/>
      <c r="B613" s="799"/>
      <c r="C613" s="799"/>
      <c r="D613" s="799"/>
      <c r="E613" s="799"/>
      <c r="F613" s="799"/>
      <c r="G613" s="799"/>
      <c r="H613" s="799"/>
      <c r="I613" s="799"/>
      <c r="J613" s="799"/>
      <c r="K613" s="799"/>
      <c r="L613" s="885"/>
      <c r="M613" s="799"/>
      <c r="N613" s="799"/>
      <c r="O613" s="799"/>
      <c r="P613" s="799"/>
      <c r="Q613" s="799"/>
      <c r="R613" s="799"/>
      <c r="S613" s="799"/>
      <c r="T613" s="799"/>
      <c r="U613" s="799"/>
      <c r="V613" s="799"/>
      <c r="W613" s="799"/>
      <c r="X613" s="799"/>
      <c r="Y613" s="799"/>
      <c r="Z613" s="799"/>
    </row>
    <row r="614" ht="49.5" customHeight="1">
      <c r="A614" s="799"/>
      <c r="B614" s="799"/>
      <c r="C614" s="799"/>
      <c r="D614" s="799"/>
      <c r="E614" s="799"/>
      <c r="F614" s="799"/>
      <c r="G614" s="799"/>
      <c r="H614" s="799"/>
      <c r="I614" s="799"/>
      <c r="J614" s="799"/>
      <c r="K614" s="799"/>
      <c r="L614" s="885"/>
      <c r="M614" s="799"/>
      <c r="N614" s="799"/>
      <c r="O614" s="799"/>
      <c r="P614" s="799"/>
      <c r="Q614" s="799"/>
      <c r="R614" s="799"/>
      <c r="S614" s="799"/>
      <c r="T614" s="799"/>
      <c r="U614" s="799"/>
      <c r="V614" s="799"/>
      <c r="W614" s="799"/>
      <c r="X614" s="799"/>
      <c r="Y614" s="799"/>
      <c r="Z614" s="799"/>
    </row>
    <row r="615" ht="49.5" customHeight="1">
      <c r="A615" s="799"/>
      <c r="B615" s="799"/>
      <c r="C615" s="799"/>
      <c r="D615" s="799"/>
      <c r="E615" s="799"/>
      <c r="F615" s="799"/>
      <c r="G615" s="799"/>
      <c r="H615" s="799"/>
      <c r="I615" s="799"/>
      <c r="J615" s="799"/>
      <c r="K615" s="799"/>
      <c r="L615" s="885"/>
      <c r="M615" s="799"/>
      <c r="N615" s="799"/>
      <c r="O615" s="799"/>
      <c r="P615" s="799"/>
      <c r="Q615" s="799"/>
      <c r="R615" s="799"/>
      <c r="S615" s="799"/>
      <c r="T615" s="799"/>
      <c r="U615" s="799"/>
      <c r="V615" s="799"/>
      <c r="W615" s="799"/>
      <c r="X615" s="799"/>
      <c r="Y615" s="799"/>
      <c r="Z615" s="799"/>
    </row>
    <row r="616" ht="49.5" customHeight="1">
      <c r="A616" s="799"/>
      <c r="B616" s="799"/>
      <c r="C616" s="799"/>
      <c r="D616" s="799"/>
      <c r="E616" s="799"/>
      <c r="F616" s="799"/>
      <c r="G616" s="799"/>
      <c r="H616" s="799"/>
      <c r="I616" s="799"/>
      <c r="J616" s="799"/>
      <c r="K616" s="799"/>
      <c r="L616" s="885"/>
      <c r="M616" s="799"/>
      <c r="N616" s="799"/>
      <c r="O616" s="799"/>
      <c r="P616" s="799"/>
      <c r="Q616" s="799"/>
      <c r="R616" s="799"/>
      <c r="S616" s="799"/>
      <c r="T616" s="799"/>
      <c r="U616" s="799"/>
      <c r="V616" s="799"/>
      <c r="W616" s="799"/>
      <c r="X616" s="799"/>
      <c r="Y616" s="799"/>
      <c r="Z616" s="799"/>
    </row>
    <row r="617" ht="49.5" customHeight="1">
      <c r="A617" s="799"/>
      <c r="B617" s="799"/>
      <c r="C617" s="799"/>
      <c r="D617" s="799"/>
      <c r="E617" s="799"/>
      <c r="F617" s="799"/>
      <c r="G617" s="799"/>
      <c r="H617" s="799"/>
      <c r="I617" s="799"/>
      <c r="J617" s="799"/>
      <c r="K617" s="799"/>
      <c r="L617" s="885"/>
      <c r="M617" s="799"/>
      <c r="N617" s="799"/>
      <c r="O617" s="799"/>
      <c r="P617" s="799"/>
      <c r="Q617" s="799"/>
      <c r="R617" s="799"/>
      <c r="S617" s="799"/>
      <c r="T617" s="799"/>
      <c r="U617" s="799"/>
      <c r="V617" s="799"/>
      <c r="W617" s="799"/>
      <c r="X617" s="799"/>
      <c r="Y617" s="799"/>
      <c r="Z617" s="799"/>
    </row>
    <row r="618" ht="49.5" customHeight="1">
      <c r="A618" s="799"/>
      <c r="B618" s="799"/>
      <c r="C618" s="799"/>
      <c r="D618" s="799"/>
      <c r="E618" s="799"/>
      <c r="F618" s="799"/>
      <c r="G618" s="799"/>
      <c r="H618" s="799"/>
      <c r="I618" s="799"/>
      <c r="J618" s="799"/>
      <c r="K618" s="799"/>
      <c r="L618" s="885"/>
      <c r="M618" s="799"/>
      <c r="N618" s="799"/>
      <c r="O618" s="799"/>
      <c r="P618" s="799"/>
      <c r="Q618" s="799"/>
      <c r="R618" s="799"/>
      <c r="S618" s="799"/>
      <c r="T618" s="799"/>
      <c r="U618" s="799"/>
      <c r="V618" s="799"/>
      <c r="W618" s="799"/>
      <c r="X618" s="799"/>
      <c r="Y618" s="799"/>
      <c r="Z618" s="799"/>
    </row>
    <row r="619" ht="49.5" customHeight="1">
      <c r="A619" s="799"/>
      <c r="B619" s="799"/>
      <c r="C619" s="799"/>
      <c r="D619" s="799"/>
      <c r="E619" s="799"/>
      <c r="F619" s="799"/>
      <c r="G619" s="799"/>
      <c r="H619" s="799"/>
      <c r="I619" s="799"/>
      <c r="J619" s="799"/>
      <c r="K619" s="799"/>
      <c r="L619" s="885"/>
      <c r="M619" s="799"/>
      <c r="N619" s="799"/>
      <c r="O619" s="799"/>
      <c r="P619" s="799"/>
      <c r="Q619" s="799"/>
      <c r="R619" s="799"/>
      <c r="S619" s="799"/>
      <c r="T619" s="799"/>
      <c r="U619" s="799"/>
      <c r="V619" s="799"/>
      <c r="W619" s="799"/>
      <c r="X619" s="799"/>
      <c r="Y619" s="799"/>
      <c r="Z619" s="799"/>
    </row>
    <row r="620" ht="49.5" customHeight="1">
      <c r="A620" s="799"/>
      <c r="B620" s="799"/>
      <c r="C620" s="799"/>
      <c r="D620" s="799"/>
      <c r="E620" s="799"/>
      <c r="F620" s="799"/>
      <c r="G620" s="799"/>
      <c r="H620" s="799"/>
      <c r="I620" s="799"/>
      <c r="J620" s="799"/>
      <c r="K620" s="799"/>
      <c r="L620" s="885"/>
      <c r="M620" s="799"/>
      <c r="N620" s="799"/>
      <c r="O620" s="799"/>
      <c r="P620" s="799"/>
      <c r="Q620" s="799"/>
      <c r="R620" s="799"/>
      <c r="S620" s="799"/>
      <c r="T620" s="799"/>
      <c r="U620" s="799"/>
      <c r="V620" s="799"/>
      <c r="W620" s="799"/>
      <c r="X620" s="799"/>
      <c r="Y620" s="799"/>
      <c r="Z620" s="799"/>
    </row>
    <row r="621" ht="49.5" customHeight="1">
      <c r="A621" s="799"/>
      <c r="B621" s="799"/>
      <c r="C621" s="799"/>
      <c r="D621" s="799"/>
      <c r="E621" s="799"/>
      <c r="F621" s="799"/>
      <c r="G621" s="799"/>
      <c r="H621" s="799"/>
      <c r="I621" s="799"/>
      <c r="J621" s="799"/>
      <c r="K621" s="799"/>
      <c r="L621" s="885"/>
      <c r="M621" s="799"/>
      <c r="N621" s="799"/>
      <c r="O621" s="799"/>
      <c r="P621" s="799"/>
      <c r="Q621" s="799"/>
      <c r="R621" s="799"/>
      <c r="S621" s="799"/>
      <c r="T621" s="799"/>
      <c r="U621" s="799"/>
      <c r="V621" s="799"/>
      <c r="W621" s="799"/>
      <c r="X621" s="799"/>
      <c r="Y621" s="799"/>
      <c r="Z621" s="799"/>
    </row>
    <row r="622" ht="49.5" customHeight="1">
      <c r="A622" s="799"/>
      <c r="B622" s="799"/>
      <c r="C622" s="799"/>
      <c r="D622" s="799"/>
      <c r="E622" s="799"/>
      <c r="F622" s="799"/>
      <c r="G622" s="799"/>
      <c r="H622" s="799"/>
      <c r="I622" s="799"/>
      <c r="J622" s="799"/>
      <c r="K622" s="799"/>
      <c r="L622" s="885"/>
      <c r="M622" s="799"/>
      <c r="N622" s="799"/>
      <c r="O622" s="799"/>
      <c r="P622" s="799"/>
      <c r="Q622" s="799"/>
      <c r="R622" s="799"/>
      <c r="S622" s="799"/>
      <c r="T622" s="799"/>
      <c r="U622" s="799"/>
      <c r="V622" s="799"/>
      <c r="W622" s="799"/>
      <c r="X622" s="799"/>
      <c r="Y622" s="799"/>
      <c r="Z622" s="799"/>
    </row>
    <row r="623" ht="49.5" customHeight="1">
      <c r="A623" s="799"/>
      <c r="B623" s="799"/>
      <c r="C623" s="799"/>
      <c r="D623" s="799"/>
      <c r="E623" s="799"/>
      <c r="F623" s="799"/>
      <c r="G623" s="799"/>
      <c r="H623" s="799"/>
      <c r="I623" s="799"/>
      <c r="J623" s="799"/>
      <c r="K623" s="799"/>
      <c r="L623" s="885"/>
      <c r="M623" s="799"/>
      <c r="N623" s="799"/>
      <c r="O623" s="799"/>
      <c r="P623" s="799"/>
      <c r="Q623" s="799"/>
      <c r="R623" s="799"/>
      <c r="S623" s="799"/>
      <c r="T623" s="799"/>
      <c r="U623" s="799"/>
      <c r="V623" s="799"/>
      <c r="W623" s="799"/>
      <c r="X623" s="799"/>
      <c r="Y623" s="799"/>
      <c r="Z623" s="799"/>
    </row>
    <row r="624" ht="49.5" customHeight="1">
      <c r="A624" s="799"/>
      <c r="B624" s="799"/>
      <c r="C624" s="799"/>
      <c r="D624" s="799"/>
      <c r="E624" s="799"/>
      <c r="F624" s="799"/>
      <c r="G624" s="799"/>
      <c r="H624" s="799"/>
      <c r="I624" s="799"/>
      <c r="J624" s="799"/>
      <c r="K624" s="799"/>
      <c r="L624" s="885"/>
      <c r="M624" s="799"/>
      <c r="N624" s="799"/>
      <c r="O624" s="799"/>
      <c r="P624" s="799"/>
      <c r="Q624" s="799"/>
      <c r="R624" s="799"/>
      <c r="S624" s="799"/>
      <c r="T624" s="799"/>
      <c r="U624" s="799"/>
      <c r="V624" s="799"/>
      <c r="W624" s="799"/>
      <c r="X624" s="799"/>
      <c r="Y624" s="799"/>
      <c r="Z624" s="799"/>
    </row>
    <row r="625" ht="49.5" customHeight="1">
      <c r="A625" s="799"/>
      <c r="B625" s="799"/>
      <c r="C625" s="799"/>
      <c r="D625" s="799"/>
      <c r="E625" s="799"/>
      <c r="F625" s="799"/>
      <c r="G625" s="799"/>
      <c r="H625" s="799"/>
      <c r="I625" s="799"/>
      <c r="J625" s="799"/>
      <c r="K625" s="799"/>
      <c r="L625" s="885"/>
      <c r="M625" s="799"/>
      <c r="N625" s="799"/>
      <c r="O625" s="799"/>
      <c r="P625" s="799"/>
      <c r="Q625" s="799"/>
      <c r="R625" s="799"/>
      <c r="S625" s="799"/>
      <c r="T625" s="799"/>
      <c r="U625" s="799"/>
      <c r="V625" s="799"/>
      <c r="W625" s="799"/>
      <c r="X625" s="799"/>
      <c r="Y625" s="799"/>
      <c r="Z625" s="799"/>
    </row>
    <row r="626" ht="49.5" customHeight="1">
      <c r="A626" s="799"/>
      <c r="B626" s="799"/>
      <c r="C626" s="799"/>
      <c r="D626" s="799"/>
      <c r="E626" s="799"/>
      <c r="F626" s="799"/>
      <c r="G626" s="799"/>
      <c r="H626" s="799"/>
      <c r="I626" s="799"/>
      <c r="J626" s="799"/>
      <c r="K626" s="799"/>
      <c r="L626" s="885"/>
      <c r="M626" s="799"/>
      <c r="N626" s="799"/>
      <c r="O626" s="799"/>
      <c r="P626" s="799"/>
      <c r="Q626" s="799"/>
      <c r="R626" s="799"/>
      <c r="S626" s="799"/>
      <c r="T626" s="799"/>
      <c r="U626" s="799"/>
      <c r="V626" s="799"/>
      <c r="W626" s="799"/>
      <c r="X626" s="799"/>
      <c r="Y626" s="799"/>
      <c r="Z626" s="799"/>
    </row>
    <row r="627" ht="49.5" customHeight="1">
      <c r="A627" s="799"/>
      <c r="B627" s="799"/>
      <c r="C627" s="799"/>
      <c r="D627" s="799"/>
      <c r="E627" s="799"/>
      <c r="F627" s="799"/>
      <c r="G627" s="799"/>
      <c r="H627" s="799"/>
      <c r="I627" s="799"/>
      <c r="J627" s="799"/>
      <c r="K627" s="799"/>
      <c r="L627" s="885"/>
      <c r="M627" s="799"/>
      <c r="N627" s="799"/>
      <c r="O627" s="799"/>
      <c r="P627" s="799"/>
      <c r="Q627" s="799"/>
      <c r="R627" s="799"/>
      <c r="S627" s="799"/>
      <c r="T627" s="799"/>
      <c r="U627" s="799"/>
      <c r="V627" s="799"/>
      <c r="W627" s="799"/>
      <c r="X627" s="799"/>
      <c r="Y627" s="799"/>
      <c r="Z627" s="799"/>
    </row>
    <row r="628" ht="49.5" customHeight="1">
      <c r="A628" s="799"/>
      <c r="B628" s="799"/>
      <c r="C628" s="799"/>
      <c r="D628" s="799"/>
      <c r="E628" s="799"/>
      <c r="F628" s="799"/>
      <c r="G628" s="799"/>
      <c r="H628" s="799"/>
      <c r="I628" s="799"/>
      <c r="J628" s="799"/>
      <c r="K628" s="799"/>
      <c r="L628" s="885"/>
      <c r="M628" s="799"/>
      <c r="N628" s="799"/>
      <c r="O628" s="799"/>
      <c r="P628" s="799"/>
      <c r="Q628" s="799"/>
      <c r="R628" s="799"/>
      <c r="S628" s="799"/>
      <c r="T628" s="799"/>
      <c r="U628" s="799"/>
      <c r="V628" s="799"/>
      <c r="W628" s="799"/>
      <c r="X628" s="799"/>
      <c r="Y628" s="799"/>
      <c r="Z628" s="799"/>
    </row>
    <row r="629" ht="49.5" customHeight="1">
      <c r="A629" s="799"/>
      <c r="B629" s="799"/>
      <c r="C629" s="799"/>
      <c r="D629" s="799"/>
      <c r="E629" s="799"/>
      <c r="F629" s="799"/>
      <c r="G629" s="799"/>
      <c r="H629" s="799"/>
      <c r="I629" s="799"/>
      <c r="J629" s="799"/>
      <c r="K629" s="799"/>
      <c r="L629" s="885"/>
      <c r="M629" s="799"/>
      <c r="N629" s="799"/>
      <c r="O629" s="799"/>
      <c r="P629" s="799"/>
      <c r="Q629" s="799"/>
      <c r="R629" s="799"/>
      <c r="S629" s="799"/>
      <c r="T629" s="799"/>
      <c r="U629" s="799"/>
      <c r="V629" s="799"/>
      <c r="W629" s="799"/>
      <c r="X629" s="799"/>
      <c r="Y629" s="799"/>
      <c r="Z629" s="799"/>
    </row>
    <row r="630" ht="49.5" customHeight="1">
      <c r="A630" s="799"/>
      <c r="B630" s="799"/>
      <c r="C630" s="799"/>
      <c r="D630" s="799"/>
      <c r="E630" s="799"/>
      <c r="F630" s="799"/>
      <c r="G630" s="799"/>
      <c r="H630" s="799"/>
      <c r="I630" s="799"/>
      <c r="J630" s="799"/>
      <c r="K630" s="799"/>
      <c r="L630" s="885"/>
      <c r="M630" s="799"/>
      <c r="N630" s="799"/>
      <c r="O630" s="799"/>
      <c r="P630" s="799"/>
      <c r="Q630" s="799"/>
      <c r="R630" s="799"/>
      <c r="S630" s="799"/>
      <c r="T630" s="799"/>
      <c r="U630" s="799"/>
      <c r="V630" s="799"/>
      <c r="W630" s="799"/>
      <c r="X630" s="799"/>
      <c r="Y630" s="799"/>
      <c r="Z630" s="799"/>
    </row>
    <row r="631" ht="49.5" customHeight="1">
      <c r="A631" s="799"/>
      <c r="B631" s="799"/>
      <c r="C631" s="799"/>
      <c r="D631" s="799"/>
      <c r="E631" s="799"/>
      <c r="F631" s="799"/>
      <c r="G631" s="799"/>
      <c r="H631" s="799"/>
      <c r="I631" s="799"/>
      <c r="J631" s="799"/>
      <c r="K631" s="799"/>
      <c r="L631" s="885"/>
      <c r="M631" s="799"/>
      <c r="N631" s="799"/>
      <c r="O631" s="799"/>
      <c r="P631" s="799"/>
      <c r="Q631" s="799"/>
      <c r="R631" s="799"/>
      <c r="S631" s="799"/>
      <c r="T631" s="799"/>
      <c r="U631" s="799"/>
      <c r="V631" s="799"/>
      <c r="W631" s="799"/>
      <c r="X631" s="799"/>
      <c r="Y631" s="799"/>
      <c r="Z631" s="799"/>
    </row>
    <row r="632" ht="49.5" customHeight="1">
      <c r="A632" s="799"/>
      <c r="B632" s="799"/>
      <c r="C632" s="799"/>
      <c r="D632" s="799"/>
      <c r="E632" s="799"/>
      <c r="F632" s="799"/>
      <c r="G632" s="799"/>
      <c r="H632" s="799"/>
      <c r="I632" s="799"/>
      <c r="J632" s="799"/>
      <c r="K632" s="799"/>
      <c r="L632" s="885"/>
      <c r="M632" s="799"/>
      <c r="N632" s="799"/>
      <c r="O632" s="799"/>
      <c r="P632" s="799"/>
      <c r="Q632" s="799"/>
      <c r="R632" s="799"/>
      <c r="S632" s="799"/>
      <c r="T632" s="799"/>
      <c r="U632" s="799"/>
      <c r="V632" s="799"/>
      <c r="W632" s="799"/>
      <c r="X632" s="799"/>
      <c r="Y632" s="799"/>
      <c r="Z632" s="799"/>
    </row>
    <row r="633" ht="49.5" customHeight="1">
      <c r="A633" s="799"/>
      <c r="B633" s="799"/>
      <c r="C633" s="799"/>
      <c r="D633" s="799"/>
      <c r="E633" s="799"/>
      <c r="F633" s="799"/>
      <c r="G633" s="799"/>
      <c r="H633" s="799"/>
      <c r="I633" s="799"/>
      <c r="J633" s="799"/>
      <c r="K633" s="799"/>
      <c r="L633" s="885"/>
      <c r="M633" s="799"/>
      <c r="N633" s="799"/>
      <c r="O633" s="799"/>
      <c r="P633" s="799"/>
      <c r="Q633" s="799"/>
      <c r="R633" s="799"/>
      <c r="S633" s="799"/>
      <c r="T633" s="799"/>
      <c r="U633" s="799"/>
      <c r="V633" s="799"/>
      <c r="W633" s="799"/>
      <c r="X633" s="799"/>
      <c r="Y633" s="799"/>
      <c r="Z633" s="799"/>
    </row>
    <row r="634" ht="49.5" customHeight="1">
      <c r="A634" s="799"/>
      <c r="B634" s="799"/>
      <c r="C634" s="799"/>
      <c r="D634" s="799"/>
      <c r="E634" s="799"/>
      <c r="F634" s="799"/>
      <c r="G634" s="799"/>
      <c r="H634" s="799"/>
      <c r="I634" s="799"/>
      <c r="J634" s="799"/>
      <c r="K634" s="799"/>
      <c r="L634" s="885"/>
      <c r="M634" s="799"/>
      <c r="N634" s="799"/>
      <c r="O634" s="799"/>
      <c r="P634" s="799"/>
      <c r="Q634" s="799"/>
      <c r="R634" s="799"/>
      <c r="S634" s="799"/>
      <c r="T634" s="799"/>
      <c r="U634" s="799"/>
      <c r="V634" s="799"/>
      <c r="W634" s="799"/>
      <c r="X634" s="799"/>
      <c r="Y634" s="799"/>
      <c r="Z634" s="799"/>
    </row>
    <row r="635" ht="49.5" customHeight="1">
      <c r="A635" s="799"/>
      <c r="B635" s="799"/>
      <c r="C635" s="799"/>
      <c r="D635" s="799"/>
      <c r="E635" s="799"/>
      <c r="F635" s="799"/>
      <c r="G635" s="799"/>
      <c r="H635" s="799"/>
      <c r="I635" s="799"/>
      <c r="J635" s="799"/>
      <c r="K635" s="799"/>
      <c r="L635" s="885"/>
      <c r="M635" s="799"/>
      <c r="N635" s="799"/>
      <c r="O635" s="799"/>
      <c r="P635" s="799"/>
      <c r="Q635" s="799"/>
      <c r="R635" s="799"/>
      <c r="S635" s="799"/>
      <c r="T635" s="799"/>
      <c r="U635" s="799"/>
      <c r="V635" s="799"/>
      <c r="W635" s="799"/>
      <c r="X635" s="799"/>
      <c r="Y635" s="799"/>
      <c r="Z635" s="799"/>
    </row>
    <row r="636" ht="49.5" customHeight="1">
      <c r="A636" s="799"/>
      <c r="B636" s="799"/>
      <c r="C636" s="799"/>
      <c r="D636" s="799"/>
      <c r="E636" s="799"/>
      <c r="F636" s="799"/>
      <c r="G636" s="799"/>
      <c r="H636" s="799"/>
      <c r="I636" s="799"/>
      <c r="J636" s="799"/>
      <c r="K636" s="799"/>
      <c r="L636" s="885"/>
      <c r="M636" s="799"/>
      <c r="N636" s="799"/>
      <c r="O636" s="799"/>
      <c r="P636" s="799"/>
      <c r="Q636" s="799"/>
      <c r="R636" s="799"/>
      <c r="S636" s="799"/>
      <c r="T636" s="799"/>
      <c r="U636" s="799"/>
      <c r="V636" s="799"/>
      <c r="W636" s="799"/>
      <c r="X636" s="799"/>
      <c r="Y636" s="799"/>
      <c r="Z636" s="799"/>
    </row>
    <row r="637" ht="49.5" customHeight="1">
      <c r="A637" s="799"/>
      <c r="B637" s="799"/>
      <c r="C637" s="799"/>
      <c r="D637" s="799"/>
      <c r="E637" s="799"/>
      <c r="F637" s="799"/>
      <c r="G637" s="799"/>
      <c r="H637" s="799"/>
      <c r="I637" s="799"/>
      <c r="J637" s="799"/>
      <c r="K637" s="799"/>
      <c r="L637" s="885"/>
      <c r="M637" s="799"/>
      <c r="N637" s="799"/>
      <c r="O637" s="799"/>
      <c r="P637" s="799"/>
      <c r="Q637" s="799"/>
      <c r="R637" s="799"/>
      <c r="S637" s="799"/>
      <c r="T637" s="799"/>
      <c r="U637" s="799"/>
      <c r="V637" s="799"/>
      <c r="W637" s="799"/>
      <c r="X637" s="799"/>
      <c r="Y637" s="799"/>
      <c r="Z637" s="799"/>
    </row>
    <row r="638" ht="49.5" customHeight="1">
      <c r="A638" s="799"/>
      <c r="B638" s="799"/>
      <c r="C638" s="799"/>
      <c r="D638" s="799"/>
      <c r="E638" s="799"/>
      <c r="F638" s="799"/>
      <c r="G638" s="799"/>
      <c r="H638" s="799"/>
      <c r="I638" s="799"/>
      <c r="J638" s="799"/>
      <c r="K638" s="799"/>
      <c r="L638" s="885"/>
      <c r="M638" s="799"/>
      <c r="N638" s="799"/>
      <c r="O638" s="799"/>
      <c r="P638" s="799"/>
      <c r="Q638" s="799"/>
      <c r="R638" s="799"/>
      <c r="S638" s="799"/>
      <c r="T638" s="799"/>
      <c r="U638" s="799"/>
      <c r="V638" s="799"/>
      <c r="W638" s="799"/>
      <c r="X638" s="799"/>
      <c r="Y638" s="799"/>
      <c r="Z638" s="799"/>
    </row>
    <row r="639" ht="49.5" customHeight="1">
      <c r="A639" s="799"/>
      <c r="B639" s="799"/>
      <c r="C639" s="799"/>
      <c r="D639" s="799"/>
      <c r="E639" s="799"/>
      <c r="F639" s="799"/>
      <c r="G639" s="799"/>
      <c r="H639" s="799"/>
      <c r="I639" s="799"/>
      <c r="J639" s="799"/>
      <c r="K639" s="799"/>
      <c r="L639" s="885"/>
      <c r="M639" s="799"/>
      <c r="N639" s="799"/>
      <c r="O639" s="799"/>
      <c r="P639" s="799"/>
      <c r="Q639" s="799"/>
      <c r="R639" s="799"/>
      <c r="S639" s="799"/>
      <c r="T639" s="799"/>
      <c r="U639" s="799"/>
      <c r="V639" s="799"/>
      <c r="W639" s="799"/>
      <c r="X639" s="799"/>
      <c r="Y639" s="799"/>
      <c r="Z639" s="799"/>
    </row>
    <row r="640" ht="49.5" customHeight="1">
      <c r="A640" s="799"/>
      <c r="B640" s="799"/>
      <c r="C640" s="799"/>
      <c r="D640" s="799"/>
      <c r="E640" s="799"/>
      <c r="F640" s="799"/>
      <c r="G640" s="799"/>
      <c r="H640" s="799"/>
      <c r="I640" s="799"/>
      <c r="J640" s="799"/>
      <c r="K640" s="799"/>
      <c r="L640" s="885"/>
      <c r="M640" s="799"/>
      <c r="N640" s="799"/>
      <c r="O640" s="799"/>
      <c r="P640" s="799"/>
      <c r="Q640" s="799"/>
      <c r="R640" s="799"/>
      <c r="S640" s="799"/>
      <c r="T640" s="799"/>
      <c r="U640" s="799"/>
      <c r="V640" s="799"/>
      <c r="W640" s="799"/>
      <c r="X640" s="799"/>
      <c r="Y640" s="799"/>
      <c r="Z640" s="799"/>
    </row>
    <row r="641" ht="49.5" customHeight="1">
      <c r="A641" s="799"/>
      <c r="B641" s="799"/>
      <c r="C641" s="799"/>
      <c r="D641" s="799"/>
      <c r="E641" s="799"/>
      <c r="F641" s="799"/>
      <c r="G641" s="799"/>
      <c r="H641" s="799"/>
      <c r="I641" s="799"/>
      <c r="J641" s="799"/>
      <c r="K641" s="799"/>
      <c r="L641" s="885"/>
      <c r="M641" s="799"/>
      <c r="N641" s="799"/>
      <c r="O641" s="799"/>
      <c r="P641" s="799"/>
      <c r="Q641" s="799"/>
      <c r="R641" s="799"/>
      <c r="S641" s="799"/>
      <c r="T641" s="799"/>
      <c r="U641" s="799"/>
      <c r="V641" s="799"/>
      <c r="W641" s="799"/>
      <c r="X641" s="799"/>
      <c r="Y641" s="799"/>
      <c r="Z641" s="799"/>
    </row>
    <row r="642" ht="49.5" customHeight="1">
      <c r="A642" s="799"/>
      <c r="B642" s="799"/>
      <c r="C642" s="799"/>
      <c r="D642" s="799"/>
      <c r="E642" s="799"/>
      <c r="F642" s="799"/>
      <c r="G642" s="799"/>
      <c r="H642" s="799"/>
      <c r="I642" s="799"/>
      <c r="J642" s="799"/>
      <c r="K642" s="799"/>
      <c r="L642" s="885"/>
      <c r="M642" s="799"/>
      <c r="N642" s="799"/>
      <c r="O642" s="799"/>
      <c r="P642" s="799"/>
      <c r="Q642" s="799"/>
      <c r="R642" s="799"/>
      <c r="S642" s="799"/>
      <c r="T642" s="799"/>
      <c r="U642" s="799"/>
      <c r="V642" s="799"/>
      <c r="W642" s="799"/>
      <c r="X642" s="799"/>
      <c r="Y642" s="799"/>
      <c r="Z642" s="799"/>
    </row>
    <row r="643" ht="49.5" customHeight="1">
      <c r="A643" s="799"/>
      <c r="B643" s="799"/>
      <c r="C643" s="799"/>
      <c r="D643" s="799"/>
      <c r="E643" s="799"/>
      <c r="F643" s="799"/>
      <c r="G643" s="799"/>
      <c r="H643" s="799"/>
      <c r="I643" s="799"/>
      <c r="J643" s="799"/>
      <c r="K643" s="799"/>
      <c r="L643" s="885"/>
      <c r="M643" s="799"/>
      <c r="N643" s="799"/>
      <c r="O643" s="799"/>
      <c r="P643" s="799"/>
      <c r="Q643" s="799"/>
      <c r="R643" s="799"/>
      <c r="S643" s="799"/>
      <c r="T643" s="799"/>
      <c r="U643" s="799"/>
      <c r="V643" s="799"/>
      <c r="W643" s="799"/>
      <c r="X643" s="799"/>
      <c r="Y643" s="799"/>
      <c r="Z643" s="799"/>
    </row>
    <row r="644" ht="49.5" customHeight="1">
      <c r="A644" s="799"/>
      <c r="B644" s="799"/>
      <c r="C644" s="799"/>
      <c r="D644" s="799"/>
      <c r="E644" s="799"/>
      <c r="F644" s="799"/>
      <c r="G644" s="799"/>
      <c r="H644" s="799"/>
      <c r="I644" s="799"/>
      <c r="J644" s="799"/>
      <c r="K644" s="799"/>
      <c r="L644" s="885"/>
      <c r="M644" s="799"/>
      <c r="N644" s="799"/>
      <c r="O644" s="799"/>
      <c r="P644" s="799"/>
      <c r="Q644" s="799"/>
      <c r="R644" s="799"/>
      <c r="S644" s="799"/>
      <c r="T644" s="799"/>
      <c r="U644" s="799"/>
      <c r="V644" s="799"/>
      <c r="W644" s="799"/>
      <c r="X644" s="799"/>
      <c r="Y644" s="799"/>
      <c r="Z644" s="799"/>
    </row>
    <row r="645" ht="49.5" customHeight="1">
      <c r="A645" s="799"/>
      <c r="B645" s="799"/>
      <c r="C645" s="799"/>
      <c r="D645" s="799"/>
      <c r="E645" s="799"/>
      <c r="F645" s="799"/>
      <c r="G645" s="799"/>
      <c r="H645" s="799"/>
      <c r="I645" s="799"/>
      <c r="J645" s="799"/>
      <c r="K645" s="799"/>
      <c r="L645" s="885"/>
      <c r="M645" s="799"/>
      <c r="N645" s="799"/>
      <c r="O645" s="799"/>
      <c r="P645" s="799"/>
      <c r="Q645" s="799"/>
      <c r="R645" s="799"/>
      <c r="S645" s="799"/>
      <c r="T645" s="799"/>
      <c r="U645" s="799"/>
      <c r="V645" s="799"/>
      <c r="W645" s="799"/>
      <c r="X645" s="799"/>
      <c r="Y645" s="799"/>
      <c r="Z645" s="799"/>
    </row>
    <row r="646" ht="49.5" customHeight="1">
      <c r="A646" s="799"/>
      <c r="B646" s="799"/>
      <c r="C646" s="799"/>
      <c r="D646" s="799"/>
      <c r="E646" s="799"/>
      <c r="F646" s="799"/>
      <c r="G646" s="799"/>
      <c r="H646" s="799"/>
      <c r="I646" s="799"/>
      <c r="J646" s="799"/>
      <c r="K646" s="799"/>
      <c r="L646" s="885"/>
      <c r="M646" s="799"/>
      <c r="N646" s="799"/>
      <c r="O646" s="799"/>
      <c r="P646" s="799"/>
      <c r="Q646" s="799"/>
      <c r="R646" s="799"/>
      <c r="S646" s="799"/>
      <c r="T646" s="799"/>
      <c r="U646" s="799"/>
      <c r="V646" s="799"/>
      <c r="W646" s="799"/>
      <c r="X646" s="799"/>
      <c r="Y646" s="799"/>
      <c r="Z646" s="799"/>
    </row>
    <row r="647" ht="49.5" customHeight="1">
      <c r="A647" s="799"/>
      <c r="B647" s="799"/>
      <c r="C647" s="799"/>
      <c r="D647" s="799"/>
      <c r="E647" s="799"/>
      <c r="F647" s="799"/>
      <c r="G647" s="799"/>
      <c r="H647" s="799"/>
      <c r="I647" s="799"/>
      <c r="J647" s="799"/>
      <c r="K647" s="799"/>
      <c r="L647" s="885"/>
      <c r="M647" s="799"/>
      <c r="N647" s="799"/>
      <c r="O647" s="799"/>
      <c r="P647" s="799"/>
      <c r="Q647" s="799"/>
      <c r="R647" s="799"/>
      <c r="S647" s="799"/>
      <c r="T647" s="799"/>
      <c r="U647" s="799"/>
      <c r="V647" s="799"/>
      <c r="W647" s="799"/>
      <c r="X647" s="799"/>
      <c r="Y647" s="799"/>
      <c r="Z647" s="799"/>
    </row>
    <row r="648" ht="49.5" customHeight="1">
      <c r="A648" s="799"/>
      <c r="B648" s="799"/>
      <c r="C648" s="799"/>
      <c r="D648" s="799"/>
      <c r="E648" s="799"/>
      <c r="F648" s="799"/>
      <c r="G648" s="799"/>
      <c r="H648" s="799"/>
      <c r="I648" s="799"/>
      <c r="J648" s="799"/>
      <c r="K648" s="799"/>
      <c r="L648" s="885"/>
      <c r="M648" s="799"/>
      <c r="N648" s="799"/>
      <c r="O648" s="799"/>
      <c r="P648" s="799"/>
      <c r="Q648" s="799"/>
      <c r="R648" s="799"/>
      <c r="S648" s="799"/>
      <c r="T648" s="799"/>
      <c r="U648" s="799"/>
      <c r="V648" s="799"/>
      <c r="W648" s="799"/>
      <c r="X648" s="799"/>
      <c r="Y648" s="799"/>
      <c r="Z648" s="799"/>
    </row>
    <row r="649" ht="49.5" customHeight="1">
      <c r="A649" s="799"/>
      <c r="B649" s="799"/>
      <c r="C649" s="799"/>
      <c r="D649" s="799"/>
      <c r="E649" s="799"/>
      <c r="F649" s="799"/>
      <c r="G649" s="799"/>
      <c r="H649" s="799"/>
      <c r="I649" s="799"/>
      <c r="J649" s="799"/>
      <c r="K649" s="799"/>
      <c r="L649" s="885"/>
      <c r="M649" s="799"/>
      <c r="N649" s="799"/>
      <c r="O649" s="799"/>
      <c r="P649" s="799"/>
      <c r="Q649" s="799"/>
      <c r="R649" s="799"/>
      <c r="S649" s="799"/>
      <c r="T649" s="799"/>
      <c r="U649" s="799"/>
      <c r="V649" s="799"/>
      <c r="W649" s="799"/>
      <c r="X649" s="799"/>
      <c r="Y649" s="799"/>
      <c r="Z649" s="799"/>
    </row>
    <row r="650" ht="49.5" customHeight="1">
      <c r="A650" s="799"/>
      <c r="B650" s="799"/>
      <c r="C650" s="799"/>
      <c r="D650" s="799"/>
      <c r="E650" s="799"/>
      <c r="F650" s="799"/>
      <c r="G650" s="799"/>
      <c r="H650" s="799"/>
      <c r="I650" s="799"/>
      <c r="J650" s="799"/>
      <c r="K650" s="799"/>
      <c r="L650" s="885"/>
      <c r="M650" s="799"/>
      <c r="N650" s="799"/>
      <c r="O650" s="799"/>
      <c r="P650" s="799"/>
      <c r="Q650" s="799"/>
      <c r="R650" s="799"/>
      <c r="S650" s="799"/>
      <c r="T650" s="799"/>
      <c r="U650" s="799"/>
      <c r="V650" s="799"/>
      <c r="W650" s="799"/>
      <c r="X650" s="799"/>
      <c r="Y650" s="799"/>
      <c r="Z650" s="799"/>
    </row>
    <row r="651" ht="49.5" customHeight="1">
      <c r="A651" s="799"/>
      <c r="B651" s="799"/>
      <c r="C651" s="799"/>
      <c r="D651" s="799"/>
      <c r="E651" s="799"/>
      <c r="F651" s="799"/>
      <c r="G651" s="799"/>
      <c r="H651" s="799"/>
      <c r="I651" s="799"/>
      <c r="J651" s="799"/>
      <c r="K651" s="799"/>
      <c r="L651" s="885"/>
      <c r="M651" s="799"/>
      <c r="N651" s="799"/>
      <c r="O651" s="799"/>
      <c r="P651" s="799"/>
      <c r="Q651" s="799"/>
      <c r="R651" s="799"/>
      <c r="S651" s="799"/>
      <c r="T651" s="799"/>
      <c r="U651" s="799"/>
      <c r="V651" s="799"/>
      <c r="W651" s="799"/>
      <c r="X651" s="799"/>
      <c r="Y651" s="799"/>
      <c r="Z651" s="799"/>
    </row>
    <row r="652" ht="49.5" customHeight="1">
      <c r="A652" s="799"/>
      <c r="B652" s="799"/>
      <c r="C652" s="799"/>
      <c r="D652" s="799"/>
      <c r="E652" s="799"/>
      <c r="F652" s="799"/>
      <c r="G652" s="799"/>
      <c r="H652" s="799"/>
      <c r="I652" s="799"/>
      <c r="J652" s="799"/>
      <c r="K652" s="799"/>
      <c r="L652" s="885"/>
      <c r="M652" s="799"/>
      <c r="N652" s="799"/>
      <c r="O652" s="799"/>
      <c r="P652" s="799"/>
      <c r="Q652" s="799"/>
      <c r="R652" s="799"/>
      <c r="S652" s="799"/>
      <c r="T652" s="799"/>
      <c r="U652" s="799"/>
      <c r="V652" s="799"/>
      <c r="W652" s="799"/>
      <c r="X652" s="799"/>
      <c r="Y652" s="799"/>
      <c r="Z652" s="799"/>
    </row>
    <row r="653" ht="49.5" customHeight="1">
      <c r="A653" s="799"/>
      <c r="B653" s="799"/>
      <c r="C653" s="799"/>
      <c r="D653" s="799"/>
      <c r="E653" s="799"/>
      <c r="F653" s="799"/>
      <c r="G653" s="799"/>
      <c r="H653" s="799"/>
      <c r="I653" s="799"/>
      <c r="J653" s="799"/>
      <c r="K653" s="799"/>
      <c r="L653" s="885"/>
      <c r="M653" s="799"/>
      <c r="N653" s="799"/>
      <c r="O653" s="799"/>
      <c r="P653" s="799"/>
      <c r="Q653" s="799"/>
      <c r="R653" s="799"/>
      <c r="S653" s="799"/>
      <c r="T653" s="799"/>
      <c r="U653" s="799"/>
      <c r="V653" s="799"/>
      <c r="W653" s="799"/>
      <c r="X653" s="799"/>
      <c r="Y653" s="799"/>
      <c r="Z653" s="799"/>
    </row>
    <row r="654" ht="49.5" customHeight="1">
      <c r="A654" s="799"/>
      <c r="B654" s="799"/>
      <c r="C654" s="799"/>
      <c r="D654" s="799"/>
      <c r="E654" s="799"/>
      <c r="F654" s="799"/>
      <c r="G654" s="799"/>
      <c r="H654" s="799"/>
      <c r="I654" s="799"/>
      <c r="J654" s="799"/>
      <c r="K654" s="799"/>
      <c r="L654" s="885"/>
      <c r="M654" s="799"/>
      <c r="N654" s="799"/>
      <c r="O654" s="799"/>
      <c r="P654" s="799"/>
      <c r="Q654" s="799"/>
      <c r="R654" s="799"/>
      <c r="S654" s="799"/>
      <c r="T654" s="799"/>
      <c r="U654" s="799"/>
      <c r="V654" s="799"/>
      <c r="W654" s="799"/>
      <c r="X654" s="799"/>
      <c r="Y654" s="799"/>
      <c r="Z654" s="799"/>
    </row>
    <row r="655" ht="49.5" customHeight="1">
      <c r="A655" s="799"/>
      <c r="B655" s="799"/>
      <c r="C655" s="799"/>
      <c r="D655" s="799"/>
      <c r="E655" s="799"/>
      <c r="F655" s="799"/>
      <c r="G655" s="799"/>
      <c r="H655" s="799"/>
      <c r="I655" s="799"/>
      <c r="J655" s="799"/>
      <c r="K655" s="799"/>
      <c r="L655" s="885"/>
      <c r="M655" s="799"/>
      <c r="N655" s="799"/>
      <c r="O655" s="799"/>
      <c r="P655" s="799"/>
      <c r="Q655" s="799"/>
      <c r="R655" s="799"/>
      <c r="S655" s="799"/>
      <c r="T655" s="799"/>
      <c r="U655" s="799"/>
      <c r="V655" s="799"/>
      <c r="W655" s="799"/>
      <c r="X655" s="799"/>
      <c r="Y655" s="799"/>
      <c r="Z655" s="799"/>
    </row>
    <row r="656" ht="49.5" customHeight="1">
      <c r="A656" s="799"/>
      <c r="B656" s="799"/>
      <c r="C656" s="799"/>
      <c r="D656" s="799"/>
      <c r="E656" s="799"/>
      <c r="F656" s="799"/>
      <c r="G656" s="799"/>
      <c r="H656" s="799"/>
      <c r="I656" s="799"/>
      <c r="J656" s="799"/>
      <c r="K656" s="799"/>
      <c r="L656" s="885"/>
      <c r="M656" s="799"/>
      <c r="N656" s="799"/>
      <c r="O656" s="799"/>
      <c r="P656" s="799"/>
      <c r="Q656" s="799"/>
      <c r="R656" s="799"/>
      <c r="S656" s="799"/>
      <c r="T656" s="799"/>
      <c r="U656" s="799"/>
      <c r="V656" s="799"/>
      <c r="W656" s="799"/>
      <c r="X656" s="799"/>
      <c r="Y656" s="799"/>
      <c r="Z656" s="799"/>
    </row>
    <row r="657" ht="49.5" customHeight="1">
      <c r="A657" s="799"/>
      <c r="B657" s="799"/>
      <c r="C657" s="799"/>
      <c r="D657" s="799"/>
      <c r="E657" s="799"/>
      <c r="F657" s="799"/>
      <c r="G657" s="799"/>
      <c r="H657" s="799"/>
      <c r="I657" s="799"/>
      <c r="J657" s="799"/>
      <c r="K657" s="799"/>
      <c r="L657" s="885"/>
      <c r="M657" s="799"/>
      <c r="N657" s="799"/>
      <c r="O657" s="799"/>
      <c r="P657" s="799"/>
      <c r="Q657" s="799"/>
      <c r="R657" s="799"/>
      <c r="S657" s="799"/>
      <c r="T657" s="799"/>
      <c r="U657" s="799"/>
      <c r="V657" s="799"/>
      <c r="W657" s="799"/>
      <c r="X657" s="799"/>
      <c r="Y657" s="799"/>
      <c r="Z657" s="799"/>
    </row>
    <row r="658" ht="49.5" customHeight="1">
      <c r="A658" s="799"/>
      <c r="B658" s="799"/>
      <c r="C658" s="799"/>
      <c r="D658" s="799"/>
      <c r="E658" s="799"/>
      <c r="F658" s="799"/>
      <c r="G658" s="799"/>
      <c r="H658" s="799"/>
      <c r="I658" s="799"/>
      <c r="J658" s="799"/>
      <c r="K658" s="799"/>
      <c r="L658" s="885"/>
      <c r="M658" s="799"/>
      <c r="N658" s="799"/>
      <c r="O658" s="799"/>
      <c r="P658" s="799"/>
      <c r="Q658" s="799"/>
      <c r="R658" s="799"/>
      <c r="S658" s="799"/>
      <c r="T658" s="799"/>
      <c r="U658" s="799"/>
      <c r="V658" s="799"/>
      <c r="W658" s="799"/>
      <c r="X658" s="799"/>
      <c r="Y658" s="799"/>
      <c r="Z658" s="799"/>
    </row>
    <row r="659" ht="49.5" customHeight="1">
      <c r="A659" s="799"/>
      <c r="B659" s="799"/>
      <c r="C659" s="799"/>
      <c r="D659" s="799"/>
      <c r="E659" s="799"/>
      <c r="F659" s="799"/>
      <c r="G659" s="799"/>
      <c r="H659" s="799"/>
      <c r="I659" s="799"/>
      <c r="J659" s="799"/>
      <c r="K659" s="799"/>
      <c r="L659" s="885"/>
      <c r="M659" s="799"/>
      <c r="N659" s="799"/>
      <c r="O659" s="799"/>
      <c r="P659" s="799"/>
      <c r="Q659" s="799"/>
      <c r="R659" s="799"/>
      <c r="S659" s="799"/>
      <c r="T659" s="799"/>
      <c r="U659" s="799"/>
      <c r="V659" s="799"/>
      <c r="W659" s="799"/>
      <c r="X659" s="799"/>
      <c r="Y659" s="799"/>
      <c r="Z659" s="799"/>
    </row>
    <row r="660" ht="49.5" customHeight="1">
      <c r="A660" s="799"/>
      <c r="B660" s="799"/>
      <c r="C660" s="799"/>
      <c r="D660" s="799"/>
      <c r="E660" s="799"/>
      <c r="F660" s="799"/>
      <c r="G660" s="799"/>
      <c r="H660" s="799"/>
      <c r="I660" s="799"/>
      <c r="J660" s="799"/>
      <c r="K660" s="799"/>
      <c r="L660" s="885"/>
      <c r="M660" s="799"/>
      <c r="N660" s="799"/>
      <c r="O660" s="799"/>
      <c r="P660" s="799"/>
      <c r="Q660" s="799"/>
      <c r="R660" s="799"/>
      <c r="S660" s="799"/>
      <c r="T660" s="799"/>
      <c r="U660" s="799"/>
      <c r="V660" s="799"/>
      <c r="W660" s="799"/>
      <c r="X660" s="799"/>
      <c r="Y660" s="799"/>
      <c r="Z660" s="799"/>
    </row>
    <row r="661" ht="49.5" customHeight="1">
      <c r="A661" s="799"/>
      <c r="B661" s="799"/>
      <c r="C661" s="799"/>
      <c r="D661" s="799"/>
      <c r="E661" s="799"/>
      <c r="F661" s="799"/>
      <c r="G661" s="799"/>
      <c r="H661" s="799"/>
      <c r="I661" s="799"/>
      <c r="J661" s="799"/>
      <c r="K661" s="799"/>
      <c r="L661" s="885"/>
      <c r="M661" s="799"/>
      <c r="N661" s="799"/>
      <c r="O661" s="799"/>
      <c r="P661" s="799"/>
      <c r="Q661" s="799"/>
      <c r="R661" s="799"/>
      <c r="S661" s="799"/>
      <c r="T661" s="799"/>
      <c r="U661" s="799"/>
      <c r="V661" s="799"/>
      <c r="W661" s="799"/>
      <c r="X661" s="799"/>
      <c r="Y661" s="799"/>
      <c r="Z661" s="799"/>
    </row>
    <row r="662" ht="49.5" customHeight="1">
      <c r="A662" s="799"/>
      <c r="B662" s="799"/>
      <c r="C662" s="799"/>
      <c r="D662" s="799"/>
      <c r="E662" s="799"/>
      <c r="F662" s="799"/>
      <c r="G662" s="799"/>
      <c r="H662" s="799"/>
      <c r="I662" s="799"/>
      <c r="J662" s="799"/>
      <c r="K662" s="799"/>
      <c r="L662" s="885"/>
      <c r="M662" s="799"/>
      <c r="N662" s="799"/>
      <c r="O662" s="799"/>
      <c r="P662" s="799"/>
      <c r="Q662" s="799"/>
      <c r="R662" s="799"/>
      <c r="S662" s="799"/>
      <c r="T662" s="799"/>
      <c r="U662" s="799"/>
      <c r="V662" s="799"/>
      <c r="W662" s="799"/>
      <c r="X662" s="799"/>
      <c r="Y662" s="799"/>
      <c r="Z662" s="799"/>
    </row>
    <row r="663" ht="49.5" customHeight="1">
      <c r="A663" s="799"/>
      <c r="B663" s="799"/>
      <c r="C663" s="799"/>
      <c r="D663" s="799"/>
      <c r="E663" s="799"/>
      <c r="F663" s="799"/>
      <c r="G663" s="799"/>
      <c r="H663" s="799"/>
      <c r="I663" s="799"/>
      <c r="J663" s="799"/>
      <c r="K663" s="799"/>
      <c r="L663" s="885"/>
      <c r="M663" s="799"/>
      <c r="N663" s="799"/>
      <c r="O663" s="799"/>
      <c r="P663" s="799"/>
      <c r="Q663" s="799"/>
      <c r="R663" s="799"/>
      <c r="S663" s="799"/>
      <c r="T663" s="799"/>
      <c r="U663" s="799"/>
      <c r="V663" s="799"/>
      <c r="W663" s="799"/>
      <c r="X663" s="799"/>
      <c r="Y663" s="799"/>
      <c r="Z663" s="799"/>
    </row>
    <row r="664" ht="49.5" customHeight="1">
      <c r="A664" s="799"/>
      <c r="B664" s="799"/>
      <c r="C664" s="799"/>
      <c r="D664" s="799"/>
      <c r="E664" s="799"/>
      <c r="F664" s="799"/>
      <c r="G664" s="799"/>
      <c r="H664" s="799"/>
      <c r="I664" s="799"/>
      <c r="J664" s="799"/>
      <c r="K664" s="799"/>
      <c r="L664" s="885"/>
      <c r="M664" s="799"/>
      <c r="N664" s="799"/>
      <c r="O664" s="799"/>
      <c r="P664" s="799"/>
      <c r="Q664" s="799"/>
      <c r="R664" s="799"/>
      <c r="S664" s="799"/>
      <c r="T664" s="799"/>
      <c r="U664" s="799"/>
      <c r="V664" s="799"/>
      <c r="W664" s="799"/>
      <c r="X664" s="799"/>
      <c r="Y664" s="799"/>
      <c r="Z664" s="799"/>
    </row>
    <row r="665" ht="49.5" customHeight="1">
      <c r="A665" s="799"/>
      <c r="B665" s="799"/>
      <c r="C665" s="799"/>
      <c r="D665" s="799"/>
      <c r="E665" s="799"/>
      <c r="F665" s="799"/>
      <c r="G665" s="799"/>
      <c r="H665" s="799"/>
      <c r="I665" s="799"/>
      <c r="J665" s="799"/>
      <c r="K665" s="799"/>
      <c r="L665" s="885"/>
      <c r="M665" s="799"/>
      <c r="N665" s="799"/>
      <c r="O665" s="799"/>
      <c r="P665" s="799"/>
      <c r="Q665" s="799"/>
      <c r="R665" s="799"/>
      <c r="S665" s="799"/>
      <c r="T665" s="799"/>
      <c r="U665" s="799"/>
      <c r="V665" s="799"/>
      <c r="W665" s="799"/>
      <c r="X665" s="799"/>
      <c r="Y665" s="799"/>
      <c r="Z665" s="799"/>
    </row>
    <row r="666" ht="49.5" customHeight="1">
      <c r="A666" s="799"/>
      <c r="B666" s="799"/>
      <c r="C666" s="799"/>
      <c r="D666" s="799"/>
      <c r="E666" s="799"/>
      <c r="F666" s="799"/>
      <c r="G666" s="799"/>
      <c r="H666" s="799"/>
      <c r="I666" s="799"/>
      <c r="J666" s="799"/>
      <c r="K666" s="799"/>
      <c r="L666" s="885"/>
      <c r="M666" s="799"/>
      <c r="N666" s="799"/>
      <c r="O666" s="799"/>
      <c r="P666" s="799"/>
      <c r="Q666" s="799"/>
      <c r="R666" s="799"/>
      <c r="S666" s="799"/>
      <c r="T666" s="799"/>
      <c r="U666" s="799"/>
      <c r="V666" s="799"/>
      <c r="W666" s="799"/>
      <c r="X666" s="799"/>
      <c r="Y666" s="799"/>
      <c r="Z666" s="799"/>
    </row>
    <row r="667" ht="49.5" customHeight="1">
      <c r="A667" s="799"/>
      <c r="B667" s="799"/>
      <c r="C667" s="799"/>
      <c r="D667" s="799"/>
      <c r="E667" s="799"/>
      <c r="F667" s="799"/>
      <c r="G667" s="799"/>
      <c r="H667" s="799"/>
      <c r="I667" s="799"/>
      <c r="J667" s="799"/>
      <c r="K667" s="799"/>
      <c r="L667" s="885"/>
      <c r="M667" s="799"/>
      <c r="N667" s="799"/>
      <c r="O667" s="799"/>
      <c r="P667" s="799"/>
      <c r="Q667" s="799"/>
      <c r="R667" s="799"/>
      <c r="S667" s="799"/>
      <c r="T667" s="799"/>
      <c r="U667" s="799"/>
      <c r="V667" s="799"/>
      <c r="W667" s="799"/>
      <c r="X667" s="799"/>
      <c r="Y667" s="799"/>
      <c r="Z667" s="799"/>
    </row>
    <row r="668" ht="49.5" customHeight="1">
      <c r="A668" s="799"/>
      <c r="B668" s="799"/>
      <c r="C668" s="799"/>
      <c r="D668" s="799"/>
      <c r="E668" s="799"/>
      <c r="F668" s="799"/>
      <c r="G668" s="799"/>
      <c r="H668" s="799"/>
      <c r="I668" s="799"/>
      <c r="J668" s="799"/>
      <c r="K668" s="799"/>
      <c r="L668" s="885"/>
      <c r="M668" s="799"/>
      <c r="N668" s="799"/>
      <c r="O668" s="799"/>
      <c r="P668" s="799"/>
      <c r="Q668" s="799"/>
      <c r="R668" s="799"/>
      <c r="S668" s="799"/>
      <c r="T668" s="799"/>
      <c r="U668" s="799"/>
      <c r="V668" s="799"/>
      <c r="W668" s="799"/>
      <c r="X668" s="799"/>
      <c r="Y668" s="799"/>
      <c r="Z668" s="799"/>
    </row>
    <row r="669" ht="49.5" customHeight="1">
      <c r="A669" s="799"/>
      <c r="B669" s="799"/>
      <c r="C669" s="799"/>
      <c r="D669" s="799"/>
      <c r="E669" s="799"/>
      <c r="F669" s="799"/>
      <c r="G669" s="799"/>
      <c r="H669" s="799"/>
      <c r="I669" s="799"/>
      <c r="J669" s="799"/>
      <c r="K669" s="799"/>
      <c r="L669" s="885"/>
      <c r="M669" s="799"/>
      <c r="N669" s="799"/>
      <c r="O669" s="799"/>
      <c r="P669" s="799"/>
      <c r="Q669" s="799"/>
      <c r="R669" s="799"/>
      <c r="S669" s="799"/>
      <c r="T669" s="799"/>
      <c r="U669" s="799"/>
      <c r="V669" s="799"/>
      <c r="W669" s="799"/>
      <c r="X669" s="799"/>
      <c r="Y669" s="799"/>
      <c r="Z669" s="799"/>
    </row>
    <row r="670" ht="49.5" customHeight="1">
      <c r="A670" s="799"/>
      <c r="B670" s="799"/>
      <c r="C670" s="799"/>
      <c r="D670" s="799"/>
      <c r="E670" s="799"/>
      <c r="F670" s="799"/>
      <c r="G670" s="799"/>
      <c r="H670" s="799"/>
      <c r="I670" s="799"/>
      <c r="J670" s="799"/>
      <c r="K670" s="799"/>
      <c r="L670" s="885"/>
      <c r="M670" s="799"/>
      <c r="N670" s="799"/>
      <c r="O670" s="799"/>
      <c r="P670" s="799"/>
      <c r="Q670" s="799"/>
      <c r="R670" s="799"/>
      <c r="S670" s="799"/>
      <c r="T670" s="799"/>
      <c r="U670" s="799"/>
      <c r="V670" s="799"/>
      <c r="W670" s="799"/>
      <c r="X670" s="799"/>
      <c r="Y670" s="799"/>
      <c r="Z670" s="799"/>
    </row>
    <row r="671" ht="49.5" customHeight="1">
      <c r="A671" s="799"/>
      <c r="B671" s="799"/>
      <c r="C671" s="799"/>
      <c r="D671" s="799"/>
      <c r="E671" s="799"/>
      <c r="F671" s="799"/>
      <c r="G671" s="799"/>
      <c r="H671" s="799"/>
      <c r="I671" s="799"/>
      <c r="J671" s="799"/>
      <c r="K671" s="799"/>
      <c r="L671" s="885"/>
      <c r="M671" s="799"/>
      <c r="N671" s="799"/>
      <c r="O671" s="799"/>
      <c r="P671" s="799"/>
      <c r="Q671" s="799"/>
      <c r="R671" s="799"/>
      <c r="S671" s="799"/>
      <c r="T671" s="799"/>
      <c r="U671" s="799"/>
      <c r="V671" s="799"/>
      <c r="W671" s="799"/>
      <c r="X671" s="799"/>
      <c r="Y671" s="799"/>
      <c r="Z671" s="799"/>
    </row>
    <row r="672" ht="49.5" customHeight="1">
      <c r="A672" s="799"/>
      <c r="B672" s="799"/>
      <c r="C672" s="799"/>
      <c r="D672" s="799"/>
      <c r="E672" s="799"/>
      <c r="F672" s="799"/>
      <c r="G672" s="799"/>
      <c r="H672" s="799"/>
      <c r="I672" s="799"/>
      <c r="J672" s="799"/>
      <c r="K672" s="799"/>
      <c r="L672" s="885"/>
      <c r="M672" s="799"/>
      <c r="N672" s="799"/>
      <c r="O672" s="799"/>
      <c r="P672" s="799"/>
      <c r="Q672" s="799"/>
      <c r="R672" s="799"/>
      <c r="S672" s="799"/>
      <c r="T672" s="799"/>
      <c r="U672" s="799"/>
      <c r="V672" s="799"/>
      <c r="W672" s="799"/>
      <c r="X672" s="799"/>
      <c r="Y672" s="799"/>
      <c r="Z672" s="799"/>
    </row>
    <row r="673" ht="49.5" customHeight="1">
      <c r="A673" s="799"/>
      <c r="B673" s="799"/>
      <c r="C673" s="799"/>
      <c r="D673" s="799"/>
      <c r="E673" s="799"/>
      <c r="F673" s="799"/>
      <c r="G673" s="799"/>
      <c r="H673" s="799"/>
      <c r="I673" s="799"/>
      <c r="J673" s="799"/>
      <c r="K673" s="799"/>
      <c r="L673" s="885"/>
      <c r="M673" s="799"/>
      <c r="N673" s="799"/>
      <c r="O673" s="799"/>
      <c r="P673" s="799"/>
      <c r="Q673" s="799"/>
      <c r="R673" s="799"/>
      <c r="S673" s="799"/>
      <c r="T673" s="799"/>
      <c r="U673" s="799"/>
      <c r="V673" s="799"/>
      <c r="W673" s="799"/>
      <c r="X673" s="799"/>
      <c r="Y673" s="799"/>
      <c r="Z673" s="799"/>
    </row>
    <row r="674" ht="49.5" customHeight="1">
      <c r="A674" s="799"/>
      <c r="B674" s="799"/>
      <c r="C674" s="799"/>
      <c r="D674" s="799"/>
      <c r="E674" s="799"/>
      <c r="F674" s="799"/>
      <c r="G674" s="799"/>
      <c r="H674" s="799"/>
      <c r="I674" s="799"/>
      <c r="J674" s="799"/>
      <c r="K674" s="799"/>
      <c r="L674" s="885"/>
      <c r="M674" s="799"/>
      <c r="N674" s="799"/>
      <c r="O674" s="799"/>
      <c r="P674" s="799"/>
      <c r="Q674" s="799"/>
      <c r="R674" s="799"/>
      <c r="S674" s="799"/>
      <c r="T674" s="799"/>
      <c r="U674" s="799"/>
      <c r="V674" s="799"/>
      <c r="W674" s="799"/>
      <c r="X674" s="799"/>
      <c r="Y674" s="799"/>
      <c r="Z674" s="799"/>
    </row>
    <row r="675" ht="49.5" customHeight="1">
      <c r="A675" s="799"/>
      <c r="B675" s="799"/>
      <c r="C675" s="799"/>
      <c r="D675" s="799"/>
      <c r="E675" s="799"/>
      <c r="F675" s="799"/>
      <c r="G675" s="799"/>
      <c r="H675" s="799"/>
      <c r="I675" s="799"/>
      <c r="J675" s="799"/>
      <c r="K675" s="799"/>
      <c r="L675" s="885"/>
      <c r="M675" s="799"/>
      <c r="N675" s="799"/>
      <c r="O675" s="799"/>
      <c r="P675" s="799"/>
      <c r="Q675" s="799"/>
      <c r="R675" s="799"/>
      <c r="S675" s="799"/>
      <c r="T675" s="799"/>
      <c r="U675" s="799"/>
      <c r="V675" s="799"/>
      <c r="W675" s="799"/>
      <c r="X675" s="799"/>
      <c r="Y675" s="799"/>
      <c r="Z675" s="799"/>
    </row>
    <row r="676" ht="49.5" customHeight="1">
      <c r="A676" s="799"/>
      <c r="B676" s="799"/>
      <c r="C676" s="799"/>
      <c r="D676" s="799"/>
      <c r="E676" s="799"/>
      <c r="F676" s="799"/>
      <c r="G676" s="799"/>
      <c r="H676" s="799"/>
      <c r="I676" s="799"/>
      <c r="J676" s="799"/>
      <c r="K676" s="799"/>
      <c r="L676" s="885"/>
      <c r="M676" s="799"/>
      <c r="N676" s="799"/>
      <c r="O676" s="799"/>
      <c r="P676" s="799"/>
      <c r="Q676" s="799"/>
      <c r="R676" s="799"/>
      <c r="S676" s="799"/>
      <c r="T676" s="799"/>
      <c r="U676" s="799"/>
      <c r="V676" s="799"/>
      <c r="W676" s="799"/>
      <c r="X676" s="799"/>
      <c r="Y676" s="799"/>
      <c r="Z676" s="799"/>
    </row>
    <row r="677" ht="49.5" customHeight="1">
      <c r="A677" s="799"/>
      <c r="B677" s="799"/>
      <c r="C677" s="799"/>
      <c r="D677" s="799"/>
      <c r="E677" s="799"/>
      <c r="F677" s="799"/>
      <c r="G677" s="799"/>
      <c r="H677" s="799"/>
      <c r="I677" s="799"/>
      <c r="J677" s="799"/>
      <c r="K677" s="799"/>
      <c r="L677" s="885"/>
      <c r="M677" s="799"/>
      <c r="N677" s="799"/>
      <c r="O677" s="799"/>
      <c r="P677" s="799"/>
      <c r="Q677" s="799"/>
      <c r="R677" s="799"/>
      <c r="S677" s="799"/>
      <c r="T677" s="799"/>
      <c r="U677" s="799"/>
      <c r="V677" s="799"/>
      <c r="W677" s="799"/>
      <c r="X677" s="799"/>
      <c r="Y677" s="799"/>
      <c r="Z677" s="799"/>
    </row>
    <row r="678" ht="49.5" customHeight="1">
      <c r="A678" s="799"/>
      <c r="B678" s="799"/>
      <c r="C678" s="799"/>
      <c r="D678" s="799"/>
      <c r="E678" s="799"/>
      <c r="F678" s="799"/>
      <c r="G678" s="799"/>
      <c r="H678" s="799"/>
      <c r="I678" s="799"/>
      <c r="J678" s="799"/>
      <c r="K678" s="799"/>
      <c r="L678" s="885"/>
      <c r="M678" s="799"/>
      <c r="N678" s="799"/>
      <c r="O678" s="799"/>
      <c r="P678" s="799"/>
      <c r="Q678" s="799"/>
      <c r="R678" s="799"/>
      <c r="S678" s="799"/>
      <c r="T678" s="799"/>
      <c r="U678" s="799"/>
      <c r="V678" s="799"/>
      <c r="W678" s="799"/>
      <c r="X678" s="799"/>
      <c r="Y678" s="799"/>
      <c r="Z678" s="799"/>
    </row>
    <row r="679" ht="49.5" customHeight="1">
      <c r="A679" s="799"/>
      <c r="B679" s="799"/>
      <c r="C679" s="799"/>
      <c r="D679" s="799"/>
      <c r="E679" s="799"/>
      <c r="F679" s="799"/>
      <c r="G679" s="799"/>
      <c r="H679" s="799"/>
      <c r="I679" s="799"/>
      <c r="J679" s="799"/>
      <c r="K679" s="799"/>
      <c r="L679" s="885"/>
      <c r="M679" s="799"/>
      <c r="N679" s="799"/>
      <c r="O679" s="799"/>
      <c r="P679" s="799"/>
      <c r="Q679" s="799"/>
      <c r="R679" s="799"/>
      <c r="S679" s="799"/>
      <c r="T679" s="799"/>
      <c r="U679" s="799"/>
      <c r="V679" s="799"/>
      <c r="W679" s="799"/>
      <c r="X679" s="799"/>
      <c r="Y679" s="799"/>
      <c r="Z679" s="799"/>
    </row>
    <row r="680" ht="49.5" customHeight="1">
      <c r="A680" s="799"/>
      <c r="B680" s="799"/>
      <c r="C680" s="799"/>
      <c r="D680" s="799"/>
      <c r="E680" s="799"/>
      <c r="F680" s="799"/>
      <c r="G680" s="799"/>
      <c r="H680" s="799"/>
      <c r="I680" s="799"/>
      <c r="J680" s="799"/>
      <c r="K680" s="799"/>
      <c r="L680" s="885"/>
      <c r="M680" s="799"/>
      <c r="N680" s="799"/>
      <c r="O680" s="799"/>
      <c r="P680" s="799"/>
      <c r="Q680" s="799"/>
      <c r="R680" s="799"/>
      <c r="S680" s="799"/>
      <c r="T680" s="799"/>
      <c r="U680" s="799"/>
      <c r="V680" s="799"/>
      <c r="W680" s="799"/>
      <c r="X680" s="799"/>
      <c r="Y680" s="799"/>
      <c r="Z680" s="799"/>
    </row>
    <row r="681" ht="49.5" customHeight="1">
      <c r="A681" s="799"/>
      <c r="B681" s="799"/>
      <c r="C681" s="799"/>
      <c r="D681" s="799"/>
      <c r="E681" s="799"/>
      <c r="F681" s="799"/>
      <c r="G681" s="799"/>
      <c r="H681" s="799"/>
      <c r="I681" s="799"/>
      <c r="J681" s="799"/>
      <c r="K681" s="799"/>
      <c r="L681" s="885"/>
      <c r="M681" s="799"/>
      <c r="N681" s="799"/>
      <c r="O681" s="799"/>
      <c r="P681" s="799"/>
      <c r="Q681" s="799"/>
      <c r="R681" s="799"/>
      <c r="S681" s="799"/>
      <c r="T681" s="799"/>
      <c r="U681" s="799"/>
      <c r="V681" s="799"/>
      <c r="W681" s="799"/>
      <c r="X681" s="799"/>
      <c r="Y681" s="799"/>
      <c r="Z681" s="799"/>
    </row>
    <row r="682" ht="49.5" customHeight="1">
      <c r="A682" s="799"/>
      <c r="B682" s="799"/>
      <c r="C682" s="799"/>
      <c r="D682" s="799"/>
      <c r="E682" s="799"/>
      <c r="F682" s="799"/>
      <c r="G682" s="799"/>
      <c r="H682" s="799"/>
      <c r="I682" s="799"/>
      <c r="J682" s="799"/>
      <c r="K682" s="799"/>
      <c r="L682" s="885"/>
      <c r="M682" s="799"/>
      <c r="N682" s="799"/>
      <c r="O682" s="799"/>
      <c r="P682" s="799"/>
      <c r="Q682" s="799"/>
      <c r="R682" s="799"/>
      <c r="S682" s="799"/>
      <c r="T682" s="799"/>
      <c r="U682" s="799"/>
      <c r="V682" s="799"/>
      <c r="W682" s="799"/>
      <c r="X682" s="799"/>
      <c r="Y682" s="799"/>
      <c r="Z682" s="799"/>
    </row>
    <row r="683" ht="49.5" customHeight="1">
      <c r="A683" s="799"/>
      <c r="B683" s="799"/>
      <c r="C683" s="799"/>
      <c r="D683" s="799"/>
      <c r="E683" s="799"/>
      <c r="F683" s="799"/>
      <c r="G683" s="799"/>
      <c r="H683" s="799"/>
      <c r="I683" s="799"/>
      <c r="J683" s="799"/>
      <c r="K683" s="799"/>
      <c r="L683" s="885"/>
      <c r="M683" s="799"/>
      <c r="N683" s="799"/>
      <c r="O683" s="799"/>
      <c r="P683" s="799"/>
      <c r="Q683" s="799"/>
      <c r="R683" s="799"/>
      <c r="S683" s="799"/>
      <c r="T683" s="799"/>
      <c r="U683" s="799"/>
      <c r="V683" s="799"/>
      <c r="W683" s="799"/>
      <c r="X683" s="799"/>
      <c r="Y683" s="799"/>
      <c r="Z683" s="799"/>
    </row>
    <row r="684" ht="49.5" customHeight="1">
      <c r="A684" s="799"/>
      <c r="B684" s="799"/>
      <c r="C684" s="799"/>
      <c r="D684" s="799"/>
      <c r="E684" s="799"/>
      <c r="F684" s="799"/>
      <c r="G684" s="799"/>
      <c r="H684" s="799"/>
      <c r="I684" s="799"/>
      <c r="J684" s="799"/>
      <c r="K684" s="799"/>
      <c r="L684" s="885"/>
      <c r="M684" s="799"/>
      <c r="N684" s="799"/>
      <c r="O684" s="799"/>
      <c r="P684" s="799"/>
      <c r="Q684" s="799"/>
      <c r="R684" s="799"/>
      <c r="S684" s="799"/>
      <c r="T684" s="799"/>
      <c r="U684" s="799"/>
      <c r="V684" s="799"/>
      <c r="W684" s="799"/>
      <c r="X684" s="799"/>
      <c r="Y684" s="799"/>
      <c r="Z684" s="799"/>
    </row>
    <row r="685" ht="49.5" customHeight="1">
      <c r="A685" s="799"/>
      <c r="B685" s="799"/>
      <c r="C685" s="799"/>
      <c r="D685" s="799"/>
      <c r="E685" s="799"/>
      <c r="F685" s="799"/>
      <c r="G685" s="799"/>
      <c r="H685" s="799"/>
      <c r="I685" s="799"/>
      <c r="J685" s="799"/>
      <c r="K685" s="799"/>
      <c r="L685" s="885"/>
      <c r="M685" s="799"/>
      <c r="N685" s="799"/>
      <c r="O685" s="799"/>
      <c r="P685" s="799"/>
      <c r="Q685" s="799"/>
      <c r="R685" s="799"/>
      <c r="S685" s="799"/>
      <c r="T685" s="799"/>
      <c r="U685" s="799"/>
      <c r="V685" s="799"/>
      <c r="W685" s="799"/>
      <c r="X685" s="799"/>
      <c r="Y685" s="799"/>
      <c r="Z685" s="799"/>
    </row>
    <row r="686" ht="49.5" customHeight="1">
      <c r="A686" s="799"/>
      <c r="B686" s="799"/>
      <c r="C686" s="799"/>
      <c r="D686" s="799"/>
      <c r="E686" s="799"/>
      <c r="F686" s="799"/>
      <c r="G686" s="799"/>
      <c r="H686" s="799"/>
      <c r="I686" s="799"/>
      <c r="J686" s="799"/>
      <c r="K686" s="799"/>
      <c r="L686" s="885"/>
      <c r="M686" s="799"/>
      <c r="N686" s="799"/>
      <c r="O686" s="799"/>
      <c r="P686" s="799"/>
      <c r="Q686" s="799"/>
      <c r="R686" s="799"/>
      <c r="S686" s="799"/>
      <c r="T686" s="799"/>
      <c r="U686" s="799"/>
      <c r="V686" s="799"/>
      <c r="W686" s="799"/>
      <c r="X686" s="799"/>
      <c r="Y686" s="799"/>
      <c r="Z686" s="799"/>
    </row>
    <row r="687" ht="49.5" customHeight="1">
      <c r="A687" s="799"/>
      <c r="B687" s="799"/>
      <c r="C687" s="799"/>
      <c r="D687" s="799"/>
      <c r="E687" s="799"/>
      <c r="F687" s="799"/>
      <c r="G687" s="799"/>
      <c r="H687" s="799"/>
      <c r="I687" s="799"/>
      <c r="J687" s="799"/>
      <c r="K687" s="799"/>
      <c r="L687" s="885"/>
      <c r="M687" s="799"/>
      <c r="N687" s="799"/>
      <c r="O687" s="799"/>
      <c r="P687" s="799"/>
      <c r="Q687" s="799"/>
      <c r="R687" s="799"/>
      <c r="S687" s="799"/>
      <c r="T687" s="799"/>
      <c r="U687" s="799"/>
      <c r="V687" s="799"/>
      <c r="W687" s="799"/>
      <c r="X687" s="799"/>
      <c r="Y687" s="799"/>
      <c r="Z687" s="799"/>
    </row>
    <row r="688" ht="49.5" customHeight="1">
      <c r="A688" s="799"/>
      <c r="B688" s="799"/>
      <c r="C688" s="799"/>
      <c r="D688" s="799"/>
      <c r="E688" s="799"/>
      <c r="F688" s="799"/>
      <c r="G688" s="799"/>
      <c r="H688" s="799"/>
      <c r="I688" s="799"/>
      <c r="J688" s="799"/>
      <c r="K688" s="799"/>
      <c r="L688" s="885"/>
      <c r="M688" s="799"/>
      <c r="N688" s="799"/>
      <c r="O688" s="799"/>
      <c r="P688" s="799"/>
      <c r="Q688" s="799"/>
      <c r="R688" s="799"/>
      <c r="S688" s="799"/>
      <c r="T688" s="799"/>
      <c r="U688" s="799"/>
      <c r="V688" s="799"/>
      <c r="W688" s="799"/>
      <c r="X688" s="799"/>
      <c r="Y688" s="799"/>
      <c r="Z688" s="799"/>
    </row>
    <row r="689" ht="49.5" customHeight="1">
      <c r="A689" s="799"/>
      <c r="B689" s="799"/>
      <c r="C689" s="799"/>
      <c r="D689" s="799"/>
      <c r="E689" s="799"/>
      <c r="F689" s="799"/>
      <c r="G689" s="799"/>
      <c r="H689" s="799"/>
      <c r="I689" s="799"/>
      <c r="J689" s="799"/>
      <c r="K689" s="799"/>
      <c r="L689" s="885"/>
      <c r="M689" s="799"/>
      <c r="N689" s="799"/>
      <c r="O689" s="799"/>
      <c r="P689" s="799"/>
      <c r="Q689" s="799"/>
      <c r="R689" s="799"/>
      <c r="S689" s="799"/>
      <c r="T689" s="799"/>
      <c r="U689" s="799"/>
      <c r="V689" s="799"/>
      <c r="W689" s="799"/>
      <c r="X689" s="799"/>
      <c r="Y689" s="799"/>
      <c r="Z689" s="799"/>
    </row>
    <row r="690" ht="49.5" customHeight="1">
      <c r="A690" s="799"/>
      <c r="B690" s="799"/>
      <c r="C690" s="799"/>
      <c r="D690" s="799"/>
      <c r="E690" s="799"/>
      <c r="F690" s="799"/>
      <c r="G690" s="799"/>
      <c r="H690" s="799"/>
      <c r="I690" s="799"/>
      <c r="J690" s="799"/>
      <c r="K690" s="799"/>
      <c r="L690" s="885"/>
      <c r="M690" s="799"/>
      <c r="N690" s="799"/>
      <c r="O690" s="799"/>
      <c r="P690" s="799"/>
      <c r="Q690" s="799"/>
      <c r="R690" s="799"/>
      <c r="S690" s="799"/>
      <c r="T690" s="799"/>
      <c r="U690" s="799"/>
      <c r="V690" s="799"/>
      <c r="W690" s="799"/>
      <c r="X690" s="799"/>
      <c r="Y690" s="799"/>
      <c r="Z690" s="799"/>
    </row>
    <row r="691" ht="49.5" customHeight="1">
      <c r="A691" s="799"/>
      <c r="B691" s="799"/>
      <c r="C691" s="799"/>
      <c r="D691" s="799"/>
      <c r="E691" s="799"/>
      <c r="F691" s="799"/>
      <c r="G691" s="799"/>
      <c r="H691" s="799"/>
      <c r="I691" s="799"/>
      <c r="J691" s="799"/>
      <c r="K691" s="799"/>
      <c r="L691" s="885"/>
      <c r="M691" s="799"/>
      <c r="N691" s="799"/>
      <c r="O691" s="799"/>
      <c r="P691" s="799"/>
      <c r="Q691" s="799"/>
      <c r="R691" s="799"/>
      <c r="S691" s="799"/>
      <c r="T691" s="799"/>
      <c r="U691" s="799"/>
      <c r="V691" s="799"/>
      <c r="W691" s="799"/>
      <c r="X691" s="799"/>
      <c r="Y691" s="799"/>
      <c r="Z691" s="799"/>
    </row>
    <row r="692" ht="49.5" customHeight="1">
      <c r="A692" s="799"/>
      <c r="B692" s="799"/>
      <c r="C692" s="799"/>
      <c r="D692" s="799"/>
      <c r="E692" s="799"/>
      <c r="F692" s="799"/>
      <c r="G692" s="799"/>
      <c r="H692" s="799"/>
      <c r="I692" s="799"/>
      <c r="J692" s="799"/>
      <c r="K692" s="799"/>
      <c r="L692" s="885"/>
      <c r="M692" s="799"/>
      <c r="N692" s="799"/>
      <c r="O692" s="799"/>
      <c r="P692" s="799"/>
      <c r="Q692" s="799"/>
      <c r="R692" s="799"/>
      <c r="S692" s="799"/>
      <c r="T692" s="799"/>
      <c r="U692" s="799"/>
      <c r="V692" s="799"/>
      <c r="W692" s="799"/>
      <c r="X692" s="799"/>
      <c r="Y692" s="799"/>
      <c r="Z692" s="799"/>
    </row>
    <row r="693" ht="49.5" customHeight="1">
      <c r="A693" s="799"/>
      <c r="B693" s="799"/>
      <c r="C693" s="799"/>
      <c r="D693" s="799"/>
      <c r="E693" s="799"/>
      <c r="F693" s="799"/>
      <c r="G693" s="799"/>
      <c r="H693" s="799"/>
      <c r="I693" s="799"/>
      <c r="J693" s="799"/>
      <c r="K693" s="799"/>
      <c r="L693" s="885"/>
      <c r="M693" s="799"/>
      <c r="N693" s="799"/>
      <c r="O693" s="799"/>
      <c r="P693" s="799"/>
      <c r="Q693" s="799"/>
      <c r="R693" s="799"/>
      <c r="S693" s="799"/>
      <c r="T693" s="799"/>
      <c r="U693" s="799"/>
      <c r="V693" s="799"/>
      <c r="W693" s="799"/>
      <c r="X693" s="799"/>
      <c r="Y693" s="799"/>
      <c r="Z693" s="799"/>
    </row>
    <row r="694" ht="49.5" customHeight="1">
      <c r="A694" s="799"/>
      <c r="B694" s="799"/>
      <c r="C694" s="799"/>
      <c r="D694" s="799"/>
      <c r="E694" s="799"/>
      <c r="F694" s="799"/>
      <c r="G694" s="799"/>
      <c r="H694" s="799"/>
      <c r="I694" s="799"/>
      <c r="J694" s="799"/>
      <c r="K694" s="799"/>
      <c r="L694" s="885"/>
      <c r="M694" s="799"/>
      <c r="N694" s="799"/>
      <c r="O694" s="799"/>
      <c r="P694" s="799"/>
      <c r="Q694" s="799"/>
      <c r="R694" s="799"/>
      <c r="S694" s="799"/>
      <c r="T694" s="799"/>
      <c r="U694" s="799"/>
      <c r="V694" s="799"/>
      <c r="W694" s="799"/>
      <c r="X694" s="799"/>
      <c r="Y694" s="799"/>
      <c r="Z694" s="799"/>
    </row>
    <row r="695" ht="49.5" customHeight="1">
      <c r="A695" s="799"/>
      <c r="B695" s="799"/>
      <c r="C695" s="799"/>
      <c r="D695" s="799"/>
      <c r="E695" s="799"/>
      <c r="F695" s="799"/>
      <c r="G695" s="799"/>
      <c r="H695" s="799"/>
      <c r="I695" s="799"/>
      <c r="J695" s="799"/>
      <c r="K695" s="799"/>
      <c r="L695" s="885"/>
      <c r="M695" s="799"/>
      <c r="N695" s="799"/>
      <c r="O695" s="799"/>
      <c r="P695" s="799"/>
      <c r="Q695" s="799"/>
      <c r="R695" s="799"/>
      <c r="S695" s="799"/>
      <c r="T695" s="799"/>
      <c r="U695" s="799"/>
      <c r="V695" s="799"/>
      <c r="W695" s="799"/>
      <c r="X695" s="799"/>
      <c r="Y695" s="799"/>
      <c r="Z695" s="799"/>
    </row>
    <row r="696" ht="49.5" customHeight="1">
      <c r="A696" s="799"/>
      <c r="B696" s="799"/>
      <c r="C696" s="799"/>
      <c r="D696" s="799"/>
      <c r="E696" s="799"/>
      <c r="F696" s="799"/>
      <c r="G696" s="799"/>
      <c r="H696" s="799"/>
      <c r="I696" s="799"/>
      <c r="J696" s="799"/>
      <c r="K696" s="799"/>
      <c r="L696" s="885"/>
      <c r="M696" s="799"/>
      <c r="N696" s="799"/>
      <c r="O696" s="799"/>
      <c r="P696" s="799"/>
      <c r="Q696" s="799"/>
      <c r="R696" s="799"/>
      <c r="S696" s="799"/>
      <c r="T696" s="799"/>
      <c r="U696" s="799"/>
      <c r="V696" s="799"/>
      <c r="W696" s="799"/>
      <c r="X696" s="799"/>
      <c r="Y696" s="799"/>
      <c r="Z696" s="799"/>
    </row>
    <row r="697" ht="49.5" customHeight="1">
      <c r="A697" s="799"/>
      <c r="B697" s="799"/>
      <c r="C697" s="799"/>
      <c r="D697" s="799"/>
      <c r="E697" s="799"/>
      <c r="F697" s="799"/>
      <c r="G697" s="799"/>
      <c r="H697" s="799"/>
      <c r="I697" s="799"/>
      <c r="J697" s="799"/>
      <c r="K697" s="799"/>
      <c r="L697" s="885"/>
      <c r="M697" s="799"/>
      <c r="N697" s="799"/>
      <c r="O697" s="799"/>
      <c r="P697" s="799"/>
      <c r="Q697" s="799"/>
      <c r="R697" s="799"/>
      <c r="S697" s="799"/>
      <c r="T697" s="799"/>
      <c r="U697" s="799"/>
      <c r="V697" s="799"/>
      <c r="W697" s="799"/>
      <c r="X697" s="799"/>
      <c r="Y697" s="799"/>
      <c r="Z697" s="799"/>
    </row>
    <row r="698" ht="49.5" customHeight="1">
      <c r="A698" s="799"/>
      <c r="B698" s="799"/>
      <c r="C698" s="799"/>
      <c r="D698" s="799"/>
      <c r="E698" s="799"/>
      <c r="F698" s="799"/>
      <c r="G698" s="799"/>
      <c r="H698" s="799"/>
      <c r="I698" s="799"/>
      <c r="J698" s="799"/>
      <c r="K698" s="799"/>
      <c r="L698" s="885"/>
      <c r="M698" s="799"/>
      <c r="N698" s="799"/>
      <c r="O698" s="799"/>
      <c r="P698" s="799"/>
      <c r="Q698" s="799"/>
      <c r="R698" s="799"/>
      <c r="S698" s="799"/>
      <c r="T698" s="799"/>
      <c r="U698" s="799"/>
      <c r="V698" s="799"/>
      <c r="W698" s="799"/>
      <c r="X698" s="799"/>
      <c r="Y698" s="799"/>
      <c r="Z698" s="799"/>
    </row>
    <row r="699" ht="49.5" customHeight="1">
      <c r="A699" s="799"/>
      <c r="B699" s="799"/>
      <c r="C699" s="799"/>
      <c r="D699" s="799"/>
      <c r="E699" s="799"/>
      <c r="F699" s="799"/>
      <c r="G699" s="799"/>
      <c r="H699" s="799"/>
      <c r="I699" s="799"/>
      <c r="J699" s="799"/>
      <c r="K699" s="799"/>
      <c r="L699" s="885"/>
      <c r="M699" s="799"/>
      <c r="N699" s="799"/>
      <c r="O699" s="799"/>
      <c r="P699" s="799"/>
      <c r="Q699" s="799"/>
      <c r="R699" s="799"/>
      <c r="S699" s="799"/>
      <c r="T699" s="799"/>
      <c r="U699" s="799"/>
      <c r="V699" s="799"/>
      <c r="W699" s="799"/>
      <c r="X699" s="799"/>
      <c r="Y699" s="799"/>
      <c r="Z699" s="799"/>
    </row>
    <row r="700" ht="49.5" customHeight="1">
      <c r="A700" s="799"/>
      <c r="B700" s="799"/>
      <c r="C700" s="799"/>
      <c r="D700" s="799"/>
      <c r="E700" s="799"/>
      <c r="F700" s="799"/>
      <c r="G700" s="799"/>
      <c r="H700" s="799"/>
      <c r="I700" s="799"/>
      <c r="J700" s="799"/>
      <c r="K700" s="799"/>
      <c r="L700" s="885"/>
      <c r="M700" s="799"/>
      <c r="N700" s="799"/>
      <c r="O700" s="799"/>
      <c r="P700" s="799"/>
      <c r="Q700" s="799"/>
      <c r="R700" s="799"/>
      <c r="S700" s="799"/>
      <c r="T700" s="799"/>
      <c r="U700" s="799"/>
      <c r="V700" s="799"/>
      <c r="W700" s="799"/>
      <c r="X700" s="799"/>
      <c r="Y700" s="799"/>
      <c r="Z700" s="799"/>
    </row>
    <row r="701" ht="49.5" customHeight="1">
      <c r="A701" s="799"/>
      <c r="B701" s="799"/>
      <c r="C701" s="799"/>
      <c r="D701" s="799"/>
      <c r="E701" s="799"/>
      <c r="F701" s="799"/>
      <c r="G701" s="799"/>
      <c r="H701" s="799"/>
      <c r="I701" s="799"/>
      <c r="J701" s="799"/>
      <c r="K701" s="799"/>
      <c r="L701" s="885"/>
      <c r="M701" s="799"/>
      <c r="N701" s="799"/>
      <c r="O701" s="799"/>
      <c r="P701" s="799"/>
      <c r="Q701" s="799"/>
      <c r="R701" s="799"/>
      <c r="S701" s="799"/>
      <c r="T701" s="799"/>
      <c r="U701" s="799"/>
      <c r="V701" s="799"/>
      <c r="W701" s="799"/>
      <c r="X701" s="799"/>
      <c r="Y701" s="799"/>
      <c r="Z701" s="799"/>
    </row>
    <row r="702" ht="49.5" customHeight="1">
      <c r="A702" s="799"/>
      <c r="B702" s="799"/>
      <c r="C702" s="799"/>
      <c r="D702" s="799"/>
      <c r="E702" s="799"/>
      <c r="F702" s="799"/>
      <c r="G702" s="799"/>
      <c r="H702" s="799"/>
      <c r="I702" s="799"/>
      <c r="J702" s="799"/>
      <c r="K702" s="799"/>
      <c r="L702" s="885"/>
      <c r="M702" s="799"/>
      <c r="N702" s="799"/>
      <c r="O702" s="799"/>
      <c r="P702" s="799"/>
      <c r="Q702" s="799"/>
      <c r="R702" s="799"/>
      <c r="S702" s="799"/>
      <c r="T702" s="799"/>
      <c r="U702" s="799"/>
      <c r="V702" s="799"/>
      <c r="W702" s="799"/>
      <c r="X702" s="799"/>
      <c r="Y702" s="799"/>
      <c r="Z702" s="799"/>
    </row>
    <row r="703" ht="49.5" customHeight="1">
      <c r="A703" s="799"/>
      <c r="B703" s="799"/>
      <c r="C703" s="799"/>
      <c r="D703" s="799"/>
      <c r="E703" s="799"/>
      <c r="F703" s="799"/>
      <c r="G703" s="799"/>
      <c r="H703" s="799"/>
      <c r="I703" s="799"/>
      <c r="J703" s="799"/>
      <c r="K703" s="799"/>
      <c r="L703" s="885"/>
      <c r="M703" s="799"/>
      <c r="N703" s="799"/>
      <c r="O703" s="799"/>
      <c r="P703" s="799"/>
      <c r="Q703" s="799"/>
      <c r="R703" s="799"/>
      <c r="S703" s="799"/>
      <c r="T703" s="799"/>
      <c r="U703" s="799"/>
      <c r="V703" s="799"/>
      <c r="W703" s="799"/>
      <c r="X703" s="799"/>
      <c r="Y703" s="799"/>
      <c r="Z703" s="799"/>
    </row>
    <row r="704" ht="49.5" customHeight="1">
      <c r="A704" s="799"/>
      <c r="B704" s="799"/>
      <c r="C704" s="799"/>
      <c r="D704" s="799"/>
      <c r="E704" s="799"/>
      <c r="F704" s="799"/>
      <c r="G704" s="799"/>
      <c r="H704" s="799"/>
      <c r="I704" s="799"/>
      <c r="J704" s="799"/>
      <c r="K704" s="799"/>
      <c r="L704" s="885"/>
      <c r="M704" s="799"/>
      <c r="N704" s="799"/>
      <c r="O704" s="799"/>
      <c r="P704" s="799"/>
      <c r="Q704" s="799"/>
      <c r="R704" s="799"/>
      <c r="S704" s="799"/>
      <c r="T704" s="799"/>
      <c r="U704" s="799"/>
      <c r="V704" s="799"/>
      <c r="W704" s="799"/>
      <c r="X704" s="799"/>
      <c r="Y704" s="799"/>
      <c r="Z704" s="799"/>
    </row>
    <row r="705" ht="49.5" customHeight="1">
      <c r="A705" s="799"/>
      <c r="B705" s="799"/>
      <c r="C705" s="799"/>
      <c r="D705" s="799"/>
      <c r="E705" s="799"/>
      <c r="F705" s="799"/>
      <c r="G705" s="799"/>
      <c r="H705" s="799"/>
      <c r="I705" s="799"/>
      <c r="J705" s="799"/>
      <c r="K705" s="799"/>
      <c r="L705" s="885"/>
      <c r="M705" s="799"/>
      <c r="N705" s="799"/>
      <c r="O705" s="799"/>
      <c r="P705" s="799"/>
      <c r="Q705" s="799"/>
      <c r="R705" s="799"/>
      <c r="S705" s="799"/>
      <c r="T705" s="799"/>
      <c r="U705" s="799"/>
      <c r="V705" s="799"/>
      <c r="W705" s="799"/>
      <c r="X705" s="799"/>
      <c r="Y705" s="799"/>
      <c r="Z705" s="799"/>
    </row>
    <row r="706" ht="49.5" customHeight="1">
      <c r="A706" s="799"/>
      <c r="B706" s="799"/>
      <c r="C706" s="799"/>
      <c r="D706" s="799"/>
      <c r="E706" s="799"/>
      <c r="F706" s="799"/>
      <c r="G706" s="799"/>
      <c r="H706" s="799"/>
      <c r="I706" s="799"/>
      <c r="J706" s="799"/>
      <c r="K706" s="799"/>
      <c r="L706" s="885"/>
      <c r="M706" s="799"/>
      <c r="N706" s="799"/>
      <c r="O706" s="799"/>
      <c r="P706" s="799"/>
      <c r="Q706" s="799"/>
      <c r="R706" s="799"/>
      <c r="S706" s="799"/>
      <c r="T706" s="799"/>
      <c r="U706" s="799"/>
      <c r="V706" s="799"/>
      <c r="W706" s="799"/>
      <c r="X706" s="799"/>
      <c r="Y706" s="799"/>
      <c r="Z706" s="799"/>
    </row>
    <row r="707" ht="49.5" customHeight="1">
      <c r="A707" s="799"/>
      <c r="B707" s="799"/>
      <c r="C707" s="799"/>
      <c r="D707" s="799"/>
      <c r="E707" s="799"/>
      <c r="F707" s="799"/>
      <c r="G707" s="799"/>
      <c r="H707" s="799"/>
      <c r="I707" s="799"/>
      <c r="J707" s="799"/>
      <c r="K707" s="799"/>
      <c r="L707" s="885"/>
      <c r="M707" s="799"/>
      <c r="N707" s="799"/>
      <c r="O707" s="799"/>
      <c r="P707" s="799"/>
      <c r="Q707" s="799"/>
      <c r="R707" s="799"/>
      <c r="S707" s="799"/>
      <c r="T707" s="799"/>
      <c r="U707" s="799"/>
      <c r="V707" s="799"/>
      <c r="W707" s="799"/>
      <c r="X707" s="799"/>
      <c r="Y707" s="799"/>
      <c r="Z707" s="799"/>
    </row>
    <row r="708" ht="49.5" customHeight="1">
      <c r="A708" s="799"/>
      <c r="B708" s="799"/>
      <c r="C708" s="799"/>
      <c r="D708" s="799"/>
      <c r="E708" s="799"/>
      <c r="F708" s="799"/>
      <c r="G708" s="799"/>
      <c r="H708" s="799"/>
      <c r="I708" s="799"/>
      <c r="J708" s="799"/>
      <c r="K708" s="799"/>
      <c r="L708" s="885"/>
      <c r="M708" s="799"/>
      <c r="N708" s="799"/>
      <c r="O708" s="799"/>
      <c r="P708" s="799"/>
      <c r="Q708" s="799"/>
      <c r="R708" s="799"/>
      <c r="S708" s="799"/>
      <c r="T708" s="799"/>
      <c r="U708" s="799"/>
      <c r="V708" s="799"/>
      <c r="W708" s="799"/>
      <c r="X708" s="799"/>
      <c r="Y708" s="799"/>
      <c r="Z708" s="799"/>
    </row>
    <row r="709" ht="49.5" customHeight="1">
      <c r="A709" s="799"/>
      <c r="B709" s="799"/>
      <c r="C709" s="799"/>
      <c r="D709" s="799"/>
      <c r="E709" s="799"/>
      <c r="F709" s="799"/>
      <c r="G709" s="799"/>
      <c r="H709" s="799"/>
      <c r="I709" s="799"/>
      <c r="J709" s="799"/>
      <c r="K709" s="799"/>
      <c r="L709" s="885"/>
      <c r="M709" s="799"/>
      <c r="N709" s="799"/>
      <c r="O709" s="799"/>
      <c r="P709" s="799"/>
      <c r="Q709" s="799"/>
      <c r="R709" s="799"/>
      <c r="S709" s="799"/>
      <c r="T709" s="799"/>
      <c r="U709" s="799"/>
      <c r="V709" s="799"/>
      <c r="W709" s="799"/>
      <c r="X709" s="799"/>
      <c r="Y709" s="799"/>
      <c r="Z709" s="799"/>
    </row>
    <row r="710" ht="49.5" customHeight="1">
      <c r="A710" s="799"/>
      <c r="B710" s="799"/>
      <c r="C710" s="799"/>
      <c r="D710" s="799"/>
      <c r="E710" s="799"/>
      <c r="F710" s="799"/>
      <c r="G710" s="799"/>
      <c r="H710" s="799"/>
      <c r="I710" s="799"/>
      <c r="J710" s="799"/>
      <c r="K710" s="799"/>
      <c r="L710" s="885"/>
      <c r="M710" s="799"/>
      <c r="N710" s="799"/>
      <c r="O710" s="799"/>
      <c r="P710" s="799"/>
      <c r="Q710" s="799"/>
      <c r="R710" s="799"/>
      <c r="S710" s="799"/>
      <c r="T710" s="799"/>
      <c r="U710" s="799"/>
      <c r="V710" s="799"/>
      <c r="W710" s="799"/>
      <c r="X710" s="799"/>
      <c r="Y710" s="799"/>
      <c r="Z710" s="799"/>
    </row>
    <row r="711" ht="49.5" customHeight="1">
      <c r="A711" s="799"/>
      <c r="B711" s="799"/>
      <c r="C711" s="799"/>
      <c r="D711" s="799"/>
      <c r="E711" s="799"/>
      <c r="F711" s="799"/>
      <c r="G711" s="799"/>
      <c r="H711" s="799"/>
      <c r="I711" s="799"/>
      <c r="J711" s="799"/>
      <c r="K711" s="799"/>
      <c r="L711" s="885"/>
      <c r="M711" s="799"/>
      <c r="N711" s="799"/>
      <c r="O711" s="799"/>
      <c r="P711" s="799"/>
      <c r="Q711" s="799"/>
      <c r="R711" s="799"/>
      <c r="S711" s="799"/>
      <c r="T711" s="799"/>
      <c r="U711" s="799"/>
      <c r="V711" s="799"/>
      <c r="W711" s="799"/>
      <c r="X711" s="799"/>
      <c r="Y711" s="799"/>
      <c r="Z711" s="799"/>
    </row>
    <row r="712" ht="49.5" customHeight="1">
      <c r="A712" s="799"/>
      <c r="B712" s="799"/>
      <c r="C712" s="799"/>
      <c r="D712" s="799"/>
      <c r="E712" s="799"/>
      <c r="F712" s="799"/>
      <c r="G712" s="799"/>
      <c r="H712" s="799"/>
      <c r="I712" s="799"/>
      <c r="J712" s="799"/>
      <c r="K712" s="799"/>
      <c r="L712" s="885"/>
      <c r="M712" s="799"/>
      <c r="N712" s="799"/>
      <c r="O712" s="799"/>
      <c r="P712" s="799"/>
      <c r="Q712" s="799"/>
      <c r="R712" s="799"/>
      <c r="S712" s="799"/>
      <c r="T712" s="799"/>
      <c r="U712" s="799"/>
      <c r="V712" s="799"/>
      <c r="W712" s="799"/>
      <c r="X712" s="799"/>
      <c r="Y712" s="799"/>
      <c r="Z712" s="799"/>
    </row>
    <row r="713" ht="49.5" customHeight="1">
      <c r="A713" s="799"/>
      <c r="B713" s="799"/>
      <c r="C713" s="799"/>
      <c r="D713" s="799"/>
      <c r="E713" s="799"/>
      <c r="F713" s="799"/>
      <c r="G713" s="799"/>
      <c r="H713" s="799"/>
      <c r="I713" s="799"/>
      <c r="J713" s="799"/>
      <c r="K713" s="799"/>
      <c r="L713" s="885"/>
      <c r="M713" s="799"/>
      <c r="N713" s="799"/>
      <c r="O713" s="799"/>
      <c r="P713" s="799"/>
      <c r="Q713" s="799"/>
      <c r="R713" s="799"/>
      <c r="S713" s="799"/>
      <c r="T713" s="799"/>
      <c r="U713" s="799"/>
      <c r="V713" s="799"/>
      <c r="W713" s="799"/>
      <c r="X713" s="799"/>
      <c r="Y713" s="799"/>
      <c r="Z713" s="799"/>
    </row>
    <row r="714" ht="49.5" customHeight="1">
      <c r="A714" s="799"/>
      <c r="B714" s="799"/>
      <c r="C714" s="799"/>
      <c r="D714" s="799"/>
      <c r="E714" s="799"/>
      <c r="F714" s="799"/>
      <c r="G714" s="799"/>
      <c r="H714" s="799"/>
      <c r="I714" s="799"/>
      <c r="J714" s="799"/>
      <c r="K714" s="799"/>
      <c r="L714" s="885"/>
      <c r="M714" s="799"/>
      <c r="N714" s="799"/>
      <c r="O714" s="799"/>
      <c r="P714" s="799"/>
      <c r="Q714" s="799"/>
      <c r="R714" s="799"/>
      <c r="S714" s="799"/>
      <c r="T714" s="799"/>
      <c r="U714" s="799"/>
      <c r="V714" s="799"/>
      <c r="W714" s="799"/>
      <c r="X714" s="799"/>
      <c r="Y714" s="799"/>
      <c r="Z714" s="799"/>
    </row>
    <row r="715" ht="49.5" customHeight="1">
      <c r="A715" s="799"/>
      <c r="B715" s="799"/>
      <c r="C715" s="799"/>
      <c r="D715" s="799"/>
      <c r="E715" s="799"/>
      <c r="F715" s="799"/>
      <c r="G715" s="799"/>
      <c r="H715" s="799"/>
      <c r="I715" s="799"/>
      <c r="J715" s="799"/>
      <c r="K715" s="799"/>
      <c r="L715" s="885"/>
      <c r="M715" s="799"/>
      <c r="N715" s="799"/>
      <c r="O715" s="799"/>
      <c r="P715" s="799"/>
      <c r="Q715" s="799"/>
      <c r="R715" s="799"/>
      <c r="S715" s="799"/>
      <c r="T715" s="799"/>
      <c r="U715" s="799"/>
      <c r="V715" s="799"/>
      <c r="W715" s="799"/>
      <c r="X715" s="799"/>
      <c r="Y715" s="799"/>
      <c r="Z715" s="799"/>
    </row>
    <row r="716" ht="49.5" customHeight="1">
      <c r="A716" s="799"/>
      <c r="B716" s="799"/>
      <c r="C716" s="799"/>
      <c r="D716" s="799"/>
      <c r="E716" s="799"/>
      <c r="F716" s="799"/>
      <c r="G716" s="799"/>
      <c r="H716" s="799"/>
      <c r="I716" s="799"/>
      <c r="J716" s="799"/>
      <c r="K716" s="799"/>
      <c r="L716" s="885"/>
      <c r="M716" s="799"/>
      <c r="N716" s="799"/>
      <c r="O716" s="799"/>
      <c r="P716" s="799"/>
      <c r="Q716" s="799"/>
      <c r="R716" s="799"/>
      <c r="S716" s="799"/>
      <c r="T716" s="799"/>
      <c r="U716" s="799"/>
      <c r="V716" s="799"/>
      <c r="W716" s="799"/>
      <c r="X716" s="799"/>
      <c r="Y716" s="799"/>
      <c r="Z716" s="799"/>
    </row>
    <row r="717" ht="49.5" customHeight="1">
      <c r="A717" s="799"/>
      <c r="B717" s="799"/>
      <c r="C717" s="799"/>
      <c r="D717" s="799"/>
      <c r="E717" s="799"/>
      <c r="F717" s="799"/>
      <c r="G717" s="799"/>
      <c r="H717" s="799"/>
      <c r="I717" s="799"/>
      <c r="J717" s="799"/>
      <c r="K717" s="799"/>
      <c r="L717" s="885"/>
      <c r="M717" s="799"/>
      <c r="N717" s="799"/>
      <c r="O717" s="799"/>
      <c r="P717" s="799"/>
      <c r="Q717" s="799"/>
      <c r="R717" s="799"/>
      <c r="S717" s="799"/>
      <c r="T717" s="799"/>
      <c r="U717" s="799"/>
      <c r="V717" s="799"/>
      <c r="W717" s="799"/>
      <c r="X717" s="799"/>
      <c r="Y717" s="799"/>
      <c r="Z717" s="799"/>
    </row>
    <row r="718" ht="49.5" customHeight="1">
      <c r="A718" s="799"/>
      <c r="B718" s="799"/>
      <c r="C718" s="799"/>
      <c r="D718" s="799"/>
      <c r="E718" s="799"/>
      <c r="F718" s="799"/>
      <c r="G718" s="799"/>
      <c r="H718" s="799"/>
      <c r="I718" s="799"/>
      <c r="J718" s="799"/>
      <c r="K718" s="799"/>
      <c r="L718" s="885"/>
      <c r="M718" s="799"/>
      <c r="N718" s="799"/>
      <c r="O718" s="799"/>
      <c r="P718" s="799"/>
      <c r="Q718" s="799"/>
      <c r="R718" s="799"/>
      <c r="S718" s="799"/>
      <c r="T718" s="799"/>
      <c r="U718" s="799"/>
      <c r="V718" s="799"/>
      <c r="W718" s="799"/>
      <c r="X718" s="799"/>
      <c r="Y718" s="799"/>
      <c r="Z718" s="799"/>
    </row>
    <row r="719" ht="49.5" customHeight="1">
      <c r="A719" s="799"/>
      <c r="B719" s="799"/>
      <c r="C719" s="799"/>
      <c r="D719" s="799"/>
      <c r="E719" s="799"/>
      <c r="F719" s="799"/>
      <c r="G719" s="799"/>
      <c r="H719" s="799"/>
      <c r="I719" s="799"/>
      <c r="J719" s="799"/>
      <c r="K719" s="799"/>
      <c r="L719" s="885"/>
      <c r="M719" s="799"/>
      <c r="N719" s="799"/>
      <c r="O719" s="799"/>
      <c r="P719" s="799"/>
      <c r="Q719" s="799"/>
      <c r="R719" s="799"/>
      <c r="S719" s="799"/>
      <c r="T719" s="799"/>
      <c r="U719" s="799"/>
      <c r="V719" s="799"/>
      <c r="W719" s="799"/>
      <c r="X719" s="799"/>
      <c r="Y719" s="799"/>
      <c r="Z719" s="799"/>
    </row>
    <row r="720" ht="49.5" customHeight="1">
      <c r="A720" s="799"/>
      <c r="B720" s="799"/>
      <c r="C720" s="799"/>
      <c r="D720" s="799"/>
      <c r="E720" s="799"/>
      <c r="F720" s="799"/>
      <c r="G720" s="799"/>
      <c r="H720" s="799"/>
      <c r="I720" s="799"/>
      <c r="J720" s="799"/>
      <c r="K720" s="799"/>
      <c r="L720" s="885"/>
      <c r="M720" s="799"/>
      <c r="N720" s="799"/>
      <c r="O720" s="799"/>
      <c r="P720" s="799"/>
      <c r="Q720" s="799"/>
      <c r="R720" s="799"/>
      <c r="S720" s="799"/>
      <c r="T720" s="799"/>
      <c r="U720" s="799"/>
      <c r="V720" s="799"/>
      <c r="W720" s="799"/>
      <c r="X720" s="799"/>
      <c r="Y720" s="799"/>
      <c r="Z720" s="799"/>
    </row>
    <row r="721" ht="49.5" customHeight="1">
      <c r="A721" s="799"/>
      <c r="B721" s="799"/>
      <c r="C721" s="799"/>
      <c r="D721" s="799"/>
      <c r="E721" s="799"/>
      <c r="F721" s="799"/>
      <c r="G721" s="799"/>
      <c r="H721" s="799"/>
      <c r="I721" s="799"/>
      <c r="J721" s="799"/>
      <c r="K721" s="799"/>
      <c r="L721" s="885"/>
      <c r="M721" s="799"/>
      <c r="N721" s="799"/>
      <c r="O721" s="799"/>
      <c r="P721" s="799"/>
      <c r="Q721" s="799"/>
      <c r="R721" s="799"/>
      <c r="S721" s="799"/>
      <c r="T721" s="799"/>
      <c r="U721" s="799"/>
      <c r="V721" s="799"/>
      <c r="W721" s="799"/>
      <c r="X721" s="799"/>
      <c r="Y721" s="799"/>
      <c r="Z721" s="799"/>
    </row>
    <row r="722" ht="49.5" customHeight="1">
      <c r="A722" s="799"/>
      <c r="B722" s="799"/>
      <c r="C722" s="799"/>
      <c r="D722" s="799"/>
      <c r="E722" s="799"/>
      <c r="F722" s="799"/>
      <c r="G722" s="799"/>
      <c r="H722" s="799"/>
      <c r="I722" s="799"/>
      <c r="J722" s="799"/>
      <c r="K722" s="799"/>
      <c r="L722" s="885"/>
      <c r="M722" s="799"/>
      <c r="N722" s="799"/>
      <c r="O722" s="799"/>
      <c r="P722" s="799"/>
      <c r="Q722" s="799"/>
      <c r="R722" s="799"/>
      <c r="S722" s="799"/>
      <c r="T722" s="799"/>
      <c r="U722" s="799"/>
      <c r="V722" s="799"/>
      <c r="W722" s="799"/>
      <c r="X722" s="799"/>
      <c r="Y722" s="799"/>
      <c r="Z722" s="799"/>
    </row>
    <row r="723" ht="49.5" customHeight="1">
      <c r="A723" s="799"/>
      <c r="B723" s="799"/>
      <c r="C723" s="799"/>
      <c r="D723" s="799"/>
      <c r="E723" s="799"/>
      <c r="F723" s="799"/>
      <c r="G723" s="799"/>
      <c r="H723" s="799"/>
      <c r="I723" s="799"/>
      <c r="J723" s="799"/>
      <c r="K723" s="799"/>
      <c r="L723" s="885"/>
      <c r="M723" s="799"/>
      <c r="N723" s="799"/>
      <c r="O723" s="799"/>
      <c r="P723" s="799"/>
      <c r="Q723" s="799"/>
      <c r="R723" s="799"/>
      <c r="S723" s="799"/>
      <c r="T723" s="799"/>
      <c r="U723" s="799"/>
      <c r="V723" s="799"/>
      <c r="W723" s="799"/>
      <c r="X723" s="799"/>
      <c r="Y723" s="799"/>
      <c r="Z723" s="799"/>
    </row>
    <row r="724" ht="49.5" customHeight="1">
      <c r="A724" s="799"/>
      <c r="B724" s="799"/>
      <c r="C724" s="799"/>
      <c r="D724" s="799"/>
      <c r="E724" s="799"/>
      <c r="F724" s="799"/>
      <c r="G724" s="799"/>
      <c r="H724" s="799"/>
      <c r="I724" s="799"/>
      <c r="J724" s="799"/>
      <c r="K724" s="799"/>
      <c r="L724" s="885"/>
      <c r="M724" s="799"/>
      <c r="N724" s="799"/>
      <c r="O724" s="799"/>
      <c r="P724" s="799"/>
      <c r="Q724" s="799"/>
      <c r="R724" s="799"/>
      <c r="S724" s="799"/>
      <c r="T724" s="799"/>
      <c r="U724" s="799"/>
      <c r="V724" s="799"/>
      <c r="W724" s="799"/>
      <c r="X724" s="799"/>
      <c r="Y724" s="799"/>
      <c r="Z724" s="799"/>
    </row>
    <row r="725" ht="49.5" customHeight="1">
      <c r="A725" s="799"/>
      <c r="B725" s="799"/>
      <c r="C725" s="799"/>
      <c r="D725" s="799"/>
      <c r="E725" s="799"/>
      <c r="F725" s="799"/>
      <c r="G725" s="799"/>
      <c r="H725" s="799"/>
      <c r="I725" s="799"/>
      <c r="J725" s="799"/>
      <c r="K725" s="799"/>
      <c r="L725" s="885"/>
      <c r="M725" s="799"/>
      <c r="N725" s="799"/>
      <c r="O725" s="799"/>
      <c r="P725" s="799"/>
      <c r="Q725" s="799"/>
      <c r="R725" s="799"/>
      <c r="S725" s="799"/>
      <c r="T725" s="799"/>
      <c r="U725" s="799"/>
      <c r="V725" s="799"/>
      <c r="W725" s="799"/>
      <c r="X725" s="799"/>
      <c r="Y725" s="799"/>
      <c r="Z725" s="799"/>
    </row>
    <row r="726" ht="49.5" customHeight="1">
      <c r="A726" s="799"/>
      <c r="B726" s="799"/>
      <c r="C726" s="799"/>
      <c r="D726" s="799"/>
      <c r="E726" s="799"/>
      <c r="F726" s="799"/>
      <c r="G726" s="799"/>
      <c r="H726" s="799"/>
      <c r="I726" s="799"/>
      <c r="J726" s="799"/>
      <c r="K726" s="799"/>
      <c r="L726" s="885"/>
      <c r="M726" s="799"/>
      <c r="N726" s="799"/>
      <c r="O726" s="799"/>
      <c r="P726" s="799"/>
      <c r="Q726" s="799"/>
      <c r="R726" s="799"/>
      <c r="S726" s="799"/>
      <c r="T726" s="799"/>
      <c r="U726" s="799"/>
      <c r="V726" s="799"/>
      <c r="W726" s="799"/>
      <c r="X726" s="799"/>
      <c r="Y726" s="799"/>
      <c r="Z726" s="799"/>
    </row>
    <row r="727" ht="49.5" customHeight="1">
      <c r="A727" s="799"/>
      <c r="B727" s="799"/>
      <c r="C727" s="799"/>
      <c r="D727" s="799"/>
      <c r="E727" s="799"/>
      <c r="F727" s="799"/>
      <c r="G727" s="799"/>
      <c r="H727" s="799"/>
      <c r="I727" s="799"/>
      <c r="J727" s="799"/>
      <c r="K727" s="799"/>
      <c r="L727" s="885"/>
      <c r="M727" s="799"/>
      <c r="N727" s="799"/>
      <c r="O727" s="799"/>
      <c r="P727" s="799"/>
      <c r="Q727" s="799"/>
      <c r="R727" s="799"/>
      <c r="S727" s="799"/>
      <c r="T727" s="799"/>
      <c r="U727" s="799"/>
      <c r="V727" s="799"/>
      <c r="W727" s="799"/>
      <c r="X727" s="799"/>
      <c r="Y727" s="799"/>
      <c r="Z727" s="799"/>
    </row>
    <row r="728" ht="49.5" customHeight="1">
      <c r="A728" s="799"/>
      <c r="B728" s="799"/>
      <c r="C728" s="799"/>
      <c r="D728" s="799"/>
      <c r="E728" s="799"/>
      <c r="F728" s="799"/>
      <c r="G728" s="799"/>
      <c r="H728" s="799"/>
      <c r="I728" s="799"/>
      <c r="J728" s="799"/>
      <c r="K728" s="799"/>
      <c r="L728" s="885"/>
      <c r="M728" s="799"/>
      <c r="N728" s="799"/>
      <c r="O728" s="799"/>
      <c r="P728" s="799"/>
      <c r="Q728" s="799"/>
      <c r="R728" s="799"/>
      <c r="S728" s="799"/>
      <c r="T728" s="799"/>
      <c r="U728" s="799"/>
      <c r="V728" s="799"/>
      <c r="W728" s="799"/>
      <c r="X728" s="799"/>
      <c r="Y728" s="799"/>
      <c r="Z728" s="799"/>
    </row>
    <row r="729" ht="49.5" customHeight="1">
      <c r="A729" s="799"/>
      <c r="B729" s="799"/>
      <c r="C729" s="799"/>
      <c r="D729" s="799"/>
      <c r="E729" s="799"/>
      <c r="F729" s="799"/>
      <c r="G729" s="799"/>
      <c r="H729" s="799"/>
      <c r="I729" s="799"/>
      <c r="J729" s="799"/>
      <c r="K729" s="799"/>
      <c r="L729" s="885"/>
      <c r="M729" s="799"/>
      <c r="N729" s="799"/>
      <c r="O729" s="799"/>
      <c r="P729" s="799"/>
      <c r="Q729" s="799"/>
      <c r="R729" s="799"/>
      <c r="S729" s="799"/>
      <c r="T729" s="799"/>
      <c r="U729" s="799"/>
      <c r="V729" s="799"/>
      <c r="W729" s="799"/>
      <c r="X729" s="799"/>
      <c r="Y729" s="799"/>
      <c r="Z729" s="799"/>
    </row>
    <row r="730" ht="49.5" customHeight="1">
      <c r="A730" s="799"/>
      <c r="B730" s="799"/>
      <c r="C730" s="799"/>
      <c r="D730" s="799"/>
      <c r="E730" s="799"/>
      <c r="F730" s="799"/>
      <c r="G730" s="799"/>
      <c r="H730" s="799"/>
      <c r="I730" s="799"/>
      <c r="J730" s="799"/>
      <c r="K730" s="799"/>
      <c r="L730" s="885"/>
      <c r="M730" s="799"/>
      <c r="N730" s="799"/>
      <c r="O730" s="799"/>
      <c r="P730" s="799"/>
      <c r="Q730" s="799"/>
      <c r="R730" s="799"/>
      <c r="S730" s="799"/>
      <c r="T730" s="799"/>
      <c r="U730" s="799"/>
      <c r="V730" s="799"/>
      <c r="W730" s="799"/>
      <c r="X730" s="799"/>
      <c r="Y730" s="799"/>
      <c r="Z730" s="799"/>
    </row>
    <row r="731" ht="49.5" customHeight="1">
      <c r="A731" s="799"/>
      <c r="B731" s="799"/>
      <c r="C731" s="799"/>
      <c r="D731" s="799"/>
      <c r="E731" s="799"/>
      <c r="F731" s="799"/>
      <c r="G731" s="799"/>
      <c r="H731" s="799"/>
      <c r="I731" s="799"/>
      <c r="J731" s="799"/>
      <c r="K731" s="799"/>
      <c r="L731" s="885"/>
      <c r="M731" s="799"/>
      <c r="N731" s="799"/>
      <c r="O731" s="799"/>
      <c r="P731" s="799"/>
      <c r="Q731" s="799"/>
      <c r="R731" s="799"/>
      <c r="S731" s="799"/>
      <c r="T731" s="799"/>
      <c r="U731" s="799"/>
      <c r="V731" s="799"/>
      <c r="W731" s="799"/>
      <c r="X731" s="799"/>
      <c r="Y731" s="799"/>
      <c r="Z731" s="799"/>
    </row>
    <row r="732" ht="49.5" customHeight="1">
      <c r="A732" s="799"/>
      <c r="B732" s="799"/>
      <c r="C732" s="799"/>
      <c r="D732" s="799"/>
      <c r="E732" s="799"/>
      <c r="F732" s="799"/>
      <c r="G732" s="799"/>
      <c r="H732" s="799"/>
      <c r="I732" s="799"/>
      <c r="J732" s="799"/>
      <c r="K732" s="799"/>
      <c r="L732" s="885"/>
      <c r="M732" s="799"/>
      <c r="N732" s="799"/>
      <c r="O732" s="799"/>
      <c r="P732" s="799"/>
      <c r="Q732" s="799"/>
      <c r="R732" s="799"/>
      <c r="S732" s="799"/>
      <c r="T732" s="799"/>
      <c r="U732" s="799"/>
      <c r="V732" s="799"/>
      <c r="W732" s="799"/>
      <c r="X732" s="799"/>
      <c r="Y732" s="799"/>
      <c r="Z732" s="799"/>
    </row>
    <row r="733" ht="49.5" customHeight="1">
      <c r="A733" s="799"/>
      <c r="B733" s="799"/>
      <c r="C733" s="799"/>
      <c r="D733" s="799"/>
      <c r="E733" s="799"/>
      <c r="F733" s="799"/>
      <c r="G733" s="799"/>
      <c r="H733" s="799"/>
      <c r="I733" s="799"/>
      <c r="J733" s="799"/>
      <c r="K733" s="799"/>
      <c r="L733" s="885"/>
      <c r="M733" s="799"/>
      <c r="N733" s="799"/>
      <c r="O733" s="799"/>
      <c r="P733" s="799"/>
      <c r="Q733" s="799"/>
      <c r="R733" s="799"/>
      <c r="S733" s="799"/>
      <c r="T733" s="799"/>
      <c r="U733" s="799"/>
      <c r="V733" s="799"/>
      <c r="W733" s="799"/>
      <c r="X733" s="799"/>
      <c r="Y733" s="799"/>
      <c r="Z733" s="799"/>
    </row>
    <row r="734" ht="49.5" customHeight="1">
      <c r="A734" s="799"/>
      <c r="B734" s="799"/>
      <c r="C734" s="799"/>
      <c r="D734" s="799"/>
      <c r="E734" s="799"/>
      <c r="F734" s="799"/>
      <c r="G734" s="799"/>
      <c r="H734" s="799"/>
      <c r="I734" s="799"/>
      <c r="J734" s="799"/>
      <c r="K734" s="799"/>
      <c r="L734" s="885"/>
      <c r="M734" s="799"/>
      <c r="N734" s="799"/>
      <c r="O734" s="799"/>
      <c r="P734" s="799"/>
      <c r="Q734" s="799"/>
      <c r="R734" s="799"/>
      <c r="S734" s="799"/>
      <c r="T734" s="799"/>
      <c r="U734" s="799"/>
      <c r="V734" s="799"/>
      <c r="W734" s="799"/>
      <c r="X734" s="799"/>
      <c r="Y734" s="799"/>
      <c r="Z734" s="799"/>
    </row>
    <row r="735" ht="49.5" customHeight="1">
      <c r="A735" s="799"/>
      <c r="B735" s="799"/>
      <c r="C735" s="799"/>
      <c r="D735" s="799"/>
      <c r="E735" s="799"/>
      <c r="F735" s="799"/>
      <c r="G735" s="799"/>
      <c r="H735" s="799"/>
      <c r="I735" s="799"/>
      <c r="J735" s="799"/>
      <c r="K735" s="799"/>
      <c r="L735" s="885"/>
      <c r="M735" s="799"/>
      <c r="N735" s="799"/>
      <c r="O735" s="799"/>
      <c r="P735" s="799"/>
      <c r="Q735" s="799"/>
      <c r="R735" s="799"/>
      <c r="S735" s="799"/>
      <c r="T735" s="799"/>
      <c r="U735" s="799"/>
      <c r="V735" s="799"/>
      <c r="W735" s="799"/>
      <c r="X735" s="799"/>
      <c r="Y735" s="799"/>
      <c r="Z735" s="799"/>
    </row>
    <row r="736" ht="49.5" customHeight="1">
      <c r="A736" s="799"/>
      <c r="B736" s="799"/>
      <c r="C736" s="799"/>
      <c r="D736" s="799"/>
      <c r="E736" s="799"/>
      <c r="F736" s="799"/>
      <c r="G736" s="799"/>
      <c r="H736" s="799"/>
      <c r="I736" s="799"/>
      <c r="J736" s="799"/>
      <c r="K736" s="799"/>
      <c r="L736" s="885"/>
      <c r="M736" s="799"/>
      <c r="N736" s="799"/>
      <c r="O736" s="799"/>
      <c r="P736" s="799"/>
      <c r="Q736" s="799"/>
      <c r="R736" s="799"/>
      <c r="S736" s="799"/>
      <c r="T736" s="799"/>
      <c r="U736" s="799"/>
      <c r="V736" s="799"/>
      <c r="W736" s="799"/>
      <c r="X736" s="799"/>
      <c r="Y736" s="799"/>
      <c r="Z736" s="799"/>
    </row>
    <row r="737" ht="49.5" customHeight="1">
      <c r="A737" s="799"/>
      <c r="B737" s="799"/>
      <c r="C737" s="799"/>
      <c r="D737" s="799"/>
      <c r="E737" s="799"/>
      <c r="F737" s="799"/>
      <c r="G737" s="799"/>
      <c r="H737" s="799"/>
      <c r="I737" s="799"/>
      <c r="J737" s="799"/>
      <c r="K737" s="799"/>
      <c r="L737" s="885"/>
      <c r="M737" s="799"/>
      <c r="N737" s="799"/>
      <c r="O737" s="799"/>
      <c r="P737" s="799"/>
      <c r="Q737" s="799"/>
      <c r="R737" s="799"/>
      <c r="S737" s="799"/>
      <c r="T737" s="799"/>
      <c r="U737" s="799"/>
      <c r="V737" s="799"/>
      <c r="W737" s="799"/>
      <c r="X737" s="799"/>
      <c r="Y737" s="799"/>
      <c r="Z737" s="799"/>
    </row>
    <row r="738" ht="49.5" customHeight="1">
      <c r="A738" s="799"/>
      <c r="B738" s="799"/>
      <c r="C738" s="799"/>
      <c r="D738" s="799"/>
      <c r="E738" s="799"/>
      <c r="F738" s="799"/>
      <c r="G738" s="799"/>
      <c r="H738" s="799"/>
      <c r="I738" s="799"/>
      <c r="J738" s="799"/>
      <c r="K738" s="799"/>
      <c r="L738" s="885"/>
      <c r="M738" s="799"/>
      <c r="N738" s="799"/>
      <c r="O738" s="799"/>
      <c r="P738" s="799"/>
      <c r="Q738" s="799"/>
      <c r="R738" s="799"/>
      <c r="S738" s="799"/>
      <c r="T738" s="799"/>
      <c r="U738" s="799"/>
      <c r="V738" s="799"/>
      <c r="W738" s="799"/>
      <c r="X738" s="799"/>
      <c r="Y738" s="799"/>
      <c r="Z738" s="799"/>
    </row>
    <row r="739" ht="49.5" customHeight="1">
      <c r="A739" s="799"/>
      <c r="B739" s="799"/>
      <c r="C739" s="799"/>
      <c r="D739" s="799"/>
      <c r="E739" s="799"/>
      <c r="F739" s="799"/>
      <c r="G739" s="799"/>
      <c r="H739" s="799"/>
      <c r="I739" s="799"/>
      <c r="J739" s="799"/>
      <c r="K739" s="799"/>
      <c r="L739" s="885"/>
      <c r="M739" s="799"/>
      <c r="N739" s="799"/>
      <c r="O739" s="799"/>
      <c r="P739" s="799"/>
      <c r="Q739" s="799"/>
      <c r="R739" s="799"/>
      <c r="S739" s="799"/>
      <c r="T739" s="799"/>
      <c r="U739" s="799"/>
      <c r="V739" s="799"/>
      <c r="W739" s="799"/>
      <c r="X739" s="799"/>
      <c r="Y739" s="799"/>
      <c r="Z739" s="799"/>
    </row>
    <row r="740" ht="49.5" customHeight="1">
      <c r="A740" s="799"/>
      <c r="B740" s="799"/>
      <c r="C740" s="799"/>
      <c r="D740" s="799"/>
      <c r="E740" s="799"/>
      <c r="F740" s="799"/>
      <c r="G740" s="799"/>
      <c r="H740" s="799"/>
      <c r="I740" s="799"/>
      <c r="J740" s="799"/>
      <c r="K740" s="799"/>
      <c r="L740" s="885"/>
      <c r="M740" s="799"/>
      <c r="N740" s="799"/>
      <c r="O740" s="799"/>
      <c r="P740" s="799"/>
      <c r="Q740" s="799"/>
      <c r="R740" s="799"/>
      <c r="S740" s="799"/>
      <c r="T740" s="799"/>
      <c r="U740" s="799"/>
      <c r="V740" s="799"/>
      <c r="W740" s="799"/>
      <c r="X740" s="799"/>
      <c r="Y740" s="799"/>
      <c r="Z740" s="799"/>
    </row>
    <row r="741" ht="49.5" customHeight="1">
      <c r="A741" s="799"/>
      <c r="B741" s="799"/>
      <c r="C741" s="799"/>
      <c r="D741" s="799"/>
      <c r="E741" s="799"/>
      <c r="F741" s="799"/>
      <c r="G741" s="799"/>
      <c r="H741" s="799"/>
      <c r="I741" s="799"/>
      <c r="J741" s="799"/>
      <c r="K741" s="799"/>
      <c r="L741" s="885"/>
      <c r="M741" s="799"/>
      <c r="N741" s="799"/>
      <c r="O741" s="799"/>
      <c r="P741" s="799"/>
      <c r="Q741" s="799"/>
      <c r="R741" s="799"/>
      <c r="S741" s="799"/>
      <c r="T741" s="799"/>
      <c r="U741" s="799"/>
      <c r="V741" s="799"/>
      <c r="W741" s="799"/>
      <c r="X741" s="799"/>
      <c r="Y741" s="799"/>
      <c r="Z741" s="799"/>
    </row>
    <row r="742" ht="49.5" customHeight="1">
      <c r="A742" s="799"/>
      <c r="B742" s="799"/>
      <c r="C742" s="799"/>
      <c r="D742" s="799"/>
      <c r="E742" s="799"/>
      <c r="F742" s="799"/>
      <c r="G742" s="799"/>
      <c r="H742" s="799"/>
      <c r="I742" s="799"/>
      <c r="J742" s="799"/>
      <c r="K742" s="799"/>
      <c r="L742" s="885"/>
      <c r="M742" s="799"/>
      <c r="N742" s="799"/>
      <c r="O742" s="799"/>
      <c r="P742" s="799"/>
      <c r="Q742" s="799"/>
      <c r="R742" s="799"/>
      <c r="S742" s="799"/>
      <c r="T742" s="799"/>
      <c r="U742" s="799"/>
      <c r="V742" s="799"/>
      <c r="W742" s="799"/>
      <c r="X742" s="799"/>
      <c r="Y742" s="799"/>
      <c r="Z742" s="799"/>
    </row>
    <row r="743" ht="49.5" customHeight="1">
      <c r="A743" s="799"/>
      <c r="B743" s="799"/>
      <c r="C743" s="799"/>
      <c r="D743" s="799"/>
      <c r="E743" s="799"/>
      <c r="F743" s="799"/>
      <c r="G743" s="799"/>
      <c r="H743" s="799"/>
      <c r="I743" s="799"/>
      <c r="J743" s="799"/>
      <c r="K743" s="799"/>
      <c r="L743" s="885"/>
      <c r="M743" s="799"/>
      <c r="N743" s="799"/>
      <c r="O743" s="799"/>
      <c r="P743" s="799"/>
      <c r="Q743" s="799"/>
      <c r="R743" s="799"/>
      <c r="S743" s="799"/>
      <c r="T743" s="799"/>
      <c r="U743" s="799"/>
      <c r="V743" s="799"/>
      <c r="W743" s="799"/>
      <c r="X743" s="799"/>
      <c r="Y743" s="799"/>
      <c r="Z743" s="799"/>
    </row>
    <row r="744" ht="49.5" customHeight="1">
      <c r="A744" s="799"/>
      <c r="B744" s="799"/>
      <c r="C744" s="799"/>
      <c r="D744" s="799"/>
      <c r="E744" s="799"/>
      <c r="F744" s="799"/>
      <c r="G744" s="799"/>
      <c r="H744" s="799"/>
      <c r="I744" s="799"/>
      <c r="J744" s="799"/>
      <c r="K744" s="799"/>
      <c r="L744" s="885"/>
      <c r="M744" s="799"/>
      <c r="N744" s="799"/>
      <c r="O744" s="799"/>
      <c r="P744" s="799"/>
      <c r="Q744" s="799"/>
      <c r="R744" s="799"/>
      <c r="S744" s="799"/>
      <c r="T744" s="799"/>
      <c r="U744" s="799"/>
      <c r="V744" s="799"/>
      <c r="W744" s="799"/>
      <c r="X744" s="799"/>
      <c r="Y744" s="799"/>
      <c r="Z744" s="799"/>
    </row>
    <row r="745" ht="49.5" customHeight="1">
      <c r="A745" s="799"/>
      <c r="B745" s="799"/>
      <c r="C745" s="799"/>
      <c r="D745" s="799"/>
      <c r="E745" s="799"/>
      <c r="F745" s="799"/>
      <c r="G745" s="799"/>
      <c r="H745" s="799"/>
      <c r="I745" s="799"/>
      <c r="J745" s="799"/>
      <c r="K745" s="799"/>
      <c r="L745" s="885"/>
      <c r="M745" s="799"/>
      <c r="N745" s="799"/>
      <c r="O745" s="799"/>
      <c r="P745" s="799"/>
      <c r="Q745" s="799"/>
      <c r="R745" s="799"/>
      <c r="S745" s="799"/>
      <c r="T745" s="799"/>
      <c r="U745" s="799"/>
      <c r="V745" s="799"/>
      <c r="W745" s="799"/>
      <c r="X745" s="799"/>
      <c r="Y745" s="799"/>
      <c r="Z745" s="799"/>
    </row>
    <row r="746" ht="49.5" customHeight="1">
      <c r="A746" s="799"/>
      <c r="B746" s="799"/>
      <c r="C746" s="799"/>
      <c r="D746" s="799"/>
      <c r="E746" s="799"/>
      <c r="F746" s="799"/>
      <c r="G746" s="799"/>
      <c r="H746" s="799"/>
      <c r="I746" s="799"/>
      <c r="J746" s="799"/>
      <c r="K746" s="799"/>
      <c r="L746" s="885"/>
      <c r="M746" s="799"/>
      <c r="N746" s="799"/>
      <c r="O746" s="799"/>
      <c r="P746" s="799"/>
      <c r="Q746" s="799"/>
      <c r="R746" s="799"/>
      <c r="S746" s="799"/>
      <c r="T746" s="799"/>
      <c r="U746" s="799"/>
      <c r="V746" s="799"/>
      <c r="W746" s="799"/>
      <c r="X746" s="799"/>
      <c r="Y746" s="799"/>
      <c r="Z746" s="799"/>
    </row>
    <row r="747" ht="49.5" customHeight="1">
      <c r="A747" s="799"/>
      <c r="B747" s="799"/>
      <c r="C747" s="799"/>
      <c r="D747" s="799"/>
      <c r="E747" s="799"/>
      <c r="F747" s="799"/>
      <c r="G747" s="799"/>
      <c r="H747" s="799"/>
      <c r="I747" s="799"/>
      <c r="J747" s="799"/>
      <c r="K747" s="799"/>
      <c r="L747" s="885"/>
      <c r="M747" s="799"/>
      <c r="N747" s="799"/>
      <c r="O747" s="799"/>
      <c r="P747" s="799"/>
      <c r="Q747" s="799"/>
      <c r="R747" s="799"/>
      <c r="S747" s="799"/>
      <c r="T747" s="799"/>
      <c r="U747" s="799"/>
      <c r="V747" s="799"/>
      <c r="W747" s="799"/>
      <c r="X747" s="799"/>
      <c r="Y747" s="799"/>
      <c r="Z747" s="799"/>
    </row>
    <row r="748" ht="49.5" customHeight="1">
      <c r="A748" s="799"/>
      <c r="B748" s="799"/>
      <c r="C748" s="799"/>
      <c r="D748" s="799"/>
      <c r="E748" s="799"/>
      <c r="F748" s="799"/>
      <c r="G748" s="799"/>
      <c r="H748" s="799"/>
      <c r="I748" s="799"/>
      <c r="J748" s="799"/>
      <c r="K748" s="799"/>
      <c r="L748" s="885"/>
      <c r="M748" s="799"/>
      <c r="N748" s="799"/>
      <c r="O748" s="799"/>
      <c r="P748" s="799"/>
      <c r="Q748" s="799"/>
      <c r="R748" s="799"/>
      <c r="S748" s="799"/>
      <c r="T748" s="799"/>
      <c r="U748" s="799"/>
      <c r="V748" s="799"/>
      <c r="W748" s="799"/>
      <c r="X748" s="799"/>
      <c r="Y748" s="799"/>
      <c r="Z748" s="799"/>
    </row>
    <row r="749" ht="49.5" customHeight="1">
      <c r="A749" s="799"/>
      <c r="B749" s="799"/>
      <c r="C749" s="799"/>
      <c r="D749" s="799"/>
      <c r="E749" s="799"/>
      <c r="F749" s="799"/>
      <c r="G749" s="799"/>
      <c r="H749" s="799"/>
      <c r="I749" s="799"/>
      <c r="J749" s="799"/>
      <c r="K749" s="799"/>
      <c r="L749" s="885"/>
      <c r="M749" s="799"/>
      <c r="N749" s="799"/>
      <c r="O749" s="799"/>
      <c r="P749" s="799"/>
      <c r="Q749" s="799"/>
      <c r="R749" s="799"/>
      <c r="S749" s="799"/>
      <c r="T749" s="799"/>
      <c r="U749" s="799"/>
      <c r="V749" s="799"/>
      <c r="W749" s="799"/>
      <c r="X749" s="799"/>
      <c r="Y749" s="799"/>
      <c r="Z749" s="799"/>
    </row>
    <row r="750" ht="49.5" customHeight="1">
      <c r="A750" s="799"/>
      <c r="B750" s="799"/>
      <c r="C750" s="799"/>
      <c r="D750" s="799"/>
      <c r="E750" s="799"/>
      <c r="F750" s="799"/>
      <c r="G750" s="799"/>
      <c r="H750" s="799"/>
      <c r="I750" s="799"/>
      <c r="J750" s="799"/>
      <c r="K750" s="799"/>
      <c r="L750" s="885"/>
      <c r="M750" s="799"/>
      <c r="N750" s="799"/>
      <c r="O750" s="799"/>
      <c r="P750" s="799"/>
      <c r="Q750" s="799"/>
      <c r="R750" s="799"/>
      <c r="S750" s="799"/>
      <c r="T750" s="799"/>
      <c r="U750" s="799"/>
      <c r="V750" s="799"/>
      <c r="W750" s="799"/>
      <c r="X750" s="799"/>
      <c r="Y750" s="799"/>
      <c r="Z750" s="799"/>
    </row>
    <row r="751" ht="49.5" customHeight="1">
      <c r="A751" s="799"/>
      <c r="B751" s="799"/>
      <c r="C751" s="799"/>
      <c r="D751" s="799"/>
      <c r="E751" s="799"/>
      <c r="F751" s="799"/>
      <c r="G751" s="799"/>
      <c r="H751" s="799"/>
      <c r="I751" s="799"/>
      <c r="J751" s="799"/>
      <c r="K751" s="799"/>
      <c r="L751" s="885"/>
      <c r="M751" s="799"/>
      <c r="N751" s="799"/>
      <c r="O751" s="799"/>
      <c r="P751" s="799"/>
      <c r="Q751" s="799"/>
      <c r="R751" s="799"/>
      <c r="S751" s="799"/>
      <c r="T751" s="799"/>
      <c r="U751" s="799"/>
      <c r="V751" s="799"/>
      <c r="W751" s="799"/>
      <c r="X751" s="799"/>
      <c r="Y751" s="799"/>
      <c r="Z751" s="799"/>
    </row>
    <row r="752" ht="49.5" customHeight="1">
      <c r="A752" s="799"/>
      <c r="B752" s="799"/>
      <c r="C752" s="799"/>
      <c r="D752" s="799"/>
      <c r="E752" s="799"/>
      <c r="F752" s="799"/>
      <c r="G752" s="799"/>
      <c r="H752" s="799"/>
      <c r="I752" s="799"/>
      <c r="J752" s="799"/>
      <c r="K752" s="799"/>
      <c r="L752" s="885"/>
      <c r="M752" s="799"/>
      <c r="N752" s="799"/>
      <c r="O752" s="799"/>
      <c r="P752" s="799"/>
      <c r="Q752" s="799"/>
      <c r="R752" s="799"/>
      <c r="S752" s="799"/>
      <c r="T752" s="799"/>
      <c r="U752" s="799"/>
      <c r="V752" s="799"/>
      <c r="W752" s="799"/>
      <c r="X752" s="799"/>
      <c r="Y752" s="799"/>
      <c r="Z752" s="799"/>
    </row>
    <row r="753" ht="49.5" customHeight="1">
      <c r="A753" s="799"/>
      <c r="B753" s="799"/>
      <c r="C753" s="799"/>
      <c r="D753" s="799"/>
      <c r="E753" s="799"/>
      <c r="F753" s="799"/>
      <c r="G753" s="799"/>
      <c r="H753" s="799"/>
      <c r="I753" s="799"/>
      <c r="J753" s="799"/>
      <c r="K753" s="799"/>
      <c r="L753" s="885"/>
      <c r="M753" s="799"/>
      <c r="N753" s="799"/>
      <c r="O753" s="799"/>
      <c r="P753" s="799"/>
      <c r="Q753" s="799"/>
      <c r="R753" s="799"/>
      <c r="S753" s="799"/>
      <c r="T753" s="799"/>
      <c r="U753" s="799"/>
      <c r="V753" s="799"/>
      <c r="W753" s="799"/>
      <c r="X753" s="799"/>
      <c r="Y753" s="799"/>
      <c r="Z753" s="799"/>
    </row>
    <row r="754" ht="49.5" customHeight="1">
      <c r="A754" s="799"/>
      <c r="B754" s="799"/>
      <c r="C754" s="799"/>
      <c r="D754" s="799"/>
      <c r="E754" s="799"/>
      <c r="F754" s="799"/>
      <c r="G754" s="799"/>
      <c r="H754" s="799"/>
      <c r="I754" s="799"/>
      <c r="J754" s="799"/>
      <c r="K754" s="799"/>
      <c r="L754" s="885"/>
      <c r="M754" s="799"/>
      <c r="N754" s="799"/>
      <c r="O754" s="799"/>
      <c r="P754" s="799"/>
      <c r="Q754" s="799"/>
      <c r="R754" s="799"/>
      <c r="S754" s="799"/>
      <c r="T754" s="799"/>
      <c r="U754" s="799"/>
      <c r="V754" s="799"/>
      <c r="W754" s="799"/>
      <c r="X754" s="799"/>
      <c r="Y754" s="799"/>
      <c r="Z754" s="799"/>
    </row>
    <row r="755" ht="49.5" customHeight="1">
      <c r="A755" s="799"/>
      <c r="B755" s="799"/>
      <c r="C755" s="799"/>
      <c r="D755" s="799"/>
      <c r="E755" s="799"/>
      <c r="F755" s="799"/>
      <c r="G755" s="799"/>
      <c r="H755" s="799"/>
      <c r="I755" s="799"/>
      <c r="J755" s="799"/>
      <c r="K755" s="799"/>
      <c r="L755" s="885"/>
      <c r="M755" s="799"/>
      <c r="N755" s="799"/>
      <c r="O755" s="799"/>
      <c r="P755" s="799"/>
      <c r="Q755" s="799"/>
      <c r="R755" s="799"/>
      <c r="S755" s="799"/>
      <c r="T755" s="799"/>
      <c r="U755" s="799"/>
      <c r="V755" s="799"/>
      <c r="W755" s="799"/>
      <c r="X755" s="799"/>
      <c r="Y755" s="799"/>
      <c r="Z755" s="799"/>
    </row>
    <row r="756" ht="49.5" customHeight="1">
      <c r="A756" s="799"/>
      <c r="B756" s="799"/>
      <c r="C756" s="799"/>
      <c r="D756" s="799"/>
      <c r="E756" s="799"/>
      <c r="F756" s="799"/>
      <c r="G756" s="799"/>
      <c r="H756" s="799"/>
      <c r="I756" s="799"/>
      <c r="J756" s="799"/>
      <c r="K756" s="799"/>
      <c r="L756" s="885"/>
      <c r="M756" s="799"/>
      <c r="N756" s="799"/>
      <c r="O756" s="799"/>
      <c r="P756" s="799"/>
      <c r="Q756" s="799"/>
      <c r="R756" s="799"/>
      <c r="S756" s="799"/>
      <c r="T756" s="799"/>
      <c r="U756" s="799"/>
      <c r="V756" s="799"/>
      <c r="W756" s="799"/>
      <c r="X756" s="799"/>
      <c r="Y756" s="799"/>
      <c r="Z756" s="799"/>
    </row>
    <row r="757" ht="49.5" customHeight="1">
      <c r="A757" s="799"/>
      <c r="B757" s="799"/>
      <c r="C757" s="799"/>
      <c r="D757" s="799"/>
      <c r="E757" s="799"/>
      <c r="F757" s="799"/>
      <c r="G757" s="799"/>
      <c r="H757" s="799"/>
      <c r="I757" s="799"/>
      <c r="J757" s="799"/>
      <c r="K757" s="799"/>
      <c r="L757" s="885"/>
      <c r="M757" s="799"/>
      <c r="N757" s="799"/>
      <c r="O757" s="799"/>
      <c r="P757" s="799"/>
      <c r="Q757" s="799"/>
      <c r="R757" s="799"/>
      <c r="S757" s="799"/>
      <c r="T757" s="799"/>
      <c r="U757" s="799"/>
      <c r="V757" s="799"/>
      <c r="W757" s="799"/>
      <c r="X757" s="799"/>
      <c r="Y757" s="799"/>
      <c r="Z757" s="799"/>
    </row>
    <row r="758" ht="49.5" customHeight="1">
      <c r="A758" s="799"/>
      <c r="B758" s="799"/>
      <c r="C758" s="799"/>
      <c r="D758" s="799"/>
      <c r="E758" s="799"/>
      <c r="F758" s="799"/>
      <c r="G758" s="799"/>
      <c r="H758" s="799"/>
      <c r="I758" s="799"/>
      <c r="J758" s="799"/>
      <c r="K758" s="799"/>
      <c r="L758" s="885"/>
      <c r="M758" s="799"/>
      <c r="N758" s="799"/>
      <c r="O758" s="799"/>
      <c r="P758" s="799"/>
      <c r="Q758" s="799"/>
      <c r="R758" s="799"/>
      <c r="S758" s="799"/>
      <c r="T758" s="799"/>
      <c r="U758" s="799"/>
      <c r="V758" s="799"/>
      <c r="W758" s="799"/>
      <c r="X758" s="799"/>
      <c r="Y758" s="799"/>
      <c r="Z758" s="799"/>
    </row>
    <row r="759" ht="49.5" customHeight="1">
      <c r="A759" s="799"/>
      <c r="B759" s="799"/>
      <c r="C759" s="799"/>
      <c r="D759" s="799"/>
      <c r="E759" s="799"/>
      <c r="F759" s="799"/>
      <c r="G759" s="799"/>
      <c r="H759" s="799"/>
      <c r="I759" s="799"/>
      <c r="J759" s="799"/>
      <c r="K759" s="799"/>
      <c r="L759" s="885"/>
      <c r="M759" s="799"/>
      <c r="N759" s="799"/>
      <c r="O759" s="799"/>
      <c r="P759" s="799"/>
      <c r="Q759" s="799"/>
      <c r="R759" s="799"/>
      <c r="S759" s="799"/>
      <c r="T759" s="799"/>
      <c r="U759" s="799"/>
      <c r="V759" s="799"/>
      <c r="W759" s="799"/>
      <c r="X759" s="799"/>
      <c r="Y759" s="799"/>
      <c r="Z759" s="799"/>
    </row>
    <row r="760" ht="49.5" customHeight="1">
      <c r="A760" s="799"/>
      <c r="B760" s="799"/>
      <c r="C760" s="799"/>
      <c r="D760" s="799"/>
      <c r="E760" s="799"/>
      <c r="F760" s="799"/>
      <c r="G760" s="799"/>
      <c r="H760" s="799"/>
      <c r="I760" s="799"/>
      <c r="J760" s="799"/>
      <c r="K760" s="799"/>
      <c r="L760" s="885"/>
      <c r="M760" s="799"/>
      <c r="N760" s="799"/>
      <c r="O760" s="799"/>
      <c r="P760" s="799"/>
      <c r="Q760" s="799"/>
      <c r="R760" s="799"/>
      <c r="S760" s="799"/>
      <c r="T760" s="799"/>
      <c r="U760" s="799"/>
      <c r="V760" s="799"/>
      <c r="W760" s="799"/>
      <c r="X760" s="799"/>
      <c r="Y760" s="799"/>
      <c r="Z760" s="799"/>
    </row>
    <row r="761" ht="49.5" customHeight="1">
      <c r="A761" s="799"/>
      <c r="B761" s="799"/>
      <c r="C761" s="799"/>
      <c r="D761" s="799"/>
      <c r="E761" s="799"/>
      <c r="F761" s="799"/>
      <c r="G761" s="799"/>
      <c r="H761" s="799"/>
      <c r="I761" s="799"/>
      <c r="J761" s="799"/>
      <c r="K761" s="799"/>
      <c r="L761" s="885"/>
      <c r="M761" s="799"/>
      <c r="N761" s="799"/>
      <c r="O761" s="799"/>
      <c r="P761" s="799"/>
      <c r="Q761" s="799"/>
      <c r="R761" s="799"/>
      <c r="S761" s="799"/>
      <c r="T761" s="799"/>
      <c r="U761" s="799"/>
      <c r="V761" s="799"/>
      <c r="W761" s="799"/>
      <c r="X761" s="799"/>
      <c r="Y761" s="799"/>
      <c r="Z761" s="799"/>
    </row>
    <row r="762" ht="49.5" customHeight="1">
      <c r="A762" s="799"/>
      <c r="B762" s="799"/>
      <c r="C762" s="799"/>
      <c r="D762" s="799"/>
      <c r="E762" s="799"/>
      <c r="F762" s="799"/>
      <c r="G762" s="799"/>
      <c r="H762" s="799"/>
      <c r="I762" s="799"/>
      <c r="J762" s="799"/>
      <c r="K762" s="799"/>
      <c r="L762" s="885"/>
      <c r="M762" s="799"/>
      <c r="N762" s="799"/>
      <c r="O762" s="799"/>
      <c r="P762" s="799"/>
      <c r="Q762" s="799"/>
      <c r="R762" s="799"/>
      <c r="S762" s="799"/>
      <c r="T762" s="799"/>
      <c r="U762" s="799"/>
      <c r="V762" s="799"/>
      <c r="W762" s="799"/>
      <c r="X762" s="799"/>
      <c r="Y762" s="799"/>
      <c r="Z762" s="799"/>
    </row>
    <row r="763" ht="49.5" customHeight="1">
      <c r="A763" s="799"/>
      <c r="B763" s="799"/>
      <c r="C763" s="799"/>
      <c r="D763" s="799"/>
      <c r="E763" s="799"/>
      <c r="F763" s="799"/>
      <c r="G763" s="799"/>
      <c r="H763" s="799"/>
      <c r="I763" s="799"/>
      <c r="J763" s="799"/>
      <c r="K763" s="799"/>
      <c r="L763" s="885"/>
      <c r="M763" s="799"/>
      <c r="N763" s="799"/>
      <c r="O763" s="799"/>
      <c r="P763" s="799"/>
      <c r="Q763" s="799"/>
      <c r="R763" s="799"/>
      <c r="S763" s="799"/>
      <c r="T763" s="799"/>
      <c r="U763" s="799"/>
      <c r="V763" s="799"/>
      <c r="W763" s="799"/>
      <c r="X763" s="799"/>
      <c r="Y763" s="799"/>
      <c r="Z763" s="799"/>
    </row>
    <row r="764" ht="49.5" customHeight="1">
      <c r="A764" s="799"/>
      <c r="B764" s="799"/>
      <c r="C764" s="799"/>
      <c r="D764" s="799"/>
      <c r="E764" s="799"/>
      <c r="F764" s="799"/>
      <c r="G764" s="799"/>
      <c r="H764" s="799"/>
      <c r="I764" s="799"/>
      <c r="J764" s="799"/>
      <c r="K764" s="799"/>
      <c r="L764" s="885"/>
      <c r="M764" s="799"/>
      <c r="N764" s="799"/>
      <c r="O764" s="799"/>
      <c r="P764" s="799"/>
      <c r="Q764" s="799"/>
      <c r="R764" s="799"/>
      <c r="S764" s="799"/>
      <c r="T764" s="799"/>
      <c r="U764" s="799"/>
      <c r="V764" s="799"/>
      <c r="W764" s="799"/>
      <c r="X764" s="799"/>
      <c r="Y764" s="799"/>
      <c r="Z764" s="799"/>
    </row>
    <row r="765" ht="49.5" customHeight="1">
      <c r="A765" s="799"/>
      <c r="B765" s="799"/>
      <c r="C765" s="799"/>
      <c r="D765" s="799"/>
      <c r="E765" s="799"/>
      <c r="F765" s="799"/>
      <c r="G765" s="799"/>
      <c r="H765" s="799"/>
      <c r="I765" s="799"/>
      <c r="J765" s="799"/>
      <c r="K765" s="799"/>
      <c r="L765" s="885"/>
      <c r="M765" s="799"/>
      <c r="N765" s="799"/>
      <c r="O765" s="799"/>
      <c r="P765" s="799"/>
      <c r="Q765" s="799"/>
      <c r="R765" s="799"/>
      <c r="S765" s="799"/>
      <c r="T765" s="799"/>
      <c r="U765" s="799"/>
      <c r="V765" s="799"/>
      <c r="W765" s="799"/>
      <c r="X765" s="799"/>
      <c r="Y765" s="799"/>
      <c r="Z765" s="799"/>
    </row>
    <row r="766" ht="49.5" customHeight="1">
      <c r="A766" s="799"/>
      <c r="B766" s="799"/>
      <c r="C766" s="799"/>
      <c r="D766" s="799"/>
      <c r="E766" s="799"/>
      <c r="F766" s="799"/>
      <c r="G766" s="799"/>
      <c r="H766" s="799"/>
      <c r="I766" s="799"/>
      <c r="J766" s="799"/>
      <c r="K766" s="799"/>
      <c r="L766" s="885"/>
      <c r="M766" s="799"/>
      <c r="N766" s="799"/>
      <c r="O766" s="799"/>
      <c r="P766" s="799"/>
      <c r="Q766" s="799"/>
      <c r="R766" s="799"/>
      <c r="S766" s="799"/>
      <c r="T766" s="799"/>
      <c r="U766" s="799"/>
      <c r="V766" s="799"/>
      <c r="W766" s="799"/>
      <c r="X766" s="799"/>
      <c r="Y766" s="799"/>
      <c r="Z766" s="799"/>
    </row>
    <row r="767" ht="49.5" customHeight="1">
      <c r="A767" s="799"/>
      <c r="B767" s="799"/>
      <c r="C767" s="799"/>
      <c r="D767" s="799"/>
      <c r="E767" s="799"/>
      <c r="F767" s="799"/>
      <c r="G767" s="799"/>
      <c r="H767" s="799"/>
      <c r="I767" s="799"/>
      <c r="J767" s="799"/>
      <c r="K767" s="799"/>
      <c r="L767" s="885"/>
      <c r="M767" s="799"/>
      <c r="N767" s="799"/>
      <c r="O767" s="799"/>
      <c r="P767" s="799"/>
      <c r="Q767" s="799"/>
      <c r="R767" s="799"/>
      <c r="S767" s="799"/>
      <c r="T767" s="799"/>
      <c r="U767" s="799"/>
      <c r="V767" s="799"/>
      <c r="W767" s="799"/>
      <c r="X767" s="799"/>
      <c r="Y767" s="799"/>
      <c r="Z767" s="799"/>
    </row>
    <row r="768" ht="49.5" customHeight="1">
      <c r="A768" s="799"/>
      <c r="B768" s="799"/>
      <c r="C768" s="799"/>
      <c r="D768" s="799"/>
      <c r="E768" s="799"/>
      <c r="F768" s="799"/>
      <c r="G768" s="799"/>
      <c r="H768" s="799"/>
      <c r="I768" s="799"/>
      <c r="J768" s="799"/>
      <c r="K768" s="799"/>
      <c r="L768" s="885"/>
      <c r="M768" s="799"/>
      <c r="N768" s="799"/>
      <c r="O768" s="799"/>
      <c r="P768" s="799"/>
      <c r="Q768" s="799"/>
      <c r="R768" s="799"/>
      <c r="S768" s="799"/>
      <c r="T768" s="799"/>
      <c r="U768" s="799"/>
      <c r="V768" s="799"/>
      <c r="W768" s="799"/>
      <c r="X768" s="799"/>
      <c r="Y768" s="799"/>
      <c r="Z768" s="799"/>
    </row>
    <row r="769" ht="49.5" customHeight="1">
      <c r="A769" s="799"/>
      <c r="B769" s="799"/>
      <c r="C769" s="799"/>
      <c r="D769" s="799"/>
      <c r="E769" s="799"/>
      <c r="F769" s="799"/>
      <c r="G769" s="799"/>
      <c r="H769" s="799"/>
      <c r="I769" s="799"/>
      <c r="J769" s="799"/>
      <c r="K769" s="799"/>
      <c r="L769" s="885"/>
      <c r="M769" s="799"/>
      <c r="N769" s="799"/>
      <c r="O769" s="799"/>
      <c r="P769" s="799"/>
      <c r="Q769" s="799"/>
      <c r="R769" s="799"/>
      <c r="S769" s="799"/>
      <c r="T769" s="799"/>
      <c r="U769" s="799"/>
      <c r="V769" s="799"/>
      <c r="W769" s="799"/>
      <c r="X769" s="799"/>
      <c r="Y769" s="799"/>
      <c r="Z769" s="799"/>
    </row>
    <row r="770" ht="49.5" customHeight="1">
      <c r="A770" s="799"/>
      <c r="B770" s="799"/>
      <c r="C770" s="799"/>
      <c r="D770" s="799"/>
      <c r="E770" s="799"/>
      <c r="F770" s="799"/>
      <c r="G770" s="799"/>
      <c r="H770" s="799"/>
      <c r="I770" s="799"/>
      <c r="J770" s="799"/>
      <c r="K770" s="799"/>
      <c r="L770" s="885"/>
      <c r="M770" s="799"/>
      <c r="N770" s="799"/>
      <c r="O770" s="799"/>
      <c r="P770" s="799"/>
      <c r="Q770" s="799"/>
      <c r="R770" s="799"/>
      <c r="S770" s="799"/>
      <c r="T770" s="799"/>
      <c r="U770" s="799"/>
      <c r="V770" s="799"/>
      <c r="W770" s="799"/>
      <c r="X770" s="799"/>
      <c r="Y770" s="799"/>
      <c r="Z770" s="799"/>
    </row>
    <row r="771" ht="49.5" customHeight="1">
      <c r="A771" s="799"/>
      <c r="B771" s="799"/>
      <c r="C771" s="799"/>
      <c r="D771" s="799"/>
      <c r="E771" s="799"/>
      <c r="F771" s="799"/>
      <c r="G771" s="799"/>
      <c r="H771" s="799"/>
      <c r="I771" s="799"/>
      <c r="J771" s="799"/>
      <c r="K771" s="799"/>
      <c r="L771" s="885"/>
      <c r="M771" s="799"/>
      <c r="N771" s="799"/>
      <c r="O771" s="799"/>
      <c r="P771" s="799"/>
      <c r="Q771" s="799"/>
      <c r="R771" s="799"/>
      <c r="S771" s="799"/>
      <c r="T771" s="799"/>
      <c r="U771" s="799"/>
      <c r="V771" s="799"/>
      <c r="W771" s="799"/>
      <c r="X771" s="799"/>
      <c r="Y771" s="799"/>
      <c r="Z771" s="799"/>
    </row>
    <row r="772" ht="49.5" customHeight="1">
      <c r="A772" s="799"/>
      <c r="B772" s="799"/>
      <c r="C772" s="799"/>
      <c r="D772" s="799"/>
      <c r="E772" s="799"/>
      <c r="F772" s="799"/>
      <c r="G772" s="799"/>
      <c r="H772" s="799"/>
      <c r="I772" s="799"/>
      <c r="J772" s="799"/>
      <c r="K772" s="799"/>
      <c r="L772" s="885"/>
      <c r="M772" s="799"/>
      <c r="N772" s="799"/>
      <c r="O772" s="799"/>
      <c r="P772" s="799"/>
      <c r="Q772" s="799"/>
      <c r="R772" s="799"/>
      <c r="S772" s="799"/>
      <c r="T772" s="799"/>
      <c r="U772" s="799"/>
      <c r="V772" s="799"/>
      <c r="W772" s="799"/>
      <c r="X772" s="799"/>
      <c r="Y772" s="799"/>
      <c r="Z772" s="799"/>
    </row>
    <row r="773" ht="49.5" customHeight="1">
      <c r="A773" s="799"/>
      <c r="B773" s="799"/>
      <c r="C773" s="799"/>
      <c r="D773" s="799"/>
      <c r="E773" s="799"/>
      <c r="F773" s="799"/>
      <c r="G773" s="799"/>
      <c r="H773" s="799"/>
      <c r="I773" s="799"/>
      <c r="J773" s="799"/>
      <c r="K773" s="799"/>
      <c r="L773" s="885"/>
      <c r="M773" s="799"/>
      <c r="N773" s="799"/>
      <c r="O773" s="799"/>
      <c r="P773" s="799"/>
      <c r="Q773" s="799"/>
      <c r="R773" s="799"/>
      <c r="S773" s="799"/>
      <c r="T773" s="799"/>
      <c r="U773" s="799"/>
      <c r="V773" s="799"/>
      <c r="W773" s="799"/>
      <c r="X773" s="799"/>
      <c r="Y773" s="799"/>
      <c r="Z773" s="799"/>
    </row>
    <row r="774" ht="49.5" customHeight="1">
      <c r="A774" s="799"/>
      <c r="B774" s="799"/>
      <c r="C774" s="799"/>
      <c r="D774" s="799"/>
      <c r="E774" s="799"/>
      <c r="F774" s="799"/>
      <c r="G774" s="799"/>
      <c r="H774" s="799"/>
      <c r="I774" s="799"/>
      <c r="J774" s="799"/>
      <c r="K774" s="799"/>
      <c r="L774" s="885"/>
      <c r="M774" s="799"/>
      <c r="N774" s="799"/>
      <c r="O774" s="799"/>
      <c r="P774" s="799"/>
      <c r="Q774" s="799"/>
      <c r="R774" s="799"/>
      <c r="S774" s="799"/>
      <c r="T774" s="799"/>
      <c r="U774" s="799"/>
      <c r="V774" s="799"/>
      <c r="W774" s="799"/>
      <c r="X774" s="799"/>
      <c r="Y774" s="799"/>
      <c r="Z774" s="799"/>
    </row>
    <row r="775" ht="49.5" customHeight="1">
      <c r="A775" s="799"/>
      <c r="B775" s="799"/>
      <c r="C775" s="799"/>
      <c r="D775" s="799"/>
      <c r="E775" s="799"/>
      <c r="F775" s="799"/>
      <c r="G775" s="799"/>
      <c r="H775" s="799"/>
      <c r="I775" s="799"/>
      <c r="J775" s="799"/>
      <c r="K775" s="799"/>
      <c r="L775" s="885"/>
      <c r="M775" s="799"/>
      <c r="N775" s="799"/>
      <c r="O775" s="799"/>
      <c r="P775" s="799"/>
      <c r="Q775" s="799"/>
      <c r="R775" s="799"/>
      <c r="S775" s="799"/>
      <c r="T775" s="799"/>
      <c r="U775" s="799"/>
      <c r="V775" s="799"/>
      <c r="W775" s="799"/>
      <c r="X775" s="799"/>
      <c r="Y775" s="799"/>
      <c r="Z775" s="799"/>
    </row>
    <row r="776" ht="49.5" customHeight="1">
      <c r="A776" s="799"/>
      <c r="B776" s="799"/>
      <c r="C776" s="799"/>
      <c r="D776" s="799"/>
      <c r="E776" s="799"/>
      <c r="F776" s="799"/>
      <c r="G776" s="799"/>
      <c r="H776" s="799"/>
      <c r="I776" s="799"/>
      <c r="J776" s="799"/>
      <c r="K776" s="799"/>
      <c r="L776" s="885"/>
      <c r="M776" s="799"/>
      <c r="N776" s="799"/>
      <c r="O776" s="799"/>
      <c r="P776" s="799"/>
      <c r="Q776" s="799"/>
      <c r="R776" s="799"/>
      <c r="S776" s="799"/>
      <c r="T776" s="799"/>
      <c r="U776" s="799"/>
      <c r="V776" s="799"/>
      <c r="W776" s="799"/>
      <c r="X776" s="799"/>
      <c r="Y776" s="799"/>
      <c r="Z776" s="799"/>
    </row>
    <row r="777" ht="49.5" customHeight="1">
      <c r="A777" s="799"/>
      <c r="B777" s="799"/>
      <c r="C777" s="799"/>
      <c r="D777" s="799"/>
      <c r="E777" s="799"/>
      <c r="F777" s="799"/>
      <c r="G777" s="799"/>
      <c r="H777" s="799"/>
      <c r="I777" s="799"/>
      <c r="J777" s="799"/>
      <c r="K777" s="799"/>
      <c r="L777" s="885"/>
      <c r="M777" s="799"/>
      <c r="N777" s="799"/>
      <c r="O777" s="799"/>
      <c r="P777" s="799"/>
      <c r="Q777" s="799"/>
      <c r="R777" s="799"/>
      <c r="S777" s="799"/>
      <c r="T777" s="799"/>
      <c r="U777" s="799"/>
      <c r="V777" s="799"/>
      <c r="W777" s="799"/>
      <c r="X777" s="799"/>
      <c r="Y777" s="799"/>
      <c r="Z777" s="799"/>
    </row>
    <row r="778" ht="49.5" customHeight="1">
      <c r="A778" s="799"/>
      <c r="B778" s="799"/>
      <c r="C778" s="799"/>
      <c r="D778" s="799"/>
      <c r="E778" s="799"/>
      <c r="F778" s="799"/>
      <c r="G778" s="799"/>
      <c r="H778" s="799"/>
      <c r="I778" s="799"/>
      <c r="J778" s="799"/>
      <c r="K778" s="799"/>
      <c r="L778" s="885"/>
      <c r="M778" s="799"/>
      <c r="N778" s="799"/>
      <c r="O778" s="799"/>
      <c r="P778" s="799"/>
      <c r="Q778" s="799"/>
      <c r="R778" s="799"/>
      <c r="S778" s="799"/>
      <c r="T778" s="799"/>
      <c r="U778" s="799"/>
      <c r="V778" s="799"/>
      <c r="W778" s="799"/>
      <c r="X778" s="799"/>
      <c r="Y778" s="799"/>
      <c r="Z778" s="799"/>
    </row>
    <row r="779" ht="49.5" customHeight="1">
      <c r="A779" s="799"/>
      <c r="B779" s="799"/>
      <c r="C779" s="799"/>
      <c r="D779" s="799"/>
      <c r="E779" s="799"/>
      <c r="F779" s="799"/>
      <c r="G779" s="799"/>
      <c r="H779" s="799"/>
      <c r="I779" s="799"/>
      <c r="J779" s="799"/>
      <c r="K779" s="799"/>
      <c r="L779" s="885"/>
      <c r="M779" s="799"/>
      <c r="N779" s="799"/>
      <c r="O779" s="799"/>
      <c r="P779" s="799"/>
      <c r="Q779" s="799"/>
      <c r="R779" s="799"/>
      <c r="S779" s="799"/>
      <c r="T779" s="799"/>
      <c r="U779" s="799"/>
      <c r="V779" s="799"/>
      <c r="W779" s="799"/>
      <c r="X779" s="799"/>
      <c r="Y779" s="799"/>
      <c r="Z779" s="799"/>
    </row>
    <row r="780" ht="49.5" customHeight="1">
      <c r="A780" s="799"/>
      <c r="B780" s="799"/>
      <c r="C780" s="799"/>
      <c r="D780" s="799"/>
      <c r="E780" s="799"/>
      <c r="F780" s="799"/>
      <c r="G780" s="799"/>
      <c r="H780" s="799"/>
      <c r="I780" s="799"/>
      <c r="J780" s="799"/>
      <c r="K780" s="799"/>
      <c r="L780" s="885"/>
      <c r="M780" s="799"/>
      <c r="N780" s="799"/>
      <c r="O780" s="799"/>
      <c r="P780" s="799"/>
      <c r="Q780" s="799"/>
      <c r="R780" s="799"/>
      <c r="S780" s="799"/>
      <c r="T780" s="799"/>
      <c r="U780" s="799"/>
      <c r="V780" s="799"/>
      <c r="W780" s="799"/>
      <c r="X780" s="799"/>
      <c r="Y780" s="799"/>
      <c r="Z780" s="799"/>
    </row>
    <row r="781" ht="49.5" customHeight="1">
      <c r="A781" s="799"/>
      <c r="B781" s="799"/>
      <c r="C781" s="799"/>
      <c r="D781" s="799"/>
      <c r="E781" s="799"/>
      <c r="F781" s="799"/>
      <c r="G781" s="799"/>
      <c r="H781" s="799"/>
      <c r="I781" s="799"/>
      <c r="J781" s="799"/>
      <c r="K781" s="799"/>
      <c r="L781" s="885"/>
      <c r="M781" s="799"/>
      <c r="N781" s="799"/>
      <c r="O781" s="799"/>
      <c r="P781" s="799"/>
      <c r="Q781" s="799"/>
      <c r="R781" s="799"/>
      <c r="S781" s="799"/>
      <c r="T781" s="799"/>
      <c r="U781" s="799"/>
      <c r="V781" s="799"/>
      <c r="W781" s="799"/>
      <c r="X781" s="799"/>
      <c r="Y781" s="799"/>
      <c r="Z781" s="799"/>
    </row>
    <row r="782" ht="49.5" customHeight="1">
      <c r="A782" s="799"/>
      <c r="B782" s="799"/>
      <c r="C782" s="799"/>
      <c r="D782" s="799"/>
      <c r="E782" s="799"/>
      <c r="F782" s="799"/>
      <c r="G782" s="799"/>
      <c r="H782" s="799"/>
      <c r="I782" s="799"/>
      <c r="J782" s="799"/>
      <c r="K782" s="799"/>
      <c r="L782" s="885"/>
      <c r="M782" s="799"/>
      <c r="N782" s="799"/>
      <c r="O782" s="799"/>
      <c r="P782" s="799"/>
      <c r="Q782" s="799"/>
      <c r="R782" s="799"/>
      <c r="S782" s="799"/>
      <c r="T782" s="799"/>
      <c r="U782" s="799"/>
      <c r="V782" s="799"/>
      <c r="W782" s="799"/>
      <c r="X782" s="799"/>
      <c r="Y782" s="799"/>
      <c r="Z782" s="799"/>
    </row>
    <row r="783" ht="49.5" customHeight="1">
      <c r="A783" s="799"/>
      <c r="B783" s="799"/>
      <c r="C783" s="799"/>
      <c r="D783" s="799"/>
      <c r="E783" s="799"/>
      <c r="F783" s="799"/>
      <c r="G783" s="799"/>
      <c r="H783" s="799"/>
      <c r="I783" s="799"/>
      <c r="J783" s="799"/>
      <c r="K783" s="799"/>
      <c r="L783" s="885"/>
      <c r="M783" s="799"/>
      <c r="N783" s="799"/>
      <c r="O783" s="799"/>
      <c r="P783" s="799"/>
      <c r="Q783" s="799"/>
      <c r="R783" s="799"/>
      <c r="S783" s="799"/>
      <c r="T783" s="799"/>
      <c r="U783" s="799"/>
      <c r="V783" s="799"/>
      <c r="W783" s="799"/>
      <c r="X783" s="799"/>
      <c r="Y783" s="799"/>
      <c r="Z783" s="799"/>
    </row>
    <row r="784" ht="49.5" customHeight="1">
      <c r="A784" s="799"/>
      <c r="B784" s="799"/>
      <c r="C784" s="799"/>
      <c r="D784" s="799"/>
      <c r="E784" s="799"/>
      <c r="F784" s="799"/>
      <c r="G784" s="799"/>
      <c r="H784" s="799"/>
      <c r="I784" s="799"/>
      <c r="J784" s="799"/>
      <c r="K784" s="799"/>
      <c r="L784" s="885"/>
      <c r="M784" s="799"/>
      <c r="N784" s="799"/>
      <c r="O784" s="799"/>
      <c r="P784" s="799"/>
      <c r="Q784" s="799"/>
      <c r="R784" s="799"/>
      <c r="S784" s="799"/>
      <c r="T784" s="799"/>
      <c r="U784" s="799"/>
      <c r="V784" s="799"/>
      <c r="W784" s="799"/>
      <c r="X784" s="799"/>
      <c r="Y784" s="799"/>
      <c r="Z784" s="799"/>
    </row>
    <row r="785" ht="49.5" customHeight="1">
      <c r="A785" s="799"/>
      <c r="B785" s="799"/>
      <c r="C785" s="799"/>
      <c r="D785" s="799"/>
      <c r="E785" s="799"/>
      <c r="F785" s="799"/>
      <c r="G785" s="799"/>
      <c r="H785" s="799"/>
      <c r="I785" s="799"/>
      <c r="J785" s="799"/>
      <c r="K785" s="799"/>
      <c r="L785" s="885"/>
      <c r="M785" s="799"/>
      <c r="N785" s="799"/>
      <c r="O785" s="799"/>
      <c r="P785" s="799"/>
      <c r="Q785" s="799"/>
      <c r="R785" s="799"/>
      <c r="S785" s="799"/>
      <c r="T785" s="799"/>
      <c r="U785" s="799"/>
      <c r="V785" s="799"/>
      <c r="W785" s="799"/>
      <c r="X785" s="799"/>
      <c r="Y785" s="799"/>
      <c r="Z785" s="799"/>
    </row>
    <row r="786" ht="49.5" customHeight="1">
      <c r="A786" s="799"/>
      <c r="B786" s="799"/>
      <c r="C786" s="799"/>
      <c r="D786" s="799"/>
      <c r="E786" s="799"/>
      <c r="F786" s="799"/>
      <c r="G786" s="799"/>
      <c r="H786" s="799"/>
      <c r="I786" s="799"/>
      <c r="J786" s="799"/>
      <c r="K786" s="799"/>
      <c r="L786" s="885"/>
      <c r="M786" s="799"/>
      <c r="N786" s="799"/>
      <c r="O786" s="799"/>
      <c r="P786" s="799"/>
      <c r="Q786" s="799"/>
      <c r="R786" s="799"/>
      <c r="S786" s="799"/>
      <c r="T786" s="799"/>
      <c r="U786" s="799"/>
      <c r="V786" s="799"/>
      <c r="W786" s="799"/>
      <c r="X786" s="799"/>
      <c r="Y786" s="799"/>
      <c r="Z786" s="799"/>
    </row>
    <row r="787" ht="49.5" customHeight="1">
      <c r="A787" s="799"/>
      <c r="B787" s="799"/>
      <c r="C787" s="799"/>
      <c r="D787" s="799"/>
      <c r="E787" s="799"/>
      <c r="F787" s="799"/>
      <c r="G787" s="799"/>
      <c r="H787" s="799"/>
      <c r="I787" s="799"/>
      <c r="J787" s="799"/>
      <c r="K787" s="799"/>
      <c r="L787" s="885"/>
      <c r="M787" s="799"/>
      <c r="N787" s="799"/>
      <c r="O787" s="799"/>
      <c r="P787" s="799"/>
      <c r="Q787" s="799"/>
      <c r="R787" s="799"/>
      <c r="S787" s="799"/>
      <c r="T787" s="799"/>
      <c r="U787" s="799"/>
      <c r="V787" s="799"/>
      <c r="W787" s="799"/>
      <c r="X787" s="799"/>
      <c r="Y787" s="799"/>
      <c r="Z787" s="799"/>
    </row>
    <row r="788" ht="49.5" customHeight="1">
      <c r="A788" s="799"/>
      <c r="B788" s="799"/>
      <c r="C788" s="799"/>
      <c r="D788" s="799"/>
      <c r="E788" s="799"/>
      <c r="F788" s="799"/>
      <c r="G788" s="799"/>
      <c r="H788" s="799"/>
      <c r="I788" s="799"/>
      <c r="J788" s="799"/>
      <c r="K788" s="799"/>
      <c r="L788" s="885"/>
      <c r="M788" s="799"/>
      <c r="N788" s="799"/>
      <c r="O788" s="799"/>
      <c r="P788" s="799"/>
      <c r="Q788" s="799"/>
      <c r="R788" s="799"/>
      <c r="S788" s="799"/>
      <c r="T788" s="799"/>
      <c r="U788" s="799"/>
      <c r="V788" s="799"/>
      <c r="W788" s="799"/>
      <c r="X788" s="799"/>
      <c r="Y788" s="799"/>
      <c r="Z788" s="799"/>
    </row>
    <row r="789" ht="49.5" customHeight="1">
      <c r="A789" s="799"/>
      <c r="B789" s="799"/>
      <c r="C789" s="799"/>
      <c r="D789" s="799"/>
      <c r="E789" s="799"/>
      <c r="F789" s="799"/>
      <c r="G789" s="799"/>
      <c r="H789" s="799"/>
      <c r="I789" s="799"/>
      <c r="J789" s="799"/>
      <c r="K789" s="799"/>
      <c r="L789" s="885"/>
      <c r="M789" s="799"/>
      <c r="N789" s="799"/>
      <c r="O789" s="799"/>
      <c r="P789" s="799"/>
      <c r="Q789" s="799"/>
      <c r="R789" s="799"/>
      <c r="S789" s="799"/>
      <c r="T789" s="799"/>
      <c r="U789" s="799"/>
      <c r="V789" s="799"/>
      <c r="W789" s="799"/>
      <c r="X789" s="799"/>
      <c r="Y789" s="799"/>
      <c r="Z789" s="799"/>
    </row>
    <row r="790" ht="49.5" customHeight="1">
      <c r="A790" s="799"/>
      <c r="B790" s="799"/>
      <c r="C790" s="799"/>
      <c r="D790" s="799"/>
      <c r="E790" s="799"/>
      <c r="F790" s="799"/>
      <c r="G790" s="799"/>
      <c r="H790" s="799"/>
      <c r="I790" s="799"/>
      <c r="J790" s="799"/>
      <c r="K790" s="799"/>
      <c r="L790" s="885"/>
      <c r="M790" s="799"/>
      <c r="N790" s="799"/>
      <c r="O790" s="799"/>
      <c r="P790" s="799"/>
      <c r="Q790" s="799"/>
      <c r="R790" s="799"/>
      <c r="S790" s="799"/>
      <c r="T790" s="799"/>
      <c r="U790" s="799"/>
      <c r="V790" s="799"/>
      <c r="W790" s="799"/>
      <c r="X790" s="799"/>
      <c r="Y790" s="799"/>
      <c r="Z790" s="799"/>
    </row>
    <row r="791" ht="49.5" customHeight="1">
      <c r="A791" s="799"/>
      <c r="B791" s="799"/>
      <c r="C791" s="799"/>
      <c r="D791" s="799"/>
      <c r="E791" s="799"/>
      <c r="F791" s="799"/>
      <c r="G791" s="799"/>
      <c r="H791" s="799"/>
      <c r="I791" s="799"/>
      <c r="J791" s="799"/>
      <c r="K791" s="799"/>
      <c r="L791" s="885"/>
      <c r="M791" s="799"/>
      <c r="N791" s="799"/>
      <c r="O791" s="799"/>
      <c r="P791" s="799"/>
      <c r="Q791" s="799"/>
      <c r="R791" s="799"/>
      <c r="S791" s="799"/>
      <c r="T791" s="799"/>
      <c r="U791" s="799"/>
      <c r="V791" s="799"/>
      <c r="W791" s="799"/>
      <c r="X791" s="799"/>
      <c r="Y791" s="799"/>
      <c r="Z791" s="799"/>
    </row>
    <row r="792" ht="49.5" customHeight="1">
      <c r="A792" s="799"/>
      <c r="B792" s="799"/>
      <c r="C792" s="799"/>
      <c r="D792" s="799"/>
      <c r="E792" s="799"/>
      <c r="F792" s="799"/>
      <c r="G792" s="799"/>
      <c r="H792" s="799"/>
      <c r="I792" s="799"/>
      <c r="J792" s="799"/>
      <c r="K792" s="799"/>
      <c r="L792" s="885"/>
      <c r="M792" s="799"/>
      <c r="N792" s="799"/>
      <c r="O792" s="799"/>
      <c r="P792" s="799"/>
      <c r="Q792" s="799"/>
      <c r="R792" s="799"/>
      <c r="S792" s="799"/>
      <c r="T792" s="799"/>
      <c r="U792" s="799"/>
      <c r="V792" s="799"/>
      <c r="W792" s="799"/>
      <c r="X792" s="799"/>
      <c r="Y792" s="799"/>
      <c r="Z792" s="799"/>
    </row>
    <row r="793" ht="49.5" customHeight="1">
      <c r="A793" s="799"/>
      <c r="B793" s="799"/>
      <c r="C793" s="799"/>
      <c r="D793" s="799"/>
      <c r="E793" s="799"/>
      <c r="F793" s="799"/>
      <c r="G793" s="799"/>
      <c r="H793" s="799"/>
      <c r="I793" s="799"/>
      <c r="J793" s="799"/>
      <c r="K793" s="799"/>
      <c r="L793" s="885"/>
      <c r="M793" s="799"/>
      <c r="N793" s="799"/>
      <c r="O793" s="799"/>
      <c r="P793" s="799"/>
      <c r="Q793" s="799"/>
      <c r="R793" s="799"/>
      <c r="S793" s="799"/>
      <c r="T793" s="799"/>
      <c r="U793" s="799"/>
      <c r="V793" s="799"/>
      <c r="W793" s="799"/>
      <c r="X793" s="799"/>
      <c r="Y793" s="799"/>
      <c r="Z793" s="799"/>
    </row>
    <row r="794" ht="49.5" customHeight="1">
      <c r="A794" s="799"/>
      <c r="B794" s="799"/>
      <c r="C794" s="799"/>
      <c r="D794" s="799"/>
      <c r="E794" s="799"/>
      <c r="F794" s="799"/>
      <c r="G794" s="799"/>
      <c r="H794" s="799"/>
      <c r="I794" s="799"/>
      <c r="J794" s="799"/>
      <c r="K794" s="799"/>
      <c r="L794" s="885"/>
      <c r="M794" s="799"/>
      <c r="N794" s="799"/>
      <c r="O794" s="799"/>
      <c r="P794" s="799"/>
      <c r="Q794" s="799"/>
      <c r="R794" s="799"/>
      <c r="S794" s="799"/>
      <c r="T794" s="799"/>
      <c r="U794" s="799"/>
      <c r="V794" s="799"/>
      <c r="W794" s="799"/>
      <c r="X794" s="799"/>
      <c r="Y794" s="799"/>
      <c r="Z794" s="799"/>
    </row>
    <row r="795" ht="49.5" customHeight="1">
      <c r="A795" s="799"/>
      <c r="B795" s="799"/>
      <c r="C795" s="799"/>
      <c r="D795" s="799"/>
      <c r="E795" s="799"/>
      <c r="F795" s="799"/>
      <c r="G795" s="799"/>
      <c r="H795" s="799"/>
      <c r="I795" s="799"/>
      <c r="J795" s="799"/>
      <c r="K795" s="799"/>
      <c r="L795" s="885"/>
      <c r="M795" s="799"/>
      <c r="N795" s="799"/>
      <c r="O795" s="799"/>
      <c r="P795" s="799"/>
      <c r="Q795" s="799"/>
      <c r="R795" s="799"/>
      <c r="S795" s="799"/>
      <c r="T795" s="799"/>
      <c r="U795" s="799"/>
      <c r="V795" s="799"/>
      <c r="W795" s="799"/>
      <c r="X795" s="799"/>
      <c r="Y795" s="799"/>
      <c r="Z795" s="799"/>
    </row>
    <row r="796" ht="49.5" customHeight="1">
      <c r="A796" s="799"/>
      <c r="B796" s="799"/>
      <c r="C796" s="799"/>
      <c r="D796" s="799"/>
      <c r="E796" s="799"/>
      <c r="F796" s="799"/>
      <c r="G796" s="799"/>
      <c r="H796" s="799"/>
      <c r="I796" s="799"/>
      <c r="J796" s="799"/>
      <c r="K796" s="799"/>
      <c r="L796" s="885"/>
      <c r="M796" s="799"/>
      <c r="N796" s="799"/>
      <c r="O796" s="799"/>
      <c r="P796" s="799"/>
      <c r="Q796" s="799"/>
      <c r="R796" s="799"/>
      <c r="S796" s="799"/>
      <c r="T796" s="799"/>
      <c r="U796" s="799"/>
      <c r="V796" s="799"/>
      <c r="W796" s="799"/>
      <c r="X796" s="799"/>
      <c r="Y796" s="799"/>
      <c r="Z796" s="799"/>
    </row>
    <row r="797" ht="49.5" customHeight="1">
      <c r="A797" s="799"/>
      <c r="B797" s="799"/>
      <c r="C797" s="799"/>
      <c r="D797" s="799"/>
      <c r="E797" s="799"/>
      <c r="F797" s="799"/>
      <c r="G797" s="799"/>
      <c r="H797" s="799"/>
      <c r="I797" s="799"/>
      <c r="J797" s="799"/>
      <c r="K797" s="799"/>
      <c r="L797" s="885"/>
      <c r="M797" s="799"/>
      <c r="N797" s="799"/>
      <c r="O797" s="799"/>
      <c r="P797" s="799"/>
      <c r="Q797" s="799"/>
      <c r="R797" s="799"/>
      <c r="S797" s="799"/>
      <c r="T797" s="799"/>
      <c r="U797" s="799"/>
      <c r="V797" s="799"/>
      <c r="W797" s="799"/>
      <c r="X797" s="799"/>
      <c r="Y797" s="799"/>
      <c r="Z797" s="799"/>
    </row>
    <row r="798" ht="49.5" customHeight="1">
      <c r="A798" s="799"/>
      <c r="B798" s="799"/>
      <c r="C798" s="799"/>
      <c r="D798" s="799"/>
      <c r="E798" s="799"/>
      <c r="F798" s="799"/>
      <c r="G798" s="799"/>
      <c r="H798" s="799"/>
      <c r="I798" s="799"/>
      <c r="J798" s="799"/>
      <c r="K798" s="799"/>
      <c r="L798" s="885"/>
      <c r="M798" s="799"/>
      <c r="N798" s="799"/>
      <c r="O798" s="799"/>
      <c r="P798" s="799"/>
      <c r="Q798" s="799"/>
      <c r="R798" s="799"/>
      <c r="S798" s="799"/>
      <c r="T798" s="799"/>
      <c r="U798" s="799"/>
      <c r="V798" s="799"/>
      <c r="W798" s="799"/>
      <c r="X798" s="799"/>
      <c r="Y798" s="799"/>
      <c r="Z798" s="799"/>
    </row>
    <row r="799" ht="49.5" customHeight="1">
      <c r="A799" s="799"/>
      <c r="B799" s="799"/>
      <c r="C799" s="799"/>
      <c r="D799" s="799"/>
      <c r="E799" s="799"/>
      <c r="F799" s="799"/>
      <c r="G799" s="799"/>
      <c r="H799" s="799"/>
      <c r="I799" s="799"/>
      <c r="J799" s="799"/>
      <c r="K799" s="799"/>
      <c r="L799" s="885"/>
      <c r="M799" s="799"/>
      <c r="N799" s="799"/>
      <c r="O799" s="799"/>
      <c r="P799" s="799"/>
      <c r="Q799" s="799"/>
      <c r="R799" s="799"/>
      <c r="S799" s="799"/>
      <c r="T799" s="799"/>
      <c r="U799" s="799"/>
      <c r="V799" s="799"/>
      <c r="W799" s="799"/>
      <c r="X799" s="799"/>
      <c r="Y799" s="799"/>
      <c r="Z799" s="799"/>
    </row>
    <row r="800" ht="49.5" customHeight="1">
      <c r="A800" s="799"/>
      <c r="B800" s="799"/>
      <c r="C800" s="799"/>
      <c r="D800" s="799"/>
      <c r="E800" s="799"/>
      <c r="F800" s="799"/>
      <c r="G800" s="799"/>
      <c r="H800" s="799"/>
      <c r="I800" s="799"/>
      <c r="J800" s="799"/>
      <c r="K800" s="799"/>
      <c r="L800" s="885"/>
      <c r="M800" s="799"/>
      <c r="N800" s="799"/>
      <c r="O800" s="799"/>
      <c r="P800" s="799"/>
      <c r="Q800" s="799"/>
      <c r="R800" s="799"/>
      <c r="S800" s="799"/>
      <c r="T800" s="799"/>
      <c r="U800" s="799"/>
      <c r="V800" s="799"/>
      <c r="W800" s="799"/>
      <c r="X800" s="799"/>
      <c r="Y800" s="799"/>
      <c r="Z800" s="799"/>
    </row>
    <row r="801" ht="49.5" customHeight="1">
      <c r="A801" s="799"/>
      <c r="B801" s="799"/>
      <c r="C801" s="799"/>
      <c r="D801" s="799"/>
      <c r="E801" s="799"/>
      <c r="F801" s="799"/>
      <c r="G801" s="799"/>
      <c r="H801" s="799"/>
      <c r="I801" s="799"/>
      <c r="J801" s="799"/>
      <c r="K801" s="799"/>
      <c r="L801" s="885"/>
      <c r="M801" s="799"/>
      <c r="N801" s="799"/>
      <c r="O801" s="799"/>
      <c r="P801" s="799"/>
      <c r="Q801" s="799"/>
      <c r="R801" s="799"/>
      <c r="S801" s="799"/>
      <c r="T801" s="799"/>
      <c r="U801" s="799"/>
      <c r="V801" s="799"/>
      <c r="W801" s="799"/>
      <c r="X801" s="799"/>
      <c r="Y801" s="799"/>
      <c r="Z801" s="799"/>
    </row>
    <row r="802" ht="49.5" customHeight="1">
      <c r="A802" s="799"/>
      <c r="B802" s="799"/>
      <c r="C802" s="799"/>
      <c r="D802" s="799"/>
      <c r="E802" s="799"/>
      <c r="F802" s="799"/>
      <c r="G802" s="799"/>
      <c r="H802" s="799"/>
      <c r="I802" s="799"/>
      <c r="J802" s="799"/>
      <c r="K802" s="799"/>
      <c r="L802" s="885"/>
      <c r="M802" s="799"/>
      <c r="N802" s="799"/>
      <c r="O802" s="799"/>
      <c r="P802" s="799"/>
      <c r="Q802" s="799"/>
      <c r="R802" s="799"/>
      <c r="S802" s="799"/>
      <c r="T802" s="799"/>
      <c r="U802" s="799"/>
      <c r="V802" s="799"/>
      <c r="W802" s="799"/>
      <c r="X802" s="799"/>
      <c r="Y802" s="799"/>
      <c r="Z802" s="799"/>
    </row>
    <row r="803" ht="49.5" customHeight="1">
      <c r="A803" s="799"/>
      <c r="B803" s="799"/>
      <c r="C803" s="799"/>
      <c r="D803" s="799"/>
      <c r="E803" s="799"/>
      <c r="F803" s="799"/>
      <c r="G803" s="799"/>
      <c r="H803" s="799"/>
      <c r="I803" s="799"/>
      <c r="J803" s="799"/>
      <c r="K803" s="799"/>
      <c r="L803" s="885"/>
      <c r="M803" s="799"/>
      <c r="N803" s="799"/>
      <c r="O803" s="799"/>
      <c r="P803" s="799"/>
      <c r="Q803" s="799"/>
      <c r="R803" s="799"/>
      <c r="S803" s="799"/>
      <c r="T803" s="799"/>
      <c r="U803" s="799"/>
      <c r="V803" s="799"/>
      <c r="W803" s="799"/>
      <c r="X803" s="799"/>
      <c r="Y803" s="799"/>
      <c r="Z803" s="799"/>
    </row>
    <row r="804" ht="49.5" customHeight="1">
      <c r="A804" s="799"/>
      <c r="B804" s="799"/>
      <c r="C804" s="799"/>
      <c r="D804" s="799"/>
      <c r="E804" s="799"/>
      <c r="F804" s="799"/>
      <c r="G804" s="799"/>
      <c r="H804" s="799"/>
      <c r="I804" s="799"/>
      <c r="J804" s="799"/>
      <c r="K804" s="799"/>
      <c r="L804" s="885"/>
      <c r="M804" s="799"/>
      <c r="N804" s="799"/>
      <c r="O804" s="799"/>
      <c r="P804" s="799"/>
      <c r="Q804" s="799"/>
      <c r="R804" s="799"/>
      <c r="S804" s="799"/>
      <c r="T804" s="799"/>
      <c r="U804" s="799"/>
      <c r="V804" s="799"/>
      <c r="W804" s="799"/>
      <c r="X804" s="799"/>
      <c r="Y804" s="799"/>
      <c r="Z804" s="799"/>
    </row>
    <row r="805" ht="49.5" customHeight="1">
      <c r="A805" s="799"/>
      <c r="B805" s="799"/>
      <c r="C805" s="799"/>
      <c r="D805" s="799"/>
      <c r="E805" s="799"/>
      <c r="F805" s="799"/>
      <c r="G805" s="799"/>
      <c r="H805" s="799"/>
      <c r="I805" s="799"/>
      <c r="J805" s="799"/>
      <c r="K805" s="799"/>
      <c r="L805" s="885"/>
      <c r="M805" s="799"/>
      <c r="N805" s="799"/>
      <c r="O805" s="799"/>
      <c r="P805" s="799"/>
      <c r="Q805" s="799"/>
      <c r="R805" s="799"/>
      <c r="S805" s="799"/>
      <c r="T805" s="799"/>
      <c r="U805" s="799"/>
      <c r="V805" s="799"/>
      <c r="W805" s="799"/>
      <c r="X805" s="799"/>
      <c r="Y805" s="799"/>
      <c r="Z805" s="799"/>
    </row>
    <row r="806" ht="49.5" customHeight="1">
      <c r="A806" s="799"/>
      <c r="B806" s="799"/>
      <c r="C806" s="799"/>
      <c r="D806" s="799"/>
      <c r="E806" s="799"/>
      <c r="F806" s="799"/>
      <c r="G806" s="799"/>
      <c r="H806" s="799"/>
      <c r="I806" s="799"/>
      <c r="J806" s="799"/>
      <c r="K806" s="799"/>
      <c r="L806" s="885"/>
      <c r="M806" s="799"/>
      <c r="N806" s="799"/>
      <c r="O806" s="799"/>
      <c r="P806" s="799"/>
      <c r="Q806" s="799"/>
      <c r="R806" s="799"/>
      <c r="S806" s="799"/>
      <c r="T806" s="799"/>
      <c r="U806" s="799"/>
      <c r="V806" s="799"/>
      <c r="W806" s="799"/>
      <c r="X806" s="799"/>
      <c r="Y806" s="799"/>
      <c r="Z806" s="799"/>
    </row>
    <row r="807" ht="49.5" customHeight="1">
      <c r="A807" s="799"/>
      <c r="B807" s="799"/>
      <c r="C807" s="799"/>
      <c r="D807" s="799"/>
      <c r="E807" s="799"/>
      <c r="F807" s="799"/>
      <c r="G807" s="799"/>
      <c r="H807" s="799"/>
      <c r="I807" s="799"/>
      <c r="J807" s="799"/>
      <c r="K807" s="799"/>
      <c r="L807" s="885"/>
      <c r="M807" s="799"/>
      <c r="N807" s="799"/>
      <c r="O807" s="799"/>
      <c r="P807" s="799"/>
      <c r="Q807" s="799"/>
      <c r="R807" s="799"/>
      <c r="S807" s="799"/>
      <c r="T807" s="799"/>
      <c r="U807" s="799"/>
      <c r="V807" s="799"/>
      <c r="W807" s="799"/>
      <c r="X807" s="799"/>
      <c r="Y807" s="799"/>
      <c r="Z807" s="799"/>
    </row>
    <row r="808" ht="49.5" customHeight="1">
      <c r="A808" s="799"/>
      <c r="B808" s="799"/>
      <c r="C808" s="799"/>
      <c r="D808" s="799"/>
      <c r="E808" s="799"/>
      <c r="F808" s="799"/>
      <c r="G808" s="799"/>
      <c r="H808" s="799"/>
      <c r="I808" s="799"/>
      <c r="J808" s="799"/>
      <c r="K808" s="799"/>
      <c r="L808" s="885"/>
      <c r="M808" s="799"/>
      <c r="N808" s="799"/>
      <c r="O808" s="799"/>
      <c r="P808" s="799"/>
      <c r="Q808" s="799"/>
      <c r="R808" s="799"/>
      <c r="S808" s="799"/>
      <c r="T808" s="799"/>
      <c r="U808" s="799"/>
      <c r="V808" s="799"/>
      <c r="W808" s="799"/>
      <c r="X808" s="799"/>
      <c r="Y808" s="799"/>
      <c r="Z808" s="799"/>
    </row>
    <row r="809" ht="49.5" customHeight="1">
      <c r="A809" s="799"/>
      <c r="B809" s="799"/>
      <c r="C809" s="799"/>
      <c r="D809" s="799"/>
      <c r="E809" s="799"/>
      <c r="F809" s="799"/>
      <c r="G809" s="799"/>
      <c r="H809" s="799"/>
      <c r="I809" s="799"/>
      <c r="J809" s="799"/>
      <c r="K809" s="799"/>
      <c r="L809" s="885"/>
      <c r="M809" s="799"/>
      <c r="N809" s="799"/>
      <c r="O809" s="799"/>
      <c r="P809" s="799"/>
      <c r="Q809" s="799"/>
      <c r="R809" s="799"/>
      <c r="S809" s="799"/>
      <c r="T809" s="799"/>
      <c r="U809" s="799"/>
      <c r="V809" s="799"/>
      <c r="W809" s="799"/>
      <c r="X809" s="799"/>
      <c r="Y809" s="799"/>
      <c r="Z809" s="799"/>
    </row>
    <row r="810" ht="49.5" customHeight="1">
      <c r="A810" s="799"/>
      <c r="B810" s="799"/>
      <c r="C810" s="799"/>
      <c r="D810" s="799"/>
      <c r="E810" s="799"/>
      <c r="F810" s="799"/>
      <c r="G810" s="799"/>
      <c r="H810" s="799"/>
      <c r="I810" s="799"/>
      <c r="J810" s="799"/>
      <c r="K810" s="799"/>
      <c r="L810" s="885"/>
      <c r="M810" s="799"/>
      <c r="N810" s="799"/>
      <c r="O810" s="799"/>
      <c r="P810" s="799"/>
      <c r="Q810" s="799"/>
      <c r="R810" s="799"/>
      <c r="S810" s="799"/>
      <c r="T810" s="799"/>
      <c r="U810" s="799"/>
      <c r="V810" s="799"/>
      <c r="W810" s="799"/>
      <c r="X810" s="799"/>
      <c r="Y810" s="799"/>
      <c r="Z810" s="799"/>
    </row>
    <row r="811" ht="49.5" customHeight="1">
      <c r="A811" s="799"/>
      <c r="B811" s="799"/>
      <c r="C811" s="799"/>
      <c r="D811" s="799"/>
      <c r="E811" s="799"/>
      <c r="F811" s="799"/>
      <c r="G811" s="799"/>
      <c r="H811" s="799"/>
      <c r="I811" s="799"/>
      <c r="J811" s="799"/>
      <c r="K811" s="799"/>
      <c r="L811" s="885"/>
      <c r="M811" s="799"/>
      <c r="N811" s="799"/>
      <c r="O811" s="799"/>
      <c r="P811" s="799"/>
      <c r="Q811" s="799"/>
      <c r="R811" s="799"/>
      <c r="S811" s="799"/>
      <c r="T811" s="799"/>
      <c r="U811" s="799"/>
      <c r="V811" s="799"/>
      <c r="W811" s="799"/>
      <c r="X811" s="799"/>
      <c r="Y811" s="799"/>
      <c r="Z811" s="799"/>
    </row>
    <row r="812" ht="49.5" customHeight="1">
      <c r="A812" s="799"/>
      <c r="B812" s="799"/>
      <c r="C812" s="799"/>
      <c r="D812" s="799"/>
      <c r="E812" s="799"/>
      <c r="F812" s="799"/>
      <c r="G812" s="799"/>
      <c r="H812" s="799"/>
      <c r="I812" s="799"/>
      <c r="J812" s="799"/>
      <c r="K812" s="799"/>
      <c r="L812" s="885"/>
      <c r="M812" s="799"/>
      <c r="N812" s="799"/>
      <c r="O812" s="799"/>
      <c r="P812" s="799"/>
      <c r="Q812" s="799"/>
      <c r="R812" s="799"/>
      <c r="S812" s="799"/>
      <c r="T812" s="799"/>
      <c r="U812" s="799"/>
      <c r="V812" s="799"/>
      <c r="W812" s="799"/>
      <c r="X812" s="799"/>
      <c r="Y812" s="799"/>
      <c r="Z812" s="799"/>
    </row>
    <row r="813" ht="49.5" customHeight="1">
      <c r="A813" s="799"/>
      <c r="B813" s="799"/>
      <c r="C813" s="799"/>
      <c r="D813" s="799"/>
      <c r="E813" s="799"/>
      <c r="F813" s="799"/>
      <c r="G813" s="799"/>
      <c r="H813" s="799"/>
      <c r="I813" s="799"/>
      <c r="J813" s="799"/>
      <c r="K813" s="799"/>
      <c r="L813" s="885"/>
      <c r="M813" s="799"/>
      <c r="N813" s="799"/>
      <c r="O813" s="799"/>
      <c r="P813" s="799"/>
      <c r="Q813" s="799"/>
      <c r="R813" s="799"/>
      <c r="S813" s="799"/>
      <c r="T813" s="799"/>
      <c r="U813" s="799"/>
      <c r="V813" s="799"/>
      <c r="W813" s="799"/>
      <c r="X813" s="799"/>
      <c r="Y813" s="799"/>
      <c r="Z813" s="799"/>
    </row>
    <row r="814" ht="49.5" customHeight="1">
      <c r="A814" s="799"/>
      <c r="B814" s="799"/>
      <c r="C814" s="799"/>
      <c r="D814" s="799"/>
      <c r="E814" s="799"/>
      <c r="F814" s="799"/>
      <c r="G814" s="799"/>
      <c r="H814" s="799"/>
      <c r="I814" s="799"/>
      <c r="J814" s="799"/>
      <c r="K814" s="799"/>
      <c r="L814" s="885"/>
      <c r="M814" s="799"/>
      <c r="N814" s="799"/>
      <c r="O814" s="799"/>
      <c r="P814" s="799"/>
      <c r="Q814" s="799"/>
      <c r="R814" s="799"/>
      <c r="S814" s="799"/>
      <c r="T814" s="799"/>
      <c r="U814" s="799"/>
      <c r="V814" s="799"/>
      <c r="W814" s="799"/>
      <c r="X814" s="799"/>
      <c r="Y814" s="799"/>
      <c r="Z814" s="799"/>
    </row>
    <row r="815" ht="49.5" customHeight="1">
      <c r="A815" s="799"/>
      <c r="B815" s="799"/>
      <c r="C815" s="799"/>
      <c r="D815" s="799"/>
      <c r="E815" s="799"/>
      <c r="F815" s="799"/>
      <c r="G815" s="799"/>
      <c r="H815" s="799"/>
      <c r="I815" s="799"/>
      <c r="J815" s="799"/>
      <c r="K815" s="799"/>
      <c r="L815" s="885"/>
      <c r="M815" s="799"/>
      <c r="N815" s="799"/>
      <c r="O815" s="799"/>
      <c r="P815" s="799"/>
      <c r="Q815" s="799"/>
      <c r="R815" s="799"/>
      <c r="S815" s="799"/>
      <c r="T815" s="799"/>
      <c r="U815" s="799"/>
      <c r="V815" s="799"/>
      <c r="W815" s="799"/>
      <c r="X815" s="799"/>
      <c r="Y815" s="799"/>
      <c r="Z815" s="799"/>
    </row>
    <row r="816" ht="49.5" customHeight="1">
      <c r="A816" s="799"/>
      <c r="B816" s="799"/>
      <c r="C816" s="799"/>
      <c r="D816" s="799"/>
      <c r="E816" s="799"/>
      <c r="F816" s="799"/>
      <c r="G816" s="799"/>
      <c r="H816" s="799"/>
      <c r="I816" s="799"/>
      <c r="J816" s="799"/>
      <c r="K816" s="799"/>
      <c r="L816" s="885"/>
      <c r="M816" s="799"/>
      <c r="N816" s="799"/>
      <c r="O816" s="799"/>
      <c r="P816" s="799"/>
      <c r="Q816" s="799"/>
      <c r="R816" s="799"/>
      <c r="S816" s="799"/>
      <c r="T816" s="799"/>
      <c r="U816" s="799"/>
      <c r="V816" s="799"/>
      <c r="W816" s="799"/>
      <c r="X816" s="799"/>
      <c r="Y816" s="799"/>
      <c r="Z816" s="799"/>
    </row>
    <row r="817" ht="49.5" customHeight="1">
      <c r="A817" s="799"/>
      <c r="B817" s="799"/>
      <c r="C817" s="799"/>
      <c r="D817" s="799"/>
      <c r="E817" s="799"/>
      <c r="F817" s="799"/>
      <c r="G817" s="799"/>
      <c r="H817" s="799"/>
      <c r="I817" s="799"/>
      <c r="J817" s="799"/>
      <c r="K817" s="799"/>
      <c r="L817" s="885"/>
      <c r="M817" s="799"/>
      <c r="N817" s="799"/>
      <c r="O817" s="799"/>
      <c r="P817" s="799"/>
      <c r="Q817" s="799"/>
      <c r="R817" s="799"/>
      <c r="S817" s="799"/>
      <c r="T817" s="799"/>
      <c r="U817" s="799"/>
      <c r="V817" s="799"/>
      <c r="W817" s="799"/>
      <c r="X817" s="799"/>
      <c r="Y817" s="799"/>
      <c r="Z817" s="799"/>
    </row>
    <row r="818" ht="49.5" customHeight="1">
      <c r="A818" s="799"/>
      <c r="B818" s="799"/>
      <c r="C818" s="799"/>
      <c r="D818" s="799"/>
      <c r="E818" s="799"/>
      <c r="F818" s="799"/>
      <c r="G818" s="799"/>
      <c r="H818" s="799"/>
      <c r="I818" s="799"/>
      <c r="J818" s="799"/>
      <c r="K818" s="799"/>
      <c r="L818" s="885"/>
      <c r="M818" s="799"/>
      <c r="N818" s="799"/>
      <c r="O818" s="799"/>
      <c r="P818" s="799"/>
      <c r="Q818" s="799"/>
      <c r="R818" s="799"/>
      <c r="S818" s="799"/>
      <c r="T818" s="799"/>
      <c r="U818" s="799"/>
      <c r="V818" s="799"/>
      <c r="W818" s="799"/>
      <c r="X818" s="799"/>
      <c r="Y818" s="799"/>
      <c r="Z818" s="799"/>
    </row>
    <row r="819" ht="49.5" customHeight="1">
      <c r="A819" s="799"/>
      <c r="B819" s="799"/>
      <c r="C819" s="799"/>
      <c r="D819" s="799"/>
      <c r="E819" s="799"/>
      <c r="F819" s="799"/>
      <c r="G819" s="799"/>
      <c r="H819" s="799"/>
      <c r="I819" s="799"/>
      <c r="J819" s="799"/>
      <c r="K819" s="799"/>
      <c r="L819" s="885"/>
      <c r="M819" s="799"/>
      <c r="N819" s="799"/>
      <c r="O819" s="799"/>
      <c r="P819" s="799"/>
      <c r="Q819" s="799"/>
      <c r="R819" s="799"/>
      <c r="S819" s="799"/>
      <c r="T819" s="799"/>
      <c r="U819" s="799"/>
      <c r="V819" s="799"/>
      <c r="W819" s="799"/>
      <c r="X819" s="799"/>
      <c r="Y819" s="799"/>
      <c r="Z819" s="799"/>
    </row>
    <row r="820" ht="49.5" customHeight="1">
      <c r="A820" s="799"/>
      <c r="B820" s="799"/>
      <c r="C820" s="799"/>
      <c r="D820" s="799"/>
      <c r="E820" s="799"/>
      <c r="F820" s="799"/>
      <c r="G820" s="799"/>
      <c r="H820" s="799"/>
      <c r="I820" s="799"/>
      <c r="J820" s="799"/>
      <c r="K820" s="799"/>
      <c r="L820" s="885"/>
      <c r="M820" s="799"/>
      <c r="N820" s="799"/>
      <c r="O820" s="799"/>
      <c r="P820" s="799"/>
      <c r="Q820" s="799"/>
      <c r="R820" s="799"/>
      <c r="S820" s="799"/>
      <c r="T820" s="799"/>
      <c r="U820" s="799"/>
      <c r="V820" s="799"/>
      <c r="W820" s="799"/>
      <c r="X820" s="799"/>
      <c r="Y820" s="799"/>
      <c r="Z820" s="799"/>
    </row>
    <row r="821" ht="49.5" customHeight="1">
      <c r="A821" s="799"/>
      <c r="B821" s="799"/>
      <c r="C821" s="799"/>
      <c r="D821" s="799"/>
      <c r="E821" s="799"/>
      <c r="F821" s="799"/>
      <c r="G821" s="799"/>
      <c r="H821" s="799"/>
      <c r="I821" s="799"/>
      <c r="J821" s="799"/>
      <c r="K821" s="799"/>
      <c r="L821" s="885"/>
      <c r="M821" s="799"/>
      <c r="N821" s="799"/>
      <c r="O821" s="799"/>
      <c r="P821" s="799"/>
      <c r="Q821" s="799"/>
      <c r="R821" s="799"/>
      <c r="S821" s="799"/>
      <c r="T821" s="799"/>
      <c r="U821" s="799"/>
      <c r="V821" s="799"/>
      <c r="W821" s="799"/>
      <c r="X821" s="799"/>
      <c r="Y821" s="799"/>
      <c r="Z821" s="799"/>
    </row>
    <row r="822" ht="49.5" customHeight="1">
      <c r="A822" s="799"/>
      <c r="B822" s="799"/>
      <c r="C822" s="799"/>
      <c r="D822" s="799"/>
      <c r="E822" s="799"/>
      <c r="F822" s="799"/>
      <c r="G822" s="799"/>
      <c r="H822" s="799"/>
      <c r="I822" s="799"/>
      <c r="J822" s="799"/>
      <c r="K822" s="799"/>
      <c r="L822" s="885"/>
      <c r="M822" s="799"/>
      <c r="N822" s="799"/>
      <c r="O822" s="799"/>
      <c r="P822" s="799"/>
      <c r="Q822" s="799"/>
      <c r="R822" s="799"/>
      <c r="S822" s="799"/>
      <c r="T822" s="799"/>
      <c r="U822" s="799"/>
      <c r="V822" s="799"/>
      <c r="W822" s="799"/>
      <c r="X822" s="799"/>
      <c r="Y822" s="799"/>
      <c r="Z822" s="799"/>
    </row>
    <row r="823" ht="49.5" customHeight="1">
      <c r="A823" s="799"/>
      <c r="B823" s="799"/>
      <c r="C823" s="799"/>
      <c r="D823" s="799"/>
      <c r="E823" s="799"/>
      <c r="F823" s="799"/>
      <c r="G823" s="799"/>
      <c r="H823" s="799"/>
      <c r="I823" s="799"/>
      <c r="J823" s="799"/>
      <c r="K823" s="799"/>
      <c r="L823" s="885"/>
      <c r="M823" s="799"/>
      <c r="N823" s="799"/>
      <c r="O823" s="799"/>
      <c r="P823" s="799"/>
      <c r="Q823" s="799"/>
      <c r="R823" s="799"/>
      <c r="S823" s="799"/>
      <c r="T823" s="799"/>
      <c r="U823" s="799"/>
      <c r="V823" s="799"/>
      <c r="W823" s="799"/>
      <c r="X823" s="799"/>
      <c r="Y823" s="799"/>
      <c r="Z823" s="799"/>
    </row>
    <row r="824" ht="49.5" customHeight="1">
      <c r="A824" s="799"/>
      <c r="B824" s="799"/>
      <c r="C824" s="799"/>
      <c r="D824" s="799"/>
      <c r="E824" s="799"/>
      <c r="F824" s="799"/>
      <c r="G824" s="799"/>
      <c r="H824" s="799"/>
      <c r="I824" s="799"/>
      <c r="J824" s="799"/>
      <c r="K824" s="799"/>
      <c r="L824" s="885"/>
      <c r="M824" s="799"/>
      <c r="N824" s="799"/>
      <c r="O824" s="799"/>
      <c r="P824" s="799"/>
      <c r="Q824" s="799"/>
      <c r="R824" s="799"/>
      <c r="S824" s="799"/>
      <c r="T824" s="799"/>
      <c r="U824" s="799"/>
      <c r="V824" s="799"/>
      <c r="W824" s="799"/>
      <c r="X824" s="799"/>
      <c r="Y824" s="799"/>
      <c r="Z824" s="799"/>
    </row>
    <row r="825" ht="49.5" customHeight="1">
      <c r="A825" s="799"/>
      <c r="B825" s="799"/>
      <c r="C825" s="799"/>
      <c r="D825" s="799"/>
      <c r="E825" s="799"/>
      <c r="F825" s="799"/>
      <c r="G825" s="799"/>
      <c r="H825" s="799"/>
      <c r="I825" s="799"/>
      <c r="J825" s="799"/>
      <c r="K825" s="799"/>
      <c r="L825" s="885"/>
      <c r="M825" s="799"/>
      <c r="N825" s="799"/>
      <c r="O825" s="799"/>
      <c r="P825" s="799"/>
      <c r="Q825" s="799"/>
      <c r="R825" s="799"/>
      <c r="S825" s="799"/>
      <c r="T825" s="799"/>
      <c r="U825" s="799"/>
      <c r="V825" s="799"/>
      <c r="W825" s="799"/>
      <c r="X825" s="799"/>
      <c r="Y825" s="799"/>
      <c r="Z825" s="799"/>
    </row>
    <row r="826" ht="49.5" customHeight="1">
      <c r="A826" s="799"/>
      <c r="B826" s="799"/>
      <c r="C826" s="799"/>
      <c r="D826" s="799"/>
      <c r="E826" s="799"/>
      <c r="F826" s="799"/>
      <c r="G826" s="799"/>
      <c r="H826" s="799"/>
      <c r="I826" s="799"/>
      <c r="J826" s="799"/>
      <c r="K826" s="799"/>
      <c r="L826" s="885"/>
      <c r="M826" s="799"/>
      <c r="N826" s="799"/>
      <c r="O826" s="799"/>
      <c r="P826" s="799"/>
      <c r="Q826" s="799"/>
      <c r="R826" s="799"/>
      <c r="S826" s="799"/>
      <c r="T826" s="799"/>
      <c r="U826" s="799"/>
      <c r="V826" s="799"/>
      <c r="W826" s="799"/>
      <c r="X826" s="799"/>
      <c r="Y826" s="799"/>
      <c r="Z826" s="799"/>
    </row>
    <row r="827" ht="49.5" customHeight="1">
      <c r="A827" s="799"/>
      <c r="B827" s="799"/>
      <c r="C827" s="799"/>
      <c r="D827" s="799"/>
      <c r="E827" s="799"/>
      <c r="F827" s="799"/>
      <c r="G827" s="799"/>
      <c r="H827" s="799"/>
      <c r="I827" s="799"/>
      <c r="J827" s="799"/>
      <c r="K827" s="799"/>
      <c r="L827" s="885"/>
      <c r="M827" s="799"/>
      <c r="N827" s="799"/>
      <c r="O827" s="799"/>
      <c r="P827" s="799"/>
      <c r="Q827" s="799"/>
      <c r="R827" s="799"/>
      <c r="S827" s="799"/>
      <c r="T827" s="799"/>
      <c r="U827" s="799"/>
      <c r="V827" s="799"/>
      <c r="W827" s="799"/>
      <c r="X827" s="799"/>
      <c r="Y827" s="799"/>
      <c r="Z827" s="799"/>
    </row>
    <row r="828" ht="49.5" customHeight="1">
      <c r="A828" s="799"/>
      <c r="B828" s="799"/>
      <c r="C828" s="799"/>
      <c r="D828" s="799"/>
      <c r="E828" s="799"/>
      <c r="F828" s="799"/>
      <c r="G828" s="799"/>
      <c r="H828" s="799"/>
      <c r="I828" s="799"/>
      <c r="J828" s="799"/>
      <c r="K828" s="799"/>
      <c r="L828" s="885"/>
      <c r="M828" s="799"/>
      <c r="N828" s="799"/>
      <c r="O828" s="799"/>
      <c r="P828" s="799"/>
      <c r="Q828" s="799"/>
      <c r="R828" s="799"/>
      <c r="S828" s="799"/>
      <c r="T828" s="799"/>
      <c r="U828" s="799"/>
      <c r="V828" s="799"/>
      <c r="W828" s="799"/>
      <c r="X828" s="799"/>
      <c r="Y828" s="799"/>
      <c r="Z828" s="799"/>
    </row>
    <row r="829" ht="49.5" customHeight="1">
      <c r="A829" s="799"/>
      <c r="B829" s="799"/>
      <c r="C829" s="799"/>
      <c r="D829" s="799"/>
      <c r="E829" s="799"/>
      <c r="F829" s="799"/>
      <c r="G829" s="799"/>
      <c r="H829" s="799"/>
      <c r="I829" s="799"/>
      <c r="J829" s="799"/>
      <c r="K829" s="799"/>
      <c r="L829" s="885"/>
      <c r="M829" s="799"/>
      <c r="N829" s="799"/>
      <c r="O829" s="799"/>
      <c r="P829" s="799"/>
      <c r="Q829" s="799"/>
      <c r="R829" s="799"/>
      <c r="S829" s="799"/>
      <c r="T829" s="799"/>
      <c r="U829" s="799"/>
      <c r="V829" s="799"/>
      <c r="W829" s="799"/>
      <c r="X829" s="799"/>
      <c r="Y829" s="799"/>
      <c r="Z829" s="799"/>
    </row>
    <row r="830" ht="49.5" customHeight="1">
      <c r="A830" s="799"/>
      <c r="B830" s="799"/>
      <c r="C830" s="799"/>
      <c r="D830" s="799"/>
      <c r="E830" s="799"/>
      <c r="F830" s="799"/>
      <c r="G830" s="799"/>
      <c r="H830" s="799"/>
      <c r="I830" s="799"/>
      <c r="J830" s="799"/>
      <c r="K830" s="799"/>
      <c r="L830" s="885"/>
      <c r="M830" s="799"/>
      <c r="N830" s="799"/>
      <c r="O830" s="799"/>
      <c r="P830" s="799"/>
      <c r="Q830" s="799"/>
      <c r="R830" s="799"/>
      <c r="S830" s="799"/>
      <c r="T830" s="799"/>
      <c r="U830" s="799"/>
      <c r="V830" s="799"/>
      <c r="W830" s="799"/>
      <c r="X830" s="799"/>
      <c r="Y830" s="799"/>
      <c r="Z830" s="799"/>
    </row>
    <row r="831" ht="49.5" customHeight="1">
      <c r="A831" s="799"/>
      <c r="B831" s="799"/>
      <c r="C831" s="799"/>
      <c r="D831" s="799"/>
      <c r="E831" s="799"/>
      <c r="F831" s="799"/>
      <c r="G831" s="799"/>
      <c r="H831" s="799"/>
      <c r="I831" s="799"/>
      <c r="J831" s="799"/>
      <c r="K831" s="799"/>
      <c r="L831" s="885"/>
      <c r="M831" s="799"/>
      <c r="N831" s="799"/>
      <c r="O831" s="799"/>
      <c r="P831" s="799"/>
      <c r="Q831" s="799"/>
      <c r="R831" s="799"/>
      <c r="S831" s="799"/>
      <c r="T831" s="799"/>
      <c r="U831" s="799"/>
      <c r="V831" s="799"/>
      <c r="W831" s="799"/>
      <c r="X831" s="799"/>
      <c r="Y831" s="799"/>
      <c r="Z831" s="799"/>
    </row>
    <row r="832" ht="49.5" customHeight="1">
      <c r="A832" s="799"/>
      <c r="B832" s="799"/>
      <c r="C832" s="799"/>
      <c r="D832" s="799"/>
      <c r="E832" s="799"/>
      <c r="F832" s="799"/>
      <c r="G832" s="799"/>
      <c r="H832" s="799"/>
      <c r="I832" s="799"/>
      <c r="J832" s="799"/>
      <c r="K832" s="799"/>
      <c r="L832" s="885"/>
      <c r="M832" s="799"/>
      <c r="N832" s="799"/>
      <c r="O832" s="799"/>
      <c r="P832" s="799"/>
      <c r="Q832" s="799"/>
      <c r="R832" s="799"/>
      <c r="S832" s="799"/>
      <c r="T832" s="799"/>
      <c r="U832" s="799"/>
      <c r="V832" s="799"/>
      <c r="W832" s="799"/>
      <c r="X832" s="799"/>
      <c r="Y832" s="799"/>
      <c r="Z832" s="799"/>
    </row>
    <row r="833" ht="49.5" customHeight="1">
      <c r="A833" s="799"/>
      <c r="B833" s="799"/>
      <c r="C833" s="799"/>
      <c r="D833" s="799"/>
      <c r="E833" s="799"/>
      <c r="F833" s="799"/>
      <c r="G833" s="799"/>
      <c r="H833" s="799"/>
      <c r="I833" s="799"/>
      <c r="J833" s="799"/>
      <c r="K833" s="799"/>
      <c r="L833" s="885"/>
      <c r="M833" s="799"/>
      <c r="N833" s="799"/>
      <c r="O833" s="799"/>
      <c r="P833" s="799"/>
      <c r="Q833" s="799"/>
      <c r="R833" s="799"/>
      <c r="S833" s="799"/>
      <c r="T833" s="799"/>
      <c r="U833" s="799"/>
      <c r="V833" s="799"/>
      <c r="W833" s="799"/>
      <c r="X833" s="799"/>
      <c r="Y833" s="799"/>
      <c r="Z833" s="799"/>
    </row>
    <row r="834" ht="49.5" customHeight="1">
      <c r="A834" s="799"/>
      <c r="B834" s="799"/>
      <c r="C834" s="799"/>
      <c r="D834" s="799"/>
      <c r="E834" s="799"/>
      <c r="F834" s="799"/>
      <c r="G834" s="799"/>
      <c r="H834" s="799"/>
      <c r="I834" s="799"/>
      <c r="J834" s="799"/>
      <c r="K834" s="799"/>
      <c r="L834" s="885"/>
      <c r="M834" s="799"/>
      <c r="N834" s="799"/>
      <c r="O834" s="799"/>
      <c r="P834" s="799"/>
      <c r="Q834" s="799"/>
      <c r="R834" s="799"/>
      <c r="S834" s="799"/>
      <c r="T834" s="799"/>
      <c r="U834" s="799"/>
      <c r="V834" s="799"/>
      <c r="W834" s="799"/>
      <c r="X834" s="799"/>
      <c r="Y834" s="799"/>
      <c r="Z834" s="799"/>
    </row>
    <row r="835" ht="49.5" customHeight="1">
      <c r="A835" s="799"/>
      <c r="B835" s="799"/>
      <c r="C835" s="799"/>
      <c r="D835" s="799"/>
      <c r="E835" s="799"/>
      <c r="F835" s="799"/>
      <c r="G835" s="799"/>
      <c r="H835" s="799"/>
      <c r="I835" s="799"/>
      <c r="J835" s="799"/>
      <c r="K835" s="799"/>
      <c r="L835" s="885"/>
      <c r="M835" s="799"/>
      <c r="N835" s="799"/>
      <c r="O835" s="799"/>
      <c r="P835" s="799"/>
      <c r="Q835" s="799"/>
      <c r="R835" s="799"/>
      <c r="S835" s="799"/>
      <c r="T835" s="799"/>
      <c r="U835" s="799"/>
      <c r="V835" s="799"/>
      <c r="W835" s="799"/>
      <c r="X835" s="799"/>
      <c r="Y835" s="799"/>
      <c r="Z835" s="799"/>
    </row>
    <row r="836" ht="49.5" customHeight="1">
      <c r="A836" s="799"/>
      <c r="B836" s="799"/>
      <c r="C836" s="799"/>
      <c r="D836" s="799"/>
      <c r="E836" s="799"/>
      <c r="F836" s="799"/>
      <c r="G836" s="799"/>
      <c r="H836" s="799"/>
      <c r="I836" s="799"/>
      <c r="J836" s="799"/>
      <c r="K836" s="799"/>
      <c r="L836" s="885"/>
      <c r="M836" s="799"/>
      <c r="N836" s="799"/>
      <c r="O836" s="799"/>
      <c r="P836" s="799"/>
      <c r="Q836" s="799"/>
      <c r="R836" s="799"/>
      <c r="S836" s="799"/>
      <c r="T836" s="799"/>
      <c r="U836" s="799"/>
      <c r="V836" s="799"/>
      <c r="W836" s="799"/>
      <c r="X836" s="799"/>
      <c r="Y836" s="799"/>
      <c r="Z836" s="799"/>
    </row>
    <row r="837" ht="49.5" customHeight="1">
      <c r="A837" s="799"/>
      <c r="B837" s="799"/>
      <c r="C837" s="799"/>
      <c r="D837" s="799"/>
      <c r="E837" s="799"/>
      <c r="F837" s="799"/>
      <c r="G837" s="799"/>
      <c r="H837" s="799"/>
      <c r="I837" s="799"/>
      <c r="J837" s="799"/>
      <c r="K837" s="799"/>
      <c r="L837" s="885"/>
      <c r="M837" s="799"/>
      <c r="N837" s="799"/>
      <c r="O837" s="799"/>
      <c r="P837" s="799"/>
      <c r="Q837" s="799"/>
      <c r="R837" s="799"/>
      <c r="S837" s="799"/>
      <c r="T837" s="799"/>
      <c r="U837" s="799"/>
      <c r="V837" s="799"/>
      <c r="W837" s="799"/>
      <c r="X837" s="799"/>
      <c r="Y837" s="799"/>
      <c r="Z837" s="799"/>
    </row>
    <row r="838" ht="49.5" customHeight="1">
      <c r="A838" s="799"/>
      <c r="B838" s="799"/>
      <c r="C838" s="799"/>
      <c r="D838" s="799"/>
      <c r="E838" s="799"/>
      <c r="F838" s="799"/>
      <c r="G838" s="799"/>
      <c r="H838" s="799"/>
      <c r="I838" s="799"/>
      <c r="J838" s="799"/>
      <c r="K838" s="799"/>
      <c r="L838" s="885"/>
      <c r="M838" s="799"/>
      <c r="N838" s="799"/>
      <c r="O838" s="799"/>
      <c r="P838" s="799"/>
      <c r="Q838" s="799"/>
      <c r="R838" s="799"/>
      <c r="S838" s="799"/>
      <c r="T838" s="799"/>
      <c r="U838" s="799"/>
      <c r="V838" s="799"/>
      <c r="W838" s="799"/>
      <c r="X838" s="799"/>
      <c r="Y838" s="799"/>
      <c r="Z838" s="799"/>
    </row>
    <row r="839" ht="49.5" customHeight="1">
      <c r="A839" s="799"/>
      <c r="B839" s="799"/>
      <c r="C839" s="799"/>
      <c r="D839" s="799"/>
      <c r="E839" s="799"/>
      <c r="F839" s="799"/>
      <c r="G839" s="799"/>
      <c r="H839" s="799"/>
      <c r="I839" s="799"/>
      <c r="J839" s="799"/>
      <c r="K839" s="799"/>
      <c r="L839" s="885"/>
      <c r="M839" s="799"/>
      <c r="N839" s="799"/>
      <c r="O839" s="799"/>
      <c r="P839" s="799"/>
      <c r="Q839" s="799"/>
      <c r="R839" s="799"/>
      <c r="S839" s="799"/>
      <c r="T839" s="799"/>
      <c r="U839" s="799"/>
      <c r="V839" s="799"/>
      <c r="W839" s="799"/>
      <c r="X839" s="799"/>
      <c r="Y839" s="799"/>
      <c r="Z839" s="799"/>
    </row>
    <row r="840" ht="49.5" customHeight="1">
      <c r="A840" s="799"/>
      <c r="B840" s="799"/>
      <c r="C840" s="799"/>
      <c r="D840" s="799"/>
      <c r="E840" s="799"/>
      <c r="F840" s="799"/>
      <c r="G840" s="799"/>
      <c r="H840" s="799"/>
      <c r="I840" s="799"/>
      <c r="J840" s="799"/>
      <c r="K840" s="799"/>
      <c r="L840" s="885"/>
      <c r="M840" s="799"/>
      <c r="N840" s="799"/>
      <c r="O840" s="799"/>
      <c r="P840" s="799"/>
      <c r="Q840" s="799"/>
      <c r="R840" s="799"/>
      <c r="S840" s="799"/>
      <c r="T840" s="799"/>
      <c r="U840" s="799"/>
      <c r="V840" s="799"/>
      <c r="W840" s="799"/>
      <c r="X840" s="799"/>
      <c r="Y840" s="799"/>
      <c r="Z840" s="799"/>
    </row>
    <row r="841" ht="49.5" customHeight="1">
      <c r="A841" s="799"/>
      <c r="B841" s="799"/>
      <c r="C841" s="799"/>
      <c r="D841" s="799"/>
      <c r="E841" s="799"/>
      <c r="F841" s="799"/>
      <c r="G841" s="799"/>
      <c r="H841" s="799"/>
      <c r="I841" s="799"/>
      <c r="J841" s="799"/>
      <c r="K841" s="799"/>
      <c r="L841" s="885"/>
      <c r="M841" s="799"/>
      <c r="N841" s="799"/>
      <c r="O841" s="799"/>
      <c r="P841" s="799"/>
      <c r="Q841" s="799"/>
      <c r="R841" s="799"/>
      <c r="S841" s="799"/>
      <c r="T841" s="799"/>
      <c r="U841" s="799"/>
      <c r="V841" s="799"/>
      <c r="W841" s="799"/>
      <c r="X841" s="799"/>
      <c r="Y841" s="799"/>
      <c r="Z841" s="799"/>
    </row>
    <row r="842" ht="49.5" customHeight="1">
      <c r="A842" s="799"/>
      <c r="B842" s="799"/>
      <c r="C842" s="799"/>
      <c r="D842" s="799"/>
      <c r="E842" s="799"/>
      <c r="F842" s="799"/>
      <c r="G842" s="799"/>
      <c r="H842" s="799"/>
      <c r="I842" s="799"/>
      <c r="J842" s="799"/>
      <c r="K842" s="799"/>
      <c r="L842" s="885"/>
      <c r="M842" s="799"/>
      <c r="N842" s="799"/>
      <c r="O842" s="799"/>
      <c r="P842" s="799"/>
      <c r="Q842" s="799"/>
      <c r="R842" s="799"/>
      <c r="S842" s="799"/>
      <c r="T842" s="799"/>
      <c r="U842" s="799"/>
      <c r="V842" s="799"/>
      <c r="W842" s="799"/>
      <c r="X842" s="799"/>
      <c r="Y842" s="799"/>
      <c r="Z842" s="799"/>
    </row>
    <row r="843" ht="49.5" customHeight="1">
      <c r="A843" s="799"/>
      <c r="B843" s="799"/>
      <c r="C843" s="799"/>
      <c r="D843" s="799"/>
      <c r="E843" s="799"/>
      <c r="F843" s="799"/>
      <c r="G843" s="799"/>
      <c r="H843" s="799"/>
      <c r="I843" s="799"/>
      <c r="J843" s="799"/>
      <c r="K843" s="799"/>
      <c r="L843" s="885"/>
      <c r="M843" s="799"/>
      <c r="N843" s="799"/>
      <c r="O843" s="799"/>
      <c r="P843" s="799"/>
      <c r="Q843" s="799"/>
      <c r="R843" s="799"/>
      <c r="S843" s="799"/>
      <c r="T843" s="799"/>
      <c r="U843" s="799"/>
      <c r="V843" s="799"/>
      <c r="W843" s="799"/>
      <c r="X843" s="799"/>
      <c r="Y843" s="799"/>
      <c r="Z843" s="799"/>
    </row>
    <row r="844" ht="49.5" customHeight="1">
      <c r="A844" s="799"/>
      <c r="B844" s="799"/>
      <c r="C844" s="799"/>
      <c r="D844" s="799"/>
      <c r="E844" s="799"/>
      <c r="F844" s="799"/>
      <c r="G844" s="799"/>
      <c r="H844" s="799"/>
      <c r="I844" s="799"/>
      <c r="J844" s="799"/>
      <c r="K844" s="799"/>
      <c r="L844" s="885"/>
      <c r="M844" s="799"/>
      <c r="N844" s="799"/>
      <c r="O844" s="799"/>
      <c r="P844" s="799"/>
      <c r="Q844" s="799"/>
      <c r="R844" s="799"/>
      <c r="S844" s="799"/>
      <c r="T844" s="799"/>
      <c r="U844" s="799"/>
      <c r="V844" s="799"/>
      <c r="W844" s="799"/>
      <c r="X844" s="799"/>
      <c r="Y844" s="799"/>
      <c r="Z844" s="799"/>
    </row>
    <row r="845" ht="49.5" customHeight="1">
      <c r="A845" s="799"/>
      <c r="B845" s="799"/>
      <c r="C845" s="799"/>
      <c r="D845" s="799"/>
      <c r="E845" s="799"/>
      <c r="F845" s="799"/>
      <c r="G845" s="799"/>
      <c r="H845" s="799"/>
      <c r="I845" s="799"/>
      <c r="J845" s="799"/>
      <c r="K845" s="799"/>
      <c r="L845" s="885"/>
      <c r="M845" s="799"/>
      <c r="N845" s="799"/>
      <c r="O845" s="799"/>
      <c r="P845" s="799"/>
      <c r="Q845" s="799"/>
      <c r="R845" s="799"/>
      <c r="S845" s="799"/>
      <c r="T845" s="799"/>
      <c r="U845" s="799"/>
      <c r="V845" s="799"/>
      <c r="W845" s="799"/>
      <c r="X845" s="799"/>
      <c r="Y845" s="799"/>
      <c r="Z845" s="799"/>
    </row>
    <row r="846" ht="49.5" customHeight="1">
      <c r="A846" s="799"/>
      <c r="B846" s="799"/>
      <c r="C846" s="799"/>
      <c r="D846" s="799"/>
      <c r="E846" s="799"/>
      <c r="F846" s="799"/>
      <c r="G846" s="799"/>
      <c r="H846" s="799"/>
      <c r="I846" s="799"/>
      <c r="J846" s="799"/>
      <c r="K846" s="799"/>
      <c r="L846" s="885"/>
      <c r="M846" s="799"/>
      <c r="N846" s="799"/>
      <c r="O846" s="799"/>
      <c r="P846" s="799"/>
      <c r="Q846" s="799"/>
      <c r="R846" s="799"/>
      <c r="S846" s="799"/>
      <c r="T846" s="799"/>
      <c r="U846" s="799"/>
      <c r="V846" s="799"/>
      <c r="W846" s="799"/>
      <c r="X846" s="799"/>
      <c r="Y846" s="799"/>
      <c r="Z846" s="799"/>
    </row>
    <row r="847" ht="49.5" customHeight="1">
      <c r="A847" s="799"/>
      <c r="B847" s="799"/>
      <c r="C847" s="799"/>
      <c r="D847" s="799"/>
      <c r="E847" s="799"/>
      <c r="F847" s="799"/>
      <c r="G847" s="799"/>
      <c r="H847" s="799"/>
      <c r="I847" s="799"/>
      <c r="J847" s="799"/>
      <c r="K847" s="799"/>
      <c r="L847" s="885"/>
      <c r="M847" s="799"/>
      <c r="N847" s="799"/>
      <c r="O847" s="799"/>
      <c r="P847" s="799"/>
      <c r="Q847" s="799"/>
      <c r="R847" s="799"/>
      <c r="S847" s="799"/>
      <c r="T847" s="799"/>
      <c r="U847" s="799"/>
      <c r="V847" s="799"/>
      <c r="W847" s="799"/>
      <c r="X847" s="799"/>
      <c r="Y847" s="799"/>
      <c r="Z847" s="799"/>
    </row>
    <row r="848" ht="49.5" customHeight="1">
      <c r="A848" s="799"/>
      <c r="B848" s="799"/>
      <c r="C848" s="799"/>
      <c r="D848" s="799"/>
      <c r="E848" s="799"/>
      <c r="F848" s="799"/>
      <c r="G848" s="799"/>
      <c r="H848" s="799"/>
      <c r="I848" s="799"/>
      <c r="J848" s="799"/>
      <c r="K848" s="799"/>
      <c r="L848" s="885"/>
      <c r="M848" s="799"/>
      <c r="N848" s="799"/>
      <c r="O848" s="799"/>
      <c r="P848" s="799"/>
      <c r="Q848" s="799"/>
      <c r="R848" s="799"/>
      <c r="S848" s="799"/>
      <c r="T848" s="799"/>
      <c r="U848" s="799"/>
      <c r="V848" s="799"/>
      <c r="W848" s="799"/>
      <c r="X848" s="799"/>
      <c r="Y848" s="799"/>
      <c r="Z848" s="799"/>
    </row>
    <row r="849" ht="49.5" customHeight="1">
      <c r="A849" s="799"/>
      <c r="B849" s="799"/>
      <c r="C849" s="799"/>
      <c r="D849" s="799"/>
      <c r="E849" s="799"/>
      <c r="F849" s="799"/>
      <c r="G849" s="799"/>
      <c r="H849" s="799"/>
      <c r="I849" s="799"/>
      <c r="J849" s="799"/>
      <c r="K849" s="799"/>
      <c r="L849" s="885"/>
      <c r="M849" s="799"/>
      <c r="N849" s="799"/>
      <c r="O849" s="799"/>
      <c r="P849" s="799"/>
      <c r="Q849" s="799"/>
      <c r="R849" s="799"/>
      <c r="S849" s="799"/>
      <c r="T849" s="799"/>
      <c r="U849" s="799"/>
      <c r="V849" s="799"/>
      <c r="W849" s="799"/>
      <c r="X849" s="799"/>
      <c r="Y849" s="799"/>
      <c r="Z849" s="799"/>
    </row>
    <row r="850" ht="49.5" customHeight="1">
      <c r="A850" s="799"/>
      <c r="B850" s="799"/>
      <c r="C850" s="799"/>
      <c r="D850" s="799"/>
      <c r="E850" s="799"/>
      <c r="F850" s="799"/>
      <c r="G850" s="799"/>
      <c r="H850" s="799"/>
      <c r="I850" s="799"/>
      <c r="J850" s="799"/>
      <c r="K850" s="799"/>
      <c r="L850" s="885"/>
      <c r="M850" s="799"/>
      <c r="N850" s="799"/>
      <c r="O850" s="799"/>
      <c r="P850" s="799"/>
      <c r="Q850" s="799"/>
      <c r="R850" s="799"/>
      <c r="S850" s="799"/>
      <c r="T850" s="799"/>
      <c r="U850" s="799"/>
      <c r="V850" s="799"/>
      <c r="W850" s="799"/>
      <c r="X850" s="799"/>
      <c r="Y850" s="799"/>
      <c r="Z850" s="799"/>
    </row>
    <row r="851" ht="49.5" customHeight="1">
      <c r="A851" s="799"/>
      <c r="B851" s="799"/>
      <c r="C851" s="799"/>
      <c r="D851" s="799"/>
      <c r="E851" s="799"/>
      <c r="F851" s="799"/>
      <c r="G851" s="799"/>
      <c r="H851" s="799"/>
      <c r="I851" s="799"/>
      <c r="J851" s="799"/>
      <c r="K851" s="799"/>
      <c r="L851" s="885"/>
      <c r="M851" s="799"/>
      <c r="N851" s="799"/>
      <c r="O851" s="799"/>
      <c r="P851" s="799"/>
      <c r="Q851" s="799"/>
      <c r="R851" s="799"/>
      <c r="S851" s="799"/>
      <c r="T851" s="799"/>
      <c r="U851" s="799"/>
      <c r="V851" s="799"/>
      <c r="W851" s="799"/>
      <c r="X851" s="799"/>
      <c r="Y851" s="799"/>
      <c r="Z851" s="799"/>
    </row>
    <row r="852" ht="49.5" customHeight="1">
      <c r="A852" s="799"/>
      <c r="B852" s="799"/>
      <c r="C852" s="799"/>
      <c r="D852" s="799"/>
      <c r="E852" s="799"/>
      <c r="F852" s="799"/>
      <c r="G852" s="799"/>
      <c r="H852" s="799"/>
      <c r="I852" s="799"/>
      <c r="J852" s="799"/>
      <c r="K852" s="799"/>
      <c r="L852" s="885"/>
      <c r="M852" s="799"/>
      <c r="N852" s="799"/>
      <c r="O852" s="799"/>
      <c r="P852" s="799"/>
      <c r="Q852" s="799"/>
      <c r="R852" s="799"/>
      <c r="S852" s="799"/>
      <c r="T852" s="799"/>
      <c r="U852" s="799"/>
      <c r="V852" s="799"/>
      <c r="W852" s="799"/>
      <c r="X852" s="799"/>
      <c r="Y852" s="799"/>
      <c r="Z852" s="799"/>
    </row>
    <row r="853" ht="49.5" customHeight="1">
      <c r="A853" s="799"/>
      <c r="B853" s="799"/>
      <c r="C853" s="799"/>
      <c r="D853" s="799"/>
      <c r="E853" s="799"/>
      <c r="F853" s="799"/>
      <c r="G853" s="799"/>
      <c r="H853" s="799"/>
      <c r="I853" s="799"/>
      <c r="J853" s="799"/>
      <c r="K853" s="799"/>
      <c r="L853" s="885"/>
      <c r="M853" s="799"/>
      <c r="N853" s="799"/>
      <c r="O853" s="799"/>
      <c r="P853" s="799"/>
      <c r="Q853" s="799"/>
      <c r="R853" s="799"/>
      <c r="S853" s="799"/>
      <c r="T853" s="799"/>
      <c r="U853" s="799"/>
      <c r="V853" s="799"/>
      <c r="W853" s="799"/>
      <c r="X853" s="799"/>
      <c r="Y853" s="799"/>
      <c r="Z853" s="799"/>
    </row>
    <row r="854" ht="49.5" customHeight="1">
      <c r="A854" s="799"/>
      <c r="B854" s="799"/>
      <c r="C854" s="799"/>
      <c r="D854" s="799"/>
      <c r="E854" s="799"/>
      <c r="F854" s="799"/>
      <c r="G854" s="799"/>
      <c r="H854" s="799"/>
      <c r="I854" s="799"/>
      <c r="J854" s="799"/>
      <c r="K854" s="799"/>
      <c r="L854" s="885"/>
      <c r="M854" s="799"/>
      <c r="N854" s="799"/>
      <c r="O854" s="799"/>
      <c r="P854" s="799"/>
      <c r="Q854" s="799"/>
      <c r="R854" s="799"/>
      <c r="S854" s="799"/>
      <c r="T854" s="799"/>
      <c r="U854" s="799"/>
      <c r="V854" s="799"/>
      <c r="W854" s="799"/>
      <c r="X854" s="799"/>
      <c r="Y854" s="799"/>
      <c r="Z854" s="799"/>
    </row>
    <row r="855" ht="49.5" customHeight="1">
      <c r="A855" s="799"/>
      <c r="B855" s="799"/>
      <c r="C855" s="799"/>
      <c r="D855" s="799"/>
      <c r="E855" s="799"/>
      <c r="F855" s="799"/>
      <c r="G855" s="799"/>
      <c r="H855" s="799"/>
      <c r="I855" s="799"/>
      <c r="J855" s="799"/>
      <c r="K855" s="799"/>
      <c r="L855" s="885"/>
      <c r="M855" s="799"/>
      <c r="N855" s="799"/>
      <c r="O855" s="799"/>
      <c r="P855" s="799"/>
      <c r="Q855" s="799"/>
      <c r="R855" s="799"/>
      <c r="S855" s="799"/>
      <c r="T855" s="799"/>
      <c r="U855" s="799"/>
      <c r="V855" s="799"/>
      <c r="W855" s="799"/>
      <c r="X855" s="799"/>
      <c r="Y855" s="799"/>
      <c r="Z855" s="799"/>
    </row>
    <row r="856" ht="49.5" customHeight="1">
      <c r="A856" s="799"/>
      <c r="B856" s="799"/>
      <c r="C856" s="799"/>
      <c r="D856" s="799"/>
      <c r="E856" s="799"/>
      <c r="F856" s="799"/>
      <c r="G856" s="799"/>
      <c r="H856" s="799"/>
      <c r="I856" s="799"/>
      <c r="J856" s="799"/>
      <c r="K856" s="799"/>
      <c r="L856" s="885"/>
      <c r="M856" s="799"/>
      <c r="N856" s="799"/>
      <c r="O856" s="799"/>
      <c r="P856" s="799"/>
      <c r="Q856" s="799"/>
      <c r="R856" s="799"/>
      <c r="S856" s="799"/>
      <c r="T856" s="799"/>
      <c r="U856" s="799"/>
      <c r="V856" s="799"/>
      <c r="W856" s="799"/>
      <c r="X856" s="799"/>
      <c r="Y856" s="799"/>
      <c r="Z856" s="799"/>
    </row>
    <row r="857" ht="49.5" customHeight="1">
      <c r="A857" s="799"/>
      <c r="B857" s="799"/>
      <c r="C857" s="799"/>
      <c r="D857" s="799"/>
      <c r="E857" s="799"/>
      <c r="F857" s="799"/>
      <c r="G857" s="799"/>
      <c r="H857" s="799"/>
      <c r="I857" s="799"/>
      <c r="J857" s="799"/>
      <c r="K857" s="799"/>
      <c r="L857" s="885"/>
      <c r="M857" s="799"/>
      <c r="N857" s="799"/>
      <c r="O857" s="799"/>
      <c r="P857" s="799"/>
      <c r="Q857" s="799"/>
      <c r="R857" s="799"/>
      <c r="S857" s="799"/>
      <c r="T857" s="799"/>
      <c r="U857" s="799"/>
      <c r="V857" s="799"/>
      <c r="W857" s="799"/>
      <c r="X857" s="799"/>
      <c r="Y857" s="799"/>
      <c r="Z857" s="799"/>
    </row>
    <row r="858" ht="49.5" customHeight="1">
      <c r="A858" s="799"/>
      <c r="B858" s="799"/>
      <c r="C858" s="799"/>
      <c r="D858" s="799"/>
      <c r="E858" s="799"/>
      <c r="F858" s="799"/>
      <c r="G858" s="799"/>
      <c r="H858" s="799"/>
      <c r="I858" s="799"/>
      <c r="J858" s="799"/>
      <c r="K858" s="799"/>
      <c r="L858" s="885"/>
      <c r="M858" s="799"/>
      <c r="N858" s="799"/>
      <c r="O858" s="799"/>
      <c r="P858" s="799"/>
      <c r="Q858" s="799"/>
      <c r="R858" s="799"/>
      <c r="S858" s="799"/>
      <c r="T858" s="799"/>
      <c r="U858" s="799"/>
      <c r="V858" s="799"/>
      <c r="W858" s="799"/>
      <c r="X858" s="799"/>
      <c r="Y858" s="799"/>
      <c r="Z858" s="799"/>
    </row>
    <row r="859" ht="49.5" customHeight="1">
      <c r="A859" s="799"/>
      <c r="B859" s="799"/>
      <c r="C859" s="799"/>
      <c r="D859" s="799"/>
      <c r="E859" s="799"/>
      <c r="F859" s="799"/>
      <c r="G859" s="799"/>
      <c r="H859" s="799"/>
      <c r="I859" s="799"/>
      <c r="J859" s="799"/>
      <c r="K859" s="799"/>
      <c r="L859" s="885"/>
      <c r="M859" s="799"/>
      <c r="N859" s="799"/>
      <c r="O859" s="799"/>
      <c r="P859" s="799"/>
      <c r="Q859" s="799"/>
      <c r="R859" s="799"/>
      <c r="S859" s="799"/>
      <c r="T859" s="799"/>
      <c r="U859" s="799"/>
      <c r="V859" s="799"/>
      <c r="W859" s="799"/>
      <c r="X859" s="799"/>
      <c r="Y859" s="799"/>
      <c r="Z859" s="799"/>
    </row>
    <row r="860" ht="49.5" customHeight="1">
      <c r="A860" s="799"/>
      <c r="B860" s="799"/>
      <c r="C860" s="799"/>
      <c r="D860" s="799"/>
      <c r="E860" s="799"/>
      <c r="F860" s="799"/>
      <c r="G860" s="799"/>
      <c r="H860" s="799"/>
      <c r="I860" s="799"/>
      <c r="J860" s="799"/>
      <c r="K860" s="799"/>
      <c r="L860" s="885"/>
      <c r="M860" s="799"/>
      <c r="N860" s="799"/>
      <c r="O860" s="799"/>
      <c r="P860" s="799"/>
      <c r="Q860" s="799"/>
      <c r="R860" s="799"/>
      <c r="S860" s="799"/>
      <c r="T860" s="799"/>
      <c r="U860" s="799"/>
      <c r="V860" s="799"/>
      <c r="W860" s="799"/>
      <c r="X860" s="799"/>
      <c r="Y860" s="799"/>
      <c r="Z860" s="799"/>
    </row>
    <row r="861" ht="49.5" customHeight="1">
      <c r="A861" s="799"/>
      <c r="B861" s="799"/>
      <c r="C861" s="799"/>
      <c r="D861" s="799"/>
      <c r="E861" s="799"/>
      <c r="F861" s="799"/>
      <c r="G861" s="799"/>
      <c r="H861" s="799"/>
      <c r="I861" s="799"/>
      <c r="J861" s="799"/>
      <c r="K861" s="799"/>
      <c r="L861" s="885"/>
      <c r="M861" s="799"/>
      <c r="N861" s="799"/>
      <c r="O861" s="799"/>
      <c r="P861" s="799"/>
      <c r="Q861" s="799"/>
      <c r="R861" s="799"/>
      <c r="S861" s="799"/>
      <c r="T861" s="799"/>
      <c r="U861" s="799"/>
      <c r="V861" s="799"/>
      <c r="W861" s="799"/>
      <c r="X861" s="799"/>
      <c r="Y861" s="799"/>
      <c r="Z861" s="799"/>
    </row>
    <row r="862" ht="49.5" customHeight="1">
      <c r="A862" s="799"/>
      <c r="B862" s="799"/>
      <c r="C862" s="799"/>
      <c r="D862" s="799"/>
      <c r="E862" s="799"/>
      <c r="F862" s="799"/>
      <c r="G862" s="799"/>
      <c r="H862" s="799"/>
      <c r="I862" s="799"/>
      <c r="J862" s="799"/>
      <c r="K862" s="799"/>
      <c r="L862" s="885"/>
      <c r="M862" s="799"/>
      <c r="N862" s="799"/>
      <c r="O862" s="799"/>
      <c r="P862" s="799"/>
      <c r="Q862" s="799"/>
      <c r="R862" s="799"/>
      <c r="S862" s="799"/>
      <c r="T862" s="799"/>
      <c r="U862" s="799"/>
      <c r="V862" s="799"/>
      <c r="W862" s="799"/>
      <c r="X862" s="799"/>
      <c r="Y862" s="799"/>
      <c r="Z862" s="799"/>
    </row>
    <row r="863" ht="49.5" customHeight="1">
      <c r="A863" s="799"/>
      <c r="B863" s="799"/>
      <c r="C863" s="799"/>
      <c r="D863" s="799"/>
      <c r="E863" s="799"/>
      <c r="F863" s="799"/>
      <c r="G863" s="799"/>
      <c r="H863" s="799"/>
      <c r="I863" s="799"/>
      <c r="J863" s="799"/>
      <c r="K863" s="799"/>
      <c r="L863" s="885"/>
      <c r="M863" s="799"/>
      <c r="N863" s="799"/>
      <c r="O863" s="799"/>
      <c r="P863" s="799"/>
      <c r="Q863" s="799"/>
      <c r="R863" s="799"/>
      <c r="S863" s="799"/>
      <c r="T863" s="799"/>
      <c r="U863" s="799"/>
      <c r="V863" s="799"/>
      <c r="W863" s="799"/>
      <c r="X863" s="799"/>
      <c r="Y863" s="799"/>
      <c r="Z863" s="799"/>
    </row>
    <row r="864" ht="49.5" customHeight="1">
      <c r="A864" s="799"/>
      <c r="B864" s="799"/>
      <c r="C864" s="799"/>
      <c r="D864" s="799"/>
      <c r="E864" s="799"/>
      <c r="F864" s="799"/>
      <c r="G864" s="799"/>
      <c r="H864" s="799"/>
      <c r="I864" s="799"/>
      <c r="J864" s="799"/>
      <c r="K864" s="799"/>
      <c r="L864" s="885"/>
      <c r="M864" s="799"/>
      <c r="N864" s="799"/>
      <c r="O864" s="799"/>
      <c r="P864" s="799"/>
      <c r="Q864" s="799"/>
      <c r="R864" s="799"/>
      <c r="S864" s="799"/>
      <c r="T864" s="799"/>
      <c r="U864" s="799"/>
      <c r="V864" s="799"/>
      <c r="W864" s="799"/>
      <c r="X864" s="799"/>
      <c r="Y864" s="799"/>
      <c r="Z864" s="799"/>
    </row>
    <row r="865" ht="49.5" customHeight="1">
      <c r="A865" s="799"/>
      <c r="B865" s="799"/>
      <c r="C865" s="799"/>
      <c r="D865" s="799"/>
      <c r="E865" s="799"/>
      <c r="F865" s="799"/>
      <c r="G865" s="799"/>
      <c r="H865" s="799"/>
      <c r="I865" s="799"/>
      <c r="J865" s="799"/>
      <c r="K865" s="799"/>
      <c r="L865" s="885"/>
      <c r="M865" s="799"/>
      <c r="N865" s="799"/>
      <c r="O865" s="799"/>
      <c r="P865" s="799"/>
      <c r="Q865" s="799"/>
      <c r="R865" s="799"/>
      <c r="S865" s="799"/>
      <c r="T865" s="799"/>
      <c r="U865" s="799"/>
      <c r="V865" s="799"/>
      <c r="W865" s="799"/>
      <c r="X865" s="799"/>
      <c r="Y865" s="799"/>
      <c r="Z865" s="799"/>
    </row>
    <row r="866" ht="49.5" customHeight="1">
      <c r="A866" s="799"/>
      <c r="B866" s="799"/>
      <c r="C866" s="799"/>
      <c r="D866" s="799"/>
      <c r="E866" s="799"/>
      <c r="F866" s="799"/>
      <c r="G866" s="799"/>
      <c r="H866" s="799"/>
      <c r="I866" s="799"/>
      <c r="J866" s="799"/>
      <c r="K866" s="799"/>
      <c r="L866" s="885"/>
      <c r="M866" s="799"/>
      <c r="N866" s="799"/>
      <c r="O866" s="799"/>
      <c r="P866" s="799"/>
      <c r="Q866" s="799"/>
      <c r="R866" s="799"/>
      <c r="S866" s="799"/>
      <c r="T866" s="799"/>
      <c r="U866" s="799"/>
      <c r="V866" s="799"/>
      <c r="W866" s="799"/>
      <c r="X866" s="799"/>
      <c r="Y866" s="799"/>
      <c r="Z866" s="799"/>
    </row>
    <row r="867" ht="49.5" customHeight="1">
      <c r="A867" s="799"/>
      <c r="B867" s="799"/>
      <c r="C867" s="799"/>
      <c r="D867" s="799"/>
      <c r="E867" s="799"/>
      <c r="F867" s="799"/>
      <c r="G867" s="799"/>
      <c r="H867" s="799"/>
      <c r="I867" s="799"/>
      <c r="J867" s="799"/>
      <c r="K867" s="799"/>
      <c r="L867" s="885"/>
      <c r="M867" s="799"/>
      <c r="N867" s="799"/>
      <c r="O867" s="799"/>
      <c r="P867" s="799"/>
      <c r="Q867" s="799"/>
      <c r="R867" s="799"/>
      <c r="S867" s="799"/>
      <c r="T867" s="799"/>
      <c r="U867" s="799"/>
      <c r="V867" s="799"/>
      <c r="W867" s="799"/>
      <c r="X867" s="799"/>
      <c r="Y867" s="799"/>
      <c r="Z867" s="799"/>
    </row>
    <row r="868" ht="49.5" customHeight="1">
      <c r="A868" s="799"/>
      <c r="B868" s="799"/>
      <c r="C868" s="799"/>
      <c r="D868" s="799"/>
      <c r="E868" s="799"/>
      <c r="F868" s="799"/>
      <c r="G868" s="799"/>
      <c r="H868" s="799"/>
      <c r="I868" s="799"/>
      <c r="J868" s="799"/>
      <c r="K868" s="799"/>
      <c r="L868" s="885"/>
      <c r="M868" s="799"/>
      <c r="N868" s="799"/>
      <c r="O868" s="799"/>
      <c r="P868" s="799"/>
      <c r="Q868" s="799"/>
      <c r="R868" s="799"/>
      <c r="S868" s="799"/>
      <c r="T868" s="799"/>
      <c r="U868" s="799"/>
      <c r="V868" s="799"/>
      <c r="W868" s="799"/>
      <c r="X868" s="799"/>
      <c r="Y868" s="799"/>
      <c r="Z868" s="799"/>
    </row>
    <row r="869" ht="49.5" customHeight="1">
      <c r="A869" s="799"/>
      <c r="B869" s="799"/>
      <c r="C869" s="799"/>
      <c r="D869" s="799"/>
      <c r="E869" s="799"/>
      <c r="F869" s="799"/>
      <c r="G869" s="799"/>
      <c r="H869" s="799"/>
      <c r="I869" s="799"/>
      <c r="J869" s="799"/>
      <c r="K869" s="799"/>
      <c r="L869" s="885"/>
      <c r="M869" s="799"/>
      <c r="N869" s="799"/>
      <c r="O869" s="799"/>
      <c r="P869" s="799"/>
      <c r="Q869" s="799"/>
      <c r="R869" s="799"/>
      <c r="S869" s="799"/>
      <c r="T869" s="799"/>
      <c r="U869" s="799"/>
      <c r="V869" s="799"/>
      <c r="W869" s="799"/>
      <c r="X869" s="799"/>
      <c r="Y869" s="799"/>
      <c r="Z869" s="799"/>
    </row>
    <row r="870" ht="49.5" customHeight="1">
      <c r="A870" s="799"/>
      <c r="B870" s="799"/>
      <c r="C870" s="799"/>
      <c r="D870" s="799"/>
      <c r="E870" s="799"/>
      <c r="F870" s="799"/>
      <c r="G870" s="799"/>
      <c r="H870" s="799"/>
      <c r="I870" s="799"/>
      <c r="J870" s="799"/>
      <c r="K870" s="799"/>
      <c r="L870" s="885"/>
      <c r="M870" s="799"/>
      <c r="N870" s="799"/>
      <c r="O870" s="799"/>
      <c r="P870" s="799"/>
      <c r="Q870" s="799"/>
      <c r="R870" s="799"/>
      <c r="S870" s="799"/>
      <c r="T870" s="799"/>
      <c r="U870" s="799"/>
      <c r="V870" s="799"/>
      <c r="W870" s="799"/>
      <c r="X870" s="799"/>
      <c r="Y870" s="799"/>
      <c r="Z870" s="799"/>
    </row>
    <row r="871" ht="49.5" customHeight="1">
      <c r="A871" s="799"/>
      <c r="B871" s="799"/>
      <c r="C871" s="799"/>
      <c r="D871" s="799"/>
      <c r="E871" s="799"/>
      <c r="F871" s="799"/>
      <c r="G871" s="799"/>
      <c r="H871" s="799"/>
      <c r="I871" s="799"/>
      <c r="J871" s="799"/>
      <c r="K871" s="799"/>
      <c r="L871" s="885"/>
      <c r="M871" s="799"/>
      <c r="N871" s="799"/>
      <c r="O871" s="799"/>
      <c r="P871" s="799"/>
      <c r="Q871" s="799"/>
      <c r="R871" s="799"/>
      <c r="S871" s="799"/>
      <c r="T871" s="799"/>
      <c r="U871" s="799"/>
      <c r="V871" s="799"/>
      <c r="W871" s="799"/>
      <c r="X871" s="799"/>
      <c r="Y871" s="799"/>
      <c r="Z871" s="799"/>
    </row>
    <row r="872" ht="49.5" customHeight="1">
      <c r="A872" s="799"/>
      <c r="B872" s="799"/>
      <c r="C872" s="799"/>
      <c r="D872" s="799"/>
      <c r="E872" s="799"/>
      <c r="F872" s="799"/>
      <c r="G872" s="799"/>
      <c r="H872" s="799"/>
      <c r="I872" s="799"/>
      <c r="J872" s="799"/>
      <c r="K872" s="799"/>
      <c r="L872" s="885"/>
      <c r="M872" s="799"/>
      <c r="N872" s="799"/>
      <c r="O872" s="799"/>
      <c r="P872" s="799"/>
      <c r="Q872" s="799"/>
      <c r="R872" s="799"/>
      <c r="S872" s="799"/>
      <c r="T872" s="799"/>
      <c r="U872" s="799"/>
      <c r="V872" s="799"/>
      <c r="W872" s="799"/>
      <c r="X872" s="799"/>
      <c r="Y872" s="799"/>
      <c r="Z872" s="799"/>
    </row>
    <row r="873" ht="49.5" customHeight="1">
      <c r="A873" s="799"/>
      <c r="B873" s="799"/>
      <c r="C873" s="799"/>
      <c r="D873" s="799"/>
      <c r="E873" s="799"/>
      <c r="F873" s="799"/>
      <c r="G873" s="799"/>
      <c r="H873" s="799"/>
      <c r="I873" s="799"/>
      <c r="J873" s="799"/>
      <c r="K873" s="799"/>
      <c r="L873" s="885"/>
      <c r="M873" s="799"/>
      <c r="N873" s="799"/>
      <c r="O873" s="799"/>
      <c r="P873" s="799"/>
      <c r="Q873" s="799"/>
      <c r="R873" s="799"/>
      <c r="S873" s="799"/>
      <c r="T873" s="799"/>
      <c r="U873" s="799"/>
      <c r="V873" s="799"/>
      <c r="W873" s="799"/>
      <c r="X873" s="799"/>
      <c r="Y873" s="799"/>
      <c r="Z873" s="799"/>
    </row>
    <row r="874" ht="49.5" customHeight="1">
      <c r="A874" s="799"/>
      <c r="B874" s="799"/>
      <c r="C874" s="799"/>
      <c r="D874" s="799"/>
      <c r="E874" s="799"/>
      <c r="F874" s="799"/>
      <c r="G874" s="799"/>
      <c r="H874" s="799"/>
      <c r="I874" s="799"/>
      <c r="J874" s="799"/>
      <c r="K874" s="799"/>
      <c r="L874" s="885"/>
      <c r="M874" s="799"/>
      <c r="N874" s="799"/>
      <c r="O874" s="799"/>
      <c r="P874" s="799"/>
      <c r="Q874" s="799"/>
      <c r="R874" s="799"/>
      <c r="S874" s="799"/>
      <c r="T874" s="799"/>
      <c r="U874" s="799"/>
      <c r="V874" s="799"/>
      <c r="W874" s="799"/>
      <c r="X874" s="799"/>
      <c r="Y874" s="799"/>
      <c r="Z874" s="799"/>
    </row>
    <row r="875" ht="49.5" customHeight="1">
      <c r="A875" s="799"/>
      <c r="B875" s="799"/>
      <c r="C875" s="799"/>
      <c r="D875" s="799"/>
      <c r="E875" s="799"/>
      <c r="F875" s="799"/>
      <c r="G875" s="799"/>
      <c r="H875" s="799"/>
      <c r="I875" s="799"/>
      <c r="J875" s="799"/>
      <c r="K875" s="799"/>
      <c r="L875" s="885"/>
      <c r="M875" s="799"/>
      <c r="N875" s="799"/>
      <c r="O875" s="799"/>
      <c r="P875" s="799"/>
      <c r="Q875" s="799"/>
      <c r="R875" s="799"/>
      <c r="S875" s="799"/>
      <c r="T875" s="799"/>
      <c r="U875" s="799"/>
      <c r="V875" s="799"/>
      <c r="W875" s="799"/>
      <c r="X875" s="799"/>
      <c r="Y875" s="799"/>
      <c r="Z875" s="799"/>
    </row>
    <row r="876" ht="49.5" customHeight="1">
      <c r="A876" s="799"/>
      <c r="B876" s="799"/>
      <c r="C876" s="799"/>
      <c r="D876" s="799"/>
      <c r="E876" s="799"/>
      <c r="F876" s="799"/>
      <c r="G876" s="799"/>
      <c r="H876" s="799"/>
      <c r="I876" s="799"/>
      <c r="J876" s="799"/>
      <c r="K876" s="799"/>
      <c r="L876" s="885"/>
      <c r="M876" s="799"/>
      <c r="N876" s="799"/>
      <c r="O876" s="799"/>
      <c r="P876" s="799"/>
      <c r="Q876" s="799"/>
      <c r="R876" s="799"/>
      <c r="S876" s="799"/>
      <c r="T876" s="799"/>
      <c r="U876" s="799"/>
      <c r="V876" s="799"/>
      <c r="W876" s="799"/>
      <c r="X876" s="799"/>
      <c r="Y876" s="799"/>
      <c r="Z876" s="799"/>
    </row>
    <row r="877" ht="49.5" customHeight="1">
      <c r="A877" s="799"/>
      <c r="B877" s="799"/>
      <c r="C877" s="799"/>
      <c r="D877" s="799"/>
      <c r="E877" s="799"/>
      <c r="F877" s="799"/>
      <c r="G877" s="799"/>
      <c r="H877" s="799"/>
      <c r="I877" s="799"/>
      <c r="J877" s="799"/>
      <c r="K877" s="799"/>
      <c r="L877" s="885"/>
      <c r="M877" s="799"/>
      <c r="N877" s="799"/>
      <c r="O877" s="799"/>
      <c r="P877" s="799"/>
      <c r="Q877" s="799"/>
      <c r="R877" s="799"/>
      <c r="S877" s="799"/>
      <c r="T877" s="799"/>
      <c r="U877" s="799"/>
      <c r="V877" s="799"/>
      <c r="W877" s="799"/>
      <c r="X877" s="799"/>
      <c r="Y877" s="799"/>
      <c r="Z877" s="799"/>
    </row>
    <row r="878" ht="49.5" customHeight="1">
      <c r="A878" s="799"/>
      <c r="B878" s="799"/>
      <c r="C878" s="799"/>
      <c r="D878" s="799"/>
      <c r="E878" s="799"/>
      <c r="F878" s="799"/>
      <c r="G878" s="799"/>
      <c r="H878" s="799"/>
      <c r="I878" s="799"/>
      <c r="J878" s="799"/>
      <c r="K878" s="799"/>
      <c r="L878" s="885"/>
      <c r="M878" s="799"/>
      <c r="N878" s="799"/>
      <c r="O878" s="799"/>
      <c r="P878" s="799"/>
      <c r="Q878" s="799"/>
      <c r="R878" s="799"/>
      <c r="S878" s="799"/>
      <c r="T878" s="799"/>
      <c r="U878" s="799"/>
      <c r="V878" s="799"/>
      <c r="W878" s="799"/>
      <c r="X878" s="799"/>
      <c r="Y878" s="799"/>
      <c r="Z878" s="799"/>
    </row>
    <row r="879" ht="49.5" customHeight="1">
      <c r="A879" s="799"/>
      <c r="B879" s="799"/>
      <c r="C879" s="799"/>
      <c r="D879" s="799"/>
      <c r="E879" s="799"/>
      <c r="F879" s="799"/>
      <c r="G879" s="799"/>
      <c r="H879" s="799"/>
      <c r="I879" s="799"/>
      <c r="J879" s="799"/>
      <c r="K879" s="799"/>
      <c r="L879" s="885"/>
      <c r="M879" s="799"/>
      <c r="N879" s="799"/>
      <c r="O879" s="799"/>
      <c r="P879" s="799"/>
      <c r="Q879" s="799"/>
      <c r="R879" s="799"/>
      <c r="S879" s="799"/>
      <c r="T879" s="799"/>
      <c r="U879" s="799"/>
      <c r="V879" s="799"/>
      <c r="W879" s="799"/>
      <c r="X879" s="799"/>
      <c r="Y879" s="799"/>
      <c r="Z879" s="799"/>
    </row>
    <row r="880" ht="49.5" customHeight="1">
      <c r="A880" s="799"/>
      <c r="B880" s="799"/>
      <c r="C880" s="799"/>
      <c r="D880" s="799"/>
      <c r="E880" s="799"/>
      <c r="F880" s="799"/>
      <c r="G880" s="799"/>
      <c r="H880" s="799"/>
      <c r="I880" s="799"/>
      <c r="J880" s="799"/>
      <c r="K880" s="799"/>
      <c r="L880" s="885"/>
      <c r="M880" s="799"/>
      <c r="N880" s="799"/>
      <c r="O880" s="799"/>
      <c r="P880" s="799"/>
      <c r="Q880" s="799"/>
      <c r="R880" s="799"/>
      <c r="S880" s="799"/>
      <c r="T880" s="799"/>
      <c r="U880" s="799"/>
      <c r="V880" s="799"/>
      <c r="W880" s="799"/>
      <c r="X880" s="799"/>
      <c r="Y880" s="799"/>
      <c r="Z880" s="799"/>
    </row>
    <row r="881" ht="49.5" customHeight="1">
      <c r="A881" s="799"/>
      <c r="B881" s="799"/>
      <c r="C881" s="799"/>
      <c r="D881" s="799"/>
      <c r="E881" s="799"/>
      <c r="F881" s="799"/>
      <c r="G881" s="799"/>
      <c r="H881" s="799"/>
      <c r="I881" s="799"/>
      <c r="J881" s="799"/>
      <c r="K881" s="799"/>
      <c r="L881" s="885"/>
      <c r="M881" s="799"/>
      <c r="N881" s="799"/>
      <c r="O881" s="799"/>
      <c r="P881" s="799"/>
      <c r="Q881" s="799"/>
      <c r="R881" s="799"/>
      <c r="S881" s="799"/>
      <c r="T881" s="799"/>
      <c r="U881" s="799"/>
      <c r="V881" s="799"/>
      <c r="W881" s="799"/>
      <c r="X881" s="799"/>
      <c r="Y881" s="799"/>
      <c r="Z881" s="799"/>
    </row>
    <row r="882" ht="49.5" customHeight="1">
      <c r="A882" s="799"/>
      <c r="B882" s="799"/>
      <c r="C882" s="799"/>
      <c r="D882" s="799"/>
      <c r="E882" s="799"/>
      <c r="F882" s="799"/>
      <c r="G882" s="799"/>
      <c r="H882" s="799"/>
      <c r="I882" s="799"/>
      <c r="J882" s="799"/>
      <c r="K882" s="799"/>
      <c r="L882" s="885"/>
      <c r="M882" s="799"/>
      <c r="N882" s="799"/>
      <c r="O882" s="799"/>
      <c r="P882" s="799"/>
      <c r="Q882" s="799"/>
      <c r="R882" s="799"/>
      <c r="S882" s="799"/>
      <c r="T882" s="799"/>
      <c r="U882" s="799"/>
      <c r="V882" s="799"/>
      <c r="W882" s="799"/>
      <c r="X882" s="799"/>
      <c r="Y882" s="799"/>
      <c r="Z882" s="799"/>
    </row>
    <row r="883" ht="49.5" customHeight="1">
      <c r="A883" s="799"/>
      <c r="B883" s="799"/>
      <c r="C883" s="799"/>
      <c r="D883" s="799"/>
      <c r="E883" s="799"/>
      <c r="F883" s="799"/>
      <c r="G883" s="799"/>
      <c r="H883" s="799"/>
      <c r="I883" s="799"/>
      <c r="J883" s="799"/>
      <c r="K883" s="799"/>
      <c r="L883" s="885"/>
      <c r="M883" s="799"/>
      <c r="N883" s="799"/>
      <c r="O883" s="799"/>
      <c r="P883" s="799"/>
      <c r="Q883" s="799"/>
      <c r="R883" s="799"/>
      <c r="S883" s="799"/>
      <c r="T883" s="799"/>
      <c r="U883" s="799"/>
      <c r="V883" s="799"/>
      <c r="W883" s="799"/>
      <c r="X883" s="799"/>
      <c r="Y883" s="799"/>
      <c r="Z883" s="799"/>
    </row>
    <row r="884" ht="49.5" customHeight="1">
      <c r="A884" s="799"/>
      <c r="B884" s="799"/>
      <c r="C884" s="799"/>
      <c r="D884" s="799"/>
      <c r="E884" s="799"/>
      <c r="F884" s="799"/>
      <c r="G884" s="799"/>
      <c r="H884" s="799"/>
      <c r="I884" s="799"/>
      <c r="J884" s="799"/>
      <c r="K884" s="799"/>
      <c r="L884" s="885"/>
      <c r="M884" s="799"/>
      <c r="N884" s="799"/>
      <c r="O884" s="799"/>
      <c r="P884" s="799"/>
      <c r="Q884" s="799"/>
      <c r="R884" s="799"/>
      <c r="S884" s="799"/>
      <c r="T884" s="799"/>
      <c r="U884" s="799"/>
      <c r="V884" s="799"/>
      <c r="W884" s="799"/>
      <c r="X884" s="799"/>
      <c r="Y884" s="799"/>
      <c r="Z884" s="799"/>
    </row>
    <row r="885" ht="49.5" customHeight="1">
      <c r="A885" s="799"/>
      <c r="B885" s="799"/>
      <c r="C885" s="799"/>
      <c r="D885" s="799"/>
      <c r="E885" s="799"/>
      <c r="F885" s="799"/>
      <c r="G885" s="799"/>
      <c r="H885" s="799"/>
      <c r="I885" s="799"/>
      <c r="J885" s="799"/>
      <c r="K885" s="799"/>
      <c r="L885" s="885"/>
      <c r="M885" s="799"/>
      <c r="N885" s="799"/>
      <c r="O885" s="799"/>
      <c r="P885" s="799"/>
      <c r="Q885" s="799"/>
      <c r="R885" s="799"/>
      <c r="S885" s="799"/>
      <c r="T885" s="799"/>
      <c r="U885" s="799"/>
      <c r="V885" s="799"/>
      <c r="W885" s="799"/>
      <c r="X885" s="799"/>
      <c r="Y885" s="799"/>
      <c r="Z885" s="799"/>
    </row>
    <row r="886" ht="49.5" customHeight="1">
      <c r="A886" s="799"/>
      <c r="B886" s="799"/>
      <c r="C886" s="799"/>
      <c r="D886" s="799"/>
      <c r="E886" s="799"/>
      <c r="F886" s="799"/>
      <c r="G886" s="799"/>
      <c r="H886" s="799"/>
      <c r="I886" s="799"/>
      <c r="J886" s="799"/>
      <c r="K886" s="799"/>
      <c r="L886" s="885"/>
      <c r="M886" s="799"/>
      <c r="N886" s="799"/>
      <c r="O886" s="799"/>
      <c r="P886" s="799"/>
      <c r="Q886" s="799"/>
      <c r="R886" s="799"/>
      <c r="S886" s="799"/>
      <c r="T886" s="799"/>
      <c r="U886" s="799"/>
      <c r="V886" s="799"/>
      <c r="W886" s="799"/>
      <c r="X886" s="799"/>
      <c r="Y886" s="799"/>
      <c r="Z886" s="799"/>
    </row>
    <row r="887" ht="49.5" customHeight="1">
      <c r="A887" s="799"/>
      <c r="B887" s="799"/>
      <c r="C887" s="799"/>
      <c r="D887" s="799"/>
      <c r="E887" s="799"/>
      <c r="F887" s="799"/>
      <c r="G887" s="799"/>
      <c r="H887" s="799"/>
      <c r="I887" s="799"/>
      <c r="J887" s="799"/>
      <c r="K887" s="799"/>
      <c r="L887" s="885"/>
      <c r="M887" s="799"/>
      <c r="N887" s="799"/>
      <c r="O887" s="799"/>
      <c r="P887" s="799"/>
      <c r="Q887" s="799"/>
      <c r="R887" s="799"/>
      <c r="S887" s="799"/>
      <c r="T887" s="799"/>
      <c r="U887" s="799"/>
      <c r="V887" s="799"/>
      <c r="W887" s="799"/>
      <c r="X887" s="799"/>
      <c r="Y887" s="799"/>
      <c r="Z887" s="799"/>
    </row>
    <row r="888" ht="49.5" customHeight="1">
      <c r="A888" s="799"/>
      <c r="B888" s="799"/>
      <c r="C888" s="799"/>
      <c r="D888" s="799"/>
      <c r="E888" s="799"/>
      <c r="F888" s="799"/>
      <c r="G888" s="799"/>
      <c r="H888" s="799"/>
      <c r="I888" s="799"/>
      <c r="J888" s="799"/>
      <c r="K888" s="799"/>
      <c r="L888" s="885"/>
      <c r="M888" s="799"/>
      <c r="N888" s="799"/>
      <c r="O888" s="799"/>
      <c r="P888" s="799"/>
      <c r="Q888" s="799"/>
      <c r="R888" s="799"/>
      <c r="S888" s="799"/>
      <c r="T888" s="799"/>
      <c r="U888" s="799"/>
      <c r="V888" s="799"/>
      <c r="W888" s="799"/>
      <c r="X888" s="799"/>
      <c r="Y888" s="799"/>
      <c r="Z888" s="799"/>
    </row>
    <row r="889" ht="49.5" customHeight="1">
      <c r="A889" s="799"/>
      <c r="B889" s="799"/>
      <c r="C889" s="799"/>
      <c r="D889" s="799"/>
      <c r="E889" s="799"/>
      <c r="F889" s="799"/>
      <c r="G889" s="799"/>
      <c r="H889" s="799"/>
      <c r="I889" s="799"/>
      <c r="J889" s="799"/>
      <c r="K889" s="799"/>
      <c r="L889" s="885"/>
      <c r="M889" s="799"/>
      <c r="N889" s="799"/>
      <c r="O889" s="799"/>
      <c r="P889" s="799"/>
      <c r="Q889" s="799"/>
      <c r="R889" s="799"/>
      <c r="S889" s="799"/>
      <c r="T889" s="799"/>
      <c r="U889" s="799"/>
      <c r="V889" s="799"/>
      <c r="W889" s="799"/>
      <c r="X889" s="799"/>
      <c r="Y889" s="799"/>
      <c r="Z889" s="799"/>
    </row>
    <row r="890" ht="49.5" customHeight="1">
      <c r="A890" s="799"/>
      <c r="B890" s="799"/>
      <c r="C890" s="799"/>
      <c r="D890" s="799"/>
      <c r="E890" s="799"/>
      <c r="F890" s="799"/>
      <c r="G890" s="799"/>
      <c r="H890" s="799"/>
      <c r="I890" s="799"/>
      <c r="J890" s="799"/>
      <c r="K890" s="799"/>
      <c r="L890" s="885"/>
      <c r="M890" s="799"/>
      <c r="N890" s="799"/>
      <c r="O890" s="799"/>
      <c r="P890" s="799"/>
      <c r="Q890" s="799"/>
      <c r="R890" s="799"/>
      <c r="S890" s="799"/>
      <c r="T890" s="799"/>
      <c r="U890" s="799"/>
      <c r="V890" s="799"/>
      <c r="W890" s="799"/>
      <c r="X890" s="799"/>
      <c r="Y890" s="799"/>
      <c r="Z890" s="799"/>
    </row>
    <row r="891" ht="49.5" customHeight="1">
      <c r="A891" s="799"/>
      <c r="B891" s="799"/>
      <c r="C891" s="799"/>
      <c r="D891" s="799"/>
      <c r="E891" s="799"/>
      <c r="F891" s="799"/>
      <c r="G891" s="799"/>
      <c r="H891" s="799"/>
      <c r="I891" s="799"/>
      <c r="J891" s="799"/>
      <c r="K891" s="799"/>
      <c r="L891" s="885"/>
      <c r="M891" s="799"/>
      <c r="N891" s="799"/>
      <c r="O891" s="799"/>
      <c r="P891" s="799"/>
      <c r="Q891" s="799"/>
      <c r="R891" s="799"/>
      <c r="S891" s="799"/>
      <c r="T891" s="799"/>
      <c r="U891" s="799"/>
      <c r="V891" s="799"/>
      <c r="W891" s="799"/>
      <c r="X891" s="799"/>
      <c r="Y891" s="799"/>
      <c r="Z891" s="799"/>
    </row>
    <row r="892" ht="49.5" customHeight="1">
      <c r="A892" s="799"/>
      <c r="B892" s="799"/>
      <c r="C892" s="799"/>
      <c r="D892" s="799"/>
      <c r="E892" s="799"/>
      <c r="F892" s="799"/>
      <c r="G892" s="799"/>
      <c r="H892" s="799"/>
      <c r="I892" s="799"/>
      <c r="J892" s="799"/>
      <c r="K892" s="799"/>
      <c r="L892" s="885"/>
      <c r="M892" s="799"/>
      <c r="N892" s="799"/>
      <c r="O892" s="799"/>
      <c r="P892" s="799"/>
      <c r="Q892" s="799"/>
      <c r="R892" s="799"/>
      <c r="S892" s="799"/>
      <c r="T892" s="799"/>
      <c r="U892" s="799"/>
      <c r="V892" s="799"/>
      <c r="W892" s="799"/>
      <c r="X892" s="799"/>
      <c r="Y892" s="799"/>
      <c r="Z892" s="799"/>
    </row>
    <row r="893" ht="49.5" customHeight="1">
      <c r="A893" s="799"/>
      <c r="B893" s="799"/>
      <c r="C893" s="799"/>
      <c r="D893" s="799"/>
      <c r="E893" s="799"/>
      <c r="F893" s="799"/>
      <c r="G893" s="799"/>
      <c r="H893" s="799"/>
      <c r="I893" s="799"/>
      <c r="J893" s="799"/>
      <c r="K893" s="799"/>
      <c r="L893" s="885"/>
      <c r="M893" s="799"/>
      <c r="N893" s="799"/>
      <c r="O893" s="799"/>
      <c r="P893" s="799"/>
      <c r="Q893" s="799"/>
      <c r="R893" s="799"/>
      <c r="S893" s="799"/>
      <c r="T893" s="799"/>
      <c r="U893" s="799"/>
      <c r="V893" s="799"/>
      <c r="W893" s="799"/>
      <c r="X893" s="799"/>
      <c r="Y893" s="799"/>
      <c r="Z893" s="799"/>
    </row>
    <row r="894" ht="49.5" customHeight="1">
      <c r="A894" s="799"/>
      <c r="B894" s="799"/>
      <c r="C894" s="799"/>
      <c r="D894" s="799"/>
      <c r="E894" s="799"/>
      <c r="F894" s="799"/>
      <c r="G894" s="799"/>
      <c r="H894" s="799"/>
      <c r="I894" s="799"/>
      <c r="J894" s="799"/>
      <c r="K894" s="799"/>
      <c r="L894" s="885"/>
      <c r="M894" s="799"/>
      <c r="N894" s="799"/>
      <c r="O894" s="799"/>
      <c r="P894" s="799"/>
      <c r="Q894" s="799"/>
      <c r="R894" s="799"/>
      <c r="S894" s="799"/>
      <c r="T894" s="799"/>
      <c r="U894" s="799"/>
      <c r="V894" s="799"/>
      <c r="W894" s="799"/>
      <c r="X894" s="799"/>
      <c r="Y894" s="799"/>
      <c r="Z894" s="799"/>
    </row>
    <row r="895" ht="49.5" customHeight="1">
      <c r="A895" s="799"/>
      <c r="B895" s="799"/>
      <c r="C895" s="799"/>
      <c r="D895" s="799"/>
      <c r="E895" s="799"/>
      <c r="F895" s="799"/>
      <c r="G895" s="799"/>
      <c r="H895" s="799"/>
      <c r="I895" s="799"/>
      <c r="J895" s="799"/>
      <c r="K895" s="799"/>
      <c r="L895" s="885"/>
      <c r="M895" s="799"/>
      <c r="N895" s="799"/>
      <c r="O895" s="799"/>
      <c r="P895" s="799"/>
      <c r="Q895" s="799"/>
      <c r="R895" s="799"/>
      <c r="S895" s="799"/>
      <c r="T895" s="799"/>
      <c r="U895" s="799"/>
      <c r="V895" s="799"/>
      <c r="W895" s="799"/>
      <c r="X895" s="799"/>
      <c r="Y895" s="799"/>
      <c r="Z895" s="799"/>
    </row>
    <row r="896" ht="49.5" customHeight="1">
      <c r="A896" s="799"/>
      <c r="B896" s="799"/>
      <c r="C896" s="799"/>
      <c r="D896" s="799"/>
      <c r="E896" s="799"/>
      <c r="F896" s="799"/>
      <c r="G896" s="799"/>
      <c r="H896" s="799"/>
      <c r="I896" s="799"/>
      <c r="J896" s="799"/>
      <c r="K896" s="799"/>
      <c r="L896" s="885"/>
      <c r="M896" s="799"/>
      <c r="N896" s="799"/>
      <c r="O896" s="799"/>
      <c r="P896" s="799"/>
      <c r="Q896" s="799"/>
      <c r="R896" s="799"/>
      <c r="S896" s="799"/>
      <c r="T896" s="799"/>
      <c r="U896" s="799"/>
      <c r="V896" s="799"/>
      <c r="W896" s="799"/>
      <c r="X896" s="799"/>
      <c r="Y896" s="799"/>
      <c r="Z896" s="799"/>
    </row>
    <row r="897" ht="49.5" customHeight="1">
      <c r="A897" s="799"/>
      <c r="B897" s="799"/>
      <c r="C897" s="799"/>
      <c r="D897" s="799"/>
      <c r="E897" s="799"/>
      <c r="F897" s="799"/>
      <c r="G897" s="799"/>
      <c r="H897" s="799"/>
      <c r="I897" s="799"/>
      <c r="J897" s="799"/>
      <c r="K897" s="799"/>
      <c r="L897" s="885"/>
      <c r="M897" s="799"/>
      <c r="N897" s="799"/>
      <c r="O897" s="799"/>
      <c r="P897" s="799"/>
      <c r="Q897" s="799"/>
      <c r="R897" s="799"/>
      <c r="S897" s="799"/>
      <c r="T897" s="799"/>
      <c r="U897" s="799"/>
      <c r="V897" s="799"/>
      <c r="W897" s="799"/>
      <c r="X897" s="799"/>
      <c r="Y897" s="799"/>
      <c r="Z897" s="799"/>
    </row>
    <row r="898" ht="49.5" customHeight="1">
      <c r="A898" s="799"/>
      <c r="B898" s="799"/>
      <c r="C898" s="799"/>
      <c r="D898" s="799"/>
      <c r="E898" s="799"/>
      <c r="F898" s="799"/>
      <c r="G898" s="799"/>
      <c r="H898" s="799"/>
      <c r="I898" s="799"/>
      <c r="J898" s="799"/>
      <c r="K898" s="799"/>
      <c r="L898" s="885"/>
      <c r="M898" s="799"/>
      <c r="N898" s="799"/>
      <c r="O898" s="799"/>
      <c r="P898" s="799"/>
      <c r="Q898" s="799"/>
      <c r="R898" s="799"/>
      <c r="S898" s="799"/>
      <c r="T898" s="799"/>
      <c r="U898" s="799"/>
      <c r="V898" s="799"/>
      <c r="W898" s="799"/>
      <c r="X898" s="799"/>
      <c r="Y898" s="799"/>
      <c r="Z898" s="799"/>
    </row>
    <row r="899" ht="49.5" customHeight="1">
      <c r="A899" s="799"/>
      <c r="B899" s="799"/>
      <c r="C899" s="799"/>
      <c r="D899" s="799"/>
      <c r="E899" s="799"/>
      <c r="F899" s="799"/>
      <c r="G899" s="799"/>
      <c r="H899" s="799"/>
      <c r="I899" s="799"/>
      <c r="J899" s="799"/>
      <c r="K899" s="799"/>
      <c r="L899" s="885"/>
      <c r="M899" s="799"/>
      <c r="N899" s="799"/>
      <c r="O899" s="799"/>
      <c r="P899" s="799"/>
      <c r="Q899" s="799"/>
      <c r="R899" s="799"/>
      <c r="S899" s="799"/>
      <c r="T899" s="799"/>
      <c r="U899" s="799"/>
      <c r="V899" s="799"/>
      <c r="W899" s="799"/>
      <c r="X899" s="799"/>
      <c r="Y899" s="799"/>
      <c r="Z899" s="799"/>
    </row>
    <row r="900" ht="49.5" customHeight="1">
      <c r="A900" s="799"/>
      <c r="B900" s="799"/>
      <c r="C900" s="799"/>
      <c r="D900" s="799"/>
      <c r="E900" s="799"/>
      <c r="F900" s="799"/>
      <c r="G900" s="799"/>
      <c r="H900" s="799"/>
      <c r="I900" s="799"/>
      <c r="J900" s="799"/>
      <c r="K900" s="799"/>
      <c r="L900" s="885"/>
      <c r="M900" s="799"/>
      <c r="N900" s="799"/>
      <c r="O900" s="799"/>
      <c r="P900" s="799"/>
      <c r="Q900" s="799"/>
      <c r="R900" s="799"/>
      <c r="S900" s="799"/>
      <c r="T900" s="799"/>
      <c r="U900" s="799"/>
      <c r="V900" s="799"/>
      <c r="W900" s="799"/>
      <c r="X900" s="799"/>
      <c r="Y900" s="799"/>
      <c r="Z900" s="799"/>
    </row>
    <row r="901" ht="49.5" customHeight="1">
      <c r="A901" s="799"/>
      <c r="B901" s="799"/>
      <c r="C901" s="799"/>
      <c r="D901" s="799"/>
      <c r="E901" s="799"/>
      <c r="F901" s="799"/>
      <c r="G901" s="799"/>
      <c r="H901" s="799"/>
      <c r="I901" s="799"/>
      <c r="J901" s="799"/>
      <c r="K901" s="799"/>
      <c r="L901" s="885"/>
      <c r="M901" s="799"/>
      <c r="N901" s="799"/>
      <c r="O901" s="799"/>
      <c r="P901" s="799"/>
      <c r="Q901" s="799"/>
      <c r="R901" s="799"/>
      <c r="S901" s="799"/>
      <c r="T901" s="799"/>
      <c r="U901" s="799"/>
      <c r="V901" s="799"/>
      <c r="W901" s="799"/>
      <c r="X901" s="799"/>
      <c r="Y901" s="799"/>
      <c r="Z901" s="799"/>
    </row>
    <row r="902" ht="49.5" customHeight="1">
      <c r="A902" s="799"/>
      <c r="B902" s="799"/>
      <c r="C902" s="799"/>
      <c r="D902" s="799"/>
      <c r="E902" s="799"/>
      <c r="F902" s="799"/>
      <c r="G902" s="799"/>
      <c r="H902" s="799"/>
      <c r="I902" s="799"/>
      <c r="J902" s="799"/>
      <c r="K902" s="799"/>
      <c r="L902" s="885"/>
      <c r="M902" s="799"/>
      <c r="N902" s="799"/>
      <c r="O902" s="799"/>
      <c r="P902" s="799"/>
      <c r="Q902" s="799"/>
      <c r="R902" s="799"/>
      <c r="S902" s="799"/>
      <c r="T902" s="799"/>
      <c r="U902" s="799"/>
      <c r="V902" s="799"/>
      <c r="W902" s="799"/>
      <c r="X902" s="799"/>
      <c r="Y902" s="799"/>
      <c r="Z902" s="799"/>
    </row>
    <row r="903" ht="49.5" customHeight="1">
      <c r="A903" s="799"/>
      <c r="B903" s="799"/>
      <c r="C903" s="799"/>
      <c r="D903" s="799"/>
      <c r="E903" s="799"/>
      <c r="F903" s="799"/>
      <c r="G903" s="799"/>
      <c r="H903" s="799"/>
      <c r="I903" s="799"/>
      <c r="J903" s="799"/>
      <c r="K903" s="799"/>
      <c r="L903" s="885"/>
      <c r="M903" s="799"/>
      <c r="N903" s="799"/>
      <c r="O903" s="799"/>
      <c r="P903" s="799"/>
      <c r="Q903" s="799"/>
      <c r="R903" s="799"/>
      <c r="S903" s="799"/>
      <c r="T903" s="799"/>
      <c r="U903" s="799"/>
      <c r="V903" s="799"/>
      <c r="W903" s="799"/>
      <c r="X903" s="799"/>
      <c r="Y903" s="799"/>
      <c r="Z903" s="799"/>
    </row>
    <row r="904" ht="49.5" customHeight="1">
      <c r="A904" s="799"/>
      <c r="B904" s="799"/>
      <c r="C904" s="799"/>
      <c r="D904" s="799"/>
      <c r="E904" s="799"/>
      <c r="F904" s="799"/>
      <c r="G904" s="799"/>
      <c r="H904" s="799"/>
      <c r="I904" s="799"/>
      <c r="J904" s="799"/>
      <c r="K904" s="799"/>
      <c r="L904" s="885"/>
      <c r="M904" s="799"/>
      <c r="N904" s="799"/>
      <c r="O904" s="799"/>
      <c r="P904" s="799"/>
      <c r="Q904" s="799"/>
      <c r="R904" s="799"/>
      <c r="S904" s="799"/>
      <c r="T904" s="799"/>
      <c r="U904" s="799"/>
      <c r="V904" s="799"/>
      <c r="W904" s="799"/>
      <c r="X904" s="799"/>
      <c r="Y904" s="799"/>
      <c r="Z904" s="799"/>
    </row>
    <row r="905" ht="49.5" customHeight="1">
      <c r="A905" s="799"/>
      <c r="B905" s="799"/>
      <c r="C905" s="799"/>
      <c r="D905" s="799"/>
      <c r="E905" s="799"/>
      <c r="F905" s="799"/>
      <c r="G905" s="799"/>
      <c r="H905" s="799"/>
      <c r="I905" s="799"/>
      <c r="J905" s="799"/>
      <c r="K905" s="799"/>
      <c r="L905" s="885"/>
      <c r="M905" s="799"/>
      <c r="N905" s="799"/>
      <c r="O905" s="799"/>
      <c r="P905" s="799"/>
      <c r="Q905" s="799"/>
      <c r="R905" s="799"/>
      <c r="S905" s="799"/>
      <c r="T905" s="799"/>
      <c r="U905" s="799"/>
      <c r="V905" s="799"/>
      <c r="W905" s="799"/>
      <c r="X905" s="799"/>
      <c r="Y905" s="799"/>
      <c r="Z905" s="799"/>
    </row>
    <row r="906" ht="49.5" customHeight="1">
      <c r="A906" s="799"/>
      <c r="B906" s="799"/>
      <c r="C906" s="799"/>
      <c r="D906" s="799"/>
      <c r="E906" s="799"/>
      <c r="F906" s="799"/>
      <c r="G906" s="799"/>
      <c r="H906" s="799"/>
      <c r="I906" s="799"/>
      <c r="J906" s="799"/>
      <c r="K906" s="799"/>
      <c r="L906" s="885"/>
      <c r="M906" s="799"/>
      <c r="N906" s="799"/>
      <c r="O906" s="799"/>
      <c r="P906" s="799"/>
      <c r="Q906" s="799"/>
      <c r="R906" s="799"/>
      <c r="S906" s="799"/>
      <c r="T906" s="799"/>
      <c r="U906" s="799"/>
      <c r="V906" s="799"/>
      <c r="W906" s="799"/>
      <c r="X906" s="799"/>
      <c r="Y906" s="799"/>
      <c r="Z906" s="799"/>
    </row>
    <row r="907" ht="49.5" customHeight="1">
      <c r="A907" s="799"/>
      <c r="B907" s="799"/>
      <c r="C907" s="799"/>
      <c r="D907" s="799"/>
      <c r="E907" s="799"/>
      <c r="F907" s="799"/>
      <c r="G907" s="799"/>
      <c r="H907" s="799"/>
      <c r="I907" s="799"/>
      <c r="J907" s="799"/>
      <c r="K907" s="799"/>
      <c r="L907" s="885"/>
      <c r="M907" s="799"/>
      <c r="N907" s="799"/>
      <c r="O907" s="799"/>
      <c r="P907" s="799"/>
      <c r="Q907" s="799"/>
      <c r="R907" s="799"/>
      <c r="S907" s="799"/>
      <c r="T907" s="799"/>
      <c r="U907" s="799"/>
      <c r="V907" s="799"/>
      <c r="W907" s="799"/>
      <c r="X907" s="799"/>
      <c r="Y907" s="799"/>
      <c r="Z907" s="799"/>
    </row>
    <row r="908" ht="49.5" customHeight="1">
      <c r="A908" s="799"/>
      <c r="B908" s="799"/>
      <c r="C908" s="799"/>
      <c r="D908" s="799"/>
      <c r="E908" s="799"/>
      <c r="F908" s="799"/>
      <c r="G908" s="799"/>
      <c r="H908" s="799"/>
      <c r="I908" s="799"/>
      <c r="J908" s="799"/>
      <c r="K908" s="799"/>
      <c r="L908" s="885"/>
      <c r="M908" s="799"/>
      <c r="N908" s="799"/>
      <c r="O908" s="799"/>
      <c r="P908" s="799"/>
      <c r="Q908" s="799"/>
      <c r="R908" s="799"/>
      <c r="S908" s="799"/>
      <c r="T908" s="799"/>
      <c r="U908" s="799"/>
      <c r="V908" s="799"/>
      <c r="W908" s="799"/>
      <c r="X908" s="799"/>
      <c r="Y908" s="799"/>
      <c r="Z908" s="799"/>
    </row>
    <row r="909" ht="49.5" customHeight="1">
      <c r="A909" s="799"/>
      <c r="B909" s="799"/>
      <c r="C909" s="799"/>
      <c r="D909" s="799"/>
      <c r="E909" s="799"/>
      <c r="F909" s="799"/>
      <c r="G909" s="799"/>
      <c r="H909" s="799"/>
      <c r="I909" s="799"/>
      <c r="J909" s="799"/>
      <c r="K909" s="799"/>
      <c r="L909" s="885"/>
      <c r="M909" s="799"/>
      <c r="N909" s="799"/>
      <c r="O909" s="799"/>
      <c r="P909" s="799"/>
      <c r="Q909" s="799"/>
      <c r="R909" s="799"/>
      <c r="S909" s="799"/>
      <c r="T909" s="799"/>
      <c r="U909" s="799"/>
      <c r="V909" s="799"/>
      <c r="W909" s="799"/>
      <c r="X909" s="799"/>
      <c r="Y909" s="799"/>
      <c r="Z909" s="799"/>
    </row>
    <row r="910" ht="49.5" customHeight="1">
      <c r="A910" s="799"/>
      <c r="B910" s="799"/>
      <c r="C910" s="799"/>
      <c r="D910" s="799"/>
      <c r="E910" s="799"/>
      <c r="F910" s="799"/>
      <c r="G910" s="799"/>
      <c r="H910" s="799"/>
      <c r="I910" s="799"/>
      <c r="J910" s="799"/>
      <c r="K910" s="799"/>
      <c r="L910" s="885"/>
      <c r="M910" s="799"/>
      <c r="N910" s="799"/>
      <c r="O910" s="799"/>
      <c r="P910" s="799"/>
      <c r="Q910" s="799"/>
      <c r="R910" s="799"/>
      <c r="S910" s="799"/>
      <c r="T910" s="799"/>
      <c r="U910" s="799"/>
      <c r="V910" s="799"/>
      <c r="W910" s="799"/>
      <c r="X910" s="799"/>
      <c r="Y910" s="799"/>
      <c r="Z910" s="799"/>
    </row>
    <row r="911" ht="49.5" customHeight="1">
      <c r="A911" s="799"/>
      <c r="B911" s="799"/>
      <c r="C911" s="799"/>
      <c r="D911" s="799"/>
      <c r="E911" s="799"/>
      <c r="F911" s="799"/>
      <c r="G911" s="799"/>
      <c r="H911" s="799"/>
      <c r="I911" s="799"/>
      <c r="J911" s="799"/>
      <c r="K911" s="799"/>
      <c r="L911" s="885"/>
      <c r="M911" s="799"/>
      <c r="N911" s="799"/>
      <c r="O911" s="799"/>
      <c r="P911" s="799"/>
      <c r="Q911" s="799"/>
      <c r="R911" s="799"/>
      <c r="S911" s="799"/>
      <c r="T911" s="799"/>
      <c r="U911" s="799"/>
      <c r="V911" s="799"/>
      <c r="W911" s="799"/>
      <c r="X911" s="799"/>
      <c r="Y911" s="799"/>
      <c r="Z911" s="799"/>
    </row>
    <row r="912" ht="49.5" customHeight="1">
      <c r="A912" s="799"/>
      <c r="B912" s="799"/>
      <c r="C912" s="799"/>
      <c r="D912" s="799"/>
      <c r="E912" s="799"/>
      <c r="F912" s="799"/>
      <c r="G912" s="799"/>
      <c r="H912" s="799"/>
      <c r="I912" s="799"/>
      <c r="J912" s="799"/>
      <c r="K912" s="799"/>
      <c r="L912" s="885"/>
      <c r="M912" s="799"/>
      <c r="N912" s="799"/>
      <c r="O912" s="799"/>
      <c r="P912" s="799"/>
      <c r="Q912" s="799"/>
      <c r="R912" s="799"/>
      <c r="S912" s="799"/>
      <c r="T912" s="799"/>
      <c r="U912" s="799"/>
      <c r="V912" s="799"/>
      <c r="W912" s="799"/>
      <c r="X912" s="799"/>
      <c r="Y912" s="799"/>
      <c r="Z912" s="799"/>
    </row>
    <row r="913" ht="49.5" customHeight="1">
      <c r="A913" s="799"/>
      <c r="B913" s="799"/>
      <c r="C913" s="799"/>
      <c r="D913" s="799"/>
      <c r="E913" s="799"/>
      <c r="F913" s="799"/>
      <c r="G913" s="799"/>
      <c r="H913" s="799"/>
      <c r="I913" s="799"/>
      <c r="J913" s="799"/>
      <c r="K913" s="799"/>
      <c r="L913" s="885"/>
      <c r="M913" s="799"/>
      <c r="N913" s="799"/>
      <c r="O913" s="799"/>
      <c r="P913" s="799"/>
      <c r="Q913" s="799"/>
      <c r="R913" s="799"/>
      <c r="S913" s="799"/>
      <c r="T913" s="799"/>
      <c r="U913" s="799"/>
      <c r="V913" s="799"/>
      <c r="W913" s="799"/>
      <c r="X913" s="799"/>
      <c r="Y913" s="799"/>
      <c r="Z913" s="799"/>
    </row>
    <row r="914" ht="49.5" customHeight="1">
      <c r="A914" s="799"/>
      <c r="B914" s="799"/>
      <c r="C914" s="799"/>
      <c r="D914" s="799"/>
      <c r="E914" s="799"/>
      <c r="F914" s="799"/>
      <c r="G914" s="799"/>
      <c r="H914" s="799"/>
      <c r="I914" s="799"/>
      <c r="J914" s="799"/>
      <c r="K914" s="799"/>
      <c r="L914" s="885"/>
      <c r="M914" s="799"/>
      <c r="N914" s="799"/>
      <c r="O914" s="799"/>
      <c r="P914" s="799"/>
      <c r="Q914" s="799"/>
      <c r="R914" s="799"/>
      <c r="S914" s="799"/>
      <c r="T914" s="799"/>
      <c r="U914" s="799"/>
      <c r="V914" s="799"/>
      <c r="W914" s="799"/>
      <c r="X914" s="799"/>
      <c r="Y914" s="799"/>
      <c r="Z914" s="799"/>
    </row>
    <row r="915" ht="49.5" customHeight="1">
      <c r="A915" s="799"/>
      <c r="B915" s="799"/>
      <c r="C915" s="799"/>
      <c r="D915" s="799"/>
      <c r="E915" s="799"/>
      <c r="F915" s="799"/>
      <c r="G915" s="799"/>
      <c r="H915" s="799"/>
      <c r="I915" s="799"/>
      <c r="J915" s="799"/>
      <c r="K915" s="799"/>
      <c r="L915" s="885"/>
      <c r="M915" s="799"/>
      <c r="N915" s="799"/>
      <c r="O915" s="799"/>
      <c r="P915" s="799"/>
      <c r="Q915" s="799"/>
      <c r="R915" s="799"/>
      <c r="S915" s="799"/>
      <c r="T915" s="799"/>
      <c r="U915" s="799"/>
      <c r="V915" s="799"/>
      <c r="W915" s="799"/>
      <c r="X915" s="799"/>
      <c r="Y915" s="799"/>
      <c r="Z915" s="799"/>
    </row>
    <row r="916" ht="49.5" customHeight="1">
      <c r="A916" s="799"/>
      <c r="B916" s="799"/>
      <c r="C916" s="799"/>
      <c r="D916" s="799"/>
      <c r="E916" s="799"/>
      <c r="F916" s="799"/>
      <c r="G916" s="799"/>
      <c r="H916" s="799"/>
      <c r="I916" s="799"/>
      <c r="J916" s="799"/>
      <c r="K916" s="799"/>
      <c r="L916" s="885"/>
      <c r="M916" s="799"/>
      <c r="N916" s="799"/>
      <c r="O916" s="799"/>
      <c r="P916" s="799"/>
      <c r="Q916" s="799"/>
      <c r="R916" s="799"/>
      <c r="S916" s="799"/>
      <c r="T916" s="799"/>
      <c r="U916" s="799"/>
      <c r="V916" s="799"/>
      <c r="W916" s="799"/>
      <c r="X916" s="799"/>
      <c r="Y916" s="799"/>
      <c r="Z916" s="799"/>
    </row>
    <row r="917" ht="49.5" customHeight="1">
      <c r="A917" s="799"/>
      <c r="B917" s="799"/>
      <c r="C917" s="799"/>
      <c r="D917" s="799"/>
      <c r="E917" s="799"/>
      <c r="F917" s="799"/>
      <c r="G917" s="799"/>
      <c r="H917" s="799"/>
      <c r="I917" s="799"/>
      <c r="J917" s="799"/>
      <c r="K917" s="799"/>
      <c r="L917" s="885"/>
      <c r="M917" s="799"/>
      <c r="N917" s="799"/>
      <c r="O917" s="799"/>
      <c r="P917" s="799"/>
      <c r="Q917" s="799"/>
      <c r="R917" s="799"/>
      <c r="S917" s="799"/>
      <c r="T917" s="799"/>
      <c r="U917" s="799"/>
      <c r="V917" s="799"/>
      <c r="W917" s="799"/>
      <c r="X917" s="799"/>
      <c r="Y917" s="799"/>
      <c r="Z917" s="799"/>
    </row>
    <row r="918" ht="49.5" customHeight="1">
      <c r="A918" s="799"/>
      <c r="B918" s="799"/>
      <c r="C918" s="799"/>
      <c r="D918" s="799"/>
      <c r="E918" s="799"/>
      <c r="F918" s="799"/>
      <c r="G918" s="799"/>
      <c r="H918" s="799"/>
      <c r="I918" s="799"/>
      <c r="J918" s="799"/>
      <c r="K918" s="799"/>
      <c r="L918" s="885"/>
      <c r="M918" s="799"/>
      <c r="N918" s="799"/>
      <c r="O918" s="799"/>
      <c r="P918" s="799"/>
      <c r="Q918" s="799"/>
      <c r="R918" s="799"/>
      <c r="S918" s="799"/>
      <c r="T918" s="799"/>
      <c r="U918" s="799"/>
      <c r="V918" s="799"/>
      <c r="W918" s="799"/>
      <c r="X918" s="799"/>
      <c r="Y918" s="799"/>
      <c r="Z918" s="799"/>
    </row>
    <row r="919" ht="49.5" customHeight="1">
      <c r="A919" s="799"/>
      <c r="B919" s="799"/>
      <c r="C919" s="799"/>
      <c r="D919" s="799"/>
      <c r="E919" s="799"/>
      <c r="F919" s="799"/>
      <c r="G919" s="799"/>
      <c r="H919" s="799"/>
      <c r="I919" s="799"/>
      <c r="J919" s="799"/>
      <c r="K919" s="799"/>
      <c r="L919" s="885"/>
      <c r="M919" s="799"/>
      <c r="N919" s="799"/>
      <c r="O919" s="799"/>
      <c r="P919" s="799"/>
      <c r="Q919" s="799"/>
      <c r="R919" s="799"/>
      <c r="S919" s="799"/>
      <c r="T919" s="799"/>
      <c r="U919" s="799"/>
      <c r="V919" s="799"/>
      <c r="W919" s="799"/>
      <c r="X919" s="799"/>
      <c r="Y919" s="799"/>
      <c r="Z919" s="799"/>
    </row>
    <row r="920" ht="49.5" customHeight="1">
      <c r="A920" s="799"/>
      <c r="B920" s="799"/>
      <c r="C920" s="799"/>
      <c r="D920" s="799"/>
      <c r="E920" s="799"/>
      <c r="F920" s="799"/>
      <c r="G920" s="799"/>
      <c r="H920" s="799"/>
      <c r="I920" s="799"/>
      <c r="J920" s="799"/>
      <c r="K920" s="799"/>
      <c r="L920" s="885"/>
      <c r="M920" s="799"/>
      <c r="N920" s="799"/>
      <c r="O920" s="799"/>
      <c r="P920" s="799"/>
      <c r="Q920" s="799"/>
      <c r="R920" s="799"/>
      <c r="S920" s="799"/>
      <c r="T920" s="799"/>
      <c r="U920" s="799"/>
      <c r="V920" s="799"/>
      <c r="W920" s="799"/>
      <c r="X920" s="799"/>
      <c r="Y920" s="799"/>
      <c r="Z920" s="799"/>
    </row>
    <row r="921" ht="49.5" customHeight="1">
      <c r="A921" s="799"/>
      <c r="B921" s="799"/>
      <c r="C921" s="799"/>
      <c r="D921" s="799"/>
      <c r="E921" s="799"/>
      <c r="F921" s="799"/>
      <c r="G921" s="799"/>
      <c r="H921" s="799"/>
      <c r="I921" s="799"/>
      <c r="J921" s="799"/>
      <c r="K921" s="799"/>
      <c r="L921" s="885"/>
      <c r="M921" s="799"/>
      <c r="N921" s="799"/>
      <c r="O921" s="799"/>
      <c r="P921" s="799"/>
      <c r="Q921" s="799"/>
      <c r="R921" s="799"/>
      <c r="S921" s="799"/>
      <c r="T921" s="799"/>
      <c r="U921" s="799"/>
      <c r="V921" s="799"/>
      <c r="W921" s="799"/>
      <c r="X921" s="799"/>
      <c r="Y921" s="799"/>
      <c r="Z921" s="799"/>
    </row>
    <row r="922" ht="49.5" customHeight="1">
      <c r="A922" s="799"/>
      <c r="B922" s="799"/>
      <c r="C922" s="799"/>
      <c r="D922" s="799"/>
      <c r="E922" s="799"/>
      <c r="F922" s="799"/>
      <c r="G922" s="799"/>
      <c r="H922" s="799"/>
      <c r="I922" s="799"/>
      <c r="J922" s="799"/>
      <c r="K922" s="799"/>
      <c r="L922" s="885"/>
      <c r="M922" s="799"/>
      <c r="N922" s="799"/>
      <c r="O922" s="799"/>
      <c r="P922" s="799"/>
      <c r="Q922" s="799"/>
      <c r="R922" s="799"/>
      <c r="S922" s="799"/>
      <c r="T922" s="799"/>
      <c r="U922" s="799"/>
      <c r="V922" s="799"/>
      <c r="W922" s="799"/>
      <c r="X922" s="799"/>
      <c r="Y922" s="799"/>
      <c r="Z922" s="799"/>
    </row>
    <row r="923" ht="49.5" customHeight="1">
      <c r="A923" s="799"/>
      <c r="B923" s="799"/>
      <c r="C923" s="799"/>
      <c r="D923" s="799"/>
      <c r="E923" s="799"/>
      <c r="F923" s="799"/>
      <c r="G923" s="799"/>
      <c r="H923" s="799"/>
      <c r="I923" s="799"/>
      <c r="J923" s="799"/>
      <c r="K923" s="799"/>
      <c r="L923" s="885"/>
      <c r="M923" s="799"/>
      <c r="N923" s="799"/>
      <c r="O923" s="799"/>
      <c r="P923" s="799"/>
      <c r="Q923" s="799"/>
      <c r="R923" s="799"/>
      <c r="S923" s="799"/>
      <c r="T923" s="799"/>
      <c r="U923" s="799"/>
      <c r="V923" s="799"/>
      <c r="W923" s="799"/>
      <c r="X923" s="799"/>
      <c r="Y923" s="799"/>
      <c r="Z923" s="799"/>
    </row>
    <row r="924" ht="49.5" customHeight="1">
      <c r="A924" s="799"/>
      <c r="B924" s="799"/>
      <c r="C924" s="799"/>
      <c r="D924" s="799"/>
      <c r="E924" s="799"/>
      <c r="F924" s="799"/>
      <c r="G924" s="799"/>
      <c r="H924" s="799"/>
      <c r="I924" s="799"/>
      <c r="J924" s="799"/>
      <c r="K924" s="799"/>
      <c r="L924" s="885"/>
      <c r="M924" s="799"/>
      <c r="N924" s="799"/>
      <c r="O924" s="799"/>
      <c r="P924" s="799"/>
      <c r="Q924" s="799"/>
      <c r="R924" s="799"/>
      <c r="S924" s="799"/>
      <c r="T924" s="799"/>
      <c r="U924" s="799"/>
      <c r="V924" s="799"/>
      <c r="W924" s="799"/>
      <c r="X924" s="799"/>
      <c r="Y924" s="799"/>
      <c r="Z924" s="799"/>
    </row>
    <row r="925" ht="49.5" customHeight="1">
      <c r="A925" s="799"/>
      <c r="B925" s="799"/>
      <c r="C925" s="799"/>
      <c r="D925" s="799"/>
      <c r="E925" s="799"/>
      <c r="F925" s="799"/>
      <c r="G925" s="799"/>
      <c r="H925" s="799"/>
      <c r="I925" s="799"/>
      <c r="J925" s="799"/>
      <c r="K925" s="799"/>
      <c r="L925" s="885"/>
      <c r="M925" s="799"/>
      <c r="N925" s="799"/>
      <c r="O925" s="799"/>
      <c r="P925" s="799"/>
      <c r="Q925" s="799"/>
      <c r="R925" s="799"/>
      <c r="S925" s="799"/>
      <c r="T925" s="799"/>
      <c r="U925" s="799"/>
      <c r="V925" s="799"/>
      <c r="W925" s="799"/>
      <c r="X925" s="799"/>
      <c r="Y925" s="799"/>
      <c r="Z925" s="799"/>
    </row>
    <row r="926" ht="49.5" customHeight="1">
      <c r="A926" s="799"/>
      <c r="B926" s="799"/>
      <c r="C926" s="799"/>
      <c r="D926" s="799"/>
      <c r="E926" s="799"/>
      <c r="F926" s="799"/>
      <c r="G926" s="799"/>
      <c r="H926" s="799"/>
      <c r="I926" s="799"/>
      <c r="J926" s="799"/>
      <c r="K926" s="799"/>
      <c r="L926" s="885"/>
      <c r="M926" s="799"/>
      <c r="N926" s="799"/>
      <c r="O926" s="799"/>
      <c r="P926" s="799"/>
      <c r="Q926" s="799"/>
      <c r="R926" s="799"/>
      <c r="S926" s="799"/>
      <c r="T926" s="799"/>
      <c r="U926" s="799"/>
      <c r="V926" s="799"/>
      <c r="W926" s="799"/>
      <c r="X926" s="799"/>
      <c r="Y926" s="799"/>
      <c r="Z926" s="799"/>
    </row>
    <row r="927" ht="49.5" customHeight="1">
      <c r="A927" s="799"/>
      <c r="B927" s="799"/>
      <c r="C927" s="799"/>
      <c r="D927" s="799"/>
      <c r="E927" s="799"/>
      <c r="F927" s="799"/>
      <c r="G927" s="799"/>
      <c r="H927" s="799"/>
      <c r="I927" s="799"/>
      <c r="J927" s="799"/>
      <c r="K927" s="799"/>
      <c r="L927" s="885"/>
      <c r="M927" s="799"/>
      <c r="N927" s="799"/>
      <c r="O927" s="799"/>
      <c r="P927" s="799"/>
      <c r="Q927" s="799"/>
      <c r="R927" s="799"/>
      <c r="S927" s="799"/>
      <c r="T927" s="799"/>
      <c r="U927" s="799"/>
      <c r="V927" s="799"/>
      <c r="W927" s="799"/>
      <c r="X927" s="799"/>
      <c r="Y927" s="799"/>
      <c r="Z927" s="799"/>
    </row>
    <row r="928" ht="49.5" customHeight="1">
      <c r="A928" s="799"/>
      <c r="B928" s="799"/>
      <c r="C928" s="799"/>
      <c r="D928" s="799"/>
      <c r="E928" s="799"/>
      <c r="F928" s="799"/>
      <c r="G928" s="799"/>
      <c r="H928" s="799"/>
      <c r="I928" s="799"/>
      <c r="J928" s="799"/>
      <c r="K928" s="799"/>
      <c r="L928" s="885"/>
      <c r="M928" s="799"/>
      <c r="N928" s="799"/>
      <c r="O928" s="799"/>
      <c r="P928" s="799"/>
      <c r="Q928" s="799"/>
      <c r="R928" s="799"/>
      <c r="S928" s="799"/>
      <c r="T928" s="799"/>
      <c r="U928" s="799"/>
      <c r="V928" s="799"/>
      <c r="W928" s="799"/>
      <c r="X928" s="799"/>
      <c r="Y928" s="799"/>
      <c r="Z928" s="799"/>
    </row>
    <row r="929" ht="49.5" customHeight="1">
      <c r="A929" s="799"/>
      <c r="B929" s="799"/>
      <c r="C929" s="799"/>
      <c r="D929" s="799"/>
      <c r="E929" s="799"/>
      <c r="F929" s="799"/>
      <c r="G929" s="799"/>
      <c r="H929" s="799"/>
      <c r="I929" s="799"/>
      <c r="J929" s="799"/>
      <c r="K929" s="799"/>
      <c r="L929" s="885"/>
      <c r="M929" s="799"/>
      <c r="N929" s="799"/>
      <c r="O929" s="799"/>
      <c r="P929" s="799"/>
      <c r="Q929" s="799"/>
      <c r="R929" s="799"/>
      <c r="S929" s="799"/>
      <c r="T929" s="799"/>
      <c r="U929" s="799"/>
      <c r="V929" s="799"/>
      <c r="W929" s="799"/>
      <c r="X929" s="799"/>
      <c r="Y929" s="799"/>
      <c r="Z929" s="799"/>
    </row>
    <row r="930" ht="49.5" customHeight="1">
      <c r="A930" s="799"/>
      <c r="B930" s="799"/>
      <c r="C930" s="799"/>
      <c r="D930" s="799"/>
      <c r="E930" s="799"/>
      <c r="F930" s="799"/>
      <c r="G930" s="799"/>
      <c r="H930" s="799"/>
      <c r="I930" s="799"/>
      <c r="J930" s="799"/>
      <c r="K930" s="799"/>
      <c r="L930" s="885"/>
      <c r="M930" s="799"/>
      <c r="N930" s="799"/>
      <c r="O930" s="799"/>
      <c r="P930" s="799"/>
      <c r="Q930" s="799"/>
      <c r="R930" s="799"/>
      <c r="S930" s="799"/>
      <c r="T930" s="799"/>
      <c r="U930" s="799"/>
      <c r="V930" s="799"/>
      <c r="W930" s="799"/>
      <c r="X930" s="799"/>
      <c r="Y930" s="799"/>
      <c r="Z930" s="799"/>
    </row>
    <row r="931" ht="49.5" customHeight="1">
      <c r="A931" s="799"/>
      <c r="B931" s="799"/>
      <c r="C931" s="799"/>
      <c r="D931" s="799"/>
      <c r="E931" s="799"/>
      <c r="F931" s="799"/>
      <c r="G931" s="799"/>
      <c r="H931" s="799"/>
      <c r="I931" s="799"/>
      <c r="J931" s="799"/>
      <c r="K931" s="799"/>
      <c r="L931" s="885"/>
      <c r="M931" s="799"/>
      <c r="N931" s="799"/>
      <c r="O931" s="799"/>
      <c r="P931" s="799"/>
      <c r="Q931" s="799"/>
      <c r="R931" s="799"/>
      <c r="S931" s="799"/>
      <c r="T931" s="799"/>
      <c r="U931" s="799"/>
      <c r="V931" s="799"/>
      <c r="W931" s="799"/>
      <c r="X931" s="799"/>
      <c r="Y931" s="799"/>
      <c r="Z931" s="799"/>
    </row>
    <row r="932" ht="49.5" customHeight="1">
      <c r="A932" s="799"/>
      <c r="B932" s="799"/>
      <c r="C932" s="799"/>
      <c r="D932" s="799"/>
      <c r="E932" s="799"/>
      <c r="F932" s="799"/>
      <c r="G932" s="799"/>
      <c r="H932" s="799"/>
      <c r="I932" s="799"/>
      <c r="J932" s="799"/>
      <c r="K932" s="799"/>
      <c r="L932" s="885"/>
      <c r="M932" s="799"/>
      <c r="N932" s="799"/>
      <c r="O932" s="799"/>
      <c r="P932" s="799"/>
      <c r="Q932" s="799"/>
      <c r="R932" s="799"/>
      <c r="S932" s="799"/>
      <c r="T932" s="799"/>
      <c r="U932" s="799"/>
      <c r="V932" s="799"/>
      <c r="W932" s="799"/>
      <c r="X932" s="799"/>
      <c r="Y932" s="799"/>
      <c r="Z932" s="799"/>
    </row>
    <row r="933" ht="49.5" customHeight="1">
      <c r="A933" s="799"/>
      <c r="B933" s="799"/>
      <c r="C933" s="799"/>
      <c r="D933" s="799"/>
      <c r="E933" s="799"/>
      <c r="F933" s="799"/>
      <c r="G933" s="799"/>
      <c r="H933" s="799"/>
      <c r="I933" s="799"/>
      <c r="J933" s="799"/>
      <c r="K933" s="799"/>
      <c r="L933" s="885"/>
      <c r="M933" s="799"/>
      <c r="N933" s="799"/>
      <c r="O933" s="799"/>
      <c r="P933" s="799"/>
      <c r="Q933" s="799"/>
      <c r="R933" s="799"/>
      <c r="S933" s="799"/>
      <c r="T933" s="799"/>
      <c r="U933" s="799"/>
      <c r="V933" s="799"/>
      <c r="W933" s="799"/>
      <c r="X933" s="799"/>
      <c r="Y933" s="799"/>
      <c r="Z933" s="799"/>
    </row>
    <row r="934" ht="49.5" customHeight="1">
      <c r="A934" s="799"/>
      <c r="B934" s="799"/>
      <c r="C934" s="799"/>
      <c r="D934" s="799"/>
      <c r="E934" s="799"/>
      <c r="F934" s="799"/>
      <c r="G934" s="799"/>
      <c r="H934" s="799"/>
      <c r="I934" s="799"/>
      <c r="J934" s="799"/>
      <c r="K934" s="799"/>
      <c r="L934" s="885"/>
      <c r="M934" s="799"/>
      <c r="N934" s="799"/>
      <c r="O934" s="799"/>
      <c r="P934" s="799"/>
      <c r="Q934" s="799"/>
      <c r="R934" s="799"/>
      <c r="S934" s="799"/>
      <c r="T934" s="799"/>
      <c r="U934" s="799"/>
      <c r="V934" s="799"/>
      <c r="W934" s="799"/>
      <c r="X934" s="799"/>
      <c r="Y934" s="799"/>
      <c r="Z934" s="799"/>
    </row>
    <row r="935" ht="49.5" customHeight="1">
      <c r="A935" s="799"/>
      <c r="B935" s="799"/>
      <c r="C935" s="799"/>
      <c r="D935" s="799"/>
      <c r="E935" s="799"/>
      <c r="F935" s="799"/>
      <c r="G935" s="799"/>
      <c r="H935" s="799"/>
      <c r="I935" s="799"/>
      <c r="J935" s="799"/>
      <c r="K935" s="799"/>
      <c r="L935" s="885"/>
      <c r="M935" s="799"/>
      <c r="N935" s="799"/>
      <c r="O935" s="799"/>
      <c r="P935" s="799"/>
      <c r="Q935" s="799"/>
      <c r="R935" s="799"/>
      <c r="S935" s="799"/>
      <c r="T935" s="799"/>
      <c r="U935" s="799"/>
      <c r="V935" s="799"/>
      <c r="W935" s="799"/>
      <c r="X935" s="799"/>
      <c r="Y935" s="799"/>
      <c r="Z935" s="799"/>
    </row>
    <row r="936" ht="49.5" customHeight="1">
      <c r="A936" s="799"/>
      <c r="B936" s="799"/>
      <c r="C936" s="799"/>
      <c r="D936" s="799"/>
      <c r="E936" s="799"/>
      <c r="F936" s="799"/>
      <c r="G936" s="799"/>
      <c r="H936" s="799"/>
      <c r="I936" s="799"/>
      <c r="J936" s="799"/>
      <c r="K936" s="799"/>
      <c r="L936" s="885"/>
      <c r="M936" s="799"/>
      <c r="N936" s="799"/>
      <c r="O936" s="799"/>
      <c r="P936" s="799"/>
      <c r="Q936" s="799"/>
      <c r="R936" s="799"/>
      <c r="S936" s="799"/>
      <c r="T936" s="799"/>
      <c r="U936" s="799"/>
      <c r="V936" s="799"/>
      <c r="W936" s="799"/>
      <c r="X936" s="799"/>
      <c r="Y936" s="799"/>
      <c r="Z936" s="799"/>
    </row>
    <row r="937" ht="49.5" customHeight="1">
      <c r="A937" s="799"/>
      <c r="B937" s="799"/>
      <c r="C937" s="799"/>
      <c r="D937" s="799"/>
      <c r="E937" s="799"/>
      <c r="F937" s="799"/>
      <c r="G937" s="799"/>
      <c r="H937" s="799"/>
      <c r="I937" s="799"/>
      <c r="J937" s="799"/>
      <c r="K937" s="799"/>
      <c r="L937" s="885"/>
      <c r="M937" s="799"/>
      <c r="N937" s="799"/>
      <c r="O937" s="799"/>
      <c r="P937" s="799"/>
      <c r="Q937" s="799"/>
      <c r="R937" s="799"/>
      <c r="S937" s="799"/>
      <c r="T937" s="799"/>
      <c r="U937" s="799"/>
      <c r="V937" s="799"/>
      <c r="W937" s="799"/>
      <c r="X937" s="799"/>
      <c r="Y937" s="799"/>
      <c r="Z937" s="799"/>
    </row>
    <row r="938" ht="49.5" customHeight="1">
      <c r="A938" s="799"/>
      <c r="B938" s="799"/>
      <c r="C938" s="799"/>
      <c r="D938" s="799"/>
      <c r="E938" s="799"/>
      <c r="F938" s="799"/>
      <c r="G938" s="799"/>
      <c r="H938" s="799"/>
      <c r="I938" s="799"/>
      <c r="J938" s="799"/>
      <c r="K938" s="799"/>
      <c r="L938" s="885"/>
      <c r="M938" s="799"/>
      <c r="N938" s="799"/>
      <c r="O938" s="799"/>
      <c r="P938" s="799"/>
      <c r="Q938" s="799"/>
      <c r="R938" s="799"/>
      <c r="S938" s="799"/>
      <c r="T938" s="799"/>
      <c r="U938" s="799"/>
      <c r="V938" s="799"/>
      <c r="W938" s="799"/>
      <c r="X938" s="799"/>
      <c r="Y938" s="799"/>
      <c r="Z938" s="799"/>
    </row>
    <row r="939" ht="49.5" customHeight="1">
      <c r="A939" s="799"/>
      <c r="B939" s="799"/>
      <c r="C939" s="799"/>
      <c r="D939" s="799"/>
      <c r="E939" s="799"/>
      <c r="F939" s="799"/>
      <c r="G939" s="799"/>
      <c r="H939" s="799"/>
      <c r="I939" s="799"/>
      <c r="J939" s="799"/>
      <c r="K939" s="799"/>
      <c r="L939" s="885"/>
      <c r="M939" s="799"/>
      <c r="N939" s="799"/>
      <c r="O939" s="799"/>
      <c r="P939" s="799"/>
      <c r="Q939" s="799"/>
      <c r="R939" s="799"/>
      <c r="S939" s="799"/>
      <c r="T939" s="799"/>
      <c r="U939" s="799"/>
      <c r="V939" s="799"/>
      <c r="W939" s="799"/>
      <c r="X939" s="799"/>
      <c r="Y939" s="799"/>
      <c r="Z939" s="799"/>
    </row>
    <row r="940" ht="49.5" customHeight="1">
      <c r="A940" s="799"/>
      <c r="B940" s="799"/>
      <c r="C940" s="799"/>
      <c r="D940" s="799"/>
      <c r="E940" s="799"/>
      <c r="F940" s="799"/>
      <c r="G940" s="799"/>
      <c r="H940" s="799"/>
      <c r="I940" s="799"/>
      <c r="J940" s="799"/>
      <c r="K940" s="799"/>
      <c r="L940" s="885"/>
      <c r="M940" s="799"/>
      <c r="N940" s="799"/>
      <c r="O940" s="799"/>
      <c r="P940" s="799"/>
      <c r="Q940" s="799"/>
      <c r="R940" s="799"/>
      <c r="S940" s="799"/>
      <c r="T940" s="799"/>
      <c r="U940" s="799"/>
      <c r="V940" s="799"/>
      <c r="W940" s="799"/>
      <c r="X940" s="799"/>
      <c r="Y940" s="799"/>
      <c r="Z940" s="799"/>
    </row>
    <row r="941" ht="49.5" customHeight="1">
      <c r="A941" s="799"/>
      <c r="B941" s="799"/>
      <c r="C941" s="799"/>
      <c r="D941" s="799"/>
      <c r="E941" s="799"/>
      <c r="F941" s="799"/>
      <c r="G941" s="799"/>
      <c r="H941" s="799"/>
      <c r="I941" s="799"/>
      <c r="J941" s="799"/>
      <c r="K941" s="799"/>
      <c r="L941" s="885"/>
      <c r="M941" s="799"/>
      <c r="N941" s="799"/>
      <c r="O941" s="799"/>
      <c r="P941" s="799"/>
      <c r="Q941" s="799"/>
      <c r="R941" s="799"/>
      <c r="S941" s="799"/>
      <c r="T941" s="799"/>
      <c r="U941" s="799"/>
      <c r="V941" s="799"/>
      <c r="W941" s="799"/>
      <c r="X941" s="799"/>
      <c r="Y941" s="799"/>
      <c r="Z941" s="799"/>
    </row>
    <row r="942" ht="49.5" customHeight="1">
      <c r="A942" s="799"/>
      <c r="B942" s="799"/>
      <c r="C942" s="799"/>
      <c r="D942" s="799"/>
      <c r="E942" s="799"/>
      <c r="F942" s="799"/>
      <c r="G942" s="799"/>
      <c r="H942" s="799"/>
      <c r="I942" s="799"/>
      <c r="J942" s="799"/>
      <c r="K942" s="799"/>
      <c r="L942" s="885"/>
      <c r="M942" s="799"/>
      <c r="N942" s="799"/>
      <c r="O942" s="799"/>
      <c r="P942" s="799"/>
      <c r="Q942" s="799"/>
      <c r="R942" s="799"/>
      <c r="S942" s="799"/>
      <c r="T942" s="799"/>
      <c r="U942" s="799"/>
      <c r="V942" s="799"/>
      <c r="W942" s="799"/>
      <c r="X942" s="799"/>
      <c r="Y942" s="799"/>
      <c r="Z942" s="799"/>
    </row>
    <row r="943" ht="49.5" customHeight="1">
      <c r="A943" s="799"/>
      <c r="B943" s="799"/>
      <c r="C943" s="799"/>
      <c r="D943" s="799"/>
      <c r="E943" s="799"/>
      <c r="F943" s="799"/>
      <c r="G943" s="799"/>
      <c r="H943" s="799"/>
      <c r="I943" s="799"/>
      <c r="J943" s="799"/>
      <c r="K943" s="799"/>
      <c r="L943" s="885"/>
      <c r="M943" s="799"/>
      <c r="N943" s="799"/>
      <c r="O943" s="799"/>
      <c r="P943" s="799"/>
      <c r="Q943" s="799"/>
      <c r="R943" s="799"/>
      <c r="S943" s="799"/>
      <c r="T943" s="799"/>
      <c r="U943" s="799"/>
      <c r="V943" s="799"/>
      <c r="W943" s="799"/>
      <c r="X943" s="799"/>
      <c r="Y943" s="799"/>
      <c r="Z943" s="799"/>
    </row>
    <row r="944" ht="49.5" customHeight="1">
      <c r="A944" s="799"/>
      <c r="B944" s="799"/>
      <c r="C944" s="799"/>
      <c r="D944" s="799"/>
      <c r="E944" s="799"/>
      <c r="F944" s="799"/>
      <c r="G944" s="799"/>
      <c r="H944" s="799"/>
      <c r="I944" s="799"/>
      <c r="J944" s="799"/>
      <c r="K944" s="799"/>
      <c r="L944" s="885"/>
      <c r="M944" s="799"/>
      <c r="N944" s="799"/>
      <c r="O944" s="799"/>
      <c r="P944" s="799"/>
      <c r="Q944" s="799"/>
      <c r="R944" s="799"/>
      <c r="S944" s="799"/>
      <c r="T944" s="799"/>
      <c r="U944" s="799"/>
      <c r="V944" s="799"/>
      <c r="W944" s="799"/>
      <c r="X944" s="799"/>
      <c r="Y944" s="799"/>
      <c r="Z944" s="799"/>
    </row>
    <row r="945" ht="49.5" customHeight="1">
      <c r="A945" s="799"/>
      <c r="B945" s="799"/>
      <c r="C945" s="799"/>
      <c r="D945" s="799"/>
      <c r="E945" s="799"/>
      <c r="F945" s="799"/>
      <c r="G945" s="799"/>
      <c r="H945" s="799"/>
      <c r="I945" s="799"/>
      <c r="J945" s="799"/>
      <c r="K945" s="799"/>
      <c r="L945" s="885"/>
      <c r="M945" s="799"/>
      <c r="N945" s="799"/>
      <c r="O945" s="799"/>
      <c r="P945" s="799"/>
      <c r="Q945" s="799"/>
      <c r="R945" s="799"/>
      <c r="S945" s="799"/>
      <c r="T945" s="799"/>
      <c r="U945" s="799"/>
      <c r="V945" s="799"/>
      <c r="W945" s="799"/>
      <c r="X945" s="799"/>
      <c r="Y945" s="799"/>
      <c r="Z945" s="799"/>
    </row>
    <row r="946" ht="49.5" customHeight="1">
      <c r="A946" s="799"/>
      <c r="B946" s="799"/>
      <c r="C946" s="799"/>
      <c r="D946" s="799"/>
      <c r="E946" s="799"/>
      <c r="F946" s="799"/>
      <c r="G946" s="799"/>
      <c r="H946" s="799"/>
      <c r="I946" s="799"/>
      <c r="J946" s="799"/>
      <c r="K946" s="799"/>
      <c r="L946" s="885"/>
      <c r="M946" s="799"/>
      <c r="N946" s="799"/>
      <c r="O946" s="799"/>
      <c r="P946" s="799"/>
      <c r="Q946" s="799"/>
      <c r="R946" s="799"/>
      <c r="S946" s="799"/>
      <c r="T946" s="799"/>
      <c r="U946" s="799"/>
      <c r="V946" s="799"/>
      <c r="W946" s="799"/>
      <c r="X946" s="799"/>
      <c r="Y946" s="799"/>
      <c r="Z946" s="799"/>
    </row>
    <row r="947" ht="49.5" customHeight="1">
      <c r="A947" s="799"/>
      <c r="B947" s="799"/>
      <c r="C947" s="799"/>
      <c r="D947" s="799"/>
      <c r="E947" s="799"/>
      <c r="F947" s="799"/>
      <c r="G947" s="799"/>
      <c r="H947" s="799"/>
      <c r="I947" s="799"/>
      <c r="J947" s="799"/>
      <c r="K947" s="799"/>
      <c r="L947" s="885"/>
      <c r="M947" s="799"/>
      <c r="N947" s="799"/>
      <c r="O947" s="799"/>
      <c r="P947" s="799"/>
      <c r="Q947" s="799"/>
      <c r="R947" s="799"/>
      <c r="S947" s="799"/>
      <c r="T947" s="799"/>
      <c r="U947" s="799"/>
      <c r="V947" s="799"/>
      <c r="W947" s="799"/>
      <c r="X947" s="799"/>
      <c r="Y947" s="799"/>
      <c r="Z947" s="799"/>
    </row>
    <row r="948" ht="49.5" customHeight="1">
      <c r="A948" s="799"/>
      <c r="B948" s="799"/>
      <c r="C948" s="799"/>
      <c r="D948" s="799"/>
      <c r="E948" s="799"/>
      <c r="F948" s="799"/>
      <c r="G948" s="799"/>
      <c r="H948" s="799"/>
      <c r="I948" s="799"/>
      <c r="J948" s="799"/>
      <c r="K948" s="799"/>
      <c r="L948" s="885"/>
      <c r="M948" s="799"/>
      <c r="N948" s="799"/>
      <c r="O948" s="799"/>
      <c r="P948" s="799"/>
      <c r="Q948" s="799"/>
      <c r="R948" s="799"/>
      <c r="S948" s="799"/>
      <c r="T948" s="799"/>
      <c r="U948" s="799"/>
      <c r="V948" s="799"/>
      <c r="W948" s="799"/>
      <c r="X948" s="799"/>
      <c r="Y948" s="799"/>
      <c r="Z948" s="799"/>
    </row>
    <row r="949" ht="49.5" customHeight="1">
      <c r="A949" s="799"/>
      <c r="B949" s="799"/>
      <c r="C949" s="799"/>
      <c r="D949" s="799"/>
      <c r="E949" s="799"/>
      <c r="F949" s="799"/>
      <c r="G949" s="799"/>
      <c r="H949" s="799"/>
      <c r="I949" s="799"/>
      <c r="J949" s="799"/>
      <c r="K949" s="799"/>
      <c r="L949" s="885"/>
      <c r="M949" s="799"/>
      <c r="N949" s="799"/>
      <c r="O949" s="799"/>
      <c r="P949" s="799"/>
      <c r="Q949" s="799"/>
      <c r="R949" s="799"/>
      <c r="S949" s="799"/>
      <c r="T949" s="799"/>
      <c r="U949" s="799"/>
      <c r="V949" s="799"/>
      <c r="W949" s="799"/>
      <c r="X949" s="799"/>
      <c r="Y949" s="799"/>
      <c r="Z949" s="799"/>
    </row>
    <row r="950" ht="49.5" customHeight="1">
      <c r="A950" s="799"/>
      <c r="B950" s="799"/>
      <c r="C950" s="799"/>
      <c r="D950" s="799"/>
      <c r="E950" s="799"/>
      <c r="F950" s="799"/>
      <c r="G950" s="799"/>
      <c r="H950" s="799"/>
      <c r="I950" s="799"/>
      <c r="J950" s="799"/>
      <c r="K950" s="799"/>
      <c r="L950" s="885"/>
      <c r="M950" s="799"/>
      <c r="N950" s="799"/>
      <c r="O950" s="799"/>
      <c r="P950" s="799"/>
      <c r="Q950" s="799"/>
      <c r="R950" s="799"/>
      <c r="S950" s="799"/>
      <c r="T950" s="799"/>
      <c r="U950" s="799"/>
      <c r="V950" s="799"/>
      <c r="W950" s="799"/>
      <c r="X950" s="799"/>
      <c r="Y950" s="799"/>
      <c r="Z950" s="799"/>
    </row>
    <row r="951" ht="49.5" customHeight="1">
      <c r="A951" s="799"/>
      <c r="B951" s="799"/>
      <c r="C951" s="799"/>
      <c r="D951" s="799"/>
      <c r="E951" s="799"/>
      <c r="F951" s="799"/>
      <c r="G951" s="799"/>
      <c r="H951" s="799"/>
      <c r="I951" s="799"/>
      <c r="J951" s="799"/>
      <c r="K951" s="799"/>
      <c r="L951" s="885"/>
      <c r="M951" s="799"/>
      <c r="N951" s="799"/>
      <c r="O951" s="799"/>
      <c r="P951" s="799"/>
      <c r="Q951" s="799"/>
      <c r="R951" s="799"/>
      <c r="S951" s="799"/>
      <c r="T951" s="799"/>
      <c r="U951" s="799"/>
      <c r="V951" s="799"/>
      <c r="W951" s="799"/>
      <c r="X951" s="799"/>
      <c r="Y951" s="799"/>
      <c r="Z951" s="799"/>
    </row>
    <row r="952" ht="49.5" customHeight="1">
      <c r="A952" s="799"/>
      <c r="B952" s="799"/>
      <c r="C952" s="799"/>
      <c r="D952" s="799"/>
      <c r="E952" s="799"/>
      <c r="F952" s="799"/>
      <c r="G952" s="799"/>
      <c r="H952" s="799"/>
      <c r="I952" s="799"/>
      <c r="J952" s="799"/>
      <c r="K952" s="799"/>
      <c r="L952" s="885"/>
      <c r="M952" s="799"/>
      <c r="N952" s="799"/>
      <c r="O952" s="799"/>
      <c r="P952" s="799"/>
      <c r="Q952" s="799"/>
      <c r="R952" s="799"/>
      <c r="S952" s="799"/>
      <c r="T952" s="799"/>
      <c r="U952" s="799"/>
      <c r="V952" s="799"/>
      <c r="W952" s="799"/>
      <c r="X952" s="799"/>
      <c r="Y952" s="799"/>
      <c r="Z952" s="799"/>
    </row>
    <row r="953" ht="49.5" customHeight="1">
      <c r="A953" s="799"/>
      <c r="B953" s="799"/>
      <c r="C953" s="799"/>
      <c r="D953" s="799"/>
      <c r="E953" s="799"/>
      <c r="F953" s="799"/>
      <c r="G953" s="799"/>
      <c r="H953" s="799"/>
      <c r="I953" s="799"/>
      <c r="J953" s="799"/>
      <c r="K953" s="799"/>
      <c r="L953" s="885"/>
      <c r="M953" s="799"/>
      <c r="N953" s="799"/>
      <c r="O953" s="799"/>
      <c r="P953" s="799"/>
      <c r="Q953" s="799"/>
      <c r="R953" s="799"/>
      <c r="S953" s="799"/>
      <c r="T953" s="799"/>
      <c r="U953" s="799"/>
      <c r="V953" s="799"/>
      <c r="W953" s="799"/>
      <c r="X953" s="799"/>
      <c r="Y953" s="799"/>
      <c r="Z953" s="799"/>
    </row>
    <row r="954" ht="49.5" customHeight="1">
      <c r="A954" s="799"/>
      <c r="B954" s="799"/>
      <c r="C954" s="799"/>
      <c r="D954" s="799"/>
      <c r="E954" s="799"/>
      <c r="F954" s="799"/>
      <c r="G954" s="799"/>
      <c r="H954" s="799"/>
      <c r="I954" s="799"/>
      <c r="J954" s="799"/>
      <c r="K954" s="799"/>
      <c r="L954" s="885"/>
      <c r="M954" s="799"/>
      <c r="N954" s="799"/>
      <c r="O954" s="799"/>
      <c r="P954" s="799"/>
      <c r="Q954" s="799"/>
      <c r="R954" s="799"/>
      <c r="S954" s="799"/>
      <c r="T954" s="799"/>
      <c r="U954" s="799"/>
      <c r="V954" s="799"/>
      <c r="W954" s="799"/>
      <c r="X954" s="799"/>
      <c r="Y954" s="799"/>
      <c r="Z954" s="799"/>
    </row>
    <row r="955" ht="49.5" customHeight="1">
      <c r="A955" s="799"/>
      <c r="B955" s="799"/>
      <c r="C955" s="799"/>
      <c r="D955" s="799"/>
      <c r="E955" s="799"/>
      <c r="F955" s="799"/>
      <c r="G955" s="799"/>
      <c r="H955" s="799"/>
      <c r="I955" s="799"/>
      <c r="J955" s="799"/>
      <c r="K955" s="799"/>
      <c r="L955" s="885"/>
      <c r="M955" s="799"/>
      <c r="N955" s="799"/>
      <c r="O955" s="799"/>
      <c r="P955" s="799"/>
      <c r="Q955" s="799"/>
      <c r="R955" s="799"/>
      <c r="S955" s="799"/>
      <c r="T955" s="799"/>
      <c r="U955" s="799"/>
      <c r="V955" s="799"/>
      <c r="W955" s="799"/>
      <c r="X955" s="799"/>
      <c r="Y955" s="799"/>
      <c r="Z955" s="799"/>
    </row>
    <row r="956" ht="49.5" customHeight="1">
      <c r="A956" s="799"/>
      <c r="B956" s="799"/>
      <c r="C956" s="799"/>
      <c r="D956" s="799"/>
      <c r="E956" s="799"/>
      <c r="F956" s="799"/>
      <c r="G956" s="799"/>
      <c r="H956" s="799"/>
      <c r="I956" s="799"/>
      <c r="J956" s="799"/>
      <c r="K956" s="799"/>
      <c r="L956" s="885"/>
      <c r="M956" s="799"/>
      <c r="N956" s="799"/>
      <c r="O956" s="799"/>
      <c r="P956" s="799"/>
      <c r="Q956" s="799"/>
      <c r="R956" s="799"/>
      <c r="S956" s="799"/>
      <c r="T956" s="799"/>
      <c r="U956" s="799"/>
      <c r="V956" s="799"/>
      <c r="W956" s="799"/>
      <c r="X956" s="799"/>
      <c r="Y956" s="799"/>
      <c r="Z956" s="799"/>
    </row>
    <row r="957" ht="49.5" customHeight="1">
      <c r="A957" s="799"/>
      <c r="B957" s="799"/>
      <c r="C957" s="799"/>
      <c r="D957" s="799"/>
      <c r="E957" s="799"/>
      <c r="F957" s="799"/>
      <c r="G957" s="799"/>
      <c r="H957" s="799"/>
      <c r="I957" s="799"/>
      <c r="J957" s="799"/>
      <c r="K957" s="799"/>
      <c r="L957" s="885"/>
      <c r="M957" s="799"/>
      <c r="N957" s="799"/>
      <c r="O957" s="799"/>
      <c r="P957" s="799"/>
      <c r="Q957" s="799"/>
      <c r="R957" s="799"/>
      <c r="S957" s="799"/>
      <c r="T957" s="799"/>
      <c r="U957" s="799"/>
      <c r="V957" s="799"/>
      <c r="W957" s="799"/>
      <c r="X957" s="799"/>
      <c r="Y957" s="799"/>
      <c r="Z957" s="799"/>
    </row>
    <row r="958" ht="49.5" customHeight="1">
      <c r="A958" s="799"/>
      <c r="B958" s="799"/>
      <c r="C958" s="799"/>
      <c r="D958" s="799"/>
      <c r="E958" s="799"/>
      <c r="F958" s="799"/>
      <c r="G958" s="799"/>
      <c r="H958" s="799"/>
      <c r="I958" s="799"/>
      <c r="J958" s="799"/>
      <c r="K958" s="799"/>
      <c r="L958" s="885"/>
      <c r="M958" s="799"/>
      <c r="N958" s="799"/>
      <c r="O958" s="799"/>
      <c r="P958" s="799"/>
      <c r="Q958" s="799"/>
      <c r="R958" s="799"/>
      <c r="S958" s="799"/>
      <c r="T958" s="799"/>
      <c r="U958" s="799"/>
      <c r="V958" s="799"/>
      <c r="W958" s="799"/>
      <c r="X958" s="799"/>
      <c r="Y958" s="799"/>
      <c r="Z958" s="799"/>
    </row>
    <row r="959" ht="49.5" customHeight="1">
      <c r="A959" s="799"/>
      <c r="B959" s="799"/>
      <c r="C959" s="799"/>
      <c r="D959" s="799"/>
      <c r="E959" s="799"/>
      <c r="F959" s="799"/>
      <c r="G959" s="799"/>
      <c r="H959" s="799"/>
      <c r="I959" s="799"/>
      <c r="J959" s="799"/>
      <c r="K959" s="799"/>
      <c r="L959" s="885"/>
      <c r="M959" s="799"/>
      <c r="N959" s="799"/>
      <c r="O959" s="799"/>
      <c r="P959" s="799"/>
      <c r="Q959" s="799"/>
      <c r="R959" s="799"/>
      <c r="S959" s="799"/>
      <c r="T959" s="799"/>
      <c r="U959" s="799"/>
      <c r="V959" s="799"/>
      <c r="W959" s="799"/>
      <c r="X959" s="799"/>
      <c r="Y959" s="799"/>
      <c r="Z959" s="799"/>
    </row>
    <row r="960" ht="49.5" customHeight="1">
      <c r="A960" s="799"/>
      <c r="B960" s="799"/>
      <c r="C960" s="799"/>
      <c r="D960" s="799"/>
      <c r="E960" s="799"/>
      <c r="F960" s="799"/>
      <c r="G960" s="799"/>
      <c r="H960" s="799"/>
      <c r="I960" s="799"/>
      <c r="J960" s="799"/>
      <c r="K960" s="799"/>
      <c r="L960" s="885"/>
      <c r="M960" s="799"/>
      <c r="N960" s="799"/>
      <c r="O960" s="799"/>
      <c r="P960" s="799"/>
      <c r="Q960" s="799"/>
      <c r="R960" s="799"/>
      <c r="S960" s="799"/>
      <c r="T960" s="799"/>
      <c r="U960" s="799"/>
      <c r="V960" s="799"/>
      <c r="W960" s="799"/>
      <c r="X960" s="799"/>
      <c r="Y960" s="799"/>
      <c r="Z960" s="799"/>
    </row>
    <row r="961" ht="49.5" customHeight="1">
      <c r="A961" s="799"/>
      <c r="B961" s="799"/>
      <c r="C961" s="799"/>
      <c r="D961" s="799"/>
      <c r="E961" s="799"/>
      <c r="F961" s="799"/>
      <c r="G961" s="799"/>
      <c r="H961" s="799"/>
      <c r="I961" s="799"/>
      <c r="J961" s="799"/>
      <c r="K961" s="799"/>
      <c r="L961" s="885"/>
      <c r="M961" s="799"/>
      <c r="N961" s="799"/>
      <c r="O961" s="799"/>
      <c r="P961" s="799"/>
      <c r="Q961" s="799"/>
      <c r="R961" s="799"/>
      <c r="S961" s="799"/>
      <c r="T961" s="799"/>
      <c r="U961" s="799"/>
      <c r="V961" s="799"/>
      <c r="W961" s="799"/>
      <c r="X961" s="799"/>
      <c r="Y961" s="799"/>
      <c r="Z961" s="799"/>
    </row>
    <row r="962" ht="49.5" customHeight="1">
      <c r="A962" s="799"/>
      <c r="B962" s="799"/>
      <c r="C962" s="799"/>
      <c r="D962" s="799"/>
      <c r="E962" s="799"/>
      <c r="F962" s="799"/>
      <c r="G962" s="799"/>
      <c r="H962" s="799"/>
      <c r="I962" s="799"/>
      <c r="J962" s="799"/>
      <c r="K962" s="799"/>
      <c r="L962" s="885"/>
      <c r="M962" s="799"/>
      <c r="N962" s="799"/>
      <c r="O962" s="799"/>
      <c r="P962" s="799"/>
      <c r="Q962" s="799"/>
      <c r="R962" s="799"/>
      <c r="S962" s="799"/>
      <c r="T962" s="799"/>
      <c r="U962" s="799"/>
      <c r="V962" s="799"/>
      <c r="W962" s="799"/>
      <c r="X962" s="799"/>
      <c r="Y962" s="799"/>
      <c r="Z962" s="799"/>
    </row>
    <row r="963" ht="49.5" customHeight="1">
      <c r="A963" s="799"/>
      <c r="B963" s="799"/>
      <c r="C963" s="799"/>
      <c r="D963" s="799"/>
      <c r="E963" s="799"/>
      <c r="F963" s="799"/>
      <c r="G963" s="799"/>
      <c r="H963" s="799"/>
      <c r="I963" s="799"/>
      <c r="J963" s="799"/>
      <c r="K963" s="799"/>
      <c r="L963" s="885"/>
      <c r="M963" s="799"/>
      <c r="N963" s="799"/>
      <c r="O963" s="799"/>
      <c r="P963" s="799"/>
      <c r="Q963" s="799"/>
      <c r="R963" s="799"/>
      <c r="S963" s="799"/>
      <c r="T963" s="799"/>
      <c r="U963" s="799"/>
      <c r="V963" s="799"/>
      <c r="W963" s="799"/>
      <c r="X963" s="799"/>
      <c r="Y963" s="799"/>
      <c r="Z963" s="799"/>
    </row>
    <row r="964" ht="49.5" customHeight="1">
      <c r="A964" s="799"/>
      <c r="B964" s="799"/>
      <c r="C964" s="799"/>
      <c r="D964" s="799"/>
      <c r="E964" s="799"/>
      <c r="F964" s="799"/>
      <c r="G964" s="799"/>
      <c r="H964" s="799"/>
      <c r="I964" s="799"/>
      <c r="J964" s="799"/>
      <c r="K964" s="799"/>
      <c r="L964" s="885"/>
      <c r="M964" s="799"/>
      <c r="N964" s="799"/>
      <c r="O964" s="799"/>
      <c r="P964" s="799"/>
      <c r="Q964" s="799"/>
      <c r="R964" s="799"/>
      <c r="S964" s="799"/>
      <c r="T964" s="799"/>
      <c r="U964" s="799"/>
      <c r="V964" s="799"/>
      <c r="W964" s="799"/>
      <c r="X964" s="799"/>
      <c r="Y964" s="799"/>
      <c r="Z964" s="799"/>
    </row>
    <row r="965" ht="49.5" customHeight="1">
      <c r="A965" s="799"/>
      <c r="B965" s="799"/>
      <c r="C965" s="799"/>
      <c r="D965" s="799"/>
      <c r="E965" s="799"/>
      <c r="F965" s="799"/>
      <c r="G965" s="799"/>
      <c r="H965" s="799"/>
      <c r="I965" s="799"/>
      <c r="J965" s="799"/>
      <c r="K965" s="799"/>
      <c r="L965" s="885"/>
      <c r="M965" s="799"/>
      <c r="N965" s="799"/>
      <c r="O965" s="799"/>
      <c r="P965" s="799"/>
      <c r="Q965" s="799"/>
      <c r="R965" s="799"/>
      <c r="S965" s="799"/>
      <c r="T965" s="799"/>
      <c r="U965" s="799"/>
      <c r="V965" s="799"/>
      <c r="W965" s="799"/>
      <c r="X965" s="799"/>
      <c r="Y965" s="799"/>
      <c r="Z965" s="799"/>
    </row>
    <row r="966" ht="49.5" customHeight="1">
      <c r="A966" s="799"/>
      <c r="B966" s="799"/>
      <c r="C966" s="799"/>
      <c r="D966" s="799"/>
      <c r="E966" s="799"/>
      <c r="F966" s="799"/>
      <c r="G966" s="799"/>
      <c r="H966" s="799"/>
      <c r="I966" s="799"/>
      <c r="J966" s="799"/>
      <c r="K966" s="799"/>
      <c r="L966" s="885"/>
      <c r="M966" s="799"/>
      <c r="N966" s="799"/>
      <c r="O966" s="799"/>
      <c r="P966" s="799"/>
      <c r="Q966" s="799"/>
      <c r="R966" s="799"/>
      <c r="S966" s="799"/>
      <c r="T966" s="799"/>
      <c r="U966" s="799"/>
      <c r="V966" s="799"/>
      <c r="W966" s="799"/>
      <c r="X966" s="799"/>
      <c r="Y966" s="799"/>
      <c r="Z966" s="799"/>
    </row>
    <row r="967" ht="49.5" customHeight="1">
      <c r="A967" s="799"/>
      <c r="B967" s="799"/>
      <c r="C967" s="799"/>
      <c r="D967" s="799"/>
      <c r="E967" s="799"/>
      <c r="F967" s="799"/>
      <c r="G967" s="799"/>
      <c r="H967" s="799"/>
      <c r="I967" s="799"/>
      <c r="J967" s="799"/>
      <c r="K967" s="799"/>
      <c r="L967" s="885"/>
      <c r="M967" s="799"/>
      <c r="N967" s="799"/>
      <c r="O967" s="799"/>
      <c r="P967" s="799"/>
      <c r="Q967" s="799"/>
      <c r="R967" s="799"/>
      <c r="S967" s="799"/>
      <c r="T967" s="799"/>
      <c r="U967" s="799"/>
      <c r="V967" s="799"/>
      <c r="W967" s="799"/>
      <c r="X967" s="799"/>
      <c r="Y967" s="799"/>
      <c r="Z967" s="799"/>
    </row>
    <row r="968" ht="49.5" customHeight="1">
      <c r="A968" s="799"/>
      <c r="B968" s="799"/>
      <c r="C968" s="799"/>
      <c r="D968" s="799"/>
      <c r="E968" s="799"/>
      <c r="F968" s="799"/>
      <c r="G968" s="799"/>
      <c r="H968" s="799"/>
      <c r="I968" s="799"/>
      <c r="J968" s="799"/>
      <c r="K968" s="799"/>
      <c r="L968" s="885"/>
      <c r="M968" s="799"/>
      <c r="N968" s="799"/>
      <c r="O968" s="799"/>
      <c r="P968" s="799"/>
      <c r="Q968" s="799"/>
      <c r="R968" s="799"/>
      <c r="S968" s="799"/>
      <c r="T968" s="799"/>
      <c r="U968" s="799"/>
      <c r="V968" s="799"/>
      <c r="W968" s="799"/>
      <c r="X968" s="799"/>
      <c r="Y968" s="799"/>
      <c r="Z968" s="799"/>
    </row>
    <row r="969" ht="49.5" customHeight="1">
      <c r="A969" s="799"/>
      <c r="B969" s="799"/>
      <c r="C969" s="799"/>
      <c r="D969" s="799"/>
      <c r="E969" s="799"/>
      <c r="F969" s="799"/>
      <c r="G969" s="799"/>
      <c r="H969" s="799"/>
      <c r="I969" s="799"/>
      <c r="J969" s="799"/>
      <c r="K969" s="799"/>
      <c r="L969" s="885"/>
      <c r="M969" s="799"/>
      <c r="N969" s="799"/>
      <c r="O969" s="799"/>
      <c r="P969" s="799"/>
      <c r="Q969" s="799"/>
      <c r="R969" s="799"/>
      <c r="S969" s="799"/>
      <c r="T969" s="799"/>
      <c r="U969" s="799"/>
      <c r="V969" s="799"/>
      <c r="W969" s="799"/>
      <c r="X969" s="799"/>
      <c r="Y969" s="799"/>
      <c r="Z969" s="799"/>
    </row>
    <row r="970" ht="49.5" customHeight="1">
      <c r="A970" s="799"/>
      <c r="B970" s="799"/>
      <c r="C970" s="799"/>
      <c r="D970" s="799"/>
      <c r="E970" s="799"/>
      <c r="F970" s="799"/>
      <c r="G970" s="799"/>
      <c r="H970" s="799"/>
      <c r="I970" s="799"/>
      <c r="J970" s="799"/>
      <c r="K970" s="799"/>
      <c r="L970" s="885"/>
      <c r="M970" s="799"/>
      <c r="N970" s="799"/>
      <c r="O970" s="799"/>
      <c r="P970" s="799"/>
      <c r="Q970" s="799"/>
      <c r="R970" s="799"/>
      <c r="S970" s="799"/>
      <c r="T970" s="799"/>
      <c r="U970" s="799"/>
      <c r="V970" s="799"/>
      <c r="W970" s="799"/>
      <c r="X970" s="799"/>
      <c r="Y970" s="799"/>
      <c r="Z970" s="799"/>
    </row>
    <row r="971" ht="49.5" customHeight="1">
      <c r="A971" s="799"/>
      <c r="B971" s="799"/>
      <c r="C971" s="799"/>
      <c r="D971" s="799"/>
      <c r="E971" s="799"/>
      <c r="F971" s="799"/>
      <c r="G971" s="799"/>
      <c r="H971" s="799"/>
      <c r="I971" s="799"/>
      <c r="J971" s="799"/>
      <c r="K971" s="799"/>
      <c r="L971" s="885"/>
      <c r="M971" s="799"/>
      <c r="N971" s="799"/>
      <c r="O971" s="799"/>
      <c r="P971" s="799"/>
      <c r="Q971" s="799"/>
      <c r="R971" s="799"/>
      <c r="S971" s="799"/>
      <c r="T971" s="799"/>
      <c r="U971" s="799"/>
      <c r="V971" s="799"/>
      <c r="W971" s="799"/>
      <c r="X971" s="799"/>
      <c r="Y971" s="799"/>
      <c r="Z971" s="799"/>
    </row>
    <row r="972" ht="49.5" customHeight="1">
      <c r="A972" s="799"/>
      <c r="B972" s="799"/>
      <c r="C972" s="799"/>
      <c r="D972" s="799"/>
      <c r="E972" s="799"/>
      <c r="F972" s="799"/>
      <c r="G972" s="799"/>
      <c r="H972" s="799"/>
      <c r="I972" s="799"/>
      <c r="J972" s="799"/>
      <c r="K972" s="799"/>
      <c r="L972" s="885"/>
      <c r="M972" s="799"/>
      <c r="N972" s="799"/>
      <c r="O972" s="799"/>
      <c r="P972" s="799"/>
      <c r="Q972" s="799"/>
      <c r="R972" s="799"/>
      <c r="S972" s="799"/>
      <c r="T972" s="799"/>
      <c r="U972" s="799"/>
      <c r="V972" s="799"/>
      <c r="W972" s="799"/>
      <c r="X972" s="799"/>
      <c r="Y972" s="799"/>
      <c r="Z972" s="799"/>
    </row>
    <row r="973" ht="49.5" customHeight="1">
      <c r="A973" s="799"/>
      <c r="B973" s="799"/>
      <c r="C973" s="799"/>
      <c r="D973" s="799"/>
      <c r="E973" s="799"/>
      <c r="F973" s="799"/>
      <c r="G973" s="799"/>
      <c r="H973" s="799"/>
      <c r="I973" s="799"/>
      <c r="J973" s="799"/>
      <c r="K973" s="799"/>
      <c r="L973" s="885"/>
      <c r="M973" s="799"/>
      <c r="N973" s="799"/>
      <c r="O973" s="799"/>
      <c r="P973" s="799"/>
      <c r="Q973" s="799"/>
      <c r="R973" s="799"/>
      <c r="S973" s="799"/>
      <c r="T973" s="799"/>
      <c r="U973" s="799"/>
      <c r="V973" s="799"/>
      <c r="W973" s="799"/>
      <c r="X973" s="799"/>
      <c r="Y973" s="799"/>
      <c r="Z973" s="799"/>
    </row>
    <row r="974" ht="49.5" customHeight="1">
      <c r="A974" s="799"/>
      <c r="B974" s="799"/>
      <c r="C974" s="799"/>
      <c r="D974" s="799"/>
      <c r="E974" s="799"/>
      <c r="F974" s="799"/>
      <c r="G974" s="799"/>
      <c r="H974" s="799"/>
      <c r="I974" s="799"/>
      <c r="J974" s="799"/>
      <c r="K974" s="799"/>
      <c r="L974" s="885"/>
      <c r="M974" s="799"/>
      <c r="N974" s="799"/>
      <c r="O974" s="799"/>
      <c r="P974" s="799"/>
      <c r="Q974" s="799"/>
      <c r="R974" s="799"/>
      <c r="S974" s="799"/>
      <c r="T974" s="799"/>
      <c r="U974" s="799"/>
      <c r="V974" s="799"/>
      <c r="W974" s="799"/>
      <c r="X974" s="799"/>
      <c r="Y974" s="799"/>
      <c r="Z974" s="799"/>
    </row>
    <row r="975" ht="49.5" customHeight="1">
      <c r="A975" s="799"/>
      <c r="B975" s="799"/>
      <c r="C975" s="799"/>
      <c r="D975" s="799"/>
      <c r="E975" s="799"/>
      <c r="F975" s="799"/>
      <c r="G975" s="799"/>
      <c r="H975" s="799"/>
      <c r="I975" s="799"/>
      <c r="J975" s="799"/>
      <c r="K975" s="799"/>
      <c r="L975" s="885"/>
      <c r="M975" s="799"/>
      <c r="N975" s="799"/>
      <c r="O975" s="799"/>
      <c r="P975" s="799"/>
      <c r="Q975" s="799"/>
      <c r="R975" s="799"/>
      <c r="S975" s="799"/>
      <c r="T975" s="799"/>
      <c r="U975" s="799"/>
      <c r="V975" s="799"/>
      <c r="W975" s="799"/>
      <c r="X975" s="799"/>
      <c r="Y975" s="799"/>
      <c r="Z975" s="799"/>
    </row>
    <row r="976" ht="49.5" customHeight="1">
      <c r="A976" s="799"/>
      <c r="B976" s="799"/>
      <c r="C976" s="799"/>
      <c r="D976" s="799"/>
      <c r="E976" s="799"/>
      <c r="F976" s="799"/>
      <c r="G976" s="799"/>
      <c r="H976" s="799"/>
      <c r="I976" s="799"/>
      <c r="J976" s="799"/>
      <c r="K976" s="799"/>
      <c r="L976" s="885"/>
      <c r="M976" s="799"/>
      <c r="N976" s="799"/>
      <c r="O976" s="799"/>
      <c r="P976" s="799"/>
      <c r="Q976" s="799"/>
      <c r="R976" s="799"/>
      <c r="S976" s="799"/>
      <c r="T976" s="799"/>
      <c r="U976" s="799"/>
      <c r="V976" s="799"/>
      <c r="W976" s="799"/>
      <c r="X976" s="799"/>
      <c r="Y976" s="799"/>
      <c r="Z976" s="799"/>
    </row>
    <row r="977" ht="49.5" customHeight="1">
      <c r="A977" s="799"/>
      <c r="B977" s="799"/>
      <c r="C977" s="799"/>
      <c r="D977" s="799"/>
      <c r="E977" s="799"/>
      <c r="F977" s="799"/>
      <c r="G977" s="799"/>
      <c r="H977" s="799"/>
      <c r="I977" s="799"/>
      <c r="J977" s="799"/>
      <c r="K977" s="799"/>
      <c r="L977" s="885"/>
      <c r="M977" s="799"/>
      <c r="N977" s="799"/>
      <c r="O977" s="799"/>
      <c r="P977" s="799"/>
      <c r="Q977" s="799"/>
      <c r="R977" s="799"/>
      <c r="S977" s="799"/>
      <c r="T977" s="799"/>
      <c r="U977" s="799"/>
      <c r="V977" s="799"/>
      <c r="W977" s="799"/>
      <c r="X977" s="799"/>
      <c r="Y977" s="799"/>
      <c r="Z977" s="799"/>
    </row>
    <row r="978" ht="49.5" customHeight="1">
      <c r="A978" s="799"/>
      <c r="B978" s="799"/>
      <c r="C978" s="799"/>
      <c r="D978" s="799"/>
      <c r="E978" s="799"/>
      <c r="F978" s="799"/>
      <c r="G978" s="799"/>
      <c r="H978" s="799"/>
      <c r="I978" s="799"/>
      <c r="J978" s="799"/>
      <c r="K978" s="799"/>
      <c r="L978" s="885"/>
      <c r="M978" s="799"/>
      <c r="N978" s="799"/>
      <c r="O978" s="799"/>
      <c r="P978" s="799"/>
      <c r="Q978" s="799"/>
      <c r="R978" s="799"/>
      <c r="S978" s="799"/>
      <c r="T978" s="799"/>
      <c r="U978" s="799"/>
      <c r="V978" s="799"/>
      <c r="W978" s="799"/>
      <c r="X978" s="799"/>
      <c r="Y978" s="799"/>
      <c r="Z978" s="799"/>
    </row>
    <row r="979" ht="49.5" customHeight="1">
      <c r="A979" s="799"/>
      <c r="B979" s="799"/>
      <c r="C979" s="799"/>
      <c r="D979" s="799"/>
      <c r="E979" s="799"/>
      <c r="F979" s="799"/>
      <c r="G979" s="799"/>
      <c r="H979" s="799"/>
      <c r="I979" s="799"/>
      <c r="J979" s="799"/>
      <c r="K979" s="799"/>
      <c r="L979" s="885"/>
      <c r="M979" s="799"/>
      <c r="N979" s="799"/>
      <c r="O979" s="799"/>
      <c r="P979" s="799"/>
      <c r="Q979" s="799"/>
      <c r="R979" s="799"/>
      <c r="S979" s="799"/>
      <c r="T979" s="799"/>
      <c r="U979" s="799"/>
      <c r="V979" s="799"/>
      <c r="W979" s="799"/>
      <c r="X979" s="799"/>
      <c r="Y979" s="799"/>
      <c r="Z979" s="799"/>
    </row>
    <row r="980" ht="49.5" customHeight="1">
      <c r="A980" s="799"/>
      <c r="B980" s="799"/>
      <c r="C980" s="799"/>
      <c r="D980" s="799"/>
      <c r="E980" s="799"/>
      <c r="F980" s="799"/>
      <c r="G980" s="799"/>
      <c r="H980" s="799"/>
      <c r="I980" s="799"/>
      <c r="J980" s="799"/>
      <c r="K980" s="799"/>
      <c r="L980" s="885"/>
      <c r="M980" s="799"/>
      <c r="N980" s="799"/>
      <c r="O980" s="799"/>
      <c r="P980" s="799"/>
      <c r="Q980" s="799"/>
      <c r="R980" s="799"/>
      <c r="S980" s="799"/>
      <c r="T980" s="799"/>
      <c r="U980" s="799"/>
      <c r="V980" s="799"/>
      <c r="W980" s="799"/>
      <c r="X980" s="799"/>
      <c r="Y980" s="799"/>
      <c r="Z980" s="799"/>
    </row>
    <row r="981" ht="49.5" customHeight="1">
      <c r="A981" s="799"/>
      <c r="B981" s="799"/>
      <c r="C981" s="799"/>
      <c r="D981" s="799"/>
      <c r="E981" s="799"/>
      <c r="F981" s="799"/>
      <c r="G981" s="799"/>
      <c r="H981" s="799"/>
      <c r="I981" s="799"/>
      <c r="J981" s="799"/>
      <c r="K981" s="799"/>
      <c r="L981" s="885"/>
      <c r="M981" s="799"/>
      <c r="N981" s="799"/>
      <c r="O981" s="799"/>
      <c r="P981" s="799"/>
      <c r="Q981" s="799"/>
      <c r="R981" s="799"/>
      <c r="S981" s="799"/>
      <c r="T981" s="799"/>
      <c r="U981" s="799"/>
      <c r="V981" s="799"/>
      <c r="W981" s="799"/>
      <c r="X981" s="799"/>
      <c r="Y981" s="799"/>
      <c r="Z981" s="799"/>
    </row>
    <row r="982" ht="49.5" customHeight="1">
      <c r="A982" s="799"/>
      <c r="B982" s="799"/>
      <c r="C982" s="799"/>
      <c r="D982" s="799"/>
      <c r="E982" s="799"/>
      <c r="F982" s="799"/>
      <c r="G982" s="799"/>
      <c r="H982" s="799"/>
      <c r="I982" s="799"/>
      <c r="J982" s="799"/>
      <c r="K982" s="799"/>
      <c r="L982" s="885"/>
      <c r="M982" s="799"/>
      <c r="N982" s="799"/>
      <c r="O982" s="799"/>
      <c r="P982" s="799"/>
      <c r="Q982" s="799"/>
      <c r="R982" s="799"/>
      <c r="S982" s="799"/>
      <c r="T982" s="799"/>
      <c r="U982" s="799"/>
      <c r="V982" s="799"/>
      <c r="W982" s="799"/>
      <c r="X982" s="799"/>
      <c r="Y982" s="799"/>
      <c r="Z982" s="799"/>
    </row>
    <row r="983" ht="49.5" customHeight="1">
      <c r="A983" s="799"/>
      <c r="B983" s="799"/>
      <c r="C983" s="799"/>
      <c r="D983" s="799"/>
      <c r="E983" s="799"/>
      <c r="F983" s="799"/>
      <c r="G983" s="799"/>
      <c r="H983" s="799"/>
      <c r="I983" s="799"/>
      <c r="J983" s="799"/>
      <c r="K983" s="799"/>
      <c r="L983" s="885"/>
      <c r="M983" s="799"/>
      <c r="N983" s="799"/>
      <c r="O983" s="799"/>
      <c r="P983" s="799"/>
      <c r="Q983" s="799"/>
      <c r="R983" s="799"/>
      <c r="S983" s="799"/>
      <c r="T983" s="799"/>
      <c r="U983" s="799"/>
      <c r="V983" s="799"/>
      <c r="W983" s="799"/>
      <c r="X983" s="799"/>
      <c r="Y983" s="799"/>
      <c r="Z983" s="799"/>
    </row>
    <row r="984" ht="49.5" customHeight="1">
      <c r="A984" s="799"/>
      <c r="B984" s="799"/>
      <c r="C984" s="799"/>
      <c r="D984" s="799"/>
      <c r="E984" s="799"/>
      <c r="F984" s="799"/>
      <c r="G984" s="799"/>
      <c r="H984" s="799"/>
      <c r="I984" s="799"/>
      <c r="J984" s="799"/>
      <c r="K984" s="799"/>
      <c r="L984" s="885"/>
      <c r="M984" s="799"/>
      <c r="N984" s="799"/>
      <c r="O984" s="799"/>
      <c r="P984" s="799"/>
      <c r="Q984" s="799"/>
      <c r="R984" s="799"/>
      <c r="S984" s="799"/>
      <c r="T984" s="799"/>
      <c r="U984" s="799"/>
      <c r="V984" s="799"/>
      <c r="W984" s="799"/>
      <c r="X984" s="799"/>
      <c r="Y984" s="799"/>
      <c r="Z984" s="799"/>
    </row>
    <row r="985" ht="49.5" customHeight="1">
      <c r="A985" s="799"/>
      <c r="B985" s="799"/>
      <c r="C985" s="799"/>
      <c r="D985" s="799"/>
      <c r="E985" s="799"/>
      <c r="F985" s="799"/>
      <c r="G985" s="799"/>
      <c r="H985" s="799"/>
      <c r="I985" s="799"/>
      <c r="J985" s="799"/>
      <c r="K985" s="799"/>
      <c r="L985" s="885"/>
      <c r="M985" s="799"/>
      <c r="N985" s="799"/>
      <c r="O985" s="799"/>
      <c r="P985" s="799"/>
      <c r="Q985" s="799"/>
      <c r="R985" s="799"/>
      <c r="S985" s="799"/>
      <c r="T985" s="799"/>
      <c r="U985" s="799"/>
      <c r="V985" s="799"/>
      <c r="W985" s="799"/>
      <c r="X985" s="799"/>
      <c r="Y985" s="799"/>
      <c r="Z985" s="799"/>
    </row>
    <row r="986" ht="49.5" customHeight="1">
      <c r="A986" s="799"/>
      <c r="B986" s="799"/>
      <c r="C986" s="799"/>
      <c r="D986" s="799"/>
      <c r="E986" s="799"/>
      <c r="F986" s="799"/>
      <c r="G986" s="799"/>
      <c r="H986" s="799"/>
      <c r="I986" s="799"/>
      <c r="J986" s="799"/>
      <c r="K986" s="799"/>
      <c r="L986" s="885"/>
      <c r="M986" s="799"/>
      <c r="N986" s="799"/>
      <c r="O986" s="799"/>
      <c r="P986" s="799"/>
      <c r="Q986" s="799"/>
      <c r="R986" s="799"/>
      <c r="S986" s="799"/>
      <c r="T986" s="799"/>
      <c r="U986" s="799"/>
      <c r="V986" s="799"/>
      <c r="W986" s="799"/>
      <c r="X986" s="799"/>
      <c r="Y986" s="799"/>
      <c r="Z986" s="799"/>
    </row>
    <row r="987" ht="49.5" customHeight="1">
      <c r="A987" s="799"/>
      <c r="B987" s="799"/>
      <c r="C987" s="799"/>
      <c r="D987" s="799"/>
      <c r="E987" s="799"/>
      <c r="F987" s="799"/>
      <c r="G987" s="799"/>
      <c r="H987" s="799"/>
      <c r="I987" s="799"/>
      <c r="J987" s="799"/>
      <c r="K987" s="799"/>
      <c r="L987" s="885"/>
      <c r="M987" s="799"/>
      <c r="N987" s="799"/>
      <c r="O987" s="799"/>
      <c r="P987" s="799"/>
      <c r="Q987" s="799"/>
      <c r="R987" s="799"/>
      <c r="S987" s="799"/>
      <c r="T987" s="799"/>
      <c r="U987" s="799"/>
      <c r="V987" s="799"/>
      <c r="W987" s="799"/>
      <c r="X987" s="799"/>
      <c r="Y987" s="799"/>
      <c r="Z987" s="799"/>
    </row>
    <row r="988" ht="49.5" customHeight="1">
      <c r="A988" s="799"/>
      <c r="B988" s="799"/>
      <c r="C988" s="799"/>
      <c r="D988" s="799"/>
      <c r="E988" s="799"/>
      <c r="F988" s="799"/>
      <c r="G988" s="799"/>
      <c r="H988" s="799"/>
      <c r="I988" s="799"/>
      <c r="J988" s="799"/>
      <c r="K988" s="799"/>
      <c r="L988" s="885"/>
      <c r="M988" s="799"/>
      <c r="N988" s="799"/>
      <c r="O988" s="799"/>
      <c r="P988" s="799"/>
      <c r="Q988" s="799"/>
      <c r="R988" s="799"/>
      <c r="S988" s="799"/>
      <c r="T988" s="799"/>
      <c r="U988" s="799"/>
      <c r="V988" s="799"/>
      <c r="W988" s="799"/>
      <c r="X988" s="799"/>
      <c r="Y988" s="799"/>
      <c r="Z988" s="799"/>
    </row>
    <row r="989" ht="49.5" customHeight="1">
      <c r="A989" s="799"/>
      <c r="B989" s="799"/>
      <c r="C989" s="799"/>
      <c r="D989" s="799"/>
      <c r="E989" s="799"/>
      <c r="F989" s="799"/>
      <c r="G989" s="799"/>
      <c r="H989" s="799"/>
      <c r="I989" s="799"/>
      <c r="J989" s="799"/>
      <c r="K989" s="799"/>
      <c r="L989" s="885"/>
      <c r="M989" s="799"/>
      <c r="N989" s="799"/>
      <c r="O989" s="799"/>
      <c r="P989" s="799"/>
      <c r="Q989" s="799"/>
      <c r="R989" s="799"/>
      <c r="S989" s="799"/>
      <c r="T989" s="799"/>
      <c r="U989" s="799"/>
      <c r="V989" s="799"/>
      <c r="W989" s="799"/>
      <c r="X989" s="799"/>
      <c r="Y989" s="799"/>
      <c r="Z989" s="799"/>
    </row>
    <row r="990" ht="49.5" customHeight="1">
      <c r="A990" s="799"/>
      <c r="B990" s="799"/>
      <c r="C990" s="799"/>
      <c r="D990" s="799"/>
      <c r="E990" s="799"/>
      <c r="F990" s="799"/>
      <c r="G990" s="799"/>
      <c r="H990" s="799"/>
      <c r="I990" s="799"/>
      <c r="J990" s="799"/>
      <c r="K990" s="799"/>
      <c r="L990" s="885"/>
      <c r="M990" s="799"/>
      <c r="N990" s="799"/>
      <c r="O990" s="799"/>
      <c r="P990" s="799"/>
      <c r="Q990" s="799"/>
      <c r="R990" s="799"/>
      <c r="S990" s="799"/>
      <c r="T990" s="799"/>
      <c r="U990" s="799"/>
      <c r="V990" s="799"/>
      <c r="W990" s="799"/>
      <c r="X990" s="799"/>
      <c r="Y990" s="799"/>
      <c r="Z990" s="799"/>
    </row>
    <row r="991" ht="49.5" customHeight="1">
      <c r="A991" s="799"/>
      <c r="B991" s="799"/>
      <c r="C991" s="799"/>
      <c r="D991" s="799"/>
      <c r="E991" s="799"/>
      <c r="F991" s="799"/>
      <c r="G991" s="799"/>
      <c r="H991" s="799"/>
      <c r="I991" s="799"/>
      <c r="J991" s="799"/>
      <c r="K991" s="799"/>
      <c r="L991" s="885"/>
      <c r="M991" s="799"/>
      <c r="N991" s="799"/>
      <c r="O991" s="799"/>
      <c r="P991" s="799"/>
      <c r="Q991" s="799"/>
      <c r="R991" s="799"/>
      <c r="S991" s="799"/>
      <c r="T991" s="799"/>
      <c r="U991" s="799"/>
      <c r="V991" s="799"/>
      <c r="W991" s="799"/>
      <c r="X991" s="799"/>
      <c r="Y991" s="799"/>
      <c r="Z991" s="799"/>
    </row>
    <row r="992" ht="49.5" customHeight="1">
      <c r="A992" s="799"/>
      <c r="B992" s="799"/>
      <c r="C992" s="799"/>
      <c r="D992" s="799"/>
      <c r="E992" s="799"/>
      <c r="F992" s="799"/>
      <c r="G992" s="799"/>
      <c r="H992" s="799"/>
      <c r="I992" s="799"/>
      <c r="J992" s="799"/>
      <c r="K992" s="799"/>
      <c r="L992" s="885"/>
      <c r="M992" s="799"/>
      <c r="N992" s="799"/>
      <c r="O992" s="799"/>
      <c r="P992" s="799"/>
      <c r="Q992" s="799"/>
      <c r="R992" s="799"/>
      <c r="S992" s="799"/>
      <c r="T992" s="799"/>
      <c r="U992" s="799"/>
      <c r="V992" s="799"/>
      <c r="W992" s="799"/>
      <c r="X992" s="799"/>
      <c r="Y992" s="799"/>
      <c r="Z992" s="799"/>
    </row>
    <row r="993" ht="49.5" customHeight="1">
      <c r="A993" s="799"/>
      <c r="B993" s="799"/>
      <c r="C993" s="799"/>
      <c r="D993" s="799"/>
      <c r="E993" s="799"/>
      <c r="F993" s="799"/>
      <c r="G993" s="799"/>
      <c r="H993" s="799"/>
      <c r="I993" s="799"/>
      <c r="J993" s="799"/>
      <c r="K993" s="799"/>
      <c r="L993" s="885"/>
      <c r="M993" s="799"/>
      <c r="N993" s="799"/>
      <c r="O993" s="799"/>
      <c r="P993" s="799"/>
      <c r="Q993" s="799"/>
      <c r="R993" s="799"/>
      <c r="S993" s="799"/>
      <c r="T993" s="799"/>
      <c r="U993" s="799"/>
      <c r="V993" s="799"/>
      <c r="W993" s="799"/>
      <c r="X993" s="799"/>
      <c r="Y993" s="799"/>
      <c r="Z993" s="799"/>
    </row>
    <row r="994" ht="49.5" customHeight="1">
      <c r="A994" s="799"/>
      <c r="B994" s="799"/>
      <c r="C994" s="799"/>
      <c r="D994" s="799"/>
      <c r="E994" s="799"/>
      <c r="F994" s="799"/>
      <c r="G994" s="799"/>
      <c r="H994" s="799"/>
      <c r="I994" s="799"/>
      <c r="J994" s="799"/>
      <c r="K994" s="799"/>
      <c r="L994" s="885"/>
      <c r="M994" s="799"/>
      <c r="N994" s="799"/>
      <c r="O994" s="799"/>
      <c r="P994" s="799"/>
      <c r="Q994" s="799"/>
      <c r="R994" s="799"/>
      <c r="S994" s="799"/>
      <c r="T994" s="799"/>
      <c r="U994" s="799"/>
      <c r="V994" s="799"/>
      <c r="W994" s="799"/>
      <c r="X994" s="799"/>
      <c r="Y994" s="799"/>
      <c r="Z994" s="799"/>
    </row>
    <row r="995" ht="49.5" customHeight="1">
      <c r="A995" s="799"/>
      <c r="B995" s="799"/>
      <c r="C995" s="799"/>
      <c r="D995" s="799"/>
      <c r="E995" s="799"/>
      <c r="F995" s="799"/>
      <c r="G995" s="799"/>
      <c r="H995" s="799"/>
      <c r="I995" s="799"/>
      <c r="J995" s="799"/>
      <c r="K995" s="799"/>
      <c r="L995" s="885"/>
      <c r="M995" s="799"/>
      <c r="N995" s="799"/>
      <c r="O995" s="799"/>
      <c r="P995" s="799"/>
      <c r="Q995" s="799"/>
      <c r="R995" s="799"/>
      <c r="S995" s="799"/>
      <c r="T995" s="799"/>
      <c r="U995" s="799"/>
      <c r="V995" s="799"/>
      <c r="W995" s="799"/>
      <c r="X995" s="799"/>
      <c r="Y995" s="799"/>
      <c r="Z995" s="799"/>
    </row>
    <row r="996" ht="49.5" customHeight="1">
      <c r="A996" s="799"/>
      <c r="B996" s="799"/>
      <c r="C996" s="799"/>
      <c r="D996" s="799"/>
      <c r="E996" s="799"/>
      <c r="F996" s="799"/>
      <c r="G996" s="799"/>
      <c r="H996" s="799"/>
      <c r="I996" s="799"/>
      <c r="J996" s="799"/>
      <c r="K996" s="799"/>
      <c r="L996" s="885"/>
      <c r="M996" s="799"/>
      <c r="N996" s="799"/>
      <c r="O996" s="799"/>
      <c r="P996" s="799"/>
      <c r="Q996" s="799"/>
      <c r="R996" s="799"/>
      <c r="S996" s="799"/>
      <c r="T996" s="799"/>
      <c r="U996" s="799"/>
      <c r="V996" s="799"/>
      <c r="W996" s="799"/>
      <c r="X996" s="799"/>
      <c r="Y996" s="799"/>
      <c r="Z996" s="799"/>
    </row>
    <row r="997" ht="49.5" customHeight="1">
      <c r="A997" s="799"/>
      <c r="B997" s="799"/>
      <c r="C997" s="799"/>
      <c r="D997" s="799"/>
      <c r="E997" s="799"/>
      <c r="F997" s="799"/>
      <c r="G997" s="799"/>
      <c r="H997" s="799"/>
      <c r="I997" s="799"/>
      <c r="J997" s="799"/>
      <c r="K997" s="799"/>
      <c r="L997" s="885"/>
      <c r="M997" s="799"/>
      <c r="N997" s="799"/>
      <c r="O997" s="799"/>
      <c r="P997" s="799"/>
      <c r="Q997" s="799"/>
      <c r="R997" s="799"/>
      <c r="S997" s="799"/>
      <c r="T997" s="799"/>
      <c r="U997" s="799"/>
      <c r="V997" s="799"/>
      <c r="W997" s="799"/>
      <c r="X997" s="799"/>
      <c r="Y997" s="799"/>
      <c r="Z997" s="799"/>
    </row>
    <row r="998" ht="49.5" customHeight="1">
      <c r="A998" s="799"/>
      <c r="B998" s="799"/>
      <c r="C998" s="799"/>
      <c r="D998" s="799"/>
      <c r="E998" s="799"/>
      <c r="F998" s="799"/>
      <c r="G998" s="799"/>
      <c r="H998" s="799"/>
      <c r="I998" s="799"/>
      <c r="J998" s="799"/>
      <c r="K998" s="799"/>
      <c r="L998" s="885"/>
      <c r="M998" s="799"/>
      <c r="N998" s="799"/>
      <c r="O998" s="799"/>
      <c r="P998" s="799"/>
      <c r="Q998" s="799"/>
      <c r="R998" s="799"/>
      <c r="S998" s="799"/>
      <c r="T998" s="799"/>
      <c r="U998" s="799"/>
      <c r="V998" s="799"/>
      <c r="W998" s="799"/>
      <c r="X998" s="799"/>
      <c r="Y998" s="799"/>
      <c r="Z998" s="799"/>
    </row>
    <row r="999" ht="49.5" customHeight="1">
      <c r="A999" s="799"/>
      <c r="B999" s="799"/>
      <c r="C999" s="799"/>
      <c r="D999" s="799"/>
      <c r="E999" s="799"/>
      <c r="F999" s="799"/>
      <c r="G999" s="799"/>
      <c r="H999" s="799"/>
      <c r="I999" s="799"/>
      <c r="J999" s="799"/>
      <c r="K999" s="799"/>
      <c r="L999" s="885"/>
      <c r="M999" s="799"/>
      <c r="N999" s="799"/>
      <c r="O999" s="799"/>
      <c r="P999" s="799"/>
      <c r="Q999" s="799"/>
      <c r="R999" s="799"/>
      <c r="S999" s="799"/>
      <c r="T999" s="799"/>
      <c r="U999" s="799"/>
      <c r="V999" s="799"/>
      <c r="W999" s="799"/>
      <c r="X999" s="799"/>
      <c r="Y999" s="799"/>
      <c r="Z999" s="799"/>
    </row>
    <row r="1000" ht="49.5" customHeight="1">
      <c r="A1000" s="799"/>
      <c r="B1000" s="799"/>
      <c r="C1000" s="799"/>
      <c r="D1000" s="799"/>
      <c r="E1000" s="799"/>
      <c r="F1000" s="799"/>
      <c r="G1000" s="799"/>
      <c r="H1000" s="799"/>
      <c r="I1000" s="799"/>
      <c r="J1000" s="799"/>
      <c r="K1000" s="799"/>
      <c r="L1000" s="885"/>
      <c r="M1000" s="799"/>
      <c r="N1000" s="799"/>
      <c r="O1000" s="799"/>
      <c r="P1000" s="799"/>
      <c r="Q1000" s="799"/>
      <c r="R1000" s="799"/>
      <c r="S1000" s="799"/>
      <c r="T1000" s="799"/>
      <c r="U1000" s="799"/>
      <c r="V1000" s="799"/>
      <c r="W1000" s="799"/>
      <c r="X1000" s="799"/>
      <c r="Y1000" s="799"/>
      <c r="Z1000" s="799"/>
    </row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7.86"/>
    <col customWidth="1" min="3" max="4" width="8.71"/>
    <col customWidth="1" min="5" max="5" width="12.86"/>
    <col customWidth="1" min="6" max="26" width="8.71"/>
  </cols>
  <sheetData>
    <row r="1" ht="51.0" customHeight="1">
      <c r="A1" s="877" t="s">
        <v>1</v>
      </c>
      <c r="B1" s="877" t="s">
        <v>2815</v>
      </c>
      <c r="C1" s="877" t="s">
        <v>4</v>
      </c>
      <c r="D1" s="878"/>
      <c r="E1" s="877" t="s">
        <v>13</v>
      </c>
      <c r="F1" s="877" t="s">
        <v>2816</v>
      </c>
      <c r="G1" s="877"/>
      <c r="H1" s="886" t="s">
        <v>3262</v>
      </c>
      <c r="I1" s="887"/>
    </row>
    <row r="2" ht="51.0" customHeight="1">
      <c r="A2" s="888" t="s">
        <v>3263</v>
      </c>
      <c r="B2" s="889" t="s">
        <v>1039</v>
      </c>
      <c r="C2" s="888">
        <v>1.0</v>
      </c>
      <c r="D2" s="888" t="s">
        <v>2464</v>
      </c>
      <c r="E2" s="6" t="e">
        <v>#VALUE!</v>
      </c>
      <c r="F2" s="888" t="s">
        <v>2747</v>
      </c>
      <c r="G2" s="888" t="s">
        <v>3264</v>
      </c>
      <c r="H2" s="815" t="s">
        <v>1689</v>
      </c>
    </row>
    <row r="3" ht="51.0" customHeight="1">
      <c r="A3" s="888" t="s">
        <v>3265</v>
      </c>
      <c r="B3" s="889" t="s">
        <v>1043</v>
      </c>
      <c r="C3" s="888">
        <v>1.0</v>
      </c>
      <c r="D3" s="888" t="s">
        <v>2464</v>
      </c>
      <c r="E3" s="6" t="e">
        <v>#VALUE!</v>
      </c>
      <c r="F3" s="888" t="s">
        <v>2747</v>
      </c>
      <c r="G3" s="888" t="s">
        <v>3264</v>
      </c>
      <c r="H3" s="890" t="s">
        <v>1689</v>
      </c>
    </row>
    <row r="4" ht="51.0" customHeight="1">
      <c r="A4" s="888" t="s">
        <v>3266</v>
      </c>
      <c r="B4" s="889" t="s">
        <v>1051</v>
      </c>
      <c r="C4" s="888">
        <v>1.0</v>
      </c>
      <c r="D4" s="888" t="s">
        <v>2464</v>
      </c>
      <c r="E4" s="6" t="e">
        <v>#VALUE!</v>
      </c>
      <c r="F4" s="888" t="s">
        <v>2747</v>
      </c>
      <c r="G4" s="888" t="s">
        <v>3264</v>
      </c>
      <c r="H4" s="890" t="s">
        <v>1689</v>
      </c>
    </row>
    <row r="5" ht="51.0" customHeight="1">
      <c r="A5" s="888" t="s">
        <v>3267</v>
      </c>
      <c r="B5" s="889" t="s">
        <v>1059</v>
      </c>
      <c r="C5" s="888">
        <v>1.0</v>
      </c>
      <c r="D5" s="888" t="s">
        <v>2464</v>
      </c>
      <c r="E5" s="6" t="e">
        <v>#VALUE!</v>
      </c>
      <c r="F5" s="888" t="s">
        <v>2747</v>
      </c>
      <c r="G5" s="888" t="s">
        <v>3264</v>
      </c>
      <c r="H5" s="890" t="s">
        <v>1689</v>
      </c>
    </row>
    <row r="6" ht="51.0" customHeight="1">
      <c r="A6" s="888" t="s">
        <v>3268</v>
      </c>
      <c r="B6" s="889" t="s">
        <v>1055</v>
      </c>
      <c r="C6" s="888">
        <v>1.0</v>
      </c>
      <c r="D6" s="888" t="s">
        <v>2464</v>
      </c>
      <c r="E6" s="6" t="e">
        <v>#VALUE!</v>
      </c>
      <c r="F6" s="888" t="s">
        <v>2747</v>
      </c>
      <c r="G6" s="888" t="s">
        <v>3264</v>
      </c>
      <c r="H6" s="890" t="s">
        <v>1689</v>
      </c>
    </row>
    <row r="7" ht="51.0" customHeight="1">
      <c r="A7" s="888" t="s">
        <v>3269</v>
      </c>
      <c r="B7" s="889" t="s">
        <v>3270</v>
      </c>
      <c r="C7" s="888">
        <v>1.0</v>
      </c>
      <c r="D7" s="888" t="s">
        <v>2464</v>
      </c>
      <c r="E7" s="6" t="e">
        <v>#VALUE!</v>
      </c>
      <c r="F7" s="888" t="s">
        <v>2747</v>
      </c>
      <c r="G7" s="888" t="s">
        <v>3264</v>
      </c>
      <c r="H7" s="890" t="s">
        <v>1689</v>
      </c>
      <c r="J7" s="84"/>
      <c r="K7" s="891"/>
      <c r="L7" s="891"/>
      <c r="M7" s="891"/>
      <c r="N7" s="892"/>
      <c r="O7" s="891"/>
      <c r="P7" s="891"/>
      <c r="Q7" s="891"/>
      <c r="R7" s="887"/>
      <c r="S7" s="887"/>
      <c r="T7" s="84"/>
    </row>
    <row r="8" ht="51.0" customHeight="1">
      <c r="A8" s="888" t="s">
        <v>3271</v>
      </c>
      <c r="B8" s="889" t="s">
        <v>360</v>
      </c>
      <c r="C8" s="888">
        <v>1.0</v>
      </c>
      <c r="D8" s="888" t="s">
        <v>2464</v>
      </c>
      <c r="E8" s="6" t="e">
        <v>#VALUE!</v>
      </c>
      <c r="F8" s="888" t="s">
        <v>2747</v>
      </c>
      <c r="G8" s="888" t="s">
        <v>3264</v>
      </c>
      <c r="H8" s="890" t="s">
        <v>1689</v>
      </c>
    </row>
    <row r="9" ht="51.0" customHeight="1">
      <c r="A9" s="888" t="s">
        <v>3272</v>
      </c>
      <c r="B9" s="889" t="s">
        <v>1067</v>
      </c>
      <c r="C9" s="888">
        <v>1.0</v>
      </c>
      <c r="D9" s="888" t="s">
        <v>2464</v>
      </c>
      <c r="E9" s="6" t="e">
        <v>#VALUE!</v>
      </c>
      <c r="F9" s="888" t="s">
        <v>2747</v>
      </c>
      <c r="G9" s="888" t="s">
        <v>3264</v>
      </c>
      <c r="H9" s="890" t="s">
        <v>1689</v>
      </c>
    </row>
    <row r="10" ht="51.0" customHeight="1">
      <c r="A10" s="888" t="s">
        <v>3273</v>
      </c>
      <c r="B10" s="889" t="s">
        <v>375</v>
      </c>
      <c r="C10" s="888">
        <v>10.0</v>
      </c>
      <c r="D10" s="888" t="s">
        <v>2464</v>
      </c>
      <c r="E10" s="6" t="e">
        <v>#VALUE!</v>
      </c>
      <c r="F10" s="888" t="s">
        <v>2747</v>
      </c>
      <c r="G10" s="888" t="s">
        <v>3264</v>
      </c>
      <c r="H10" s="890" t="s">
        <v>1689</v>
      </c>
    </row>
    <row r="11" ht="51.0" customHeight="1">
      <c r="A11" s="888" t="s">
        <v>3274</v>
      </c>
      <c r="B11" s="889" t="s">
        <v>372</v>
      </c>
      <c r="C11" s="888">
        <v>1.0</v>
      </c>
      <c r="D11" s="888" t="s">
        <v>2464</v>
      </c>
      <c r="E11" s="6" t="e">
        <v>#VALUE!</v>
      </c>
      <c r="F11" s="888" t="s">
        <v>2747</v>
      </c>
      <c r="G11" s="888" t="s">
        <v>3264</v>
      </c>
      <c r="H11" s="890" t="s">
        <v>1689</v>
      </c>
    </row>
    <row r="12" ht="51.0" customHeight="1">
      <c r="A12" s="888" t="s">
        <v>3275</v>
      </c>
      <c r="B12" s="889" t="s">
        <v>1075</v>
      </c>
      <c r="C12" s="888">
        <v>9.0</v>
      </c>
      <c r="D12" s="888" t="s">
        <v>2464</v>
      </c>
      <c r="E12" s="6" t="e">
        <v>#VALUE!</v>
      </c>
      <c r="F12" s="888" t="s">
        <v>2747</v>
      </c>
      <c r="G12" s="888" t="s">
        <v>3264</v>
      </c>
      <c r="H12" s="890" t="s">
        <v>1689</v>
      </c>
    </row>
    <row r="13" ht="51.0" customHeight="1">
      <c r="A13" s="888" t="s">
        <v>3276</v>
      </c>
      <c r="B13" s="889" t="s">
        <v>3277</v>
      </c>
      <c r="C13" s="888">
        <v>1.0</v>
      </c>
      <c r="D13" s="888" t="s">
        <v>2464</v>
      </c>
      <c r="E13" s="6" t="e">
        <v>#VALUE!</v>
      </c>
      <c r="F13" s="888" t="s">
        <v>2747</v>
      </c>
      <c r="G13" s="888" t="s">
        <v>3264</v>
      </c>
      <c r="H13" s="890" t="s">
        <v>1689</v>
      </c>
    </row>
    <row r="14" ht="51.0" customHeight="1">
      <c r="A14" s="888" t="s">
        <v>3278</v>
      </c>
      <c r="B14" s="889" t="s">
        <v>1082</v>
      </c>
      <c r="C14" s="888">
        <v>1.0</v>
      </c>
      <c r="D14" s="888" t="s">
        <v>2464</v>
      </c>
      <c r="E14" s="6" t="e">
        <v>#VALUE!</v>
      </c>
      <c r="F14" s="888" t="s">
        <v>2747</v>
      </c>
      <c r="G14" s="888" t="s">
        <v>3264</v>
      </c>
      <c r="H14" s="890" t="s">
        <v>1689</v>
      </c>
    </row>
    <row r="15" ht="51.0" customHeight="1">
      <c r="A15" s="888" t="s">
        <v>3279</v>
      </c>
      <c r="B15" s="889" t="s">
        <v>3280</v>
      </c>
      <c r="C15" s="888">
        <v>1.0</v>
      </c>
      <c r="D15" s="888" t="s">
        <v>2464</v>
      </c>
      <c r="E15" s="6" t="e">
        <v>#VALUE!</v>
      </c>
      <c r="F15" s="888" t="s">
        <v>2747</v>
      </c>
      <c r="G15" s="888" t="s">
        <v>3264</v>
      </c>
      <c r="H15" s="890" t="s">
        <v>1689</v>
      </c>
    </row>
    <row r="16" ht="51.0" customHeight="1">
      <c r="A16" s="888" t="s">
        <v>3281</v>
      </c>
      <c r="B16" s="889" t="s">
        <v>1090</v>
      </c>
      <c r="C16" s="888">
        <v>1.0</v>
      </c>
      <c r="D16" s="888" t="s">
        <v>2464</v>
      </c>
      <c r="E16" s="6" t="e">
        <v>#VALUE!</v>
      </c>
      <c r="F16" s="888" t="s">
        <v>2747</v>
      </c>
      <c r="G16" s="888" t="s">
        <v>3264</v>
      </c>
      <c r="H16" s="890" t="s">
        <v>1689</v>
      </c>
    </row>
    <row r="17" ht="51.0" customHeight="1">
      <c r="A17" s="888" t="s">
        <v>3282</v>
      </c>
      <c r="B17" s="889" t="s">
        <v>3283</v>
      </c>
      <c r="C17" s="888">
        <v>1.0</v>
      </c>
      <c r="D17" s="888" t="s">
        <v>2464</v>
      </c>
      <c r="E17" s="6" t="e">
        <v>#VALUE!</v>
      </c>
      <c r="F17" s="888" t="s">
        <v>2747</v>
      </c>
      <c r="G17" s="888" t="s">
        <v>3264</v>
      </c>
      <c r="H17" s="890" t="s">
        <v>1689</v>
      </c>
    </row>
    <row r="18" ht="51.0" customHeight="1">
      <c r="A18" s="888" t="s">
        <v>3284</v>
      </c>
      <c r="B18" s="889" t="s">
        <v>1128</v>
      </c>
      <c r="C18" s="888">
        <v>1.0</v>
      </c>
      <c r="D18" s="888" t="s">
        <v>2464</v>
      </c>
      <c r="E18" s="6" t="e">
        <v>#VALUE!</v>
      </c>
      <c r="F18" s="888" t="s">
        <v>2747</v>
      </c>
      <c r="G18" s="888" t="s">
        <v>3264</v>
      </c>
      <c r="H18" s="890" t="s">
        <v>1689</v>
      </c>
    </row>
    <row r="19" ht="51.0" customHeight="1">
      <c r="A19" s="888" t="s">
        <v>3285</v>
      </c>
      <c r="B19" s="889" t="s">
        <v>1136</v>
      </c>
      <c r="C19" s="888">
        <v>1.0</v>
      </c>
      <c r="D19" s="888" t="s">
        <v>2464</v>
      </c>
      <c r="E19" s="6" t="e">
        <v>#VALUE!</v>
      </c>
      <c r="F19" s="888" t="s">
        <v>2747</v>
      </c>
      <c r="G19" s="888" t="s">
        <v>3264</v>
      </c>
      <c r="H19" s="890" t="s">
        <v>1689</v>
      </c>
    </row>
    <row r="20" ht="51.0" customHeight="1">
      <c r="A20" s="888" t="s">
        <v>3286</v>
      </c>
      <c r="B20" s="889" t="s">
        <v>1144</v>
      </c>
      <c r="C20" s="888">
        <v>1.0</v>
      </c>
      <c r="D20" s="888" t="s">
        <v>2464</v>
      </c>
      <c r="E20" s="6" t="e">
        <v>#VALUE!</v>
      </c>
      <c r="F20" s="888" t="s">
        <v>2747</v>
      </c>
      <c r="G20" s="888"/>
      <c r="H20" s="890" t="s">
        <v>1689</v>
      </c>
    </row>
    <row r="21" ht="51.0" customHeight="1">
      <c r="A21" s="888" t="s">
        <v>2744</v>
      </c>
      <c r="B21" s="889" t="s">
        <v>2745</v>
      </c>
      <c r="C21" s="888">
        <v>2.0</v>
      </c>
      <c r="D21" s="888" t="s">
        <v>2464</v>
      </c>
      <c r="E21" s="6" t="e">
        <v>#VALUE!</v>
      </c>
      <c r="F21" s="888" t="s">
        <v>2747</v>
      </c>
      <c r="G21" s="888"/>
      <c r="H21" s="893" t="s">
        <v>1689</v>
      </c>
    </row>
    <row r="22" ht="51.0" customHeight="1">
      <c r="A22" s="888" t="s">
        <v>3287</v>
      </c>
      <c r="B22" s="889" t="s">
        <v>3288</v>
      </c>
      <c r="C22" s="888">
        <v>5.0</v>
      </c>
      <c r="D22" s="888" t="s">
        <v>2464</v>
      </c>
      <c r="E22" s="6" t="e">
        <v>#VALUE!</v>
      </c>
      <c r="F22" s="888" t="s">
        <v>2747</v>
      </c>
      <c r="G22" s="888"/>
      <c r="H22" s="893" t="s">
        <v>1689</v>
      </c>
    </row>
    <row r="23" ht="51.0" customHeight="1">
      <c r="A23" s="888" t="s">
        <v>3289</v>
      </c>
      <c r="B23" s="889" t="s">
        <v>3290</v>
      </c>
      <c r="C23" s="888">
        <v>10.0</v>
      </c>
      <c r="D23" s="888" t="s">
        <v>2464</v>
      </c>
      <c r="E23" s="6" t="e">
        <v>#VALUE!</v>
      </c>
      <c r="F23" s="888" t="s">
        <v>2747</v>
      </c>
      <c r="G23" s="888"/>
      <c r="H23" s="893" t="s">
        <v>1689</v>
      </c>
    </row>
    <row r="24" ht="51.0" customHeight="1">
      <c r="A24" s="888" t="s">
        <v>3291</v>
      </c>
      <c r="B24" s="889" t="s">
        <v>3292</v>
      </c>
      <c r="C24" s="888">
        <v>2.0</v>
      </c>
      <c r="D24" s="888" t="s">
        <v>2464</v>
      </c>
      <c r="E24" s="6" t="e">
        <v>#VALUE!</v>
      </c>
      <c r="F24" s="888" t="s">
        <v>2747</v>
      </c>
      <c r="G24" s="888"/>
      <c r="H24" s="890" t="s">
        <v>1689</v>
      </c>
    </row>
    <row r="25" ht="51.0" customHeight="1">
      <c r="A25" s="888" t="s">
        <v>3293</v>
      </c>
      <c r="B25" s="889" t="s">
        <v>3294</v>
      </c>
      <c r="C25" s="888">
        <v>10.0</v>
      </c>
      <c r="D25" s="888" t="s">
        <v>2464</v>
      </c>
      <c r="E25" s="6" t="e">
        <v>#VALUE!</v>
      </c>
      <c r="F25" s="888" t="s">
        <v>2747</v>
      </c>
      <c r="G25" s="888"/>
      <c r="H25" s="893" t="s">
        <v>1689</v>
      </c>
    </row>
    <row r="26" ht="51.0" customHeight="1">
      <c r="A26" s="815"/>
      <c r="B26" s="894" t="s">
        <v>386</v>
      </c>
      <c r="C26" s="815">
        <v>1.0</v>
      </c>
      <c r="D26" s="888" t="s">
        <v>2464</v>
      </c>
      <c r="E26" s="6" t="e">
        <v>#VALUE!</v>
      </c>
      <c r="F26" s="888" t="s">
        <v>2747</v>
      </c>
      <c r="G26" s="888"/>
      <c r="H26" s="890" t="s">
        <v>1689</v>
      </c>
    </row>
    <row r="27" ht="51.0" customHeight="1">
      <c r="A27" s="815"/>
      <c r="B27" s="894" t="s">
        <v>1094</v>
      </c>
      <c r="C27" s="815">
        <v>1.0</v>
      </c>
      <c r="D27" s="888" t="s">
        <v>2464</v>
      </c>
      <c r="E27" s="6" t="e">
        <v>#VALUE!</v>
      </c>
      <c r="F27" s="888" t="s">
        <v>2747</v>
      </c>
      <c r="G27" s="888"/>
      <c r="H27" s="815" t="s">
        <v>1689</v>
      </c>
    </row>
    <row r="28" ht="51.0" customHeight="1">
      <c r="A28" s="815"/>
      <c r="B28" s="894" t="s">
        <v>3295</v>
      </c>
      <c r="C28" s="815">
        <v>1.0</v>
      </c>
      <c r="D28" s="888" t="s">
        <v>2464</v>
      </c>
      <c r="E28" s="6" t="e">
        <v>#VALUE!</v>
      </c>
      <c r="F28" s="888" t="s">
        <v>2747</v>
      </c>
      <c r="G28" s="888"/>
      <c r="H28" s="893" t="s">
        <v>1689</v>
      </c>
    </row>
    <row r="29" ht="51.0" customHeight="1">
      <c r="A29" s="815"/>
      <c r="B29" s="894" t="s">
        <v>3296</v>
      </c>
      <c r="C29" s="815">
        <v>1.0</v>
      </c>
      <c r="D29" s="888" t="s">
        <v>2464</v>
      </c>
      <c r="E29" s="6" t="e">
        <v>#VALUE!</v>
      </c>
      <c r="F29" s="888" t="s">
        <v>2747</v>
      </c>
      <c r="G29" s="888"/>
      <c r="H29" s="893" t="s">
        <v>1689</v>
      </c>
    </row>
    <row r="30" ht="51.0" customHeight="1">
      <c r="A30" s="815"/>
      <c r="B30" s="894" t="s">
        <v>3297</v>
      </c>
      <c r="C30" s="815">
        <v>1.0</v>
      </c>
      <c r="D30" s="888" t="s">
        <v>2464</v>
      </c>
      <c r="E30" s="6" t="e">
        <v>#VALUE!</v>
      </c>
      <c r="F30" s="888" t="s">
        <v>2747</v>
      </c>
      <c r="G30" s="888"/>
      <c r="H30" s="815" t="s">
        <v>1689</v>
      </c>
    </row>
    <row r="31" ht="51.0" customHeight="1">
      <c r="A31" s="815"/>
      <c r="B31" s="894" t="s">
        <v>3298</v>
      </c>
      <c r="C31" s="815">
        <v>1.0</v>
      </c>
      <c r="D31" s="815" t="s">
        <v>2711</v>
      </c>
      <c r="E31" s="6" t="e">
        <v>#VALUE!</v>
      </c>
      <c r="F31" s="888" t="s">
        <v>2747</v>
      </c>
      <c r="G31" s="888"/>
      <c r="H31" s="893" t="s">
        <v>1689</v>
      </c>
    </row>
    <row r="32" ht="51.0" customHeight="1"/>
    <row r="33" ht="51.0" customHeight="1"/>
    <row r="34" ht="51.0" customHeight="1"/>
    <row r="35" ht="51.0" customHeight="1"/>
    <row r="36" ht="51.0" customHeight="1"/>
    <row r="37" ht="51.0" customHeight="1"/>
    <row r="38" ht="51.0" customHeight="1"/>
    <row r="39" ht="51.0" customHeight="1"/>
    <row r="40" ht="51.0" customHeight="1"/>
    <row r="41" ht="51.0" customHeight="1"/>
    <row r="42" ht="51.0" customHeight="1"/>
    <row r="43" ht="51.0" customHeight="1"/>
    <row r="44" ht="51.0" customHeight="1"/>
    <row r="45" ht="51.0" customHeight="1"/>
    <row r="46" ht="51.0" customHeight="1"/>
    <row r="47" ht="51.0" customHeight="1"/>
    <row r="48" ht="51.0" customHeight="1"/>
    <row r="49" ht="51.0" customHeight="1"/>
    <row r="50" ht="51.0" customHeight="1"/>
    <row r="51" ht="51.0" customHeight="1"/>
    <row r="52" ht="51.0" customHeight="1"/>
    <row r="53" ht="51.0" customHeight="1"/>
    <row r="54" ht="51.0" customHeight="1"/>
    <row r="55" ht="51.0" customHeight="1"/>
    <row r="56" ht="51.0" customHeight="1"/>
    <row r="57" ht="51.0" customHeight="1"/>
    <row r="58" ht="51.0" customHeight="1"/>
    <row r="59" ht="51.0" customHeight="1"/>
    <row r="60" ht="51.0" customHeight="1"/>
    <row r="61" ht="51.0" customHeight="1"/>
    <row r="62" ht="51.0" customHeight="1"/>
    <row r="63" ht="51.0" customHeight="1"/>
    <row r="64" ht="51.0" customHeight="1"/>
    <row r="65" ht="51.0" customHeight="1"/>
    <row r="66" ht="51.0" customHeight="1"/>
    <row r="67" ht="51.0" customHeight="1"/>
    <row r="68" ht="51.0" customHeight="1"/>
    <row r="69" ht="51.0" customHeight="1"/>
    <row r="70" ht="51.0" customHeight="1"/>
    <row r="71" ht="51.0" customHeight="1"/>
    <row r="72" ht="51.0" customHeight="1"/>
    <row r="73" ht="51.0" customHeight="1"/>
    <row r="74" ht="51.0" customHeight="1"/>
    <row r="75" ht="51.0" customHeight="1"/>
    <row r="76" ht="51.0" customHeight="1"/>
    <row r="77" ht="51.0" customHeight="1"/>
    <row r="78" ht="51.0" customHeight="1"/>
    <row r="79" ht="51.0" customHeight="1"/>
    <row r="80" ht="51.0" customHeight="1"/>
    <row r="81" ht="51.0" customHeight="1"/>
    <row r="82" ht="51.0" customHeight="1"/>
    <row r="83" ht="51.0" customHeight="1"/>
    <row r="84" ht="51.0" customHeight="1"/>
    <row r="85" ht="51.0" customHeight="1"/>
    <row r="86" ht="51.0" customHeight="1"/>
    <row r="87" ht="51.0" customHeight="1"/>
    <row r="88" ht="51.0" customHeight="1"/>
    <row r="89" ht="51.0" customHeight="1"/>
    <row r="90" ht="51.0" customHeight="1"/>
    <row r="91" ht="51.0" customHeight="1"/>
    <row r="92" ht="51.0" customHeight="1"/>
    <row r="93" ht="51.0" customHeight="1"/>
    <row r="94" ht="51.0" customHeight="1"/>
    <row r="95" ht="51.0" customHeight="1"/>
    <row r="96" ht="51.0" customHeight="1"/>
    <row r="97" ht="51.0" customHeight="1"/>
    <row r="98" ht="51.0" customHeight="1"/>
    <row r="99" ht="51.0" customHeight="1"/>
    <row r="100" ht="51.0" customHeight="1"/>
    <row r="101" ht="51.0" customHeight="1"/>
    <row r="102" ht="51.0" customHeight="1"/>
    <row r="103" ht="51.0" customHeight="1"/>
    <row r="104" ht="51.0" customHeight="1"/>
    <row r="105" ht="51.0" customHeight="1"/>
    <row r="106" ht="51.0" customHeight="1"/>
    <row r="107" ht="51.0" customHeight="1"/>
    <row r="108" ht="51.0" customHeight="1"/>
    <row r="109" ht="51.0" customHeight="1"/>
    <row r="110" ht="51.0" customHeight="1"/>
    <row r="111" ht="51.0" customHeight="1"/>
    <row r="112" ht="51.0" customHeight="1"/>
    <row r="113" ht="51.0" customHeight="1"/>
    <row r="114" ht="51.0" customHeight="1"/>
    <row r="115" ht="51.0" customHeight="1"/>
    <row r="116" ht="51.0" customHeight="1"/>
    <row r="117" ht="51.0" customHeight="1"/>
    <row r="118" ht="51.0" customHeight="1"/>
    <row r="119" ht="51.0" customHeight="1"/>
    <row r="120" ht="51.0" customHeight="1"/>
    <row r="121" ht="51.0" customHeight="1"/>
    <row r="122" ht="51.0" customHeight="1"/>
    <row r="123" ht="51.0" customHeight="1"/>
    <row r="124" ht="51.0" customHeight="1"/>
    <row r="125" ht="51.0" customHeight="1"/>
    <row r="126" ht="51.0" customHeight="1"/>
    <row r="127" ht="51.0" customHeight="1"/>
    <row r="128" ht="51.0" customHeight="1"/>
    <row r="129" ht="51.0" customHeight="1"/>
    <row r="130" ht="51.0" customHeight="1"/>
    <row r="131" ht="51.0" customHeight="1"/>
    <row r="132" ht="51.0" customHeight="1"/>
    <row r="133" ht="51.0" customHeight="1"/>
    <row r="134" ht="51.0" customHeight="1"/>
    <row r="135" ht="51.0" customHeight="1"/>
    <row r="136" ht="51.0" customHeight="1"/>
    <row r="137" ht="51.0" customHeight="1"/>
    <row r="138" ht="51.0" customHeight="1"/>
    <row r="139" ht="51.0" customHeight="1"/>
    <row r="140" ht="51.0" customHeight="1"/>
    <row r="141" ht="51.0" customHeight="1"/>
    <row r="142" ht="51.0" customHeight="1"/>
    <row r="143" ht="51.0" customHeight="1"/>
    <row r="144" ht="51.0" customHeight="1"/>
    <row r="145" ht="51.0" customHeight="1"/>
    <row r="146" ht="51.0" customHeight="1"/>
    <row r="147" ht="51.0" customHeight="1"/>
    <row r="148" ht="51.0" customHeight="1"/>
    <row r="149" ht="51.0" customHeight="1"/>
    <row r="150" ht="51.0" customHeight="1"/>
    <row r="151" ht="51.0" customHeight="1"/>
    <row r="152" ht="51.0" customHeight="1"/>
    <row r="153" ht="51.0" customHeight="1"/>
    <row r="154" ht="51.0" customHeight="1"/>
    <row r="155" ht="51.0" customHeight="1"/>
    <row r="156" ht="51.0" customHeight="1"/>
    <row r="157" ht="51.0" customHeight="1"/>
    <row r="158" ht="51.0" customHeight="1"/>
    <row r="159" ht="51.0" customHeight="1"/>
    <row r="160" ht="51.0" customHeight="1"/>
    <row r="161" ht="51.0" customHeight="1"/>
    <row r="162" ht="51.0" customHeight="1"/>
    <row r="163" ht="51.0" customHeight="1"/>
    <row r="164" ht="51.0" customHeight="1"/>
    <row r="165" ht="51.0" customHeight="1"/>
    <row r="166" ht="51.0" customHeight="1"/>
    <row r="167" ht="51.0" customHeight="1"/>
    <row r="168" ht="51.0" customHeight="1"/>
    <row r="169" ht="51.0" customHeight="1"/>
    <row r="170" ht="51.0" customHeight="1"/>
    <row r="171" ht="51.0" customHeight="1"/>
    <row r="172" ht="51.0" customHeight="1"/>
    <row r="173" ht="51.0" customHeight="1"/>
    <row r="174" ht="51.0" customHeight="1"/>
    <row r="175" ht="51.0" customHeight="1"/>
    <row r="176" ht="51.0" customHeight="1"/>
    <row r="177" ht="51.0" customHeight="1"/>
    <row r="178" ht="51.0" customHeight="1"/>
    <row r="179" ht="51.0" customHeight="1"/>
    <row r="180" ht="51.0" customHeight="1"/>
    <row r="181" ht="51.0" customHeight="1"/>
    <row r="182" ht="51.0" customHeight="1"/>
    <row r="183" ht="51.0" customHeight="1"/>
    <row r="184" ht="51.0" customHeight="1"/>
    <row r="185" ht="51.0" customHeight="1"/>
    <row r="186" ht="51.0" customHeight="1"/>
    <row r="187" ht="51.0" customHeight="1"/>
    <row r="188" ht="51.0" customHeight="1"/>
    <row r="189" ht="51.0" customHeight="1"/>
    <row r="190" ht="51.0" customHeight="1"/>
    <row r="191" ht="51.0" customHeight="1"/>
    <row r="192" ht="51.0" customHeight="1"/>
    <row r="193" ht="51.0" customHeight="1"/>
    <row r="194" ht="51.0" customHeight="1"/>
    <row r="195" ht="51.0" customHeight="1"/>
    <row r="196" ht="51.0" customHeight="1"/>
    <row r="197" ht="51.0" customHeight="1"/>
    <row r="198" ht="51.0" customHeight="1"/>
    <row r="199" ht="51.0" customHeight="1"/>
    <row r="200" ht="51.0" customHeight="1"/>
    <row r="201" ht="51.0" customHeight="1"/>
    <row r="202" ht="51.0" customHeight="1"/>
    <row r="203" ht="51.0" customHeight="1"/>
    <row r="204" ht="51.0" customHeight="1"/>
    <row r="205" ht="51.0" customHeight="1"/>
    <row r="206" ht="51.0" customHeight="1"/>
    <row r="207" ht="51.0" customHeight="1"/>
    <row r="208" ht="51.0" customHeight="1"/>
    <row r="209" ht="51.0" customHeight="1"/>
    <row r="210" ht="51.0" customHeight="1"/>
    <row r="211" ht="51.0" customHeight="1"/>
    <row r="212" ht="51.0" customHeight="1"/>
    <row r="213" ht="51.0" customHeight="1"/>
    <row r="214" ht="51.0" customHeight="1"/>
    <row r="215" ht="51.0" customHeight="1"/>
    <row r="216" ht="51.0" customHeight="1"/>
    <row r="217" ht="51.0" customHeight="1"/>
    <row r="218" ht="51.0" customHeight="1"/>
    <row r="219" ht="51.0" customHeight="1"/>
    <row r="220" ht="51.0" customHeight="1"/>
    <row r="221" ht="51.0" customHeight="1"/>
    <row r="222" ht="51.0" customHeight="1"/>
    <row r="223" ht="51.0" customHeight="1"/>
    <row r="224" ht="51.0" customHeight="1"/>
    <row r="225" ht="51.0" customHeight="1"/>
    <row r="226" ht="51.0" customHeight="1"/>
    <row r="227" ht="51.0" customHeight="1"/>
    <row r="228" ht="51.0" customHeight="1"/>
    <row r="229" ht="51.0" customHeight="1"/>
    <row r="230" ht="51.0" customHeight="1"/>
    <row r="231" ht="51.0" customHeight="1"/>
    <row r="232" ht="51.0" customHeight="1"/>
    <row r="233" ht="51.0" customHeight="1"/>
    <row r="234" ht="51.0" customHeight="1"/>
    <row r="235" ht="51.0" customHeight="1"/>
    <row r="236" ht="51.0" customHeight="1"/>
    <row r="237" ht="51.0" customHeight="1"/>
    <row r="238" ht="51.0" customHeight="1"/>
    <row r="239" ht="51.0" customHeight="1"/>
    <row r="240" ht="51.0" customHeight="1"/>
    <row r="241" ht="51.0" customHeight="1"/>
    <row r="242" ht="51.0" customHeight="1"/>
    <row r="243" ht="51.0" customHeight="1"/>
    <row r="244" ht="51.0" customHeight="1"/>
    <row r="245" ht="51.0" customHeight="1"/>
    <row r="246" ht="51.0" customHeight="1"/>
    <row r="247" ht="51.0" customHeight="1"/>
    <row r="248" ht="51.0" customHeight="1"/>
    <row r="249" ht="51.0" customHeight="1"/>
    <row r="250" ht="51.0" customHeight="1"/>
    <row r="251" ht="51.0" customHeight="1"/>
    <row r="252" ht="51.0" customHeight="1"/>
    <row r="253" ht="51.0" customHeight="1"/>
    <row r="254" ht="51.0" customHeight="1"/>
    <row r="255" ht="51.0" customHeight="1"/>
    <row r="256" ht="51.0" customHeight="1"/>
    <row r="257" ht="51.0" customHeight="1"/>
    <row r="258" ht="51.0" customHeight="1"/>
    <row r="259" ht="51.0" customHeight="1"/>
    <row r="260" ht="51.0" customHeight="1"/>
    <row r="261" ht="51.0" customHeight="1"/>
    <row r="262" ht="51.0" customHeight="1"/>
    <row r="263" ht="51.0" customHeight="1"/>
    <row r="264" ht="51.0" customHeight="1"/>
    <row r="265" ht="51.0" customHeight="1"/>
    <row r="266" ht="51.0" customHeight="1"/>
    <row r="267" ht="51.0" customHeight="1"/>
    <row r="268" ht="51.0" customHeight="1"/>
    <row r="269" ht="51.0" customHeight="1"/>
    <row r="270" ht="51.0" customHeight="1"/>
    <row r="271" ht="51.0" customHeight="1"/>
    <row r="272" ht="51.0" customHeight="1"/>
    <row r="273" ht="51.0" customHeight="1"/>
    <row r="274" ht="51.0" customHeight="1"/>
    <row r="275" ht="51.0" customHeight="1"/>
    <row r="276" ht="51.0" customHeight="1"/>
    <row r="277" ht="51.0" customHeight="1"/>
    <row r="278" ht="51.0" customHeight="1"/>
    <row r="279" ht="51.0" customHeight="1"/>
    <row r="280" ht="51.0" customHeight="1"/>
    <row r="281" ht="51.0" customHeight="1"/>
    <row r="282" ht="51.0" customHeight="1"/>
    <row r="283" ht="51.0" customHeight="1"/>
    <row r="284" ht="51.0" customHeight="1"/>
    <row r="285" ht="51.0" customHeight="1"/>
    <row r="286" ht="51.0" customHeight="1"/>
    <row r="287" ht="51.0" customHeight="1"/>
    <row r="288" ht="51.0" customHeight="1"/>
    <row r="289" ht="51.0" customHeight="1"/>
    <row r="290" ht="51.0" customHeight="1"/>
    <row r="291" ht="51.0" customHeight="1"/>
    <row r="292" ht="51.0" customHeight="1"/>
    <row r="293" ht="51.0" customHeight="1"/>
    <row r="294" ht="51.0" customHeight="1"/>
    <row r="295" ht="51.0" customHeight="1"/>
    <row r="296" ht="51.0" customHeight="1"/>
    <row r="297" ht="51.0" customHeight="1"/>
    <row r="298" ht="51.0" customHeight="1"/>
    <row r="299" ht="51.0" customHeight="1"/>
    <row r="300" ht="51.0" customHeight="1"/>
    <row r="301" ht="51.0" customHeight="1"/>
    <row r="302" ht="51.0" customHeight="1"/>
    <row r="303" ht="51.0" customHeight="1"/>
    <row r="304" ht="51.0" customHeight="1"/>
    <row r="305" ht="51.0" customHeight="1"/>
    <row r="306" ht="51.0" customHeight="1"/>
    <row r="307" ht="51.0" customHeight="1"/>
    <row r="308" ht="51.0" customHeight="1"/>
    <row r="309" ht="51.0" customHeight="1"/>
    <row r="310" ht="51.0" customHeight="1"/>
    <row r="311" ht="51.0" customHeight="1"/>
    <row r="312" ht="51.0" customHeight="1"/>
    <row r="313" ht="51.0" customHeight="1"/>
    <row r="314" ht="51.0" customHeight="1"/>
    <row r="315" ht="51.0" customHeight="1"/>
    <row r="316" ht="51.0" customHeight="1"/>
    <row r="317" ht="51.0" customHeight="1"/>
    <row r="318" ht="51.0" customHeight="1"/>
    <row r="319" ht="51.0" customHeight="1"/>
    <row r="320" ht="51.0" customHeight="1"/>
    <row r="321" ht="51.0" customHeight="1"/>
    <row r="322" ht="51.0" customHeight="1"/>
    <row r="323" ht="51.0" customHeight="1"/>
    <row r="324" ht="51.0" customHeight="1"/>
    <row r="325" ht="51.0" customHeight="1"/>
    <row r="326" ht="51.0" customHeight="1"/>
    <row r="327" ht="51.0" customHeight="1"/>
    <row r="328" ht="51.0" customHeight="1"/>
    <row r="329" ht="51.0" customHeight="1"/>
    <row r="330" ht="51.0" customHeight="1"/>
    <row r="331" ht="51.0" customHeight="1"/>
    <row r="332" ht="51.0" customHeight="1"/>
    <row r="333" ht="51.0" customHeight="1"/>
    <row r="334" ht="51.0" customHeight="1"/>
    <row r="335" ht="51.0" customHeight="1"/>
    <row r="336" ht="51.0" customHeight="1"/>
    <row r="337" ht="51.0" customHeight="1"/>
    <row r="338" ht="51.0" customHeight="1"/>
    <row r="339" ht="51.0" customHeight="1"/>
    <row r="340" ht="51.0" customHeight="1"/>
    <row r="341" ht="51.0" customHeight="1"/>
    <row r="342" ht="51.0" customHeight="1"/>
    <row r="343" ht="51.0" customHeight="1"/>
    <row r="344" ht="51.0" customHeight="1"/>
    <row r="345" ht="51.0" customHeight="1"/>
    <row r="346" ht="51.0" customHeight="1"/>
    <row r="347" ht="51.0" customHeight="1"/>
    <row r="348" ht="51.0" customHeight="1"/>
    <row r="349" ht="51.0" customHeight="1"/>
    <row r="350" ht="51.0" customHeight="1"/>
    <row r="351" ht="51.0" customHeight="1"/>
    <row r="352" ht="51.0" customHeight="1"/>
    <row r="353" ht="51.0" customHeight="1"/>
    <row r="354" ht="51.0" customHeight="1"/>
    <row r="355" ht="51.0" customHeight="1"/>
    <row r="356" ht="51.0" customHeight="1"/>
    <row r="357" ht="51.0" customHeight="1"/>
    <row r="358" ht="51.0" customHeight="1"/>
    <row r="359" ht="51.0" customHeight="1"/>
    <row r="360" ht="51.0" customHeight="1"/>
    <row r="361" ht="51.0" customHeight="1"/>
    <row r="362" ht="51.0" customHeight="1"/>
    <row r="363" ht="51.0" customHeight="1"/>
    <row r="364" ht="51.0" customHeight="1"/>
    <row r="365" ht="51.0" customHeight="1"/>
    <row r="366" ht="51.0" customHeight="1"/>
    <row r="367" ht="51.0" customHeight="1"/>
    <row r="368" ht="51.0" customHeight="1"/>
    <row r="369" ht="51.0" customHeight="1"/>
    <row r="370" ht="51.0" customHeight="1"/>
    <row r="371" ht="51.0" customHeight="1"/>
    <row r="372" ht="51.0" customHeight="1"/>
    <row r="373" ht="51.0" customHeight="1"/>
    <row r="374" ht="51.0" customHeight="1"/>
    <row r="375" ht="51.0" customHeight="1"/>
    <row r="376" ht="51.0" customHeight="1"/>
    <row r="377" ht="51.0" customHeight="1"/>
    <row r="378" ht="51.0" customHeight="1"/>
    <row r="379" ht="51.0" customHeight="1"/>
    <row r="380" ht="51.0" customHeight="1"/>
    <row r="381" ht="51.0" customHeight="1"/>
    <row r="382" ht="51.0" customHeight="1"/>
    <row r="383" ht="51.0" customHeight="1"/>
    <row r="384" ht="51.0" customHeight="1"/>
    <row r="385" ht="51.0" customHeight="1"/>
    <row r="386" ht="51.0" customHeight="1"/>
    <row r="387" ht="51.0" customHeight="1"/>
    <row r="388" ht="51.0" customHeight="1"/>
    <row r="389" ht="51.0" customHeight="1"/>
    <row r="390" ht="51.0" customHeight="1"/>
    <row r="391" ht="51.0" customHeight="1"/>
    <row r="392" ht="51.0" customHeight="1"/>
    <row r="393" ht="51.0" customHeight="1"/>
    <row r="394" ht="51.0" customHeight="1"/>
    <row r="395" ht="51.0" customHeight="1"/>
    <row r="396" ht="51.0" customHeight="1"/>
    <row r="397" ht="51.0" customHeight="1"/>
    <row r="398" ht="51.0" customHeight="1"/>
    <row r="399" ht="51.0" customHeight="1"/>
    <row r="400" ht="51.0" customHeight="1"/>
    <row r="401" ht="51.0" customHeight="1"/>
    <row r="402" ht="51.0" customHeight="1"/>
    <row r="403" ht="51.0" customHeight="1"/>
    <row r="404" ht="51.0" customHeight="1"/>
    <row r="405" ht="51.0" customHeight="1"/>
    <row r="406" ht="51.0" customHeight="1"/>
    <row r="407" ht="51.0" customHeight="1"/>
    <row r="408" ht="51.0" customHeight="1"/>
    <row r="409" ht="51.0" customHeight="1"/>
    <row r="410" ht="51.0" customHeight="1"/>
    <row r="411" ht="51.0" customHeight="1"/>
    <row r="412" ht="51.0" customHeight="1"/>
    <row r="413" ht="51.0" customHeight="1"/>
    <row r="414" ht="51.0" customHeight="1"/>
    <row r="415" ht="51.0" customHeight="1"/>
    <row r="416" ht="51.0" customHeight="1"/>
    <row r="417" ht="51.0" customHeight="1"/>
    <row r="418" ht="51.0" customHeight="1"/>
    <row r="419" ht="51.0" customHeight="1"/>
    <row r="420" ht="51.0" customHeight="1"/>
    <row r="421" ht="51.0" customHeight="1"/>
    <row r="422" ht="51.0" customHeight="1"/>
    <row r="423" ht="51.0" customHeight="1"/>
    <row r="424" ht="51.0" customHeight="1"/>
    <row r="425" ht="51.0" customHeight="1"/>
    <row r="426" ht="51.0" customHeight="1"/>
    <row r="427" ht="51.0" customHeight="1"/>
    <row r="428" ht="51.0" customHeight="1"/>
    <row r="429" ht="51.0" customHeight="1"/>
    <row r="430" ht="51.0" customHeight="1"/>
    <row r="431" ht="51.0" customHeight="1"/>
    <row r="432" ht="51.0" customHeight="1"/>
    <row r="433" ht="51.0" customHeight="1"/>
    <row r="434" ht="51.0" customHeight="1"/>
    <row r="435" ht="51.0" customHeight="1"/>
    <row r="436" ht="51.0" customHeight="1"/>
    <row r="437" ht="51.0" customHeight="1"/>
    <row r="438" ht="51.0" customHeight="1"/>
    <row r="439" ht="51.0" customHeight="1"/>
    <row r="440" ht="51.0" customHeight="1"/>
    <row r="441" ht="51.0" customHeight="1"/>
    <row r="442" ht="51.0" customHeight="1"/>
    <row r="443" ht="51.0" customHeight="1"/>
    <row r="444" ht="51.0" customHeight="1"/>
    <row r="445" ht="51.0" customHeight="1"/>
    <row r="446" ht="51.0" customHeight="1"/>
    <row r="447" ht="51.0" customHeight="1"/>
    <row r="448" ht="51.0" customHeight="1"/>
    <row r="449" ht="51.0" customHeight="1"/>
    <row r="450" ht="51.0" customHeight="1"/>
    <row r="451" ht="51.0" customHeight="1"/>
    <row r="452" ht="51.0" customHeight="1"/>
    <row r="453" ht="51.0" customHeight="1"/>
    <row r="454" ht="51.0" customHeight="1"/>
    <row r="455" ht="51.0" customHeight="1"/>
    <row r="456" ht="51.0" customHeight="1"/>
    <row r="457" ht="51.0" customHeight="1"/>
    <row r="458" ht="51.0" customHeight="1"/>
    <row r="459" ht="51.0" customHeight="1"/>
    <row r="460" ht="51.0" customHeight="1"/>
    <row r="461" ht="51.0" customHeight="1"/>
    <row r="462" ht="51.0" customHeight="1"/>
    <row r="463" ht="51.0" customHeight="1"/>
    <row r="464" ht="51.0" customHeight="1"/>
    <row r="465" ht="51.0" customHeight="1"/>
    <row r="466" ht="51.0" customHeight="1"/>
    <row r="467" ht="51.0" customHeight="1"/>
    <row r="468" ht="51.0" customHeight="1"/>
    <row r="469" ht="51.0" customHeight="1"/>
    <row r="470" ht="51.0" customHeight="1"/>
    <row r="471" ht="51.0" customHeight="1"/>
    <row r="472" ht="51.0" customHeight="1"/>
    <row r="473" ht="51.0" customHeight="1"/>
    <row r="474" ht="51.0" customHeight="1"/>
    <row r="475" ht="51.0" customHeight="1"/>
    <row r="476" ht="51.0" customHeight="1"/>
    <row r="477" ht="51.0" customHeight="1"/>
    <row r="478" ht="51.0" customHeight="1"/>
    <row r="479" ht="51.0" customHeight="1"/>
    <row r="480" ht="51.0" customHeight="1"/>
    <row r="481" ht="51.0" customHeight="1"/>
    <row r="482" ht="51.0" customHeight="1"/>
    <row r="483" ht="51.0" customHeight="1"/>
    <row r="484" ht="51.0" customHeight="1"/>
    <row r="485" ht="51.0" customHeight="1"/>
    <row r="486" ht="51.0" customHeight="1"/>
    <row r="487" ht="51.0" customHeight="1"/>
    <row r="488" ht="51.0" customHeight="1"/>
    <row r="489" ht="51.0" customHeight="1"/>
    <row r="490" ht="51.0" customHeight="1"/>
    <row r="491" ht="51.0" customHeight="1"/>
    <row r="492" ht="51.0" customHeight="1"/>
    <row r="493" ht="51.0" customHeight="1"/>
    <row r="494" ht="51.0" customHeight="1"/>
    <row r="495" ht="51.0" customHeight="1"/>
    <row r="496" ht="51.0" customHeight="1"/>
    <row r="497" ht="51.0" customHeight="1"/>
    <row r="498" ht="51.0" customHeight="1"/>
    <row r="499" ht="51.0" customHeight="1"/>
    <row r="500" ht="51.0" customHeight="1"/>
    <row r="501" ht="51.0" customHeight="1"/>
    <row r="502" ht="51.0" customHeight="1"/>
    <row r="503" ht="51.0" customHeight="1"/>
    <row r="504" ht="51.0" customHeight="1"/>
    <row r="505" ht="51.0" customHeight="1"/>
    <row r="506" ht="51.0" customHeight="1"/>
    <row r="507" ht="51.0" customHeight="1"/>
    <row r="508" ht="51.0" customHeight="1"/>
    <row r="509" ht="51.0" customHeight="1"/>
    <row r="510" ht="51.0" customHeight="1"/>
    <row r="511" ht="51.0" customHeight="1"/>
    <row r="512" ht="51.0" customHeight="1"/>
    <row r="513" ht="51.0" customHeight="1"/>
    <row r="514" ht="51.0" customHeight="1"/>
    <row r="515" ht="51.0" customHeight="1"/>
    <row r="516" ht="51.0" customHeight="1"/>
    <row r="517" ht="51.0" customHeight="1"/>
    <row r="518" ht="51.0" customHeight="1"/>
    <row r="519" ht="51.0" customHeight="1"/>
    <row r="520" ht="51.0" customHeight="1"/>
    <row r="521" ht="51.0" customHeight="1"/>
    <row r="522" ht="51.0" customHeight="1"/>
    <row r="523" ht="51.0" customHeight="1"/>
    <row r="524" ht="51.0" customHeight="1"/>
    <row r="525" ht="51.0" customHeight="1"/>
    <row r="526" ht="51.0" customHeight="1"/>
    <row r="527" ht="51.0" customHeight="1"/>
    <row r="528" ht="51.0" customHeight="1"/>
    <row r="529" ht="51.0" customHeight="1"/>
    <row r="530" ht="51.0" customHeight="1"/>
    <row r="531" ht="51.0" customHeight="1"/>
    <row r="532" ht="51.0" customHeight="1"/>
    <row r="533" ht="51.0" customHeight="1"/>
    <row r="534" ht="51.0" customHeight="1"/>
    <row r="535" ht="51.0" customHeight="1"/>
    <row r="536" ht="51.0" customHeight="1"/>
    <row r="537" ht="51.0" customHeight="1"/>
    <row r="538" ht="51.0" customHeight="1"/>
    <row r="539" ht="51.0" customHeight="1"/>
    <row r="540" ht="51.0" customHeight="1"/>
    <row r="541" ht="51.0" customHeight="1"/>
    <row r="542" ht="51.0" customHeight="1"/>
    <row r="543" ht="51.0" customHeight="1"/>
    <row r="544" ht="51.0" customHeight="1"/>
    <row r="545" ht="51.0" customHeight="1"/>
    <row r="546" ht="51.0" customHeight="1"/>
    <row r="547" ht="51.0" customHeight="1"/>
    <row r="548" ht="51.0" customHeight="1"/>
    <row r="549" ht="51.0" customHeight="1"/>
    <row r="550" ht="51.0" customHeight="1"/>
    <row r="551" ht="51.0" customHeight="1"/>
    <row r="552" ht="51.0" customHeight="1"/>
    <row r="553" ht="51.0" customHeight="1"/>
    <row r="554" ht="51.0" customHeight="1"/>
    <row r="555" ht="51.0" customHeight="1"/>
    <row r="556" ht="51.0" customHeight="1"/>
    <row r="557" ht="51.0" customHeight="1"/>
    <row r="558" ht="51.0" customHeight="1"/>
    <row r="559" ht="51.0" customHeight="1"/>
    <row r="560" ht="51.0" customHeight="1"/>
    <row r="561" ht="51.0" customHeight="1"/>
    <row r="562" ht="51.0" customHeight="1"/>
    <row r="563" ht="51.0" customHeight="1"/>
    <row r="564" ht="51.0" customHeight="1"/>
    <row r="565" ht="51.0" customHeight="1"/>
    <row r="566" ht="51.0" customHeight="1"/>
    <row r="567" ht="51.0" customHeight="1"/>
    <row r="568" ht="51.0" customHeight="1"/>
    <row r="569" ht="51.0" customHeight="1"/>
    <row r="570" ht="51.0" customHeight="1"/>
    <row r="571" ht="51.0" customHeight="1"/>
    <row r="572" ht="51.0" customHeight="1"/>
    <row r="573" ht="51.0" customHeight="1"/>
    <row r="574" ht="51.0" customHeight="1"/>
    <row r="575" ht="51.0" customHeight="1"/>
    <row r="576" ht="51.0" customHeight="1"/>
    <row r="577" ht="51.0" customHeight="1"/>
    <row r="578" ht="51.0" customHeight="1"/>
    <row r="579" ht="51.0" customHeight="1"/>
    <row r="580" ht="51.0" customHeight="1"/>
    <row r="581" ht="51.0" customHeight="1"/>
    <row r="582" ht="51.0" customHeight="1"/>
    <row r="583" ht="51.0" customHeight="1"/>
    <row r="584" ht="51.0" customHeight="1"/>
    <row r="585" ht="51.0" customHeight="1"/>
    <row r="586" ht="51.0" customHeight="1"/>
    <row r="587" ht="51.0" customHeight="1"/>
    <row r="588" ht="51.0" customHeight="1"/>
    <row r="589" ht="51.0" customHeight="1"/>
    <row r="590" ht="51.0" customHeight="1"/>
    <row r="591" ht="51.0" customHeight="1"/>
    <row r="592" ht="51.0" customHeight="1"/>
    <row r="593" ht="51.0" customHeight="1"/>
    <row r="594" ht="51.0" customHeight="1"/>
    <row r="595" ht="51.0" customHeight="1"/>
    <row r="596" ht="51.0" customHeight="1"/>
    <row r="597" ht="51.0" customHeight="1"/>
    <row r="598" ht="51.0" customHeight="1"/>
    <row r="599" ht="51.0" customHeight="1"/>
    <row r="600" ht="51.0" customHeight="1"/>
    <row r="601" ht="51.0" customHeight="1"/>
    <row r="602" ht="51.0" customHeight="1"/>
    <row r="603" ht="51.0" customHeight="1"/>
    <row r="604" ht="51.0" customHeight="1"/>
    <row r="605" ht="51.0" customHeight="1"/>
    <row r="606" ht="51.0" customHeight="1"/>
    <row r="607" ht="51.0" customHeight="1"/>
    <row r="608" ht="51.0" customHeight="1"/>
    <row r="609" ht="51.0" customHeight="1"/>
    <row r="610" ht="51.0" customHeight="1"/>
    <row r="611" ht="51.0" customHeight="1"/>
    <row r="612" ht="51.0" customHeight="1"/>
    <row r="613" ht="51.0" customHeight="1"/>
    <row r="614" ht="51.0" customHeight="1"/>
    <row r="615" ht="51.0" customHeight="1"/>
    <row r="616" ht="51.0" customHeight="1"/>
    <row r="617" ht="51.0" customHeight="1"/>
    <row r="618" ht="51.0" customHeight="1"/>
    <row r="619" ht="51.0" customHeight="1"/>
    <row r="620" ht="51.0" customHeight="1"/>
    <row r="621" ht="51.0" customHeight="1"/>
    <row r="622" ht="51.0" customHeight="1"/>
    <row r="623" ht="51.0" customHeight="1"/>
    <row r="624" ht="51.0" customHeight="1"/>
    <row r="625" ht="51.0" customHeight="1"/>
    <row r="626" ht="51.0" customHeight="1"/>
    <row r="627" ht="51.0" customHeight="1"/>
    <row r="628" ht="51.0" customHeight="1"/>
    <row r="629" ht="51.0" customHeight="1"/>
    <row r="630" ht="51.0" customHeight="1"/>
    <row r="631" ht="51.0" customHeight="1"/>
    <row r="632" ht="51.0" customHeight="1"/>
    <row r="633" ht="51.0" customHeight="1"/>
    <row r="634" ht="51.0" customHeight="1"/>
    <row r="635" ht="51.0" customHeight="1"/>
    <row r="636" ht="51.0" customHeight="1"/>
    <row r="637" ht="51.0" customHeight="1"/>
    <row r="638" ht="51.0" customHeight="1"/>
    <row r="639" ht="51.0" customHeight="1"/>
    <row r="640" ht="51.0" customHeight="1"/>
    <row r="641" ht="51.0" customHeight="1"/>
    <row r="642" ht="51.0" customHeight="1"/>
    <row r="643" ht="51.0" customHeight="1"/>
    <row r="644" ht="51.0" customHeight="1"/>
    <row r="645" ht="51.0" customHeight="1"/>
    <row r="646" ht="51.0" customHeight="1"/>
    <row r="647" ht="51.0" customHeight="1"/>
    <row r="648" ht="51.0" customHeight="1"/>
    <row r="649" ht="51.0" customHeight="1"/>
    <row r="650" ht="51.0" customHeight="1"/>
    <row r="651" ht="51.0" customHeight="1"/>
    <row r="652" ht="51.0" customHeight="1"/>
    <row r="653" ht="51.0" customHeight="1"/>
    <row r="654" ht="51.0" customHeight="1"/>
    <row r="655" ht="51.0" customHeight="1"/>
    <row r="656" ht="51.0" customHeight="1"/>
    <row r="657" ht="51.0" customHeight="1"/>
    <row r="658" ht="51.0" customHeight="1"/>
    <row r="659" ht="51.0" customHeight="1"/>
    <row r="660" ht="51.0" customHeight="1"/>
    <row r="661" ht="51.0" customHeight="1"/>
    <row r="662" ht="51.0" customHeight="1"/>
    <row r="663" ht="51.0" customHeight="1"/>
    <row r="664" ht="51.0" customHeight="1"/>
    <row r="665" ht="51.0" customHeight="1"/>
    <row r="666" ht="51.0" customHeight="1"/>
    <row r="667" ht="51.0" customHeight="1"/>
    <row r="668" ht="51.0" customHeight="1"/>
    <row r="669" ht="51.0" customHeight="1"/>
    <row r="670" ht="51.0" customHeight="1"/>
    <row r="671" ht="51.0" customHeight="1"/>
    <row r="672" ht="51.0" customHeight="1"/>
    <row r="673" ht="51.0" customHeight="1"/>
    <row r="674" ht="51.0" customHeight="1"/>
    <row r="675" ht="51.0" customHeight="1"/>
    <row r="676" ht="51.0" customHeight="1"/>
    <row r="677" ht="51.0" customHeight="1"/>
    <row r="678" ht="51.0" customHeight="1"/>
    <row r="679" ht="51.0" customHeight="1"/>
    <row r="680" ht="51.0" customHeight="1"/>
    <row r="681" ht="51.0" customHeight="1"/>
    <row r="682" ht="51.0" customHeight="1"/>
    <row r="683" ht="51.0" customHeight="1"/>
    <row r="684" ht="51.0" customHeight="1"/>
    <row r="685" ht="51.0" customHeight="1"/>
    <row r="686" ht="51.0" customHeight="1"/>
    <row r="687" ht="51.0" customHeight="1"/>
    <row r="688" ht="51.0" customHeight="1"/>
    <row r="689" ht="51.0" customHeight="1"/>
    <row r="690" ht="51.0" customHeight="1"/>
    <row r="691" ht="51.0" customHeight="1"/>
    <row r="692" ht="51.0" customHeight="1"/>
    <row r="693" ht="51.0" customHeight="1"/>
    <row r="694" ht="51.0" customHeight="1"/>
    <row r="695" ht="51.0" customHeight="1"/>
    <row r="696" ht="51.0" customHeight="1"/>
    <row r="697" ht="51.0" customHeight="1"/>
    <row r="698" ht="51.0" customHeight="1"/>
    <row r="699" ht="51.0" customHeight="1"/>
    <row r="700" ht="51.0" customHeight="1"/>
    <row r="701" ht="51.0" customHeight="1"/>
    <row r="702" ht="51.0" customHeight="1"/>
    <row r="703" ht="51.0" customHeight="1"/>
    <row r="704" ht="51.0" customHeight="1"/>
    <row r="705" ht="51.0" customHeight="1"/>
    <row r="706" ht="51.0" customHeight="1"/>
    <row r="707" ht="51.0" customHeight="1"/>
    <row r="708" ht="51.0" customHeight="1"/>
    <row r="709" ht="51.0" customHeight="1"/>
    <row r="710" ht="51.0" customHeight="1"/>
    <row r="711" ht="51.0" customHeight="1"/>
    <row r="712" ht="51.0" customHeight="1"/>
    <row r="713" ht="51.0" customHeight="1"/>
    <row r="714" ht="51.0" customHeight="1"/>
    <row r="715" ht="51.0" customHeight="1"/>
    <row r="716" ht="51.0" customHeight="1"/>
    <row r="717" ht="51.0" customHeight="1"/>
    <row r="718" ht="51.0" customHeight="1"/>
    <row r="719" ht="51.0" customHeight="1"/>
    <row r="720" ht="51.0" customHeight="1"/>
    <row r="721" ht="51.0" customHeight="1"/>
    <row r="722" ht="51.0" customHeight="1"/>
    <row r="723" ht="51.0" customHeight="1"/>
    <row r="724" ht="51.0" customHeight="1"/>
    <row r="725" ht="51.0" customHeight="1"/>
    <row r="726" ht="51.0" customHeight="1"/>
    <row r="727" ht="51.0" customHeight="1"/>
    <row r="728" ht="51.0" customHeight="1"/>
    <row r="729" ht="51.0" customHeight="1"/>
    <row r="730" ht="51.0" customHeight="1"/>
    <row r="731" ht="51.0" customHeight="1"/>
    <row r="732" ht="51.0" customHeight="1"/>
    <row r="733" ht="51.0" customHeight="1"/>
    <row r="734" ht="51.0" customHeight="1"/>
    <row r="735" ht="51.0" customHeight="1"/>
    <row r="736" ht="51.0" customHeight="1"/>
    <row r="737" ht="51.0" customHeight="1"/>
    <row r="738" ht="51.0" customHeight="1"/>
    <row r="739" ht="51.0" customHeight="1"/>
    <row r="740" ht="51.0" customHeight="1"/>
    <row r="741" ht="51.0" customHeight="1"/>
    <row r="742" ht="51.0" customHeight="1"/>
    <row r="743" ht="51.0" customHeight="1"/>
    <row r="744" ht="51.0" customHeight="1"/>
    <row r="745" ht="51.0" customHeight="1"/>
    <row r="746" ht="51.0" customHeight="1"/>
    <row r="747" ht="51.0" customHeight="1"/>
    <row r="748" ht="51.0" customHeight="1"/>
    <row r="749" ht="51.0" customHeight="1"/>
    <row r="750" ht="51.0" customHeight="1"/>
    <row r="751" ht="51.0" customHeight="1"/>
    <row r="752" ht="51.0" customHeight="1"/>
    <row r="753" ht="51.0" customHeight="1"/>
    <row r="754" ht="51.0" customHeight="1"/>
    <row r="755" ht="51.0" customHeight="1"/>
    <row r="756" ht="51.0" customHeight="1"/>
    <row r="757" ht="51.0" customHeight="1"/>
    <row r="758" ht="51.0" customHeight="1"/>
    <row r="759" ht="51.0" customHeight="1"/>
    <row r="760" ht="51.0" customHeight="1"/>
    <row r="761" ht="51.0" customHeight="1"/>
    <row r="762" ht="51.0" customHeight="1"/>
    <row r="763" ht="51.0" customHeight="1"/>
    <row r="764" ht="51.0" customHeight="1"/>
    <row r="765" ht="51.0" customHeight="1"/>
    <row r="766" ht="51.0" customHeight="1"/>
    <row r="767" ht="51.0" customHeight="1"/>
    <row r="768" ht="51.0" customHeight="1"/>
    <row r="769" ht="51.0" customHeight="1"/>
    <row r="770" ht="51.0" customHeight="1"/>
    <row r="771" ht="51.0" customHeight="1"/>
    <row r="772" ht="51.0" customHeight="1"/>
    <row r="773" ht="51.0" customHeight="1"/>
    <row r="774" ht="51.0" customHeight="1"/>
    <row r="775" ht="51.0" customHeight="1"/>
    <row r="776" ht="51.0" customHeight="1"/>
    <row r="777" ht="51.0" customHeight="1"/>
    <row r="778" ht="51.0" customHeight="1"/>
    <row r="779" ht="51.0" customHeight="1"/>
    <row r="780" ht="51.0" customHeight="1"/>
    <row r="781" ht="51.0" customHeight="1"/>
    <row r="782" ht="51.0" customHeight="1"/>
    <row r="783" ht="51.0" customHeight="1"/>
    <row r="784" ht="51.0" customHeight="1"/>
    <row r="785" ht="51.0" customHeight="1"/>
    <row r="786" ht="51.0" customHeight="1"/>
    <row r="787" ht="51.0" customHeight="1"/>
    <row r="788" ht="51.0" customHeight="1"/>
    <row r="789" ht="51.0" customHeight="1"/>
    <row r="790" ht="51.0" customHeight="1"/>
    <row r="791" ht="51.0" customHeight="1"/>
    <row r="792" ht="51.0" customHeight="1"/>
    <row r="793" ht="51.0" customHeight="1"/>
    <row r="794" ht="51.0" customHeight="1"/>
    <row r="795" ht="51.0" customHeight="1"/>
    <row r="796" ht="51.0" customHeight="1"/>
    <row r="797" ht="51.0" customHeight="1"/>
    <row r="798" ht="51.0" customHeight="1"/>
    <row r="799" ht="51.0" customHeight="1"/>
    <row r="800" ht="51.0" customHeight="1"/>
    <row r="801" ht="51.0" customHeight="1"/>
    <row r="802" ht="51.0" customHeight="1"/>
    <row r="803" ht="51.0" customHeight="1"/>
    <row r="804" ht="51.0" customHeight="1"/>
    <row r="805" ht="51.0" customHeight="1"/>
    <row r="806" ht="51.0" customHeight="1"/>
    <row r="807" ht="51.0" customHeight="1"/>
    <row r="808" ht="51.0" customHeight="1"/>
    <row r="809" ht="51.0" customHeight="1"/>
    <row r="810" ht="51.0" customHeight="1"/>
    <row r="811" ht="51.0" customHeight="1"/>
    <row r="812" ht="51.0" customHeight="1"/>
    <row r="813" ht="51.0" customHeight="1"/>
    <row r="814" ht="51.0" customHeight="1"/>
    <row r="815" ht="51.0" customHeight="1"/>
    <row r="816" ht="51.0" customHeight="1"/>
    <row r="817" ht="51.0" customHeight="1"/>
    <row r="818" ht="51.0" customHeight="1"/>
    <row r="819" ht="51.0" customHeight="1"/>
    <row r="820" ht="51.0" customHeight="1"/>
    <row r="821" ht="51.0" customHeight="1"/>
    <row r="822" ht="51.0" customHeight="1"/>
    <row r="823" ht="51.0" customHeight="1"/>
    <row r="824" ht="51.0" customHeight="1"/>
    <row r="825" ht="51.0" customHeight="1"/>
    <row r="826" ht="51.0" customHeight="1"/>
    <row r="827" ht="51.0" customHeight="1"/>
    <row r="828" ht="51.0" customHeight="1"/>
    <row r="829" ht="51.0" customHeight="1"/>
    <row r="830" ht="51.0" customHeight="1"/>
    <row r="831" ht="51.0" customHeight="1"/>
    <row r="832" ht="51.0" customHeight="1"/>
    <row r="833" ht="51.0" customHeight="1"/>
    <row r="834" ht="51.0" customHeight="1"/>
    <row r="835" ht="51.0" customHeight="1"/>
    <row r="836" ht="51.0" customHeight="1"/>
    <row r="837" ht="51.0" customHeight="1"/>
    <row r="838" ht="51.0" customHeight="1"/>
    <row r="839" ht="51.0" customHeight="1"/>
    <row r="840" ht="51.0" customHeight="1"/>
    <row r="841" ht="51.0" customHeight="1"/>
    <row r="842" ht="51.0" customHeight="1"/>
    <row r="843" ht="51.0" customHeight="1"/>
    <row r="844" ht="51.0" customHeight="1"/>
    <row r="845" ht="51.0" customHeight="1"/>
    <row r="846" ht="51.0" customHeight="1"/>
    <row r="847" ht="51.0" customHeight="1"/>
    <row r="848" ht="51.0" customHeight="1"/>
    <row r="849" ht="51.0" customHeight="1"/>
    <row r="850" ht="51.0" customHeight="1"/>
    <row r="851" ht="51.0" customHeight="1"/>
    <row r="852" ht="51.0" customHeight="1"/>
    <row r="853" ht="51.0" customHeight="1"/>
    <row r="854" ht="51.0" customHeight="1"/>
    <row r="855" ht="51.0" customHeight="1"/>
    <row r="856" ht="51.0" customHeight="1"/>
    <row r="857" ht="51.0" customHeight="1"/>
    <row r="858" ht="51.0" customHeight="1"/>
    <row r="859" ht="51.0" customHeight="1"/>
    <row r="860" ht="51.0" customHeight="1"/>
    <row r="861" ht="51.0" customHeight="1"/>
    <row r="862" ht="51.0" customHeight="1"/>
    <row r="863" ht="51.0" customHeight="1"/>
    <row r="864" ht="51.0" customHeight="1"/>
    <row r="865" ht="51.0" customHeight="1"/>
    <row r="866" ht="51.0" customHeight="1"/>
    <row r="867" ht="51.0" customHeight="1"/>
    <row r="868" ht="51.0" customHeight="1"/>
    <row r="869" ht="51.0" customHeight="1"/>
    <row r="870" ht="51.0" customHeight="1"/>
    <row r="871" ht="51.0" customHeight="1"/>
    <row r="872" ht="51.0" customHeight="1"/>
    <row r="873" ht="51.0" customHeight="1"/>
    <row r="874" ht="51.0" customHeight="1"/>
    <row r="875" ht="51.0" customHeight="1"/>
    <row r="876" ht="51.0" customHeight="1"/>
    <row r="877" ht="51.0" customHeight="1"/>
    <row r="878" ht="51.0" customHeight="1"/>
    <row r="879" ht="51.0" customHeight="1"/>
    <row r="880" ht="51.0" customHeight="1"/>
    <row r="881" ht="51.0" customHeight="1"/>
    <row r="882" ht="51.0" customHeight="1"/>
    <row r="883" ht="51.0" customHeight="1"/>
    <row r="884" ht="51.0" customHeight="1"/>
    <row r="885" ht="51.0" customHeight="1"/>
    <row r="886" ht="51.0" customHeight="1"/>
    <row r="887" ht="51.0" customHeight="1"/>
    <row r="888" ht="51.0" customHeight="1"/>
    <row r="889" ht="51.0" customHeight="1"/>
    <row r="890" ht="51.0" customHeight="1"/>
    <row r="891" ht="51.0" customHeight="1"/>
    <row r="892" ht="51.0" customHeight="1"/>
    <row r="893" ht="51.0" customHeight="1"/>
    <row r="894" ht="51.0" customHeight="1"/>
    <row r="895" ht="51.0" customHeight="1"/>
    <row r="896" ht="51.0" customHeight="1"/>
    <row r="897" ht="51.0" customHeight="1"/>
    <row r="898" ht="51.0" customHeight="1"/>
    <row r="899" ht="51.0" customHeight="1"/>
    <row r="900" ht="51.0" customHeight="1"/>
    <row r="901" ht="51.0" customHeight="1"/>
    <row r="902" ht="51.0" customHeight="1"/>
    <row r="903" ht="51.0" customHeight="1"/>
    <row r="904" ht="51.0" customHeight="1"/>
    <row r="905" ht="51.0" customHeight="1"/>
    <row r="906" ht="51.0" customHeight="1"/>
    <row r="907" ht="51.0" customHeight="1"/>
    <row r="908" ht="51.0" customHeight="1"/>
    <row r="909" ht="51.0" customHeight="1"/>
    <row r="910" ht="51.0" customHeight="1"/>
    <row r="911" ht="51.0" customHeight="1"/>
    <row r="912" ht="51.0" customHeight="1"/>
    <row r="913" ht="51.0" customHeight="1"/>
    <row r="914" ht="51.0" customHeight="1"/>
    <row r="915" ht="51.0" customHeight="1"/>
    <row r="916" ht="51.0" customHeight="1"/>
    <row r="917" ht="51.0" customHeight="1"/>
    <row r="918" ht="51.0" customHeight="1"/>
    <row r="919" ht="51.0" customHeight="1"/>
    <row r="920" ht="51.0" customHeight="1"/>
    <row r="921" ht="51.0" customHeight="1"/>
    <row r="922" ht="51.0" customHeight="1"/>
    <row r="923" ht="51.0" customHeight="1"/>
    <row r="924" ht="51.0" customHeight="1"/>
    <row r="925" ht="51.0" customHeight="1"/>
    <row r="926" ht="51.0" customHeight="1"/>
    <row r="927" ht="51.0" customHeight="1"/>
    <row r="928" ht="51.0" customHeight="1"/>
    <row r="929" ht="51.0" customHeight="1"/>
    <row r="930" ht="51.0" customHeight="1"/>
    <row r="931" ht="51.0" customHeight="1"/>
    <row r="932" ht="51.0" customHeight="1"/>
    <row r="933" ht="51.0" customHeight="1"/>
    <row r="934" ht="51.0" customHeight="1"/>
    <row r="935" ht="51.0" customHeight="1"/>
    <row r="936" ht="51.0" customHeight="1"/>
    <row r="937" ht="51.0" customHeight="1"/>
    <row r="938" ht="51.0" customHeight="1"/>
    <row r="939" ht="51.0" customHeight="1"/>
    <row r="940" ht="51.0" customHeight="1"/>
    <row r="941" ht="51.0" customHeight="1"/>
    <row r="942" ht="51.0" customHeight="1"/>
    <row r="943" ht="51.0" customHeight="1"/>
    <row r="944" ht="51.0" customHeight="1"/>
    <row r="945" ht="51.0" customHeight="1"/>
    <row r="946" ht="51.0" customHeight="1"/>
    <row r="947" ht="51.0" customHeight="1"/>
    <row r="948" ht="51.0" customHeight="1"/>
    <row r="949" ht="51.0" customHeight="1"/>
    <row r="950" ht="51.0" customHeight="1"/>
    <row r="951" ht="51.0" customHeight="1"/>
    <row r="952" ht="51.0" customHeight="1"/>
    <row r="953" ht="51.0" customHeight="1"/>
    <row r="954" ht="51.0" customHeight="1"/>
    <row r="955" ht="51.0" customHeight="1"/>
    <row r="956" ht="51.0" customHeight="1"/>
    <row r="957" ht="51.0" customHeight="1"/>
    <row r="958" ht="51.0" customHeight="1"/>
    <row r="959" ht="51.0" customHeight="1"/>
    <row r="960" ht="51.0" customHeight="1"/>
    <row r="961" ht="51.0" customHeight="1"/>
    <row r="962" ht="51.0" customHeight="1"/>
    <row r="963" ht="51.0" customHeight="1"/>
    <row r="964" ht="51.0" customHeight="1"/>
    <row r="965" ht="51.0" customHeight="1"/>
    <row r="966" ht="51.0" customHeight="1"/>
    <row r="967" ht="51.0" customHeight="1"/>
    <row r="968" ht="51.0" customHeight="1"/>
    <row r="969" ht="51.0" customHeight="1"/>
    <row r="970" ht="51.0" customHeight="1"/>
    <row r="971" ht="51.0" customHeight="1"/>
    <row r="972" ht="51.0" customHeight="1"/>
    <row r="973" ht="51.0" customHeight="1"/>
    <row r="974" ht="51.0" customHeight="1"/>
    <row r="975" ht="51.0" customHeight="1"/>
    <row r="976" ht="51.0" customHeight="1"/>
    <row r="977" ht="51.0" customHeight="1"/>
    <row r="978" ht="51.0" customHeight="1"/>
    <row r="979" ht="51.0" customHeight="1"/>
    <row r="980" ht="51.0" customHeight="1"/>
    <row r="981" ht="51.0" customHeight="1"/>
    <row r="982" ht="51.0" customHeight="1"/>
    <row r="983" ht="51.0" customHeight="1"/>
    <row r="984" ht="51.0" customHeight="1"/>
    <row r="985" ht="51.0" customHeight="1"/>
    <row r="986" ht="51.0" customHeight="1"/>
    <row r="987" ht="51.0" customHeight="1"/>
    <row r="988" ht="51.0" customHeight="1"/>
    <row r="989" ht="51.0" customHeight="1"/>
    <row r="990" ht="51.0" customHeight="1"/>
    <row r="991" ht="51.0" customHeight="1"/>
    <row r="992" ht="51.0" customHeight="1"/>
    <row r="993" ht="51.0" customHeight="1"/>
    <row r="994" ht="51.0" customHeight="1"/>
    <row r="995" ht="51.0" customHeight="1"/>
    <row r="996" ht="51.0" customHeight="1"/>
    <row r="997" ht="51.0" customHeight="1"/>
    <row r="998" ht="51.0" customHeight="1"/>
    <row r="999" ht="51.0" customHeight="1"/>
    <row r="1000" ht="51.0" customHeight="1"/>
  </sheetData>
  <conditionalFormatting sqref="A2:G25">
    <cfRule type="containsBlanks" dxfId="0" priority="1">
      <formula>LEN(TRIM(A2))=0</formula>
    </cfRule>
  </conditionalFormatting>
  <conditionalFormatting sqref="E26:E31">
    <cfRule type="containsBlanks" dxfId="0" priority="2">
      <formula>LEN(TRIM(E26))=0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36.29"/>
    <col customWidth="1" min="3" max="4" width="8.71"/>
    <col customWidth="1" min="5" max="5" width="24.71"/>
    <col customWidth="1" min="6" max="6" width="66.71"/>
    <col customWidth="1" min="7" max="7" width="17.43"/>
    <col customWidth="1" min="8" max="8" width="24.71"/>
    <col customWidth="1" min="9" max="26" width="8.71"/>
  </cols>
  <sheetData>
    <row r="1" ht="15.75" customHeight="1">
      <c r="A1" s="895" t="s">
        <v>1</v>
      </c>
      <c r="B1" s="896" t="s">
        <v>2815</v>
      </c>
      <c r="C1" s="895" t="s">
        <v>4</v>
      </c>
      <c r="D1" s="895" t="s">
        <v>3299</v>
      </c>
      <c r="E1" s="895" t="s">
        <v>3</v>
      </c>
      <c r="F1" s="896" t="s">
        <v>12</v>
      </c>
      <c r="G1" s="897" t="s">
        <v>13</v>
      </c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792"/>
      <c r="X1" s="792"/>
      <c r="Y1" s="792"/>
      <c r="Z1" s="792"/>
    </row>
    <row r="2" ht="15.75" customHeight="1">
      <c r="A2" s="781">
        <v>1.0</v>
      </c>
      <c r="B2" s="898" t="s">
        <v>258</v>
      </c>
      <c r="C2" s="781">
        <v>1.0</v>
      </c>
      <c r="D2" s="781">
        <f t="shared" ref="D2:D199" si="1">44*C2</f>
        <v>44</v>
      </c>
      <c r="E2" s="781" t="s">
        <v>1697</v>
      </c>
      <c r="F2" s="898" t="s">
        <v>255</v>
      </c>
      <c r="G2" s="791" t="str">
        <f>IMAGE("https://m.media-amazon.com/images/W/MEDIAX_792452-T2/images/I/417I5BCQPSL.jpg",1)</f>
        <v/>
      </c>
      <c r="H2" s="899"/>
      <c r="I2" s="899"/>
      <c r="J2" s="792"/>
      <c r="K2" s="792"/>
      <c r="L2" s="792"/>
      <c r="M2" s="792"/>
      <c r="N2" s="792"/>
      <c r="O2" s="792"/>
      <c r="P2" s="792"/>
      <c r="Q2" s="792"/>
      <c r="R2" s="792"/>
      <c r="S2" s="792"/>
      <c r="T2" s="792"/>
      <c r="U2" s="792"/>
      <c r="V2" s="792"/>
      <c r="W2" s="792"/>
      <c r="X2" s="792"/>
      <c r="Y2" s="792"/>
      <c r="Z2" s="792"/>
    </row>
    <row r="3" ht="15.75" customHeight="1">
      <c r="A3" s="781">
        <v>2.0</v>
      </c>
      <c r="B3" s="898" t="s">
        <v>262</v>
      </c>
      <c r="C3" s="781">
        <v>1.0</v>
      </c>
      <c r="D3" s="781">
        <f t="shared" si="1"/>
        <v>44</v>
      </c>
      <c r="E3" s="781" t="s">
        <v>1697</v>
      </c>
      <c r="F3" s="898" t="s">
        <v>259</v>
      </c>
      <c r="G3" s="791" t="str">
        <f>IMAGE("https://m.media-amazon.com/images/I/61zJ0n1EqGS._AC_SL1500_.jpg",1)</f>
        <v/>
      </c>
      <c r="H3" s="899"/>
      <c r="I3" s="899"/>
      <c r="J3" s="792"/>
      <c r="K3" s="792"/>
      <c r="L3" s="792"/>
      <c r="M3" s="792"/>
      <c r="N3" s="792"/>
      <c r="O3" s="792"/>
      <c r="P3" s="792"/>
      <c r="Q3" s="792"/>
      <c r="R3" s="792"/>
      <c r="S3" s="792"/>
      <c r="T3" s="792"/>
      <c r="U3" s="792"/>
      <c r="V3" s="792"/>
      <c r="W3" s="792"/>
      <c r="X3" s="792"/>
      <c r="Y3" s="792"/>
      <c r="Z3" s="792"/>
    </row>
    <row r="4" ht="15.75" customHeight="1">
      <c r="A4" s="781">
        <v>3.0</v>
      </c>
      <c r="B4" s="898" t="s">
        <v>248</v>
      </c>
      <c r="C4" s="781">
        <v>1.0</v>
      </c>
      <c r="D4" s="781">
        <f t="shared" si="1"/>
        <v>44</v>
      </c>
      <c r="E4" s="781" t="s">
        <v>1697</v>
      </c>
      <c r="F4" s="898" t="s">
        <v>1341</v>
      </c>
      <c r="G4" s="791" t="str">
        <f>IMAGE("https://rukminim2.flixcart.com/image/832/832/k8t3jbk0/cable-sleeve/j/c/q/black-2mm-polyolefin-heat-shrink-tube-sleeve-for-wrap-60-meter-original-imafqq3y2g2v9vzz.jpeg?q=70",1)</f>
        <v/>
      </c>
      <c r="H4" s="899"/>
      <c r="I4" s="899"/>
      <c r="J4" s="792"/>
      <c r="K4" s="792"/>
      <c r="L4" s="792"/>
      <c r="M4" s="792"/>
      <c r="N4" s="792"/>
      <c r="O4" s="792"/>
      <c r="P4" s="792"/>
      <c r="Q4" s="792"/>
      <c r="R4" s="792"/>
      <c r="S4" s="792"/>
      <c r="T4" s="792"/>
      <c r="U4" s="792"/>
      <c r="V4" s="792"/>
      <c r="W4" s="792"/>
      <c r="X4" s="792"/>
      <c r="Y4" s="792"/>
      <c r="Z4" s="792"/>
    </row>
    <row r="5" ht="15.75" customHeight="1">
      <c r="A5" s="781">
        <v>4.0</v>
      </c>
      <c r="B5" s="898" t="s">
        <v>254</v>
      </c>
      <c r="C5" s="781">
        <v>1.0</v>
      </c>
      <c r="D5" s="781">
        <f t="shared" si="1"/>
        <v>44</v>
      </c>
      <c r="E5" s="781" t="s">
        <v>1697</v>
      </c>
      <c r="F5" s="898" t="s">
        <v>251</v>
      </c>
      <c r="G5" s="791" t="str">
        <f>IMAGE("https://m.media-amazon.com/images/I/61zJ0n1EqGS._AC_SL1500_.jpg",1)</f>
        <v/>
      </c>
      <c r="H5" s="792"/>
      <c r="I5" s="792"/>
      <c r="J5" s="792"/>
      <c r="K5" s="792"/>
      <c r="L5" s="792"/>
      <c r="M5" s="792"/>
      <c r="N5" s="792"/>
      <c r="O5" s="792"/>
      <c r="P5" s="792"/>
      <c r="Q5" s="792"/>
      <c r="R5" s="792"/>
      <c r="S5" s="792"/>
      <c r="T5" s="792"/>
      <c r="U5" s="792"/>
      <c r="V5" s="792"/>
      <c r="W5" s="792"/>
      <c r="X5" s="792"/>
      <c r="Y5" s="792"/>
      <c r="Z5" s="792"/>
    </row>
    <row r="6" ht="15.75" customHeight="1">
      <c r="A6" s="781">
        <v>5.0</v>
      </c>
      <c r="B6" s="898" t="s">
        <v>3300</v>
      </c>
      <c r="C6" s="781">
        <v>10.0</v>
      </c>
      <c r="D6" s="781">
        <f t="shared" si="1"/>
        <v>440</v>
      </c>
      <c r="E6" s="781" t="s">
        <v>1697</v>
      </c>
      <c r="F6" s="898" t="s">
        <v>1396</v>
      </c>
      <c r="G6" s="791" t="str">
        <f>IMAGE("https://robu.in/wp-content/uploads/2019/06/3.5mm-Audio-Plug-3-Pole-Gold-plated-Earphone-Adapter-For-DIY-Stereo-Headset-5.jpg",1)</f>
        <v/>
      </c>
      <c r="H6" s="792"/>
      <c r="I6" s="792"/>
      <c r="J6" s="792"/>
      <c r="K6" s="792"/>
      <c r="L6" s="792"/>
      <c r="M6" s="792"/>
      <c r="N6" s="792"/>
      <c r="O6" s="792"/>
      <c r="P6" s="792"/>
      <c r="Q6" s="792"/>
      <c r="R6" s="792"/>
      <c r="S6" s="792"/>
      <c r="T6" s="792"/>
      <c r="U6" s="792"/>
      <c r="V6" s="792"/>
      <c r="W6" s="792"/>
      <c r="X6" s="792"/>
      <c r="Y6" s="792"/>
      <c r="Z6" s="792"/>
    </row>
    <row r="7" ht="15.75" customHeight="1">
      <c r="A7" s="781">
        <v>6.0</v>
      </c>
      <c r="B7" s="898" t="s">
        <v>930</v>
      </c>
      <c r="C7" s="781">
        <v>10.0</v>
      </c>
      <c r="D7" s="781">
        <f t="shared" si="1"/>
        <v>440</v>
      </c>
      <c r="E7" s="781" t="s">
        <v>1697</v>
      </c>
      <c r="F7" s="898" t="s">
        <v>1624</v>
      </c>
      <c r="G7" s="791" t="str">
        <f>IMAGE("https://5.imimg.com/data5/SELLER/Default/2023/2/OP/GV/HH/182244990/water-pump-module-1000x1000.jpg",1)</f>
        <v/>
      </c>
      <c r="H7" s="792"/>
      <c r="I7" s="792"/>
      <c r="J7" s="792"/>
      <c r="K7" s="792"/>
      <c r="L7" s="792"/>
      <c r="M7" s="792"/>
      <c r="N7" s="792"/>
      <c r="O7" s="792"/>
      <c r="P7" s="792"/>
      <c r="Q7" s="792"/>
      <c r="R7" s="792"/>
      <c r="S7" s="792"/>
      <c r="T7" s="792"/>
      <c r="U7" s="792"/>
      <c r="V7" s="792"/>
      <c r="W7" s="792"/>
      <c r="X7" s="792"/>
      <c r="Y7" s="792"/>
      <c r="Z7" s="792"/>
    </row>
    <row r="8" ht="15.75" customHeight="1">
      <c r="A8" s="781">
        <v>7.0</v>
      </c>
      <c r="B8" s="898" t="s">
        <v>2890</v>
      </c>
      <c r="C8" s="781">
        <v>20.0</v>
      </c>
      <c r="D8" s="781">
        <f t="shared" si="1"/>
        <v>880</v>
      </c>
      <c r="E8" s="781" t="s">
        <v>1697</v>
      </c>
      <c r="F8" s="898" t="s">
        <v>1455</v>
      </c>
      <c r="G8" s="791" t="str">
        <f>IMAGE("https://www.electronicscomp.com/image/cache/catalog/cd4033-5-stage-johnson-decade-counter-ic-dip-16-800x800.jpg",1)</f>
        <v/>
      </c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792"/>
      <c r="X8" s="792"/>
      <c r="Y8" s="792"/>
      <c r="Z8" s="792"/>
    </row>
    <row r="9" ht="15.75" customHeight="1">
      <c r="A9" s="781">
        <v>8.0</v>
      </c>
      <c r="B9" s="898" t="s">
        <v>2895</v>
      </c>
      <c r="C9" s="781">
        <v>10.0</v>
      </c>
      <c r="D9" s="781">
        <f t="shared" si="1"/>
        <v>440</v>
      </c>
      <c r="E9" s="781" t="s">
        <v>1697</v>
      </c>
      <c r="F9" s="898" t="s">
        <v>242</v>
      </c>
      <c r="G9" s="791" t="str">
        <f>IMAGE("https://robu.in/wp-content/uploads/2020/09/DC3-6V-130-DIY-Toy-Motor-2-Pcs.-1.png",1)</f>
        <v/>
      </c>
      <c r="H9" s="792"/>
      <c r="I9" s="792"/>
      <c r="J9" s="792"/>
      <c r="K9" s="792"/>
      <c r="L9" s="792"/>
      <c r="M9" s="792"/>
      <c r="N9" s="792"/>
      <c r="O9" s="792"/>
      <c r="P9" s="792"/>
      <c r="Q9" s="792"/>
      <c r="R9" s="792"/>
      <c r="S9" s="792"/>
      <c r="T9" s="792"/>
      <c r="U9" s="792"/>
      <c r="V9" s="792"/>
      <c r="W9" s="792"/>
      <c r="X9" s="792"/>
      <c r="Y9" s="792"/>
      <c r="Z9" s="792"/>
    </row>
    <row r="10" ht="15.75" customHeight="1">
      <c r="A10" s="781">
        <v>9.0</v>
      </c>
      <c r="B10" s="898" t="s">
        <v>634</v>
      </c>
      <c r="C10" s="781">
        <v>20.0</v>
      </c>
      <c r="D10" s="781">
        <f t="shared" si="1"/>
        <v>880</v>
      </c>
      <c r="E10" s="781" t="s">
        <v>1697</v>
      </c>
      <c r="F10" s="898" t="s">
        <v>631</v>
      </c>
      <c r="G10" s="791" t="str">
        <f t="shared" ref="G10:G11" si="2">IMAGE("https://www.electronicscomp.com/image/cache/catalog/irfz44-n-channel-power-mosfet-1-800x800.JPG",1)</f>
        <v/>
      </c>
      <c r="H10" s="792"/>
      <c r="I10" s="792"/>
      <c r="J10" s="792"/>
      <c r="K10" s="792"/>
      <c r="L10" s="792"/>
      <c r="M10" s="792"/>
      <c r="N10" s="792"/>
      <c r="O10" s="792"/>
      <c r="P10" s="792"/>
      <c r="Q10" s="792"/>
      <c r="R10" s="792"/>
      <c r="S10" s="792"/>
      <c r="T10" s="792"/>
      <c r="U10" s="792"/>
      <c r="V10" s="792"/>
      <c r="W10" s="792"/>
      <c r="X10" s="792"/>
      <c r="Y10" s="792"/>
      <c r="Z10" s="792"/>
    </row>
    <row r="11" ht="15.75" customHeight="1">
      <c r="A11" s="781">
        <v>10.0</v>
      </c>
      <c r="B11" s="898" t="s">
        <v>630</v>
      </c>
      <c r="C11" s="781">
        <v>20.0</v>
      </c>
      <c r="D11" s="781">
        <f t="shared" si="1"/>
        <v>880</v>
      </c>
      <c r="E11" s="781" t="s">
        <v>1697</v>
      </c>
      <c r="F11" s="898" t="s">
        <v>912</v>
      </c>
      <c r="G11" s="791" t="str">
        <f t="shared" si="2"/>
        <v/>
      </c>
      <c r="H11" s="792"/>
      <c r="I11" s="792"/>
      <c r="J11" s="792"/>
      <c r="K11" s="792"/>
      <c r="L11" s="792"/>
      <c r="M11" s="792"/>
      <c r="N11" s="792"/>
      <c r="O11" s="792"/>
      <c r="P11" s="792"/>
      <c r="Q11" s="792"/>
      <c r="R11" s="792"/>
      <c r="S11" s="792"/>
      <c r="T11" s="792"/>
      <c r="U11" s="792"/>
      <c r="V11" s="792"/>
      <c r="W11" s="792"/>
      <c r="X11" s="792"/>
      <c r="Y11" s="792"/>
      <c r="Z11" s="792"/>
    </row>
    <row r="12" ht="15.75" customHeight="1">
      <c r="A12" s="781">
        <v>11.0</v>
      </c>
      <c r="B12" s="898" t="s">
        <v>3301</v>
      </c>
      <c r="C12" s="781">
        <v>5.0</v>
      </c>
      <c r="D12" s="781">
        <f t="shared" si="1"/>
        <v>220</v>
      </c>
      <c r="E12" s="781" t="s">
        <v>1697</v>
      </c>
      <c r="F12" s="898" t="s">
        <v>180</v>
      </c>
      <c r="G12" s="791" t="str">
        <f>IMAGE("https://robu.in/wp-content/uploads/2021/05/EU-Plug-Universal-Battery-Charger-For-18650-16340-14500-Li-ion-Rechargeable-Battery-Charger-3.jpg",1)</f>
        <v/>
      </c>
      <c r="H12" s="792"/>
      <c r="I12" s="792"/>
      <c r="J12" s="792"/>
      <c r="K12" s="792"/>
      <c r="L12" s="792"/>
      <c r="M12" s="792"/>
      <c r="N12" s="792"/>
      <c r="O12" s="792"/>
      <c r="P12" s="792"/>
      <c r="Q12" s="792"/>
      <c r="R12" s="792"/>
      <c r="S12" s="792"/>
      <c r="T12" s="792"/>
      <c r="U12" s="792"/>
      <c r="V12" s="792"/>
      <c r="W12" s="792"/>
      <c r="X12" s="792"/>
      <c r="Y12" s="792"/>
      <c r="Z12" s="792"/>
    </row>
    <row r="13" ht="15.75" customHeight="1">
      <c r="A13" s="781">
        <v>12.0</v>
      </c>
      <c r="B13" s="898" t="s">
        <v>202</v>
      </c>
      <c r="C13" s="781">
        <v>10.0</v>
      </c>
      <c r="D13" s="781">
        <f t="shared" si="1"/>
        <v>440</v>
      </c>
      <c r="E13" s="781" t="s">
        <v>1697</v>
      </c>
      <c r="F13" s="898" t="s">
        <v>199</v>
      </c>
      <c r="G13" s="791" t="str">
        <f>IMAGE("https://robotools.in/wp-content/uploads/2022/09/18650-x-2-battery-holder-with-cover-and-OnOff-Switch-5.jpg",1)</f>
        <v/>
      </c>
      <c r="H13" s="792"/>
      <c r="I13" s="792"/>
      <c r="J13" s="792"/>
      <c r="K13" s="792"/>
      <c r="L13" s="792"/>
      <c r="M13" s="792"/>
      <c r="N13" s="792"/>
      <c r="O13" s="792"/>
      <c r="P13" s="792"/>
      <c r="Q13" s="792"/>
      <c r="R13" s="792"/>
      <c r="S13" s="792"/>
      <c r="T13" s="792"/>
      <c r="U13" s="792"/>
      <c r="V13" s="792"/>
      <c r="W13" s="792"/>
      <c r="X13" s="792"/>
      <c r="Y13" s="792"/>
      <c r="Z13" s="792"/>
    </row>
    <row r="14" ht="15.75" customHeight="1">
      <c r="A14" s="781">
        <v>13.0</v>
      </c>
      <c r="B14" s="898" t="s">
        <v>1678</v>
      </c>
      <c r="C14" s="781">
        <v>10.0</v>
      </c>
      <c r="D14" s="781">
        <f t="shared" si="1"/>
        <v>440</v>
      </c>
      <c r="E14" s="781" t="s">
        <v>1697</v>
      </c>
      <c r="F14" s="898" t="s">
        <v>1267</v>
      </c>
      <c r="G14" s="791" t="str">
        <f>IMAGE("https://5.imimg.com/data5/FT/MG/MY-9316309/soldering-wire-500x500.jpg",1)</f>
        <v/>
      </c>
      <c r="H14" s="792"/>
      <c r="I14" s="792"/>
      <c r="J14" s="792"/>
      <c r="K14" s="792"/>
      <c r="L14" s="792"/>
      <c r="M14" s="792"/>
      <c r="N14" s="792"/>
      <c r="O14" s="792"/>
      <c r="P14" s="792"/>
      <c r="Q14" s="792"/>
      <c r="R14" s="792"/>
      <c r="S14" s="792"/>
      <c r="T14" s="792"/>
      <c r="U14" s="792"/>
      <c r="V14" s="792"/>
      <c r="W14" s="792"/>
      <c r="X14" s="792"/>
      <c r="Y14" s="792"/>
      <c r="Z14" s="792"/>
    </row>
    <row r="15" ht="15.75" customHeight="1">
      <c r="A15" s="781">
        <v>14.0</v>
      </c>
      <c r="B15" s="898" t="s">
        <v>1658</v>
      </c>
      <c r="C15" s="781">
        <v>10.0</v>
      </c>
      <c r="D15" s="781">
        <f t="shared" si="1"/>
        <v>440</v>
      </c>
      <c r="E15" s="781" t="s">
        <v>1697</v>
      </c>
      <c r="F15" s="898" t="s">
        <v>1655</v>
      </c>
      <c r="G15" s="791" t="str">
        <f>IMAGE("https://m.media-amazon.com/images/W/MEDIAX_792452-T2/images/I/41OjS3jnL4L.jpg",1)</f>
        <v/>
      </c>
      <c r="H15" s="792"/>
      <c r="I15" s="792"/>
      <c r="J15" s="792"/>
      <c r="K15" s="792"/>
      <c r="L15" s="792"/>
      <c r="M15" s="792"/>
      <c r="N15" s="792"/>
      <c r="O15" s="792"/>
      <c r="P15" s="792"/>
      <c r="Q15" s="792"/>
      <c r="R15" s="792"/>
      <c r="S15" s="792"/>
      <c r="T15" s="792"/>
      <c r="U15" s="792"/>
      <c r="V15" s="792"/>
      <c r="W15" s="792"/>
      <c r="X15" s="792"/>
      <c r="Y15" s="792"/>
      <c r="Z15" s="792"/>
    </row>
    <row r="16" ht="15.75" customHeight="1">
      <c r="A16" s="781">
        <v>15.0</v>
      </c>
      <c r="B16" s="898" t="s">
        <v>1743</v>
      </c>
      <c r="C16" s="781">
        <v>10.0</v>
      </c>
      <c r="D16" s="781">
        <f t="shared" si="1"/>
        <v>440</v>
      </c>
      <c r="E16" s="781" t="s">
        <v>1697</v>
      </c>
      <c r="F16" s="898" t="s">
        <v>1639</v>
      </c>
      <c r="G16" s="791" t="str">
        <f>IMAGE("https://m.media-amazon.com/images/W/MEDIAX_792452-T2/images/I/91hMIBtDtPS._SL1500_.jpg")</f>
        <v/>
      </c>
      <c r="H16" s="792"/>
      <c r="I16" s="792"/>
      <c r="J16" s="792"/>
      <c r="K16" s="792"/>
      <c r="L16" s="792"/>
      <c r="M16" s="792"/>
      <c r="N16" s="792"/>
      <c r="O16" s="792"/>
      <c r="P16" s="792"/>
      <c r="Q16" s="792"/>
      <c r="R16" s="792"/>
      <c r="S16" s="792"/>
      <c r="T16" s="792"/>
      <c r="U16" s="792"/>
      <c r="V16" s="792"/>
      <c r="W16" s="792"/>
      <c r="X16" s="792"/>
      <c r="Y16" s="792"/>
      <c r="Z16" s="792"/>
    </row>
    <row r="17" ht="15.75" customHeight="1">
      <c r="A17" s="781">
        <v>16.0</v>
      </c>
      <c r="B17" s="898" t="s">
        <v>1633</v>
      </c>
      <c r="C17" s="781">
        <v>10.0</v>
      </c>
      <c r="D17" s="781">
        <f t="shared" si="1"/>
        <v>440</v>
      </c>
      <c r="E17" s="781" t="s">
        <v>1697</v>
      </c>
      <c r="F17" s="898" t="s">
        <v>1630</v>
      </c>
      <c r="G17" s="791" t="str">
        <f>IMAGE("https://i0.wp.com/armsol.in/wp-content/uploads/2021/08/1-5-rotated.jpg?fit=600%2C600&amp;ssl=1",1)</f>
        <v/>
      </c>
      <c r="H17" s="792"/>
      <c r="I17" s="792"/>
      <c r="J17" s="792"/>
      <c r="K17" s="792"/>
      <c r="L17" s="792"/>
      <c r="M17" s="792"/>
      <c r="N17" s="792"/>
      <c r="O17" s="792"/>
      <c r="P17" s="792"/>
      <c r="Q17" s="792"/>
      <c r="R17" s="792"/>
      <c r="S17" s="792"/>
      <c r="T17" s="792"/>
      <c r="U17" s="792"/>
      <c r="V17" s="792"/>
      <c r="W17" s="792"/>
      <c r="X17" s="792"/>
      <c r="Y17" s="792"/>
      <c r="Z17" s="792"/>
    </row>
    <row r="18" ht="15.75" customHeight="1">
      <c r="A18" s="781">
        <v>17.0</v>
      </c>
      <c r="B18" s="898" t="s">
        <v>1627</v>
      </c>
      <c r="C18" s="781">
        <v>10.0</v>
      </c>
      <c r="D18" s="781">
        <f t="shared" si="1"/>
        <v>440</v>
      </c>
      <c r="E18" s="781" t="s">
        <v>1697</v>
      </c>
      <c r="F18" s="898" t="s">
        <v>1381</v>
      </c>
      <c r="G18" s="791" t="str">
        <f>IMAGE("https://m.media-amazon.com/images/W/MEDIAX_792452-T2/images/I/419leG1YjXL.jpg",1)</f>
        <v/>
      </c>
      <c r="H18" s="792"/>
      <c r="I18" s="792"/>
      <c r="J18" s="792"/>
      <c r="K18" s="792"/>
      <c r="L18" s="792"/>
      <c r="M18" s="792"/>
      <c r="N18" s="792"/>
      <c r="O18" s="792"/>
      <c r="P18" s="792"/>
      <c r="Q18" s="792"/>
      <c r="R18" s="792"/>
      <c r="S18" s="792"/>
      <c r="T18" s="792"/>
      <c r="U18" s="792"/>
      <c r="V18" s="792"/>
      <c r="W18" s="792"/>
      <c r="X18" s="792"/>
      <c r="Y18" s="792"/>
      <c r="Z18" s="792"/>
    </row>
    <row r="19" ht="15.75" customHeight="1">
      <c r="A19" s="781">
        <v>18.0</v>
      </c>
      <c r="B19" s="898" t="s">
        <v>962</v>
      </c>
      <c r="C19" s="781">
        <v>10.0</v>
      </c>
      <c r="D19" s="781">
        <f t="shared" si="1"/>
        <v>440</v>
      </c>
      <c r="E19" s="781" t="s">
        <v>1697</v>
      </c>
      <c r="F19" s="898" t="s">
        <v>959</v>
      </c>
      <c r="G19" s="791" t="str">
        <f>IMAGE("https://robu.in/wp-content/uploads/2016/02/617hpF6cJbL._SL1000_.jpg",1)</f>
        <v/>
      </c>
      <c r="H19" s="792"/>
      <c r="I19" s="792"/>
      <c r="J19" s="792"/>
      <c r="K19" s="792"/>
      <c r="L19" s="792"/>
      <c r="M19" s="792"/>
      <c r="N19" s="792"/>
      <c r="O19" s="792"/>
      <c r="P19" s="792"/>
      <c r="Q19" s="792"/>
      <c r="R19" s="792"/>
      <c r="S19" s="792"/>
      <c r="T19" s="792"/>
      <c r="U19" s="792"/>
      <c r="V19" s="792"/>
      <c r="W19" s="792"/>
      <c r="X19" s="792"/>
      <c r="Y19" s="792"/>
      <c r="Z19" s="792"/>
    </row>
    <row r="20" ht="15.75" customHeight="1">
      <c r="A20" s="781">
        <v>19.0</v>
      </c>
      <c r="B20" s="898" t="s">
        <v>890</v>
      </c>
      <c r="C20" s="781">
        <v>10.0</v>
      </c>
      <c r="D20" s="781">
        <f t="shared" si="1"/>
        <v>440</v>
      </c>
      <c r="E20" s="781" t="s">
        <v>1697</v>
      </c>
      <c r="F20" s="898" t="s">
        <v>1440</v>
      </c>
      <c r="G20" s="791" t="str">
        <f>IMAGE("https://encrypted-tbn0.gstatic.com/images?q=tbn:ANd9GcQ9HdcUbkhENGQnNmIni640zFk33IAUdUx_x0uluq_AFf1Hud04FBhhZQFZXM2xrHw_7W4&amp;usqp=CAU",1)</f>
        <v/>
      </c>
      <c r="H20" s="792"/>
      <c r="I20" s="792"/>
      <c r="J20" s="792"/>
      <c r="K20" s="792"/>
      <c r="L20" s="792"/>
      <c r="M20" s="792"/>
      <c r="N20" s="792"/>
      <c r="O20" s="792"/>
      <c r="P20" s="792"/>
      <c r="Q20" s="792"/>
      <c r="R20" s="792"/>
      <c r="S20" s="792"/>
      <c r="T20" s="792"/>
      <c r="U20" s="792"/>
      <c r="V20" s="792"/>
      <c r="W20" s="792"/>
      <c r="X20" s="792"/>
      <c r="Y20" s="792"/>
      <c r="Z20" s="792"/>
    </row>
    <row r="21" ht="15.75" customHeight="1">
      <c r="A21" s="781">
        <v>20.0</v>
      </c>
      <c r="B21" s="898" t="s">
        <v>2838</v>
      </c>
      <c r="C21" s="781">
        <v>10.0</v>
      </c>
      <c r="D21" s="781">
        <f t="shared" si="1"/>
        <v>440</v>
      </c>
      <c r="E21" s="781" t="s">
        <v>1697</v>
      </c>
      <c r="F21" s="898" t="s">
        <v>1427</v>
      </c>
      <c r="G21" s="791" t="str">
        <f>IMAGE("https://m.media-amazon.com/images/I/61PFvg8BbeL._SL1500_.jpg",1)</f>
        <v/>
      </c>
      <c r="H21" s="792"/>
      <c r="I21" s="792"/>
      <c r="J21" s="792"/>
      <c r="K21" s="792"/>
      <c r="L21" s="792"/>
      <c r="M21" s="792"/>
      <c r="N21" s="792"/>
      <c r="O21" s="792"/>
      <c r="P21" s="792"/>
      <c r="Q21" s="792"/>
      <c r="R21" s="792"/>
      <c r="S21" s="792"/>
      <c r="T21" s="792"/>
      <c r="U21" s="792"/>
      <c r="V21" s="792"/>
      <c r="W21" s="792"/>
      <c r="X21" s="792"/>
      <c r="Y21" s="792"/>
      <c r="Z21" s="792"/>
    </row>
    <row r="22" ht="15.75" customHeight="1">
      <c r="A22" s="781">
        <v>21.0</v>
      </c>
      <c r="B22" s="898" t="s">
        <v>2916</v>
      </c>
      <c r="C22" s="781">
        <v>10.0</v>
      </c>
      <c r="D22" s="781">
        <f t="shared" si="1"/>
        <v>440</v>
      </c>
      <c r="E22" s="781" t="s">
        <v>1697</v>
      </c>
      <c r="F22" s="898" t="s">
        <v>2917</v>
      </c>
      <c r="G22" s="791" t="str">
        <f>IMAGE("https://m.media-amazon.com/images/W/MEDIAX_792452-T2/images/I/61e+2rew8OL._SL1011_.jpg",1)</f>
        <v/>
      </c>
      <c r="H22" s="792"/>
      <c r="I22" s="792"/>
      <c r="J22" s="792"/>
      <c r="K22" s="792"/>
      <c r="L22" s="792"/>
      <c r="M22" s="792"/>
      <c r="N22" s="792"/>
      <c r="O22" s="792"/>
      <c r="P22" s="792"/>
      <c r="Q22" s="792"/>
      <c r="R22" s="792"/>
      <c r="S22" s="792"/>
      <c r="T22" s="792"/>
      <c r="U22" s="792"/>
      <c r="V22" s="792"/>
      <c r="W22" s="792"/>
      <c r="X22" s="792"/>
      <c r="Y22" s="792"/>
      <c r="Z22" s="792"/>
    </row>
    <row r="23" ht="15.75" customHeight="1">
      <c r="A23" s="781">
        <v>22.0</v>
      </c>
      <c r="B23" s="898" t="s">
        <v>1789</v>
      </c>
      <c r="C23" s="781">
        <v>10.0</v>
      </c>
      <c r="D23" s="781">
        <f t="shared" si="1"/>
        <v>440</v>
      </c>
      <c r="E23" s="781" t="s">
        <v>1697</v>
      </c>
      <c r="F23" s="898" t="s">
        <v>1210</v>
      </c>
      <c r="G23" s="791" t="str">
        <f>IMAGE("https://encrypted-tbn0.gstatic.com/images?q=tbn:ANd9GcRrIyUWjQ1rnIJDwYms78skSv9zbdkdml4sTR1WfoKl6GFD5OWnZULG8H98AB-i394c3VQ&amp;usqp=CAU",1)</f>
        <v/>
      </c>
      <c r="H23" s="792"/>
      <c r="I23" s="792"/>
      <c r="J23" s="792"/>
      <c r="K23" s="792"/>
      <c r="L23" s="792"/>
      <c r="M23" s="792"/>
      <c r="N23" s="792"/>
      <c r="O23" s="792"/>
      <c r="P23" s="792"/>
      <c r="Q23" s="792"/>
      <c r="R23" s="792"/>
      <c r="S23" s="792"/>
      <c r="T23" s="792"/>
      <c r="U23" s="792"/>
      <c r="V23" s="792"/>
      <c r="W23" s="792"/>
      <c r="X23" s="792"/>
      <c r="Y23" s="792"/>
      <c r="Z23" s="792"/>
    </row>
    <row r="24" ht="15.75" customHeight="1">
      <c r="A24" s="781">
        <v>23.0</v>
      </c>
      <c r="B24" s="898" t="s">
        <v>1526</v>
      </c>
      <c r="C24" s="781">
        <v>5.0</v>
      </c>
      <c r="D24" s="781">
        <f t="shared" si="1"/>
        <v>220</v>
      </c>
      <c r="E24" s="781" t="s">
        <v>1697</v>
      </c>
      <c r="F24" s="898" t="s">
        <v>1020</v>
      </c>
      <c r="G24" s="791" t="str">
        <f>IMAGE("https://robu.in/wp-content/uploads/2016/08/2-1.jpg",1)</f>
        <v/>
      </c>
      <c r="H24" s="792"/>
      <c r="I24" s="792"/>
      <c r="J24" s="792"/>
      <c r="K24" s="792"/>
      <c r="L24" s="792"/>
      <c r="M24" s="792"/>
      <c r="N24" s="792"/>
      <c r="O24" s="792"/>
      <c r="P24" s="792"/>
      <c r="Q24" s="792"/>
      <c r="R24" s="792"/>
      <c r="S24" s="792"/>
      <c r="T24" s="792"/>
      <c r="U24" s="792"/>
      <c r="V24" s="792"/>
      <c r="W24" s="792"/>
      <c r="X24" s="792"/>
      <c r="Y24" s="792"/>
      <c r="Z24" s="792"/>
    </row>
    <row r="25" ht="15.75" customHeight="1">
      <c r="A25" s="781">
        <v>24.0</v>
      </c>
      <c r="B25" s="898" t="s">
        <v>1530</v>
      </c>
      <c r="C25" s="781">
        <v>5.0</v>
      </c>
      <c r="D25" s="781">
        <f t="shared" si="1"/>
        <v>220</v>
      </c>
      <c r="E25" s="781" t="s">
        <v>1697</v>
      </c>
      <c r="F25" s="898" t="s">
        <v>1451</v>
      </c>
      <c r="G25" s="791" t="str">
        <f>IMAGE("https://5.imimg.com/data5/SELLER/Default/2023/1/KQ/RE/WN/37611021/unique-india-force-pressure-sensor-square-500x500.jpg",1)</f>
        <v/>
      </c>
      <c r="H25" s="792"/>
      <c r="I25" s="792"/>
      <c r="J25" s="792"/>
      <c r="K25" s="792"/>
      <c r="L25" s="792"/>
      <c r="M25" s="792"/>
      <c r="N25" s="792"/>
      <c r="O25" s="792"/>
      <c r="P25" s="792"/>
      <c r="Q25" s="792"/>
      <c r="R25" s="792"/>
      <c r="S25" s="792"/>
      <c r="T25" s="792"/>
      <c r="U25" s="792"/>
      <c r="V25" s="792"/>
      <c r="W25" s="792"/>
      <c r="X25" s="792"/>
      <c r="Y25" s="792"/>
      <c r="Z25" s="792"/>
    </row>
    <row r="26" ht="15.75" customHeight="1">
      <c r="A26" s="781">
        <v>25.0</v>
      </c>
      <c r="B26" s="898" t="s">
        <v>940</v>
      </c>
      <c r="C26" s="781">
        <v>5.0</v>
      </c>
      <c r="D26" s="781">
        <f t="shared" si="1"/>
        <v>220</v>
      </c>
      <c r="E26" s="781" t="s">
        <v>1697</v>
      </c>
      <c r="F26" s="898" t="s">
        <v>1181</v>
      </c>
      <c r="G26" s="791" t="str">
        <f>IMAGE("https://robu.in/wp-content/uploads/2016/03/Ublox-Neo-6M-GPS.jpg",1)</f>
        <v/>
      </c>
      <c r="H26" s="792"/>
      <c r="I26" s="792"/>
      <c r="J26" s="792"/>
      <c r="K26" s="792"/>
      <c r="L26" s="792"/>
      <c r="M26" s="792"/>
      <c r="N26" s="792"/>
      <c r="O26" s="792"/>
      <c r="P26" s="792"/>
      <c r="Q26" s="792"/>
      <c r="R26" s="792"/>
      <c r="S26" s="792"/>
      <c r="T26" s="792"/>
      <c r="U26" s="792"/>
      <c r="V26" s="792"/>
      <c r="W26" s="792"/>
      <c r="X26" s="792"/>
      <c r="Y26" s="792"/>
      <c r="Z26" s="792"/>
    </row>
    <row r="27" ht="15.75" customHeight="1">
      <c r="A27" s="781">
        <v>26.0</v>
      </c>
      <c r="B27" s="898" t="s">
        <v>3044</v>
      </c>
      <c r="C27" s="781">
        <v>5.0</v>
      </c>
      <c r="D27" s="781">
        <f t="shared" si="1"/>
        <v>220</v>
      </c>
      <c r="E27" s="781" t="s">
        <v>1697</v>
      </c>
      <c r="F27" s="898" t="s">
        <v>1539</v>
      </c>
      <c r="G27" s="791" t="str">
        <f>IMAGE("https://makerbazar.in/cdn/shop/products/IR-Array_2048x2048_29f53719-c65f-4f67-a7f9-06b99966bf49_400x.jpg?v=1628014848",1)</f>
        <v/>
      </c>
      <c r="H27" s="792"/>
      <c r="I27" s="792"/>
      <c r="J27" s="792"/>
      <c r="K27" s="792"/>
      <c r="L27" s="792"/>
      <c r="M27" s="792"/>
      <c r="N27" s="792"/>
      <c r="O27" s="792"/>
      <c r="P27" s="792"/>
      <c r="Q27" s="792"/>
      <c r="R27" s="792"/>
      <c r="S27" s="792"/>
      <c r="T27" s="792"/>
      <c r="U27" s="792"/>
      <c r="V27" s="792"/>
      <c r="W27" s="792"/>
      <c r="X27" s="792"/>
      <c r="Y27" s="792"/>
      <c r="Z27" s="792"/>
    </row>
    <row r="28" ht="15.75" customHeight="1">
      <c r="A28" s="781">
        <v>27.0</v>
      </c>
      <c r="B28" s="898" t="s">
        <v>3036</v>
      </c>
      <c r="C28" s="781">
        <v>5.0</v>
      </c>
      <c r="D28" s="781">
        <f t="shared" si="1"/>
        <v>220</v>
      </c>
      <c r="E28" s="781" t="s">
        <v>1697</v>
      </c>
      <c r="F28" s="898" t="s">
        <v>3037</v>
      </c>
      <c r="G28" s="791" t="str">
        <f>IMAGE("https://m.media-amazon.com/images/W/MEDIAX_792452-T2/images/I/71PSVpNRPuL._SL1500_.jpg",1)</f>
        <v/>
      </c>
      <c r="H28" s="792"/>
      <c r="I28" s="792"/>
      <c r="J28" s="792"/>
      <c r="K28" s="792"/>
      <c r="L28" s="792"/>
      <c r="M28" s="792"/>
      <c r="N28" s="792"/>
      <c r="O28" s="792"/>
      <c r="P28" s="792"/>
      <c r="Q28" s="792"/>
      <c r="R28" s="792"/>
      <c r="S28" s="792"/>
      <c r="T28" s="792"/>
      <c r="U28" s="792"/>
      <c r="V28" s="792"/>
      <c r="W28" s="792"/>
      <c r="X28" s="792"/>
      <c r="Y28" s="792"/>
      <c r="Z28" s="792"/>
    </row>
    <row r="29" ht="15.75" customHeight="1">
      <c r="A29" s="781">
        <v>28.0</v>
      </c>
      <c r="B29" s="898" t="s">
        <v>1623</v>
      </c>
      <c r="C29" s="781">
        <v>5.0</v>
      </c>
      <c r="D29" s="781">
        <f t="shared" si="1"/>
        <v>220</v>
      </c>
      <c r="E29" s="781" t="s">
        <v>1697</v>
      </c>
      <c r="F29" s="898" t="s">
        <v>1246</v>
      </c>
      <c r="G29" s="791" t="str">
        <f>IMAGE("https://cdn.shopify.com/s/files/1/0559/1970/6265/products/1_9713a8db-db1e-42d0-a3e7-eebb7f66c4e9.jpg?v=1670581925",1)</f>
        <v/>
      </c>
      <c r="H29" s="792"/>
      <c r="I29" s="792"/>
      <c r="J29" s="792"/>
      <c r="K29" s="792"/>
      <c r="L29" s="792"/>
      <c r="M29" s="792"/>
      <c r="N29" s="792"/>
      <c r="O29" s="792"/>
      <c r="P29" s="792"/>
      <c r="Q29" s="792"/>
      <c r="R29" s="792"/>
      <c r="S29" s="792"/>
      <c r="T29" s="792"/>
      <c r="U29" s="792"/>
      <c r="V29" s="792"/>
      <c r="W29" s="792"/>
      <c r="X29" s="792"/>
      <c r="Y29" s="792"/>
      <c r="Z29" s="792"/>
    </row>
    <row r="30" ht="15.75" customHeight="1">
      <c r="A30" s="781">
        <v>29.0</v>
      </c>
      <c r="B30" s="898" t="s">
        <v>3050</v>
      </c>
      <c r="C30" s="781">
        <v>5.0</v>
      </c>
      <c r="D30" s="781">
        <f t="shared" si="1"/>
        <v>220</v>
      </c>
      <c r="E30" s="781" t="s">
        <v>1697</v>
      </c>
      <c r="F30" s="898" t="s">
        <v>627</v>
      </c>
      <c r="G30" s="791" t="str">
        <f>IMAGE("https://robu.in/wp-content/uploads/2017/09/download-1-2.jpg",1)</f>
        <v/>
      </c>
      <c r="H30" s="792"/>
      <c r="I30" s="792"/>
      <c r="J30" s="792"/>
      <c r="K30" s="792"/>
      <c r="L30" s="792"/>
      <c r="M30" s="792"/>
      <c r="N30" s="792"/>
      <c r="O30" s="792"/>
      <c r="P30" s="792"/>
      <c r="Q30" s="792"/>
      <c r="R30" s="792"/>
      <c r="S30" s="792"/>
      <c r="T30" s="792"/>
      <c r="U30" s="792"/>
      <c r="V30" s="792"/>
      <c r="W30" s="792"/>
      <c r="X30" s="792"/>
      <c r="Y30" s="792"/>
      <c r="Z30" s="792"/>
    </row>
    <row r="31" ht="15.75" customHeight="1">
      <c r="A31" s="781">
        <v>30.0</v>
      </c>
      <c r="B31" s="898" t="s">
        <v>3058</v>
      </c>
      <c r="C31" s="781">
        <v>5.0</v>
      </c>
      <c r="D31" s="781">
        <f t="shared" si="1"/>
        <v>220</v>
      </c>
      <c r="E31" s="781" t="s">
        <v>1697</v>
      </c>
      <c r="F31" s="898" t="s">
        <v>883</v>
      </c>
      <c r="G31" s="791" t="str">
        <f>IMAGE("https://media.distrelec.com/Web/WebShopImages/landscape_large/7-/01/Adafruit_163_30129187-01.jpg",1)</f>
        <v/>
      </c>
      <c r="H31" s="792"/>
      <c r="I31" s="792"/>
      <c r="J31" s="792"/>
      <c r="K31" s="792"/>
      <c r="L31" s="792"/>
      <c r="M31" s="792"/>
      <c r="N31" s="792"/>
      <c r="O31" s="792"/>
      <c r="P31" s="792"/>
      <c r="Q31" s="792"/>
      <c r="R31" s="792"/>
      <c r="S31" s="792"/>
      <c r="T31" s="792"/>
      <c r="U31" s="792"/>
      <c r="V31" s="792"/>
      <c r="W31" s="792"/>
      <c r="X31" s="792"/>
      <c r="Y31" s="792"/>
      <c r="Z31" s="792"/>
    </row>
    <row r="32" ht="15.75" customHeight="1">
      <c r="A32" s="781">
        <v>31.0</v>
      </c>
      <c r="B32" s="898" t="s">
        <v>3056</v>
      </c>
      <c r="C32" s="781">
        <v>5.0</v>
      </c>
      <c r="D32" s="781">
        <f t="shared" si="1"/>
        <v>220</v>
      </c>
      <c r="E32" s="781" t="s">
        <v>1697</v>
      </c>
      <c r="F32" s="898" t="s">
        <v>924</v>
      </c>
      <c r="G32" s="791" t="str">
        <f>IMAGE("https://m.media-amazon.com/images/W/MEDIAX_792452-T2/images/I/61QNSpIV-GL._SL1000_.jpg",1)</f>
        <v/>
      </c>
      <c r="H32" s="792"/>
      <c r="I32" s="792"/>
      <c r="J32" s="792"/>
      <c r="K32" s="792"/>
      <c r="L32" s="792"/>
      <c r="M32" s="792"/>
      <c r="N32" s="792"/>
      <c r="O32" s="792"/>
      <c r="P32" s="792"/>
      <c r="Q32" s="792"/>
      <c r="R32" s="792"/>
      <c r="S32" s="792"/>
      <c r="T32" s="792"/>
      <c r="U32" s="792"/>
      <c r="V32" s="792"/>
      <c r="W32" s="792"/>
      <c r="X32" s="792"/>
      <c r="Y32" s="792"/>
      <c r="Z32" s="792"/>
    </row>
    <row r="33" ht="15.75" customHeight="1">
      <c r="A33" s="781">
        <v>32.0</v>
      </c>
      <c r="B33" s="898" t="s">
        <v>1569</v>
      </c>
      <c r="C33" s="781">
        <v>5.0</v>
      </c>
      <c r="D33" s="781">
        <f t="shared" si="1"/>
        <v>220</v>
      </c>
      <c r="E33" s="781" t="s">
        <v>1697</v>
      </c>
      <c r="F33" s="898" t="s">
        <v>1566</v>
      </c>
      <c r="G33" s="791" t="str">
        <f>IMAGE("https://makerbazar.in/cdn/shop/products/Untitled-1_39_1_60x.jpg?v=1637233670",1)</f>
        <v/>
      </c>
      <c r="H33" s="792"/>
      <c r="I33" s="792"/>
      <c r="J33" s="792"/>
      <c r="K33" s="792"/>
      <c r="L33" s="792"/>
      <c r="M33" s="792"/>
      <c r="N33" s="792"/>
      <c r="O33" s="792"/>
      <c r="P33" s="792"/>
      <c r="Q33" s="792"/>
      <c r="R33" s="792"/>
      <c r="S33" s="792"/>
      <c r="T33" s="792"/>
      <c r="U33" s="792"/>
      <c r="V33" s="792"/>
      <c r="W33" s="792"/>
      <c r="X33" s="792"/>
      <c r="Y33" s="792"/>
      <c r="Z33" s="792"/>
    </row>
    <row r="34" ht="15.75" customHeight="1">
      <c r="A34" s="781">
        <v>33.0</v>
      </c>
      <c r="B34" s="898" t="s">
        <v>3052</v>
      </c>
      <c r="C34" s="781">
        <v>5.0</v>
      </c>
      <c r="D34" s="781">
        <f t="shared" si="1"/>
        <v>220</v>
      </c>
      <c r="E34" s="781" t="s">
        <v>1697</v>
      </c>
      <c r="F34" s="898" t="s">
        <v>2813</v>
      </c>
      <c r="G34" s="791" t="str">
        <f>IMAGE("https://robu.in/wp-content/uploads/2019/05/MAX30100-Pulse-Oximeter-Heart-Rate-Sensor-Module-2.jpg",1)</f>
        <v/>
      </c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2"/>
      <c r="U34" s="792"/>
      <c r="V34" s="792"/>
      <c r="W34" s="792"/>
      <c r="X34" s="792"/>
      <c r="Y34" s="792"/>
      <c r="Z34" s="792"/>
    </row>
    <row r="35" ht="15.75" customHeight="1">
      <c r="A35" s="781">
        <v>34.0</v>
      </c>
      <c r="B35" s="898" t="s">
        <v>1760</v>
      </c>
      <c r="C35" s="781">
        <v>5.0</v>
      </c>
      <c r="D35" s="781">
        <f t="shared" si="1"/>
        <v>220</v>
      </c>
      <c r="E35" s="781" t="s">
        <v>1697</v>
      </c>
      <c r="F35" s="898" t="s">
        <v>1091</v>
      </c>
      <c r="G35" s="791" t="str">
        <f>IMAGE("https://m.media-amazon.com/images/I/41Y-5b4TQcL.jpg",1)</f>
        <v/>
      </c>
      <c r="H35" s="792"/>
      <c r="I35" s="792"/>
      <c r="J35" s="792"/>
      <c r="K35" s="792"/>
      <c r="L35" s="792"/>
      <c r="M35" s="792"/>
      <c r="N35" s="792"/>
      <c r="O35" s="792"/>
      <c r="P35" s="792"/>
      <c r="Q35" s="792"/>
      <c r="R35" s="792"/>
      <c r="S35" s="792"/>
      <c r="T35" s="792"/>
      <c r="U35" s="792"/>
      <c r="V35" s="792"/>
      <c r="W35" s="792"/>
      <c r="X35" s="792"/>
      <c r="Y35" s="792"/>
      <c r="Z35" s="792"/>
    </row>
    <row r="36" ht="15.75" customHeight="1">
      <c r="A36" s="781">
        <v>35.0</v>
      </c>
      <c r="B36" s="898" t="s">
        <v>1550</v>
      </c>
      <c r="C36" s="781">
        <v>5.0</v>
      </c>
      <c r="D36" s="781">
        <f t="shared" si="1"/>
        <v>220</v>
      </c>
      <c r="E36" s="781" t="s">
        <v>1697</v>
      </c>
      <c r="F36" s="898" t="s">
        <v>1060</v>
      </c>
      <c r="G36" s="791" t="str">
        <f>IMAGE("https://m.media-amazon.com/images/W/MEDIAX_792452-T2/images/I/7158I82c4bL._SL1500_.jpg",1)</f>
        <v/>
      </c>
      <c r="H36" s="792"/>
      <c r="I36" s="792"/>
      <c r="J36" s="792"/>
      <c r="K36" s="792"/>
      <c r="L36" s="792"/>
      <c r="M36" s="792"/>
      <c r="N36" s="792"/>
      <c r="O36" s="792"/>
      <c r="P36" s="792"/>
      <c r="Q36" s="792"/>
      <c r="R36" s="792"/>
      <c r="S36" s="792"/>
      <c r="T36" s="792"/>
      <c r="U36" s="792"/>
      <c r="V36" s="792"/>
      <c r="W36" s="792"/>
      <c r="X36" s="792"/>
      <c r="Y36" s="792"/>
      <c r="Z36" s="792"/>
    </row>
    <row r="37" ht="15.75" customHeight="1">
      <c r="A37" s="781">
        <v>36.0</v>
      </c>
      <c r="B37" s="898" t="s">
        <v>1747</v>
      </c>
      <c r="C37" s="781">
        <v>5.0</v>
      </c>
      <c r="D37" s="781">
        <f t="shared" si="1"/>
        <v>220</v>
      </c>
      <c r="E37" s="781" t="s">
        <v>1697</v>
      </c>
      <c r="F37" s="898" t="s">
        <v>164</v>
      </c>
      <c r="G37" s="791" t="str">
        <f>IMAGE("https://5.imimg.com/data5/SELLER/Default/2021/6/XN/UI/NS/84973740/mq2-flammable-gas-and-smoke-sensor-module-500x500.jpg",1)</f>
        <v/>
      </c>
      <c r="H37" s="792"/>
      <c r="I37" s="792"/>
      <c r="J37" s="792"/>
      <c r="K37" s="792"/>
      <c r="L37" s="792"/>
      <c r="M37" s="792"/>
      <c r="N37" s="792"/>
      <c r="O37" s="792"/>
      <c r="P37" s="792"/>
      <c r="Q37" s="792"/>
      <c r="R37" s="792"/>
      <c r="S37" s="792"/>
      <c r="T37" s="792"/>
      <c r="U37" s="792"/>
      <c r="V37" s="792"/>
      <c r="W37" s="792"/>
      <c r="X37" s="792"/>
      <c r="Y37" s="792"/>
      <c r="Z37" s="792"/>
    </row>
    <row r="38" ht="15.75" customHeight="1">
      <c r="A38" s="781">
        <v>37.0</v>
      </c>
      <c r="B38" s="898" t="s">
        <v>3014</v>
      </c>
      <c r="C38" s="781">
        <v>10.0</v>
      </c>
      <c r="D38" s="781">
        <f t="shared" si="1"/>
        <v>440</v>
      </c>
      <c r="E38" s="781" t="s">
        <v>1697</v>
      </c>
      <c r="F38" s="898" t="s">
        <v>1141</v>
      </c>
      <c r="G38" s="791" t="str">
        <f>IMAGE("https://projecthubbharat.com/wp-content/uploads/2022/02/dht-11-sensor-module-india-800x800-1.jpg",1)</f>
        <v/>
      </c>
      <c r="H38" s="792"/>
      <c r="I38" s="792"/>
      <c r="J38" s="792"/>
      <c r="K38" s="792"/>
      <c r="L38" s="792"/>
      <c r="M38" s="792"/>
      <c r="N38" s="792"/>
      <c r="O38" s="792"/>
      <c r="P38" s="792"/>
      <c r="Q38" s="792"/>
      <c r="R38" s="792"/>
      <c r="S38" s="792"/>
      <c r="T38" s="792"/>
      <c r="U38" s="792"/>
      <c r="V38" s="792"/>
      <c r="W38" s="792"/>
      <c r="X38" s="792"/>
      <c r="Y38" s="792"/>
      <c r="Z38" s="792"/>
    </row>
    <row r="39" ht="15.75" customHeight="1">
      <c r="A39" s="781">
        <v>38.0</v>
      </c>
      <c r="B39" s="898" t="s">
        <v>950</v>
      </c>
      <c r="C39" s="781">
        <v>10.0</v>
      </c>
      <c r="D39" s="781">
        <f t="shared" si="1"/>
        <v>440</v>
      </c>
      <c r="E39" s="781" t="s">
        <v>1697</v>
      </c>
      <c r="F39" s="898" t="s">
        <v>1193</v>
      </c>
      <c r="G39" s="791" t="str">
        <f>IMAGE("https://5.imimg.com/data5/SELLER/Default/2022/9/HX/YZ/GJ/43948449/micro-sd-card-adapter-with-level-shifter-500x500.png",1)</f>
        <v/>
      </c>
      <c r="H39" s="792"/>
      <c r="I39" s="792"/>
      <c r="J39" s="792"/>
      <c r="K39" s="792"/>
      <c r="L39" s="792"/>
      <c r="M39" s="792"/>
      <c r="N39" s="792"/>
      <c r="O39" s="792"/>
      <c r="P39" s="792"/>
      <c r="Q39" s="792"/>
      <c r="R39" s="792"/>
      <c r="S39" s="792"/>
      <c r="T39" s="792"/>
      <c r="U39" s="792"/>
      <c r="V39" s="792"/>
      <c r="W39" s="792"/>
      <c r="X39" s="792"/>
      <c r="Y39" s="792"/>
      <c r="Z39" s="792"/>
    </row>
    <row r="40" ht="15.75" customHeight="1">
      <c r="A40" s="781">
        <v>39.0</v>
      </c>
      <c r="B40" s="898" t="s">
        <v>1558</v>
      </c>
      <c r="C40" s="781">
        <v>10.0</v>
      </c>
      <c r="D40" s="781">
        <f t="shared" si="1"/>
        <v>440</v>
      </c>
      <c r="E40" s="781" t="s">
        <v>1697</v>
      </c>
      <c r="F40" s="898" t="s">
        <v>951</v>
      </c>
      <c r="G40" s="791" t="str">
        <f>IMAGE("https://cdn.shopify.com/s/files/1/0088/0056/7392/products/Sound_Detector_Module.jpg?v=1566646449",1)</f>
        <v/>
      </c>
      <c r="H40" s="792"/>
      <c r="I40" s="792"/>
      <c r="J40" s="792"/>
      <c r="K40" s="792"/>
      <c r="L40" s="792"/>
      <c r="M40" s="792"/>
      <c r="N40" s="792"/>
      <c r="O40" s="792"/>
      <c r="P40" s="792"/>
      <c r="Q40" s="792"/>
      <c r="R40" s="792"/>
      <c r="S40" s="792"/>
      <c r="T40" s="792"/>
      <c r="U40" s="792"/>
      <c r="V40" s="792"/>
      <c r="W40" s="792"/>
      <c r="X40" s="792"/>
      <c r="Y40" s="792"/>
      <c r="Z40" s="792"/>
    </row>
    <row r="41" ht="15.75" customHeight="1">
      <c r="A41" s="781">
        <v>40.0</v>
      </c>
      <c r="B41" s="898" t="s">
        <v>2998</v>
      </c>
      <c r="C41" s="781">
        <v>10.0</v>
      </c>
      <c r="D41" s="781">
        <f t="shared" si="1"/>
        <v>440</v>
      </c>
      <c r="E41" s="781" t="s">
        <v>1697</v>
      </c>
      <c r="F41" s="898" t="s">
        <v>1573</v>
      </c>
      <c r="G41" s="791" t="str">
        <f>IMAGE("https://robu.in/wp-content/uploads/2016/03/12251.jpg",1)</f>
        <v/>
      </c>
      <c r="H41" s="792"/>
      <c r="I41" s="792"/>
      <c r="J41" s="792"/>
      <c r="K41" s="792"/>
      <c r="L41" s="792"/>
      <c r="M41" s="792"/>
      <c r="N41" s="792"/>
      <c r="O41" s="792"/>
      <c r="P41" s="792"/>
      <c r="Q41" s="792"/>
      <c r="R41" s="792"/>
      <c r="S41" s="792"/>
      <c r="T41" s="792"/>
      <c r="U41" s="792"/>
      <c r="V41" s="792"/>
      <c r="W41" s="792"/>
      <c r="X41" s="792"/>
      <c r="Y41" s="792"/>
      <c r="Z41" s="792"/>
    </row>
    <row r="42" ht="15.75" customHeight="1">
      <c r="A42" s="781">
        <v>41.0</v>
      </c>
      <c r="B42" s="898" t="s">
        <v>943</v>
      </c>
      <c r="C42" s="781">
        <v>5.0</v>
      </c>
      <c r="D42" s="781">
        <f t="shared" si="1"/>
        <v>220</v>
      </c>
      <c r="E42" s="781" t="s">
        <v>1697</v>
      </c>
      <c r="F42" s="898" t="s">
        <v>1311</v>
      </c>
      <c r="G42" s="791" t="str">
        <f>IMAGE("https://m.media-amazon.com/images/W/MEDIAX_792452-T2/images/I/51cWZAAMiWL._SL1000_.jpg",1)</f>
        <v/>
      </c>
      <c r="H42" s="792"/>
      <c r="I42" s="792"/>
      <c r="J42" s="792"/>
      <c r="K42" s="792"/>
      <c r="L42" s="792"/>
      <c r="M42" s="792"/>
      <c r="N42" s="792"/>
      <c r="O42" s="792"/>
      <c r="P42" s="792"/>
      <c r="Q42" s="792"/>
      <c r="R42" s="792"/>
      <c r="S42" s="792"/>
      <c r="T42" s="792"/>
      <c r="U42" s="792"/>
      <c r="V42" s="792"/>
      <c r="W42" s="792"/>
      <c r="X42" s="792"/>
      <c r="Y42" s="792"/>
      <c r="Z42" s="792"/>
    </row>
    <row r="43" ht="15.75" customHeight="1">
      <c r="A43" s="781">
        <v>42.0</v>
      </c>
      <c r="B43" s="898" t="s">
        <v>947</v>
      </c>
      <c r="C43" s="781">
        <v>5.0</v>
      </c>
      <c r="D43" s="781">
        <f t="shared" si="1"/>
        <v>220</v>
      </c>
      <c r="E43" s="781" t="s">
        <v>1697</v>
      </c>
      <c r="F43" s="898" t="s">
        <v>297</v>
      </c>
      <c r="G43" s="791" t="str">
        <f>IMAGE("https://m.media-amazon.com/images/W/MEDIAX_792452-T2/images/I/61wbYlIdx0L._SL1500_.jpg",1)</f>
        <v/>
      </c>
      <c r="H43" s="792"/>
      <c r="I43" s="792"/>
      <c r="J43" s="792"/>
      <c r="K43" s="792"/>
      <c r="L43" s="792"/>
      <c r="M43" s="792"/>
      <c r="N43" s="792"/>
      <c r="O43" s="792"/>
      <c r="P43" s="792"/>
      <c r="Q43" s="792"/>
      <c r="R43" s="792"/>
      <c r="S43" s="792"/>
      <c r="T43" s="792"/>
      <c r="U43" s="792"/>
      <c r="V43" s="792"/>
      <c r="W43" s="792"/>
      <c r="X43" s="792"/>
      <c r="Y43" s="792"/>
      <c r="Z43" s="792"/>
    </row>
    <row r="44" ht="15.75" customHeight="1">
      <c r="A44" s="781">
        <v>43.0</v>
      </c>
      <c r="B44" s="898" t="s">
        <v>1824</v>
      </c>
      <c r="C44" s="781">
        <v>5.0</v>
      </c>
      <c r="D44" s="781">
        <f t="shared" si="1"/>
        <v>220</v>
      </c>
      <c r="E44" s="781" t="s">
        <v>1697</v>
      </c>
      <c r="F44" s="898" t="s">
        <v>1001</v>
      </c>
      <c r="G44" s="791" t="str">
        <f>IMAGE("https://robu.in/wp-content/uploads/2017/06/31100-2.jpg",1)</f>
        <v/>
      </c>
      <c r="H44" s="792"/>
      <c r="I44" s="792"/>
      <c r="J44" s="792"/>
      <c r="K44" s="792"/>
      <c r="L44" s="792"/>
      <c r="M44" s="792"/>
      <c r="N44" s="792"/>
      <c r="O44" s="792"/>
      <c r="P44" s="792"/>
      <c r="Q44" s="792"/>
      <c r="R44" s="792"/>
      <c r="S44" s="792"/>
      <c r="T44" s="792"/>
      <c r="U44" s="792"/>
      <c r="V44" s="792"/>
      <c r="W44" s="792"/>
      <c r="X44" s="792"/>
      <c r="Y44" s="792"/>
      <c r="Z44" s="792"/>
    </row>
    <row r="45" ht="15.75" customHeight="1">
      <c r="A45" s="781">
        <v>44.0</v>
      </c>
      <c r="B45" s="898" t="s">
        <v>3042</v>
      </c>
      <c r="C45" s="781">
        <v>5.0</v>
      </c>
      <c r="D45" s="781">
        <f t="shared" si="1"/>
        <v>220</v>
      </c>
      <c r="E45" s="781" t="s">
        <v>1697</v>
      </c>
      <c r="F45" s="898" t="s">
        <v>1535</v>
      </c>
      <c r="G45" s="791" t="str">
        <f>IMAGE("https://makerbazar.in/cdn/shop/products/IR_transmitter-receiver_-_TSOP_1738_600x.jpg?v=1582114496",1)</f>
        <v/>
      </c>
      <c r="H45" s="792"/>
      <c r="I45" s="792"/>
      <c r="J45" s="792"/>
      <c r="K45" s="792"/>
      <c r="L45" s="792"/>
      <c r="M45" s="792"/>
      <c r="N45" s="792"/>
      <c r="O45" s="792"/>
      <c r="P45" s="792"/>
      <c r="Q45" s="792"/>
      <c r="R45" s="792"/>
      <c r="S45" s="792"/>
      <c r="T45" s="792"/>
      <c r="U45" s="792"/>
      <c r="V45" s="792"/>
      <c r="W45" s="792"/>
      <c r="X45" s="792"/>
      <c r="Y45" s="792"/>
      <c r="Z45" s="792"/>
    </row>
    <row r="46" ht="15.75" customHeight="1">
      <c r="A46" s="781">
        <v>45.0</v>
      </c>
      <c r="B46" s="898" t="s">
        <v>3016</v>
      </c>
      <c r="C46" s="781">
        <v>10.0</v>
      </c>
      <c r="D46" s="781">
        <f t="shared" si="1"/>
        <v>440</v>
      </c>
      <c r="E46" s="781" t="s">
        <v>1697</v>
      </c>
      <c r="F46" s="898" t="s">
        <v>1145</v>
      </c>
      <c r="G46" s="791" t="str">
        <f>IMAGE("https://potentiallabs.com/cart/image/cache/catalog/nov-dec/DS18B20-500x500-500x500.jpg",1)</f>
        <v/>
      </c>
      <c r="H46" s="792"/>
      <c r="I46" s="792"/>
      <c r="J46" s="792"/>
      <c r="K46" s="792"/>
      <c r="L46" s="792"/>
      <c r="M46" s="792"/>
      <c r="N46" s="792"/>
      <c r="O46" s="792"/>
      <c r="P46" s="792"/>
      <c r="Q46" s="792"/>
      <c r="R46" s="792"/>
      <c r="S46" s="792"/>
      <c r="T46" s="792"/>
      <c r="U46" s="792"/>
      <c r="V46" s="792"/>
      <c r="W46" s="792"/>
      <c r="X46" s="792"/>
      <c r="Y46" s="792"/>
      <c r="Z46" s="792"/>
    </row>
    <row r="47" ht="51.75" customHeight="1">
      <c r="A47" s="781">
        <v>46.0</v>
      </c>
      <c r="B47" s="898" t="s">
        <v>2846</v>
      </c>
      <c r="C47" s="781">
        <v>10.0</v>
      </c>
      <c r="D47" s="781">
        <f t="shared" si="1"/>
        <v>440</v>
      </c>
      <c r="E47" s="781" t="s">
        <v>1697</v>
      </c>
      <c r="F47" s="898" t="s">
        <v>422</v>
      </c>
      <c r="G47" s="791" t="str">
        <f>IMAGE("https://robu.in/wp-content/uploads/2017/04/Arduino_NANO_expansion1.jpg",1)</f>
        <v/>
      </c>
      <c r="H47" s="792"/>
      <c r="I47" s="792"/>
      <c r="J47" s="792"/>
      <c r="K47" s="792"/>
      <c r="L47" s="792"/>
      <c r="M47" s="792"/>
      <c r="N47" s="792"/>
      <c r="O47" s="792"/>
      <c r="P47" s="792"/>
      <c r="Q47" s="792"/>
      <c r="R47" s="792"/>
      <c r="S47" s="792"/>
      <c r="T47" s="792"/>
      <c r="U47" s="792"/>
      <c r="V47" s="792"/>
      <c r="W47" s="792"/>
      <c r="X47" s="792"/>
      <c r="Y47" s="792"/>
      <c r="Z47" s="792"/>
    </row>
    <row r="48" ht="53.25" customHeight="1">
      <c r="A48" s="781">
        <v>47.0</v>
      </c>
      <c r="B48" s="898" t="s">
        <v>2850</v>
      </c>
      <c r="C48" s="781">
        <v>10.0</v>
      </c>
      <c r="D48" s="781">
        <f t="shared" si="1"/>
        <v>440</v>
      </c>
      <c r="E48" s="781" t="s">
        <v>1697</v>
      </c>
      <c r="F48" s="898" t="s">
        <v>431</v>
      </c>
      <c r="G48" s="791" t="str">
        <f>IMAGE("https://robu.in/wp-content/uploads/2015/11/SKU-6337.png",1)</f>
        <v/>
      </c>
      <c r="H48" s="792"/>
      <c r="I48" s="792"/>
      <c r="J48" s="792"/>
      <c r="K48" s="792"/>
      <c r="L48" s="792"/>
      <c r="M48" s="792"/>
      <c r="N48" s="792"/>
      <c r="O48" s="792"/>
      <c r="P48" s="792"/>
      <c r="Q48" s="792"/>
      <c r="R48" s="792"/>
      <c r="S48" s="792"/>
      <c r="T48" s="792"/>
      <c r="U48" s="792"/>
      <c r="V48" s="792"/>
      <c r="W48" s="792"/>
      <c r="X48" s="792"/>
      <c r="Y48" s="792"/>
      <c r="Z48" s="792"/>
    </row>
    <row r="49" ht="56.25" customHeight="1">
      <c r="A49" s="781">
        <v>48.0</v>
      </c>
      <c r="B49" s="898" t="s">
        <v>2848</v>
      </c>
      <c r="C49" s="781">
        <v>15.0</v>
      </c>
      <c r="D49" s="781">
        <f t="shared" si="1"/>
        <v>660</v>
      </c>
      <c r="E49" s="781" t="s">
        <v>1697</v>
      </c>
      <c r="F49" s="898" t="s">
        <v>426</v>
      </c>
      <c r="G49" s="791" t="str">
        <f>IMAGE("https://robu.in/wp-content/uploads/2017/10/Uno-R3-CH340G-ATmega328p-Development-Board-Compatible-with-Arduino2.png",1)</f>
        <v/>
      </c>
      <c r="H49" s="792"/>
      <c r="I49" s="792"/>
      <c r="J49" s="792"/>
      <c r="K49" s="792"/>
      <c r="L49" s="792"/>
      <c r="M49" s="792"/>
      <c r="N49" s="792"/>
      <c r="O49" s="792"/>
      <c r="P49" s="792"/>
      <c r="Q49" s="792"/>
      <c r="R49" s="792"/>
      <c r="S49" s="792"/>
      <c r="T49" s="792"/>
      <c r="U49" s="792"/>
      <c r="V49" s="792"/>
      <c r="W49" s="792"/>
      <c r="X49" s="792"/>
      <c r="Y49" s="792"/>
      <c r="Z49" s="792"/>
    </row>
    <row r="50" ht="60.0" customHeight="1">
      <c r="A50" s="781">
        <v>49.0</v>
      </c>
      <c r="B50" s="898" t="s">
        <v>2844</v>
      </c>
      <c r="C50" s="781">
        <v>15.0</v>
      </c>
      <c r="D50" s="781">
        <f t="shared" si="1"/>
        <v>660</v>
      </c>
      <c r="E50" s="781" t="s">
        <v>1697</v>
      </c>
      <c r="F50" s="898" t="s">
        <v>892</v>
      </c>
      <c r="G50" s="791" t="str">
        <f>IMAGE("https://5.imimg.com/data5/VS/XC/MY-4167793/arduino-nano-500x500.jpg",1)</f>
        <v/>
      </c>
      <c r="H50" s="792"/>
      <c r="I50" s="792"/>
      <c r="J50" s="792"/>
      <c r="K50" s="792"/>
      <c r="L50" s="792"/>
      <c r="M50" s="792"/>
      <c r="N50" s="792"/>
      <c r="O50" s="792"/>
      <c r="P50" s="792"/>
      <c r="Q50" s="792"/>
      <c r="R50" s="792"/>
      <c r="S50" s="792"/>
      <c r="T50" s="792"/>
      <c r="U50" s="792"/>
      <c r="V50" s="792"/>
      <c r="W50" s="792"/>
      <c r="X50" s="792"/>
      <c r="Y50" s="792"/>
      <c r="Z50" s="792"/>
    </row>
    <row r="51" ht="15.75" customHeight="1">
      <c r="A51" s="781">
        <v>50.0</v>
      </c>
      <c r="B51" s="898" t="s">
        <v>459</v>
      </c>
      <c r="C51" s="781">
        <v>10.0</v>
      </c>
      <c r="D51" s="781">
        <f t="shared" si="1"/>
        <v>440</v>
      </c>
      <c r="E51" s="781" t="s">
        <v>1697</v>
      </c>
      <c r="F51" s="898" t="s">
        <v>456</v>
      </c>
      <c r="G51" s="791" t="str">
        <f>IMAGE("https://m.media-amazon.com/images/W/MEDIAX_792452-T2/images/I/61xb9SMx4AL._SL1440_.jpg",1)</f>
        <v/>
      </c>
      <c r="H51" s="792"/>
      <c r="I51" s="792"/>
      <c r="J51" s="792"/>
      <c r="K51" s="792"/>
      <c r="L51" s="792"/>
      <c r="M51" s="792"/>
      <c r="N51" s="792"/>
      <c r="O51" s="792"/>
      <c r="P51" s="792"/>
      <c r="Q51" s="792"/>
      <c r="R51" s="792"/>
      <c r="S51" s="792"/>
      <c r="T51" s="792"/>
      <c r="U51" s="792"/>
      <c r="V51" s="792"/>
      <c r="W51" s="792"/>
      <c r="X51" s="792"/>
      <c r="Y51" s="792"/>
      <c r="Z51" s="792"/>
    </row>
    <row r="52" ht="15.75" customHeight="1">
      <c r="A52" s="781">
        <v>51.0</v>
      </c>
      <c r="B52" s="898" t="s">
        <v>441</v>
      </c>
      <c r="C52" s="781">
        <v>10.0</v>
      </c>
      <c r="D52" s="781">
        <f t="shared" si="1"/>
        <v>440</v>
      </c>
      <c r="E52" s="781" t="s">
        <v>1697</v>
      </c>
      <c r="F52" s="898" t="s">
        <v>439</v>
      </c>
      <c r="G52" s="791" t="str">
        <f>IMAGE("https://makerselectronics.com/wp-content/uploads/2020/07/ESP32-CAM-2.jpg",1)</f>
        <v/>
      </c>
      <c r="H52" s="792"/>
      <c r="I52" s="792"/>
      <c r="J52" s="792"/>
      <c r="K52" s="792"/>
      <c r="L52" s="792"/>
      <c r="M52" s="792"/>
      <c r="N52" s="792"/>
      <c r="O52" s="792"/>
      <c r="P52" s="792"/>
      <c r="Q52" s="792"/>
      <c r="R52" s="792"/>
      <c r="S52" s="792"/>
      <c r="T52" s="792"/>
      <c r="U52" s="792"/>
      <c r="V52" s="792"/>
      <c r="W52" s="792"/>
      <c r="X52" s="792"/>
      <c r="Y52" s="792"/>
      <c r="Z52" s="792"/>
    </row>
    <row r="53" ht="15.75" customHeight="1">
      <c r="A53" s="781">
        <v>52.0</v>
      </c>
      <c r="B53" s="898" t="s">
        <v>454</v>
      </c>
      <c r="C53" s="781">
        <v>15.0</v>
      </c>
      <c r="D53" s="781">
        <f t="shared" si="1"/>
        <v>660</v>
      </c>
      <c r="E53" s="781" t="s">
        <v>1697</v>
      </c>
      <c r="F53" s="898" t="s">
        <v>1409</v>
      </c>
      <c r="G53" s="791" t="str">
        <f>IMAGE("https://m.media-amazon.com/images/W/MEDIAX_792452-T2/images/I/61t+lNeiChL._SL1443_.jpg",1)</f>
        <v/>
      </c>
      <c r="H53" s="792"/>
      <c r="I53" s="792"/>
      <c r="J53" s="792"/>
      <c r="K53" s="792"/>
      <c r="L53" s="792"/>
      <c r="M53" s="792"/>
      <c r="N53" s="792"/>
      <c r="O53" s="792"/>
      <c r="P53" s="792"/>
      <c r="Q53" s="792"/>
      <c r="R53" s="792"/>
      <c r="S53" s="792"/>
      <c r="T53" s="792"/>
      <c r="U53" s="792"/>
      <c r="V53" s="792"/>
      <c r="W53" s="792"/>
      <c r="X53" s="792"/>
      <c r="Y53" s="792"/>
      <c r="Z53" s="792"/>
    </row>
    <row r="54" ht="15.75" customHeight="1">
      <c r="A54" s="781">
        <v>53.0</v>
      </c>
      <c r="B54" s="898" t="s">
        <v>1395</v>
      </c>
      <c r="C54" s="781">
        <v>15.0</v>
      </c>
      <c r="D54" s="781">
        <f t="shared" si="1"/>
        <v>660</v>
      </c>
      <c r="E54" s="781" t="s">
        <v>1697</v>
      </c>
      <c r="F54" s="898" t="s">
        <v>1392</v>
      </c>
      <c r="G54" s="791" t="str">
        <f>IMAGE("https://cdn.shopify.com/s/files/1/0088/0056/7392/products/Stepper_motor_with_Driver_board.jpg?v=1552579276",1)</f>
        <v/>
      </c>
      <c r="H54" s="792"/>
      <c r="I54" s="792"/>
      <c r="J54" s="792"/>
      <c r="K54" s="792"/>
      <c r="L54" s="792"/>
      <c r="M54" s="792"/>
      <c r="N54" s="792"/>
      <c r="O54" s="792"/>
      <c r="P54" s="792"/>
      <c r="Q54" s="792"/>
      <c r="R54" s="792"/>
      <c r="S54" s="792"/>
      <c r="T54" s="792"/>
      <c r="U54" s="792"/>
      <c r="V54" s="792"/>
      <c r="W54" s="792"/>
      <c r="X54" s="792"/>
      <c r="Y54" s="792"/>
      <c r="Z54" s="792"/>
    </row>
    <row r="55" ht="56.25" customHeight="1">
      <c r="A55" s="781">
        <v>54.0</v>
      </c>
      <c r="B55" s="898" t="s">
        <v>2833</v>
      </c>
      <c r="C55" s="781">
        <v>15.0</v>
      </c>
      <c r="D55" s="781">
        <f t="shared" si="1"/>
        <v>660</v>
      </c>
      <c r="E55" s="781" t="s">
        <v>1697</v>
      </c>
      <c r="F55" s="898" t="s">
        <v>1360</v>
      </c>
      <c r="G55" s="791" t="str">
        <f>IMAGE("https://robu.in/wp-content/uploads/2017/11/mg995-high-speed-digital-metal-gear-2bb-torque-rc-for-servo-hpi-savage-xl-2.jpg",1)</f>
        <v/>
      </c>
      <c r="H55" s="792"/>
      <c r="I55" s="792"/>
      <c r="J55" s="792"/>
      <c r="K55" s="792"/>
      <c r="L55" s="792"/>
      <c r="M55" s="792"/>
      <c r="N55" s="792"/>
      <c r="O55" s="792"/>
      <c r="P55" s="792"/>
      <c r="Q55" s="792"/>
      <c r="R55" s="792"/>
      <c r="S55" s="792"/>
      <c r="T55" s="792"/>
      <c r="U55" s="792"/>
      <c r="V55" s="792"/>
      <c r="W55" s="792"/>
      <c r="X55" s="792"/>
      <c r="Y55" s="792"/>
      <c r="Z55" s="792"/>
    </row>
    <row r="56" ht="15.75" customHeight="1">
      <c r="A56" s="781">
        <v>55.0</v>
      </c>
      <c r="B56" s="898" t="s">
        <v>450</v>
      </c>
      <c r="C56" s="781">
        <v>15.0</v>
      </c>
      <c r="D56" s="781">
        <f t="shared" si="1"/>
        <v>660</v>
      </c>
      <c r="E56" s="781" t="s">
        <v>1697</v>
      </c>
      <c r="F56" s="898" t="s">
        <v>447</v>
      </c>
      <c r="G56" s="791" t="str">
        <f>IMAGE("https://m.media-amazon.com/images/I/61rcnccrByL._SL1238_.jpg",1)</f>
        <v/>
      </c>
      <c r="H56" s="792"/>
      <c r="I56" s="792"/>
      <c r="J56" s="792"/>
      <c r="K56" s="792"/>
      <c r="L56" s="792"/>
      <c r="M56" s="792"/>
      <c r="N56" s="792"/>
      <c r="O56" s="792"/>
      <c r="P56" s="792"/>
      <c r="Q56" s="792"/>
      <c r="R56" s="792"/>
      <c r="S56" s="792"/>
      <c r="T56" s="792"/>
      <c r="U56" s="792"/>
      <c r="V56" s="792"/>
      <c r="W56" s="792"/>
      <c r="X56" s="792"/>
      <c r="Y56" s="792"/>
      <c r="Z56" s="792"/>
    </row>
    <row r="57" ht="15.75" customHeight="1">
      <c r="A57" s="781">
        <v>56.0</v>
      </c>
      <c r="B57" s="898" t="s">
        <v>915</v>
      </c>
      <c r="C57" s="781">
        <v>10.0</v>
      </c>
      <c r="D57" s="781">
        <f t="shared" si="1"/>
        <v>440</v>
      </c>
      <c r="E57" s="781" t="s">
        <v>1697</v>
      </c>
      <c r="F57" s="898" t="s">
        <v>1463</v>
      </c>
      <c r="G57" s="791" t="str">
        <f>IMAGE("https://5.imimg.com/data5/ET/JK/CJ/SELLER-562456/0-96-oled-display-module-arduino.jpg ")</f>
        <v/>
      </c>
      <c r="H57" s="792"/>
      <c r="I57" s="792"/>
      <c r="J57" s="792"/>
      <c r="K57" s="792"/>
      <c r="L57" s="792"/>
      <c r="M57" s="792"/>
      <c r="N57" s="792"/>
      <c r="O57" s="792"/>
      <c r="P57" s="792"/>
      <c r="Q57" s="792"/>
      <c r="R57" s="792"/>
      <c r="S57" s="792"/>
      <c r="T57" s="792"/>
      <c r="U57" s="792"/>
      <c r="V57" s="792"/>
      <c r="W57" s="792"/>
      <c r="X57" s="792"/>
      <c r="Y57" s="792"/>
      <c r="Z57" s="792"/>
    </row>
    <row r="58" ht="15.75" customHeight="1">
      <c r="A58" s="781">
        <v>57.0</v>
      </c>
      <c r="B58" s="898" t="s">
        <v>228</v>
      </c>
      <c r="C58" s="781">
        <v>10.0</v>
      </c>
      <c r="D58" s="781">
        <f t="shared" si="1"/>
        <v>440</v>
      </c>
      <c r="E58" s="781" t="s">
        <v>1697</v>
      </c>
      <c r="F58" s="898" t="s">
        <v>225</v>
      </c>
      <c r="G58" s="791" t="str">
        <f>IMAGE("https://5.imimg.com/data5/SELLER/Default/2021/7/XA/OZ/BW/6610292/9v-power-plus-nimh-rechargeable-battery-500x500.jpg",1)</f>
        <v/>
      </c>
      <c r="H58" s="792"/>
      <c r="I58" s="792"/>
      <c r="J58" s="792"/>
      <c r="K58" s="792"/>
      <c r="L58" s="792"/>
      <c r="M58" s="792"/>
      <c r="N58" s="792"/>
      <c r="O58" s="792"/>
      <c r="P58" s="792"/>
      <c r="Q58" s="792"/>
      <c r="R58" s="792"/>
      <c r="S58" s="792"/>
      <c r="T58" s="792"/>
      <c r="U58" s="792"/>
      <c r="V58" s="792"/>
      <c r="W58" s="792"/>
      <c r="X58" s="792"/>
      <c r="Y58" s="792"/>
      <c r="Z58" s="792"/>
    </row>
    <row r="59" ht="15.75" customHeight="1">
      <c r="A59" s="781">
        <v>58.0</v>
      </c>
      <c r="B59" s="898" t="s">
        <v>501</v>
      </c>
      <c r="C59" s="781">
        <v>10.0</v>
      </c>
      <c r="D59" s="781">
        <f t="shared" si="1"/>
        <v>440</v>
      </c>
      <c r="E59" s="781" t="s">
        <v>1697</v>
      </c>
      <c r="F59" s="898" t="s">
        <v>498</v>
      </c>
      <c r="G59" s="791" t="str">
        <f>IMAGE("https://1ohm.in/wp-content/uploads/2021/07/MB102-3.3V5V-Breadboard-Power-Supply-Module.png",1)</f>
        <v/>
      </c>
      <c r="H59" s="792"/>
      <c r="I59" s="792"/>
      <c r="J59" s="792"/>
      <c r="K59" s="792"/>
      <c r="L59" s="792"/>
      <c r="M59" s="792"/>
      <c r="N59" s="792"/>
      <c r="O59" s="792"/>
      <c r="P59" s="792"/>
      <c r="Q59" s="792"/>
      <c r="R59" s="792"/>
      <c r="S59" s="792"/>
      <c r="T59" s="792"/>
      <c r="U59" s="792"/>
      <c r="V59" s="792"/>
      <c r="W59" s="792"/>
      <c r="X59" s="792"/>
      <c r="Y59" s="792"/>
      <c r="Z59" s="792"/>
    </row>
    <row r="60" ht="60.0" customHeight="1">
      <c r="A60" s="781">
        <v>59.0</v>
      </c>
      <c r="B60" s="898" t="s">
        <v>446</v>
      </c>
      <c r="C60" s="781">
        <v>10.0</v>
      </c>
      <c r="D60" s="781">
        <f t="shared" si="1"/>
        <v>440</v>
      </c>
      <c r="E60" s="781" t="s">
        <v>1697</v>
      </c>
      <c r="F60" s="898" t="s">
        <v>443</v>
      </c>
      <c r="G60" s="791" t="str">
        <f>IMAGE("https://www.berrybase.de/media/image/c5/26/b6/ID_186599_orig_600x600.jpg",1)</f>
        <v/>
      </c>
      <c r="H60" s="792"/>
      <c r="I60" s="792"/>
      <c r="J60" s="792"/>
      <c r="K60" s="792"/>
      <c r="L60" s="792"/>
      <c r="M60" s="792"/>
      <c r="N60" s="792"/>
      <c r="O60" s="792"/>
      <c r="P60" s="792"/>
      <c r="Q60" s="792"/>
      <c r="R60" s="792"/>
      <c r="S60" s="792"/>
      <c r="T60" s="792"/>
      <c r="U60" s="792"/>
      <c r="V60" s="792"/>
      <c r="W60" s="792"/>
      <c r="X60" s="792"/>
      <c r="Y60" s="792"/>
      <c r="Z60" s="792"/>
    </row>
    <row r="61" ht="15.75" customHeight="1">
      <c r="A61" s="781">
        <v>60.0</v>
      </c>
      <c r="B61" s="898" t="s">
        <v>954</v>
      </c>
      <c r="C61" s="781">
        <v>10.0</v>
      </c>
      <c r="D61" s="781">
        <f t="shared" si="1"/>
        <v>440</v>
      </c>
      <c r="E61" s="781" t="s">
        <v>1697</v>
      </c>
      <c r="F61" s="898" t="s">
        <v>635</v>
      </c>
      <c r="G61" s="791" t="str">
        <f>IMAGE("https://robu.in/wp-content/uploads/2020/09/L298P-Motor-Driver-Shield-for-Arduino-3.jpg",1)</f>
        <v/>
      </c>
      <c r="H61" s="792"/>
      <c r="I61" s="792"/>
      <c r="J61" s="792"/>
      <c r="K61" s="792"/>
      <c r="L61" s="792"/>
      <c r="M61" s="792"/>
      <c r="N61" s="792"/>
      <c r="O61" s="792"/>
      <c r="P61" s="792"/>
      <c r="Q61" s="792"/>
      <c r="R61" s="792"/>
      <c r="S61" s="792"/>
      <c r="T61" s="792"/>
      <c r="U61" s="792"/>
      <c r="V61" s="792"/>
      <c r="W61" s="792"/>
      <c r="X61" s="792"/>
      <c r="Y61" s="792"/>
      <c r="Z61" s="792"/>
    </row>
    <row r="62" ht="15.75" customHeight="1">
      <c r="A62" s="781">
        <v>61.0</v>
      </c>
      <c r="B62" s="898" t="s">
        <v>1955</v>
      </c>
      <c r="C62" s="781">
        <v>10.0</v>
      </c>
      <c r="D62" s="781">
        <f t="shared" si="1"/>
        <v>440</v>
      </c>
      <c r="E62" s="781" t="s">
        <v>1697</v>
      </c>
      <c r="F62" s="898" t="s">
        <v>152</v>
      </c>
      <c r="G62" s="791" t="str">
        <f>IMAGE("https://5.imimg.com/data5/II/UT/SO/SELLER-1968074/16x2-lcd-display-500x500.jpg",1)</f>
        <v/>
      </c>
      <c r="H62" s="792"/>
      <c r="I62" s="792"/>
      <c r="J62" s="792"/>
      <c r="K62" s="792"/>
      <c r="L62" s="792"/>
      <c r="M62" s="792"/>
      <c r="N62" s="792"/>
      <c r="O62" s="792"/>
      <c r="P62" s="792"/>
      <c r="Q62" s="792"/>
      <c r="R62" s="792"/>
      <c r="S62" s="792"/>
      <c r="T62" s="792"/>
      <c r="U62" s="792"/>
      <c r="V62" s="792"/>
      <c r="W62" s="792"/>
      <c r="X62" s="792"/>
      <c r="Y62" s="792"/>
      <c r="Z62" s="792"/>
    </row>
    <row r="63" ht="15.75" customHeight="1">
      <c r="A63" s="781">
        <v>62.0</v>
      </c>
      <c r="B63" s="898" t="s">
        <v>923</v>
      </c>
      <c r="C63" s="781">
        <v>5.0</v>
      </c>
      <c r="D63" s="781">
        <f t="shared" si="1"/>
        <v>220</v>
      </c>
      <c r="E63" s="781" t="s">
        <v>1697</v>
      </c>
      <c r="F63" s="898" t="s">
        <v>1679</v>
      </c>
      <c r="G63" s="791" t="str">
        <f>IMAGE("https://robu.in/wp-content/uploads/2017/06/robu-3-13.jpg",1)</f>
        <v/>
      </c>
      <c r="H63" s="792"/>
      <c r="I63" s="792"/>
      <c r="J63" s="792"/>
      <c r="K63" s="792"/>
      <c r="L63" s="792"/>
      <c r="M63" s="792"/>
      <c r="N63" s="792"/>
      <c r="O63" s="792"/>
      <c r="P63" s="792"/>
      <c r="Q63" s="792"/>
      <c r="R63" s="792"/>
      <c r="S63" s="792"/>
      <c r="T63" s="792"/>
      <c r="U63" s="792"/>
      <c r="V63" s="792"/>
      <c r="W63" s="792"/>
      <c r="X63" s="792"/>
      <c r="Y63" s="792"/>
      <c r="Z63" s="792"/>
    </row>
    <row r="64" ht="15.75" customHeight="1">
      <c r="A64" s="781">
        <v>63.0</v>
      </c>
      <c r="B64" s="898" t="s">
        <v>903</v>
      </c>
      <c r="C64" s="781">
        <v>5.0</v>
      </c>
      <c r="D64" s="781">
        <f t="shared" si="1"/>
        <v>220</v>
      </c>
      <c r="E64" s="781" t="s">
        <v>1697</v>
      </c>
      <c r="F64" s="898" t="s">
        <v>1056</v>
      </c>
      <c r="G64" s="791" t="str">
        <f>IMAGE("https://makerbazar.in/cdn/shop/files/6015fanwithwire_600x.jpg?v=1695792315",1)</f>
        <v/>
      </c>
      <c r="H64" s="792"/>
      <c r="I64" s="792"/>
      <c r="J64" s="792"/>
      <c r="K64" s="792"/>
      <c r="L64" s="792"/>
      <c r="M64" s="792"/>
      <c r="N64" s="792"/>
      <c r="O64" s="792"/>
      <c r="P64" s="792"/>
      <c r="Q64" s="792"/>
      <c r="R64" s="792"/>
      <c r="S64" s="792"/>
      <c r="T64" s="792"/>
      <c r="U64" s="792"/>
      <c r="V64" s="792"/>
      <c r="W64" s="792"/>
      <c r="X64" s="792"/>
      <c r="Y64" s="792"/>
      <c r="Z64" s="792"/>
    </row>
    <row r="65" ht="15.75" customHeight="1">
      <c r="A65" s="781">
        <v>64.0</v>
      </c>
      <c r="B65" s="898" t="s">
        <v>438</v>
      </c>
      <c r="C65" s="781">
        <v>10.0</v>
      </c>
      <c r="D65" s="781">
        <f t="shared" si="1"/>
        <v>440</v>
      </c>
      <c r="E65" s="781" t="s">
        <v>1697</v>
      </c>
      <c r="F65" s="898" t="s">
        <v>92</v>
      </c>
      <c r="G65" s="791" t="str">
        <f>IMAGE("https://www.electronicscomp.com/image/cache/catalog/esp8266-esp01-wifi-module-india-800x800.jpg",1)</f>
        <v/>
      </c>
      <c r="H65" s="792"/>
      <c r="I65" s="792"/>
      <c r="J65" s="792"/>
      <c r="K65" s="792"/>
      <c r="L65" s="792"/>
      <c r="M65" s="792"/>
      <c r="N65" s="792"/>
      <c r="O65" s="792"/>
      <c r="P65" s="792"/>
      <c r="Q65" s="792"/>
      <c r="R65" s="792"/>
      <c r="S65" s="792"/>
      <c r="T65" s="792"/>
      <c r="U65" s="792"/>
      <c r="V65" s="792"/>
      <c r="W65" s="792"/>
      <c r="X65" s="792"/>
      <c r="Y65" s="792"/>
      <c r="Z65" s="792"/>
    </row>
    <row r="66" ht="15.75" customHeight="1">
      <c r="A66" s="781">
        <v>65.0</v>
      </c>
      <c r="B66" s="898" t="s">
        <v>1741</v>
      </c>
      <c r="C66" s="781">
        <v>20.0</v>
      </c>
      <c r="D66" s="781">
        <f t="shared" si="1"/>
        <v>880</v>
      </c>
      <c r="E66" s="781" t="s">
        <v>1697</v>
      </c>
      <c r="F66" s="898" t="s">
        <v>460</v>
      </c>
      <c r="G66" s="791" t="str">
        <f>IMAGE("https://images-na.ssl-images-amazon.com/images/I/51p4KPR9o1L.SS700.jpg",1)</f>
        <v/>
      </c>
      <c r="H66" s="792"/>
      <c r="I66" s="792"/>
      <c r="J66" s="792"/>
      <c r="K66" s="792"/>
      <c r="L66" s="792"/>
      <c r="M66" s="792"/>
      <c r="N66" s="792"/>
      <c r="O66" s="792"/>
      <c r="P66" s="792"/>
      <c r="Q66" s="792"/>
      <c r="R66" s="792"/>
      <c r="S66" s="792"/>
      <c r="T66" s="792"/>
      <c r="U66" s="792"/>
      <c r="V66" s="792"/>
      <c r="W66" s="792"/>
      <c r="X66" s="792"/>
      <c r="Y66" s="792"/>
      <c r="Z66" s="792"/>
    </row>
    <row r="67" ht="45.75" customHeight="1">
      <c r="A67" s="781">
        <v>66.0</v>
      </c>
      <c r="B67" s="898" t="s">
        <v>183</v>
      </c>
      <c r="C67" s="781">
        <v>5.0</v>
      </c>
      <c r="D67" s="781">
        <f t="shared" si="1"/>
        <v>220</v>
      </c>
      <c r="E67" s="781" t="s">
        <v>1697</v>
      </c>
      <c r="F67" s="898" t="s">
        <v>490</v>
      </c>
      <c r="G67" s="791" t="str">
        <f>IMAGE("https://rukminim2.flixcart.com/image/832/832/krs40i80/worldwide-adaptor/f/7/g/pack-of-1-power-adapter-12v-2-amp-dual-pin-for-charger-with-original-imag5hmbvgzazbzz.jpeg?q=70",1)</f>
        <v/>
      </c>
      <c r="H67" s="792"/>
      <c r="I67" s="792"/>
      <c r="J67" s="792"/>
      <c r="K67" s="792"/>
      <c r="L67" s="792"/>
      <c r="M67" s="792"/>
      <c r="N67" s="792"/>
      <c r="O67" s="792"/>
      <c r="P67" s="792"/>
      <c r="Q67" s="792"/>
      <c r="R67" s="792"/>
      <c r="S67" s="792"/>
      <c r="T67" s="792"/>
      <c r="U67" s="792"/>
      <c r="V67" s="792"/>
      <c r="W67" s="792"/>
      <c r="X67" s="792"/>
      <c r="Y67" s="792"/>
      <c r="Z67" s="792"/>
    </row>
    <row r="68" ht="15.75" customHeight="1">
      <c r="A68" s="781">
        <v>67.0</v>
      </c>
      <c r="B68" s="898" t="s">
        <v>919</v>
      </c>
      <c r="C68" s="781">
        <v>10.0</v>
      </c>
      <c r="D68" s="781">
        <f t="shared" si="1"/>
        <v>440</v>
      </c>
      <c r="E68" s="781" t="s">
        <v>1697</v>
      </c>
      <c r="F68" s="898" t="s">
        <v>1577</v>
      </c>
      <c r="G68" s="791" t="str">
        <f>IMAGE("https://rukminim1.flixcart.com/image/850/1000/k62i5jk0/solar-panel/7/g/q/diy-projects-6v-80ma-wire-attached-mini-power-solar-cells-for-original-imafzm93vcqqnsat.jpeg?q=20")</f>
        <v/>
      </c>
      <c r="H68" s="792"/>
      <c r="I68" s="792"/>
      <c r="J68" s="792"/>
      <c r="K68" s="792"/>
      <c r="L68" s="792"/>
      <c r="M68" s="792"/>
      <c r="N68" s="792"/>
      <c r="O68" s="792"/>
      <c r="P68" s="792"/>
      <c r="Q68" s="792"/>
      <c r="R68" s="792"/>
      <c r="S68" s="792"/>
      <c r="T68" s="792"/>
      <c r="U68" s="792"/>
      <c r="V68" s="792"/>
      <c r="W68" s="792"/>
      <c r="X68" s="792"/>
      <c r="Y68" s="792"/>
      <c r="Z68" s="792"/>
    </row>
    <row r="69" ht="15.75" customHeight="1">
      <c r="A69" s="781">
        <v>68.0</v>
      </c>
      <c r="B69" s="898" t="s">
        <v>1388</v>
      </c>
      <c r="C69" s="781">
        <v>5.0</v>
      </c>
      <c r="D69" s="781">
        <f t="shared" si="1"/>
        <v>220</v>
      </c>
      <c r="E69" s="781" t="s">
        <v>1697</v>
      </c>
      <c r="F69" s="898" t="s">
        <v>1385</v>
      </c>
      <c r="G69" s="791" t="str">
        <f>IMAGE("https://robu.in/wp-content/uploads/2016/04/61nEdk-NxSL._SY355_.jpg",1)</f>
        <v/>
      </c>
      <c r="H69" s="792"/>
      <c r="I69" s="792"/>
      <c r="J69" s="792"/>
      <c r="K69" s="792"/>
      <c r="L69" s="792"/>
      <c r="M69" s="792"/>
      <c r="N69" s="792"/>
      <c r="O69" s="792"/>
      <c r="P69" s="792"/>
      <c r="Q69" s="792"/>
      <c r="R69" s="792"/>
      <c r="S69" s="792"/>
      <c r="T69" s="792"/>
      <c r="U69" s="792"/>
      <c r="V69" s="792"/>
      <c r="W69" s="792"/>
      <c r="X69" s="792"/>
      <c r="Y69" s="792"/>
      <c r="Z69" s="792"/>
    </row>
    <row r="70" ht="15.75" customHeight="1">
      <c r="A70" s="781">
        <v>69.0</v>
      </c>
      <c r="B70" s="898" t="s">
        <v>493</v>
      </c>
      <c r="C70" s="781">
        <v>10.0</v>
      </c>
      <c r="D70" s="781">
        <f t="shared" si="1"/>
        <v>440</v>
      </c>
      <c r="E70" s="781" t="s">
        <v>1697</v>
      </c>
      <c r="F70" s="898" t="s">
        <v>2863</v>
      </c>
      <c r="G70" s="791" t="str">
        <f>IMAGE("https://5.imimg.com/data5/SR/JZ/RD/SELLER-80355495/large-breadboard-800-points--500x500.jpg",1)</f>
        <v/>
      </c>
      <c r="H70" s="792"/>
      <c r="I70" s="792"/>
      <c r="J70" s="792"/>
      <c r="K70" s="792"/>
      <c r="L70" s="792"/>
      <c r="M70" s="792"/>
      <c r="N70" s="792"/>
      <c r="O70" s="792"/>
      <c r="P70" s="792"/>
      <c r="Q70" s="792"/>
      <c r="R70" s="792"/>
      <c r="S70" s="792"/>
      <c r="T70" s="792"/>
      <c r="U70" s="792"/>
      <c r="V70" s="792"/>
      <c r="W70" s="792"/>
      <c r="X70" s="792"/>
      <c r="Y70" s="792"/>
      <c r="Z70" s="792"/>
    </row>
    <row r="71" ht="51.0" customHeight="1">
      <c r="A71" s="781">
        <v>70.0</v>
      </c>
      <c r="B71" s="898" t="s">
        <v>305</v>
      </c>
      <c r="C71" s="781">
        <v>10.0</v>
      </c>
      <c r="D71" s="781">
        <f t="shared" si="1"/>
        <v>440</v>
      </c>
      <c r="E71" s="781" t="s">
        <v>1697</v>
      </c>
      <c r="F71" s="898" t="s">
        <v>301</v>
      </c>
      <c r="G71" s="791" t="str">
        <f>IMAGE("https://robu.in/wp-content/uploads/2018/07/50-CM-Micro-USB-Cable-1.jpg",1)</f>
        <v/>
      </c>
      <c r="H71" s="792"/>
      <c r="I71" s="792"/>
      <c r="J71" s="792"/>
      <c r="K71" s="792"/>
      <c r="L71" s="792"/>
      <c r="M71" s="792"/>
      <c r="N71" s="792"/>
      <c r="O71" s="792"/>
      <c r="P71" s="792"/>
      <c r="Q71" s="792"/>
      <c r="R71" s="792"/>
      <c r="S71" s="792"/>
      <c r="T71" s="792"/>
      <c r="U71" s="792"/>
      <c r="V71" s="792"/>
      <c r="W71" s="792"/>
      <c r="X71" s="792"/>
      <c r="Y71" s="792"/>
      <c r="Z71" s="792"/>
    </row>
    <row r="72" ht="15.75" customHeight="1">
      <c r="A72" s="781">
        <v>71.0</v>
      </c>
      <c r="B72" s="898" t="s">
        <v>497</v>
      </c>
      <c r="C72" s="781">
        <v>10.0</v>
      </c>
      <c r="D72" s="781">
        <f t="shared" si="1"/>
        <v>440</v>
      </c>
      <c r="E72" s="781" t="s">
        <v>1697</v>
      </c>
      <c r="F72" s="898" t="s">
        <v>494</v>
      </c>
      <c r="G72" s="791" t="str">
        <f>IMAGE("https://5.imimg.com/data5/SELLER/Default/2020/12/GY/DK/LM/59387089/400-point-solderless-breadboard-500x500.jpg",1)</f>
        <v/>
      </c>
      <c r="H72" s="792"/>
      <c r="I72" s="792"/>
      <c r="J72" s="792"/>
      <c r="K72" s="792"/>
      <c r="L72" s="792"/>
      <c r="M72" s="792"/>
      <c r="N72" s="792"/>
      <c r="O72" s="792"/>
      <c r="P72" s="792"/>
      <c r="Q72" s="792"/>
      <c r="R72" s="792"/>
      <c r="S72" s="792"/>
      <c r="T72" s="792"/>
      <c r="U72" s="792"/>
      <c r="V72" s="792"/>
      <c r="W72" s="792"/>
      <c r="X72" s="792"/>
      <c r="Y72" s="792"/>
      <c r="Z72" s="792"/>
    </row>
    <row r="73" ht="15.75" customHeight="1">
      <c r="A73" s="781">
        <v>72.0</v>
      </c>
      <c r="B73" s="898" t="s">
        <v>927</v>
      </c>
      <c r="C73" s="781">
        <v>10.0</v>
      </c>
      <c r="D73" s="781">
        <f t="shared" si="1"/>
        <v>440</v>
      </c>
      <c r="E73" s="781" t="s">
        <v>1697</v>
      </c>
      <c r="F73" s="898" t="s">
        <v>1581</v>
      </c>
      <c r="G73" s="791" t="str">
        <f>IMAGE("https://robu.in/wp-content/uploads/2021/05/0.5W-8OHM-Trumpet-Diameter-36mm-1.jpeg",1)</f>
        <v/>
      </c>
      <c r="H73" s="792"/>
      <c r="I73" s="792"/>
      <c r="J73" s="792"/>
      <c r="K73" s="792"/>
      <c r="L73" s="792"/>
      <c r="M73" s="792"/>
      <c r="N73" s="792"/>
      <c r="O73" s="792"/>
      <c r="P73" s="792"/>
      <c r="Q73" s="792"/>
      <c r="R73" s="792"/>
      <c r="S73" s="792"/>
      <c r="T73" s="792"/>
      <c r="U73" s="792"/>
      <c r="V73" s="792"/>
      <c r="W73" s="792"/>
      <c r="X73" s="792"/>
      <c r="Y73" s="792"/>
      <c r="Z73" s="792"/>
    </row>
    <row r="74" ht="60.75" customHeight="1">
      <c r="A74" s="781">
        <v>73.0</v>
      </c>
      <c r="B74" s="898" t="s">
        <v>300</v>
      </c>
      <c r="C74" s="781">
        <v>10.0</v>
      </c>
      <c r="D74" s="781">
        <f t="shared" si="1"/>
        <v>440</v>
      </c>
      <c r="E74" s="781" t="s">
        <v>1697</v>
      </c>
      <c r="F74" s="898" t="s">
        <v>1620</v>
      </c>
      <c r="G74" s="791" t="str">
        <f>IMAGE("https://encrypted-tbn0.gstatic.com/images?q=tbn:ANd9GcR4A79FMiemvwjtYU3z1SGV0ayCZPtc8oNMobr5AuvlhGOJoeuq78aTh7JjRPQlfFrsXfE&amp;usqp=CAU",1)</f>
        <v/>
      </c>
      <c r="H74" s="792"/>
      <c r="I74" s="792"/>
      <c r="J74" s="792"/>
      <c r="K74" s="792"/>
      <c r="L74" s="792"/>
      <c r="M74" s="792"/>
      <c r="N74" s="792"/>
      <c r="O74" s="792"/>
      <c r="P74" s="792"/>
      <c r="Q74" s="792"/>
      <c r="R74" s="792"/>
      <c r="S74" s="792"/>
      <c r="T74" s="792"/>
      <c r="U74" s="792"/>
      <c r="V74" s="792"/>
      <c r="W74" s="792"/>
      <c r="X74" s="792"/>
      <c r="Y74" s="792"/>
      <c r="Z74" s="792"/>
    </row>
    <row r="75" ht="15.75" customHeight="1">
      <c r="A75" s="781">
        <v>74.0</v>
      </c>
      <c r="B75" s="898" t="s">
        <v>310</v>
      </c>
      <c r="C75" s="781">
        <v>10.0</v>
      </c>
      <c r="D75" s="781">
        <f t="shared" si="1"/>
        <v>440</v>
      </c>
      <c r="E75" s="781" t="s">
        <v>1697</v>
      </c>
      <c r="F75" s="898" t="s">
        <v>306</v>
      </c>
      <c r="G75" s="791" t="str">
        <f>IMAGE("https://robu.in/wp-content/uploads/2019/10/1.64FT-Mini-USB-Cable-1m-1.jpg ",1)</f>
        <v/>
      </c>
      <c r="H75" s="792"/>
      <c r="I75" s="792"/>
      <c r="J75" s="792"/>
      <c r="K75" s="792"/>
      <c r="L75" s="792"/>
      <c r="M75" s="792"/>
      <c r="N75" s="792"/>
      <c r="O75" s="792"/>
      <c r="P75" s="792"/>
      <c r="Q75" s="792"/>
      <c r="R75" s="792"/>
      <c r="S75" s="792"/>
      <c r="T75" s="792"/>
      <c r="U75" s="792"/>
      <c r="V75" s="792"/>
      <c r="W75" s="792"/>
      <c r="X75" s="792"/>
      <c r="Y75" s="792"/>
      <c r="Z75" s="792"/>
    </row>
    <row r="76" ht="15.75" customHeight="1">
      <c r="A76" s="781">
        <v>75.0</v>
      </c>
      <c r="B76" s="898" t="s">
        <v>287</v>
      </c>
      <c r="C76" s="781">
        <v>20.0</v>
      </c>
      <c r="D76" s="781">
        <f t="shared" si="1"/>
        <v>880</v>
      </c>
      <c r="E76" s="781" t="s">
        <v>1697</v>
      </c>
      <c r="F76" s="898" t="s">
        <v>944</v>
      </c>
      <c r="G76" s="791" t="str">
        <f t="shared" ref="G76:G78" si="3">IMAGE("https://cdn.shopify.com/s/files/1/0527/2692/3444/products/M-M10CM_800x.jpg?v=1620840829",1)</f>
        <v/>
      </c>
      <c r="H76" s="792"/>
      <c r="I76" s="792"/>
      <c r="J76" s="792"/>
      <c r="K76" s="792"/>
      <c r="L76" s="792"/>
      <c r="M76" s="792"/>
      <c r="N76" s="792"/>
      <c r="O76" s="792"/>
      <c r="P76" s="792"/>
      <c r="Q76" s="792"/>
      <c r="R76" s="792"/>
      <c r="S76" s="792"/>
      <c r="T76" s="792"/>
      <c r="U76" s="792"/>
      <c r="V76" s="792"/>
      <c r="W76" s="792"/>
      <c r="X76" s="792"/>
      <c r="Y76" s="792"/>
      <c r="Z76" s="792"/>
    </row>
    <row r="77" ht="15.75" customHeight="1">
      <c r="A77" s="781">
        <v>76.0</v>
      </c>
      <c r="B77" s="898" t="s">
        <v>292</v>
      </c>
      <c r="C77" s="781">
        <v>20.0</v>
      </c>
      <c r="D77" s="781">
        <f t="shared" si="1"/>
        <v>880</v>
      </c>
      <c r="E77" s="781" t="s">
        <v>1697</v>
      </c>
      <c r="F77" s="898" t="s">
        <v>289</v>
      </c>
      <c r="G77" s="791" t="str">
        <f t="shared" si="3"/>
        <v/>
      </c>
      <c r="H77" s="792"/>
      <c r="I77" s="792"/>
      <c r="J77" s="792"/>
      <c r="K77" s="792"/>
      <c r="L77" s="792"/>
      <c r="M77" s="792"/>
      <c r="N77" s="792"/>
      <c r="O77" s="792"/>
      <c r="P77" s="792"/>
      <c r="Q77" s="792"/>
      <c r="R77" s="792"/>
      <c r="S77" s="792"/>
      <c r="T77" s="792"/>
      <c r="U77" s="792"/>
      <c r="V77" s="792"/>
      <c r="W77" s="792"/>
      <c r="X77" s="792"/>
      <c r="Y77" s="792"/>
      <c r="Z77" s="792"/>
    </row>
    <row r="78" ht="15.75" customHeight="1">
      <c r="A78" s="781">
        <v>77.0</v>
      </c>
      <c r="B78" s="898" t="s">
        <v>296</v>
      </c>
      <c r="C78" s="781">
        <v>20.0</v>
      </c>
      <c r="D78" s="781">
        <f t="shared" si="1"/>
        <v>880</v>
      </c>
      <c r="E78" s="781" t="s">
        <v>1697</v>
      </c>
      <c r="F78" s="898" t="s">
        <v>293</v>
      </c>
      <c r="G78" s="791" t="str">
        <f t="shared" si="3"/>
        <v/>
      </c>
      <c r="H78" s="792"/>
      <c r="I78" s="792"/>
      <c r="J78" s="792"/>
      <c r="K78" s="792"/>
      <c r="L78" s="792"/>
      <c r="M78" s="792"/>
      <c r="N78" s="792"/>
      <c r="O78" s="792"/>
      <c r="P78" s="792"/>
      <c r="Q78" s="792"/>
      <c r="R78" s="792"/>
      <c r="S78" s="792"/>
      <c r="T78" s="792"/>
      <c r="U78" s="792"/>
      <c r="V78" s="792"/>
      <c r="W78" s="792"/>
      <c r="X78" s="792"/>
      <c r="Y78" s="792"/>
      <c r="Z78" s="792"/>
    </row>
    <row r="79" ht="67.5" customHeight="1">
      <c r="A79" s="781">
        <v>78.0</v>
      </c>
      <c r="B79" s="898" t="s">
        <v>266</v>
      </c>
      <c r="C79" s="781">
        <v>20.0</v>
      </c>
      <c r="D79" s="781">
        <f t="shared" si="1"/>
        <v>880</v>
      </c>
      <c r="E79" s="781" t="s">
        <v>1697</v>
      </c>
      <c r="F79" s="898" t="s">
        <v>600</v>
      </c>
      <c r="G79" s="791" t="str">
        <f t="shared" ref="G79:G83" si="4">IMAGE("https://i.ebayimg.com/images/g/xCYAAOSwjvJlEQU8/s-l1600.jpg",1)</f>
        <v/>
      </c>
      <c r="H79" s="792"/>
      <c r="I79" s="792"/>
      <c r="J79" s="792"/>
      <c r="K79" s="792"/>
      <c r="L79" s="792"/>
      <c r="M79" s="792"/>
      <c r="N79" s="792"/>
      <c r="O79" s="792"/>
      <c r="P79" s="792"/>
      <c r="Q79" s="792"/>
      <c r="R79" s="792"/>
      <c r="S79" s="792"/>
      <c r="T79" s="792"/>
      <c r="U79" s="792"/>
      <c r="V79" s="792"/>
      <c r="W79" s="792"/>
      <c r="X79" s="792"/>
      <c r="Y79" s="792"/>
      <c r="Z79" s="792"/>
    </row>
    <row r="80" ht="67.5" customHeight="1">
      <c r="A80" s="781">
        <v>79.0</v>
      </c>
      <c r="B80" s="898" t="s">
        <v>271</v>
      </c>
      <c r="C80" s="781">
        <v>20.0</v>
      </c>
      <c r="D80" s="781">
        <f t="shared" si="1"/>
        <v>880</v>
      </c>
      <c r="E80" s="781" t="s">
        <v>1697</v>
      </c>
      <c r="F80" s="898" t="s">
        <v>268</v>
      </c>
      <c r="G80" s="791" t="str">
        <f t="shared" si="4"/>
        <v/>
      </c>
      <c r="H80" s="792"/>
      <c r="I80" s="792"/>
      <c r="J80" s="792"/>
      <c r="K80" s="792"/>
      <c r="L80" s="792"/>
      <c r="M80" s="792"/>
      <c r="N80" s="792"/>
      <c r="O80" s="792"/>
      <c r="P80" s="792"/>
      <c r="Q80" s="792"/>
      <c r="R80" s="792"/>
      <c r="S80" s="792"/>
      <c r="T80" s="792"/>
      <c r="U80" s="792"/>
      <c r="V80" s="792"/>
      <c r="W80" s="792"/>
      <c r="X80" s="792"/>
      <c r="Y80" s="792"/>
      <c r="Z80" s="792"/>
    </row>
    <row r="81" ht="67.5" customHeight="1">
      <c r="A81" s="781">
        <v>80.0</v>
      </c>
      <c r="B81" s="898" t="s">
        <v>275</v>
      </c>
      <c r="C81" s="781">
        <v>20.0</v>
      </c>
      <c r="D81" s="781">
        <f t="shared" si="1"/>
        <v>880</v>
      </c>
      <c r="E81" s="781" t="s">
        <v>1697</v>
      </c>
      <c r="F81" s="898" t="s">
        <v>272</v>
      </c>
      <c r="G81" s="791" t="str">
        <f t="shared" si="4"/>
        <v/>
      </c>
      <c r="H81" s="792"/>
      <c r="I81" s="792"/>
      <c r="J81" s="792"/>
      <c r="K81" s="792"/>
      <c r="L81" s="792"/>
      <c r="M81" s="792"/>
      <c r="N81" s="792"/>
      <c r="O81" s="792"/>
      <c r="P81" s="792"/>
      <c r="Q81" s="792"/>
      <c r="R81" s="792"/>
      <c r="S81" s="792"/>
      <c r="T81" s="792"/>
      <c r="U81" s="792"/>
      <c r="V81" s="792"/>
      <c r="W81" s="792"/>
      <c r="X81" s="792"/>
      <c r="Y81" s="792"/>
      <c r="Z81" s="792"/>
    </row>
    <row r="82" ht="67.5" customHeight="1">
      <c r="A82" s="781">
        <v>81.0</v>
      </c>
      <c r="B82" s="898" t="s">
        <v>279</v>
      </c>
      <c r="C82" s="781">
        <v>20.0</v>
      </c>
      <c r="D82" s="781">
        <f t="shared" si="1"/>
        <v>880</v>
      </c>
      <c r="E82" s="781" t="s">
        <v>1697</v>
      </c>
      <c r="F82" s="898" t="s">
        <v>276</v>
      </c>
      <c r="G82" s="791" t="str">
        <f t="shared" si="4"/>
        <v/>
      </c>
      <c r="H82" s="792"/>
      <c r="I82" s="792"/>
      <c r="J82" s="792"/>
      <c r="K82" s="792"/>
      <c r="L82" s="792"/>
      <c r="M82" s="792"/>
      <c r="N82" s="792"/>
      <c r="O82" s="792"/>
      <c r="P82" s="792"/>
      <c r="Q82" s="792"/>
      <c r="R82" s="792"/>
      <c r="S82" s="792"/>
      <c r="T82" s="792"/>
      <c r="U82" s="792"/>
      <c r="V82" s="792"/>
      <c r="W82" s="792"/>
      <c r="X82" s="792"/>
      <c r="Y82" s="792"/>
      <c r="Z82" s="792"/>
    </row>
    <row r="83" ht="67.5" customHeight="1">
      <c r="A83" s="781">
        <v>82.0</v>
      </c>
      <c r="B83" s="898" t="s">
        <v>283</v>
      </c>
      <c r="C83" s="781">
        <v>20.0</v>
      </c>
      <c r="D83" s="781">
        <f t="shared" si="1"/>
        <v>880</v>
      </c>
      <c r="E83" s="781" t="s">
        <v>1697</v>
      </c>
      <c r="F83" s="898" t="s">
        <v>280</v>
      </c>
      <c r="G83" s="791" t="str">
        <f t="shared" si="4"/>
        <v/>
      </c>
      <c r="H83" s="792"/>
      <c r="I83" s="792"/>
      <c r="J83" s="792"/>
      <c r="K83" s="792"/>
      <c r="L83" s="792"/>
      <c r="M83" s="792"/>
      <c r="N83" s="792"/>
      <c r="O83" s="792"/>
      <c r="P83" s="792"/>
      <c r="Q83" s="792"/>
      <c r="R83" s="792"/>
      <c r="S83" s="792"/>
      <c r="T83" s="792"/>
      <c r="U83" s="792"/>
      <c r="V83" s="792"/>
      <c r="W83" s="792"/>
      <c r="X83" s="792"/>
      <c r="Y83" s="792"/>
      <c r="Z83" s="792"/>
    </row>
    <row r="84" ht="15.75" customHeight="1">
      <c r="A84" s="781">
        <v>83.0</v>
      </c>
      <c r="B84" s="898" t="s">
        <v>895</v>
      </c>
      <c r="C84" s="781">
        <v>10.0</v>
      </c>
      <c r="D84" s="781">
        <f t="shared" si="1"/>
        <v>440</v>
      </c>
      <c r="E84" s="781" t="s">
        <v>1697</v>
      </c>
      <c r="F84" s="898" t="s">
        <v>990</v>
      </c>
      <c r="G84" s="791" t="str">
        <f>IMAGE("https://m.media-amazon.com/images/W/MEDIAX_792452-T2/images/I/612Fb4y5P6S._SL1100_.jpg",1)</f>
        <v/>
      </c>
      <c r="H84" s="792"/>
      <c r="I84" s="792"/>
      <c r="J84" s="792"/>
      <c r="K84" s="792"/>
      <c r="L84" s="792"/>
      <c r="M84" s="792"/>
      <c r="N84" s="792"/>
      <c r="O84" s="792"/>
      <c r="P84" s="792"/>
      <c r="Q84" s="792"/>
      <c r="R84" s="792"/>
      <c r="S84" s="792"/>
      <c r="T84" s="792"/>
      <c r="U84" s="792"/>
      <c r="V84" s="792"/>
      <c r="W84" s="792"/>
      <c r="X84" s="792"/>
      <c r="Y84" s="792"/>
      <c r="Z84" s="792"/>
    </row>
    <row r="85" ht="15.75" customHeight="1">
      <c r="A85" s="781">
        <v>84.0</v>
      </c>
      <c r="B85" s="898" t="s">
        <v>1619</v>
      </c>
      <c r="C85" s="781">
        <v>10.0</v>
      </c>
      <c r="D85" s="781">
        <f t="shared" si="1"/>
        <v>440</v>
      </c>
      <c r="E85" s="781" t="s">
        <v>1697</v>
      </c>
      <c r="F85" s="898" t="s">
        <v>168</v>
      </c>
      <c r="G85" s="791" t="str">
        <f>IMAGE("https://i0.wp.com/superbtech.in/wp-content/uploads/2020/07/2-60.jpg?fit=500%2C500&amp;ssl=1",1)</f>
        <v/>
      </c>
      <c r="H85" s="792"/>
      <c r="I85" s="792"/>
      <c r="J85" s="792"/>
      <c r="K85" s="792"/>
      <c r="L85" s="792"/>
      <c r="M85" s="792"/>
      <c r="N85" s="792"/>
      <c r="O85" s="792"/>
      <c r="P85" s="792"/>
      <c r="Q85" s="792"/>
      <c r="R85" s="792"/>
      <c r="S85" s="792"/>
      <c r="T85" s="792"/>
      <c r="U85" s="792"/>
      <c r="V85" s="792"/>
      <c r="W85" s="792"/>
      <c r="X85" s="792"/>
      <c r="Y85" s="792"/>
      <c r="Z85" s="792"/>
    </row>
    <row r="86" ht="15.75" customHeight="1">
      <c r="A86" s="781">
        <v>85.0</v>
      </c>
      <c r="B86" s="898" t="s">
        <v>1546</v>
      </c>
      <c r="C86" s="781">
        <v>10.0</v>
      </c>
      <c r="D86" s="781">
        <f t="shared" si="1"/>
        <v>440</v>
      </c>
      <c r="E86" s="781" t="s">
        <v>1697</v>
      </c>
      <c r="F86" s="898" t="s">
        <v>908</v>
      </c>
      <c r="G86" s="791" t="str">
        <f>IMAGE("https://robu.in/wp-content/uploads/2017/05/LDR-module-1.png",1)</f>
        <v/>
      </c>
      <c r="H86" s="792"/>
      <c r="I86" s="792"/>
      <c r="J86" s="792"/>
      <c r="K86" s="792"/>
      <c r="L86" s="792"/>
      <c r="M86" s="792"/>
      <c r="N86" s="792"/>
      <c r="O86" s="792"/>
      <c r="P86" s="792"/>
      <c r="Q86" s="792"/>
      <c r="R86" s="792"/>
      <c r="S86" s="792"/>
      <c r="T86" s="792"/>
      <c r="U86" s="792"/>
      <c r="V86" s="792"/>
      <c r="W86" s="792"/>
      <c r="X86" s="792"/>
      <c r="Y86" s="792"/>
      <c r="Z86" s="792"/>
    </row>
    <row r="87" ht="52.5" customHeight="1">
      <c r="A87" s="781">
        <v>86.0</v>
      </c>
      <c r="B87" s="898" t="s">
        <v>2888</v>
      </c>
      <c r="C87" s="781">
        <v>20.0</v>
      </c>
      <c r="D87" s="781">
        <f t="shared" si="1"/>
        <v>880</v>
      </c>
      <c r="E87" s="781" t="s">
        <v>1697</v>
      </c>
      <c r="F87" s="898" t="s">
        <v>583</v>
      </c>
      <c r="G87" s="791" t="str">
        <f>IMAGE("https://aryabot.in/wp-content/uploads/2023/10/castor-wheel-big-550x550w.webp",1)</f>
        <v/>
      </c>
      <c r="H87" s="792"/>
      <c r="I87" s="792"/>
      <c r="J87" s="792"/>
      <c r="K87" s="792"/>
      <c r="L87" s="792"/>
      <c r="M87" s="792"/>
      <c r="N87" s="792"/>
      <c r="O87" s="792"/>
      <c r="P87" s="792"/>
      <c r="Q87" s="792"/>
      <c r="R87" s="792"/>
      <c r="S87" s="792"/>
      <c r="T87" s="792"/>
      <c r="U87" s="792"/>
      <c r="V87" s="792"/>
      <c r="W87" s="792"/>
      <c r="X87" s="792"/>
      <c r="Y87" s="792"/>
      <c r="Z87" s="792"/>
    </row>
    <row r="88" ht="15.75" customHeight="1">
      <c r="A88" s="781">
        <v>87.0</v>
      </c>
      <c r="B88" s="898" t="s">
        <v>638</v>
      </c>
      <c r="C88" s="781">
        <v>20.0</v>
      </c>
      <c r="D88" s="781">
        <f t="shared" si="1"/>
        <v>880</v>
      </c>
      <c r="E88" s="781" t="s">
        <v>1697</v>
      </c>
      <c r="F88" s="898" t="s">
        <v>1206</v>
      </c>
      <c r="G88" s="791" t="str">
        <f>IMAGE("https://5.imimg.com/data5/FI/FV/DZ/SELLER-22718366/27-mm-3p-piezoelectric-buzzer-plate-500x500.jpg",1)</f>
        <v/>
      </c>
      <c r="H88" s="792"/>
      <c r="I88" s="792"/>
      <c r="J88" s="792"/>
      <c r="K88" s="792"/>
      <c r="L88" s="792"/>
      <c r="M88" s="792"/>
      <c r="N88" s="792"/>
      <c r="O88" s="792"/>
      <c r="P88" s="792"/>
      <c r="Q88" s="792"/>
      <c r="R88" s="792"/>
      <c r="S88" s="792"/>
      <c r="T88" s="792"/>
      <c r="U88" s="792"/>
      <c r="V88" s="792"/>
      <c r="W88" s="792"/>
      <c r="X88" s="792"/>
      <c r="Y88" s="792"/>
      <c r="Z88" s="792"/>
    </row>
    <row r="89" ht="15.75" customHeight="1">
      <c r="A89" s="781">
        <v>88.0</v>
      </c>
      <c r="B89" s="898" t="s">
        <v>2835</v>
      </c>
      <c r="C89" s="781">
        <v>20.0</v>
      </c>
      <c r="D89" s="781">
        <f t="shared" si="1"/>
        <v>880</v>
      </c>
      <c r="E89" s="781" t="s">
        <v>1697</v>
      </c>
      <c r="F89" s="898" t="s">
        <v>1422</v>
      </c>
      <c r="G89" s="791" t="str">
        <f>IMAGE("https://m.media-amazon.com/images/I/51BByYhTjOL._SX425_.jpg",1)</f>
        <v/>
      </c>
      <c r="H89" s="792"/>
      <c r="I89" s="792"/>
      <c r="J89" s="792"/>
      <c r="K89" s="792"/>
      <c r="L89" s="792"/>
      <c r="M89" s="792"/>
      <c r="N89" s="792"/>
      <c r="O89" s="792"/>
      <c r="P89" s="792"/>
      <c r="Q89" s="792"/>
      <c r="R89" s="792"/>
      <c r="S89" s="792"/>
      <c r="T89" s="792"/>
      <c r="U89" s="792"/>
      <c r="V89" s="792"/>
      <c r="W89" s="792"/>
      <c r="X89" s="792"/>
      <c r="Y89" s="792"/>
      <c r="Z89" s="792"/>
    </row>
    <row r="90" ht="70.5" customHeight="1">
      <c r="A90" s="781">
        <v>89.0</v>
      </c>
      <c r="B90" s="898" t="s">
        <v>654</v>
      </c>
      <c r="C90" s="781">
        <v>20.0</v>
      </c>
      <c r="D90" s="781">
        <f t="shared" si="1"/>
        <v>880</v>
      </c>
      <c r="E90" s="781" t="s">
        <v>1697</v>
      </c>
      <c r="F90" s="898" t="s">
        <v>651</v>
      </c>
      <c r="G90" s="791" t="str">
        <f>IMAGE("https://m.media-amazon.com/images/I/31ALofIyvBL._SX466_.jpg",1)</f>
        <v/>
      </c>
      <c r="H90" s="792"/>
      <c r="I90" s="792"/>
      <c r="J90" s="792"/>
      <c r="K90" s="792"/>
      <c r="L90" s="792"/>
      <c r="M90" s="792"/>
      <c r="N90" s="792"/>
      <c r="O90" s="792"/>
      <c r="P90" s="792"/>
      <c r="Q90" s="792"/>
      <c r="R90" s="792"/>
      <c r="S90" s="792"/>
      <c r="T90" s="792"/>
      <c r="U90" s="792"/>
      <c r="V90" s="792"/>
      <c r="W90" s="792"/>
      <c r="X90" s="792"/>
      <c r="Y90" s="792"/>
      <c r="Z90" s="792"/>
    </row>
    <row r="91" ht="70.5" customHeight="1">
      <c r="A91" s="781">
        <v>90.0</v>
      </c>
      <c r="B91" s="898" t="s">
        <v>886</v>
      </c>
      <c r="C91" s="781">
        <v>20.0</v>
      </c>
      <c r="D91" s="781">
        <f t="shared" si="1"/>
        <v>880</v>
      </c>
      <c r="E91" s="781" t="s">
        <v>1697</v>
      </c>
      <c r="F91" s="898" t="s">
        <v>338</v>
      </c>
      <c r="G91" s="791" t="str">
        <f>IMAGE("https://www.olelectronics.in/wp-content/uploads/Miniature-Vibration-Motor.png",1)</f>
        <v/>
      </c>
      <c r="H91" s="792"/>
      <c r="I91" s="792"/>
      <c r="J91" s="792"/>
      <c r="K91" s="792"/>
      <c r="L91" s="792"/>
      <c r="M91" s="792"/>
      <c r="N91" s="792"/>
      <c r="O91" s="792"/>
      <c r="P91" s="792"/>
      <c r="Q91" s="792"/>
      <c r="R91" s="792"/>
      <c r="S91" s="792"/>
      <c r="T91" s="792"/>
      <c r="U91" s="792"/>
      <c r="V91" s="792"/>
      <c r="W91" s="792"/>
      <c r="X91" s="792"/>
      <c r="Y91" s="792"/>
      <c r="Z91" s="792"/>
    </row>
    <row r="92" ht="70.5" customHeight="1">
      <c r="A92" s="781">
        <v>91.0</v>
      </c>
      <c r="B92" s="898" t="s">
        <v>2893</v>
      </c>
      <c r="C92" s="781">
        <v>20.0</v>
      </c>
      <c r="D92" s="781">
        <f t="shared" si="1"/>
        <v>880</v>
      </c>
      <c r="E92" s="781" t="s">
        <v>1697</v>
      </c>
      <c r="F92" s="898" t="s">
        <v>904</v>
      </c>
      <c r="G92" s="791" t="str">
        <f>IMAGE("https://makerbazar.in/cdn/shop/products/dcmalejackwithwire2_600x.jpg?v=1642675074",1)</f>
        <v/>
      </c>
      <c r="H92" s="792"/>
      <c r="I92" s="792"/>
      <c r="J92" s="792"/>
      <c r="K92" s="792"/>
      <c r="L92" s="792"/>
      <c r="M92" s="792"/>
      <c r="N92" s="792"/>
      <c r="O92" s="792"/>
      <c r="P92" s="792"/>
      <c r="Q92" s="792"/>
      <c r="R92" s="792"/>
      <c r="S92" s="792"/>
      <c r="T92" s="792"/>
      <c r="U92" s="792"/>
      <c r="V92" s="792"/>
      <c r="W92" s="792"/>
      <c r="X92" s="792"/>
      <c r="Y92" s="792"/>
      <c r="Z92" s="792"/>
    </row>
    <row r="93" ht="70.5" customHeight="1">
      <c r="A93" s="781">
        <v>92.0</v>
      </c>
      <c r="B93" s="898" t="s">
        <v>642</v>
      </c>
      <c r="C93" s="781">
        <v>20.0</v>
      </c>
      <c r="D93" s="781">
        <f t="shared" si="1"/>
        <v>880</v>
      </c>
      <c r="E93" s="781" t="s">
        <v>1697</v>
      </c>
      <c r="F93" s="898" t="s">
        <v>112</v>
      </c>
      <c r="G93" s="791" t="str">
        <f>IMAGE("https://m.media-amazon.com/images/I/31ALofIyvBL._SX466_.jpg",1)</f>
        <v/>
      </c>
      <c r="H93" s="792"/>
      <c r="I93" s="792"/>
      <c r="J93" s="792"/>
      <c r="K93" s="792"/>
      <c r="L93" s="792"/>
      <c r="M93" s="792"/>
      <c r="N93" s="792"/>
      <c r="O93" s="792"/>
      <c r="P93" s="792"/>
      <c r="Q93" s="792"/>
      <c r="R93" s="792"/>
      <c r="S93" s="792"/>
      <c r="T93" s="792"/>
      <c r="U93" s="792"/>
      <c r="V93" s="792"/>
      <c r="W93" s="792"/>
      <c r="X93" s="792"/>
      <c r="Y93" s="792"/>
      <c r="Z93" s="792"/>
    </row>
    <row r="94" ht="15.75" customHeight="1">
      <c r="A94" s="781">
        <v>93.0</v>
      </c>
      <c r="B94" s="898" t="s">
        <v>911</v>
      </c>
      <c r="C94" s="781">
        <v>20.0</v>
      </c>
      <c r="D94" s="781">
        <f t="shared" si="1"/>
        <v>880</v>
      </c>
      <c r="E94" s="781" t="s">
        <v>1697</v>
      </c>
      <c r="F94" s="898" t="s">
        <v>376</v>
      </c>
      <c r="G94" s="791" t="str">
        <f>IMAGE("https://ashokaonlineshop.in/wp-content/uploads/2022/11/650nm-Mini-Laser-Dot-Diode-Module1.jpeg",1)</f>
        <v/>
      </c>
      <c r="H94" s="792"/>
      <c r="I94" s="792"/>
      <c r="J94" s="792"/>
      <c r="K94" s="792"/>
      <c r="L94" s="792"/>
      <c r="M94" s="792"/>
      <c r="N94" s="792"/>
      <c r="O94" s="792"/>
      <c r="P94" s="792"/>
      <c r="Q94" s="792"/>
      <c r="R94" s="792"/>
      <c r="S94" s="792"/>
      <c r="T94" s="792"/>
      <c r="U94" s="792"/>
      <c r="V94" s="792"/>
      <c r="W94" s="792"/>
      <c r="X94" s="792"/>
      <c r="Y94" s="792"/>
      <c r="Z94" s="792"/>
    </row>
    <row r="95" ht="72.75" customHeight="1">
      <c r="A95" s="781">
        <v>94.0</v>
      </c>
      <c r="B95" s="898" t="s">
        <v>646</v>
      </c>
      <c r="C95" s="781">
        <v>20.0</v>
      </c>
      <c r="D95" s="781">
        <f t="shared" si="1"/>
        <v>880</v>
      </c>
      <c r="E95" s="781" t="s">
        <v>1697</v>
      </c>
      <c r="F95" s="898" t="s">
        <v>643</v>
      </c>
      <c r="G95" s="791" t="str">
        <f t="shared" ref="G95:G96" si="5">IMAGE("https://m.media-amazon.com/images/I/31ALofIyvBL._SX466_.jpg",1)</f>
        <v/>
      </c>
      <c r="H95" s="792"/>
      <c r="I95" s="792"/>
      <c r="J95" s="792"/>
      <c r="K95" s="792"/>
      <c r="L95" s="792"/>
      <c r="M95" s="792"/>
      <c r="N95" s="792"/>
      <c r="O95" s="792"/>
      <c r="P95" s="792"/>
      <c r="Q95" s="792"/>
      <c r="R95" s="792"/>
      <c r="S95" s="792"/>
      <c r="T95" s="792"/>
      <c r="U95" s="792"/>
      <c r="V95" s="792"/>
      <c r="W95" s="792"/>
      <c r="X95" s="792"/>
      <c r="Y95" s="792"/>
      <c r="Z95" s="792"/>
    </row>
    <row r="96" ht="72.75" customHeight="1">
      <c r="A96" s="781">
        <v>95.0</v>
      </c>
      <c r="B96" s="898" t="s">
        <v>650</v>
      </c>
      <c r="C96" s="781">
        <v>20.0</v>
      </c>
      <c r="D96" s="781">
        <f t="shared" si="1"/>
        <v>880</v>
      </c>
      <c r="E96" s="781" t="s">
        <v>1697</v>
      </c>
      <c r="F96" s="898" t="s">
        <v>647</v>
      </c>
      <c r="G96" s="791" t="str">
        <f t="shared" si="5"/>
        <v/>
      </c>
      <c r="H96" s="792"/>
      <c r="I96" s="792"/>
      <c r="J96" s="792"/>
      <c r="K96" s="792"/>
      <c r="L96" s="792"/>
      <c r="M96" s="792"/>
      <c r="N96" s="792"/>
      <c r="O96" s="792"/>
      <c r="P96" s="792"/>
      <c r="Q96" s="792"/>
      <c r="R96" s="792"/>
      <c r="S96" s="792"/>
      <c r="T96" s="792"/>
      <c r="U96" s="792"/>
      <c r="V96" s="792"/>
      <c r="W96" s="792"/>
      <c r="X96" s="792"/>
      <c r="Y96" s="792"/>
      <c r="Z96" s="792"/>
    </row>
    <row r="97" ht="72.75" customHeight="1">
      <c r="A97" s="781">
        <v>96.0</v>
      </c>
      <c r="B97" s="898" t="s">
        <v>192</v>
      </c>
      <c r="C97" s="781">
        <v>20.0</v>
      </c>
      <c r="D97" s="781">
        <f t="shared" si="1"/>
        <v>880</v>
      </c>
      <c r="E97" s="781" t="s">
        <v>1697</v>
      </c>
      <c r="F97" s="898" t="s">
        <v>189</v>
      </c>
      <c r="G97" s="791" t="str">
        <f>IMAGE("https://i0.wp.com/www.rytronics.in/wp-content/uploads/2021/09/9v-batter-connector-snap-connector02.jpg?fit=1000%2C1000&amp;ssl=1",1)</f>
        <v/>
      </c>
      <c r="H97" s="792"/>
      <c r="I97" s="792"/>
      <c r="J97" s="792"/>
      <c r="K97" s="792"/>
      <c r="L97" s="792"/>
      <c r="M97" s="792"/>
      <c r="N97" s="792"/>
      <c r="O97" s="792"/>
      <c r="P97" s="792"/>
      <c r="Q97" s="792"/>
      <c r="R97" s="792"/>
      <c r="S97" s="792"/>
      <c r="T97" s="792"/>
      <c r="U97" s="792"/>
      <c r="V97" s="792"/>
      <c r="W97" s="792"/>
      <c r="X97" s="792"/>
      <c r="Y97" s="792"/>
      <c r="Z97" s="792"/>
    </row>
    <row r="98" ht="15.75" customHeight="1">
      <c r="A98" s="781">
        <v>97.0</v>
      </c>
      <c r="B98" s="898" t="s">
        <v>846</v>
      </c>
      <c r="C98" s="781">
        <v>20.0</v>
      </c>
      <c r="D98" s="781">
        <f t="shared" si="1"/>
        <v>880</v>
      </c>
      <c r="E98" s="781" t="s">
        <v>1697</v>
      </c>
      <c r="F98" s="898" t="s">
        <v>1355</v>
      </c>
      <c r="G98" s="791" t="str">
        <f>IMAGE("https://potentiallabs.com/cart/image/cache/catalog/2021/555-timer-ic-400x400.jpeg",1)</f>
        <v/>
      </c>
      <c r="H98" s="792"/>
      <c r="I98" s="792"/>
      <c r="J98" s="792"/>
      <c r="K98" s="792"/>
      <c r="L98" s="792"/>
      <c r="M98" s="792"/>
      <c r="N98" s="792"/>
      <c r="O98" s="792"/>
      <c r="P98" s="792"/>
      <c r="Q98" s="792"/>
      <c r="R98" s="792"/>
      <c r="S98" s="792"/>
      <c r="T98" s="792"/>
      <c r="U98" s="792"/>
      <c r="V98" s="792"/>
      <c r="W98" s="792"/>
      <c r="X98" s="792"/>
      <c r="Y98" s="792"/>
      <c r="Z98" s="792"/>
    </row>
    <row r="99" ht="15.75" customHeight="1">
      <c r="A99" s="781">
        <v>98.0</v>
      </c>
      <c r="B99" s="898" t="s">
        <v>626</v>
      </c>
      <c r="C99" s="781">
        <v>20.0</v>
      </c>
      <c r="D99" s="781">
        <f t="shared" si="1"/>
        <v>880</v>
      </c>
      <c r="E99" s="781" t="s">
        <v>1697</v>
      </c>
      <c r="F99" s="898" t="s">
        <v>1551</v>
      </c>
      <c r="G99" s="791" t="str">
        <f>IMAGE("https://5.imimg.com/data5/AH/OG/AM/SELLER-5278310/mkc-27701-changeover-reed-switch-500x500.jpg",1)</f>
        <v/>
      </c>
      <c r="H99" s="792"/>
      <c r="I99" s="792"/>
      <c r="J99" s="792"/>
      <c r="K99" s="792"/>
      <c r="L99" s="792"/>
      <c r="M99" s="792"/>
      <c r="N99" s="792"/>
      <c r="O99" s="792"/>
      <c r="P99" s="792"/>
      <c r="Q99" s="792"/>
      <c r="R99" s="792"/>
      <c r="S99" s="792"/>
      <c r="T99" s="792"/>
      <c r="U99" s="792"/>
      <c r="V99" s="792"/>
      <c r="W99" s="792"/>
      <c r="X99" s="792"/>
      <c r="Y99" s="792"/>
      <c r="Z99" s="792"/>
    </row>
    <row r="100" ht="66.0" customHeight="1">
      <c r="A100" s="781">
        <v>99.0</v>
      </c>
      <c r="B100" s="898" t="s">
        <v>878</v>
      </c>
      <c r="C100" s="781">
        <v>20.0</v>
      </c>
      <c r="D100" s="781">
        <f t="shared" si="1"/>
        <v>880</v>
      </c>
      <c r="E100" s="781" t="s">
        <v>1697</v>
      </c>
      <c r="F100" s="898" t="s">
        <v>132</v>
      </c>
      <c r="G100" s="791" t="str">
        <f t="shared" ref="G100:G102" si="6">IMAGE("https://probots.co.in/pub/media/catalog/product/cache/d8ddd0f9b0cd008b57085cd218b48832/1/k/1k_ohm_variable_resistor_potentiometer1-1000x1000_12.jpg",1)</f>
        <v/>
      </c>
      <c r="H100" s="792"/>
      <c r="I100" s="792"/>
      <c r="J100" s="792"/>
      <c r="K100" s="792"/>
      <c r="L100" s="792"/>
      <c r="M100" s="792"/>
      <c r="N100" s="792"/>
      <c r="O100" s="792"/>
      <c r="P100" s="792"/>
      <c r="Q100" s="792"/>
      <c r="R100" s="792"/>
      <c r="S100" s="792"/>
      <c r="T100" s="792"/>
      <c r="U100" s="792"/>
      <c r="V100" s="792"/>
      <c r="W100" s="792"/>
      <c r="X100" s="792"/>
      <c r="Y100" s="792"/>
      <c r="Z100" s="792"/>
    </row>
    <row r="101" ht="66.0" customHeight="1">
      <c r="A101" s="781">
        <v>100.0</v>
      </c>
      <c r="B101" s="898" t="s">
        <v>874</v>
      </c>
      <c r="C101" s="781">
        <v>20.0</v>
      </c>
      <c r="D101" s="781">
        <f t="shared" si="1"/>
        <v>880</v>
      </c>
      <c r="E101" s="781" t="s">
        <v>1697</v>
      </c>
      <c r="F101" s="898" t="s">
        <v>875</v>
      </c>
      <c r="G101" s="791" t="str">
        <f t="shared" si="6"/>
        <v/>
      </c>
      <c r="H101" s="792"/>
      <c r="I101" s="792"/>
      <c r="J101" s="792"/>
      <c r="K101" s="792"/>
      <c r="L101" s="792"/>
      <c r="M101" s="792"/>
      <c r="N101" s="792"/>
      <c r="O101" s="792"/>
      <c r="P101" s="792"/>
      <c r="Q101" s="792"/>
      <c r="R101" s="792"/>
      <c r="S101" s="792"/>
      <c r="T101" s="792"/>
      <c r="U101" s="792"/>
      <c r="V101" s="792"/>
      <c r="W101" s="792"/>
      <c r="X101" s="792"/>
      <c r="Y101" s="792"/>
      <c r="Z101" s="792"/>
    </row>
    <row r="102" ht="66.0" customHeight="1">
      <c r="A102" s="781">
        <v>101.0</v>
      </c>
      <c r="B102" s="898" t="s">
        <v>882</v>
      </c>
      <c r="C102" s="781">
        <v>20.0</v>
      </c>
      <c r="D102" s="781">
        <f t="shared" si="1"/>
        <v>880</v>
      </c>
      <c r="E102" s="781" t="s">
        <v>1697</v>
      </c>
      <c r="F102" s="898" t="s">
        <v>879</v>
      </c>
      <c r="G102" s="791" t="str">
        <f t="shared" si="6"/>
        <v/>
      </c>
      <c r="H102" s="792"/>
      <c r="I102" s="792"/>
      <c r="J102" s="792"/>
      <c r="K102" s="792"/>
      <c r="L102" s="792"/>
      <c r="M102" s="792"/>
      <c r="N102" s="792"/>
      <c r="O102" s="792"/>
      <c r="P102" s="792"/>
      <c r="Q102" s="792"/>
      <c r="R102" s="792"/>
      <c r="S102" s="792"/>
      <c r="T102" s="792"/>
      <c r="U102" s="792"/>
      <c r="V102" s="792"/>
      <c r="W102" s="792"/>
      <c r="X102" s="792"/>
      <c r="Y102" s="792"/>
      <c r="Z102" s="792"/>
    </row>
    <row r="103" ht="15.75" customHeight="1">
      <c r="A103" s="781">
        <v>102.0</v>
      </c>
      <c r="B103" s="898" t="s">
        <v>1592</v>
      </c>
      <c r="C103" s="781">
        <v>20.0</v>
      </c>
      <c r="D103" s="781">
        <f t="shared" si="1"/>
        <v>880</v>
      </c>
      <c r="E103" s="781" t="s">
        <v>1697</v>
      </c>
      <c r="F103" s="898" t="s">
        <v>1238</v>
      </c>
      <c r="G103" s="781" t="str">
        <f>IMAGE("https://5.imimg.com/data5/SELLER/Default/2021/9/HF/RK/UF/37611021/10k-ohm-ntc-thermistor-500x500.jpg",1)</f>
        <v/>
      </c>
      <c r="H103" s="792"/>
      <c r="I103" s="792"/>
      <c r="J103" s="792"/>
      <c r="K103" s="792"/>
      <c r="L103" s="792"/>
      <c r="M103" s="792"/>
      <c r="N103" s="792"/>
      <c r="O103" s="792"/>
      <c r="P103" s="792"/>
      <c r="Q103" s="792"/>
      <c r="R103" s="792"/>
      <c r="S103" s="792"/>
      <c r="T103" s="792"/>
      <c r="U103" s="792"/>
      <c r="V103" s="792"/>
      <c r="W103" s="792"/>
      <c r="X103" s="792"/>
      <c r="Y103" s="792"/>
      <c r="Z103" s="792"/>
    </row>
    <row r="104" ht="15.75" customHeight="1">
      <c r="A104" s="781">
        <v>103.0</v>
      </c>
      <c r="B104" s="898" t="s">
        <v>590</v>
      </c>
      <c r="C104" s="781">
        <v>20.0</v>
      </c>
      <c r="D104" s="781">
        <f t="shared" si="1"/>
        <v>880</v>
      </c>
      <c r="E104" s="781" t="s">
        <v>1697</v>
      </c>
      <c r="F104" s="898" t="s">
        <v>1326</v>
      </c>
      <c r="G104" s="791" t="str">
        <f t="shared" ref="G104:G105" si="7">IMAGE("https://m.media-amazon.com/images/W/MEDIAX_792452-T2/images/I/41A+MQfyyEL.jpg",1)</f>
        <v/>
      </c>
      <c r="H104" s="792"/>
      <c r="I104" s="792"/>
      <c r="J104" s="792"/>
      <c r="K104" s="792"/>
      <c r="L104" s="792"/>
      <c r="M104" s="792"/>
      <c r="N104" s="792"/>
      <c r="O104" s="792"/>
      <c r="P104" s="792"/>
      <c r="Q104" s="792"/>
      <c r="R104" s="792"/>
      <c r="S104" s="792"/>
      <c r="T104" s="792"/>
      <c r="U104" s="792"/>
      <c r="V104" s="792"/>
      <c r="W104" s="792"/>
      <c r="X104" s="792"/>
      <c r="Y104" s="792"/>
      <c r="Z104" s="792"/>
    </row>
    <row r="105" ht="47.25" customHeight="1">
      <c r="A105" s="781">
        <v>104.0</v>
      </c>
      <c r="B105" s="898" t="s">
        <v>594</v>
      </c>
      <c r="C105" s="781">
        <v>20.0</v>
      </c>
      <c r="D105" s="781">
        <f t="shared" si="1"/>
        <v>880</v>
      </c>
      <c r="E105" s="781" t="s">
        <v>1697</v>
      </c>
      <c r="F105" s="900" t="s">
        <v>591</v>
      </c>
      <c r="G105" s="791" t="str">
        <f t="shared" si="7"/>
        <v/>
      </c>
      <c r="H105" s="792"/>
      <c r="I105" s="792"/>
      <c r="J105" s="792"/>
      <c r="K105" s="792"/>
      <c r="L105" s="792"/>
      <c r="M105" s="792"/>
      <c r="N105" s="792"/>
      <c r="O105" s="792"/>
      <c r="P105" s="792"/>
      <c r="Q105" s="792"/>
      <c r="R105" s="792"/>
      <c r="S105" s="792"/>
      <c r="T105" s="792"/>
      <c r="U105" s="792"/>
      <c r="V105" s="792"/>
      <c r="W105" s="792"/>
      <c r="X105" s="792"/>
      <c r="Y105" s="792"/>
      <c r="Z105" s="792"/>
    </row>
    <row r="106" ht="46.5" customHeight="1">
      <c r="A106" s="781">
        <v>105.0</v>
      </c>
      <c r="B106" s="898" t="s">
        <v>211</v>
      </c>
      <c r="C106" s="781">
        <v>20.0</v>
      </c>
      <c r="D106" s="781">
        <f t="shared" si="1"/>
        <v>880</v>
      </c>
      <c r="E106" s="781" t="s">
        <v>1697</v>
      </c>
      <c r="F106" s="898" t="s">
        <v>208</v>
      </c>
      <c r="G106" s="791" t="str">
        <f>IMAGE("https://probots.co.in/pub/media/catalog/product/cache/d8ddd0f9b0cd008b57085cd218b48832/4/-/4-x-1.5v-aa-battery-holder01.jpg",1)</f>
        <v/>
      </c>
      <c r="H106" s="792"/>
      <c r="I106" s="792"/>
      <c r="J106" s="792"/>
      <c r="K106" s="792"/>
      <c r="L106" s="792"/>
      <c r="M106" s="792"/>
      <c r="N106" s="792"/>
      <c r="O106" s="792"/>
      <c r="P106" s="792"/>
      <c r="Q106" s="792"/>
      <c r="R106" s="792"/>
      <c r="S106" s="792"/>
      <c r="T106" s="792"/>
      <c r="U106" s="792"/>
      <c r="V106" s="792"/>
      <c r="W106" s="792"/>
      <c r="X106" s="792"/>
      <c r="Y106" s="792"/>
      <c r="Z106" s="792"/>
    </row>
    <row r="107" ht="15.75" customHeight="1">
      <c r="A107" s="781">
        <v>106.0</v>
      </c>
      <c r="B107" s="898" t="s">
        <v>2841</v>
      </c>
      <c r="C107" s="781">
        <v>20.0</v>
      </c>
      <c r="D107" s="781">
        <f t="shared" si="1"/>
        <v>880</v>
      </c>
      <c r="E107" s="781" t="s">
        <v>1697</v>
      </c>
      <c r="F107" s="898" t="s">
        <v>1515</v>
      </c>
      <c r="G107" s="791" t="str">
        <f>IMAGE("https://robu.in/wp-content/uploads/2017/04/Alligator-Clips-Electrical-DIY-Test-Leads-10pcs-For-Test-Leads-Double-ended-Crocodile-Clips-Roach-Clip-2.jpg",1)</f>
        <v/>
      </c>
      <c r="H107" s="792"/>
      <c r="I107" s="792"/>
      <c r="J107" s="792"/>
      <c r="K107" s="792"/>
      <c r="L107" s="792"/>
      <c r="M107" s="792"/>
      <c r="N107" s="792"/>
      <c r="O107" s="792"/>
      <c r="P107" s="792"/>
      <c r="Q107" s="792"/>
      <c r="R107" s="792"/>
      <c r="S107" s="792"/>
      <c r="T107" s="792"/>
      <c r="U107" s="792"/>
      <c r="V107" s="792"/>
      <c r="W107" s="792"/>
      <c r="X107" s="792"/>
      <c r="Y107" s="792"/>
      <c r="Z107" s="792"/>
    </row>
    <row r="108" ht="15.75" customHeight="1">
      <c r="A108" s="781">
        <v>107.0</v>
      </c>
      <c r="B108" s="898" t="s">
        <v>598</v>
      </c>
      <c r="C108" s="781">
        <v>20.0</v>
      </c>
      <c r="D108" s="781">
        <f t="shared" si="1"/>
        <v>880</v>
      </c>
      <c r="E108" s="781" t="s">
        <v>1697</v>
      </c>
      <c r="F108" s="898" t="s">
        <v>263</v>
      </c>
      <c r="G108" s="791" t="str">
        <f>IMAGE("https://robu.in/wp-content/uploads/2018/11/LM358P-PDIP-8-High-Gain-Operational-Amplifier-Pack-of-5-ICs-9.jpg",1)</f>
        <v/>
      </c>
      <c r="H108" s="792"/>
      <c r="I108" s="792"/>
      <c r="J108" s="792"/>
      <c r="K108" s="792"/>
      <c r="L108" s="792"/>
      <c r="M108" s="792"/>
      <c r="N108" s="792"/>
      <c r="O108" s="792"/>
      <c r="P108" s="792"/>
      <c r="Q108" s="792"/>
      <c r="R108" s="792"/>
      <c r="S108" s="792"/>
      <c r="T108" s="792"/>
      <c r="U108" s="792"/>
      <c r="V108" s="792"/>
      <c r="W108" s="792"/>
      <c r="X108" s="792"/>
      <c r="Y108" s="792"/>
      <c r="Z108" s="792"/>
    </row>
    <row r="109" ht="57.75" customHeight="1">
      <c r="A109" s="781">
        <v>108.0</v>
      </c>
      <c r="B109" s="898" t="s">
        <v>216</v>
      </c>
      <c r="C109" s="781">
        <v>20.0</v>
      </c>
      <c r="D109" s="781">
        <f t="shared" si="1"/>
        <v>880</v>
      </c>
      <c r="E109" s="781" t="s">
        <v>1697</v>
      </c>
      <c r="F109" s="898" t="s">
        <v>514</v>
      </c>
      <c r="G109" s="791" t="str">
        <f>IMAGE("https://robu.in/wp-content/uploads/2022/06/510c1Z93PDL._SX679_.jpg",1)</f>
        <v/>
      </c>
      <c r="H109" s="792"/>
      <c r="I109" s="792"/>
      <c r="J109" s="792"/>
      <c r="K109" s="792"/>
      <c r="L109" s="792"/>
      <c r="M109" s="792"/>
      <c r="N109" s="792"/>
      <c r="O109" s="792"/>
      <c r="P109" s="792"/>
      <c r="Q109" s="792"/>
      <c r="R109" s="792"/>
      <c r="S109" s="792"/>
      <c r="T109" s="792"/>
      <c r="U109" s="792"/>
      <c r="V109" s="792"/>
      <c r="W109" s="792"/>
      <c r="X109" s="792"/>
      <c r="Y109" s="792"/>
      <c r="Z109" s="792"/>
    </row>
    <row r="110" ht="15.75" customHeight="1">
      <c r="A110" s="781">
        <v>109.0</v>
      </c>
      <c r="B110" s="898" t="s">
        <v>2994</v>
      </c>
      <c r="C110" s="781">
        <v>30.0</v>
      </c>
      <c r="D110" s="781">
        <f t="shared" si="1"/>
        <v>1320</v>
      </c>
      <c r="E110" s="781" t="s">
        <v>1697</v>
      </c>
      <c r="F110" s="898" t="s">
        <v>971</v>
      </c>
      <c r="G110" s="791" t="str">
        <f>IMAGE("https://i0.wp.com/www.circuituncle.com/wp-content/uploads/2019/10/mg90s.png?fit=1001%2C1001&amp;ssl=1",1)</f>
        <v/>
      </c>
      <c r="H110" s="792"/>
      <c r="I110" s="792"/>
      <c r="J110" s="792"/>
      <c r="K110" s="792"/>
      <c r="L110" s="792"/>
      <c r="M110" s="792"/>
      <c r="N110" s="792"/>
      <c r="O110" s="792"/>
      <c r="P110" s="792"/>
      <c r="Q110" s="792"/>
      <c r="R110" s="792"/>
      <c r="S110" s="792"/>
      <c r="T110" s="792"/>
      <c r="U110" s="792"/>
      <c r="V110" s="792"/>
      <c r="W110" s="792"/>
      <c r="X110" s="792"/>
      <c r="Y110" s="792"/>
      <c r="Z110" s="792"/>
    </row>
    <row r="111" ht="15.75" customHeight="1">
      <c r="A111" s="781">
        <v>110.0</v>
      </c>
      <c r="B111" s="898" t="s">
        <v>1363</v>
      </c>
      <c r="C111" s="781">
        <v>30.0</v>
      </c>
      <c r="D111" s="781">
        <f t="shared" si="1"/>
        <v>1320</v>
      </c>
      <c r="E111" s="781" t="s">
        <v>1697</v>
      </c>
      <c r="F111" s="898" t="s">
        <v>896</v>
      </c>
      <c r="G111" s="791" t="str">
        <f t="shared" ref="G111:G112" si="8">IMAGE("https://m.media-amazon.com/images/W/MEDIAX_792452-T2/images/I/21bgQSzvxLL.jpg",1)</f>
        <v/>
      </c>
      <c r="H111" s="792"/>
      <c r="I111" s="792"/>
      <c r="J111" s="792"/>
      <c r="K111" s="792"/>
      <c r="L111" s="792"/>
      <c r="M111" s="792"/>
      <c r="N111" s="792"/>
      <c r="O111" s="792"/>
      <c r="P111" s="792"/>
      <c r="Q111" s="792"/>
      <c r="R111" s="792"/>
      <c r="S111" s="792"/>
      <c r="T111" s="792"/>
      <c r="U111" s="792"/>
      <c r="V111" s="792"/>
      <c r="W111" s="792"/>
      <c r="X111" s="792"/>
      <c r="Y111" s="792"/>
      <c r="Z111" s="792"/>
    </row>
    <row r="112" ht="15.75" customHeight="1">
      <c r="A112" s="781">
        <v>111.0</v>
      </c>
      <c r="B112" s="898" t="s">
        <v>1367</v>
      </c>
      <c r="C112" s="781">
        <v>30.0</v>
      </c>
      <c r="D112" s="781">
        <f t="shared" si="1"/>
        <v>1320</v>
      </c>
      <c r="E112" s="781" t="s">
        <v>1697</v>
      </c>
      <c r="F112" s="898" t="s">
        <v>1364</v>
      </c>
      <c r="G112" s="791" t="str">
        <f t="shared" si="8"/>
        <v/>
      </c>
      <c r="H112" s="792"/>
      <c r="I112" s="792"/>
      <c r="J112" s="792"/>
      <c r="K112" s="792"/>
      <c r="L112" s="792"/>
      <c r="M112" s="792"/>
      <c r="N112" s="792"/>
      <c r="O112" s="792"/>
      <c r="P112" s="792"/>
      <c r="Q112" s="792"/>
      <c r="R112" s="792"/>
      <c r="S112" s="792"/>
      <c r="T112" s="792"/>
      <c r="U112" s="792"/>
      <c r="V112" s="792"/>
      <c r="W112" s="792"/>
      <c r="X112" s="792"/>
      <c r="Y112" s="792"/>
      <c r="Z112" s="792"/>
    </row>
    <row r="113" ht="15.75" customHeight="1">
      <c r="A113" s="781">
        <v>112.0</v>
      </c>
      <c r="B113" s="898" t="s">
        <v>2861</v>
      </c>
      <c r="C113" s="781">
        <v>30.0</v>
      </c>
      <c r="D113" s="781">
        <f t="shared" si="1"/>
        <v>1320</v>
      </c>
      <c r="E113" s="781" t="s">
        <v>1697</v>
      </c>
      <c r="F113" s="898" t="s">
        <v>1369</v>
      </c>
      <c r="G113" s="791" t="str">
        <f>IMAGE("https://5.imimg.com/data5/DJ/PF/TV/SELLER-95692783/bo-wheel-500x500.jpg",1)</f>
        <v/>
      </c>
      <c r="H113" s="792"/>
      <c r="I113" s="792"/>
      <c r="J113" s="792"/>
      <c r="K113" s="792"/>
      <c r="L113" s="792"/>
      <c r="M113" s="792"/>
      <c r="N113" s="792"/>
      <c r="O113" s="792"/>
      <c r="P113" s="792"/>
      <c r="Q113" s="792"/>
      <c r="R113" s="792"/>
      <c r="S113" s="792"/>
      <c r="T113" s="792"/>
      <c r="U113" s="792"/>
      <c r="V113" s="792"/>
      <c r="W113" s="792"/>
      <c r="X113" s="792"/>
      <c r="Y113" s="792"/>
      <c r="Z113" s="792"/>
    </row>
    <row r="114" ht="60.0" customHeight="1">
      <c r="A114" s="781">
        <v>113.0</v>
      </c>
      <c r="B114" s="898" t="s">
        <v>207</v>
      </c>
      <c r="C114" s="781">
        <v>30.0</v>
      </c>
      <c r="D114" s="781">
        <f t="shared" si="1"/>
        <v>1320</v>
      </c>
      <c r="E114" s="781" t="s">
        <v>1697</v>
      </c>
      <c r="F114" s="898" t="s">
        <v>204</v>
      </c>
      <c r="G114" s="791" t="str">
        <f>IMAGE("https://robu.in/wp-content/uploads/2019/03/2-x-1.5V-AA-battery-holder-with-cover-and-OnOff-Switch-6.jpg",1)</f>
        <v/>
      </c>
      <c r="H114" s="792"/>
      <c r="I114" s="792"/>
      <c r="J114" s="792"/>
      <c r="K114" s="792"/>
      <c r="L114" s="792"/>
      <c r="M114" s="792"/>
      <c r="N114" s="792"/>
      <c r="O114" s="792"/>
      <c r="P114" s="792"/>
      <c r="Q114" s="792"/>
      <c r="R114" s="792"/>
      <c r="S114" s="792"/>
      <c r="T114" s="792"/>
      <c r="U114" s="792"/>
      <c r="V114" s="792"/>
      <c r="W114" s="792"/>
      <c r="X114" s="792"/>
      <c r="Y114" s="792"/>
      <c r="Z114" s="792"/>
    </row>
    <row r="115" ht="91.5" customHeight="1">
      <c r="A115" s="781">
        <v>114.0</v>
      </c>
      <c r="B115" s="898" t="s">
        <v>1742</v>
      </c>
      <c r="C115" s="781">
        <v>30.0</v>
      </c>
      <c r="D115" s="781">
        <f t="shared" si="1"/>
        <v>1320</v>
      </c>
      <c r="E115" s="781" t="s">
        <v>1697</v>
      </c>
      <c r="F115" s="898" t="s">
        <v>920</v>
      </c>
      <c r="G115" s="791" t="str">
        <f>IMAGE("https://www.voltaat.com/cdn/shop/products/voltaat-soldering-board-5cm-x-7cm-10728457568358_1024x1024.jpg?v=1628445244")</f>
        <v/>
      </c>
      <c r="H115" s="792"/>
      <c r="I115" s="792"/>
      <c r="J115" s="792"/>
      <c r="K115" s="792"/>
      <c r="L115" s="792"/>
      <c r="M115" s="792"/>
      <c r="N115" s="792"/>
      <c r="O115" s="792"/>
      <c r="P115" s="792"/>
      <c r="Q115" s="792"/>
      <c r="R115" s="792"/>
      <c r="S115" s="792"/>
      <c r="T115" s="792"/>
      <c r="U115" s="792"/>
      <c r="V115" s="792"/>
      <c r="W115" s="792"/>
      <c r="X115" s="792"/>
      <c r="Y115" s="792"/>
      <c r="Z115" s="792"/>
    </row>
    <row r="116" ht="15.75" customHeight="1">
      <c r="A116" s="781">
        <v>115.0</v>
      </c>
      <c r="B116" s="898" t="s">
        <v>232</v>
      </c>
      <c r="C116" s="781">
        <v>20.0</v>
      </c>
      <c r="D116" s="781">
        <f t="shared" si="1"/>
        <v>880</v>
      </c>
      <c r="E116" s="781" t="s">
        <v>1697</v>
      </c>
      <c r="F116" s="898" t="s">
        <v>229</v>
      </c>
      <c r="G116" s="791" t="str">
        <f>IMAGE("https://images-cdn.ubuy.co.in/6578382306deda07ed788ca4-rechargeable-aa-batteries-aa.jpg",1)</f>
        <v/>
      </c>
      <c r="H116" s="792"/>
      <c r="I116" s="792"/>
      <c r="J116" s="792"/>
      <c r="K116" s="792"/>
      <c r="L116" s="792"/>
      <c r="M116" s="792"/>
      <c r="N116" s="792"/>
      <c r="O116" s="792"/>
      <c r="P116" s="792"/>
      <c r="Q116" s="792"/>
      <c r="R116" s="792"/>
      <c r="S116" s="792"/>
      <c r="T116" s="792"/>
      <c r="U116" s="792"/>
      <c r="V116" s="792"/>
      <c r="W116" s="792"/>
      <c r="X116" s="792"/>
      <c r="Y116" s="792"/>
      <c r="Z116" s="792"/>
    </row>
    <row r="117" ht="15.75" customHeight="1">
      <c r="A117" s="781">
        <v>116.0</v>
      </c>
      <c r="B117" s="898" t="s">
        <v>513</v>
      </c>
      <c r="C117" s="781">
        <v>50.0</v>
      </c>
      <c r="D117" s="781">
        <f t="shared" si="1"/>
        <v>2200</v>
      </c>
      <c r="E117" s="781" t="s">
        <v>1697</v>
      </c>
      <c r="F117" s="898" t="s">
        <v>510</v>
      </c>
      <c r="G117" s="791" t="str">
        <f>IMAGE("https://www.tomsonelectronics.com/cdn/shop/products/40X1MALERAI_2048x2048.jpg?v=1602835171",1)</f>
        <v/>
      </c>
      <c r="H117" s="792"/>
      <c r="I117" s="792"/>
      <c r="J117" s="792"/>
      <c r="K117" s="792"/>
      <c r="L117" s="792"/>
      <c r="M117" s="792"/>
      <c r="N117" s="792"/>
      <c r="O117" s="792"/>
      <c r="P117" s="792"/>
      <c r="Q117" s="792"/>
      <c r="R117" s="792"/>
      <c r="S117" s="792"/>
      <c r="T117" s="792"/>
      <c r="U117" s="792"/>
      <c r="V117" s="792"/>
      <c r="W117" s="792"/>
      <c r="X117" s="792"/>
      <c r="Y117" s="792"/>
      <c r="Z117" s="792"/>
    </row>
    <row r="118" ht="15.75" customHeight="1">
      <c r="A118" s="781">
        <v>117.0</v>
      </c>
      <c r="B118" s="898" t="s">
        <v>509</v>
      </c>
      <c r="C118" s="781">
        <v>50.0</v>
      </c>
      <c r="D118" s="781">
        <f t="shared" si="1"/>
        <v>2200</v>
      </c>
      <c r="E118" s="781" t="s">
        <v>1697</v>
      </c>
      <c r="F118" s="898" t="s">
        <v>506</v>
      </c>
      <c r="G118" s="791" t="str">
        <f>IMAGE("https://5.imimg.com/data5/OF/VW/IL/SELLER-9316309/burg-strips-500x500.jpg",1)</f>
        <v/>
      </c>
      <c r="H118" s="792"/>
      <c r="I118" s="792"/>
      <c r="J118" s="792"/>
      <c r="K118" s="792"/>
      <c r="L118" s="792"/>
      <c r="M118" s="792"/>
      <c r="N118" s="792"/>
      <c r="O118" s="792"/>
      <c r="P118" s="792"/>
      <c r="Q118" s="792"/>
      <c r="R118" s="792"/>
      <c r="S118" s="792"/>
      <c r="T118" s="792"/>
      <c r="U118" s="792"/>
      <c r="V118" s="792"/>
      <c r="W118" s="792"/>
      <c r="X118" s="792"/>
      <c r="Y118" s="792"/>
      <c r="Z118" s="792"/>
    </row>
    <row r="119" ht="52.5" customHeight="1">
      <c r="A119" s="781">
        <v>118.0</v>
      </c>
      <c r="B119" s="898" t="s">
        <v>830</v>
      </c>
      <c r="C119" s="781">
        <v>50.0</v>
      </c>
      <c r="D119" s="781">
        <f t="shared" si="1"/>
        <v>2200</v>
      </c>
      <c r="E119" s="781" t="s">
        <v>1697</v>
      </c>
      <c r="F119" s="898" t="s">
        <v>827</v>
      </c>
      <c r="G119" s="791" t="str">
        <f>IMAGE("https://m.media-amazon.com/images/I/51khY6g46VL._AC_SL1500_.jpg",1)</f>
        <v/>
      </c>
      <c r="H119" s="792"/>
      <c r="I119" s="792"/>
      <c r="J119" s="792"/>
      <c r="K119" s="792"/>
      <c r="L119" s="792"/>
      <c r="M119" s="792"/>
      <c r="N119" s="792"/>
      <c r="O119" s="792"/>
      <c r="P119" s="792"/>
      <c r="Q119" s="792"/>
      <c r="R119" s="792"/>
      <c r="S119" s="792"/>
      <c r="T119" s="792"/>
      <c r="U119" s="792"/>
      <c r="V119" s="792"/>
      <c r="W119" s="792"/>
      <c r="X119" s="792"/>
      <c r="Y119" s="792"/>
      <c r="Z119" s="792"/>
    </row>
    <row r="120" ht="15.75" customHeight="1">
      <c r="A120" s="781">
        <v>119.0</v>
      </c>
      <c r="B120" s="898" t="s">
        <v>834</v>
      </c>
      <c r="C120" s="781">
        <v>50.0</v>
      </c>
      <c r="D120" s="781">
        <f t="shared" si="1"/>
        <v>2200</v>
      </c>
      <c r="E120" s="781" t="s">
        <v>1697</v>
      </c>
      <c r="F120" s="898" t="s">
        <v>831</v>
      </c>
      <c r="G120" s="791" t="str">
        <f>IMAGE("https://etstore.in/wp-content/uploads/2021/12/IMG_20201130_100203.png",1)</f>
        <v/>
      </c>
      <c r="H120" s="792"/>
      <c r="I120" s="792"/>
      <c r="J120" s="792"/>
      <c r="K120" s="792"/>
      <c r="L120" s="792"/>
      <c r="M120" s="792"/>
      <c r="N120" s="792"/>
      <c r="O120" s="792"/>
      <c r="P120" s="792"/>
      <c r="Q120" s="792"/>
      <c r="R120" s="792"/>
      <c r="S120" s="792"/>
      <c r="T120" s="792"/>
      <c r="U120" s="792"/>
      <c r="V120" s="792"/>
      <c r="W120" s="792"/>
      <c r="X120" s="792"/>
      <c r="Y120" s="792"/>
      <c r="Z120" s="792"/>
    </row>
    <row r="121" ht="15.75" customHeight="1">
      <c r="A121" s="781">
        <v>120.0</v>
      </c>
      <c r="B121" s="898" t="s">
        <v>838</v>
      </c>
      <c r="C121" s="781">
        <v>50.0</v>
      </c>
      <c r="D121" s="781">
        <f t="shared" si="1"/>
        <v>2200</v>
      </c>
      <c r="E121" s="781" t="s">
        <v>1697</v>
      </c>
      <c r="F121" s="898" t="s">
        <v>835</v>
      </c>
      <c r="G121" s="791" t="str">
        <f>IMAGE("https://m.media-amazon.com/images/I/71UDXftBeaL._SX466_.jpg",1)</f>
        <v/>
      </c>
      <c r="H121" s="792"/>
      <c r="I121" s="792"/>
      <c r="J121" s="792"/>
      <c r="K121" s="792"/>
      <c r="L121" s="792"/>
      <c r="M121" s="792"/>
      <c r="N121" s="792"/>
      <c r="O121" s="792"/>
      <c r="P121" s="792"/>
      <c r="Q121" s="792"/>
      <c r="R121" s="792"/>
      <c r="S121" s="792"/>
      <c r="T121" s="792"/>
      <c r="U121" s="792"/>
      <c r="V121" s="792"/>
      <c r="W121" s="792"/>
      <c r="X121" s="792"/>
      <c r="Y121" s="792"/>
      <c r="Z121" s="792"/>
    </row>
    <row r="122" ht="15.75" customHeight="1">
      <c r="A122" s="781">
        <v>121.0</v>
      </c>
      <c r="B122" s="898" t="s">
        <v>842</v>
      </c>
      <c r="C122" s="781">
        <v>50.0</v>
      </c>
      <c r="D122" s="781">
        <f t="shared" si="1"/>
        <v>2200</v>
      </c>
      <c r="E122" s="781" t="s">
        <v>1697</v>
      </c>
      <c r="F122" s="898" t="s">
        <v>839</v>
      </c>
      <c r="G122" s="791" t="str">
        <f>IMAGE("https://m.media-amazon.com/images/I/4116hBQx0XL._SX425_.jpg",1)</f>
        <v/>
      </c>
      <c r="H122" s="792"/>
      <c r="I122" s="792"/>
      <c r="J122" s="792"/>
      <c r="K122" s="792"/>
      <c r="L122" s="792"/>
      <c r="M122" s="792"/>
      <c r="N122" s="792"/>
      <c r="O122" s="792"/>
      <c r="P122" s="792"/>
      <c r="Q122" s="792"/>
      <c r="R122" s="792"/>
      <c r="S122" s="792"/>
      <c r="T122" s="792"/>
      <c r="U122" s="792"/>
      <c r="V122" s="792"/>
      <c r="W122" s="792"/>
      <c r="X122" s="792"/>
      <c r="Y122" s="792"/>
      <c r="Z122" s="792"/>
    </row>
    <row r="123" ht="15.75" customHeight="1">
      <c r="A123" s="781">
        <v>122.0</v>
      </c>
      <c r="B123" s="898" t="s">
        <v>550</v>
      </c>
      <c r="C123" s="781">
        <v>50.0</v>
      </c>
      <c r="D123" s="781">
        <f t="shared" si="1"/>
        <v>2200</v>
      </c>
      <c r="E123" s="781" t="s">
        <v>1697</v>
      </c>
      <c r="F123" s="898" t="s">
        <v>547</v>
      </c>
      <c r="G123" s="791" t="str">
        <f>IMAGE("https://sharvielectronics.com/wp-content/uploads/2020/02/2.2uF-50V-Electrolytic-Capacitor.jpg",1)</f>
        <v/>
      </c>
      <c r="H123" s="792"/>
      <c r="I123" s="792"/>
      <c r="J123" s="792"/>
      <c r="K123" s="792"/>
      <c r="L123" s="792"/>
      <c r="M123" s="792"/>
      <c r="N123" s="792"/>
      <c r="O123" s="792"/>
      <c r="P123" s="792"/>
      <c r="Q123" s="792"/>
      <c r="R123" s="792"/>
      <c r="S123" s="792"/>
      <c r="T123" s="792"/>
      <c r="U123" s="792"/>
      <c r="V123" s="792"/>
      <c r="W123" s="792"/>
      <c r="X123" s="792"/>
      <c r="Y123" s="792"/>
      <c r="Z123" s="792"/>
    </row>
    <row r="124" ht="15.75" customHeight="1">
      <c r="A124" s="781">
        <v>123.0</v>
      </c>
      <c r="B124" s="898" t="s">
        <v>570</v>
      </c>
      <c r="C124" s="781">
        <v>50.0</v>
      </c>
      <c r="D124" s="781">
        <f t="shared" si="1"/>
        <v>2200</v>
      </c>
      <c r="E124" s="781" t="s">
        <v>1697</v>
      </c>
      <c r="F124" s="898" t="s">
        <v>567</v>
      </c>
      <c r="G124" s="791" t="str">
        <f>IMAGE("https://5.imimg.com/data5/JL/JS/ZA/SELLER-21614932/4-7uf-400v-keltron-capacitor-500x500.jpg",1)</f>
        <v/>
      </c>
      <c r="H124" s="792"/>
      <c r="I124" s="792"/>
      <c r="J124" s="792"/>
      <c r="K124" s="792"/>
      <c r="L124" s="792"/>
      <c r="M124" s="792"/>
      <c r="N124" s="792"/>
      <c r="O124" s="792"/>
      <c r="P124" s="792"/>
      <c r="Q124" s="792"/>
      <c r="R124" s="792"/>
      <c r="S124" s="792"/>
      <c r="T124" s="792"/>
      <c r="U124" s="792"/>
      <c r="V124" s="792"/>
      <c r="W124" s="792"/>
      <c r="X124" s="792"/>
      <c r="Y124" s="792"/>
      <c r="Z124" s="792"/>
    </row>
    <row r="125" ht="15.75" customHeight="1">
      <c r="A125" s="781">
        <v>124.0</v>
      </c>
      <c r="B125" s="898" t="s">
        <v>534</v>
      </c>
      <c r="C125" s="781">
        <v>50.0</v>
      </c>
      <c r="D125" s="781">
        <f t="shared" si="1"/>
        <v>2200</v>
      </c>
      <c r="E125" s="781" t="s">
        <v>1697</v>
      </c>
      <c r="F125" s="898" t="s">
        <v>531</v>
      </c>
      <c r="G125" s="791" t="str">
        <f>IMAGE("https://www.faranux.com/wp-content/uploads/2017/04/2f2603f8-1uf-50v-electrolytic-capacitor-pack-of-5-tech3179-8225-800x800-1.jpg",1)</f>
        <v/>
      </c>
      <c r="H125" s="792"/>
      <c r="I125" s="792"/>
      <c r="J125" s="792"/>
      <c r="K125" s="792"/>
      <c r="L125" s="792"/>
      <c r="M125" s="792"/>
      <c r="N125" s="792"/>
      <c r="O125" s="792"/>
      <c r="P125" s="792"/>
      <c r="Q125" s="792"/>
      <c r="R125" s="792"/>
      <c r="S125" s="792"/>
      <c r="T125" s="792"/>
      <c r="U125" s="792"/>
      <c r="V125" s="792"/>
      <c r="W125" s="792"/>
      <c r="X125" s="792"/>
      <c r="Y125" s="792"/>
      <c r="Z125" s="792"/>
    </row>
    <row r="126" ht="15.75" customHeight="1">
      <c r="A126" s="781">
        <v>125.0</v>
      </c>
      <c r="B126" s="898" t="s">
        <v>505</v>
      </c>
      <c r="C126" s="781">
        <v>100.0</v>
      </c>
      <c r="D126" s="781">
        <f t="shared" si="1"/>
        <v>4400</v>
      </c>
      <c r="E126" s="781" t="s">
        <v>1697</v>
      </c>
      <c r="F126" s="898" t="s">
        <v>24</v>
      </c>
      <c r="G126" s="791" t="str">
        <f>IMAGE("https://rukminim2.flixcart.com/image/832/832/ks243gw0/electronic-hobby-kit/x/f/2/2mm-pitch-female-burg-strip-40-pin-5-pcs-prime-intact-original-imag5pxpqjxcdsgh.jpeg?q=70",1)</f>
        <v/>
      </c>
      <c r="H126" s="792"/>
      <c r="I126" s="792"/>
      <c r="J126" s="792"/>
      <c r="K126" s="792"/>
      <c r="L126" s="792"/>
      <c r="M126" s="792"/>
      <c r="N126" s="792"/>
      <c r="O126" s="792"/>
      <c r="P126" s="792"/>
      <c r="Q126" s="792"/>
      <c r="R126" s="792"/>
      <c r="S126" s="792"/>
      <c r="T126" s="792"/>
      <c r="U126" s="792"/>
      <c r="V126" s="792"/>
      <c r="W126" s="792"/>
      <c r="X126" s="792"/>
      <c r="Y126" s="792"/>
      <c r="Z126" s="792"/>
    </row>
    <row r="127" ht="15.75" customHeight="1">
      <c r="A127" s="781">
        <v>126.0</v>
      </c>
      <c r="B127" s="898" t="s">
        <v>826</v>
      </c>
      <c r="C127" s="781">
        <v>100.0</v>
      </c>
      <c r="D127" s="781">
        <f t="shared" si="1"/>
        <v>4400</v>
      </c>
      <c r="E127" s="781" t="s">
        <v>1697</v>
      </c>
      <c r="F127" s="898" t="s">
        <v>60</v>
      </c>
      <c r="G127" s="791" t="str">
        <f>IMAGE("https://encrypted-tbn0.gstatic.com/images?q=tbn:ANd9GcR-ur1Cl_3Rq82qZ9KbLtZX3U_7cevDQWdUVA&amp;usqp=CAU",1)</f>
        <v/>
      </c>
      <c r="H127" s="792"/>
      <c r="I127" s="792"/>
      <c r="J127" s="792"/>
      <c r="K127" s="792"/>
      <c r="L127" s="792"/>
      <c r="M127" s="792"/>
      <c r="N127" s="792"/>
      <c r="O127" s="792"/>
      <c r="P127" s="792"/>
      <c r="Q127" s="792"/>
      <c r="R127" s="792"/>
      <c r="S127" s="792"/>
      <c r="T127" s="792"/>
      <c r="U127" s="792"/>
      <c r="V127" s="792"/>
      <c r="W127" s="792"/>
      <c r="X127" s="792"/>
      <c r="Y127" s="792"/>
      <c r="Z127" s="792"/>
    </row>
    <row r="128" ht="15.75" customHeight="1">
      <c r="A128" s="781">
        <v>127.0</v>
      </c>
      <c r="B128" s="898" t="s">
        <v>562</v>
      </c>
      <c r="C128" s="781">
        <v>20.0</v>
      </c>
      <c r="D128" s="781">
        <f t="shared" si="1"/>
        <v>880</v>
      </c>
      <c r="E128" s="781" t="s">
        <v>1697</v>
      </c>
      <c r="F128" s="898" t="s">
        <v>559</v>
      </c>
      <c r="G128" s="791" t="str">
        <f>IMAGE("https://5.imimg.com/data5/QO/AU/MY-77080729/uge-electrolytic-capacitors-500x375-500x500.jpg",1)</f>
        <v/>
      </c>
      <c r="H128" s="792"/>
      <c r="I128" s="792"/>
      <c r="J128" s="792"/>
      <c r="K128" s="792"/>
      <c r="L128" s="792"/>
      <c r="M128" s="792"/>
      <c r="N128" s="792"/>
      <c r="O128" s="792"/>
      <c r="P128" s="792"/>
      <c r="Q128" s="792"/>
      <c r="R128" s="792"/>
      <c r="S128" s="792"/>
      <c r="T128" s="792"/>
      <c r="U128" s="792"/>
      <c r="V128" s="792"/>
      <c r="W128" s="792"/>
      <c r="X128" s="792"/>
      <c r="Y128" s="792"/>
      <c r="Z128" s="792"/>
    </row>
    <row r="129" ht="15.75" customHeight="1">
      <c r="A129" s="781">
        <v>128.0</v>
      </c>
      <c r="B129" s="898" t="s">
        <v>546</v>
      </c>
      <c r="C129" s="781">
        <v>20.0</v>
      </c>
      <c r="D129" s="781">
        <f t="shared" si="1"/>
        <v>880</v>
      </c>
      <c r="E129" s="781" t="s">
        <v>1697</v>
      </c>
      <c r="F129" s="898" t="s">
        <v>543</v>
      </c>
      <c r="G129" s="791" t="str">
        <f>IMAGE("https://res.cloudinary.com/rsc/image/upload/b_rgb:FFFFFF,c_pad,dpr_1.0,f_auto,q_auto,w_700/c_pad,w_700/F5201539-01",1)</f>
        <v/>
      </c>
      <c r="H129" s="792"/>
      <c r="I129" s="792"/>
      <c r="J129" s="792"/>
      <c r="K129" s="792"/>
      <c r="L129" s="792"/>
      <c r="M129" s="792"/>
      <c r="N129" s="792"/>
      <c r="O129" s="792"/>
      <c r="P129" s="792"/>
      <c r="Q129" s="792"/>
      <c r="R129" s="792"/>
      <c r="S129" s="792"/>
      <c r="T129" s="792"/>
      <c r="U129" s="792"/>
      <c r="V129" s="792"/>
      <c r="W129" s="792"/>
      <c r="X129" s="792"/>
      <c r="Y129" s="792"/>
      <c r="Z129" s="792"/>
    </row>
    <row r="130" ht="15.75" customHeight="1">
      <c r="A130" s="781">
        <v>129.0</v>
      </c>
      <c r="B130" s="898" t="s">
        <v>558</v>
      </c>
      <c r="C130" s="781">
        <v>20.0</v>
      </c>
      <c r="D130" s="781">
        <f t="shared" si="1"/>
        <v>880</v>
      </c>
      <c r="E130" s="781" t="s">
        <v>1697</v>
      </c>
      <c r="F130" s="898" t="s">
        <v>555</v>
      </c>
      <c r="G130" s="791" t="str">
        <f>IMAGE("https://5.imimg.com/data5/SP/GM/AD/SELLER-84581978/keltron-2200uf-35-v-electrolytic-capacitors-500x500.jpg",1)</f>
        <v/>
      </c>
      <c r="H130" s="792"/>
      <c r="I130" s="792"/>
      <c r="J130" s="792"/>
      <c r="K130" s="792"/>
      <c r="L130" s="792"/>
      <c r="M130" s="792"/>
      <c r="N130" s="792"/>
      <c r="O130" s="792"/>
      <c r="P130" s="792"/>
      <c r="Q130" s="792"/>
      <c r="R130" s="792"/>
      <c r="S130" s="792"/>
      <c r="T130" s="792"/>
      <c r="U130" s="792"/>
      <c r="V130" s="792"/>
      <c r="W130" s="792"/>
      <c r="X130" s="792"/>
      <c r="Y130" s="792"/>
      <c r="Z130" s="792"/>
    </row>
    <row r="131" ht="15.75" customHeight="1">
      <c r="A131" s="781">
        <v>130.0</v>
      </c>
      <c r="B131" s="898" t="s">
        <v>582</v>
      </c>
      <c r="C131" s="781">
        <v>20.0</v>
      </c>
      <c r="D131" s="781">
        <f t="shared" si="1"/>
        <v>880</v>
      </c>
      <c r="E131" s="781" t="s">
        <v>1697</v>
      </c>
      <c r="F131" s="898" t="s">
        <v>579</v>
      </c>
      <c r="G131" s="791" t="str">
        <f>IMAGE("https://5.imimg.com/data5/QO/AU/MY-77080729/uge-electrolytic-capacitors-500x375-500x500.jpg",1)</f>
        <v/>
      </c>
      <c r="H131" s="792"/>
      <c r="I131" s="792"/>
      <c r="J131" s="792"/>
      <c r="K131" s="792"/>
      <c r="L131" s="792"/>
      <c r="M131" s="792"/>
      <c r="N131" s="792"/>
      <c r="O131" s="792"/>
      <c r="P131" s="792"/>
      <c r="Q131" s="792"/>
      <c r="R131" s="792"/>
      <c r="S131" s="792"/>
      <c r="T131" s="792"/>
      <c r="U131" s="792"/>
      <c r="V131" s="792"/>
      <c r="W131" s="792"/>
      <c r="X131" s="792"/>
      <c r="Y131" s="792"/>
      <c r="Z131" s="792"/>
    </row>
    <row r="132" ht="15.75" customHeight="1">
      <c r="A132" s="781">
        <v>131.0</v>
      </c>
      <c r="B132" s="898" t="s">
        <v>542</v>
      </c>
      <c r="C132" s="781">
        <v>20.0</v>
      </c>
      <c r="D132" s="781">
        <f t="shared" si="1"/>
        <v>880</v>
      </c>
      <c r="E132" s="781" t="s">
        <v>1697</v>
      </c>
      <c r="F132" s="898" t="s">
        <v>539</v>
      </c>
      <c r="G132" s="791" t="str">
        <f>IMAGE("https://www.sunrobotics.in/web/image/product.product/3164/image_1024/%5B10042%5D%201000UF-25V%20Electrolytic%20Capacitor?unique=acd9ab2",1)</f>
        <v/>
      </c>
      <c r="H132" s="792"/>
      <c r="I132" s="792"/>
      <c r="J132" s="792"/>
      <c r="K132" s="792"/>
      <c r="L132" s="792"/>
      <c r="M132" s="792"/>
      <c r="N132" s="792"/>
      <c r="O132" s="792"/>
      <c r="P132" s="792"/>
      <c r="Q132" s="792"/>
      <c r="R132" s="792"/>
      <c r="S132" s="792"/>
      <c r="T132" s="792"/>
      <c r="U132" s="792"/>
      <c r="V132" s="792"/>
      <c r="W132" s="792"/>
      <c r="X132" s="792"/>
      <c r="Y132" s="792"/>
      <c r="Z132" s="792"/>
    </row>
    <row r="133" ht="15.75" customHeight="1">
      <c r="A133" s="781">
        <v>132.0</v>
      </c>
      <c r="B133" s="898" t="s">
        <v>2992</v>
      </c>
      <c r="C133" s="781">
        <v>100.0</v>
      </c>
      <c r="D133" s="781">
        <f t="shared" si="1"/>
        <v>4400</v>
      </c>
      <c r="E133" s="781" t="s">
        <v>1697</v>
      </c>
      <c r="F133" s="898" t="s">
        <v>963</v>
      </c>
      <c r="G133" s="791" t="str">
        <f>IMAGE("https://image.robotistan.com/5mm-transparent-rgb-led-2633-11-O.jpg", 1)</f>
        <v/>
      </c>
      <c r="H133" s="792"/>
      <c r="I133" s="792"/>
      <c r="J133" s="792"/>
      <c r="K133" s="792"/>
      <c r="L133" s="792"/>
      <c r="M133" s="792"/>
      <c r="N133" s="792"/>
      <c r="O133" s="792"/>
      <c r="P133" s="792"/>
      <c r="Q133" s="792"/>
      <c r="R133" s="792"/>
      <c r="S133" s="792"/>
      <c r="T133" s="792"/>
      <c r="U133" s="792"/>
      <c r="V133" s="792"/>
      <c r="W133" s="792"/>
      <c r="X133" s="792"/>
      <c r="Y133" s="792"/>
      <c r="Z133" s="792"/>
    </row>
    <row r="134" ht="56.25" customHeight="1">
      <c r="A134" s="781">
        <v>133.0</v>
      </c>
      <c r="B134" s="898" t="s">
        <v>554</v>
      </c>
      <c r="C134" s="781">
        <v>50.0</v>
      </c>
      <c r="D134" s="781">
        <f t="shared" si="1"/>
        <v>2200</v>
      </c>
      <c r="E134" s="781" t="s">
        <v>1697</v>
      </c>
      <c r="F134" s="898" t="s">
        <v>551</v>
      </c>
      <c r="G134" s="791" t="str">
        <f>IMAGE("https://projectpoint.in/image/cache/catalog/22uf-450v-672x504.jpg",1)</f>
        <v/>
      </c>
      <c r="H134" s="792"/>
      <c r="I134" s="792"/>
      <c r="J134" s="792"/>
      <c r="K134" s="792"/>
      <c r="L134" s="792"/>
      <c r="M134" s="792"/>
      <c r="N134" s="792"/>
      <c r="O134" s="792"/>
      <c r="P134" s="792"/>
      <c r="Q134" s="792"/>
      <c r="R134" s="792"/>
      <c r="S134" s="792"/>
      <c r="T134" s="792"/>
      <c r="U134" s="792"/>
      <c r="V134" s="792"/>
      <c r="W134" s="792"/>
      <c r="X134" s="792"/>
      <c r="Y134" s="792"/>
      <c r="Z134" s="792"/>
    </row>
    <row r="135" ht="56.25" customHeight="1">
      <c r="A135" s="781">
        <v>134.0</v>
      </c>
      <c r="B135" s="898" t="s">
        <v>578</v>
      </c>
      <c r="C135" s="781">
        <v>50.0</v>
      </c>
      <c r="D135" s="781">
        <f t="shared" si="1"/>
        <v>2200</v>
      </c>
      <c r="E135" s="781" t="s">
        <v>1697</v>
      </c>
      <c r="F135" s="898" t="s">
        <v>571</v>
      </c>
      <c r="G135" s="791" t="str">
        <f>IMAGE("https://projectpoint.in/image/cache/catalog/47uf-250v-672x504.jpg",1)</f>
        <v/>
      </c>
      <c r="H135" s="792"/>
      <c r="I135" s="792"/>
      <c r="J135" s="792"/>
      <c r="K135" s="792"/>
      <c r="L135" s="792"/>
      <c r="M135" s="792"/>
      <c r="N135" s="792"/>
      <c r="O135" s="792"/>
      <c r="P135" s="792"/>
      <c r="Q135" s="792"/>
      <c r="R135" s="792"/>
      <c r="S135" s="792"/>
      <c r="T135" s="792"/>
      <c r="U135" s="792"/>
      <c r="V135" s="792"/>
      <c r="W135" s="792"/>
      <c r="X135" s="792"/>
      <c r="Y135" s="792"/>
      <c r="Z135" s="792"/>
    </row>
    <row r="136" ht="56.25" customHeight="1">
      <c r="A136" s="781">
        <v>135.0</v>
      </c>
      <c r="B136" s="898" t="s">
        <v>538</v>
      </c>
      <c r="C136" s="781">
        <v>50.0</v>
      </c>
      <c r="D136" s="781">
        <f t="shared" si="1"/>
        <v>2200</v>
      </c>
      <c r="E136" s="781" t="s">
        <v>1697</v>
      </c>
      <c r="F136" s="898" t="s">
        <v>535</v>
      </c>
      <c r="G136" s="791" t="str">
        <f>IMAGE("https://new.sunrobotics.in/web/image/product.product/7775/image_1024/%5B10061%5D%2010uF%20Electrolytic%20Capacitor?unique=2e60387",1)</f>
        <v/>
      </c>
      <c r="H136" s="792"/>
      <c r="I136" s="792"/>
      <c r="J136" s="792"/>
      <c r="K136" s="792"/>
      <c r="L136" s="792"/>
      <c r="M136" s="792"/>
      <c r="N136" s="792"/>
      <c r="O136" s="792"/>
      <c r="P136" s="792"/>
      <c r="Q136" s="792"/>
      <c r="R136" s="792"/>
      <c r="S136" s="792"/>
      <c r="T136" s="792"/>
      <c r="U136" s="792"/>
      <c r="V136" s="792"/>
      <c r="W136" s="792"/>
      <c r="X136" s="792"/>
      <c r="Y136" s="792"/>
      <c r="Z136" s="792"/>
    </row>
    <row r="137" ht="56.25" customHeight="1">
      <c r="A137" s="781">
        <v>136.0</v>
      </c>
      <c r="B137" s="898" t="s">
        <v>530</v>
      </c>
      <c r="C137" s="781">
        <v>100.0</v>
      </c>
      <c r="D137" s="781">
        <f t="shared" si="1"/>
        <v>4400</v>
      </c>
      <c r="E137" s="781" t="s">
        <v>1697</v>
      </c>
      <c r="F137" s="898" t="s">
        <v>527</v>
      </c>
      <c r="G137" s="791" t="str">
        <f>IMAGE("https://www.ato.com/content/images/thumbs/0011952_01f-50v-disc-ceramic-capacitor_550.jpeg",1)</f>
        <v/>
      </c>
      <c r="H137" s="792"/>
      <c r="I137" s="792"/>
      <c r="J137" s="792"/>
      <c r="K137" s="792"/>
      <c r="L137" s="792"/>
      <c r="M137" s="792"/>
      <c r="N137" s="792"/>
      <c r="O137" s="792"/>
      <c r="P137" s="792"/>
      <c r="Q137" s="792"/>
      <c r="R137" s="792"/>
      <c r="S137" s="792"/>
      <c r="T137" s="792"/>
      <c r="U137" s="792"/>
      <c r="V137" s="792"/>
      <c r="W137" s="792"/>
      <c r="X137" s="792"/>
      <c r="Y137" s="792"/>
      <c r="Z137" s="792"/>
    </row>
    <row r="138" ht="56.25" customHeight="1">
      <c r="A138" s="781">
        <v>137.0</v>
      </c>
      <c r="B138" s="898" t="s">
        <v>566</v>
      </c>
      <c r="C138" s="781">
        <v>100.0</v>
      </c>
      <c r="D138" s="781">
        <f t="shared" si="1"/>
        <v>4400</v>
      </c>
      <c r="E138" s="781" t="s">
        <v>1697</v>
      </c>
      <c r="F138" s="898" t="s">
        <v>563</v>
      </c>
      <c r="G138" s="791" t="str">
        <f>IMAGE("https://www.makestore.in/wp-content/uploads/2019/06/27pF_50V_Ceramic_Capacitors.png",1)</f>
        <v/>
      </c>
      <c r="H138" s="792"/>
      <c r="I138" s="792"/>
      <c r="J138" s="792"/>
      <c r="K138" s="792"/>
      <c r="L138" s="792"/>
      <c r="M138" s="792"/>
      <c r="N138" s="792"/>
      <c r="O138" s="792"/>
      <c r="P138" s="792"/>
      <c r="Q138" s="792"/>
      <c r="R138" s="792"/>
      <c r="S138" s="792"/>
      <c r="T138" s="792"/>
      <c r="U138" s="792"/>
      <c r="V138" s="792"/>
      <c r="W138" s="792"/>
      <c r="X138" s="792"/>
      <c r="Y138" s="792"/>
      <c r="Z138" s="792"/>
    </row>
    <row r="139" ht="56.25" customHeight="1">
      <c r="A139" s="781">
        <v>138.0</v>
      </c>
      <c r="B139" s="898" t="s">
        <v>574</v>
      </c>
      <c r="C139" s="781">
        <v>100.0</v>
      </c>
      <c r="D139" s="781">
        <f t="shared" si="1"/>
        <v>4400</v>
      </c>
      <c r="E139" s="781" t="s">
        <v>1697</v>
      </c>
      <c r="F139" s="898" t="s">
        <v>575</v>
      </c>
      <c r="G139" s="791" t="str">
        <f>IMAGE("https://projectpoint.in/image/cache/catalog/ceramic-capacitors-50V-4.7pf-672x504.jpg",1)</f>
        <v/>
      </c>
      <c r="H139" s="792"/>
      <c r="I139" s="792"/>
      <c r="J139" s="792"/>
      <c r="K139" s="792"/>
      <c r="L139" s="792"/>
      <c r="M139" s="792"/>
      <c r="N139" s="792"/>
      <c r="O139" s="792"/>
      <c r="P139" s="792"/>
      <c r="Q139" s="792"/>
      <c r="R139" s="792"/>
      <c r="S139" s="792"/>
      <c r="T139" s="792"/>
      <c r="U139" s="792"/>
      <c r="V139" s="792"/>
      <c r="W139" s="792"/>
      <c r="X139" s="792"/>
      <c r="Y139" s="792"/>
      <c r="Z139" s="792"/>
    </row>
    <row r="140" ht="56.25" customHeight="1">
      <c r="A140" s="781">
        <v>139.0</v>
      </c>
      <c r="B140" s="898" t="s">
        <v>517</v>
      </c>
      <c r="C140" s="781">
        <v>100.0</v>
      </c>
      <c r="D140" s="781">
        <f t="shared" si="1"/>
        <v>4400</v>
      </c>
      <c r="E140" s="781" t="s">
        <v>1697</v>
      </c>
      <c r="F140" s="898" t="s">
        <v>1519</v>
      </c>
      <c r="G140" s="791" t="str">
        <f>IMAGE("https://projectpoint.in/image/cache/catalog/102-672x504.jpg",1)</f>
        <v/>
      </c>
      <c r="H140" s="792"/>
      <c r="I140" s="792"/>
      <c r="J140" s="792"/>
      <c r="K140" s="792"/>
      <c r="L140" s="792"/>
      <c r="M140" s="792"/>
      <c r="N140" s="792"/>
      <c r="O140" s="792"/>
      <c r="P140" s="792"/>
      <c r="Q140" s="792"/>
      <c r="R140" s="792"/>
      <c r="S140" s="792"/>
      <c r="T140" s="792"/>
      <c r="U140" s="792"/>
      <c r="V140" s="792"/>
      <c r="W140" s="792"/>
      <c r="X140" s="792"/>
      <c r="Y140" s="792"/>
      <c r="Z140" s="792"/>
    </row>
    <row r="141" ht="56.25" customHeight="1">
      <c r="A141" s="781">
        <v>140.0</v>
      </c>
      <c r="B141" s="898" t="s">
        <v>522</v>
      </c>
      <c r="C141" s="781">
        <v>100.0</v>
      </c>
      <c r="D141" s="781">
        <f t="shared" si="1"/>
        <v>4400</v>
      </c>
      <c r="E141" s="781" t="s">
        <v>1697</v>
      </c>
      <c r="F141" s="898" t="s">
        <v>519</v>
      </c>
      <c r="G141" s="791" t="str">
        <f>IMAGE("https://projectpoint.in/image/cache/catalog/103-672x504.jpg",1)</f>
        <v/>
      </c>
      <c r="H141" s="792"/>
      <c r="I141" s="792"/>
      <c r="J141" s="792"/>
      <c r="K141" s="792"/>
      <c r="L141" s="792"/>
      <c r="M141" s="792"/>
      <c r="N141" s="792"/>
      <c r="O141" s="792"/>
      <c r="P141" s="792"/>
      <c r="Q141" s="792"/>
      <c r="R141" s="792"/>
      <c r="S141" s="792"/>
      <c r="T141" s="792"/>
      <c r="U141" s="792"/>
      <c r="V141" s="792"/>
      <c r="W141" s="792"/>
      <c r="X141" s="792"/>
      <c r="Y141" s="792"/>
      <c r="Z141" s="792"/>
    </row>
    <row r="142" ht="56.25" customHeight="1">
      <c r="A142" s="781">
        <v>141.0</v>
      </c>
      <c r="B142" s="898" t="s">
        <v>526</v>
      </c>
      <c r="C142" s="781">
        <v>100.0</v>
      </c>
      <c r="D142" s="781">
        <f t="shared" si="1"/>
        <v>4400</v>
      </c>
      <c r="E142" s="781" t="s">
        <v>1697</v>
      </c>
      <c r="F142" s="898" t="s">
        <v>523</v>
      </c>
      <c r="G142" s="791" t="str">
        <f>IMAGE("https://m.media-amazon.com/images/W/MEDIAX_792452-T2/images/I/31vPU3nIarL.jpg",1)</f>
        <v/>
      </c>
      <c r="H142" s="792"/>
      <c r="I142" s="792"/>
      <c r="J142" s="792"/>
      <c r="K142" s="792"/>
      <c r="L142" s="792"/>
      <c r="M142" s="792"/>
      <c r="N142" s="792"/>
      <c r="O142" s="792"/>
      <c r="P142" s="792"/>
      <c r="Q142" s="792"/>
      <c r="R142" s="792"/>
      <c r="S142" s="792"/>
      <c r="T142" s="792"/>
      <c r="U142" s="792"/>
      <c r="V142" s="792"/>
      <c r="W142" s="792"/>
      <c r="X142" s="792"/>
      <c r="Y142" s="792"/>
      <c r="Z142" s="792"/>
    </row>
    <row r="143" ht="15.75" customHeight="1">
      <c r="A143" s="781">
        <v>142.0</v>
      </c>
      <c r="B143" s="898" t="s">
        <v>850</v>
      </c>
      <c r="C143" s="781">
        <v>100.0</v>
      </c>
      <c r="D143" s="781">
        <f t="shared" si="1"/>
        <v>4400</v>
      </c>
      <c r="E143" s="781" t="s">
        <v>1697</v>
      </c>
      <c r="F143" s="898" t="s">
        <v>128</v>
      </c>
      <c r="G143" s="791" t="str">
        <f>IMAGE("https://5.imimg.com/data5/SELLER/Default/2020/8/IJ/BD/HA/84543611/2n3904-transistor-500x500.jpg",1)</f>
        <v/>
      </c>
      <c r="H143" s="792"/>
      <c r="I143" s="792"/>
      <c r="J143" s="792"/>
      <c r="K143" s="792"/>
      <c r="L143" s="792"/>
      <c r="M143" s="792"/>
      <c r="N143" s="792"/>
      <c r="O143" s="792"/>
      <c r="P143" s="792"/>
      <c r="Q143" s="792"/>
      <c r="R143" s="792"/>
      <c r="S143" s="792"/>
      <c r="T143" s="792"/>
      <c r="U143" s="792"/>
      <c r="V143" s="792"/>
      <c r="W143" s="792"/>
      <c r="X143" s="792"/>
      <c r="Y143" s="792"/>
      <c r="Z143" s="792"/>
    </row>
    <row r="144" ht="15.75" customHeight="1">
      <c r="A144" s="781">
        <v>143.0</v>
      </c>
      <c r="B144" s="898" t="s">
        <v>854</v>
      </c>
      <c r="C144" s="781">
        <v>100.0</v>
      </c>
      <c r="D144" s="781">
        <f t="shared" si="1"/>
        <v>4400</v>
      </c>
      <c r="E144" s="781" t="s">
        <v>1697</v>
      </c>
      <c r="F144" s="898" t="s">
        <v>851</v>
      </c>
      <c r="G144" s="791" t="str">
        <f>IMAGE("https://rukminim2.flixcart.com/image/832/832/k44hksw0/transistor/d/m/d/100-pics-bc547-npn-transistor-sme-original-imafn3dfw2fqwgxg.jpeg?q=70",1)</f>
        <v/>
      </c>
      <c r="H144" s="792"/>
      <c r="I144" s="792"/>
      <c r="J144" s="792"/>
      <c r="K144" s="792"/>
      <c r="L144" s="792"/>
      <c r="M144" s="792"/>
      <c r="N144" s="792"/>
      <c r="O144" s="792"/>
      <c r="P144" s="792"/>
      <c r="Q144" s="792"/>
      <c r="R144" s="792"/>
      <c r="S144" s="792"/>
      <c r="T144" s="792"/>
      <c r="U144" s="792"/>
      <c r="V144" s="792"/>
      <c r="W144" s="792"/>
      <c r="X144" s="792"/>
      <c r="Y144" s="792"/>
      <c r="Z144" s="792"/>
    </row>
    <row r="145" ht="15.75" customHeight="1">
      <c r="A145" s="781">
        <v>144.0</v>
      </c>
      <c r="B145" s="898" t="s">
        <v>858</v>
      </c>
      <c r="C145" s="781">
        <v>100.0</v>
      </c>
      <c r="D145" s="781">
        <f t="shared" si="1"/>
        <v>4400</v>
      </c>
      <c r="E145" s="781" t="s">
        <v>1697</v>
      </c>
      <c r="F145" s="898" t="s">
        <v>855</v>
      </c>
      <c r="G145" s="791" t="str">
        <f>IMAGE("https://m.media-amazon.com/images/W/MEDIAX_792452-T2/images/I/31po6g2eu+L.jpg",1)</f>
        <v/>
      </c>
      <c r="H145" s="792"/>
      <c r="I145" s="792"/>
      <c r="J145" s="792"/>
      <c r="K145" s="792"/>
      <c r="L145" s="792"/>
      <c r="M145" s="792"/>
      <c r="N145" s="792"/>
      <c r="O145" s="792"/>
      <c r="P145" s="792"/>
      <c r="Q145" s="792"/>
      <c r="R145" s="792"/>
      <c r="S145" s="792"/>
      <c r="T145" s="792"/>
      <c r="U145" s="792"/>
      <c r="V145" s="792"/>
      <c r="W145" s="792"/>
      <c r="X145" s="792"/>
      <c r="Y145" s="792"/>
      <c r="Z145" s="792"/>
    </row>
    <row r="146" ht="15.75" customHeight="1">
      <c r="A146" s="781">
        <v>145.0</v>
      </c>
      <c r="B146" s="898" t="s">
        <v>862</v>
      </c>
      <c r="C146" s="781">
        <v>100.0</v>
      </c>
      <c r="D146" s="781">
        <f t="shared" si="1"/>
        <v>4400</v>
      </c>
      <c r="E146" s="781" t="s">
        <v>1697</v>
      </c>
      <c r="F146" s="898" t="s">
        <v>859</v>
      </c>
      <c r="G146" s="791" t="str">
        <f>IMAGE("https://5.imimg.com/data5/MA/XW/GW/SELLER-84581978/cdil-transistor-bc557-500x500.jpg",1)</f>
        <v/>
      </c>
      <c r="H146" s="792"/>
      <c r="I146" s="792"/>
      <c r="J146" s="792"/>
      <c r="K146" s="792"/>
      <c r="L146" s="792"/>
      <c r="M146" s="792"/>
      <c r="N146" s="792"/>
      <c r="O146" s="792"/>
      <c r="P146" s="792"/>
      <c r="Q146" s="792"/>
      <c r="R146" s="792"/>
      <c r="S146" s="792"/>
      <c r="T146" s="792"/>
      <c r="U146" s="792"/>
      <c r="V146" s="792"/>
      <c r="W146" s="792"/>
      <c r="X146" s="792"/>
      <c r="Y146" s="792"/>
      <c r="Z146" s="792"/>
    </row>
    <row r="147" ht="15.75" customHeight="1">
      <c r="A147" s="781">
        <v>146.0</v>
      </c>
      <c r="B147" s="898" t="s">
        <v>866</v>
      </c>
      <c r="C147" s="781">
        <v>100.0</v>
      </c>
      <c r="D147" s="781">
        <f t="shared" si="1"/>
        <v>4400</v>
      </c>
      <c r="E147" s="781" t="s">
        <v>1697</v>
      </c>
      <c r="F147" s="898" t="s">
        <v>863</v>
      </c>
      <c r="G147" s="791" t="str">
        <f>IMAGE("https://www.chipmart.in/wp-content/uploads/2022/08/SL100-NPN-General-Purpose-Medium-Power-Transistor-50V-500mA.png",1)</f>
        <v/>
      </c>
      <c r="H147" s="792"/>
      <c r="I147" s="792"/>
      <c r="J147" s="792"/>
      <c r="K147" s="792"/>
      <c r="L147" s="792"/>
      <c r="M147" s="792"/>
      <c r="N147" s="792"/>
      <c r="O147" s="792"/>
      <c r="P147" s="792"/>
      <c r="Q147" s="792"/>
      <c r="R147" s="792"/>
      <c r="S147" s="792"/>
      <c r="T147" s="792"/>
      <c r="U147" s="792"/>
      <c r="V147" s="792"/>
      <c r="W147" s="792"/>
      <c r="X147" s="792"/>
      <c r="Y147" s="792"/>
      <c r="Z147" s="792"/>
    </row>
    <row r="148" ht="15.75" customHeight="1">
      <c r="A148" s="781">
        <v>147.0</v>
      </c>
      <c r="B148" s="898" t="s">
        <v>870</v>
      </c>
      <c r="C148" s="781">
        <v>100.0</v>
      </c>
      <c r="D148" s="781">
        <f t="shared" si="1"/>
        <v>4400</v>
      </c>
      <c r="E148" s="781" t="s">
        <v>1697</v>
      </c>
      <c r="F148" s="898" t="s">
        <v>867</v>
      </c>
      <c r="G148" s="791" t="str">
        <f>IMAGE("https://5.imimg.com/data5/WJ/EW/MY-25117786/2n2222-npn-transistors-500x500.jpg",1)</f>
        <v/>
      </c>
      <c r="H148" s="792"/>
      <c r="I148" s="792"/>
      <c r="J148" s="792"/>
      <c r="K148" s="792"/>
      <c r="L148" s="792"/>
      <c r="M148" s="792"/>
      <c r="N148" s="792"/>
      <c r="O148" s="792"/>
      <c r="P148" s="792"/>
      <c r="Q148" s="792"/>
      <c r="R148" s="792"/>
      <c r="S148" s="792"/>
      <c r="T148" s="792"/>
      <c r="U148" s="792"/>
      <c r="V148" s="792"/>
      <c r="W148" s="792"/>
      <c r="X148" s="792"/>
      <c r="Y148" s="792"/>
      <c r="Z148" s="792"/>
    </row>
    <row r="149" ht="52.5" customHeight="1">
      <c r="A149" s="781">
        <v>148.0</v>
      </c>
      <c r="B149" s="898" t="s">
        <v>662</v>
      </c>
      <c r="C149" s="781">
        <v>100.0</v>
      </c>
      <c r="D149" s="781">
        <f t="shared" si="1"/>
        <v>4400</v>
      </c>
      <c r="E149" s="781" t="s">
        <v>1697</v>
      </c>
      <c r="F149" s="898" t="s">
        <v>659</v>
      </c>
      <c r="G149" s="791" t="str">
        <f t="shared" ref="G149:G190" si="9">IMAGE("https://projectpoint.in/image/cache/catalog/CFR_Resistor_Kit-672x504.jpg",1)</f>
        <v/>
      </c>
      <c r="H149" s="792"/>
      <c r="I149" s="792"/>
      <c r="J149" s="792"/>
      <c r="K149" s="792"/>
      <c r="L149" s="792"/>
      <c r="M149" s="792"/>
      <c r="N149" s="792"/>
      <c r="O149" s="792"/>
      <c r="P149" s="792"/>
      <c r="Q149" s="792"/>
      <c r="R149" s="792"/>
      <c r="S149" s="792"/>
      <c r="T149" s="792"/>
      <c r="U149" s="792"/>
      <c r="V149" s="792"/>
      <c r="W149" s="792"/>
      <c r="X149" s="792"/>
      <c r="Y149" s="792"/>
      <c r="Z149" s="792"/>
    </row>
    <row r="150" ht="52.5" customHeight="1">
      <c r="A150" s="781">
        <v>149.0</v>
      </c>
      <c r="B150" s="898" t="s">
        <v>810</v>
      </c>
      <c r="C150" s="781">
        <v>100.0</v>
      </c>
      <c r="D150" s="781">
        <f t="shared" si="1"/>
        <v>4400</v>
      </c>
      <c r="E150" s="781" t="s">
        <v>1697</v>
      </c>
      <c r="F150" s="898" t="s">
        <v>807</v>
      </c>
      <c r="G150" s="791" t="str">
        <f t="shared" si="9"/>
        <v/>
      </c>
      <c r="H150" s="792"/>
      <c r="I150" s="792"/>
      <c r="J150" s="792"/>
      <c r="K150" s="792"/>
      <c r="L150" s="792"/>
      <c r="M150" s="792"/>
      <c r="N150" s="792"/>
      <c r="O150" s="792"/>
      <c r="P150" s="792"/>
      <c r="Q150" s="792"/>
      <c r="R150" s="792"/>
      <c r="S150" s="792"/>
      <c r="T150" s="792"/>
      <c r="U150" s="792"/>
      <c r="V150" s="792"/>
      <c r="W150" s="792"/>
      <c r="X150" s="792"/>
      <c r="Y150" s="792"/>
      <c r="Z150" s="792"/>
    </row>
    <row r="151" ht="52.5" customHeight="1">
      <c r="A151" s="781">
        <v>150.0</v>
      </c>
      <c r="B151" s="898" t="s">
        <v>822</v>
      </c>
      <c r="C151" s="781">
        <v>100.0</v>
      </c>
      <c r="D151" s="781">
        <f t="shared" si="1"/>
        <v>4400</v>
      </c>
      <c r="E151" s="781" t="s">
        <v>1697</v>
      </c>
      <c r="F151" s="898" t="s">
        <v>819</v>
      </c>
      <c r="G151" s="791" t="str">
        <f t="shared" si="9"/>
        <v/>
      </c>
      <c r="H151" s="792"/>
      <c r="I151" s="792"/>
      <c r="J151" s="792"/>
      <c r="K151" s="792"/>
      <c r="L151" s="792"/>
      <c r="M151" s="792"/>
      <c r="N151" s="792"/>
      <c r="O151" s="792"/>
      <c r="P151" s="792"/>
      <c r="Q151" s="792"/>
      <c r="R151" s="792"/>
      <c r="S151" s="792"/>
      <c r="T151" s="792"/>
      <c r="U151" s="792"/>
      <c r="V151" s="792"/>
      <c r="W151" s="792"/>
      <c r="X151" s="792"/>
      <c r="Y151" s="792"/>
      <c r="Z151" s="792"/>
    </row>
    <row r="152" ht="52.5" customHeight="1">
      <c r="A152" s="781">
        <v>151.0</v>
      </c>
      <c r="B152" s="898" t="s">
        <v>814</v>
      </c>
      <c r="C152" s="781">
        <v>100.0</v>
      </c>
      <c r="D152" s="781">
        <f t="shared" si="1"/>
        <v>4400</v>
      </c>
      <c r="E152" s="781" t="s">
        <v>1697</v>
      </c>
      <c r="F152" s="898" t="s">
        <v>811</v>
      </c>
      <c r="G152" s="791" t="str">
        <f t="shared" si="9"/>
        <v/>
      </c>
      <c r="H152" s="792"/>
      <c r="I152" s="792"/>
      <c r="J152" s="792"/>
      <c r="K152" s="792"/>
      <c r="L152" s="792"/>
      <c r="M152" s="792"/>
      <c r="N152" s="792"/>
      <c r="O152" s="792"/>
      <c r="P152" s="792"/>
      <c r="Q152" s="792"/>
      <c r="R152" s="792"/>
      <c r="S152" s="792"/>
      <c r="T152" s="792"/>
      <c r="U152" s="792"/>
      <c r="V152" s="792"/>
      <c r="W152" s="792"/>
      <c r="X152" s="792"/>
      <c r="Y152" s="792"/>
      <c r="Z152" s="792"/>
    </row>
    <row r="153" ht="52.5" customHeight="1">
      <c r="A153" s="781">
        <v>152.0</v>
      </c>
      <c r="B153" s="898" t="s">
        <v>790</v>
      </c>
      <c r="C153" s="781">
        <v>100.0</v>
      </c>
      <c r="D153" s="781">
        <f t="shared" si="1"/>
        <v>4400</v>
      </c>
      <c r="E153" s="781" t="s">
        <v>1697</v>
      </c>
      <c r="F153" s="898" t="s">
        <v>787</v>
      </c>
      <c r="G153" s="791" t="str">
        <f t="shared" si="9"/>
        <v/>
      </c>
      <c r="H153" s="792"/>
      <c r="I153" s="792"/>
      <c r="J153" s="792"/>
      <c r="K153" s="792"/>
      <c r="L153" s="792"/>
      <c r="M153" s="792"/>
      <c r="N153" s="792"/>
      <c r="O153" s="792"/>
      <c r="P153" s="792"/>
      <c r="Q153" s="792"/>
      <c r="R153" s="792"/>
      <c r="S153" s="792"/>
      <c r="T153" s="792"/>
      <c r="U153" s="792"/>
      <c r="V153" s="792"/>
      <c r="W153" s="792"/>
      <c r="X153" s="792"/>
      <c r="Y153" s="792"/>
      <c r="Z153" s="792"/>
    </row>
    <row r="154" ht="52.5" customHeight="1">
      <c r="A154" s="781">
        <v>153.0</v>
      </c>
      <c r="B154" s="898" t="s">
        <v>782</v>
      </c>
      <c r="C154" s="781">
        <v>100.0</v>
      </c>
      <c r="D154" s="781">
        <f t="shared" si="1"/>
        <v>4400</v>
      </c>
      <c r="E154" s="781" t="s">
        <v>1697</v>
      </c>
      <c r="F154" s="898" t="s">
        <v>779</v>
      </c>
      <c r="G154" s="791" t="str">
        <f t="shared" si="9"/>
        <v/>
      </c>
      <c r="H154" s="792"/>
      <c r="I154" s="792"/>
      <c r="J154" s="792"/>
      <c r="K154" s="792"/>
      <c r="L154" s="792"/>
      <c r="M154" s="792"/>
      <c r="N154" s="792"/>
      <c r="O154" s="792"/>
      <c r="P154" s="792"/>
      <c r="Q154" s="792"/>
      <c r="R154" s="792"/>
      <c r="S154" s="792"/>
      <c r="T154" s="792"/>
      <c r="U154" s="792"/>
      <c r="V154" s="792"/>
      <c r="W154" s="792"/>
      <c r="X154" s="792"/>
      <c r="Y154" s="792"/>
      <c r="Z154" s="792"/>
    </row>
    <row r="155" ht="52.5" customHeight="1">
      <c r="A155" s="781">
        <v>154.0</v>
      </c>
      <c r="B155" s="898" t="s">
        <v>794</v>
      </c>
      <c r="C155" s="781">
        <v>100.0</v>
      </c>
      <c r="D155" s="781">
        <f t="shared" si="1"/>
        <v>4400</v>
      </c>
      <c r="E155" s="781" t="s">
        <v>1697</v>
      </c>
      <c r="F155" s="898" t="s">
        <v>791</v>
      </c>
      <c r="G155" s="791" t="str">
        <f t="shared" si="9"/>
        <v/>
      </c>
      <c r="H155" s="792"/>
      <c r="I155" s="792"/>
      <c r="J155" s="792"/>
      <c r="K155" s="792"/>
      <c r="L155" s="792"/>
      <c r="M155" s="792"/>
      <c r="N155" s="792"/>
      <c r="O155" s="792"/>
      <c r="P155" s="792"/>
      <c r="Q155" s="792"/>
      <c r="R155" s="792"/>
      <c r="S155" s="792"/>
      <c r="T155" s="792"/>
      <c r="U155" s="792"/>
      <c r="V155" s="792"/>
      <c r="W155" s="792"/>
      <c r="X155" s="792"/>
      <c r="Y155" s="792"/>
      <c r="Z155" s="792"/>
    </row>
    <row r="156" ht="52.5" customHeight="1">
      <c r="A156" s="781">
        <v>155.0</v>
      </c>
      <c r="B156" s="898" t="s">
        <v>786</v>
      </c>
      <c r="C156" s="781">
        <v>100.0</v>
      </c>
      <c r="D156" s="781">
        <f t="shared" si="1"/>
        <v>4400</v>
      </c>
      <c r="E156" s="781" t="s">
        <v>1697</v>
      </c>
      <c r="F156" s="898" t="s">
        <v>783</v>
      </c>
      <c r="G156" s="791" t="str">
        <f t="shared" si="9"/>
        <v/>
      </c>
      <c r="H156" s="792"/>
      <c r="I156" s="792"/>
      <c r="J156" s="792"/>
      <c r="K156" s="792"/>
      <c r="L156" s="792"/>
      <c r="M156" s="792"/>
      <c r="N156" s="792"/>
      <c r="O156" s="792"/>
      <c r="P156" s="792"/>
      <c r="Q156" s="792"/>
      <c r="R156" s="792"/>
      <c r="S156" s="792"/>
      <c r="T156" s="792"/>
      <c r="U156" s="792"/>
      <c r="V156" s="792"/>
      <c r="W156" s="792"/>
      <c r="X156" s="792"/>
      <c r="Y156" s="792"/>
      <c r="Z156" s="792"/>
    </row>
    <row r="157" ht="52.5" customHeight="1">
      <c r="A157" s="781">
        <v>156.0</v>
      </c>
      <c r="B157" s="898" t="s">
        <v>718</v>
      </c>
      <c r="C157" s="781">
        <v>100.0</v>
      </c>
      <c r="D157" s="781">
        <f t="shared" si="1"/>
        <v>4400</v>
      </c>
      <c r="E157" s="781" t="s">
        <v>1697</v>
      </c>
      <c r="F157" s="898" t="s">
        <v>715</v>
      </c>
      <c r="G157" s="791" t="str">
        <f t="shared" si="9"/>
        <v/>
      </c>
      <c r="H157" s="792"/>
      <c r="I157" s="792"/>
      <c r="J157" s="792"/>
      <c r="K157" s="792"/>
      <c r="L157" s="792"/>
      <c r="M157" s="792"/>
      <c r="N157" s="792"/>
      <c r="O157" s="792"/>
      <c r="P157" s="792"/>
      <c r="Q157" s="792"/>
      <c r="R157" s="792"/>
      <c r="S157" s="792"/>
      <c r="T157" s="792"/>
      <c r="U157" s="792"/>
      <c r="V157" s="792"/>
      <c r="W157" s="792"/>
      <c r="X157" s="792"/>
      <c r="Y157" s="792"/>
      <c r="Z157" s="792"/>
    </row>
    <row r="158" ht="52.5" customHeight="1">
      <c r="A158" s="781">
        <v>157.0</v>
      </c>
      <c r="B158" s="898" t="s">
        <v>710</v>
      </c>
      <c r="C158" s="781">
        <v>100.0</v>
      </c>
      <c r="D158" s="781">
        <f t="shared" si="1"/>
        <v>4400</v>
      </c>
      <c r="E158" s="781" t="s">
        <v>1697</v>
      </c>
      <c r="F158" s="898" t="s">
        <v>707</v>
      </c>
      <c r="G158" s="791" t="str">
        <f t="shared" si="9"/>
        <v/>
      </c>
      <c r="H158" s="792"/>
      <c r="I158" s="792"/>
      <c r="J158" s="792"/>
      <c r="K158" s="792"/>
      <c r="L158" s="792"/>
      <c r="M158" s="792"/>
      <c r="N158" s="792"/>
      <c r="O158" s="792"/>
      <c r="P158" s="792"/>
      <c r="Q158" s="792"/>
      <c r="R158" s="792"/>
      <c r="S158" s="792"/>
      <c r="T158" s="792"/>
      <c r="U158" s="792"/>
      <c r="V158" s="792"/>
      <c r="W158" s="792"/>
      <c r="X158" s="792"/>
      <c r="Y158" s="792"/>
      <c r="Z158" s="792"/>
    </row>
    <row r="159" ht="52.5" customHeight="1">
      <c r="A159" s="781">
        <v>158.0</v>
      </c>
      <c r="B159" s="898" t="s">
        <v>722</v>
      </c>
      <c r="C159" s="781">
        <v>100.0</v>
      </c>
      <c r="D159" s="781">
        <f t="shared" si="1"/>
        <v>4400</v>
      </c>
      <c r="E159" s="781" t="s">
        <v>1697</v>
      </c>
      <c r="F159" s="898" t="s">
        <v>719</v>
      </c>
      <c r="G159" s="791" t="str">
        <f t="shared" si="9"/>
        <v/>
      </c>
      <c r="H159" s="792"/>
      <c r="I159" s="792"/>
      <c r="J159" s="792"/>
      <c r="K159" s="792"/>
      <c r="L159" s="792"/>
      <c r="M159" s="792"/>
      <c r="N159" s="792"/>
      <c r="O159" s="792"/>
      <c r="P159" s="792"/>
      <c r="Q159" s="792"/>
      <c r="R159" s="792"/>
      <c r="S159" s="792"/>
      <c r="T159" s="792"/>
      <c r="U159" s="792"/>
      <c r="V159" s="792"/>
      <c r="W159" s="792"/>
      <c r="X159" s="792"/>
      <c r="Y159" s="792"/>
      <c r="Z159" s="792"/>
    </row>
    <row r="160" ht="52.5" customHeight="1">
      <c r="A160" s="781">
        <v>159.0</v>
      </c>
      <c r="B160" s="898" t="s">
        <v>658</v>
      </c>
      <c r="C160" s="781">
        <v>100.0</v>
      </c>
      <c r="D160" s="781">
        <f t="shared" si="1"/>
        <v>4400</v>
      </c>
      <c r="E160" s="781" t="s">
        <v>1697</v>
      </c>
      <c r="F160" s="898" t="s">
        <v>1263</v>
      </c>
      <c r="G160" s="791" t="str">
        <f t="shared" si="9"/>
        <v/>
      </c>
      <c r="H160" s="792"/>
      <c r="I160" s="792"/>
      <c r="J160" s="792"/>
      <c r="K160" s="792"/>
      <c r="L160" s="792"/>
      <c r="M160" s="792"/>
      <c r="N160" s="792"/>
      <c r="O160" s="792"/>
      <c r="P160" s="792"/>
      <c r="Q160" s="792"/>
      <c r="R160" s="792"/>
      <c r="S160" s="792"/>
      <c r="T160" s="792"/>
      <c r="U160" s="792"/>
      <c r="V160" s="792"/>
      <c r="W160" s="792"/>
      <c r="X160" s="792"/>
      <c r="Y160" s="792"/>
      <c r="Z160" s="792"/>
    </row>
    <row r="161" ht="52.5" customHeight="1">
      <c r="A161" s="781">
        <v>160.0</v>
      </c>
      <c r="B161" s="898" t="s">
        <v>714</v>
      </c>
      <c r="C161" s="781">
        <v>100.0</v>
      </c>
      <c r="D161" s="781">
        <f t="shared" si="1"/>
        <v>4400</v>
      </c>
      <c r="E161" s="781" t="s">
        <v>1697</v>
      </c>
      <c r="F161" s="898" t="s">
        <v>711</v>
      </c>
      <c r="G161" s="791" t="str">
        <f t="shared" si="9"/>
        <v/>
      </c>
      <c r="H161" s="792"/>
      <c r="I161" s="792"/>
      <c r="J161" s="792"/>
      <c r="K161" s="792"/>
      <c r="L161" s="792"/>
      <c r="M161" s="792"/>
      <c r="N161" s="792"/>
      <c r="O161" s="792"/>
      <c r="P161" s="792"/>
      <c r="Q161" s="792"/>
      <c r="R161" s="792"/>
      <c r="S161" s="792"/>
      <c r="T161" s="792"/>
      <c r="U161" s="792"/>
      <c r="V161" s="792"/>
      <c r="W161" s="792"/>
      <c r="X161" s="792"/>
      <c r="Y161" s="792"/>
      <c r="Z161" s="792"/>
    </row>
    <row r="162" ht="52.5" customHeight="1">
      <c r="A162" s="781">
        <v>161.0</v>
      </c>
      <c r="B162" s="898" t="s">
        <v>754</v>
      </c>
      <c r="C162" s="781">
        <v>100.0</v>
      </c>
      <c r="D162" s="781">
        <f t="shared" si="1"/>
        <v>4400</v>
      </c>
      <c r="E162" s="781" t="s">
        <v>1697</v>
      </c>
      <c r="F162" s="898" t="s">
        <v>751</v>
      </c>
      <c r="G162" s="791" t="str">
        <f t="shared" si="9"/>
        <v/>
      </c>
      <c r="H162" s="792"/>
      <c r="I162" s="792"/>
      <c r="J162" s="792"/>
      <c r="K162" s="792"/>
      <c r="L162" s="792"/>
      <c r="M162" s="792"/>
      <c r="N162" s="792"/>
      <c r="O162" s="792"/>
      <c r="P162" s="792"/>
      <c r="Q162" s="792"/>
      <c r="R162" s="792"/>
      <c r="S162" s="792"/>
      <c r="T162" s="792"/>
      <c r="U162" s="792"/>
      <c r="V162" s="792"/>
      <c r="W162" s="792"/>
      <c r="X162" s="792"/>
      <c r="Y162" s="792"/>
      <c r="Z162" s="792"/>
    </row>
    <row r="163" ht="52.5" customHeight="1">
      <c r="A163" s="781">
        <v>162.0</v>
      </c>
      <c r="B163" s="898" t="s">
        <v>746</v>
      </c>
      <c r="C163" s="781">
        <v>100.0</v>
      </c>
      <c r="D163" s="781">
        <f t="shared" si="1"/>
        <v>4400</v>
      </c>
      <c r="E163" s="781" t="s">
        <v>1697</v>
      </c>
      <c r="F163" s="898" t="s">
        <v>743</v>
      </c>
      <c r="G163" s="791" t="str">
        <f t="shared" si="9"/>
        <v/>
      </c>
      <c r="H163" s="792"/>
      <c r="I163" s="792"/>
      <c r="J163" s="792"/>
      <c r="K163" s="792"/>
      <c r="L163" s="792"/>
      <c r="M163" s="792"/>
      <c r="N163" s="792"/>
      <c r="O163" s="792"/>
      <c r="P163" s="792"/>
      <c r="Q163" s="792"/>
      <c r="R163" s="792"/>
      <c r="S163" s="792"/>
      <c r="T163" s="792"/>
      <c r="U163" s="792"/>
      <c r="V163" s="792"/>
      <c r="W163" s="792"/>
      <c r="X163" s="792"/>
      <c r="Y163" s="792"/>
      <c r="Z163" s="792"/>
    </row>
    <row r="164" ht="52.5" customHeight="1">
      <c r="A164" s="781">
        <v>163.0</v>
      </c>
      <c r="B164" s="898" t="s">
        <v>758</v>
      </c>
      <c r="C164" s="781">
        <v>100.0</v>
      </c>
      <c r="D164" s="781">
        <f t="shared" si="1"/>
        <v>4400</v>
      </c>
      <c r="E164" s="781" t="s">
        <v>1697</v>
      </c>
      <c r="F164" s="898" t="s">
        <v>755</v>
      </c>
      <c r="G164" s="791" t="str">
        <f t="shared" si="9"/>
        <v/>
      </c>
      <c r="H164" s="792"/>
      <c r="I164" s="792"/>
      <c r="J164" s="792"/>
      <c r="K164" s="792"/>
      <c r="L164" s="792"/>
      <c r="M164" s="792"/>
      <c r="N164" s="792"/>
      <c r="O164" s="792"/>
      <c r="P164" s="792"/>
      <c r="Q164" s="792"/>
      <c r="R164" s="792"/>
      <c r="S164" s="792"/>
      <c r="T164" s="792"/>
      <c r="U164" s="792"/>
      <c r="V164" s="792"/>
      <c r="W164" s="792"/>
      <c r="X164" s="792"/>
      <c r="Y164" s="792"/>
      <c r="Z164" s="792"/>
    </row>
    <row r="165" ht="52.5" customHeight="1">
      <c r="A165" s="781">
        <v>164.0</v>
      </c>
      <c r="B165" s="898" t="s">
        <v>750</v>
      </c>
      <c r="C165" s="781">
        <v>100.0</v>
      </c>
      <c r="D165" s="781">
        <f t="shared" si="1"/>
        <v>4400</v>
      </c>
      <c r="E165" s="781" t="s">
        <v>1697</v>
      </c>
      <c r="F165" s="898" t="s">
        <v>747</v>
      </c>
      <c r="G165" s="791" t="str">
        <f t="shared" si="9"/>
        <v/>
      </c>
      <c r="H165" s="792"/>
      <c r="I165" s="792"/>
      <c r="J165" s="792"/>
      <c r="K165" s="792"/>
      <c r="L165" s="792"/>
      <c r="M165" s="792"/>
      <c r="N165" s="792"/>
      <c r="O165" s="792"/>
      <c r="P165" s="792"/>
      <c r="Q165" s="792"/>
      <c r="R165" s="792"/>
      <c r="S165" s="792"/>
      <c r="T165" s="792"/>
      <c r="U165" s="792"/>
      <c r="V165" s="792"/>
      <c r="W165" s="792"/>
      <c r="X165" s="792"/>
      <c r="Y165" s="792"/>
      <c r="Z165" s="792"/>
    </row>
    <row r="166" ht="52.5" customHeight="1">
      <c r="A166" s="781">
        <v>165.0</v>
      </c>
      <c r="B166" s="898" t="s">
        <v>698</v>
      </c>
      <c r="C166" s="781">
        <v>100.0</v>
      </c>
      <c r="D166" s="781">
        <f t="shared" si="1"/>
        <v>4400</v>
      </c>
      <c r="E166" s="781" t="s">
        <v>1697</v>
      </c>
      <c r="F166" s="898" t="s">
        <v>695</v>
      </c>
      <c r="G166" s="791" t="str">
        <f t="shared" si="9"/>
        <v/>
      </c>
      <c r="H166" s="792"/>
      <c r="I166" s="792"/>
      <c r="J166" s="792"/>
      <c r="K166" s="792"/>
      <c r="L166" s="792"/>
      <c r="M166" s="792"/>
      <c r="N166" s="792"/>
      <c r="O166" s="792"/>
      <c r="P166" s="792"/>
      <c r="Q166" s="792"/>
      <c r="R166" s="792"/>
      <c r="S166" s="792"/>
      <c r="T166" s="792"/>
      <c r="U166" s="792"/>
      <c r="V166" s="792"/>
      <c r="W166" s="792"/>
      <c r="X166" s="792"/>
      <c r="Y166" s="792"/>
      <c r="Z166" s="792"/>
    </row>
    <row r="167" ht="52.5" customHeight="1">
      <c r="A167" s="781">
        <v>166.0</v>
      </c>
      <c r="B167" s="898" t="s">
        <v>690</v>
      </c>
      <c r="C167" s="781">
        <v>100.0</v>
      </c>
      <c r="D167" s="781">
        <f t="shared" si="1"/>
        <v>4400</v>
      </c>
      <c r="E167" s="781" t="s">
        <v>1697</v>
      </c>
      <c r="F167" s="898" t="s">
        <v>687</v>
      </c>
      <c r="G167" s="791" t="str">
        <f t="shared" si="9"/>
        <v/>
      </c>
      <c r="H167" s="792"/>
      <c r="I167" s="792"/>
      <c r="J167" s="792"/>
      <c r="K167" s="792"/>
      <c r="L167" s="792"/>
      <c r="M167" s="792"/>
      <c r="N167" s="792"/>
      <c r="O167" s="792"/>
      <c r="P167" s="792"/>
      <c r="Q167" s="792"/>
      <c r="R167" s="792"/>
      <c r="S167" s="792"/>
      <c r="T167" s="792"/>
      <c r="U167" s="792"/>
      <c r="V167" s="792"/>
      <c r="W167" s="792"/>
      <c r="X167" s="792"/>
      <c r="Y167" s="792"/>
      <c r="Z167" s="792"/>
    </row>
    <row r="168" ht="52.5" customHeight="1">
      <c r="A168" s="781">
        <v>167.0</v>
      </c>
      <c r="B168" s="898" t="s">
        <v>702</v>
      </c>
      <c r="C168" s="781">
        <v>100.0</v>
      </c>
      <c r="D168" s="781">
        <f t="shared" si="1"/>
        <v>4400</v>
      </c>
      <c r="E168" s="781" t="s">
        <v>1697</v>
      </c>
      <c r="F168" s="898" t="s">
        <v>699</v>
      </c>
      <c r="G168" s="791" t="str">
        <f t="shared" si="9"/>
        <v/>
      </c>
      <c r="H168" s="792"/>
      <c r="I168" s="792"/>
      <c r="J168" s="792"/>
      <c r="K168" s="792"/>
      <c r="L168" s="792"/>
      <c r="M168" s="792"/>
      <c r="N168" s="792"/>
      <c r="O168" s="792"/>
      <c r="P168" s="792"/>
      <c r="Q168" s="792"/>
      <c r="R168" s="792"/>
      <c r="S168" s="792"/>
      <c r="T168" s="792"/>
      <c r="U168" s="792"/>
      <c r="V168" s="792"/>
      <c r="W168" s="792"/>
      <c r="X168" s="792"/>
      <c r="Y168" s="792"/>
      <c r="Z168" s="792"/>
    </row>
    <row r="169" ht="52.5" customHeight="1">
      <c r="A169" s="781">
        <v>168.0</v>
      </c>
      <c r="B169" s="898" t="s">
        <v>694</v>
      </c>
      <c r="C169" s="781">
        <v>100.0</v>
      </c>
      <c r="D169" s="781">
        <f t="shared" si="1"/>
        <v>4400</v>
      </c>
      <c r="E169" s="781" t="s">
        <v>1697</v>
      </c>
      <c r="F169" s="898" t="s">
        <v>691</v>
      </c>
      <c r="G169" s="791" t="str">
        <f t="shared" si="9"/>
        <v/>
      </c>
      <c r="H169" s="792"/>
      <c r="I169" s="792"/>
      <c r="J169" s="792"/>
      <c r="K169" s="792"/>
      <c r="L169" s="792"/>
      <c r="M169" s="792"/>
      <c r="N169" s="792"/>
      <c r="O169" s="792"/>
      <c r="P169" s="792"/>
      <c r="Q169" s="792"/>
      <c r="R169" s="792"/>
      <c r="S169" s="792"/>
      <c r="T169" s="792"/>
      <c r="U169" s="792"/>
      <c r="V169" s="792"/>
      <c r="W169" s="792"/>
      <c r="X169" s="792"/>
      <c r="Y169" s="792"/>
      <c r="Z169" s="792"/>
    </row>
    <row r="170" ht="52.5" customHeight="1">
      <c r="A170" s="781">
        <v>169.0</v>
      </c>
      <c r="B170" s="898" t="s">
        <v>734</v>
      </c>
      <c r="C170" s="781">
        <v>100.0</v>
      </c>
      <c r="D170" s="781">
        <f t="shared" si="1"/>
        <v>4400</v>
      </c>
      <c r="E170" s="781" t="s">
        <v>1697</v>
      </c>
      <c r="F170" s="898" t="s">
        <v>731</v>
      </c>
      <c r="G170" s="791" t="str">
        <f t="shared" si="9"/>
        <v/>
      </c>
      <c r="H170" s="792"/>
      <c r="I170" s="792"/>
      <c r="J170" s="792"/>
      <c r="K170" s="792"/>
      <c r="L170" s="792"/>
      <c r="M170" s="792"/>
      <c r="N170" s="792"/>
      <c r="O170" s="792"/>
      <c r="P170" s="792"/>
      <c r="Q170" s="792"/>
      <c r="R170" s="792"/>
      <c r="S170" s="792"/>
      <c r="T170" s="792"/>
      <c r="U170" s="792"/>
      <c r="V170" s="792"/>
      <c r="W170" s="792"/>
      <c r="X170" s="792"/>
      <c r="Y170" s="792"/>
      <c r="Z170" s="792"/>
    </row>
    <row r="171" ht="52.5" customHeight="1">
      <c r="A171" s="781">
        <v>170.0</v>
      </c>
      <c r="B171" s="898" t="s">
        <v>666</v>
      </c>
      <c r="C171" s="781">
        <v>100.0</v>
      </c>
      <c r="D171" s="781">
        <f t="shared" si="1"/>
        <v>4400</v>
      </c>
      <c r="E171" s="781" t="s">
        <v>1697</v>
      </c>
      <c r="F171" s="898" t="s">
        <v>663</v>
      </c>
      <c r="G171" s="791" t="str">
        <f t="shared" si="9"/>
        <v/>
      </c>
      <c r="H171" s="792"/>
      <c r="I171" s="792"/>
      <c r="J171" s="792"/>
      <c r="K171" s="792"/>
      <c r="L171" s="792"/>
      <c r="M171" s="792"/>
      <c r="N171" s="792"/>
      <c r="O171" s="792"/>
      <c r="P171" s="792"/>
      <c r="Q171" s="792"/>
      <c r="R171" s="792"/>
      <c r="S171" s="792"/>
      <c r="T171" s="792"/>
      <c r="U171" s="792"/>
      <c r="V171" s="792"/>
      <c r="W171" s="792"/>
      <c r="X171" s="792"/>
      <c r="Y171" s="792"/>
      <c r="Z171" s="792"/>
    </row>
    <row r="172" ht="52.5" customHeight="1">
      <c r="A172" s="781">
        <v>171.0</v>
      </c>
      <c r="B172" s="898" t="s">
        <v>726</v>
      </c>
      <c r="C172" s="781">
        <v>100.0</v>
      </c>
      <c r="D172" s="781">
        <f t="shared" si="1"/>
        <v>4400</v>
      </c>
      <c r="E172" s="781" t="s">
        <v>1697</v>
      </c>
      <c r="F172" s="898" t="s">
        <v>723</v>
      </c>
      <c r="G172" s="791" t="str">
        <f t="shared" si="9"/>
        <v/>
      </c>
      <c r="H172" s="792"/>
      <c r="I172" s="792"/>
      <c r="J172" s="792"/>
      <c r="K172" s="792"/>
      <c r="L172" s="792"/>
      <c r="M172" s="792"/>
      <c r="N172" s="792"/>
      <c r="O172" s="792"/>
      <c r="P172" s="792"/>
      <c r="Q172" s="792"/>
      <c r="R172" s="792"/>
      <c r="S172" s="792"/>
      <c r="T172" s="792"/>
      <c r="U172" s="792"/>
      <c r="V172" s="792"/>
      <c r="W172" s="792"/>
      <c r="X172" s="792"/>
      <c r="Y172" s="792"/>
      <c r="Z172" s="792"/>
    </row>
    <row r="173" ht="52.5" customHeight="1">
      <c r="A173" s="781">
        <v>172.0</v>
      </c>
      <c r="B173" s="898" t="s">
        <v>738</v>
      </c>
      <c r="C173" s="781">
        <v>100.0</v>
      </c>
      <c r="D173" s="781">
        <f t="shared" si="1"/>
        <v>4400</v>
      </c>
      <c r="E173" s="781" t="s">
        <v>1697</v>
      </c>
      <c r="F173" s="898" t="s">
        <v>735</v>
      </c>
      <c r="G173" s="791" t="str">
        <f t="shared" si="9"/>
        <v/>
      </c>
      <c r="H173" s="792"/>
      <c r="I173" s="792"/>
      <c r="J173" s="792"/>
      <c r="K173" s="792"/>
      <c r="L173" s="792"/>
      <c r="M173" s="792"/>
      <c r="N173" s="792"/>
      <c r="O173" s="792"/>
      <c r="P173" s="792"/>
      <c r="Q173" s="792"/>
      <c r="R173" s="792"/>
      <c r="S173" s="792"/>
      <c r="T173" s="792"/>
      <c r="U173" s="792"/>
      <c r="V173" s="792"/>
      <c r="W173" s="792"/>
      <c r="X173" s="792"/>
      <c r="Y173" s="792"/>
      <c r="Z173" s="792"/>
    </row>
    <row r="174" ht="52.5" customHeight="1">
      <c r="A174" s="781">
        <v>173.0</v>
      </c>
      <c r="B174" s="898" t="s">
        <v>730</v>
      </c>
      <c r="C174" s="781">
        <v>100.0</v>
      </c>
      <c r="D174" s="781">
        <f t="shared" si="1"/>
        <v>4400</v>
      </c>
      <c r="E174" s="781" t="s">
        <v>1697</v>
      </c>
      <c r="F174" s="898" t="s">
        <v>727</v>
      </c>
      <c r="G174" s="791" t="str">
        <f t="shared" si="9"/>
        <v/>
      </c>
      <c r="H174" s="792"/>
      <c r="I174" s="792"/>
      <c r="J174" s="792"/>
      <c r="K174" s="792"/>
      <c r="L174" s="792"/>
      <c r="M174" s="792"/>
      <c r="N174" s="792"/>
      <c r="O174" s="792"/>
      <c r="P174" s="792"/>
      <c r="Q174" s="792"/>
      <c r="R174" s="792"/>
      <c r="S174" s="792"/>
      <c r="T174" s="792"/>
      <c r="U174" s="792"/>
      <c r="V174" s="792"/>
      <c r="W174" s="792"/>
      <c r="X174" s="792"/>
      <c r="Y174" s="792"/>
      <c r="Z174" s="792"/>
    </row>
    <row r="175" ht="52.5" customHeight="1">
      <c r="A175" s="781">
        <v>174.0</v>
      </c>
      <c r="B175" s="898" t="s">
        <v>774</v>
      </c>
      <c r="C175" s="781">
        <v>100.0</v>
      </c>
      <c r="D175" s="781">
        <f t="shared" si="1"/>
        <v>4400</v>
      </c>
      <c r="E175" s="781" t="s">
        <v>1697</v>
      </c>
      <c r="F175" s="898" t="s">
        <v>771</v>
      </c>
      <c r="G175" s="791" t="str">
        <f t="shared" si="9"/>
        <v/>
      </c>
      <c r="H175" s="792"/>
      <c r="I175" s="792"/>
      <c r="J175" s="792"/>
      <c r="K175" s="792"/>
      <c r="L175" s="792"/>
      <c r="M175" s="792"/>
      <c r="N175" s="792"/>
      <c r="O175" s="792"/>
      <c r="P175" s="792"/>
      <c r="Q175" s="792"/>
      <c r="R175" s="792"/>
      <c r="S175" s="792"/>
      <c r="T175" s="792"/>
      <c r="U175" s="792"/>
      <c r="V175" s="792"/>
      <c r="W175" s="792"/>
      <c r="X175" s="792"/>
      <c r="Y175" s="792"/>
      <c r="Z175" s="792"/>
    </row>
    <row r="176" ht="52.5" customHeight="1">
      <c r="A176" s="781">
        <v>175.0</v>
      </c>
      <c r="B176" s="898" t="s">
        <v>766</v>
      </c>
      <c r="C176" s="781">
        <v>100.0</v>
      </c>
      <c r="D176" s="781">
        <f t="shared" si="1"/>
        <v>4400</v>
      </c>
      <c r="E176" s="781" t="s">
        <v>1697</v>
      </c>
      <c r="F176" s="898" t="s">
        <v>763</v>
      </c>
      <c r="G176" s="791" t="str">
        <f t="shared" si="9"/>
        <v/>
      </c>
      <c r="H176" s="792"/>
      <c r="I176" s="792"/>
      <c r="J176" s="792"/>
      <c r="K176" s="792"/>
      <c r="L176" s="792"/>
      <c r="M176" s="792"/>
      <c r="N176" s="792"/>
      <c r="O176" s="792"/>
      <c r="P176" s="792"/>
      <c r="Q176" s="792"/>
      <c r="R176" s="792"/>
      <c r="S176" s="792"/>
      <c r="T176" s="792"/>
      <c r="U176" s="792"/>
      <c r="V176" s="792"/>
      <c r="W176" s="792"/>
      <c r="X176" s="792"/>
      <c r="Y176" s="792"/>
      <c r="Z176" s="792"/>
    </row>
    <row r="177" ht="52.5" customHeight="1">
      <c r="A177" s="781">
        <v>176.0</v>
      </c>
      <c r="B177" s="898" t="s">
        <v>778</v>
      </c>
      <c r="C177" s="781">
        <v>100.0</v>
      </c>
      <c r="D177" s="781">
        <f t="shared" si="1"/>
        <v>4400</v>
      </c>
      <c r="E177" s="781" t="s">
        <v>1697</v>
      </c>
      <c r="F177" s="898" t="s">
        <v>775</v>
      </c>
      <c r="G177" s="791" t="str">
        <f t="shared" si="9"/>
        <v/>
      </c>
      <c r="H177" s="792"/>
      <c r="I177" s="792"/>
      <c r="J177" s="792"/>
      <c r="K177" s="792"/>
      <c r="L177" s="792"/>
      <c r="M177" s="792"/>
      <c r="N177" s="792"/>
      <c r="O177" s="792"/>
      <c r="P177" s="792"/>
      <c r="Q177" s="792"/>
      <c r="R177" s="792"/>
      <c r="S177" s="792"/>
      <c r="T177" s="792"/>
      <c r="U177" s="792"/>
      <c r="V177" s="792"/>
      <c r="W177" s="792"/>
      <c r="X177" s="792"/>
      <c r="Y177" s="792"/>
      <c r="Z177" s="792"/>
    </row>
    <row r="178" ht="52.5" customHeight="1">
      <c r="A178" s="781">
        <v>177.0</v>
      </c>
      <c r="B178" s="898" t="s">
        <v>770</v>
      </c>
      <c r="C178" s="781">
        <v>100.0</v>
      </c>
      <c r="D178" s="781">
        <f t="shared" si="1"/>
        <v>4400</v>
      </c>
      <c r="E178" s="781" t="s">
        <v>1697</v>
      </c>
      <c r="F178" s="898" t="s">
        <v>767</v>
      </c>
      <c r="G178" s="791" t="str">
        <f t="shared" si="9"/>
        <v/>
      </c>
      <c r="H178" s="792"/>
      <c r="I178" s="792"/>
      <c r="J178" s="792"/>
      <c r="K178" s="792"/>
      <c r="L178" s="792"/>
      <c r="M178" s="792"/>
      <c r="N178" s="792"/>
      <c r="O178" s="792"/>
      <c r="P178" s="792"/>
      <c r="Q178" s="792"/>
      <c r="R178" s="792"/>
      <c r="S178" s="792"/>
      <c r="T178" s="792"/>
      <c r="U178" s="792"/>
      <c r="V178" s="792"/>
      <c r="W178" s="792"/>
      <c r="X178" s="792"/>
      <c r="Y178" s="792"/>
      <c r="Z178" s="792"/>
    </row>
    <row r="179" ht="52.5" customHeight="1">
      <c r="A179" s="781">
        <v>178.0</v>
      </c>
      <c r="B179" s="898" t="s">
        <v>678</v>
      </c>
      <c r="C179" s="781">
        <v>100.0</v>
      </c>
      <c r="D179" s="781">
        <f t="shared" si="1"/>
        <v>4400</v>
      </c>
      <c r="E179" s="781" t="s">
        <v>1697</v>
      </c>
      <c r="F179" s="898" t="s">
        <v>675</v>
      </c>
      <c r="G179" s="791" t="str">
        <f t="shared" si="9"/>
        <v/>
      </c>
      <c r="H179" s="792"/>
      <c r="I179" s="792"/>
      <c r="J179" s="792"/>
      <c r="K179" s="792"/>
      <c r="L179" s="792"/>
      <c r="M179" s="792"/>
      <c r="N179" s="792"/>
      <c r="O179" s="792"/>
      <c r="P179" s="792"/>
      <c r="Q179" s="792"/>
      <c r="R179" s="792"/>
      <c r="S179" s="792"/>
      <c r="T179" s="792"/>
      <c r="U179" s="792"/>
      <c r="V179" s="792"/>
      <c r="W179" s="792"/>
      <c r="X179" s="792"/>
      <c r="Y179" s="792"/>
      <c r="Z179" s="792"/>
    </row>
    <row r="180" ht="52.5" customHeight="1">
      <c r="A180" s="781">
        <v>179.0</v>
      </c>
      <c r="B180" s="898" t="s">
        <v>686</v>
      </c>
      <c r="C180" s="781">
        <v>100.0</v>
      </c>
      <c r="D180" s="781">
        <f t="shared" si="1"/>
        <v>4400</v>
      </c>
      <c r="E180" s="781" t="s">
        <v>1697</v>
      </c>
      <c r="F180" s="898" t="s">
        <v>683</v>
      </c>
      <c r="G180" s="791" t="str">
        <f t="shared" si="9"/>
        <v/>
      </c>
      <c r="H180" s="792"/>
      <c r="I180" s="792"/>
      <c r="J180" s="792"/>
      <c r="K180" s="792"/>
      <c r="L180" s="792"/>
      <c r="M180" s="792"/>
      <c r="N180" s="792"/>
      <c r="O180" s="792"/>
      <c r="P180" s="792"/>
      <c r="Q180" s="792"/>
      <c r="R180" s="792"/>
      <c r="S180" s="792"/>
      <c r="T180" s="792"/>
      <c r="U180" s="792"/>
      <c r="V180" s="792"/>
      <c r="W180" s="792"/>
      <c r="X180" s="792"/>
      <c r="Y180" s="792"/>
      <c r="Z180" s="792"/>
    </row>
    <row r="181" ht="52.5" customHeight="1">
      <c r="A181" s="781">
        <v>180.0</v>
      </c>
      <c r="B181" s="898" t="s">
        <v>742</v>
      </c>
      <c r="C181" s="781">
        <v>100.0</v>
      </c>
      <c r="D181" s="781">
        <f t="shared" si="1"/>
        <v>4400</v>
      </c>
      <c r="E181" s="781" t="s">
        <v>1697</v>
      </c>
      <c r="F181" s="898" t="s">
        <v>739</v>
      </c>
      <c r="G181" s="791" t="str">
        <f t="shared" si="9"/>
        <v/>
      </c>
      <c r="H181" s="792"/>
      <c r="I181" s="792"/>
      <c r="J181" s="792"/>
      <c r="K181" s="792"/>
      <c r="L181" s="792"/>
      <c r="M181" s="792"/>
      <c r="N181" s="792"/>
      <c r="O181" s="792"/>
      <c r="P181" s="792"/>
      <c r="Q181" s="792"/>
      <c r="R181" s="792"/>
      <c r="S181" s="792"/>
      <c r="T181" s="792"/>
      <c r="U181" s="792"/>
      <c r="V181" s="792"/>
      <c r="W181" s="792"/>
      <c r="X181" s="792"/>
      <c r="Y181" s="792"/>
      <c r="Z181" s="792"/>
    </row>
    <row r="182" ht="52.5" customHeight="1">
      <c r="A182" s="781">
        <v>181.0</v>
      </c>
      <c r="B182" s="898" t="s">
        <v>682</v>
      </c>
      <c r="C182" s="781">
        <v>100.0</v>
      </c>
      <c r="D182" s="781">
        <f t="shared" si="1"/>
        <v>4400</v>
      </c>
      <c r="E182" s="781" t="s">
        <v>1697</v>
      </c>
      <c r="F182" s="898" t="s">
        <v>679</v>
      </c>
      <c r="G182" s="791" t="str">
        <f t="shared" si="9"/>
        <v/>
      </c>
      <c r="H182" s="792"/>
      <c r="I182" s="792"/>
      <c r="J182" s="792"/>
      <c r="K182" s="792"/>
      <c r="L182" s="792"/>
      <c r="M182" s="792"/>
      <c r="N182" s="792"/>
      <c r="O182" s="792"/>
      <c r="P182" s="792"/>
      <c r="Q182" s="792"/>
      <c r="R182" s="792"/>
      <c r="S182" s="792"/>
      <c r="T182" s="792"/>
      <c r="U182" s="792"/>
      <c r="V182" s="792"/>
      <c r="W182" s="792"/>
      <c r="X182" s="792"/>
      <c r="Y182" s="792"/>
      <c r="Z182" s="792"/>
    </row>
    <row r="183" ht="52.5" customHeight="1">
      <c r="A183" s="781">
        <v>182.0</v>
      </c>
      <c r="B183" s="898" t="s">
        <v>670</v>
      </c>
      <c r="C183" s="781">
        <v>100.0</v>
      </c>
      <c r="D183" s="781">
        <f t="shared" si="1"/>
        <v>4400</v>
      </c>
      <c r="E183" s="781" t="s">
        <v>1697</v>
      </c>
      <c r="F183" s="898" t="s">
        <v>667</v>
      </c>
      <c r="G183" s="791" t="str">
        <f t="shared" si="9"/>
        <v/>
      </c>
      <c r="H183" s="792"/>
      <c r="I183" s="792"/>
      <c r="J183" s="792"/>
      <c r="K183" s="792"/>
      <c r="L183" s="792"/>
      <c r="M183" s="792"/>
      <c r="N183" s="792"/>
      <c r="O183" s="792"/>
      <c r="P183" s="792"/>
      <c r="Q183" s="792"/>
      <c r="R183" s="792"/>
      <c r="S183" s="792"/>
      <c r="T183" s="792"/>
      <c r="U183" s="792"/>
      <c r="V183" s="792"/>
      <c r="W183" s="792"/>
      <c r="X183" s="792"/>
      <c r="Y183" s="792"/>
      <c r="Z183" s="792"/>
    </row>
    <row r="184" ht="52.5" customHeight="1">
      <c r="A184" s="781">
        <v>183.0</v>
      </c>
      <c r="B184" s="898" t="s">
        <v>674</v>
      </c>
      <c r="C184" s="781">
        <v>100.0</v>
      </c>
      <c r="D184" s="781">
        <f t="shared" si="1"/>
        <v>4400</v>
      </c>
      <c r="E184" s="781" t="s">
        <v>1697</v>
      </c>
      <c r="F184" s="898" t="s">
        <v>671</v>
      </c>
      <c r="G184" s="791" t="str">
        <f t="shared" si="9"/>
        <v/>
      </c>
      <c r="H184" s="792"/>
      <c r="I184" s="792"/>
      <c r="J184" s="792"/>
      <c r="K184" s="792"/>
      <c r="L184" s="792"/>
      <c r="M184" s="792"/>
      <c r="N184" s="792"/>
      <c r="O184" s="792"/>
      <c r="P184" s="792"/>
      <c r="Q184" s="792"/>
      <c r="R184" s="792"/>
      <c r="S184" s="792"/>
      <c r="T184" s="792"/>
      <c r="U184" s="792"/>
      <c r="V184" s="792"/>
      <c r="W184" s="792"/>
      <c r="X184" s="792"/>
      <c r="Y184" s="792"/>
      <c r="Z184" s="792"/>
    </row>
    <row r="185" ht="52.5" customHeight="1">
      <c r="A185" s="781">
        <v>184.0</v>
      </c>
      <c r="B185" s="898" t="s">
        <v>762</v>
      </c>
      <c r="C185" s="781">
        <v>100.0</v>
      </c>
      <c r="D185" s="781">
        <f t="shared" si="1"/>
        <v>4400</v>
      </c>
      <c r="E185" s="781" t="s">
        <v>1697</v>
      </c>
      <c r="F185" s="898" t="s">
        <v>759</v>
      </c>
      <c r="G185" s="791" t="str">
        <f t="shared" si="9"/>
        <v/>
      </c>
      <c r="H185" s="792"/>
      <c r="I185" s="792"/>
      <c r="J185" s="792"/>
      <c r="K185" s="792"/>
      <c r="L185" s="792"/>
      <c r="M185" s="792"/>
      <c r="N185" s="792"/>
      <c r="O185" s="792"/>
      <c r="P185" s="792"/>
      <c r="Q185" s="792"/>
      <c r="R185" s="792"/>
      <c r="S185" s="792"/>
      <c r="T185" s="792"/>
      <c r="U185" s="792"/>
      <c r="V185" s="792"/>
      <c r="W185" s="792"/>
      <c r="X185" s="792"/>
      <c r="Y185" s="792"/>
      <c r="Z185" s="792"/>
    </row>
    <row r="186" ht="52.5" customHeight="1">
      <c r="A186" s="781">
        <v>185.0</v>
      </c>
      <c r="B186" s="898" t="s">
        <v>706</v>
      </c>
      <c r="C186" s="781">
        <v>100.0</v>
      </c>
      <c r="D186" s="781">
        <f t="shared" si="1"/>
        <v>4400</v>
      </c>
      <c r="E186" s="781" t="s">
        <v>1697</v>
      </c>
      <c r="F186" s="898" t="s">
        <v>703</v>
      </c>
      <c r="G186" s="791" t="str">
        <f t="shared" si="9"/>
        <v/>
      </c>
      <c r="H186" s="792"/>
      <c r="I186" s="792"/>
      <c r="J186" s="792"/>
      <c r="K186" s="792"/>
      <c r="L186" s="792"/>
      <c r="M186" s="792"/>
      <c r="N186" s="792"/>
      <c r="O186" s="792"/>
      <c r="P186" s="792"/>
      <c r="Q186" s="792"/>
      <c r="R186" s="792"/>
      <c r="S186" s="792"/>
      <c r="T186" s="792"/>
      <c r="U186" s="792"/>
      <c r="V186" s="792"/>
      <c r="W186" s="792"/>
      <c r="X186" s="792"/>
      <c r="Y186" s="792"/>
      <c r="Z186" s="792"/>
    </row>
    <row r="187" ht="52.5" customHeight="1">
      <c r="A187" s="781">
        <v>186.0</v>
      </c>
      <c r="B187" s="898" t="s">
        <v>798</v>
      </c>
      <c r="C187" s="781">
        <v>100.0</v>
      </c>
      <c r="D187" s="781">
        <f t="shared" si="1"/>
        <v>4400</v>
      </c>
      <c r="E187" s="781" t="s">
        <v>1697</v>
      </c>
      <c r="F187" s="898" t="s">
        <v>795</v>
      </c>
      <c r="G187" s="791" t="str">
        <f t="shared" si="9"/>
        <v/>
      </c>
      <c r="H187" s="792"/>
      <c r="I187" s="792"/>
      <c r="J187" s="792"/>
      <c r="K187" s="792"/>
      <c r="L187" s="792"/>
      <c r="M187" s="792"/>
      <c r="N187" s="792"/>
      <c r="O187" s="792"/>
      <c r="P187" s="792"/>
      <c r="Q187" s="792"/>
      <c r="R187" s="792"/>
      <c r="S187" s="792"/>
      <c r="T187" s="792"/>
      <c r="U187" s="792"/>
      <c r="V187" s="792"/>
      <c r="W187" s="792"/>
      <c r="X187" s="792"/>
      <c r="Y187" s="792"/>
      <c r="Z187" s="792"/>
    </row>
    <row r="188" ht="52.5" customHeight="1">
      <c r="A188" s="781">
        <v>187.0</v>
      </c>
      <c r="B188" s="898" t="s">
        <v>806</v>
      </c>
      <c r="C188" s="781">
        <v>100.0</v>
      </c>
      <c r="D188" s="781">
        <f t="shared" si="1"/>
        <v>4400</v>
      </c>
      <c r="E188" s="781" t="s">
        <v>1697</v>
      </c>
      <c r="F188" s="898" t="s">
        <v>803</v>
      </c>
      <c r="G188" s="791" t="str">
        <f t="shared" si="9"/>
        <v/>
      </c>
      <c r="H188" s="792"/>
      <c r="I188" s="792"/>
      <c r="J188" s="792"/>
      <c r="K188" s="792"/>
      <c r="L188" s="792"/>
      <c r="M188" s="792"/>
      <c r="N188" s="792"/>
      <c r="O188" s="792"/>
      <c r="P188" s="792"/>
      <c r="Q188" s="792"/>
      <c r="R188" s="792"/>
      <c r="S188" s="792"/>
      <c r="T188" s="792"/>
      <c r="U188" s="792"/>
      <c r="V188" s="792"/>
      <c r="W188" s="792"/>
      <c r="X188" s="792"/>
      <c r="Y188" s="792"/>
      <c r="Z188" s="792"/>
    </row>
    <row r="189" ht="52.5" customHeight="1">
      <c r="A189" s="781">
        <v>188.0</v>
      </c>
      <c r="B189" s="898" t="s">
        <v>802</v>
      </c>
      <c r="C189" s="781">
        <v>100.0</v>
      </c>
      <c r="D189" s="781">
        <f t="shared" si="1"/>
        <v>4400</v>
      </c>
      <c r="E189" s="781" t="s">
        <v>1697</v>
      </c>
      <c r="F189" s="898" t="s">
        <v>799</v>
      </c>
      <c r="G189" s="791" t="str">
        <f t="shared" si="9"/>
        <v/>
      </c>
      <c r="H189" s="792"/>
      <c r="I189" s="792"/>
      <c r="J189" s="792"/>
      <c r="K189" s="792"/>
      <c r="L189" s="792"/>
      <c r="M189" s="792"/>
      <c r="N189" s="792"/>
      <c r="O189" s="792"/>
      <c r="P189" s="792"/>
      <c r="Q189" s="792"/>
      <c r="R189" s="792"/>
      <c r="S189" s="792"/>
      <c r="T189" s="792"/>
      <c r="U189" s="792"/>
      <c r="V189" s="792"/>
      <c r="W189" s="792"/>
      <c r="X189" s="792"/>
      <c r="Y189" s="792"/>
      <c r="Z189" s="792"/>
    </row>
    <row r="190" ht="52.5" customHeight="1">
      <c r="A190" s="781">
        <v>189.0</v>
      </c>
      <c r="B190" s="898" t="s">
        <v>818</v>
      </c>
      <c r="C190" s="781">
        <v>100.0</v>
      </c>
      <c r="D190" s="781">
        <f t="shared" si="1"/>
        <v>4400</v>
      </c>
      <c r="E190" s="781" t="s">
        <v>1697</v>
      </c>
      <c r="F190" s="898" t="s">
        <v>815</v>
      </c>
      <c r="G190" s="791" t="str">
        <f t="shared" si="9"/>
        <v/>
      </c>
      <c r="H190" s="792"/>
      <c r="I190" s="792"/>
      <c r="J190" s="792"/>
      <c r="K190" s="792"/>
      <c r="L190" s="792"/>
      <c r="M190" s="792"/>
      <c r="N190" s="792"/>
      <c r="O190" s="792"/>
      <c r="P190" s="792"/>
      <c r="Q190" s="792"/>
      <c r="R190" s="792"/>
      <c r="S190" s="792"/>
      <c r="T190" s="792"/>
      <c r="U190" s="792"/>
      <c r="V190" s="792"/>
      <c r="W190" s="792"/>
      <c r="X190" s="792"/>
      <c r="Y190" s="792"/>
      <c r="Z190" s="792"/>
    </row>
    <row r="191" ht="15.75" customHeight="1">
      <c r="A191" s="781">
        <v>190.0</v>
      </c>
      <c r="B191" s="898" t="s">
        <v>603</v>
      </c>
      <c r="C191" s="781">
        <v>500.0</v>
      </c>
      <c r="D191" s="781">
        <f t="shared" si="1"/>
        <v>22000</v>
      </c>
      <c r="E191" s="781" t="s">
        <v>1697</v>
      </c>
      <c r="F191" s="898" t="s">
        <v>1547</v>
      </c>
      <c r="G191" s="791" t="str">
        <f>IMAGE("https://rukminim2.flixcart.com/image/832/832/xif0q/electronic-hobby-kit/d/o/s/50-pcs-blue-led-5mm-kitsguru-original-imaghfqbjbn4hshz.jpeg?q=70",1)</f>
        <v/>
      </c>
      <c r="H191" s="792"/>
      <c r="I191" s="792"/>
      <c r="J191" s="792"/>
      <c r="K191" s="792"/>
      <c r="L191" s="792"/>
      <c r="M191" s="792"/>
      <c r="N191" s="792"/>
      <c r="O191" s="792"/>
      <c r="P191" s="792"/>
      <c r="Q191" s="792"/>
      <c r="R191" s="792"/>
      <c r="S191" s="792"/>
      <c r="T191" s="792"/>
      <c r="U191" s="792"/>
      <c r="V191" s="792"/>
      <c r="W191" s="792"/>
      <c r="X191" s="792"/>
      <c r="Y191" s="792"/>
      <c r="Z191" s="792"/>
    </row>
    <row r="192" ht="15.75" customHeight="1">
      <c r="A192" s="781">
        <v>191.0</v>
      </c>
      <c r="B192" s="898" t="s">
        <v>607</v>
      </c>
      <c r="C192" s="781">
        <v>500.0</v>
      </c>
      <c r="D192" s="781">
        <f t="shared" si="1"/>
        <v>22000</v>
      </c>
      <c r="E192" s="781" t="s">
        <v>1697</v>
      </c>
      <c r="F192" s="898" t="s">
        <v>1347</v>
      </c>
      <c r="G192" s="791" t="str">
        <f>IMAGE("https://rukminim2.flixcart.com/image/832/832/krz97rk0/electronic-hobby-kit/r/p/r/5mm-green-led-light-emitting-diode-highlight-for-arduino-pack-of-original-imag5n63ad6pnxqe.jpeg?q=70", 1)</f>
        <v/>
      </c>
      <c r="H192" s="792"/>
      <c r="I192" s="792"/>
      <c r="J192" s="792"/>
      <c r="K192" s="792"/>
      <c r="L192" s="792"/>
      <c r="M192" s="792"/>
      <c r="N192" s="792"/>
      <c r="O192" s="792"/>
      <c r="P192" s="792"/>
      <c r="Q192" s="792"/>
      <c r="R192" s="792"/>
      <c r="S192" s="792"/>
      <c r="T192" s="792"/>
      <c r="U192" s="792"/>
      <c r="V192" s="792"/>
      <c r="W192" s="792"/>
      <c r="X192" s="792"/>
      <c r="Y192" s="792"/>
      <c r="Z192" s="792"/>
    </row>
    <row r="193" ht="15.75" customHeight="1">
      <c r="A193" s="781">
        <v>192.0</v>
      </c>
      <c r="B193" s="898" t="s">
        <v>610</v>
      </c>
      <c r="C193" s="781">
        <v>500.0</v>
      </c>
      <c r="D193" s="781">
        <f t="shared" si="1"/>
        <v>22000</v>
      </c>
      <c r="E193" s="781" t="s">
        <v>1697</v>
      </c>
      <c r="F193" s="898" t="s">
        <v>1351</v>
      </c>
      <c r="G193" s="791" t="str">
        <f>IMAGE("https://rukminim2.flixcart.com/image/832/832/ktrk13k0/electronic-hobby-kit/u/f/w/10-pcs-5mm-round-diffused-red-color-led-light-bulb-lamp-light-original-imag7ff6rchccrbz.jpeg?q=70", 1)</f>
        <v/>
      </c>
      <c r="H193" s="792"/>
      <c r="I193" s="792"/>
      <c r="J193" s="792"/>
      <c r="K193" s="792"/>
      <c r="L193" s="792"/>
      <c r="M193" s="792"/>
      <c r="N193" s="792"/>
      <c r="O193" s="792"/>
      <c r="P193" s="792"/>
      <c r="Q193" s="792"/>
      <c r="R193" s="792"/>
      <c r="S193" s="792"/>
      <c r="T193" s="792"/>
      <c r="U193" s="792"/>
      <c r="V193" s="792"/>
      <c r="W193" s="792"/>
      <c r="X193" s="792"/>
      <c r="Y193" s="792"/>
      <c r="Z193" s="792"/>
    </row>
    <row r="194" ht="15.75" customHeight="1">
      <c r="A194" s="781">
        <v>193.0</v>
      </c>
      <c r="B194" s="898" t="s">
        <v>614</v>
      </c>
      <c r="C194" s="781">
        <v>500.0</v>
      </c>
      <c r="D194" s="781">
        <f t="shared" si="1"/>
        <v>22000</v>
      </c>
      <c r="E194" s="781" t="s">
        <v>1697</v>
      </c>
      <c r="F194" s="898" t="s">
        <v>2926</v>
      </c>
      <c r="G194" s="791" t="str">
        <f>IMAGE("https://robu.in/wp-content/uploads/2020/10/5mm-DIP-Led-White.png", 1)</f>
        <v/>
      </c>
      <c r="H194" s="792"/>
      <c r="I194" s="792"/>
      <c r="J194" s="792"/>
      <c r="K194" s="792"/>
      <c r="L194" s="792"/>
      <c r="M194" s="792"/>
      <c r="N194" s="792"/>
      <c r="O194" s="792"/>
      <c r="P194" s="792"/>
      <c r="Q194" s="792"/>
      <c r="R194" s="792"/>
      <c r="S194" s="792"/>
      <c r="T194" s="792"/>
      <c r="U194" s="792"/>
      <c r="V194" s="792"/>
      <c r="W194" s="792"/>
      <c r="X194" s="792"/>
      <c r="Y194" s="792"/>
      <c r="Z194" s="792"/>
    </row>
    <row r="195" ht="15.75" customHeight="1">
      <c r="A195" s="781">
        <v>194.0</v>
      </c>
      <c r="B195" s="898" t="s">
        <v>618</v>
      </c>
      <c r="C195" s="781">
        <v>500.0</v>
      </c>
      <c r="D195" s="781">
        <f t="shared" si="1"/>
        <v>22000</v>
      </c>
      <c r="E195" s="781" t="s">
        <v>1697</v>
      </c>
      <c r="F195" s="898" t="s">
        <v>615</v>
      </c>
      <c r="G195" s="791" t="str">
        <f>IMAGE("https://robu.in/wp-content/uploads/2020/10/5-mm-DIP-Led-Yellow.png", 1)</f>
        <v/>
      </c>
      <c r="H195" s="792"/>
      <c r="I195" s="792"/>
      <c r="J195" s="792"/>
      <c r="K195" s="792"/>
      <c r="L195" s="792"/>
      <c r="M195" s="792"/>
      <c r="N195" s="792"/>
      <c r="O195" s="792"/>
      <c r="P195" s="792"/>
      <c r="Q195" s="792"/>
      <c r="R195" s="792"/>
      <c r="S195" s="792"/>
      <c r="T195" s="792"/>
      <c r="U195" s="792"/>
      <c r="V195" s="792"/>
      <c r="W195" s="792"/>
      <c r="X195" s="792"/>
      <c r="Y195" s="792"/>
      <c r="Z195" s="792"/>
    </row>
    <row r="196" ht="68.25" customHeight="1">
      <c r="A196" s="781">
        <v>195.0</v>
      </c>
      <c r="B196" s="898" t="s">
        <v>2796</v>
      </c>
      <c r="C196" s="781">
        <v>1.0</v>
      </c>
      <c r="D196" s="781">
        <f t="shared" si="1"/>
        <v>44</v>
      </c>
      <c r="E196" s="781" t="s">
        <v>1697</v>
      </c>
      <c r="F196" s="898" t="s">
        <v>2797</v>
      </c>
      <c r="G196" s="791" t="str">
        <f>IMAGE("https://rukminim2.flixcart.com/image/832/832/jwfa5jk0/pendrive/pendrive/z/f/p/sandisk-sdcz50-128g-i35-original-imafh3xkevktvq4w.jpeg?q=70",1)</f>
        <v/>
      </c>
      <c r="H196" s="792"/>
      <c r="I196" s="792"/>
      <c r="J196" s="792"/>
      <c r="K196" s="792"/>
      <c r="L196" s="792"/>
      <c r="M196" s="792"/>
      <c r="N196" s="792"/>
      <c r="O196" s="792"/>
      <c r="P196" s="792"/>
      <c r="Q196" s="792"/>
      <c r="R196" s="792"/>
      <c r="S196" s="792"/>
      <c r="T196" s="792"/>
      <c r="U196" s="792"/>
      <c r="V196" s="792"/>
      <c r="W196" s="792"/>
      <c r="X196" s="792"/>
      <c r="Y196" s="792"/>
      <c r="Z196" s="792"/>
    </row>
    <row r="197" ht="68.25" customHeight="1">
      <c r="A197" s="781">
        <v>196.0</v>
      </c>
      <c r="B197" s="898" t="s">
        <v>220</v>
      </c>
      <c r="C197" s="781">
        <v>5.0</v>
      </c>
      <c r="D197" s="781">
        <f t="shared" si="1"/>
        <v>220</v>
      </c>
      <c r="E197" s="781" t="s">
        <v>1697</v>
      </c>
      <c r="F197" s="898" t="s">
        <v>655</v>
      </c>
      <c r="G197" s="791" t="str">
        <f>IMAGE("https://i02.psgsm.net/gsm.com/p/887576/480/power-bank-hoco-j26-10000-mah-micro-usb-type-b-input-5v-2a-2-usb-outputs-5-v-2-1-a-139-70-16-mm-with-micro-usb-cable-type-b-black.jpg",1)</f>
        <v/>
      </c>
      <c r="H197" s="792"/>
      <c r="I197" s="792"/>
      <c r="J197" s="792"/>
      <c r="K197" s="792"/>
      <c r="L197" s="792"/>
      <c r="M197" s="792"/>
      <c r="N197" s="792"/>
      <c r="O197" s="792"/>
      <c r="P197" s="792"/>
      <c r="Q197" s="792"/>
      <c r="R197" s="792"/>
      <c r="S197" s="792"/>
      <c r="T197" s="792"/>
      <c r="U197" s="792"/>
      <c r="V197" s="792"/>
      <c r="W197" s="792"/>
      <c r="X197" s="792"/>
      <c r="Y197" s="792"/>
      <c r="Z197" s="792"/>
    </row>
    <row r="198" ht="68.25" customHeight="1">
      <c r="A198" s="781">
        <v>197.0</v>
      </c>
      <c r="B198" s="898" t="s">
        <v>188</v>
      </c>
      <c r="C198" s="781">
        <v>5.0</v>
      </c>
      <c r="D198" s="781">
        <f t="shared" si="1"/>
        <v>220</v>
      </c>
      <c r="E198" s="781" t="s">
        <v>1697</v>
      </c>
      <c r="F198" s="898" t="s">
        <v>937</v>
      </c>
      <c r="G198" s="791" t="str">
        <f>IMAGE("https://m.media-amazon.com/images/I/6161NXWtz-L._SL1500_.jpg",1)</f>
        <v/>
      </c>
      <c r="H198" s="792"/>
      <c r="I198" s="792"/>
      <c r="J198" s="792"/>
      <c r="K198" s="792"/>
      <c r="L198" s="792"/>
      <c r="M198" s="792"/>
      <c r="N198" s="792"/>
      <c r="O198" s="792"/>
      <c r="P198" s="792"/>
      <c r="Q198" s="792"/>
      <c r="R198" s="792"/>
      <c r="S198" s="792"/>
      <c r="T198" s="792"/>
      <c r="U198" s="792"/>
      <c r="V198" s="792"/>
      <c r="W198" s="792"/>
      <c r="X198" s="792"/>
      <c r="Y198" s="792"/>
      <c r="Z198" s="792"/>
    </row>
    <row r="199" ht="68.25" customHeight="1">
      <c r="A199" s="781">
        <v>198.0</v>
      </c>
      <c r="B199" s="898" t="s">
        <v>198</v>
      </c>
      <c r="C199" s="781">
        <v>15.0</v>
      </c>
      <c r="D199" s="781">
        <f t="shared" si="1"/>
        <v>660</v>
      </c>
      <c r="E199" s="781" t="s">
        <v>1697</v>
      </c>
      <c r="F199" s="898" t="s">
        <v>195</v>
      </c>
      <c r="G199" s="791" t="str">
        <f>IMAGE("https://m.media-amazon.com/images/W/MEDIAX_792452-T2/images/I/61UPqH4BXuL.SS700.jpg",1)</f>
        <v/>
      </c>
      <c r="H199" s="792"/>
      <c r="I199" s="792"/>
      <c r="J199" s="792"/>
      <c r="K199" s="792"/>
      <c r="L199" s="792"/>
      <c r="M199" s="792"/>
      <c r="N199" s="792"/>
      <c r="O199" s="792"/>
      <c r="P199" s="792"/>
      <c r="Q199" s="792"/>
      <c r="R199" s="792"/>
      <c r="S199" s="792"/>
      <c r="T199" s="792"/>
      <c r="U199" s="792"/>
      <c r="V199" s="792"/>
      <c r="W199" s="792"/>
      <c r="X199" s="792"/>
      <c r="Y199" s="792"/>
      <c r="Z199" s="792"/>
    </row>
    <row r="200" ht="15.75" customHeight="1">
      <c r="A200" s="901"/>
      <c r="B200" s="902"/>
      <c r="C200" s="901"/>
      <c r="D200" s="901"/>
      <c r="E200" s="901"/>
      <c r="F200" s="903"/>
      <c r="G200" s="901"/>
      <c r="H200" s="792"/>
      <c r="I200" s="792"/>
      <c r="J200" s="792"/>
      <c r="K200" s="792"/>
      <c r="L200" s="792"/>
      <c r="M200" s="792"/>
      <c r="N200" s="792"/>
      <c r="O200" s="792"/>
      <c r="P200" s="792"/>
      <c r="Q200" s="792"/>
      <c r="R200" s="792"/>
      <c r="S200" s="792"/>
      <c r="T200" s="792"/>
      <c r="U200" s="792"/>
      <c r="V200" s="792"/>
      <c r="W200" s="792"/>
      <c r="X200" s="792"/>
      <c r="Y200" s="792"/>
      <c r="Z200" s="792"/>
    </row>
    <row r="201" ht="15.75" customHeight="1">
      <c r="A201" s="901"/>
      <c r="B201" s="902"/>
      <c r="C201" s="901"/>
      <c r="D201" s="901"/>
      <c r="E201" s="901"/>
      <c r="F201" s="903"/>
      <c r="G201" s="901"/>
      <c r="H201" s="792"/>
      <c r="I201" s="792"/>
      <c r="J201" s="792"/>
      <c r="K201" s="792"/>
      <c r="L201" s="792"/>
      <c r="M201" s="792"/>
      <c r="N201" s="792"/>
      <c r="O201" s="792"/>
      <c r="P201" s="792"/>
      <c r="Q201" s="792"/>
      <c r="R201" s="792"/>
      <c r="S201" s="792"/>
      <c r="T201" s="792"/>
      <c r="U201" s="792"/>
      <c r="V201" s="792"/>
      <c r="W201" s="792"/>
      <c r="X201" s="792"/>
      <c r="Y201" s="792"/>
      <c r="Z201" s="792"/>
    </row>
    <row r="202" ht="15.75" customHeight="1">
      <c r="A202" s="901"/>
      <c r="B202" s="902"/>
      <c r="C202" s="901"/>
      <c r="D202" s="901"/>
      <c r="E202" s="901"/>
      <c r="F202" s="903"/>
      <c r="G202" s="901"/>
      <c r="H202" s="792"/>
      <c r="I202" s="792"/>
      <c r="J202" s="792"/>
      <c r="K202" s="792"/>
      <c r="L202" s="792"/>
      <c r="M202" s="792"/>
      <c r="N202" s="792"/>
      <c r="O202" s="792"/>
      <c r="P202" s="792"/>
      <c r="Q202" s="792"/>
      <c r="R202" s="792"/>
      <c r="S202" s="792"/>
      <c r="T202" s="792"/>
      <c r="U202" s="792"/>
      <c r="V202" s="792"/>
      <c r="W202" s="792"/>
      <c r="X202" s="792"/>
      <c r="Y202" s="792"/>
      <c r="Z202" s="792"/>
    </row>
    <row r="203" ht="15.75" customHeight="1">
      <c r="A203" s="901"/>
      <c r="B203" s="902"/>
      <c r="C203" s="901"/>
      <c r="D203" s="901"/>
      <c r="E203" s="901"/>
      <c r="F203" s="903"/>
      <c r="G203" s="901"/>
      <c r="H203" s="792"/>
      <c r="I203" s="792"/>
      <c r="J203" s="792"/>
      <c r="K203" s="792"/>
      <c r="L203" s="792"/>
      <c r="M203" s="792"/>
      <c r="N203" s="792"/>
      <c r="O203" s="792"/>
      <c r="P203" s="792"/>
      <c r="Q203" s="792"/>
      <c r="R203" s="792"/>
      <c r="S203" s="792"/>
      <c r="T203" s="792"/>
      <c r="U203" s="792"/>
      <c r="V203" s="792"/>
      <c r="W203" s="792"/>
      <c r="X203" s="792"/>
      <c r="Y203" s="792"/>
      <c r="Z203" s="792"/>
    </row>
    <row r="204" ht="15.75" customHeight="1">
      <c r="A204" s="901"/>
      <c r="B204" s="902"/>
      <c r="C204" s="901"/>
      <c r="D204" s="901"/>
      <c r="E204" s="901"/>
      <c r="F204" s="903"/>
      <c r="G204" s="901"/>
      <c r="H204" s="792"/>
      <c r="I204" s="792"/>
      <c r="J204" s="792"/>
      <c r="K204" s="792"/>
      <c r="L204" s="792"/>
      <c r="M204" s="792"/>
      <c r="N204" s="792"/>
      <c r="O204" s="792"/>
      <c r="P204" s="792"/>
      <c r="Q204" s="792"/>
      <c r="R204" s="792"/>
      <c r="S204" s="792"/>
      <c r="T204" s="792"/>
      <c r="U204" s="792"/>
      <c r="V204" s="792"/>
      <c r="W204" s="792"/>
      <c r="X204" s="792"/>
      <c r="Y204" s="792"/>
      <c r="Z204" s="792"/>
    </row>
    <row r="205" ht="15.75" customHeight="1">
      <c r="A205" s="901"/>
      <c r="B205" s="902"/>
      <c r="C205" s="901"/>
      <c r="D205" s="901"/>
      <c r="E205" s="901"/>
      <c r="F205" s="903"/>
      <c r="G205" s="901"/>
      <c r="H205" s="792"/>
      <c r="I205" s="792"/>
      <c r="J205" s="792"/>
      <c r="K205" s="792"/>
      <c r="L205" s="792"/>
      <c r="M205" s="792"/>
      <c r="N205" s="792"/>
      <c r="O205" s="792"/>
      <c r="P205" s="792"/>
      <c r="Q205" s="792"/>
      <c r="R205" s="792"/>
      <c r="S205" s="792"/>
      <c r="T205" s="792"/>
      <c r="U205" s="792"/>
      <c r="V205" s="792"/>
      <c r="W205" s="792"/>
      <c r="X205" s="792"/>
      <c r="Y205" s="792"/>
      <c r="Z205" s="792"/>
    </row>
    <row r="206" ht="15.75" customHeight="1">
      <c r="A206" s="901"/>
      <c r="B206" s="902"/>
      <c r="C206" s="901"/>
      <c r="D206" s="901"/>
      <c r="E206" s="901"/>
      <c r="F206" s="903"/>
      <c r="G206" s="901"/>
      <c r="H206" s="792"/>
      <c r="I206" s="792"/>
      <c r="J206" s="792"/>
      <c r="K206" s="792"/>
      <c r="L206" s="792"/>
      <c r="M206" s="792"/>
      <c r="N206" s="792"/>
      <c r="O206" s="792"/>
      <c r="P206" s="792"/>
      <c r="Q206" s="792"/>
      <c r="R206" s="792"/>
      <c r="S206" s="792"/>
      <c r="T206" s="792"/>
      <c r="U206" s="792"/>
      <c r="V206" s="792"/>
      <c r="W206" s="792"/>
      <c r="X206" s="792"/>
      <c r="Y206" s="792"/>
      <c r="Z206" s="792"/>
    </row>
    <row r="207" ht="15.75" customHeight="1">
      <c r="A207" s="901"/>
      <c r="B207" s="902"/>
      <c r="C207" s="901"/>
      <c r="D207" s="901"/>
      <c r="E207" s="901"/>
      <c r="F207" s="903"/>
      <c r="G207" s="901"/>
      <c r="H207" s="792"/>
      <c r="I207" s="792"/>
      <c r="J207" s="792"/>
      <c r="K207" s="792"/>
      <c r="L207" s="792"/>
      <c r="M207" s="792"/>
      <c r="N207" s="792"/>
      <c r="O207" s="792"/>
      <c r="P207" s="792"/>
      <c r="Q207" s="792"/>
      <c r="R207" s="792"/>
      <c r="S207" s="792"/>
      <c r="T207" s="792"/>
      <c r="U207" s="792"/>
      <c r="V207" s="792"/>
      <c r="W207" s="792"/>
      <c r="X207" s="792"/>
      <c r="Y207" s="792"/>
      <c r="Z207" s="792"/>
    </row>
    <row r="208" ht="15.75" customHeight="1">
      <c r="A208" s="901"/>
      <c r="B208" s="902"/>
      <c r="C208" s="901"/>
      <c r="D208" s="901"/>
      <c r="E208" s="901"/>
      <c r="F208" s="903"/>
      <c r="G208" s="901"/>
      <c r="H208" s="792"/>
      <c r="I208" s="792"/>
      <c r="J208" s="792"/>
      <c r="K208" s="792"/>
      <c r="L208" s="792"/>
      <c r="M208" s="792"/>
      <c r="N208" s="792"/>
      <c r="O208" s="792"/>
      <c r="P208" s="792"/>
      <c r="Q208" s="792"/>
      <c r="R208" s="792"/>
      <c r="S208" s="792"/>
      <c r="T208" s="792"/>
      <c r="U208" s="792"/>
      <c r="V208" s="792"/>
      <c r="W208" s="792"/>
      <c r="X208" s="792"/>
      <c r="Y208" s="792"/>
      <c r="Z208" s="792"/>
    </row>
    <row r="209" ht="15.75" customHeight="1">
      <c r="A209" s="901"/>
      <c r="B209" s="902"/>
      <c r="C209" s="901"/>
      <c r="D209" s="901"/>
      <c r="E209" s="901"/>
      <c r="F209" s="903"/>
      <c r="G209" s="901"/>
      <c r="H209" s="792"/>
      <c r="I209" s="792"/>
      <c r="J209" s="792"/>
      <c r="K209" s="792"/>
      <c r="L209" s="792"/>
      <c r="M209" s="792"/>
      <c r="N209" s="792"/>
      <c r="O209" s="792"/>
      <c r="P209" s="792"/>
      <c r="Q209" s="792"/>
      <c r="R209" s="792"/>
      <c r="S209" s="792"/>
      <c r="T209" s="792"/>
      <c r="U209" s="792"/>
      <c r="V209" s="792"/>
      <c r="W209" s="792"/>
      <c r="X209" s="792"/>
      <c r="Y209" s="792"/>
      <c r="Z209" s="792"/>
    </row>
    <row r="210" ht="15.75" customHeight="1">
      <c r="A210" s="901"/>
      <c r="B210" s="902"/>
      <c r="C210" s="901"/>
      <c r="D210" s="901"/>
      <c r="E210" s="901"/>
      <c r="F210" s="903"/>
      <c r="G210" s="901"/>
      <c r="H210" s="792"/>
      <c r="I210" s="792"/>
      <c r="J210" s="792"/>
      <c r="K210" s="792"/>
      <c r="L210" s="792"/>
      <c r="M210" s="792"/>
      <c r="N210" s="792"/>
      <c r="O210" s="792"/>
      <c r="P210" s="792"/>
      <c r="Q210" s="792"/>
      <c r="R210" s="792"/>
      <c r="S210" s="792"/>
      <c r="T210" s="792"/>
      <c r="U210" s="792"/>
      <c r="V210" s="792"/>
      <c r="W210" s="792"/>
      <c r="X210" s="792"/>
      <c r="Y210" s="792"/>
      <c r="Z210" s="792"/>
    </row>
    <row r="211" ht="15.75" customHeight="1">
      <c r="A211" s="901"/>
      <c r="B211" s="902"/>
      <c r="C211" s="901"/>
      <c r="D211" s="901"/>
      <c r="E211" s="901"/>
      <c r="F211" s="903"/>
      <c r="G211" s="901"/>
      <c r="H211" s="792"/>
      <c r="I211" s="792"/>
      <c r="J211" s="792"/>
      <c r="K211" s="792"/>
      <c r="L211" s="792"/>
      <c r="M211" s="792"/>
      <c r="N211" s="792"/>
      <c r="O211" s="792"/>
      <c r="P211" s="792"/>
      <c r="Q211" s="792"/>
      <c r="R211" s="792"/>
      <c r="S211" s="792"/>
      <c r="T211" s="792"/>
      <c r="U211" s="792"/>
      <c r="V211" s="792"/>
      <c r="W211" s="792"/>
      <c r="X211" s="792"/>
      <c r="Y211" s="792"/>
      <c r="Z211" s="792"/>
    </row>
    <row r="212" ht="15.75" customHeight="1">
      <c r="A212" s="901"/>
      <c r="B212" s="902"/>
      <c r="C212" s="901"/>
      <c r="D212" s="901"/>
      <c r="E212" s="901"/>
      <c r="F212" s="903"/>
      <c r="G212" s="901"/>
      <c r="H212" s="792"/>
      <c r="I212" s="792"/>
      <c r="J212" s="792"/>
      <c r="K212" s="792"/>
      <c r="L212" s="792"/>
      <c r="M212" s="792"/>
      <c r="N212" s="792"/>
      <c r="O212" s="792"/>
      <c r="P212" s="792"/>
      <c r="Q212" s="792"/>
      <c r="R212" s="792"/>
      <c r="S212" s="792"/>
      <c r="T212" s="792"/>
      <c r="U212" s="792"/>
      <c r="V212" s="792"/>
      <c r="W212" s="792"/>
      <c r="X212" s="792"/>
      <c r="Y212" s="792"/>
      <c r="Z212" s="792"/>
    </row>
    <row r="213" ht="15.75" customHeight="1">
      <c r="A213" s="901"/>
      <c r="B213" s="902"/>
      <c r="C213" s="901"/>
      <c r="D213" s="901"/>
      <c r="E213" s="901"/>
      <c r="F213" s="903"/>
      <c r="G213" s="901"/>
      <c r="H213" s="792"/>
      <c r="I213" s="792"/>
      <c r="J213" s="792"/>
      <c r="K213" s="792"/>
      <c r="L213" s="792"/>
      <c r="M213" s="792"/>
      <c r="N213" s="792"/>
      <c r="O213" s="792"/>
      <c r="P213" s="792"/>
      <c r="Q213" s="792"/>
      <c r="R213" s="792"/>
      <c r="S213" s="792"/>
      <c r="T213" s="792"/>
      <c r="U213" s="792"/>
      <c r="V213" s="792"/>
      <c r="W213" s="792"/>
      <c r="X213" s="792"/>
      <c r="Y213" s="792"/>
      <c r="Z213" s="792"/>
    </row>
    <row r="214" ht="15.75" customHeight="1">
      <c r="A214" s="901"/>
      <c r="B214" s="902"/>
      <c r="C214" s="901"/>
      <c r="D214" s="901"/>
      <c r="E214" s="901"/>
      <c r="F214" s="903"/>
      <c r="G214" s="901"/>
      <c r="H214" s="792"/>
      <c r="I214" s="792"/>
      <c r="J214" s="792"/>
      <c r="K214" s="792"/>
      <c r="L214" s="792"/>
      <c r="M214" s="792"/>
      <c r="N214" s="792"/>
      <c r="O214" s="792"/>
      <c r="P214" s="792"/>
      <c r="Q214" s="792"/>
      <c r="R214" s="792"/>
      <c r="S214" s="792"/>
      <c r="T214" s="792"/>
      <c r="U214" s="792"/>
      <c r="V214" s="792"/>
      <c r="W214" s="792"/>
      <c r="X214" s="792"/>
      <c r="Y214" s="792"/>
      <c r="Z214" s="792"/>
    </row>
    <row r="215" ht="15.75" customHeight="1">
      <c r="A215" s="901"/>
      <c r="B215" s="902"/>
      <c r="C215" s="901"/>
      <c r="D215" s="901"/>
      <c r="E215" s="901"/>
      <c r="F215" s="903"/>
      <c r="G215" s="901"/>
      <c r="H215" s="792"/>
      <c r="I215" s="792"/>
      <c r="J215" s="792"/>
      <c r="K215" s="792"/>
      <c r="L215" s="792"/>
      <c r="M215" s="792"/>
      <c r="N215" s="792"/>
      <c r="O215" s="792"/>
      <c r="P215" s="792"/>
      <c r="Q215" s="792"/>
      <c r="R215" s="792"/>
      <c r="S215" s="792"/>
      <c r="T215" s="792"/>
      <c r="U215" s="792"/>
      <c r="V215" s="792"/>
      <c r="W215" s="792"/>
      <c r="X215" s="792"/>
      <c r="Y215" s="792"/>
      <c r="Z215" s="792"/>
    </row>
    <row r="216" ht="15.75" customHeight="1">
      <c r="A216" s="901"/>
      <c r="B216" s="902"/>
      <c r="C216" s="901"/>
      <c r="D216" s="901"/>
      <c r="E216" s="901"/>
      <c r="F216" s="903"/>
      <c r="G216" s="901"/>
      <c r="H216" s="792"/>
      <c r="I216" s="792"/>
      <c r="J216" s="792"/>
      <c r="K216" s="792"/>
      <c r="L216" s="792"/>
      <c r="M216" s="792"/>
      <c r="N216" s="792"/>
      <c r="O216" s="792"/>
      <c r="P216" s="792"/>
      <c r="Q216" s="792"/>
      <c r="R216" s="792"/>
      <c r="S216" s="792"/>
      <c r="T216" s="792"/>
      <c r="U216" s="792"/>
      <c r="V216" s="792"/>
      <c r="W216" s="792"/>
      <c r="X216" s="792"/>
      <c r="Y216" s="792"/>
      <c r="Z216" s="792"/>
    </row>
    <row r="217" ht="15.75" customHeight="1">
      <c r="A217" s="901"/>
      <c r="B217" s="902"/>
      <c r="C217" s="901"/>
      <c r="D217" s="901"/>
      <c r="E217" s="901"/>
      <c r="F217" s="903"/>
      <c r="G217" s="901"/>
      <c r="H217" s="792"/>
      <c r="I217" s="792"/>
      <c r="J217" s="792"/>
      <c r="K217" s="792"/>
      <c r="L217" s="792"/>
      <c r="M217" s="792"/>
      <c r="N217" s="792"/>
      <c r="O217" s="792"/>
      <c r="P217" s="792"/>
      <c r="Q217" s="792"/>
      <c r="R217" s="792"/>
      <c r="S217" s="792"/>
      <c r="T217" s="792"/>
      <c r="U217" s="792"/>
      <c r="V217" s="792"/>
      <c r="W217" s="792"/>
      <c r="X217" s="792"/>
      <c r="Y217" s="792"/>
      <c r="Z217" s="792"/>
    </row>
    <row r="218" ht="15.75" customHeight="1">
      <c r="A218" s="901"/>
      <c r="B218" s="902"/>
      <c r="C218" s="901"/>
      <c r="D218" s="901"/>
      <c r="E218" s="901"/>
      <c r="F218" s="903"/>
      <c r="G218" s="901"/>
      <c r="H218" s="792"/>
      <c r="I218" s="792"/>
      <c r="J218" s="792"/>
      <c r="K218" s="792"/>
      <c r="L218" s="792"/>
      <c r="M218" s="792"/>
      <c r="N218" s="792"/>
      <c r="O218" s="792"/>
      <c r="P218" s="792"/>
      <c r="Q218" s="792"/>
      <c r="R218" s="792"/>
      <c r="S218" s="792"/>
      <c r="T218" s="792"/>
      <c r="U218" s="792"/>
      <c r="V218" s="792"/>
      <c r="W218" s="792"/>
      <c r="X218" s="792"/>
      <c r="Y218" s="792"/>
      <c r="Z218" s="792"/>
    </row>
    <row r="219" ht="15.75" customHeight="1">
      <c r="A219" s="901"/>
      <c r="B219" s="902"/>
      <c r="C219" s="901"/>
      <c r="D219" s="901"/>
      <c r="E219" s="901"/>
      <c r="F219" s="903"/>
      <c r="G219" s="901"/>
      <c r="H219" s="792"/>
      <c r="I219" s="792"/>
      <c r="J219" s="792"/>
      <c r="K219" s="792"/>
      <c r="L219" s="792"/>
      <c r="M219" s="792"/>
      <c r="N219" s="792"/>
      <c r="O219" s="792"/>
      <c r="P219" s="792"/>
      <c r="Q219" s="792"/>
      <c r="R219" s="792"/>
      <c r="S219" s="792"/>
      <c r="T219" s="792"/>
      <c r="U219" s="792"/>
      <c r="V219" s="792"/>
      <c r="W219" s="792"/>
      <c r="X219" s="792"/>
      <c r="Y219" s="792"/>
      <c r="Z219" s="792"/>
    </row>
    <row r="220" ht="15.75" customHeight="1">
      <c r="A220" s="901"/>
      <c r="B220" s="902"/>
      <c r="C220" s="901"/>
      <c r="D220" s="901"/>
      <c r="E220" s="901"/>
      <c r="F220" s="903"/>
      <c r="G220" s="901"/>
      <c r="H220" s="792"/>
      <c r="I220" s="792"/>
      <c r="J220" s="792"/>
      <c r="K220" s="792"/>
      <c r="L220" s="792"/>
      <c r="M220" s="792"/>
      <c r="N220" s="792"/>
      <c r="O220" s="792"/>
      <c r="P220" s="792"/>
      <c r="Q220" s="792"/>
      <c r="R220" s="792"/>
      <c r="S220" s="792"/>
      <c r="T220" s="792"/>
      <c r="U220" s="792"/>
      <c r="V220" s="792"/>
      <c r="W220" s="792"/>
      <c r="X220" s="792"/>
      <c r="Y220" s="792"/>
      <c r="Z220" s="792"/>
    </row>
    <row r="221" ht="15.75" customHeight="1">
      <c r="A221" s="901"/>
      <c r="B221" s="902"/>
      <c r="C221" s="901"/>
      <c r="D221" s="901"/>
      <c r="E221" s="901"/>
      <c r="F221" s="903"/>
      <c r="G221" s="901"/>
      <c r="H221" s="792"/>
      <c r="I221" s="792"/>
      <c r="J221" s="792"/>
      <c r="K221" s="792"/>
      <c r="L221" s="792"/>
      <c r="M221" s="792"/>
      <c r="N221" s="792"/>
      <c r="O221" s="792"/>
      <c r="P221" s="792"/>
      <c r="Q221" s="792"/>
      <c r="R221" s="792"/>
      <c r="S221" s="792"/>
      <c r="T221" s="792"/>
      <c r="U221" s="792"/>
      <c r="V221" s="792"/>
      <c r="W221" s="792"/>
      <c r="X221" s="792"/>
      <c r="Y221" s="792"/>
      <c r="Z221" s="792"/>
    </row>
    <row r="222" ht="15.75" customHeight="1">
      <c r="A222" s="901"/>
      <c r="B222" s="902"/>
      <c r="C222" s="901"/>
      <c r="D222" s="901"/>
      <c r="E222" s="901"/>
      <c r="F222" s="903"/>
      <c r="G222" s="901"/>
      <c r="H222" s="792"/>
      <c r="I222" s="792"/>
      <c r="J222" s="792"/>
      <c r="K222" s="792"/>
      <c r="L222" s="792"/>
      <c r="M222" s="792"/>
      <c r="N222" s="792"/>
      <c r="O222" s="792"/>
      <c r="P222" s="792"/>
      <c r="Q222" s="792"/>
      <c r="R222" s="792"/>
      <c r="S222" s="792"/>
      <c r="T222" s="792"/>
      <c r="U222" s="792"/>
      <c r="V222" s="792"/>
      <c r="W222" s="792"/>
      <c r="X222" s="792"/>
      <c r="Y222" s="792"/>
      <c r="Z222" s="792"/>
    </row>
    <row r="223" ht="15.75" customHeight="1">
      <c r="A223" s="901"/>
      <c r="B223" s="902"/>
      <c r="C223" s="901"/>
      <c r="D223" s="901"/>
      <c r="E223" s="901"/>
      <c r="F223" s="903"/>
      <c r="G223" s="901"/>
      <c r="H223" s="792"/>
      <c r="I223" s="792"/>
      <c r="J223" s="792"/>
      <c r="K223" s="792"/>
      <c r="L223" s="792"/>
      <c r="M223" s="792"/>
      <c r="N223" s="792"/>
      <c r="O223" s="792"/>
      <c r="P223" s="792"/>
      <c r="Q223" s="792"/>
      <c r="R223" s="792"/>
      <c r="S223" s="792"/>
      <c r="T223" s="792"/>
      <c r="U223" s="792"/>
      <c r="V223" s="792"/>
      <c r="W223" s="792"/>
      <c r="X223" s="792"/>
      <c r="Y223" s="792"/>
      <c r="Z223" s="792"/>
    </row>
    <row r="224" ht="15.75" customHeight="1">
      <c r="A224" s="901"/>
      <c r="B224" s="902"/>
      <c r="C224" s="901"/>
      <c r="D224" s="901"/>
      <c r="E224" s="901"/>
      <c r="F224" s="903"/>
      <c r="G224" s="901"/>
      <c r="H224" s="792"/>
      <c r="I224" s="792"/>
      <c r="J224" s="792"/>
      <c r="K224" s="792"/>
      <c r="L224" s="792"/>
      <c r="M224" s="792"/>
      <c r="N224" s="792"/>
      <c r="O224" s="792"/>
      <c r="P224" s="792"/>
      <c r="Q224" s="792"/>
      <c r="R224" s="792"/>
      <c r="S224" s="792"/>
      <c r="T224" s="792"/>
      <c r="U224" s="792"/>
      <c r="V224" s="792"/>
      <c r="W224" s="792"/>
      <c r="X224" s="792"/>
      <c r="Y224" s="792"/>
      <c r="Z224" s="792"/>
    </row>
    <row r="225" ht="15.75" customHeight="1">
      <c r="A225" s="901"/>
      <c r="B225" s="902"/>
      <c r="C225" s="901"/>
      <c r="D225" s="901"/>
      <c r="E225" s="901"/>
      <c r="F225" s="903"/>
      <c r="G225" s="901"/>
      <c r="H225" s="792"/>
      <c r="I225" s="792"/>
      <c r="J225" s="792"/>
      <c r="K225" s="792"/>
      <c r="L225" s="792"/>
      <c r="M225" s="792"/>
      <c r="N225" s="792"/>
      <c r="O225" s="792"/>
      <c r="P225" s="792"/>
      <c r="Q225" s="792"/>
      <c r="R225" s="792"/>
      <c r="S225" s="792"/>
      <c r="T225" s="792"/>
      <c r="U225" s="792"/>
      <c r="V225" s="792"/>
      <c r="W225" s="792"/>
      <c r="X225" s="792"/>
      <c r="Y225" s="792"/>
      <c r="Z225" s="792"/>
    </row>
    <row r="226" ht="15.75" customHeight="1">
      <c r="A226" s="901"/>
      <c r="B226" s="902"/>
      <c r="C226" s="901"/>
      <c r="D226" s="901"/>
      <c r="E226" s="901"/>
      <c r="F226" s="903"/>
      <c r="G226" s="901"/>
      <c r="H226" s="792"/>
      <c r="I226" s="792"/>
      <c r="J226" s="792"/>
      <c r="K226" s="792"/>
      <c r="L226" s="792"/>
      <c r="M226" s="792"/>
      <c r="N226" s="792"/>
      <c r="O226" s="792"/>
      <c r="P226" s="792"/>
      <c r="Q226" s="792"/>
      <c r="R226" s="792"/>
      <c r="S226" s="792"/>
      <c r="T226" s="792"/>
      <c r="U226" s="792"/>
      <c r="V226" s="792"/>
      <c r="W226" s="792"/>
      <c r="X226" s="792"/>
      <c r="Y226" s="792"/>
      <c r="Z226" s="792"/>
    </row>
    <row r="227" ht="15.75" customHeight="1">
      <c r="A227" s="901"/>
      <c r="B227" s="902"/>
      <c r="C227" s="901"/>
      <c r="D227" s="901"/>
      <c r="E227" s="901"/>
      <c r="F227" s="903"/>
      <c r="G227" s="901"/>
      <c r="H227" s="792"/>
      <c r="I227" s="792"/>
      <c r="J227" s="792"/>
      <c r="K227" s="792"/>
      <c r="L227" s="792"/>
      <c r="M227" s="792"/>
      <c r="N227" s="792"/>
      <c r="O227" s="792"/>
      <c r="P227" s="792"/>
      <c r="Q227" s="792"/>
      <c r="R227" s="792"/>
      <c r="S227" s="792"/>
      <c r="T227" s="792"/>
      <c r="U227" s="792"/>
      <c r="V227" s="792"/>
      <c r="W227" s="792"/>
      <c r="X227" s="792"/>
      <c r="Y227" s="792"/>
      <c r="Z227" s="792"/>
    </row>
    <row r="228" ht="15.75" customHeight="1">
      <c r="A228" s="901"/>
      <c r="B228" s="902"/>
      <c r="C228" s="901"/>
      <c r="D228" s="901"/>
      <c r="E228" s="901"/>
      <c r="F228" s="903"/>
      <c r="G228" s="901"/>
      <c r="H228" s="792"/>
      <c r="I228" s="792"/>
      <c r="J228" s="792"/>
      <c r="K228" s="792"/>
      <c r="L228" s="792"/>
      <c r="M228" s="792"/>
      <c r="N228" s="792"/>
      <c r="O228" s="792"/>
      <c r="P228" s="792"/>
      <c r="Q228" s="792"/>
      <c r="R228" s="792"/>
      <c r="S228" s="792"/>
      <c r="T228" s="792"/>
      <c r="U228" s="792"/>
      <c r="V228" s="792"/>
      <c r="W228" s="792"/>
      <c r="X228" s="792"/>
      <c r="Y228" s="792"/>
      <c r="Z228" s="792"/>
    </row>
    <row r="229" ht="15.75" customHeight="1">
      <c r="A229" s="901"/>
      <c r="B229" s="902"/>
      <c r="C229" s="901"/>
      <c r="D229" s="901"/>
      <c r="E229" s="901"/>
      <c r="F229" s="903"/>
      <c r="G229" s="901"/>
      <c r="H229" s="792"/>
      <c r="I229" s="792"/>
      <c r="J229" s="792"/>
      <c r="K229" s="792"/>
      <c r="L229" s="792"/>
      <c r="M229" s="792"/>
      <c r="N229" s="792"/>
      <c r="O229" s="792"/>
      <c r="P229" s="792"/>
      <c r="Q229" s="792"/>
      <c r="R229" s="792"/>
      <c r="S229" s="792"/>
      <c r="T229" s="792"/>
      <c r="U229" s="792"/>
      <c r="V229" s="792"/>
      <c r="W229" s="792"/>
      <c r="X229" s="792"/>
      <c r="Y229" s="792"/>
      <c r="Z229" s="792"/>
    </row>
    <row r="230" ht="15.75" customHeight="1">
      <c r="A230" s="901"/>
      <c r="B230" s="902"/>
      <c r="C230" s="901"/>
      <c r="D230" s="901"/>
      <c r="E230" s="901"/>
      <c r="F230" s="903"/>
      <c r="G230" s="901"/>
      <c r="H230" s="792"/>
      <c r="I230" s="792"/>
      <c r="J230" s="792"/>
      <c r="K230" s="792"/>
      <c r="L230" s="792"/>
      <c r="M230" s="792"/>
      <c r="N230" s="792"/>
      <c r="O230" s="792"/>
      <c r="P230" s="792"/>
      <c r="Q230" s="792"/>
      <c r="R230" s="792"/>
      <c r="S230" s="792"/>
      <c r="T230" s="792"/>
      <c r="U230" s="792"/>
      <c r="V230" s="792"/>
      <c r="W230" s="792"/>
      <c r="X230" s="792"/>
      <c r="Y230" s="792"/>
      <c r="Z230" s="792"/>
    </row>
    <row r="231" ht="15.75" customHeight="1">
      <c r="A231" s="901"/>
      <c r="B231" s="902"/>
      <c r="C231" s="901"/>
      <c r="D231" s="901"/>
      <c r="E231" s="901"/>
      <c r="F231" s="903"/>
      <c r="G231" s="901"/>
      <c r="H231" s="792"/>
      <c r="I231" s="792"/>
      <c r="J231" s="792"/>
      <c r="K231" s="792"/>
      <c r="L231" s="792"/>
      <c r="M231" s="792"/>
      <c r="N231" s="792"/>
      <c r="O231" s="792"/>
      <c r="P231" s="792"/>
      <c r="Q231" s="792"/>
      <c r="R231" s="792"/>
      <c r="S231" s="792"/>
      <c r="T231" s="792"/>
      <c r="U231" s="792"/>
      <c r="V231" s="792"/>
      <c r="W231" s="792"/>
      <c r="X231" s="792"/>
      <c r="Y231" s="792"/>
      <c r="Z231" s="792"/>
    </row>
    <row r="232" ht="15.75" customHeight="1">
      <c r="A232" s="901"/>
      <c r="B232" s="902"/>
      <c r="C232" s="901"/>
      <c r="D232" s="901"/>
      <c r="E232" s="901"/>
      <c r="F232" s="903"/>
      <c r="G232" s="901"/>
      <c r="H232" s="792"/>
      <c r="I232" s="792"/>
      <c r="J232" s="792"/>
      <c r="K232" s="792"/>
      <c r="L232" s="792"/>
      <c r="M232" s="792"/>
      <c r="N232" s="792"/>
      <c r="O232" s="792"/>
      <c r="P232" s="792"/>
      <c r="Q232" s="792"/>
      <c r="R232" s="792"/>
      <c r="S232" s="792"/>
      <c r="T232" s="792"/>
      <c r="U232" s="792"/>
      <c r="V232" s="792"/>
      <c r="W232" s="792"/>
      <c r="X232" s="792"/>
      <c r="Y232" s="792"/>
      <c r="Z232" s="792"/>
    </row>
    <row r="233" ht="15.75" customHeight="1">
      <c r="A233" s="901"/>
      <c r="B233" s="902"/>
      <c r="C233" s="901"/>
      <c r="D233" s="901"/>
      <c r="E233" s="901"/>
      <c r="F233" s="903"/>
      <c r="G233" s="901"/>
      <c r="H233" s="792"/>
      <c r="I233" s="792"/>
      <c r="J233" s="792"/>
      <c r="K233" s="792"/>
      <c r="L233" s="792"/>
      <c r="M233" s="792"/>
      <c r="N233" s="792"/>
      <c r="O233" s="792"/>
      <c r="P233" s="792"/>
      <c r="Q233" s="792"/>
      <c r="R233" s="792"/>
      <c r="S233" s="792"/>
      <c r="T233" s="792"/>
      <c r="U233" s="792"/>
      <c r="V233" s="792"/>
      <c r="W233" s="792"/>
      <c r="X233" s="792"/>
      <c r="Y233" s="792"/>
      <c r="Z233" s="792"/>
    </row>
    <row r="234" ht="15.75" customHeight="1">
      <c r="A234" s="901"/>
      <c r="B234" s="902"/>
      <c r="C234" s="901"/>
      <c r="D234" s="901"/>
      <c r="E234" s="901"/>
      <c r="F234" s="903"/>
      <c r="G234" s="901"/>
      <c r="H234" s="792"/>
      <c r="I234" s="792"/>
      <c r="J234" s="792"/>
      <c r="K234" s="792"/>
      <c r="L234" s="792"/>
      <c r="M234" s="792"/>
      <c r="N234" s="792"/>
      <c r="O234" s="792"/>
      <c r="P234" s="792"/>
      <c r="Q234" s="792"/>
      <c r="R234" s="792"/>
      <c r="S234" s="792"/>
      <c r="T234" s="792"/>
      <c r="U234" s="792"/>
      <c r="V234" s="792"/>
      <c r="W234" s="792"/>
      <c r="X234" s="792"/>
      <c r="Y234" s="792"/>
      <c r="Z234" s="792"/>
    </row>
    <row r="235" ht="15.75" customHeight="1">
      <c r="A235" s="901"/>
      <c r="B235" s="902"/>
      <c r="C235" s="901"/>
      <c r="D235" s="901"/>
      <c r="E235" s="901"/>
      <c r="F235" s="903"/>
      <c r="G235" s="901"/>
      <c r="H235" s="792"/>
      <c r="I235" s="792"/>
      <c r="J235" s="792"/>
      <c r="K235" s="792"/>
      <c r="L235" s="792"/>
      <c r="M235" s="792"/>
      <c r="N235" s="792"/>
      <c r="O235" s="792"/>
      <c r="P235" s="792"/>
      <c r="Q235" s="792"/>
      <c r="R235" s="792"/>
      <c r="S235" s="792"/>
      <c r="T235" s="792"/>
      <c r="U235" s="792"/>
      <c r="V235" s="792"/>
      <c r="W235" s="792"/>
      <c r="X235" s="792"/>
      <c r="Y235" s="792"/>
      <c r="Z235" s="792"/>
    </row>
    <row r="236" ht="15.75" customHeight="1">
      <c r="A236" s="901"/>
      <c r="B236" s="902"/>
      <c r="C236" s="901"/>
      <c r="D236" s="901"/>
      <c r="E236" s="901"/>
      <c r="F236" s="903"/>
      <c r="G236" s="901"/>
      <c r="H236" s="792"/>
      <c r="I236" s="792"/>
      <c r="J236" s="792"/>
      <c r="K236" s="792"/>
      <c r="L236" s="792"/>
      <c r="M236" s="792"/>
      <c r="N236" s="792"/>
      <c r="O236" s="792"/>
      <c r="P236" s="792"/>
      <c r="Q236" s="792"/>
      <c r="R236" s="792"/>
      <c r="S236" s="792"/>
      <c r="T236" s="792"/>
      <c r="U236" s="792"/>
      <c r="V236" s="792"/>
      <c r="W236" s="792"/>
      <c r="X236" s="792"/>
      <c r="Y236" s="792"/>
      <c r="Z236" s="792"/>
    </row>
    <row r="237" ht="15.75" customHeight="1">
      <c r="A237" s="901"/>
      <c r="B237" s="902"/>
      <c r="C237" s="901"/>
      <c r="D237" s="901"/>
      <c r="E237" s="901"/>
      <c r="F237" s="903"/>
      <c r="G237" s="901"/>
      <c r="H237" s="792"/>
      <c r="I237" s="792"/>
      <c r="J237" s="792"/>
      <c r="K237" s="792"/>
      <c r="L237" s="792"/>
      <c r="M237" s="792"/>
      <c r="N237" s="792"/>
      <c r="O237" s="792"/>
      <c r="P237" s="792"/>
      <c r="Q237" s="792"/>
      <c r="R237" s="792"/>
      <c r="S237" s="792"/>
      <c r="T237" s="792"/>
      <c r="U237" s="792"/>
      <c r="V237" s="792"/>
      <c r="W237" s="792"/>
      <c r="X237" s="792"/>
      <c r="Y237" s="792"/>
      <c r="Z237" s="792"/>
    </row>
    <row r="238" ht="15.75" customHeight="1">
      <c r="A238" s="901"/>
      <c r="B238" s="902"/>
      <c r="C238" s="901"/>
      <c r="D238" s="901"/>
      <c r="E238" s="901"/>
      <c r="F238" s="903"/>
      <c r="G238" s="901"/>
      <c r="H238" s="792"/>
      <c r="I238" s="792"/>
      <c r="J238" s="792"/>
      <c r="K238" s="792"/>
      <c r="L238" s="792"/>
      <c r="M238" s="792"/>
      <c r="N238" s="792"/>
      <c r="O238" s="792"/>
      <c r="P238" s="792"/>
      <c r="Q238" s="792"/>
      <c r="R238" s="792"/>
      <c r="S238" s="792"/>
      <c r="T238" s="792"/>
      <c r="U238" s="792"/>
      <c r="V238" s="792"/>
      <c r="W238" s="792"/>
      <c r="X238" s="792"/>
      <c r="Y238" s="792"/>
      <c r="Z238" s="792"/>
    </row>
    <row r="239" ht="15.75" customHeight="1">
      <c r="A239" s="901"/>
      <c r="B239" s="902"/>
      <c r="C239" s="901"/>
      <c r="D239" s="901"/>
      <c r="E239" s="901"/>
      <c r="F239" s="903"/>
      <c r="G239" s="901"/>
      <c r="H239" s="792"/>
      <c r="I239" s="792"/>
      <c r="J239" s="792"/>
      <c r="K239" s="792"/>
      <c r="L239" s="792"/>
      <c r="M239" s="792"/>
      <c r="N239" s="792"/>
      <c r="O239" s="792"/>
      <c r="P239" s="792"/>
      <c r="Q239" s="792"/>
      <c r="R239" s="792"/>
      <c r="S239" s="792"/>
      <c r="T239" s="792"/>
      <c r="U239" s="792"/>
      <c r="V239" s="792"/>
      <c r="W239" s="792"/>
      <c r="X239" s="792"/>
      <c r="Y239" s="792"/>
      <c r="Z239" s="792"/>
    </row>
    <row r="240" ht="15.75" customHeight="1">
      <c r="A240" s="901"/>
      <c r="B240" s="902"/>
      <c r="C240" s="901"/>
      <c r="D240" s="901"/>
      <c r="E240" s="901"/>
      <c r="F240" s="903"/>
      <c r="G240" s="901"/>
      <c r="H240" s="792"/>
      <c r="I240" s="792"/>
      <c r="J240" s="792"/>
      <c r="K240" s="792"/>
      <c r="L240" s="792"/>
      <c r="M240" s="792"/>
      <c r="N240" s="792"/>
      <c r="O240" s="792"/>
      <c r="P240" s="792"/>
      <c r="Q240" s="792"/>
      <c r="R240" s="792"/>
      <c r="S240" s="792"/>
      <c r="T240" s="792"/>
      <c r="U240" s="792"/>
      <c r="V240" s="792"/>
      <c r="W240" s="792"/>
      <c r="X240" s="792"/>
      <c r="Y240" s="792"/>
      <c r="Z240" s="792"/>
    </row>
    <row r="241" ht="15.75" customHeight="1">
      <c r="A241" s="901"/>
      <c r="B241" s="902"/>
      <c r="C241" s="901"/>
      <c r="D241" s="901"/>
      <c r="E241" s="901"/>
      <c r="F241" s="903"/>
      <c r="G241" s="901"/>
      <c r="H241" s="792"/>
      <c r="I241" s="792"/>
      <c r="J241" s="792"/>
      <c r="K241" s="792"/>
      <c r="L241" s="792"/>
      <c r="M241" s="792"/>
      <c r="N241" s="792"/>
      <c r="O241" s="792"/>
      <c r="P241" s="792"/>
      <c r="Q241" s="792"/>
      <c r="R241" s="792"/>
      <c r="S241" s="792"/>
      <c r="T241" s="792"/>
      <c r="U241" s="792"/>
      <c r="V241" s="792"/>
      <c r="W241" s="792"/>
      <c r="X241" s="792"/>
      <c r="Y241" s="792"/>
      <c r="Z241" s="792"/>
    </row>
    <row r="242" ht="15.75" customHeight="1">
      <c r="A242" s="901"/>
      <c r="B242" s="902"/>
      <c r="C242" s="901"/>
      <c r="D242" s="901"/>
      <c r="E242" s="901"/>
      <c r="F242" s="903"/>
      <c r="G242" s="901"/>
      <c r="H242" s="792"/>
      <c r="I242" s="792"/>
      <c r="J242" s="792"/>
      <c r="K242" s="792"/>
      <c r="L242" s="792"/>
      <c r="M242" s="792"/>
      <c r="N242" s="792"/>
      <c r="O242" s="792"/>
      <c r="P242" s="792"/>
      <c r="Q242" s="792"/>
      <c r="R242" s="792"/>
      <c r="S242" s="792"/>
      <c r="T242" s="792"/>
      <c r="U242" s="792"/>
      <c r="V242" s="792"/>
      <c r="W242" s="792"/>
      <c r="X242" s="792"/>
      <c r="Y242" s="792"/>
      <c r="Z242" s="792"/>
    </row>
    <row r="243" ht="15.75" customHeight="1">
      <c r="A243" s="901"/>
      <c r="B243" s="902"/>
      <c r="C243" s="901"/>
      <c r="D243" s="901"/>
      <c r="E243" s="901"/>
      <c r="F243" s="903"/>
      <c r="G243" s="901"/>
      <c r="H243" s="792"/>
      <c r="I243" s="792"/>
      <c r="J243" s="792"/>
      <c r="K243" s="792"/>
      <c r="L243" s="792"/>
      <c r="M243" s="792"/>
      <c r="N243" s="792"/>
      <c r="O243" s="792"/>
      <c r="P243" s="792"/>
      <c r="Q243" s="792"/>
      <c r="R243" s="792"/>
      <c r="S243" s="792"/>
      <c r="T243" s="792"/>
      <c r="U243" s="792"/>
      <c r="V243" s="792"/>
      <c r="W243" s="792"/>
      <c r="X243" s="792"/>
      <c r="Y243" s="792"/>
      <c r="Z243" s="792"/>
    </row>
    <row r="244" ht="15.75" customHeight="1">
      <c r="A244" s="901"/>
      <c r="B244" s="902"/>
      <c r="C244" s="901"/>
      <c r="D244" s="901"/>
      <c r="E244" s="901"/>
      <c r="F244" s="903"/>
      <c r="G244" s="901"/>
      <c r="H244" s="792"/>
      <c r="I244" s="792"/>
      <c r="J244" s="792"/>
      <c r="K244" s="792"/>
      <c r="L244" s="792"/>
      <c r="M244" s="792"/>
      <c r="N244" s="792"/>
      <c r="O244" s="792"/>
      <c r="P244" s="792"/>
      <c r="Q244" s="792"/>
      <c r="R244" s="792"/>
      <c r="S244" s="792"/>
      <c r="T244" s="792"/>
      <c r="U244" s="792"/>
      <c r="V244" s="792"/>
      <c r="W244" s="792"/>
      <c r="X244" s="792"/>
      <c r="Y244" s="792"/>
      <c r="Z244" s="792"/>
    </row>
    <row r="245" ht="15.75" customHeight="1">
      <c r="A245" s="901"/>
      <c r="B245" s="902"/>
      <c r="C245" s="901"/>
      <c r="D245" s="901"/>
      <c r="E245" s="901"/>
      <c r="F245" s="903"/>
      <c r="G245" s="901"/>
      <c r="H245" s="792"/>
      <c r="I245" s="792"/>
      <c r="J245" s="792"/>
      <c r="K245" s="792"/>
      <c r="L245" s="792"/>
      <c r="M245" s="792"/>
      <c r="N245" s="792"/>
      <c r="O245" s="792"/>
      <c r="P245" s="792"/>
      <c r="Q245" s="792"/>
      <c r="R245" s="792"/>
      <c r="S245" s="792"/>
      <c r="T245" s="792"/>
      <c r="U245" s="792"/>
      <c r="V245" s="792"/>
      <c r="W245" s="792"/>
      <c r="X245" s="792"/>
      <c r="Y245" s="792"/>
      <c r="Z245" s="792"/>
    </row>
    <row r="246" ht="15.75" customHeight="1">
      <c r="A246" s="901"/>
      <c r="B246" s="902"/>
      <c r="C246" s="901"/>
      <c r="D246" s="901"/>
      <c r="E246" s="901"/>
      <c r="F246" s="903"/>
      <c r="G246" s="901"/>
      <c r="H246" s="792"/>
      <c r="I246" s="792"/>
      <c r="J246" s="792"/>
      <c r="K246" s="792"/>
      <c r="L246" s="792"/>
      <c r="M246" s="792"/>
      <c r="N246" s="792"/>
      <c r="O246" s="792"/>
      <c r="P246" s="792"/>
      <c r="Q246" s="792"/>
      <c r="R246" s="792"/>
      <c r="S246" s="792"/>
      <c r="T246" s="792"/>
      <c r="U246" s="792"/>
      <c r="V246" s="792"/>
      <c r="W246" s="792"/>
      <c r="X246" s="792"/>
      <c r="Y246" s="792"/>
      <c r="Z246" s="792"/>
    </row>
    <row r="247" ht="15.75" customHeight="1">
      <c r="A247" s="901"/>
      <c r="B247" s="902"/>
      <c r="C247" s="901"/>
      <c r="D247" s="901"/>
      <c r="E247" s="901"/>
      <c r="F247" s="903"/>
      <c r="G247" s="901"/>
      <c r="H247" s="792"/>
      <c r="I247" s="792"/>
      <c r="J247" s="792"/>
      <c r="K247" s="792"/>
      <c r="L247" s="792"/>
      <c r="M247" s="792"/>
      <c r="N247" s="792"/>
      <c r="O247" s="792"/>
      <c r="P247" s="792"/>
      <c r="Q247" s="792"/>
      <c r="R247" s="792"/>
      <c r="S247" s="792"/>
      <c r="T247" s="792"/>
      <c r="U247" s="792"/>
      <c r="V247" s="792"/>
      <c r="W247" s="792"/>
      <c r="X247" s="792"/>
      <c r="Y247" s="792"/>
      <c r="Z247" s="792"/>
    </row>
    <row r="248" ht="15.75" customHeight="1">
      <c r="A248" s="901"/>
      <c r="B248" s="902"/>
      <c r="C248" s="901"/>
      <c r="D248" s="901"/>
      <c r="E248" s="901"/>
      <c r="F248" s="903"/>
      <c r="G248" s="901"/>
      <c r="H248" s="792"/>
      <c r="I248" s="792"/>
      <c r="J248" s="792"/>
      <c r="K248" s="792"/>
      <c r="L248" s="792"/>
      <c r="M248" s="792"/>
      <c r="N248" s="792"/>
      <c r="O248" s="792"/>
      <c r="P248" s="792"/>
      <c r="Q248" s="792"/>
      <c r="R248" s="792"/>
      <c r="S248" s="792"/>
      <c r="T248" s="792"/>
      <c r="U248" s="792"/>
      <c r="V248" s="792"/>
      <c r="W248" s="792"/>
      <c r="X248" s="792"/>
      <c r="Y248" s="792"/>
      <c r="Z248" s="792"/>
    </row>
    <row r="249" ht="15.75" customHeight="1">
      <c r="A249" s="901"/>
      <c r="B249" s="902"/>
      <c r="C249" s="901"/>
      <c r="D249" s="901"/>
      <c r="E249" s="901"/>
      <c r="F249" s="903"/>
      <c r="G249" s="901"/>
      <c r="H249" s="792"/>
      <c r="I249" s="792"/>
      <c r="J249" s="792"/>
      <c r="K249" s="792"/>
      <c r="L249" s="792"/>
      <c r="M249" s="792"/>
      <c r="N249" s="792"/>
      <c r="O249" s="792"/>
      <c r="P249" s="792"/>
      <c r="Q249" s="792"/>
      <c r="R249" s="792"/>
      <c r="S249" s="792"/>
      <c r="T249" s="792"/>
      <c r="U249" s="792"/>
      <c r="V249" s="792"/>
      <c r="W249" s="792"/>
      <c r="X249" s="792"/>
      <c r="Y249" s="792"/>
      <c r="Z249" s="792"/>
    </row>
    <row r="250" ht="15.75" customHeight="1">
      <c r="A250" s="901"/>
      <c r="B250" s="902"/>
      <c r="C250" s="901"/>
      <c r="D250" s="901"/>
      <c r="E250" s="901"/>
      <c r="F250" s="903"/>
      <c r="G250" s="901"/>
      <c r="H250" s="792"/>
      <c r="I250" s="792"/>
      <c r="J250" s="792"/>
      <c r="K250" s="792"/>
      <c r="L250" s="792"/>
      <c r="M250" s="792"/>
      <c r="N250" s="792"/>
      <c r="O250" s="792"/>
      <c r="P250" s="792"/>
      <c r="Q250" s="792"/>
      <c r="R250" s="792"/>
      <c r="S250" s="792"/>
      <c r="T250" s="792"/>
      <c r="U250" s="792"/>
      <c r="V250" s="792"/>
      <c r="W250" s="792"/>
      <c r="X250" s="792"/>
      <c r="Y250" s="792"/>
      <c r="Z250" s="792"/>
    </row>
    <row r="251" ht="15.75" customHeight="1">
      <c r="A251" s="901"/>
      <c r="B251" s="902"/>
      <c r="C251" s="901"/>
      <c r="D251" s="901"/>
      <c r="E251" s="901"/>
      <c r="F251" s="903"/>
      <c r="G251" s="901"/>
      <c r="H251" s="792"/>
      <c r="I251" s="792"/>
      <c r="J251" s="792"/>
      <c r="K251" s="792"/>
      <c r="L251" s="792"/>
      <c r="M251" s="792"/>
      <c r="N251" s="792"/>
      <c r="O251" s="792"/>
      <c r="P251" s="792"/>
      <c r="Q251" s="792"/>
      <c r="R251" s="792"/>
      <c r="S251" s="792"/>
      <c r="T251" s="792"/>
      <c r="U251" s="792"/>
      <c r="V251" s="792"/>
      <c r="W251" s="792"/>
      <c r="X251" s="792"/>
      <c r="Y251" s="792"/>
      <c r="Z251" s="792"/>
    </row>
    <row r="252" ht="15.75" customHeight="1">
      <c r="A252" s="901"/>
      <c r="B252" s="902"/>
      <c r="C252" s="901"/>
      <c r="D252" s="901"/>
      <c r="E252" s="901"/>
      <c r="F252" s="903"/>
      <c r="G252" s="901"/>
      <c r="H252" s="792"/>
      <c r="I252" s="792"/>
      <c r="J252" s="792"/>
      <c r="K252" s="792"/>
      <c r="L252" s="792"/>
      <c r="M252" s="792"/>
      <c r="N252" s="792"/>
      <c r="O252" s="792"/>
      <c r="P252" s="792"/>
      <c r="Q252" s="792"/>
      <c r="R252" s="792"/>
      <c r="S252" s="792"/>
      <c r="T252" s="792"/>
      <c r="U252" s="792"/>
      <c r="V252" s="792"/>
      <c r="W252" s="792"/>
      <c r="X252" s="792"/>
      <c r="Y252" s="792"/>
      <c r="Z252" s="792"/>
    </row>
    <row r="253" ht="15.75" customHeight="1">
      <c r="A253" s="901"/>
      <c r="B253" s="902"/>
      <c r="C253" s="901"/>
      <c r="D253" s="901"/>
      <c r="E253" s="901"/>
      <c r="F253" s="903"/>
      <c r="G253" s="901"/>
      <c r="H253" s="792"/>
      <c r="I253" s="792"/>
      <c r="J253" s="792"/>
      <c r="K253" s="792"/>
      <c r="L253" s="792"/>
      <c r="M253" s="792"/>
      <c r="N253" s="792"/>
      <c r="O253" s="792"/>
      <c r="P253" s="792"/>
      <c r="Q253" s="792"/>
      <c r="R253" s="792"/>
      <c r="S253" s="792"/>
      <c r="T253" s="792"/>
      <c r="U253" s="792"/>
      <c r="V253" s="792"/>
      <c r="W253" s="792"/>
      <c r="X253" s="792"/>
      <c r="Y253" s="792"/>
      <c r="Z253" s="792"/>
    </row>
    <row r="254" ht="15.75" customHeight="1">
      <c r="A254" s="901"/>
      <c r="B254" s="902"/>
      <c r="C254" s="901"/>
      <c r="D254" s="901"/>
      <c r="E254" s="901"/>
      <c r="F254" s="903"/>
      <c r="G254" s="901"/>
      <c r="H254" s="792"/>
      <c r="I254" s="792"/>
      <c r="J254" s="792"/>
      <c r="K254" s="792"/>
      <c r="L254" s="792"/>
      <c r="M254" s="792"/>
      <c r="N254" s="792"/>
      <c r="O254" s="792"/>
      <c r="P254" s="792"/>
      <c r="Q254" s="792"/>
      <c r="R254" s="792"/>
      <c r="S254" s="792"/>
      <c r="T254" s="792"/>
      <c r="U254" s="792"/>
      <c r="V254" s="792"/>
      <c r="W254" s="792"/>
      <c r="X254" s="792"/>
      <c r="Y254" s="792"/>
      <c r="Z254" s="792"/>
    </row>
    <row r="255" ht="15.75" customHeight="1">
      <c r="A255" s="901"/>
      <c r="B255" s="902"/>
      <c r="C255" s="901"/>
      <c r="D255" s="901"/>
      <c r="E255" s="901"/>
      <c r="F255" s="903"/>
      <c r="G255" s="901"/>
      <c r="H255" s="792"/>
      <c r="I255" s="792"/>
      <c r="J255" s="792"/>
      <c r="K255" s="792"/>
      <c r="L255" s="792"/>
      <c r="M255" s="792"/>
      <c r="N255" s="792"/>
      <c r="O255" s="792"/>
      <c r="P255" s="792"/>
      <c r="Q255" s="792"/>
      <c r="R255" s="792"/>
      <c r="S255" s="792"/>
      <c r="T255" s="792"/>
      <c r="U255" s="792"/>
      <c r="V255" s="792"/>
      <c r="W255" s="792"/>
      <c r="X255" s="792"/>
      <c r="Y255" s="792"/>
      <c r="Z255" s="792"/>
    </row>
    <row r="256" ht="15.75" customHeight="1">
      <c r="A256" s="901"/>
      <c r="B256" s="902"/>
      <c r="C256" s="901"/>
      <c r="D256" s="901"/>
      <c r="E256" s="901"/>
      <c r="F256" s="903"/>
      <c r="G256" s="901"/>
      <c r="H256" s="792"/>
      <c r="I256" s="792"/>
      <c r="J256" s="792"/>
      <c r="K256" s="792"/>
      <c r="L256" s="792"/>
      <c r="M256" s="792"/>
      <c r="N256" s="792"/>
      <c r="O256" s="792"/>
      <c r="P256" s="792"/>
      <c r="Q256" s="792"/>
      <c r="R256" s="792"/>
      <c r="S256" s="792"/>
      <c r="T256" s="792"/>
      <c r="U256" s="792"/>
      <c r="V256" s="792"/>
      <c r="W256" s="792"/>
      <c r="X256" s="792"/>
      <c r="Y256" s="792"/>
      <c r="Z256" s="792"/>
    </row>
    <row r="257" ht="15.75" customHeight="1">
      <c r="A257" s="901"/>
      <c r="B257" s="902"/>
      <c r="C257" s="901"/>
      <c r="D257" s="901"/>
      <c r="E257" s="901"/>
      <c r="F257" s="903"/>
      <c r="G257" s="901"/>
      <c r="H257" s="792"/>
      <c r="I257" s="792"/>
      <c r="J257" s="792"/>
      <c r="K257" s="792"/>
      <c r="L257" s="792"/>
      <c r="M257" s="792"/>
      <c r="N257" s="792"/>
      <c r="O257" s="792"/>
      <c r="P257" s="792"/>
      <c r="Q257" s="792"/>
      <c r="R257" s="792"/>
      <c r="S257" s="792"/>
      <c r="T257" s="792"/>
      <c r="U257" s="792"/>
      <c r="V257" s="792"/>
      <c r="W257" s="792"/>
      <c r="X257" s="792"/>
      <c r="Y257" s="792"/>
      <c r="Z257" s="792"/>
    </row>
    <row r="258" ht="15.75" customHeight="1">
      <c r="A258" s="901"/>
      <c r="B258" s="902"/>
      <c r="C258" s="901"/>
      <c r="D258" s="901"/>
      <c r="E258" s="901"/>
      <c r="F258" s="903"/>
      <c r="G258" s="901"/>
      <c r="H258" s="792"/>
      <c r="I258" s="792"/>
      <c r="J258" s="792"/>
      <c r="K258" s="792"/>
      <c r="L258" s="792"/>
      <c r="M258" s="792"/>
      <c r="N258" s="792"/>
      <c r="O258" s="792"/>
      <c r="P258" s="792"/>
      <c r="Q258" s="792"/>
      <c r="R258" s="792"/>
      <c r="S258" s="792"/>
      <c r="T258" s="792"/>
      <c r="U258" s="792"/>
      <c r="V258" s="792"/>
      <c r="W258" s="792"/>
      <c r="X258" s="792"/>
      <c r="Y258" s="792"/>
      <c r="Z258" s="792"/>
    </row>
    <row r="259" ht="15.75" customHeight="1">
      <c r="A259" s="901"/>
      <c r="B259" s="902"/>
      <c r="C259" s="901"/>
      <c r="D259" s="901"/>
      <c r="E259" s="901"/>
      <c r="F259" s="903"/>
      <c r="G259" s="901"/>
      <c r="H259" s="792"/>
      <c r="I259" s="792"/>
      <c r="J259" s="792"/>
      <c r="K259" s="792"/>
      <c r="L259" s="792"/>
      <c r="M259" s="792"/>
      <c r="N259" s="792"/>
      <c r="O259" s="792"/>
      <c r="P259" s="792"/>
      <c r="Q259" s="792"/>
      <c r="R259" s="792"/>
      <c r="S259" s="792"/>
      <c r="T259" s="792"/>
      <c r="U259" s="792"/>
      <c r="V259" s="792"/>
      <c r="W259" s="792"/>
      <c r="X259" s="792"/>
      <c r="Y259" s="792"/>
      <c r="Z259" s="792"/>
    </row>
    <row r="260" ht="15.75" customHeight="1">
      <c r="A260" s="901"/>
      <c r="B260" s="902"/>
      <c r="C260" s="901"/>
      <c r="D260" s="901"/>
      <c r="E260" s="901"/>
      <c r="F260" s="903"/>
      <c r="G260" s="901"/>
      <c r="H260" s="792"/>
      <c r="I260" s="792"/>
      <c r="J260" s="792"/>
      <c r="K260" s="792"/>
      <c r="L260" s="792"/>
      <c r="M260" s="792"/>
      <c r="N260" s="792"/>
      <c r="O260" s="792"/>
      <c r="P260" s="792"/>
      <c r="Q260" s="792"/>
      <c r="R260" s="792"/>
      <c r="S260" s="792"/>
      <c r="T260" s="792"/>
      <c r="U260" s="792"/>
      <c r="V260" s="792"/>
      <c r="W260" s="792"/>
      <c r="X260" s="792"/>
      <c r="Y260" s="792"/>
      <c r="Z260" s="792"/>
    </row>
    <row r="261" ht="15.75" customHeight="1">
      <c r="A261" s="901"/>
      <c r="B261" s="902"/>
      <c r="C261" s="901"/>
      <c r="D261" s="901"/>
      <c r="E261" s="901"/>
      <c r="F261" s="903"/>
      <c r="G261" s="901"/>
      <c r="H261" s="792"/>
      <c r="I261" s="792"/>
      <c r="J261" s="792"/>
      <c r="K261" s="792"/>
      <c r="L261" s="792"/>
      <c r="M261" s="792"/>
      <c r="N261" s="792"/>
      <c r="O261" s="792"/>
      <c r="P261" s="792"/>
      <c r="Q261" s="792"/>
      <c r="R261" s="792"/>
      <c r="S261" s="792"/>
      <c r="T261" s="792"/>
      <c r="U261" s="792"/>
      <c r="V261" s="792"/>
      <c r="W261" s="792"/>
      <c r="X261" s="792"/>
      <c r="Y261" s="792"/>
      <c r="Z261" s="792"/>
    </row>
    <row r="262" ht="15.75" customHeight="1">
      <c r="A262" s="901"/>
      <c r="B262" s="902"/>
      <c r="C262" s="901"/>
      <c r="D262" s="901"/>
      <c r="E262" s="901"/>
      <c r="F262" s="903"/>
      <c r="G262" s="901"/>
      <c r="H262" s="792"/>
      <c r="I262" s="792"/>
      <c r="J262" s="792"/>
      <c r="K262" s="792"/>
      <c r="L262" s="792"/>
      <c r="M262" s="792"/>
      <c r="N262" s="792"/>
      <c r="O262" s="792"/>
      <c r="P262" s="792"/>
      <c r="Q262" s="792"/>
      <c r="R262" s="792"/>
      <c r="S262" s="792"/>
      <c r="T262" s="792"/>
      <c r="U262" s="792"/>
      <c r="V262" s="792"/>
      <c r="W262" s="792"/>
      <c r="X262" s="792"/>
      <c r="Y262" s="792"/>
      <c r="Z262" s="792"/>
    </row>
    <row r="263" ht="15.75" customHeight="1">
      <c r="A263" s="901"/>
      <c r="B263" s="902"/>
      <c r="C263" s="901"/>
      <c r="D263" s="901"/>
      <c r="E263" s="901"/>
      <c r="F263" s="903"/>
      <c r="G263" s="901"/>
      <c r="H263" s="792"/>
      <c r="I263" s="792"/>
      <c r="J263" s="792"/>
      <c r="K263" s="792"/>
      <c r="L263" s="792"/>
      <c r="M263" s="792"/>
      <c r="N263" s="792"/>
      <c r="O263" s="792"/>
      <c r="P263" s="792"/>
      <c r="Q263" s="792"/>
      <c r="R263" s="792"/>
      <c r="S263" s="792"/>
      <c r="T263" s="792"/>
      <c r="U263" s="792"/>
      <c r="V263" s="792"/>
      <c r="W263" s="792"/>
      <c r="X263" s="792"/>
      <c r="Y263" s="792"/>
      <c r="Z263" s="792"/>
    </row>
    <row r="264" ht="15.75" customHeight="1">
      <c r="A264" s="901"/>
      <c r="B264" s="902"/>
      <c r="C264" s="901"/>
      <c r="D264" s="901"/>
      <c r="E264" s="901"/>
      <c r="F264" s="903"/>
      <c r="G264" s="901"/>
      <c r="H264" s="792"/>
      <c r="I264" s="792"/>
      <c r="J264" s="792"/>
      <c r="K264" s="792"/>
      <c r="L264" s="792"/>
      <c r="M264" s="792"/>
      <c r="N264" s="792"/>
      <c r="O264" s="792"/>
      <c r="P264" s="792"/>
      <c r="Q264" s="792"/>
      <c r="R264" s="792"/>
      <c r="S264" s="792"/>
      <c r="T264" s="792"/>
      <c r="U264" s="792"/>
      <c r="V264" s="792"/>
      <c r="W264" s="792"/>
      <c r="X264" s="792"/>
      <c r="Y264" s="792"/>
      <c r="Z264" s="792"/>
    </row>
    <row r="265" ht="15.75" customHeight="1">
      <c r="A265" s="901"/>
      <c r="B265" s="902"/>
      <c r="C265" s="901"/>
      <c r="D265" s="901"/>
      <c r="E265" s="901"/>
      <c r="F265" s="903"/>
      <c r="G265" s="901"/>
      <c r="H265" s="792"/>
      <c r="I265" s="792"/>
      <c r="J265" s="792"/>
      <c r="K265" s="792"/>
      <c r="L265" s="792"/>
      <c r="M265" s="792"/>
      <c r="N265" s="792"/>
      <c r="O265" s="792"/>
      <c r="P265" s="792"/>
      <c r="Q265" s="792"/>
      <c r="R265" s="792"/>
      <c r="S265" s="792"/>
      <c r="T265" s="792"/>
      <c r="U265" s="792"/>
      <c r="V265" s="792"/>
      <c r="W265" s="792"/>
      <c r="X265" s="792"/>
      <c r="Y265" s="792"/>
      <c r="Z265" s="792"/>
    </row>
    <row r="266" ht="15.75" customHeight="1">
      <c r="A266" s="901"/>
      <c r="B266" s="902"/>
      <c r="C266" s="901"/>
      <c r="D266" s="901"/>
      <c r="E266" s="901"/>
      <c r="F266" s="903"/>
      <c r="G266" s="901"/>
      <c r="H266" s="792"/>
      <c r="I266" s="792"/>
      <c r="J266" s="792"/>
      <c r="K266" s="792"/>
      <c r="L266" s="792"/>
      <c r="M266" s="792"/>
      <c r="N266" s="792"/>
      <c r="O266" s="792"/>
      <c r="P266" s="792"/>
      <c r="Q266" s="792"/>
      <c r="R266" s="792"/>
      <c r="S266" s="792"/>
      <c r="T266" s="792"/>
      <c r="U266" s="792"/>
      <c r="V266" s="792"/>
      <c r="W266" s="792"/>
      <c r="X266" s="792"/>
      <c r="Y266" s="792"/>
      <c r="Z266" s="792"/>
    </row>
    <row r="267" ht="15.75" customHeight="1">
      <c r="A267" s="901"/>
      <c r="B267" s="902"/>
      <c r="C267" s="901"/>
      <c r="D267" s="901"/>
      <c r="E267" s="901"/>
      <c r="F267" s="903"/>
      <c r="G267" s="901"/>
      <c r="H267" s="792"/>
      <c r="I267" s="792"/>
      <c r="J267" s="792"/>
      <c r="K267" s="792"/>
      <c r="L267" s="792"/>
      <c r="M267" s="792"/>
      <c r="N267" s="792"/>
      <c r="O267" s="792"/>
      <c r="P267" s="792"/>
      <c r="Q267" s="792"/>
      <c r="R267" s="792"/>
      <c r="S267" s="792"/>
      <c r="T267" s="792"/>
      <c r="U267" s="792"/>
      <c r="V267" s="792"/>
      <c r="W267" s="792"/>
      <c r="X267" s="792"/>
      <c r="Y267" s="792"/>
      <c r="Z267" s="792"/>
    </row>
    <row r="268" ht="15.75" customHeight="1">
      <c r="A268" s="901"/>
      <c r="B268" s="902"/>
      <c r="C268" s="901"/>
      <c r="D268" s="901"/>
      <c r="E268" s="901"/>
      <c r="F268" s="903"/>
      <c r="G268" s="901"/>
      <c r="H268" s="792"/>
      <c r="I268" s="792"/>
      <c r="J268" s="792"/>
      <c r="K268" s="792"/>
      <c r="L268" s="792"/>
      <c r="M268" s="792"/>
      <c r="N268" s="792"/>
      <c r="O268" s="792"/>
      <c r="P268" s="792"/>
      <c r="Q268" s="792"/>
      <c r="R268" s="792"/>
      <c r="S268" s="792"/>
      <c r="T268" s="792"/>
      <c r="U268" s="792"/>
      <c r="V268" s="792"/>
      <c r="W268" s="792"/>
      <c r="X268" s="792"/>
      <c r="Y268" s="792"/>
      <c r="Z268" s="792"/>
    </row>
    <row r="269" ht="15.75" customHeight="1">
      <c r="A269" s="901"/>
      <c r="B269" s="902"/>
      <c r="C269" s="901"/>
      <c r="D269" s="901"/>
      <c r="E269" s="901"/>
      <c r="F269" s="903"/>
      <c r="G269" s="901"/>
      <c r="H269" s="792"/>
      <c r="I269" s="792"/>
      <c r="J269" s="792"/>
      <c r="K269" s="792"/>
      <c r="L269" s="792"/>
      <c r="M269" s="792"/>
      <c r="N269" s="792"/>
      <c r="O269" s="792"/>
      <c r="P269" s="792"/>
      <c r="Q269" s="792"/>
      <c r="R269" s="792"/>
      <c r="S269" s="792"/>
      <c r="T269" s="792"/>
      <c r="U269" s="792"/>
      <c r="V269" s="792"/>
      <c r="W269" s="792"/>
      <c r="X269" s="792"/>
      <c r="Y269" s="792"/>
      <c r="Z269" s="792"/>
    </row>
    <row r="270" ht="15.75" customHeight="1">
      <c r="A270" s="901"/>
      <c r="B270" s="902"/>
      <c r="C270" s="901"/>
      <c r="D270" s="901"/>
      <c r="E270" s="901"/>
      <c r="F270" s="903"/>
      <c r="G270" s="901"/>
      <c r="H270" s="792"/>
      <c r="I270" s="792"/>
      <c r="J270" s="792"/>
      <c r="K270" s="792"/>
      <c r="L270" s="792"/>
      <c r="M270" s="792"/>
      <c r="N270" s="792"/>
      <c r="O270" s="792"/>
      <c r="P270" s="792"/>
      <c r="Q270" s="792"/>
      <c r="R270" s="792"/>
      <c r="S270" s="792"/>
      <c r="T270" s="792"/>
      <c r="U270" s="792"/>
      <c r="V270" s="792"/>
      <c r="W270" s="792"/>
      <c r="X270" s="792"/>
      <c r="Y270" s="792"/>
      <c r="Z270" s="792"/>
    </row>
    <row r="271" ht="15.75" customHeight="1">
      <c r="A271" s="901"/>
      <c r="B271" s="902"/>
      <c r="C271" s="901"/>
      <c r="D271" s="901"/>
      <c r="E271" s="901"/>
      <c r="F271" s="903"/>
      <c r="G271" s="901"/>
      <c r="H271" s="792"/>
      <c r="I271" s="792"/>
      <c r="J271" s="792"/>
      <c r="K271" s="792"/>
      <c r="L271" s="792"/>
      <c r="M271" s="792"/>
      <c r="N271" s="792"/>
      <c r="O271" s="792"/>
      <c r="P271" s="792"/>
      <c r="Q271" s="792"/>
      <c r="R271" s="792"/>
      <c r="S271" s="792"/>
      <c r="T271" s="792"/>
      <c r="U271" s="792"/>
      <c r="V271" s="792"/>
      <c r="W271" s="792"/>
      <c r="X271" s="792"/>
      <c r="Y271" s="792"/>
      <c r="Z271" s="792"/>
    </row>
    <row r="272" ht="15.75" customHeight="1">
      <c r="A272" s="901"/>
      <c r="B272" s="902"/>
      <c r="C272" s="901"/>
      <c r="D272" s="901"/>
      <c r="E272" s="901"/>
      <c r="F272" s="903"/>
      <c r="G272" s="901"/>
      <c r="H272" s="792"/>
      <c r="I272" s="792"/>
      <c r="J272" s="792"/>
      <c r="K272" s="792"/>
      <c r="L272" s="792"/>
      <c r="M272" s="792"/>
      <c r="N272" s="792"/>
      <c r="O272" s="792"/>
      <c r="P272" s="792"/>
      <c r="Q272" s="792"/>
      <c r="R272" s="792"/>
      <c r="S272" s="792"/>
      <c r="T272" s="792"/>
      <c r="U272" s="792"/>
      <c r="V272" s="792"/>
      <c r="W272" s="792"/>
      <c r="X272" s="792"/>
      <c r="Y272" s="792"/>
      <c r="Z272" s="792"/>
    </row>
    <row r="273" ht="15.75" customHeight="1">
      <c r="A273" s="901"/>
      <c r="B273" s="902"/>
      <c r="C273" s="901"/>
      <c r="D273" s="901"/>
      <c r="E273" s="901"/>
      <c r="F273" s="903"/>
      <c r="G273" s="901"/>
      <c r="H273" s="792"/>
      <c r="I273" s="792"/>
      <c r="J273" s="792"/>
      <c r="K273" s="792"/>
      <c r="L273" s="792"/>
      <c r="M273" s="792"/>
      <c r="N273" s="792"/>
      <c r="O273" s="792"/>
      <c r="P273" s="792"/>
      <c r="Q273" s="792"/>
      <c r="R273" s="792"/>
      <c r="S273" s="792"/>
      <c r="T273" s="792"/>
      <c r="U273" s="792"/>
      <c r="V273" s="792"/>
      <c r="W273" s="792"/>
      <c r="X273" s="792"/>
      <c r="Y273" s="792"/>
      <c r="Z273" s="792"/>
    </row>
    <row r="274" ht="15.75" customHeight="1">
      <c r="A274" s="901"/>
      <c r="B274" s="902"/>
      <c r="C274" s="901"/>
      <c r="D274" s="901"/>
      <c r="E274" s="901"/>
      <c r="F274" s="903"/>
      <c r="G274" s="901"/>
      <c r="H274" s="792"/>
      <c r="I274" s="792"/>
      <c r="J274" s="792"/>
      <c r="K274" s="792"/>
      <c r="L274" s="792"/>
      <c r="M274" s="792"/>
      <c r="N274" s="792"/>
      <c r="O274" s="792"/>
      <c r="P274" s="792"/>
      <c r="Q274" s="792"/>
      <c r="R274" s="792"/>
      <c r="S274" s="792"/>
      <c r="T274" s="792"/>
      <c r="U274" s="792"/>
      <c r="V274" s="792"/>
      <c r="W274" s="792"/>
      <c r="X274" s="792"/>
      <c r="Y274" s="792"/>
      <c r="Z274" s="792"/>
    </row>
    <row r="275" ht="15.75" customHeight="1">
      <c r="A275" s="901"/>
      <c r="B275" s="902"/>
      <c r="C275" s="901"/>
      <c r="D275" s="901"/>
      <c r="E275" s="901"/>
      <c r="F275" s="903"/>
      <c r="G275" s="901"/>
      <c r="H275" s="792"/>
      <c r="I275" s="792"/>
      <c r="J275" s="792"/>
      <c r="K275" s="792"/>
      <c r="L275" s="792"/>
      <c r="M275" s="792"/>
      <c r="N275" s="792"/>
      <c r="O275" s="792"/>
      <c r="P275" s="792"/>
      <c r="Q275" s="792"/>
      <c r="R275" s="792"/>
      <c r="S275" s="792"/>
      <c r="T275" s="792"/>
      <c r="U275" s="792"/>
      <c r="V275" s="792"/>
      <c r="W275" s="792"/>
      <c r="X275" s="792"/>
      <c r="Y275" s="792"/>
      <c r="Z275" s="792"/>
    </row>
    <row r="276" ht="15.75" customHeight="1">
      <c r="A276" s="901"/>
      <c r="B276" s="902"/>
      <c r="C276" s="901"/>
      <c r="D276" s="901"/>
      <c r="E276" s="901"/>
      <c r="F276" s="903"/>
      <c r="G276" s="901"/>
      <c r="H276" s="792"/>
      <c r="I276" s="792"/>
      <c r="J276" s="792"/>
      <c r="K276" s="792"/>
      <c r="L276" s="792"/>
      <c r="M276" s="792"/>
      <c r="N276" s="792"/>
      <c r="O276" s="792"/>
      <c r="P276" s="792"/>
      <c r="Q276" s="792"/>
      <c r="R276" s="792"/>
      <c r="S276" s="792"/>
      <c r="T276" s="792"/>
      <c r="U276" s="792"/>
      <c r="V276" s="792"/>
      <c r="W276" s="792"/>
      <c r="X276" s="792"/>
      <c r="Y276" s="792"/>
      <c r="Z276" s="792"/>
    </row>
    <row r="277" ht="15.75" customHeight="1">
      <c r="A277" s="901"/>
      <c r="B277" s="902"/>
      <c r="C277" s="901"/>
      <c r="D277" s="901"/>
      <c r="E277" s="901"/>
      <c r="F277" s="903"/>
      <c r="G277" s="901"/>
      <c r="H277" s="792"/>
      <c r="I277" s="792"/>
      <c r="J277" s="792"/>
      <c r="K277" s="792"/>
      <c r="L277" s="792"/>
      <c r="M277" s="792"/>
      <c r="N277" s="792"/>
      <c r="O277" s="792"/>
      <c r="P277" s="792"/>
      <c r="Q277" s="792"/>
      <c r="R277" s="792"/>
      <c r="S277" s="792"/>
      <c r="T277" s="792"/>
      <c r="U277" s="792"/>
      <c r="V277" s="792"/>
      <c r="W277" s="792"/>
      <c r="X277" s="792"/>
      <c r="Y277" s="792"/>
      <c r="Z277" s="792"/>
    </row>
    <row r="278" ht="15.75" customHeight="1">
      <c r="A278" s="901"/>
      <c r="B278" s="902"/>
      <c r="C278" s="901"/>
      <c r="D278" s="901"/>
      <c r="E278" s="901"/>
      <c r="F278" s="903"/>
      <c r="G278" s="901"/>
      <c r="H278" s="792"/>
      <c r="I278" s="792"/>
      <c r="J278" s="792"/>
      <c r="K278" s="792"/>
      <c r="L278" s="792"/>
      <c r="M278" s="792"/>
      <c r="N278" s="792"/>
      <c r="O278" s="792"/>
      <c r="P278" s="792"/>
      <c r="Q278" s="792"/>
      <c r="R278" s="792"/>
      <c r="S278" s="792"/>
      <c r="T278" s="792"/>
      <c r="U278" s="792"/>
      <c r="V278" s="792"/>
      <c r="W278" s="792"/>
      <c r="X278" s="792"/>
      <c r="Y278" s="792"/>
      <c r="Z278" s="792"/>
    </row>
    <row r="279" ht="15.75" customHeight="1">
      <c r="A279" s="901"/>
      <c r="B279" s="902"/>
      <c r="C279" s="901"/>
      <c r="D279" s="901"/>
      <c r="E279" s="901"/>
      <c r="F279" s="903"/>
      <c r="G279" s="901"/>
      <c r="H279" s="792"/>
      <c r="I279" s="792"/>
      <c r="J279" s="792"/>
      <c r="K279" s="792"/>
      <c r="L279" s="792"/>
      <c r="M279" s="792"/>
      <c r="N279" s="792"/>
      <c r="O279" s="792"/>
      <c r="P279" s="792"/>
      <c r="Q279" s="792"/>
      <c r="R279" s="792"/>
      <c r="S279" s="792"/>
      <c r="T279" s="792"/>
      <c r="U279" s="792"/>
      <c r="V279" s="792"/>
      <c r="W279" s="792"/>
      <c r="X279" s="792"/>
      <c r="Y279" s="792"/>
      <c r="Z279" s="792"/>
    </row>
    <row r="280" ht="15.75" customHeight="1">
      <c r="A280" s="901"/>
      <c r="B280" s="902"/>
      <c r="C280" s="901"/>
      <c r="D280" s="901"/>
      <c r="E280" s="901"/>
      <c r="F280" s="903"/>
      <c r="G280" s="901"/>
      <c r="H280" s="792"/>
      <c r="I280" s="792"/>
      <c r="J280" s="792"/>
      <c r="K280" s="792"/>
      <c r="L280" s="792"/>
      <c r="M280" s="792"/>
      <c r="N280" s="792"/>
      <c r="O280" s="792"/>
      <c r="P280" s="792"/>
      <c r="Q280" s="792"/>
      <c r="R280" s="792"/>
      <c r="S280" s="792"/>
      <c r="T280" s="792"/>
      <c r="U280" s="792"/>
      <c r="V280" s="792"/>
      <c r="W280" s="792"/>
      <c r="X280" s="792"/>
      <c r="Y280" s="792"/>
      <c r="Z280" s="792"/>
    </row>
    <row r="281" ht="15.75" customHeight="1">
      <c r="A281" s="901"/>
      <c r="B281" s="902"/>
      <c r="C281" s="901"/>
      <c r="D281" s="901"/>
      <c r="E281" s="901"/>
      <c r="F281" s="903"/>
      <c r="G281" s="901"/>
      <c r="H281" s="792"/>
      <c r="I281" s="792"/>
      <c r="J281" s="792"/>
      <c r="K281" s="792"/>
      <c r="L281" s="792"/>
      <c r="M281" s="792"/>
      <c r="N281" s="792"/>
      <c r="O281" s="792"/>
      <c r="P281" s="792"/>
      <c r="Q281" s="792"/>
      <c r="R281" s="792"/>
      <c r="S281" s="792"/>
      <c r="T281" s="792"/>
      <c r="U281" s="792"/>
      <c r="V281" s="792"/>
      <c r="W281" s="792"/>
      <c r="X281" s="792"/>
      <c r="Y281" s="792"/>
      <c r="Z281" s="792"/>
    </row>
    <row r="282" ht="15.75" customHeight="1">
      <c r="A282" s="901"/>
      <c r="B282" s="902"/>
      <c r="C282" s="901"/>
      <c r="D282" s="901"/>
      <c r="E282" s="901"/>
      <c r="F282" s="903"/>
      <c r="G282" s="901"/>
      <c r="H282" s="792"/>
      <c r="I282" s="792"/>
      <c r="J282" s="792"/>
      <c r="K282" s="792"/>
      <c r="L282" s="792"/>
      <c r="M282" s="792"/>
      <c r="N282" s="792"/>
      <c r="O282" s="792"/>
      <c r="P282" s="792"/>
      <c r="Q282" s="792"/>
      <c r="R282" s="792"/>
      <c r="S282" s="792"/>
      <c r="T282" s="792"/>
      <c r="U282" s="792"/>
      <c r="V282" s="792"/>
      <c r="W282" s="792"/>
      <c r="X282" s="792"/>
      <c r="Y282" s="792"/>
      <c r="Z282" s="792"/>
    </row>
    <row r="283" ht="15.75" customHeight="1">
      <c r="A283" s="901"/>
      <c r="B283" s="902"/>
      <c r="C283" s="901"/>
      <c r="D283" s="901"/>
      <c r="E283" s="901"/>
      <c r="F283" s="903"/>
      <c r="G283" s="901"/>
      <c r="H283" s="792"/>
      <c r="I283" s="792"/>
      <c r="J283" s="792"/>
      <c r="K283" s="792"/>
      <c r="L283" s="792"/>
      <c r="M283" s="792"/>
      <c r="N283" s="792"/>
      <c r="O283" s="792"/>
      <c r="P283" s="792"/>
      <c r="Q283" s="792"/>
      <c r="R283" s="792"/>
      <c r="S283" s="792"/>
      <c r="T283" s="792"/>
      <c r="U283" s="792"/>
      <c r="V283" s="792"/>
      <c r="W283" s="792"/>
      <c r="X283" s="792"/>
      <c r="Y283" s="792"/>
      <c r="Z283" s="792"/>
    </row>
    <row r="284" ht="15.75" customHeight="1">
      <c r="A284" s="901"/>
      <c r="B284" s="902"/>
      <c r="C284" s="901"/>
      <c r="D284" s="901"/>
      <c r="E284" s="901"/>
      <c r="F284" s="903"/>
      <c r="G284" s="901"/>
      <c r="H284" s="792"/>
      <c r="I284" s="792"/>
      <c r="J284" s="792"/>
      <c r="K284" s="792"/>
      <c r="L284" s="792"/>
      <c r="M284" s="792"/>
      <c r="N284" s="792"/>
      <c r="O284" s="792"/>
      <c r="P284" s="792"/>
      <c r="Q284" s="792"/>
      <c r="R284" s="792"/>
      <c r="S284" s="792"/>
      <c r="T284" s="792"/>
      <c r="U284" s="792"/>
      <c r="V284" s="792"/>
      <c r="W284" s="792"/>
      <c r="X284" s="792"/>
      <c r="Y284" s="792"/>
      <c r="Z284" s="792"/>
    </row>
    <row r="285" ht="15.75" customHeight="1">
      <c r="A285" s="901"/>
      <c r="B285" s="902"/>
      <c r="C285" s="901"/>
      <c r="D285" s="901"/>
      <c r="E285" s="901"/>
      <c r="F285" s="903"/>
      <c r="G285" s="901"/>
      <c r="H285" s="792"/>
      <c r="I285" s="792"/>
      <c r="J285" s="792"/>
      <c r="K285" s="792"/>
      <c r="L285" s="792"/>
      <c r="M285" s="792"/>
      <c r="N285" s="792"/>
      <c r="O285" s="792"/>
      <c r="P285" s="792"/>
      <c r="Q285" s="792"/>
      <c r="R285" s="792"/>
      <c r="S285" s="792"/>
      <c r="T285" s="792"/>
      <c r="U285" s="792"/>
      <c r="V285" s="792"/>
      <c r="W285" s="792"/>
      <c r="X285" s="792"/>
      <c r="Y285" s="792"/>
      <c r="Z285" s="792"/>
    </row>
    <row r="286" ht="15.75" customHeight="1">
      <c r="A286" s="901"/>
      <c r="B286" s="902"/>
      <c r="C286" s="901"/>
      <c r="D286" s="901"/>
      <c r="E286" s="901"/>
      <c r="F286" s="903"/>
      <c r="G286" s="901"/>
      <c r="H286" s="792"/>
      <c r="I286" s="792"/>
      <c r="J286" s="792"/>
      <c r="K286" s="792"/>
      <c r="L286" s="792"/>
      <c r="M286" s="792"/>
      <c r="N286" s="792"/>
      <c r="O286" s="792"/>
      <c r="P286" s="792"/>
      <c r="Q286" s="792"/>
      <c r="R286" s="792"/>
      <c r="S286" s="792"/>
      <c r="T286" s="792"/>
      <c r="U286" s="792"/>
      <c r="V286" s="792"/>
      <c r="W286" s="792"/>
      <c r="X286" s="792"/>
      <c r="Y286" s="792"/>
      <c r="Z286" s="792"/>
    </row>
    <row r="287" ht="15.75" customHeight="1">
      <c r="A287" s="901"/>
      <c r="B287" s="902"/>
      <c r="C287" s="901"/>
      <c r="D287" s="901"/>
      <c r="E287" s="901"/>
      <c r="F287" s="903"/>
      <c r="G287" s="901"/>
      <c r="H287" s="792"/>
      <c r="I287" s="792"/>
      <c r="J287" s="792"/>
      <c r="K287" s="792"/>
      <c r="L287" s="792"/>
      <c r="M287" s="792"/>
      <c r="N287" s="792"/>
      <c r="O287" s="792"/>
      <c r="P287" s="792"/>
      <c r="Q287" s="792"/>
      <c r="R287" s="792"/>
      <c r="S287" s="792"/>
      <c r="T287" s="792"/>
      <c r="U287" s="792"/>
      <c r="V287" s="792"/>
      <c r="W287" s="792"/>
      <c r="X287" s="792"/>
      <c r="Y287" s="792"/>
      <c r="Z287" s="792"/>
    </row>
    <row r="288" ht="15.75" customHeight="1">
      <c r="A288" s="901"/>
      <c r="B288" s="902"/>
      <c r="C288" s="901"/>
      <c r="D288" s="901"/>
      <c r="E288" s="901"/>
      <c r="F288" s="903"/>
      <c r="G288" s="901"/>
      <c r="H288" s="792"/>
      <c r="I288" s="792"/>
      <c r="J288" s="792"/>
      <c r="K288" s="792"/>
      <c r="L288" s="792"/>
      <c r="M288" s="792"/>
      <c r="N288" s="792"/>
      <c r="O288" s="792"/>
      <c r="P288" s="792"/>
      <c r="Q288" s="792"/>
      <c r="R288" s="792"/>
      <c r="S288" s="792"/>
      <c r="T288" s="792"/>
      <c r="U288" s="792"/>
      <c r="V288" s="792"/>
      <c r="W288" s="792"/>
      <c r="X288" s="792"/>
      <c r="Y288" s="792"/>
      <c r="Z288" s="792"/>
    </row>
    <row r="289" ht="15.75" customHeight="1">
      <c r="A289" s="901"/>
      <c r="B289" s="902"/>
      <c r="C289" s="901"/>
      <c r="D289" s="901"/>
      <c r="E289" s="901"/>
      <c r="F289" s="903"/>
      <c r="G289" s="901"/>
      <c r="H289" s="792"/>
      <c r="I289" s="792"/>
      <c r="J289" s="792"/>
      <c r="K289" s="792"/>
      <c r="L289" s="792"/>
      <c r="M289" s="792"/>
      <c r="N289" s="792"/>
      <c r="O289" s="792"/>
      <c r="P289" s="792"/>
      <c r="Q289" s="792"/>
      <c r="R289" s="792"/>
      <c r="S289" s="792"/>
      <c r="T289" s="792"/>
      <c r="U289" s="792"/>
      <c r="V289" s="792"/>
      <c r="W289" s="792"/>
      <c r="X289" s="792"/>
      <c r="Y289" s="792"/>
      <c r="Z289" s="792"/>
    </row>
    <row r="290" ht="15.75" customHeight="1">
      <c r="A290" s="901"/>
      <c r="B290" s="902"/>
      <c r="C290" s="901"/>
      <c r="D290" s="901"/>
      <c r="E290" s="901"/>
      <c r="F290" s="903"/>
      <c r="G290" s="901"/>
      <c r="H290" s="792"/>
      <c r="I290" s="792"/>
      <c r="J290" s="792"/>
      <c r="K290" s="792"/>
      <c r="L290" s="792"/>
      <c r="M290" s="792"/>
      <c r="N290" s="792"/>
      <c r="O290" s="792"/>
      <c r="P290" s="792"/>
      <c r="Q290" s="792"/>
      <c r="R290" s="792"/>
      <c r="S290" s="792"/>
      <c r="T290" s="792"/>
      <c r="U290" s="792"/>
      <c r="V290" s="792"/>
      <c r="W290" s="792"/>
      <c r="X290" s="792"/>
      <c r="Y290" s="792"/>
      <c r="Z290" s="792"/>
    </row>
    <row r="291" ht="15.75" customHeight="1">
      <c r="A291" s="901"/>
      <c r="B291" s="902"/>
      <c r="C291" s="901"/>
      <c r="D291" s="901"/>
      <c r="E291" s="901"/>
      <c r="F291" s="903"/>
      <c r="G291" s="901"/>
      <c r="H291" s="792"/>
      <c r="I291" s="792"/>
      <c r="J291" s="792"/>
      <c r="K291" s="792"/>
      <c r="L291" s="792"/>
      <c r="M291" s="792"/>
      <c r="N291" s="792"/>
      <c r="O291" s="792"/>
      <c r="P291" s="792"/>
      <c r="Q291" s="792"/>
      <c r="R291" s="792"/>
      <c r="S291" s="792"/>
      <c r="T291" s="792"/>
      <c r="U291" s="792"/>
      <c r="V291" s="792"/>
      <c r="W291" s="792"/>
      <c r="X291" s="792"/>
      <c r="Y291" s="792"/>
      <c r="Z291" s="792"/>
    </row>
    <row r="292" ht="15.75" customHeight="1">
      <c r="A292" s="901"/>
      <c r="B292" s="902"/>
      <c r="C292" s="901"/>
      <c r="D292" s="901"/>
      <c r="E292" s="901"/>
      <c r="F292" s="903"/>
      <c r="G292" s="901"/>
      <c r="H292" s="792"/>
      <c r="I292" s="792"/>
      <c r="J292" s="792"/>
      <c r="K292" s="792"/>
      <c r="L292" s="792"/>
      <c r="M292" s="792"/>
      <c r="N292" s="792"/>
      <c r="O292" s="792"/>
      <c r="P292" s="792"/>
      <c r="Q292" s="792"/>
      <c r="R292" s="792"/>
      <c r="S292" s="792"/>
      <c r="T292" s="792"/>
      <c r="U292" s="792"/>
      <c r="V292" s="792"/>
      <c r="W292" s="792"/>
      <c r="X292" s="792"/>
      <c r="Y292" s="792"/>
      <c r="Z292" s="792"/>
    </row>
    <row r="293" ht="15.75" customHeight="1">
      <c r="A293" s="901"/>
      <c r="B293" s="902"/>
      <c r="C293" s="901"/>
      <c r="D293" s="901"/>
      <c r="E293" s="901"/>
      <c r="F293" s="903"/>
      <c r="G293" s="901"/>
      <c r="H293" s="792"/>
      <c r="I293" s="792"/>
      <c r="J293" s="792"/>
      <c r="K293" s="792"/>
      <c r="L293" s="792"/>
      <c r="M293" s="792"/>
      <c r="N293" s="792"/>
      <c r="O293" s="792"/>
      <c r="P293" s="792"/>
      <c r="Q293" s="792"/>
      <c r="R293" s="792"/>
      <c r="S293" s="792"/>
      <c r="T293" s="792"/>
      <c r="U293" s="792"/>
      <c r="V293" s="792"/>
      <c r="W293" s="792"/>
      <c r="X293" s="792"/>
      <c r="Y293" s="792"/>
      <c r="Z293" s="792"/>
    </row>
    <row r="294" ht="15.75" customHeight="1">
      <c r="A294" s="901"/>
      <c r="B294" s="902"/>
      <c r="C294" s="901"/>
      <c r="D294" s="901"/>
      <c r="E294" s="901"/>
      <c r="F294" s="903"/>
      <c r="G294" s="901"/>
      <c r="H294" s="792"/>
      <c r="I294" s="792"/>
      <c r="J294" s="792"/>
      <c r="K294" s="792"/>
      <c r="L294" s="792"/>
      <c r="M294" s="792"/>
      <c r="N294" s="792"/>
      <c r="O294" s="792"/>
      <c r="P294" s="792"/>
      <c r="Q294" s="792"/>
      <c r="R294" s="792"/>
      <c r="S294" s="792"/>
      <c r="T294" s="792"/>
      <c r="U294" s="792"/>
      <c r="V294" s="792"/>
      <c r="W294" s="792"/>
      <c r="X294" s="792"/>
      <c r="Y294" s="792"/>
      <c r="Z294" s="792"/>
    </row>
    <row r="295" ht="15.75" customHeight="1">
      <c r="A295" s="901"/>
      <c r="B295" s="902"/>
      <c r="C295" s="901"/>
      <c r="D295" s="901"/>
      <c r="E295" s="901"/>
      <c r="F295" s="903"/>
      <c r="G295" s="901"/>
      <c r="H295" s="792"/>
      <c r="I295" s="792"/>
      <c r="J295" s="792"/>
      <c r="K295" s="792"/>
      <c r="L295" s="792"/>
      <c r="M295" s="792"/>
      <c r="N295" s="792"/>
      <c r="O295" s="792"/>
      <c r="P295" s="792"/>
      <c r="Q295" s="792"/>
      <c r="R295" s="792"/>
      <c r="S295" s="792"/>
      <c r="T295" s="792"/>
      <c r="U295" s="792"/>
      <c r="V295" s="792"/>
      <c r="W295" s="792"/>
      <c r="X295" s="792"/>
      <c r="Y295" s="792"/>
      <c r="Z295" s="792"/>
    </row>
    <row r="296" ht="15.75" customHeight="1">
      <c r="A296" s="901"/>
      <c r="B296" s="902"/>
      <c r="C296" s="901"/>
      <c r="D296" s="901"/>
      <c r="E296" s="901"/>
      <c r="F296" s="903"/>
      <c r="G296" s="901"/>
      <c r="H296" s="792"/>
      <c r="I296" s="792"/>
      <c r="J296" s="792"/>
      <c r="K296" s="792"/>
      <c r="L296" s="792"/>
      <c r="M296" s="792"/>
      <c r="N296" s="792"/>
      <c r="O296" s="792"/>
      <c r="P296" s="792"/>
      <c r="Q296" s="792"/>
      <c r="R296" s="792"/>
      <c r="S296" s="792"/>
      <c r="T296" s="792"/>
      <c r="U296" s="792"/>
      <c r="V296" s="792"/>
      <c r="W296" s="792"/>
      <c r="X296" s="792"/>
      <c r="Y296" s="792"/>
      <c r="Z296" s="792"/>
    </row>
    <row r="297" ht="15.75" customHeight="1">
      <c r="A297" s="901"/>
      <c r="B297" s="902"/>
      <c r="C297" s="901"/>
      <c r="D297" s="901"/>
      <c r="E297" s="901"/>
      <c r="F297" s="903"/>
      <c r="G297" s="901"/>
      <c r="H297" s="792"/>
      <c r="I297" s="792"/>
      <c r="J297" s="792"/>
      <c r="K297" s="792"/>
      <c r="L297" s="792"/>
      <c r="M297" s="792"/>
      <c r="N297" s="792"/>
      <c r="O297" s="792"/>
      <c r="P297" s="792"/>
      <c r="Q297" s="792"/>
      <c r="R297" s="792"/>
      <c r="S297" s="792"/>
      <c r="T297" s="792"/>
      <c r="U297" s="792"/>
      <c r="V297" s="792"/>
      <c r="W297" s="792"/>
      <c r="X297" s="792"/>
      <c r="Y297" s="792"/>
      <c r="Z297" s="792"/>
    </row>
    <row r="298" ht="15.75" customHeight="1">
      <c r="A298" s="901"/>
      <c r="B298" s="902"/>
      <c r="C298" s="901"/>
      <c r="D298" s="901"/>
      <c r="E298" s="901"/>
      <c r="F298" s="903"/>
      <c r="G298" s="901"/>
      <c r="H298" s="792"/>
      <c r="I298" s="792"/>
      <c r="J298" s="792"/>
      <c r="K298" s="792"/>
      <c r="L298" s="792"/>
      <c r="M298" s="792"/>
      <c r="N298" s="792"/>
      <c r="O298" s="792"/>
      <c r="P298" s="792"/>
      <c r="Q298" s="792"/>
      <c r="R298" s="792"/>
      <c r="S298" s="792"/>
      <c r="T298" s="792"/>
      <c r="U298" s="792"/>
      <c r="V298" s="792"/>
      <c r="W298" s="792"/>
      <c r="X298" s="792"/>
      <c r="Y298" s="792"/>
      <c r="Z298" s="792"/>
    </row>
    <row r="299" ht="15.75" customHeight="1">
      <c r="A299" s="901"/>
      <c r="B299" s="902"/>
      <c r="C299" s="901"/>
      <c r="D299" s="901"/>
      <c r="E299" s="901"/>
      <c r="F299" s="903"/>
      <c r="G299" s="901"/>
      <c r="H299" s="792"/>
      <c r="I299" s="792"/>
      <c r="J299" s="792"/>
      <c r="K299" s="792"/>
      <c r="L299" s="792"/>
      <c r="M299" s="792"/>
      <c r="N299" s="792"/>
      <c r="O299" s="792"/>
      <c r="P299" s="792"/>
      <c r="Q299" s="792"/>
      <c r="R299" s="792"/>
      <c r="S299" s="792"/>
      <c r="T299" s="792"/>
      <c r="U299" s="792"/>
      <c r="V299" s="792"/>
      <c r="W299" s="792"/>
      <c r="X299" s="792"/>
      <c r="Y299" s="792"/>
      <c r="Z299" s="792"/>
    </row>
    <row r="300" ht="15.75" customHeight="1">
      <c r="A300" s="901"/>
      <c r="B300" s="902"/>
      <c r="C300" s="901"/>
      <c r="D300" s="901"/>
      <c r="E300" s="901"/>
      <c r="F300" s="903"/>
      <c r="G300" s="901"/>
      <c r="H300" s="792"/>
      <c r="I300" s="792"/>
      <c r="J300" s="792"/>
      <c r="K300" s="792"/>
      <c r="L300" s="792"/>
      <c r="M300" s="792"/>
      <c r="N300" s="792"/>
      <c r="O300" s="792"/>
      <c r="P300" s="792"/>
      <c r="Q300" s="792"/>
      <c r="R300" s="792"/>
      <c r="S300" s="792"/>
      <c r="T300" s="792"/>
      <c r="U300" s="792"/>
      <c r="V300" s="792"/>
      <c r="W300" s="792"/>
      <c r="X300" s="792"/>
      <c r="Y300" s="792"/>
      <c r="Z300" s="792"/>
    </row>
    <row r="301" ht="15.75" customHeight="1">
      <c r="A301" s="901"/>
      <c r="B301" s="902"/>
      <c r="C301" s="901"/>
      <c r="D301" s="901"/>
      <c r="E301" s="901"/>
      <c r="F301" s="903"/>
      <c r="G301" s="901"/>
      <c r="H301" s="792"/>
      <c r="I301" s="792"/>
      <c r="J301" s="792"/>
      <c r="K301" s="792"/>
      <c r="L301" s="792"/>
      <c r="M301" s="792"/>
      <c r="N301" s="792"/>
      <c r="O301" s="792"/>
      <c r="P301" s="792"/>
      <c r="Q301" s="792"/>
      <c r="R301" s="792"/>
      <c r="S301" s="792"/>
      <c r="T301" s="792"/>
      <c r="U301" s="792"/>
      <c r="V301" s="792"/>
      <c r="W301" s="792"/>
      <c r="X301" s="792"/>
      <c r="Y301" s="792"/>
      <c r="Z301" s="792"/>
    </row>
    <row r="302" ht="15.75" customHeight="1">
      <c r="A302" s="901"/>
      <c r="B302" s="902"/>
      <c r="C302" s="901"/>
      <c r="D302" s="901"/>
      <c r="E302" s="901"/>
      <c r="F302" s="903"/>
      <c r="G302" s="901"/>
      <c r="H302" s="792"/>
      <c r="I302" s="792"/>
      <c r="J302" s="792"/>
      <c r="K302" s="792"/>
      <c r="L302" s="792"/>
      <c r="M302" s="792"/>
      <c r="N302" s="792"/>
      <c r="O302" s="792"/>
      <c r="P302" s="792"/>
      <c r="Q302" s="792"/>
      <c r="R302" s="792"/>
      <c r="S302" s="792"/>
      <c r="T302" s="792"/>
      <c r="U302" s="792"/>
      <c r="V302" s="792"/>
      <c r="W302" s="792"/>
      <c r="X302" s="792"/>
      <c r="Y302" s="792"/>
      <c r="Z302" s="792"/>
    </row>
    <row r="303" ht="15.75" customHeight="1">
      <c r="A303" s="901"/>
      <c r="B303" s="902"/>
      <c r="C303" s="901"/>
      <c r="D303" s="901"/>
      <c r="E303" s="901"/>
      <c r="F303" s="903"/>
      <c r="G303" s="901"/>
      <c r="H303" s="792"/>
      <c r="I303" s="792"/>
      <c r="J303" s="792"/>
      <c r="K303" s="792"/>
      <c r="L303" s="792"/>
      <c r="M303" s="792"/>
      <c r="N303" s="792"/>
      <c r="O303" s="792"/>
      <c r="P303" s="792"/>
      <c r="Q303" s="792"/>
      <c r="R303" s="792"/>
      <c r="S303" s="792"/>
      <c r="T303" s="792"/>
      <c r="U303" s="792"/>
      <c r="V303" s="792"/>
      <c r="W303" s="792"/>
      <c r="X303" s="792"/>
      <c r="Y303" s="792"/>
      <c r="Z303" s="792"/>
    </row>
    <row r="304" ht="15.75" customHeight="1">
      <c r="A304" s="901"/>
      <c r="B304" s="902"/>
      <c r="C304" s="901"/>
      <c r="D304" s="901"/>
      <c r="E304" s="901"/>
      <c r="F304" s="903"/>
      <c r="G304" s="901"/>
      <c r="H304" s="792"/>
      <c r="I304" s="792"/>
      <c r="J304" s="792"/>
      <c r="K304" s="792"/>
      <c r="L304" s="792"/>
      <c r="M304" s="792"/>
      <c r="N304" s="792"/>
      <c r="O304" s="792"/>
      <c r="P304" s="792"/>
      <c r="Q304" s="792"/>
      <c r="R304" s="792"/>
      <c r="S304" s="792"/>
      <c r="T304" s="792"/>
      <c r="U304" s="792"/>
      <c r="V304" s="792"/>
      <c r="W304" s="792"/>
      <c r="X304" s="792"/>
      <c r="Y304" s="792"/>
      <c r="Z304" s="792"/>
    </row>
    <row r="305" ht="15.75" customHeight="1">
      <c r="A305" s="901"/>
      <c r="B305" s="902"/>
      <c r="C305" s="901"/>
      <c r="D305" s="901"/>
      <c r="E305" s="901"/>
      <c r="F305" s="903"/>
      <c r="G305" s="901"/>
      <c r="H305" s="792"/>
      <c r="I305" s="792"/>
      <c r="J305" s="792"/>
      <c r="K305" s="792"/>
      <c r="L305" s="792"/>
      <c r="M305" s="792"/>
      <c r="N305" s="792"/>
      <c r="O305" s="792"/>
      <c r="P305" s="792"/>
      <c r="Q305" s="792"/>
      <c r="R305" s="792"/>
      <c r="S305" s="792"/>
      <c r="T305" s="792"/>
      <c r="U305" s="792"/>
      <c r="V305" s="792"/>
      <c r="W305" s="792"/>
      <c r="X305" s="792"/>
      <c r="Y305" s="792"/>
      <c r="Z305" s="792"/>
    </row>
    <row r="306" ht="15.75" customHeight="1">
      <c r="A306" s="901"/>
      <c r="B306" s="902"/>
      <c r="C306" s="901"/>
      <c r="D306" s="901"/>
      <c r="E306" s="901"/>
      <c r="F306" s="903"/>
      <c r="G306" s="901"/>
      <c r="H306" s="792"/>
      <c r="I306" s="792"/>
      <c r="J306" s="792"/>
      <c r="K306" s="792"/>
      <c r="L306" s="792"/>
      <c r="M306" s="792"/>
      <c r="N306" s="792"/>
      <c r="O306" s="792"/>
      <c r="P306" s="792"/>
      <c r="Q306" s="792"/>
      <c r="R306" s="792"/>
      <c r="S306" s="792"/>
      <c r="T306" s="792"/>
      <c r="U306" s="792"/>
      <c r="V306" s="792"/>
      <c r="W306" s="792"/>
      <c r="X306" s="792"/>
      <c r="Y306" s="792"/>
      <c r="Z306" s="792"/>
    </row>
    <row r="307" ht="15.75" customHeight="1">
      <c r="A307" s="901"/>
      <c r="B307" s="902"/>
      <c r="C307" s="901"/>
      <c r="D307" s="901"/>
      <c r="E307" s="901"/>
      <c r="F307" s="903"/>
      <c r="G307" s="901"/>
      <c r="H307" s="792"/>
      <c r="I307" s="792"/>
      <c r="J307" s="792"/>
      <c r="K307" s="792"/>
      <c r="L307" s="792"/>
      <c r="M307" s="792"/>
      <c r="N307" s="792"/>
      <c r="O307" s="792"/>
      <c r="P307" s="792"/>
      <c r="Q307" s="792"/>
      <c r="R307" s="792"/>
      <c r="S307" s="792"/>
      <c r="T307" s="792"/>
      <c r="U307" s="792"/>
      <c r="V307" s="792"/>
      <c r="W307" s="792"/>
      <c r="X307" s="792"/>
      <c r="Y307" s="792"/>
      <c r="Z307" s="792"/>
    </row>
    <row r="308" ht="15.75" customHeight="1">
      <c r="A308" s="901"/>
      <c r="B308" s="902"/>
      <c r="C308" s="901"/>
      <c r="D308" s="901"/>
      <c r="E308" s="901"/>
      <c r="F308" s="903"/>
      <c r="G308" s="901"/>
      <c r="H308" s="792"/>
      <c r="I308" s="792"/>
      <c r="J308" s="792"/>
      <c r="K308" s="792"/>
      <c r="L308" s="792"/>
      <c r="M308" s="792"/>
      <c r="N308" s="792"/>
      <c r="O308" s="792"/>
      <c r="P308" s="792"/>
      <c r="Q308" s="792"/>
      <c r="R308" s="792"/>
      <c r="S308" s="792"/>
      <c r="T308" s="792"/>
      <c r="U308" s="792"/>
      <c r="V308" s="792"/>
      <c r="W308" s="792"/>
      <c r="X308" s="792"/>
      <c r="Y308" s="792"/>
      <c r="Z308" s="792"/>
    </row>
    <row r="309" ht="15.75" customHeight="1">
      <c r="A309" s="901"/>
      <c r="B309" s="902"/>
      <c r="C309" s="901"/>
      <c r="D309" s="901"/>
      <c r="E309" s="901"/>
      <c r="F309" s="903"/>
      <c r="G309" s="901"/>
      <c r="H309" s="792"/>
      <c r="I309" s="792"/>
      <c r="J309" s="792"/>
      <c r="K309" s="792"/>
      <c r="L309" s="792"/>
      <c r="M309" s="792"/>
      <c r="N309" s="792"/>
      <c r="O309" s="792"/>
      <c r="P309" s="792"/>
      <c r="Q309" s="792"/>
      <c r="R309" s="792"/>
      <c r="S309" s="792"/>
      <c r="T309" s="792"/>
      <c r="U309" s="792"/>
      <c r="V309" s="792"/>
      <c r="W309" s="792"/>
      <c r="X309" s="792"/>
      <c r="Y309" s="792"/>
      <c r="Z309" s="792"/>
    </row>
    <row r="310" ht="15.75" customHeight="1">
      <c r="A310" s="901"/>
      <c r="B310" s="902"/>
      <c r="C310" s="901"/>
      <c r="D310" s="901"/>
      <c r="E310" s="901"/>
      <c r="F310" s="903"/>
      <c r="G310" s="901"/>
      <c r="H310" s="792"/>
      <c r="I310" s="792"/>
      <c r="J310" s="792"/>
      <c r="K310" s="792"/>
      <c r="L310" s="792"/>
      <c r="M310" s="792"/>
      <c r="N310" s="792"/>
      <c r="O310" s="792"/>
      <c r="P310" s="792"/>
      <c r="Q310" s="792"/>
      <c r="R310" s="792"/>
      <c r="S310" s="792"/>
      <c r="T310" s="792"/>
      <c r="U310" s="792"/>
      <c r="V310" s="792"/>
      <c r="W310" s="792"/>
      <c r="X310" s="792"/>
      <c r="Y310" s="792"/>
      <c r="Z310" s="792"/>
    </row>
    <row r="311" ht="15.75" customHeight="1">
      <c r="A311" s="901"/>
      <c r="B311" s="902"/>
      <c r="C311" s="901"/>
      <c r="D311" s="901"/>
      <c r="E311" s="901"/>
      <c r="F311" s="903"/>
      <c r="G311" s="901"/>
      <c r="H311" s="792"/>
      <c r="I311" s="792"/>
      <c r="J311" s="792"/>
      <c r="K311" s="792"/>
      <c r="L311" s="792"/>
      <c r="M311" s="792"/>
      <c r="N311" s="792"/>
      <c r="O311" s="792"/>
      <c r="P311" s="792"/>
      <c r="Q311" s="792"/>
      <c r="R311" s="792"/>
      <c r="S311" s="792"/>
      <c r="T311" s="792"/>
      <c r="U311" s="792"/>
      <c r="V311" s="792"/>
      <c r="W311" s="792"/>
      <c r="X311" s="792"/>
      <c r="Y311" s="792"/>
      <c r="Z311" s="792"/>
    </row>
    <row r="312" ht="15.75" customHeight="1">
      <c r="A312" s="901"/>
      <c r="B312" s="902"/>
      <c r="C312" s="901"/>
      <c r="D312" s="901"/>
      <c r="E312" s="901"/>
      <c r="F312" s="903"/>
      <c r="G312" s="901"/>
      <c r="H312" s="792"/>
      <c r="I312" s="792"/>
      <c r="J312" s="792"/>
      <c r="K312" s="792"/>
      <c r="L312" s="792"/>
      <c r="M312" s="792"/>
      <c r="N312" s="792"/>
      <c r="O312" s="792"/>
      <c r="P312" s="792"/>
      <c r="Q312" s="792"/>
      <c r="R312" s="792"/>
      <c r="S312" s="792"/>
      <c r="T312" s="792"/>
      <c r="U312" s="792"/>
      <c r="V312" s="792"/>
      <c r="W312" s="792"/>
      <c r="X312" s="792"/>
      <c r="Y312" s="792"/>
      <c r="Z312" s="792"/>
    </row>
    <row r="313" ht="15.75" customHeight="1">
      <c r="A313" s="901"/>
      <c r="B313" s="902"/>
      <c r="C313" s="901"/>
      <c r="D313" s="901"/>
      <c r="E313" s="901"/>
      <c r="F313" s="903"/>
      <c r="G313" s="901"/>
      <c r="H313" s="792"/>
      <c r="I313" s="792"/>
      <c r="J313" s="792"/>
      <c r="K313" s="792"/>
      <c r="L313" s="792"/>
      <c r="M313" s="792"/>
      <c r="N313" s="792"/>
      <c r="O313" s="792"/>
      <c r="P313" s="792"/>
      <c r="Q313" s="792"/>
      <c r="R313" s="792"/>
      <c r="S313" s="792"/>
      <c r="T313" s="792"/>
      <c r="U313" s="792"/>
      <c r="V313" s="792"/>
      <c r="W313" s="792"/>
      <c r="X313" s="792"/>
      <c r="Y313" s="792"/>
      <c r="Z313" s="792"/>
    </row>
    <row r="314" ht="15.75" customHeight="1">
      <c r="A314" s="901"/>
      <c r="B314" s="902"/>
      <c r="C314" s="901"/>
      <c r="D314" s="901"/>
      <c r="E314" s="901"/>
      <c r="F314" s="903"/>
      <c r="G314" s="901"/>
      <c r="H314" s="792"/>
      <c r="I314" s="792"/>
      <c r="J314" s="792"/>
      <c r="K314" s="792"/>
      <c r="L314" s="792"/>
      <c r="M314" s="792"/>
      <c r="N314" s="792"/>
      <c r="O314" s="792"/>
      <c r="P314" s="792"/>
      <c r="Q314" s="792"/>
      <c r="R314" s="792"/>
      <c r="S314" s="792"/>
      <c r="T314" s="792"/>
      <c r="U314" s="792"/>
      <c r="V314" s="792"/>
      <c r="W314" s="792"/>
      <c r="X314" s="792"/>
      <c r="Y314" s="792"/>
      <c r="Z314" s="792"/>
    </row>
    <row r="315" ht="15.75" customHeight="1">
      <c r="A315" s="901"/>
      <c r="B315" s="902"/>
      <c r="C315" s="901"/>
      <c r="D315" s="901"/>
      <c r="E315" s="901"/>
      <c r="F315" s="903"/>
      <c r="G315" s="901"/>
      <c r="H315" s="792"/>
      <c r="I315" s="792"/>
      <c r="J315" s="792"/>
      <c r="K315" s="792"/>
      <c r="L315" s="792"/>
      <c r="M315" s="792"/>
      <c r="N315" s="792"/>
      <c r="O315" s="792"/>
      <c r="P315" s="792"/>
      <c r="Q315" s="792"/>
      <c r="R315" s="792"/>
      <c r="S315" s="792"/>
      <c r="T315" s="792"/>
      <c r="U315" s="792"/>
      <c r="V315" s="792"/>
      <c r="W315" s="792"/>
      <c r="X315" s="792"/>
      <c r="Y315" s="792"/>
      <c r="Z315" s="792"/>
    </row>
    <row r="316" ht="15.75" customHeight="1">
      <c r="A316" s="901"/>
      <c r="B316" s="902"/>
      <c r="C316" s="901"/>
      <c r="D316" s="901"/>
      <c r="E316" s="901"/>
      <c r="F316" s="903"/>
      <c r="G316" s="901"/>
      <c r="H316" s="792"/>
      <c r="I316" s="792"/>
      <c r="J316" s="792"/>
      <c r="K316" s="792"/>
      <c r="L316" s="792"/>
      <c r="M316" s="792"/>
      <c r="N316" s="792"/>
      <c r="O316" s="792"/>
      <c r="P316" s="792"/>
      <c r="Q316" s="792"/>
      <c r="R316" s="792"/>
      <c r="S316" s="792"/>
      <c r="T316" s="792"/>
      <c r="U316" s="792"/>
      <c r="V316" s="792"/>
      <c r="W316" s="792"/>
      <c r="X316" s="792"/>
      <c r="Y316" s="792"/>
      <c r="Z316" s="792"/>
    </row>
    <row r="317" ht="15.75" customHeight="1">
      <c r="A317" s="901"/>
      <c r="B317" s="902"/>
      <c r="C317" s="901"/>
      <c r="D317" s="901"/>
      <c r="E317" s="901"/>
      <c r="F317" s="903"/>
      <c r="G317" s="901"/>
      <c r="H317" s="792"/>
      <c r="I317" s="792"/>
      <c r="J317" s="792"/>
      <c r="K317" s="792"/>
      <c r="L317" s="792"/>
      <c r="M317" s="792"/>
      <c r="N317" s="792"/>
      <c r="O317" s="792"/>
      <c r="P317" s="792"/>
      <c r="Q317" s="792"/>
      <c r="R317" s="792"/>
      <c r="S317" s="792"/>
      <c r="T317" s="792"/>
      <c r="U317" s="792"/>
      <c r="V317" s="792"/>
      <c r="W317" s="792"/>
      <c r="X317" s="792"/>
      <c r="Y317" s="792"/>
      <c r="Z317" s="792"/>
    </row>
    <row r="318" ht="15.75" customHeight="1">
      <c r="A318" s="901"/>
      <c r="B318" s="902"/>
      <c r="C318" s="901"/>
      <c r="D318" s="901"/>
      <c r="E318" s="901"/>
      <c r="F318" s="903"/>
      <c r="G318" s="901"/>
      <c r="H318" s="792"/>
      <c r="I318" s="792"/>
      <c r="J318" s="792"/>
      <c r="K318" s="792"/>
      <c r="L318" s="792"/>
      <c r="M318" s="792"/>
      <c r="N318" s="792"/>
      <c r="O318" s="792"/>
      <c r="P318" s="792"/>
      <c r="Q318" s="792"/>
      <c r="R318" s="792"/>
      <c r="S318" s="792"/>
      <c r="T318" s="792"/>
      <c r="U318" s="792"/>
      <c r="V318" s="792"/>
      <c r="W318" s="792"/>
      <c r="X318" s="792"/>
      <c r="Y318" s="792"/>
      <c r="Z318" s="792"/>
    </row>
    <row r="319" ht="15.75" customHeight="1">
      <c r="A319" s="901"/>
      <c r="B319" s="902"/>
      <c r="C319" s="901"/>
      <c r="D319" s="901"/>
      <c r="E319" s="901"/>
      <c r="F319" s="903"/>
      <c r="G319" s="901"/>
      <c r="H319" s="792"/>
      <c r="I319" s="792"/>
      <c r="J319" s="792"/>
      <c r="K319" s="792"/>
      <c r="L319" s="792"/>
      <c r="M319" s="792"/>
      <c r="N319" s="792"/>
      <c r="O319" s="792"/>
      <c r="P319" s="792"/>
      <c r="Q319" s="792"/>
      <c r="R319" s="792"/>
      <c r="S319" s="792"/>
      <c r="T319" s="792"/>
      <c r="U319" s="792"/>
      <c r="V319" s="792"/>
      <c r="W319" s="792"/>
      <c r="X319" s="792"/>
      <c r="Y319" s="792"/>
      <c r="Z319" s="792"/>
    </row>
    <row r="320" ht="15.75" customHeight="1">
      <c r="A320" s="901"/>
      <c r="B320" s="902"/>
      <c r="C320" s="901"/>
      <c r="D320" s="901"/>
      <c r="E320" s="901"/>
      <c r="F320" s="903"/>
      <c r="G320" s="901"/>
      <c r="H320" s="792"/>
      <c r="I320" s="792"/>
      <c r="J320" s="792"/>
      <c r="K320" s="792"/>
      <c r="L320" s="792"/>
      <c r="M320" s="792"/>
      <c r="N320" s="792"/>
      <c r="O320" s="792"/>
      <c r="P320" s="792"/>
      <c r="Q320" s="792"/>
      <c r="R320" s="792"/>
      <c r="S320" s="792"/>
      <c r="T320" s="792"/>
      <c r="U320" s="792"/>
      <c r="V320" s="792"/>
      <c r="W320" s="792"/>
      <c r="X320" s="792"/>
      <c r="Y320" s="792"/>
      <c r="Z320" s="792"/>
    </row>
    <row r="321" ht="15.75" customHeight="1">
      <c r="A321" s="901"/>
      <c r="B321" s="902"/>
      <c r="C321" s="901"/>
      <c r="D321" s="901"/>
      <c r="E321" s="901"/>
      <c r="F321" s="903"/>
      <c r="G321" s="901"/>
      <c r="H321" s="792"/>
      <c r="I321" s="792"/>
      <c r="J321" s="792"/>
      <c r="K321" s="792"/>
      <c r="L321" s="792"/>
      <c r="M321" s="792"/>
      <c r="N321" s="792"/>
      <c r="O321" s="792"/>
      <c r="P321" s="792"/>
      <c r="Q321" s="792"/>
      <c r="R321" s="792"/>
      <c r="S321" s="792"/>
      <c r="T321" s="792"/>
      <c r="U321" s="792"/>
      <c r="V321" s="792"/>
      <c r="W321" s="792"/>
      <c r="X321" s="792"/>
      <c r="Y321" s="792"/>
      <c r="Z321" s="792"/>
    </row>
    <row r="322" ht="15.75" customHeight="1">
      <c r="A322" s="901"/>
      <c r="B322" s="902"/>
      <c r="C322" s="901"/>
      <c r="D322" s="901"/>
      <c r="E322" s="901"/>
      <c r="F322" s="903"/>
      <c r="G322" s="901"/>
      <c r="H322" s="792"/>
      <c r="I322" s="792"/>
      <c r="J322" s="792"/>
      <c r="K322" s="792"/>
      <c r="L322" s="792"/>
      <c r="M322" s="792"/>
      <c r="N322" s="792"/>
      <c r="O322" s="792"/>
      <c r="P322" s="792"/>
      <c r="Q322" s="792"/>
      <c r="R322" s="792"/>
      <c r="S322" s="792"/>
      <c r="T322" s="792"/>
      <c r="U322" s="792"/>
      <c r="V322" s="792"/>
      <c r="W322" s="792"/>
      <c r="X322" s="792"/>
      <c r="Y322" s="792"/>
      <c r="Z322" s="792"/>
    </row>
    <row r="323" ht="15.75" customHeight="1">
      <c r="A323" s="901"/>
      <c r="B323" s="902"/>
      <c r="C323" s="901"/>
      <c r="D323" s="901"/>
      <c r="E323" s="901"/>
      <c r="F323" s="903"/>
      <c r="G323" s="901"/>
      <c r="H323" s="792"/>
      <c r="I323" s="792"/>
      <c r="J323" s="792"/>
      <c r="K323" s="792"/>
      <c r="L323" s="792"/>
      <c r="M323" s="792"/>
      <c r="N323" s="792"/>
      <c r="O323" s="792"/>
      <c r="P323" s="792"/>
      <c r="Q323" s="792"/>
      <c r="R323" s="792"/>
      <c r="S323" s="792"/>
      <c r="T323" s="792"/>
      <c r="U323" s="792"/>
      <c r="V323" s="792"/>
      <c r="W323" s="792"/>
      <c r="X323" s="792"/>
      <c r="Y323" s="792"/>
      <c r="Z323" s="792"/>
    </row>
    <row r="324" ht="15.75" customHeight="1">
      <c r="A324" s="901"/>
      <c r="B324" s="902"/>
      <c r="C324" s="901"/>
      <c r="D324" s="901"/>
      <c r="E324" s="901"/>
      <c r="F324" s="903"/>
      <c r="G324" s="901"/>
      <c r="H324" s="792"/>
      <c r="I324" s="792"/>
      <c r="J324" s="792"/>
      <c r="K324" s="792"/>
      <c r="L324" s="792"/>
      <c r="M324" s="792"/>
      <c r="N324" s="792"/>
      <c r="O324" s="792"/>
      <c r="P324" s="792"/>
      <c r="Q324" s="792"/>
      <c r="R324" s="792"/>
      <c r="S324" s="792"/>
      <c r="T324" s="792"/>
      <c r="U324" s="792"/>
      <c r="V324" s="792"/>
      <c r="W324" s="792"/>
      <c r="X324" s="792"/>
      <c r="Y324" s="792"/>
      <c r="Z324" s="792"/>
    </row>
    <row r="325" ht="15.75" customHeight="1">
      <c r="A325" s="901"/>
      <c r="B325" s="902"/>
      <c r="C325" s="901"/>
      <c r="D325" s="901"/>
      <c r="E325" s="901"/>
      <c r="F325" s="903"/>
      <c r="G325" s="901"/>
      <c r="H325" s="792"/>
      <c r="I325" s="792"/>
      <c r="J325" s="792"/>
      <c r="K325" s="792"/>
      <c r="L325" s="792"/>
      <c r="M325" s="792"/>
      <c r="N325" s="792"/>
      <c r="O325" s="792"/>
      <c r="P325" s="792"/>
      <c r="Q325" s="792"/>
      <c r="R325" s="792"/>
      <c r="S325" s="792"/>
      <c r="T325" s="792"/>
      <c r="U325" s="792"/>
      <c r="V325" s="792"/>
      <c r="W325" s="792"/>
      <c r="X325" s="792"/>
      <c r="Y325" s="792"/>
      <c r="Z325" s="792"/>
    </row>
    <row r="326" ht="15.75" customHeight="1">
      <c r="A326" s="901"/>
      <c r="B326" s="902"/>
      <c r="C326" s="901"/>
      <c r="D326" s="901"/>
      <c r="E326" s="901"/>
      <c r="F326" s="903"/>
      <c r="G326" s="901"/>
      <c r="H326" s="792"/>
      <c r="I326" s="792"/>
      <c r="J326" s="792"/>
      <c r="K326" s="792"/>
      <c r="L326" s="792"/>
      <c r="M326" s="792"/>
      <c r="N326" s="792"/>
      <c r="O326" s="792"/>
      <c r="P326" s="792"/>
      <c r="Q326" s="792"/>
      <c r="R326" s="792"/>
      <c r="S326" s="792"/>
      <c r="T326" s="792"/>
      <c r="U326" s="792"/>
      <c r="V326" s="792"/>
      <c r="W326" s="792"/>
      <c r="X326" s="792"/>
      <c r="Y326" s="792"/>
      <c r="Z326" s="792"/>
    </row>
    <row r="327" ht="15.75" customHeight="1">
      <c r="A327" s="901"/>
      <c r="B327" s="902"/>
      <c r="C327" s="901"/>
      <c r="D327" s="901"/>
      <c r="E327" s="901"/>
      <c r="F327" s="903"/>
      <c r="G327" s="901"/>
      <c r="H327" s="792"/>
      <c r="I327" s="792"/>
      <c r="J327" s="792"/>
      <c r="K327" s="792"/>
      <c r="L327" s="792"/>
      <c r="M327" s="792"/>
      <c r="N327" s="792"/>
      <c r="O327" s="792"/>
      <c r="P327" s="792"/>
      <c r="Q327" s="792"/>
      <c r="R327" s="792"/>
      <c r="S327" s="792"/>
      <c r="T327" s="792"/>
      <c r="U327" s="792"/>
      <c r="V327" s="792"/>
      <c r="W327" s="792"/>
      <c r="X327" s="792"/>
      <c r="Y327" s="792"/>
      <c r="Z327" s="792"/>
    </row>
    <row r="328" ht="15.75" customHeight="1">
      <c r="A328" s="901"/>
      <c r="B328" s="902"/>
      <c r="C328" s="901"/>
      <c r="D328" s="901"/>
      <c r="E328" s="901"/>
      <c r="F328" s="903"/>
      <c r="G328" s="901"/>
      <c r="H328" s="792"/>
      <c r="I328" s="792"/>
      <c r="J328" s="792"/>
      <c r="K328" s="792"/>
      <c r="L328" s="792"/>
      <c r="M328" s="792"/>
      <c r="N328" s="792"/>
      <c r="O328" s="792"/>
      <c r="P328" s="792"/>
      <c r="Q328" s="792"/>
      <c r="R328" s="792"/>
      <c r="S328" s="792"/>
      <c r="T328" s="792"/>
      <c r="U328" s="792"/>
      <c r="V328" s="792"/>
      <c r="W328" s="792"/>
      <c r="X328" s="792"/>
      <c r="Y328" s="792"/>
      <c r="Z328" s="792"/>
    </row>
    <row r="329" ht="15.75" customHeight="1">
      <c r="A329" s="901"/>
      <c r="B329" s="902"/>
      <c r="C329" s="901"/>
      <c r="D329" s="901"/>
      <c r="E329" s="901"/>
      <c r="F329" s="903"/>
      <c r="G329" s="901"/>
      <c r="H329" s="792"/>
      <c r="I329" s="792"/>
      <c r="J329" s="792"/>
      <c r="K329" s="792"/>
      <c r="L329" s="792"/>
      <c r="M329" s="792"/>
      <c r="N329" s="792"/>
      <c r="O329" s="792"/>
      <c r="P329" s="792"/>
      <c r="Q329" s="792"/>
      <c r="R329" s="792"/>
      <c r="S329" s="792"/>
      <c r="T329" s="792"/>
      <c r="U329" s="792"/>
      <c r="V329" s="792"/>
      <c r="W329" s="792"/>
      <c r="X329" s="792"/>
      <c r="Y329" s="792"/>
      <c r="Z329" s="792"/>
    </row>
    <row r="330" ht="15.75" customHeight="1">
      <c r="A330" s="901"/>
      <c r="B330" s="902"/>
      <c r="C330" s="901"/>
      <c r="D330" s="901"/>
      <c r="E330" s="901"/>
      <c r="F330" s="903"/>
      <c r="G330" s="901"/>
      <c r="H330" s="792"/>
      <c r="I330" s="792"/>
      <c r="J330" s="792"/>
      <c r="K330" s="792"/>
      <c r="L330" s="792"/>
      <c r="M330" s="792"/>
      <c r="N330" s="792"/>
      <c r="O330" s="792"/>
      <c r="P330" s="792"/>
      <c r="Q330" s="792"/>
      <c r="R330" s="792"/>
      <c r="S330" s="792"/>
      <c r="T330" s="792"/>
      <c r="U330" s="792"/>
      <c r="V330" s="792"/>
      <c r="W330" s="792"/>
      <c r="X330" s="792"/>
      <c r="Y330" s="792"/>
      <c r="Z330" s="792"/>
    </row>
    <row r="331" ht="15.75" customHeight="1">
      <c r="A331" s="901"/>
      <c r="B331" s="902"/>
      <c r="C331" s="901"/>
      <c r="D331" s="901"/>
      <c r="E331" s="901"/>
      <c r="F331" s="903"/>
      <c r="G331" s="901"/>
      <c r="H331" s="792"/>
      <c r="I331" s="792"/>
      <c r="J331" s="792"/>
      <c r="K331" s="792"/>
      <c r="L331" s="792"/>
      <c r="M331" s="792"/>
      <c r="N331" s="792"/>
      <c r="O331" s="792"/>
      <c r="P331" s="792"/>
      <c r="Q331" s="792"/>
      <c r="R331" s="792"/>
      <c r="S331" s="792"/>
      <c r="T331" s="792"/>
      <c r="U331" s="792"/>
      <c r="V331" s="792"/>
      <c r="W331" s="792"/>
      <c r="X331" s="792"/>
      <c r="Y331" s="792"/>
      <c r="Z331" s="792"/>
    </row>
    <row r="332" ht="15.75" customHeight="1">
      <c r="A332" s="901"/>
      <c r="B332" s="902"/>
      <c r="C332" s="901"/>
      <c r="D332" s="901"/>
      <c r="E332" s="901"/>
      <c r="F332" s="903"/>
      <c r="G332" s="901"/>
      <c r="H332" s="792"/>
      <c r="I332" s="792"/>
      <c r="J332" s="792"/>
      <c r="K332" s="792"/>
      <c r="L332" s="792"/>
      <c r="M332" s="792"/>
      <c r="N332" s="792"/>
      <c r="O332" s="792"/>
      <c r="P332" s="792"/>
      <c r="Q332" s="792"/>
      <c r="R332" s="792"/>
      <c r="S332" s="792"/>
      <c r="T332" s="792"/>
      <c r="U332" s="792"/>
      <c r="V332" s="792"/>
      <c r="W332" s="792"/>
      <c r="X332" s="792"/>
      <c r="Y332" s="792"/>
      <c r="Z332" s="792"/>
    </row>
    <row r="333" ht="15.75" customHeight="1">
      <c r="A333" s="901"/>
      <c r="B333" s="902"/>
      <c r="C333" s="901"/>
      <c r="D333" s="901"/>
      <c r="E333" s="901"/>
      <c r="F333" s="903"/>
      <c r="G333" s="901"/>
      <c r="H333" s="792"/>
      <c r="I333" s="792"/>
      <c r="J333" s="792"/>
      <c r="K333" s="792"/>
      <c r="L333" s="792"/>
      <c r="M333" s="792"/>
      <c r="N333" s="792"/>
      <c r="O333" s="792"/>
      <c r="P333" s="792"/>
      <c r="Q333" s="792"/>
      <c r="R333" s="792"/>
      <c r="S333" s="792"/>
      <c r="T333" s="792"/>
      <c r="U333" s="792"/>
      <c r="V333" s="792"/>
      <c r="W333" s="792"/>
      <c r="X333" s="792"/>
      <c r="Y333" s="792"/>
      <c r="Z333" s="792"/>
    </row>
    <row r="334" ht="15.75" customHeight="1">
      <c r="A334" s="901"/>
      <c r="B334" s="902"/>
      <c r="C334" s="901"/>
      <c r="D334" s="901"/>
      <c r="E334" s="901"/>
      <c r="F334" s="903"/>
      <c r="G334" s="901"/>
      <c r="H334" s="792"/>
      <c r="I334" s="792"/>
      <c r="J334" s="792"/>
      <c r="K334" s="792"/>
      <c r="L334" s="792"/>
      <c r="M334" s="792"/>
      <c r="N334" s="792"/>
      <c r="O334" s="792"/>
      <c r="P334" s="792"/>
      <c r="Q334" s="792"/>
      <c r="R334" s="792"/>
      <c r="S334" s="792"/>
      <c r="T334" s="792"/>
      <c r="U334" s="792"/>
      <c r="V334" s="792"/>
      <c r="W334" s="792"/>
      <c r="X334" s="792"/>
      <c r="Y334" s="792"/>
      <c r="Z334" s="792"/>
    </row>
    <row r="335" ht="15.75" customHeight="1">
      <c r="A335" s="901"/>
      <c r="B335" s="902"/>
      <c r="C335" s="901"/>
      <c r="D335" s="901"/>
      <c r="E335" s="901"/>
      <c r="F335" s="903"/>
      <c r="G335" s="901"/>
      <c r="H335" s="792"/>
      <c r="I335" s="792"/>
      <c r="J335" s="792"/>
      <c r="K335" s="792"/>
      <c r="L335" s="792"/>
      <c r="M335" s="792"/>
      <c r="N335" s="792"/>
      <c r="O335" s="792"/>
      <c r="P335" s="792"/>
      <c r="Q335" s="792"/>
      <c r="R335" s="792"/>
      <c r="S335" s="792"/>
      <c r="T335" s="792"/>
      <c r="U335" s="792"/>
      <c r="V335" s="792"/>
      <c r="W335" s="792"/>
      <c r="X335" s="792"/>
      <c r="Y335" s="792"/>
      <c r="Z335" s="792"/>
    </row>
    <row r="336" ht="15.75" customHeight="1">
      <c r="A336" s="901"/>
      <c r="B336" s="902"/>
      <c r="C336" s="901"/>
      <c r="D336" s="901"/>
      <c r="E336" s="901"/>
      <c r="F336" s="903"/>
      <c r="G336" s="901"/>
      <c r="H336" s="792"/>
      <c r="I336" s="792"/>
      <c r="J336" s="792"/>
      <c r="K336" s="792"/>
      <c r="L336" s="792"/>
      <c r="M336" s="792"/>
      <c r="N336" s="792"/>
      <c r="O336" s="792"/>
      <c r="P336" s="792"/>
      <c r="Q336" s="792"/>
      <c r="R336" s="792"/>
      <c r="S336" s="792"/>
      <c r="T336" s="792"/>
      <c r="U336" s="792"/>
      <c r="V336" s="792"/>
      <c r="W336" s="792"/>
      <c r="X336" s="792"/>
      <c r="Y336" s="792"/>
      <c r="Z336" s="792"/>
    </row>
    <row r="337" ht="15.75" customHeight="1">
      <c r="A337" s="901"/>
      <c r="B337" s="902"/>
      <c r="C337" s="901"/>
      <c r="D337" s="901"/>
      <c r="E337" s="901"/>
      <c r="F337" s="903"/>
      <c r="G337" s="901"/>
      <c r="H337" s="792"/>
      <c r="I337" s="792"/>
      <c r="J337" s="792"/>
      <c r="K337" s="792"/>
      <c r="L337" s="792"/>
      <c r="M337" s="792"/>
      <c r="N337" s="792"/>
      <c r="O337" s="792"/>
      <c r="P337" s="792"/>
      <c r="Q337" s="792"/>
      <c r="R337" s="792"/>
      <c r="S337" s="792"/>
      <c r="T337" s="792"/>
      <c r="U337" s="792"/>
      <c r="V337" s="792"/>
      <c r="W337" s="792"/>
      <c r="X337" s="792"/>
      <c r="Y337" s="792"/>
      <c r="Z337" s="792"/>
    </row>
    <row r="338" ht="15.75" customHeight="1">
      <c r="A338" s="901"/>
      <c r="B338" s="902"/>
      <c r="C338" s="901"/>
      <c r="D338" s="901"/>
      <c r="E338" s="901"/>
      <c r="F338" s="903"/>
      <c r="G338" s="901"/>
      <c r="H338" s="792"/>
      <c r="I338" s="792"/>
      <c r="J338" s="792"/>
      <c r="K338" s="792"/>
      <c r="L338" s="792"/>
      <c r="M338" s="792"/>
      <c r="N338" s="792"/>
      <c r="O338" s="792"/>
      <c r="P338" s="792"/>
      <c r="Q338" s="792"/>
      <c r="R338" s="792"/>
      <c r="S338" s="792"/>
      <c r="T338" s="792"/>
      <c r="U338" s="792"/>
      <c r="V338" s="792"/>
      <c r="W338" s="792"/>
      <c r="X338" s="792"/>
      <c r="Y338" s="792"/>
      <c r="Z338" s="792"/>
    </row>
    <row r="339" ht="15.75" customHeight="1">
      <c r="A339" s="901"/>
      <c r="B339" s="902"/>
      <c r="C339" s="901"/>
      <c r="D339" s="901"/>
      <c r="E339" s="901"/>
      <c r="F339" s="903"/>
      <c r="G339" s="901"/>
      <c r="H339" s="792"/>
      <c r="I339" s="792"/>
      <c r="J339" s="792"/>
      <c r="K339" s="792"/>
      <c r="L339" s="792"/>
      <c r="M339" s="792"/>
      <c r="N339" s="792"/>
      <c r="O339" s="792"/>
      <c r="P339" s="792"/>
      <c r="Q339" s="792"/>
      <c r="R339" s="792"/>
      <c r="S339" s="792"/>
      <c r="T339" s="792"/>
      <c r="U339" s="792"/>
      <c r="V339" s="792"/>
      <c r="W339" s="792"/>
      <c r="X339" s="792"/>
      <c r="Y339" s="792"/>
      <c r="Z339" s="792"/>
    </row>
    <row r="340" ht="15.75" customHeight="1">
      <c r="A340" s="901"/>
      <c r="B340" s="902"/>
      <c r="C340" s="901"/>
      <c r="D340" s="901"/>
      <c r="E340" s="901"/>
      <c r="F340" s="903"/>
      <c r="G340" s="901"/>
      <c r="H340" s="792"/>
      <c r="I340" s="792"/>
      <c r="J340" s="792"/>
      <c r="K340" s="792"/>
      <c r="L340" s="792"/>
      <c r="M340" s="792"/>
      <c r="N340" s="792"/>
      <c r="O340" s="792"/>
      <c r="P340" s="792"/>
      <c r="Q340" s="792"/>
      <c r="R340" s="792"/>
      <c r="S340" s="792"/>
      <c r="T340" s="792"/>
      <c r="U340" s="792"/>
      <c r="V340" s="792"/>
      <c r="W340" s="792"/>
      <c r="X340" s="792"/>
      <c r="Y340" s="792"/>
      <c r="Z340" s="792"/>
    </row>
    <row r="341" ht="15.75" customHeight="1">
      <c r="A341" s="901"/>
      <c r="B341" s="902"/>
      <c r="C341" s="901"/>
      <c r="D341" s="901"/>
      <c r="E341" s="901"/>
      <c r="F341" s="903"/>
      <c r="G341" s="901"/>
      <c r="H341" s="792"/>
      <c r="I341" s="792"/>
      <c r="J341" s="792"/>
      <c r="K341" s="792"/>
      <c r="L341" s="792"/>
      <c r="M341" s="792"/>
      <c r="N341" s="792"/>
      <c r="O341" s="792"/>
      <c r="P341" s="792"/>
      <c r="Q341" s="792"/>
      <c r="R341" s="792"/>
      <c r="S341" s="792"/>
      <c r="T341" s="792"/>
      <c r="U341" s="792"/>
      <c r="V341" s="792"/>
      <c r="W341" s="792"/>
      <c r="X341" s="792"/>
      <c r="Y341" s="792"/>
      <c r="Z341" s="792"/>
    </row>
    <row r="342" ht="15.75" customHeight="1">
      <c r="A342" s="901"/>
      <c r="B342" s="902"/>
      <c r="C342" s="901"/>
      <c r="D342" s="901"/>
      <c r="E342" s="901"/>
      <c r="F342" s="903"/>
      <c r="G342" s="901"/>
      <c r="H342" s="792"/>
      <c r="I342" s="792"/>
      <c r="J342" s="792"/>
      <c r="K342" s="792"/>
      <c r="L342" s="792"/>
      <c r="M342" s="792"/>
      <c r="N342" s="792"/>
      <c r="O342" s="792"/>
      <c r="P342" s="792"/>
      <c r="Q342" s="792"/>
      <c r="R342" s="792"/>
      <c r="S342" s="792"/>
      <c r="T342" s="792"/>
      <c r="U342" s="792"/>
      <c r="V342" s="792"/>
      <c r="W342" s="792"/>
      <c r="X342" s="792"/>
      <c r="Y342" s="792"/>
      <c r="Z342" s="792"/>
    </row>
    <row r="343" ht="15.75" customHeight="1">
      <c r="A343" s="901"/>
      <c r="B343" s="902"/>
      <c r="C343" s="901"/>
      <c r="D343" s="901"/>
      <c r="E343" s="901"/>
      <c r="F343" s="903"/>
      <c r="G343" s="901"/>
      <c r="H343" s="792"/>
      <c r="I343" s="792"/>
      <c r="J343" s="792"/>
      <c r="K343" s="792"/>
      <c r="L343" s="792"/>
      <c r="M343" s="792"/>
      <c r="N343" s="792"/>
      <c r="O343" s="792"/>
      <c r="P343" s="792"/>
      <c r="Q343" s="792"/>
      <c r="R343" s="792"/>
      <c r="S343" s="792"/>
      <c r="T343" s="792"/>
      <c r="U343" s="792"/>
      <c r="V343" s="792"/>
      <c r="W343" s="792"/>
      <c r="X343" s="792"/>
      <c r="Y343" s="792"/>
      <c r="Z343" s="792"/>
    </row>
    <row r="344" ht="15.75" customHeight="1">
      <c r="A344" s="901"/>
      <c r="B344" s="902"/>
      <c r="C344" s="901"/>
      <c r="D344" s="901"/>
      <c r="E344" s="901"/>
      <c r="F344" s="903"/>
      <c r="G344" s="901"/>
      <c r="H344" s="792"/>
      <c r="I344" s="792"/>
      <c r="J344" s="792"/>
      <c r="K344" s="792"/>
      <c r="L344" s="792"/>
      <c r="M344" s="792"/>
      <c r="N344" s="792"/>
      <c r="O344" s="792"/>
      <c r="P344" s="792"/>
      <c r="Q344" s="792"/>
      <c r="R344" s="792"/>
      <c r="S344" s="792"/>
      <c r="T344" s="792"/>
      <c r="U344" s="792"/>
      <c r="V344" s="792"/>
      <c r="W344" s="792"/>
      <c r="X344" s="792"/>
      <c r="Y344" s="792"/>
      <c r="Z344" s="792"/>
    </row>
    <row r="345" ht="15.75" customHeight="1">
      <c r="A345" s="901"/>
      <c r="B345" s="902"/>
      <c r="C345" s="901"/>
      <c r="D345" s="901"/>
      <c r="E345" s="901"/>
      <c r="F345" s="903"/>
      <c r="G345" s="901"/>
      <c r="H345" s="792"/>
      <c r="I345" s="792"/>
      <c r="J345" s="792"/>
      <c r="K345" s="792"/>
      <c r="L345" s="792"/>
      <c r="M345" s="792"/>
      <c r="N345" s="792"/>
      <c r="O345" s="792"/>
      <c r="P345" s="792"/>
      <c r="Q345" s="792"/>
      <c r="R345" s="792"/>
      <c r="S345" s="792"/>
      <c r="T345" s="792"/>
      <c r="U345" s="792"/>
      <c r="V345" s="792"/>
      <c r="W345" s="792"/>
      <c r="X345" s="792"/>
      <c r="Y345" s="792"/>
      <c r="Z345" s="792"/>
    </row>
    <row r="346" ht="15.75" customHeight="1">
      <c r="A346" s="901"/>
      <c r="B346" s="902"/>
      <c r="C346" s="901"/>
      <c r="D346" s="901"/>
      <c r="E346" s="901"/>
      <c r="F346" s="903"/>
      <c r="G346" s="901"/>
      <c r="H346" s="792"/>
      <c r="I346" s="792"/>
      <c r="J346" s="792"/>
      <c r="K346" s="792"/>
      <c r="L346" s="792"/>
      <c r="M346" s="792"/>
      <c r="N346" s="792"/>
      <c r="O346" s="792"/>
      <c r="P346" s="792"/>
      <c r="Q346" s="792"/>
      <c r="R346" s="792"/>
      <c r="S346" s="792"/>
      <c r="T346" s="792"/>
      <c r="U346" s="792"/>
      <c r="V346" s="792"/>
      <c r="W346" s="792"/>
      <c r="X346" s="792"/>
      <c r="Y346" s="792"/>
      <c r="Z346" s="792"/>
    </row>
    <row r="347" ht="15.75" customHeight="1">
      <c r="A347" s="901"/>
      <c r="B347" s="902"/>
      <c r="C347" s="901"/>
      <c r="D347" s="901"/>
      <c r="E347" s="901"/>
      <c r="F347" s="903"/>
      <c r="G347" s="901"/>
      <c r="H347" s="792"/>
      <c r="I347" s="792"/>
      <c r="J347" s="792"/>
      <c r="K347" s="792"/>
      <c r="L347" s="792"/>
      <c r="M347" s="792"/>
      <c r="N347" s="792"/>
      <c r="O347" s="792"/>
      <c r="P347" s="792"/>
      <c r="Q347" s="792"/>
      <c r="R347" s="792"/>
      <c r="S347" s="792"/>
      <c r="T347" s="792"/>
      <c r="U347" s="792"/>
      <c r="V347" s="792"/>
      <c r="W347" s="792"/>
      <c r="X347" s="792"/>
      <c r="Y347" s="792"/>
      <c r="Z347" s="792"/>
    </row>
    <row r="348" ht="15.75" customHeight="1">
      <c r="A348" s="901"/>
      <c r="B348" s="902"/>
      <c r="C348" s="901"/>
      <c r="D348" s="901"/>
      <c r="E348" s="901"/>
      <c r="F348" s="903"/>
      <c r="G348" s="901"/>
      <c r="H348" s="792"/>
      <c r="I348" s="792"/>
      <c r="J348" s="792"/>
      <c r="K348" s="792"/>
      <c r="L348" s="792"/>
      <c r="M348" s="792"/>
      <c r="N348" s="792"/>
      <c r="O348" s="792"/>
      <c r="P348" s="792"/>
      <c r="Q348" s="792"/>
      <c r="R348" s="792"/>
      <c r="S348" s="792"/>
      <c r="T348" s="792"/>
      <c r="U348" s="792"/>
      <c r="V348" s="792"/>
      <c r="W348" s="792"/>
      <c r="X348" s="792"/>
      <c r="Y348" s="792"/>
      <c r="Z348" s="792"/>
    </row>
    <row r="349" ht="15.75" customHeight="1">
      <c r="A349" s="901"/>
      <c r="B349" s="902"/>
      <c r="C349" s="901"/>
      <c r="D349" s="901"/>
      <c r="E349" s="901"/>
      <c r="F349" s="903"/>
      <c r="G349" s="901"/>
      <c r="H349" s="792"/>
      <c r="I349" s="792"/>
      <c r="J349" s="792"/>
      <c r="K349" s="792"/>
      <c r="L349" s="792"/>
      <c r="M349" s="792"/>
      <c r="N349" s="792"/>
      <c r="O349" s="792"/>
      <c r="P349" s="792"/>
      <c r="Q349" s="792"/>
      <c r="R349" s="792"/>
      <c r="S349" s="792"/>
      <c r="T349" s="792"/>
      <c r="U349" s="792"/>
      <c r="V349" s="792"/>
      <c r="W349" s="792"/>
      <c r="X349" s="792"/>
      <c r="Y349" s="792"/>
      <c r="Z349" s="792"/>
    </row>
    <row r="350" ht="15.75" customHeight="1">
      <c r="A350" s="901"/>
      <c r="B350" s="902"/>
      <c r="C350" s="901"/>
      <c r="D350" s="901"/>
      <c r="E350" s="901"/>
      <c r="F350" s="903"/>
      <c r="G350" s="901"/>
      <c r="H350" s="792"/>
      <c r="I350" s="792"/>
      <c r="J350" s="792"/>
      <c r="K350" s="792"/>
      <c r="L350" s="792"/>
      <c r="M350" s="792"/>
      <c r="N350" s="792"/>
      <c r="O350" s="792"/>
      <c r="P350" s="792"/>
      <c r="Q350" s="792"/>
      <c r="R350" s="792"/>
      <c r="S350" s="792"/>
      <c r="T350" s="792"/>
      <c r="U350" s="792"/>
      <c r="V350" s="792"/>
      <c r="W350" s="792"/>
      <c r="X350" s="792"/>
      <c r="Y350" s="792"/>
      <c r="Z350" s="792"/>
    </row>
    <row r="351" ht="15.75" customHeight="1">
      <c r="A351" s="901"/>
      <c r="B351" s="902"/>
      <c r="C351" s="901"/>
      <c r="D351" s="901"/>
      <c r="E351" s="901"/>
      <c r="F351" s="903"/>
      <c r="G351" s="901"/>
      <c r="H351" s="792"/>
      <c r="I351" s="792"/>
      <c r="J351" s="792"/>
      <c r="K351" s="792"/>
      <c r="L351" s="792"/>
      <c r="M351" s="792"/>
      <c r="N351" s="792"/>
      <c r="O351" s="792"/>
      <c r="P351" s="792"/>
      <c r="Q351" s="792"/>
      <c r="R351" s="792"/>
      <c r="S351" s="792"/>
      <c r="T351" s="792"/>
      <c r="U351" s="792"/>
      <c r="V351" s="792"/>
      <c r="W351" s="792"/>
      <c r="X351" s="792"/>
      <c r="Y351" s="792"/>
      <c r="Z351" s="792"/>
    </row>
    <row r="352" ht="15.75" customHeight="1">
      <c r="A352" s="901"/>
      <c r="B352" s="902"/>
      <c r="C352" s="901"/>
      <c r="D352" s="901"/>
      <c r="E352" s="901"/>
      <c r="F352" s="903"/>
      <c r="G352" s="901"/>
      <c r="H352" s="792"/>
      <c r="I352" s="792"/>
      <c r="J352" s="792"/>
      <c r="K352" s="792"/>
      <c r="L352" s="792"/>
      <c r="M352" s="792"/>
      <c r="N352" s="792"/>
      <c r="O352" s="792"/>
      <c r="P352" s="792"/>
      <c r="Q352" s="792"/>
      <c r="R352" s="792"/>
      <c r="S352" s="792"/>
      <c r="T352" s="792"/>
      <c r="U352" s="792"/>
      <c r="V352" s="792"/>
      <c r="W352" s="792"/>
      <c r="X352" s="792"/>
      <c r="Y352" s="792"/>
      <c r="Z352" s="792"/>
    </row>
    <row r="353" ht="15.75" customHeight="1">
      <c r="A353" s="901"/>
      <c r="B353" s="902"/>
      <c r="C353" s="901"/>
      <c r="D353" s="901"/>
      <c r="E353" s="901"/>
      <c r="F353" s="903"/>
      <c r="G353" s="901"/>
      <c r="H353" s="792"/>
      <c r="I353" s="792"/>
      <c r="J353" s="792"/>
      <c r="K353" s="792"/>
      <c r="L353" s="792"/>
      <c r="M353" s="792"/>
      <c r="N353" s="792"/>
      <c r="O353" s="792"/>
      <c r="P353" s="792"/>
      <c r="Q353" s="792"/>
      <c r="R353" s="792"/>
      <c r="S353" s="792"/>
      <c r="T353" s="792"/>
      <c r="U353" s="792"/>
      <c r="V353" s="792"/>
      <c r="W353" s="792"/>
      <c r="X353" s="792"/>
      <c r="Y353" s="792"/>
      <c r="Z353" s="792"/>
    </row>
    <row r="354" ht="15.75" customHeight="1">
      <c r="A354" s="901"/>
      <c r="B354" s="902"/>
      <c r="C354" s="901"/>
      <c r="D354" s="901"/>
      <c r="E354" s="901"/>
      <c r="F354" s="903"/>
      <c r="G354" s="901"/>
      <c r="H354" s="792"/>
      <c r="I354" s="792"/>
      <c r="J354" s="792"/>
      <c r="K354" s="792"/>
      <c r="L354" s="792"/>
      <c r="M354" s="792"/>
      <c r="N354" s="792"/>
      <c r="O354" s="792"/>
      <c r="P354" s="792"/>
      <c r="Q354" s="792"/>
      <c r="R354" s="792"/>
      <c r="S354" s="792"/>
      <c r="T354" s="792"/>
      <c r="U354" s="792"/>
      <c r="V354" s="792"/>
      <c r="W354" s="792"/>
      <c r="X354" s="792"/>
      <c r="Y354" s="792"/>
      <c r="Z354" s="792"/>
    </row>
    <row r="355" ht="15.75" customHeight="1">
      <c r="A355" s="901"/>
      <c r="B355" s="902"/>
      <c r="C355" s="901"/>
      <c r="D355" s="901"/>
      <c r="E355" s="901"/>
      <c r="F355" s="903"/>
      <c r="G355" s="901"/>
      <c r="H355" s="792"/>
      <c r="I355" s="792"/>
      <c r="J355" s="792"/>
      <c r="K355" s="792"/>
      <c r="L355" s="792"/>
      <c r="M355" s="792"/>
      <c r="N355" s="792"/>
      <c r="O355" s="792"/>
      <c r="P355" s="792"/>
      <c r="Q355" s="792"/>
      <c r="R355" s="792"/>
      <c r="S355" s="792"/>
      <c r="T355" s="792"/>
      <c r="U355" s="792"/>
      <c r="V355" s="792"/>
      <c r="W355" s="792"/>
      <c r="X355" s="792"/>
      <c r="Y355" s="792"/>
      <c r="Z355" s="792"/>
    </row>
    <row r="356" ht="15.75" customHeight="1">
      <c r="A356" s="901"/>
      <c r="B356" s="902"/>
      <c r="C356" s="901"/>
      <c r="D356" s="901"/>
      <c r="E356" s="901"/>
      <c r="F356" s="903"/>
      <c r="G356" s="901"/>
      <c r="H356" s="792"/>
      <c r="I356" s="792"/>
      <c r="J356" s="792"/>
      <c r="K356" s="792"/>
      <c r="L356" s="792"/>
      <c r="M356" s="792"/>
      <c r="N356" s="792"/>
      <c r="O356" s="792"/>
      <c r="P356" s="792"/>
      <c r="Q356" s="792"/>
      <c r="R356" s="792"/>
      <c r="S356" s="792"/>
      <c r="T356" s="792"/>
      <c r="U356" s="792"/>
      <c r="V356" s="792"/>
      <c r="W356" s="792"/>
      <c r="X356" s="792"/>
      <c r="Y356" s="792"/>
      <c r="Z356" s="792"/>
    </row>
    <row r="357" ht="15.75" customHeight="1">
      <c r="A357" s="901"/>
      <c r="B357" s="902"/>
      <c r="C357" s="901"/>
      <c r="D357" s="901"/>
      <c r="E357" s="901"/>
      <c r="F357" s="903"/>
      <c r="G357" s="901"/>
      <c r="H357" s="792"/>
      <c r="I357" s="792"/>
      <c r="J357" s="792"/>
      <c r="K357" s="792"/>
      <c r="L357" s="792"/>
      <c r="M357" s="792"/>
      <c r="N357" s="792"/>
      <c r="O357" s="792"/>
      <c r="P357" s="792"/>
      <c r="Q357" s="792"/>
      <c r="R357" s="792"/>
      <c r="S357" s="792"/>
      <c r="T357" s="792"/>
      <c r="U357" s="792"/>
      <c r="V357" s="792"/>
      <c r="W357" s="792"/>
      <c r="X357" s="792"/>
      <c r="Y357" s="792"/>
      <c r="Z357" s="792"/>
    </row>
    <row r="358" ht="15.75" customHeight="1">
      <c r="A358" s="901"/>
      <c r="B358" s="902"/>
      <c r="C358" s="901"/>
      <c r="D358" s="901"/>
      <c r="E358" s="901"/>
      <c r="F358" s="903"/>
      <c r="G358" s="901"/>
      <c r="H358" s="792"/>
      <c r="I358" s="792"/>
      <c r="J358" s="792"/>
      <c r="K358" s="792"/>
      <c r="L358" s="792"/>
      <c r="M358" s="792"/>
      <c r="N358" s="792"/>
      <c r="O358" s="792"/>
      <c r="P358" s="792"/>
      <c r="Q358" s="792"/>
      <c r="R358" s="792"/>
      <c r="S358" s="792"/>
      <c r="T358" s="792"/>
      <c r="U358" s="792"/>
      <c r="V358" s="792"/>
      <c r="W358" s="792"/>
      <c r="X358" s="792"/>
      <c r="Y358" s="792"/>
      <c r="Z358" s="792"/>
    </row>
    <row r="359" ht="15.75" customHeight="1">
      <c r="A359" s="901"/>
      <c r="B359" s="902"/>
      <c r="C359" s="901"/>
      <c r="D359" s="901"/>
      <c r="E359" s="901"/>
      <c r="F359" s="903"/>
      <c r="G359" s="901"/>
      <c r="H359" s="792"/>
      <c r="I359" s="792"/>
      <c r="J359" s="792"/>
      <c r="K359" s="792"/>
      <c r="L359" s="792"/>
      <c r="M359" s="792"/>
      <c r="N359" s="792"/>
      <c r="O359" s="792"/>
      <c r="P359" s="792"/>
      <c r="Q359" s="792"/>
      <c r="R359" s="792"/>
      <c r="S359" s="792"/>
      <c r="T359" s="792"/>
      <c r="U359" s="792"/>
      <c r="V359" s="792"/>
      <c r="W359" s="792"/>
      <c r="X359" s="792"/>
      <c r="Y359" s="792"/>
      <c r="Z359" s="792"/>
    </row>
    <row r="360" ht="15.75" customHeight="1">
      <c r="A360" s="901"/>
      <c r="B360" s="902"/>
      <c r="C360" s="901"/>
      <c r="D360" s="901"/>
      <c r="E360" s="901"/>
      <c r="F360" s="903"/>
      <c r="G360" s="901"/>
      <c r="H360" s="792"/>
      <c r="I360" s="792"/>
      <c r="J360" s="792"/>
      <c r="K360" s="792"/>
      <c r="L360" s="792"/>
      <c r="M360" s="792"/>
      <c r="N360" s="792"/>
      <c r="O360" s="792"/>
      <c r="P360" s="792"/>
      <c r="Q360" s="792"/>
      <c r="R360" s="792"/>
      <c r="S360" s="792"/>
      <c r="T360" s="792"/>
      <c r="U360" s="792"/>
      <c r="V360" s="792"/>
      <c r="W360" s="792"/>
      <c r="X360" s="792"/>
      <c r="Y360" s="792"/>
      <c r="Z360" s="792"/>
    </row>
    <row r="361" ht="15.75" customHeight="1">
      <c r="A361" s="901"/>
      <c r="B361" s="902"/>
      <c r="C361" s="901"/>
      <c r="D361" s="901"/>
      <c r="E361" s="901"/>
      <c r="F361" s="903"/>
      <c r="G361" s="901"/>
      <c r="H361" s="792"/>
      <c r="I361" s="792"/>
      <c r="J361" s="792"/>
      <c r="K361" s="792"/>
      <c r="L361" s="792"/>
      <c r="M361" s="792"/>
      <c r="N361" s="792"/>
      <c r="O361" s="792"/>
      <c r="P361" s="792"/>
      <c r="Q361" s="792"/>
      <c r="R361" s="792"/>
      <c r="S361" s="792"/>
      <c r="T361" s="792"/>
      <c r="U361" s="792"/>
      <c r="V361" s="792"/>
      <c r="W361" s="792"/>
      <c r="X361" s="792"/>
      <c r="Y361" s="792"/>
      <c r="Z361" s="792"/>
    </row>
    <row r="362" ht="15.75" customHeight="1">
      <c r="A362" s="901"/>
      <c r="B362" s="902"/>
      <c r="C362" s="901"/>
      <c r="D362" s="901"/>
      <c r="E362" s="901"/>
      <c r="F362" s="903"/>
      <c r="G362" s="901"/>
      <c r="H362" s="792"/>
      <c r="I362" s="792"/>
      <c r="J362" s="792"/>
      <c r="K362" s="792"/>
      <c r="L362" s="792"/>
      <c r="M362" s="792"/>
      <c r="N362" s="792"/>
      <c r="O362" s="792"/>
      <c r="P362" s="792"/>
      <c r="Q362" s="792"/>
      <c r="R362" s="792"/>
      <c r="S362" s="792"/>
      <c r="T362" s="792"/>
      <c r="U362" s="792"/>
      <c r="V362" s="792"/>
      <c r="W362" s="792"/>
      <c r="X362" s="792"/>
      <c r="Y362" s="792"/>
      <c r="Z362" s="792"/>
    </row>
    <row r="363" ht="15.75" customHeight="1">
      <c r="A363" s="901"/>
      <c r="B363" s="902"/>
      <c r="C363" s="901"/>
      <c r="D363" s="901"/>
      <c r="E363" s="901"/>
      <c r="F363" s="903"/>
      <c r="G363" s="901"/>
      <c r="H363" s="792"/>
      <c r="I363" s="792"/>
      <c r="J363" s="792"/>
      <c r="K363" s="792"/>
      <c r="L363" s="792"/>
      <c r="M363" s="792"/>
      <c r="N363" s="792"/>
      <c r="O363" s="792"/>
      <c r="P363" s="792"/>
      <c r="Q363" s="792"/>
      <c r="R363" s="792"/>
      <c r="S363" s="792"/>
      <c r="T363" s="792"/>
      <c r="U363" s="792"/>
      <c r="V363" s="792"/>
      <c r="W363" s="792"/>
      <c r="X363" s="792"/>
      <c r="Y363" s="792"/>
      <c r="Z363" s="792"/>
    </row>
    <row r="364" ht="15.75" customHeight="1">
      <c r="A364" s="901"/>
      <c r="B364" s="902"/>
      <c r="C364" s="901"/>
      <c r="D364" s="901"/>
      <c r="E364" s="901"/>
      <c r="F364" s="903"/>
      <c r="G364" s="901"/>
      <c r="H364" s="792"/>
      <c r="I364" s="792"/>
      <c r="J364" s="792"/>
      <c r="K364" s="792"/>
      <c r="L364" s="792"/>
      <c r="M364" s="792"/>
      <c r="N364" s="792"/>
      <c r="O364" s="792"/>
      <c r="P364" s="792"/>
      <c r="Q364" s="792"/>
      <c r="R364" s="792"/>
      <c r="S364" s="792"/>
      <c r="T364" s="792"/>
      <c r="U364" s="792"/>
      <c r="V364" s="792"/>
      <c r="W364" s="792"/>
      <c r="X364" s="792"/>
      <c r="Y364" s="792"/>
      <c r="Z364" s="792"/>
    </row>
    <row r="365" ht="15.75" customHeight="1">
      <c r="A365" s="901"/>
      <c r="B365" s="902"/>
      <c r="C365" s="901"/>
      <c r="D365" s="901"/>
      <c r="E365" s="901"/>
      <c r="F365" s="903"/>
      <c r="G365" s="901"/>
      <c r="H365" s="792"/>
      <c r="I365" s="792"/>
      <c r="J365" s="792"/>
      <c r="K365" s="792"/>
      <c r="L365" s="792"/>
      <c r="M365" s="792"/>
      <c r="N365" s="792"/>
      <c r="O365" s="792"/>
      <c r="P365" s="792"/>
      <c r="Q365" s="792"/>
      <c r="R365" s="792"/>
      <c r="S365" s="792"/>
      <c r="T365" s="792"/>
      <c r="U365" s="792"/>
      <c r="V365" s="792"/>
      <c r="W365" s="792"/>
      <c r="X365" s="792"/>
      <c r="Y365" s="792"/>
      <c r="Z365" s="792"/>
    </row>
    <row r="366" ht="15.75" customHeight="1">
      <c r="A366" s="901"/>
      <c r="B366" s="902"/>
      <c r="C366" s="901"/>
      <c r="D366" s="901"/>
      <c r="E366" s="901"/>
      <c r="F366" s="903"/>
      <c r="G366" s="901"/>
      <c r="H366" s="792"/>
      <c r="I366" s="792"/>
      <c r="J366" s="792"/>
      <c r="K366" s="792"/>
      <c r="L366" s="792"/>
      <c r="M366" s="792"/>
      <c r="N366" s="792"/>
      <c r="O366" s="792"/>
      <c r="P366" s="792"/>
      <c r="Q366" s="792"/>
      <c r="R366" s="792"/>
      <c r="S366" s="792"/>
      <c r="T366" s="792"/>
      <c r="U366" s="792"/>
      <c r="V366" s="792"/>
      <c r="W366" s="792"/>
      <c r="X366" s="792"/>
      <c r="Y366" s="792"/>
      <c r="Z366" s="792"/>
    </row>
    <row r="367" ht="15.75" customHeight="1">
      <c r="A367" s="901"/>
      <c r="B367" s="902"/>
      <c r="C367" s="901"/>
      <c r="D367" s="901"/>
      <c r="E367" s="901"/>
      <c r="F367" s="903"/>
      <c r="G367" s="901"/>
      <c r="H367" s="792"/>
      <c r="I367" s="792"/>
      <c r="J367" s="792"/>
      <c r="K367" s="792"/>
      <c r="L367" s="792"/>
      <c r="M367" s="792"/>
      <c r="N367" s="792"/>
      <c r="O367" s="792"/>
      <c r="P367" s="792"/>
      <c r="Q367" s="792"/>
      <c r="R367" s="792"/>
      <c r="S367" s="792"/>
      <c r="T367" s="792"/>
      <c r="U367" s="792"/>
      <c r="V367" s="792"/>
      <c r="W367" s="792"/>
      <c r="X367" s="792"/>
      <c r="Y367" s="792"/>
      <c r="Z367" s="792"/>
    </row>
    <row r="368" ht="15.75" customHeight="1">
      <c r="A368" s="901"/>
      <c r="B368" s="902"/>
      <c r="C368" s="901"/>
      <c r="D368" s="901"/>
      <c r="E368" s="901"/>
      <c r="F368" s="903"/>
      <c r="G368" s="901"/>
      <c r="H368" s="792"/>
      <c r="I368" s="792"/>
      <c r="J368" s="792"/>
      <c r="K368" s="792"/>
      <c r="L368" s="792"/>
      <c r="M368" s="792"/>
      <c r="N368" s="792"/>
      <c r="O368" s="792"/>
      <c r="P368" s="792"/>
      <c r="Q368" s="792"/>
      <c r="R368" s="792"/>
      <c r="S368" s="792"/>
      <c r="T368" s="792"/>
      <c r="U368" s="792"/>
      <c r="V368" s="792"/>
      <c r="W368" s="792"/>
      <c r="X368" s="792"/>
      <c r="Y368" s="792"/>
      <c r="Z368" s="792"/>
    </row>
    <row r="369" ht="15.75" customHeight="1">
      <c r="A369" s="901"/>
      <c r="B369" s="902"/>
      <c r="C369" s="901"/>
      <c r="D369" s="901"/>
      <c r="E369" s="901"/>
      <c r="F369" s="903"/>
      <c r="G369" s="901"/>
      <c r="H369" s="792"/>
      <c r="I369" s="792"/>
      <c r="J369" s="792"/>
      <c r="K369" s="792"/>
      <c r="L369" s="792"/>
      <c r="M369" s="792"/>
      <c r="N369" s="792"/>
      <c r="O369" s="792"/>
      <c r="P369" s="792"/>
      <c r="Q369" s="792"/>
      <c r="R369" s="792"/>
      <c r="S369" s="792"/>
      <c r="T369" s="792"/>
      <c r="U369" s="792"/>
      <c r="V369" s="792"/>
      <c r="W369" s="792"/>
      <c r="X369" s="792"/>
      <c r="Y369" s="792"/>
      <c r="Z369" s="792"/>
    </row>
    <row r="370" ht="15.75" customHeight="1">
      <c r="A370" s="901"/>
      <c r="B370" s="902"/>
      <c r="C370" s="901"/>
      <c r="D370" s="901"/>
      <c r="E370" s="901"/>
      <c r="F370" s="903"/>
      <c r="G370" s="901"/>
      <c r="H370" s="792"/>
      <c r="I370" s="792"/>
      <c r="J370" s="792"/>
      <c r="K370" s="792"/>
      <c r="L370" s="792"/>
      <c r="M370" s="792"/>
      <c r="N370" s="792"/>
      <c r="O370" s="792"/>
      <c r="P370" s="792"/>
      <c r="Q370" s="792"/>
      <c r="R370" s="792"/>
      <c r="S370" s="792"/>
      <c r="T370" s="792"/>
      <c r="U370" s="792"/>
      <c r="V370" s="792"/>
      <c r="W370" s="792"/>
      <c r="X370" s="792"/>
      <c r="Y370" s="792"/>
      <c r="Z370" s="792"/>
    </row>
    <row r="371" ht="15.75" customHeight="1">
      <c r="A371" s="901"/>
      <c r="B371" s="902"/>
      <c r="C371" s="901"/>
      <c r="D371" s="901"/>
      <c r="E371" s="901"/>
      <c r="F371" s="903"/>
      <c r="G371" s="901"/>
      <c r="H371" s="792"/>
      <c r="I371" s="792"/>
      <c r="J371" s="792"/>
      <c r="K371" s="792"/>
      <c r="L371" s="792"/>
      <c r="M371" s="792"/>
      <c r="N371" s="792"/>
      <c r="O371" s="792"/>
      <c r="P371" s="792"/>
      <c r="Q371" s="792"/>
      <c r="R371" s="792"/>
      <c r="S371" s="792"/>
      <c r="T371" s="792"/>
      <c r="U371" s="792"/>
      <c r="V371" s="792"/>
      <c r="W371" s="792"/>
      <c r="X371" s="792"/>
      <c r="Y371" s="792"/>
      <c r="Z371" s="792"/>
    </row>
    <row r="372" ht="15.75" customHeight="1">
      <c r="A372" s="901"/>
      <c r="B372" s="902"/>
      <c r="C372" s="901"/>
      <c r="D372" s="901"/>
      <c r="E372" s="901"/>
      <c r="F372" s="903"/>
      <c r="G372" s="901"/>
      <c r="H372" s="792"/>
      <c r="I372" s="792"/>
      <c r="J372" s="792"/>
      <c r="K372" s="792"/>
      <c r="L372" s="792"/>
      <c r="M372" s="792"/>
      <c r="N372" s="792"/>
      <c r="O372" s="792"/>
      <c r="P372" s="792"/>
      <c r="Q372" s="792"/>
      <c r="R372" s="792"/>
      <c r="S372" s="792"/>
      <c r="T372" s="792"/>
      <c r="U372" s="792"/>
      <c r="V372" s="792"/>
      <c r="W372" s="792"/>
      <c r="X372" s="792"/>
      <c r="Y372" s="792"/>
      <c r="Z372" s="792"/>
    </row>
    <row r="373" ht="15.75" customHeight="1">
      <c r="A373" s="901"/>
      <c r="B373" s="902"/>
      <c r="C373" s="901"/>
      <c r="D373" s="901"/>
      <c r="E373" s="901"/>
      <c r="F373" s="903"/>
      <c r="G373" s="901"/>
      <c r="H373" s="792"/>
      <c r="I373" s="792"/>
      <c r="J373" s="792"/>
      <c r="K373" s="792"/>
      <c r="L373" s="792"/>
      <c r="M373" s="792"/>
      <c r="N373" s="792"/>
      <c r="O373" s="792"/>
      <c r="P373" s="792"/>
      <c r="Q373" s="792"/>
      <c r="R373" s="792"/>
      <c r="S373" s="792"/>
      <c r="T373" s="792"/>
      <c r="U373" s="792"/>
      <c r="V373" s="792"/>
      <c r="W373" s="792"/>
      <c r="X373" s="792"/>
      <c r="Y373" s="792"/>
      <c r="Z373" s="792"/>
    </row>
    <row r="374" ht="15.75" customHeight="1">
      <c r="A374" s="901"/>
      <c r="B374" s="902"/>
      <c r="C374" s="901"/>
      <c r="D374" s="901"/>
      <c r="E374" s="901"/>
      <c r="F374" s="903"/>
      <c r="G374" s="901"/>
      <c r="H374" s="792"/>
      <c r="I374" s="792"/>
      <c r="J374" s="792"/>
      <c r="K374" s="792"/>
      <c r="L374" s="792"/>
      <c r="M374" s="792"/>
      <c r="N374" s="792"/>
      <c r="O374" s="792"/>
      <c r="P374" s="792"/>
      <c r="Q374" s="792"/>
      <c r="R374" s="792"/>
      <c r="S374" s="792"/>
      <c r="T374" s="792"/>
      <c r="U374" s="792"/>
      <c r="V374" s="792"/>
      <c r="W374" s="792"/>
      <c r="X374" s="792"/>
      <c r="Y374" s="792"/>
      <c r="Z374" s="792"/>
    </row>
    <row r="375" ht="15.75" customHeight="1">
      <c r="A375" s="901"/>
      <c r="B375" s="902"/>
      <c r="C375" s="901"/>
      <c r="D375" s="901"/>
      <c r="E375" s="901"/>
      <c r="F375" s="903"/>
      <c r="G375" s="901"/>
      <c r="H375" s="792"/>
      <c r="I375" s="792"/>
      <c r="J375" s="792"/>
      <c r="K375" s="792"/>
      <c r="L375" s="792"/>
      <c r="M375" s="792"/>
      <c r="N375" s="792"/>
      <c r="O375" s="792"/>
      <c r="P375" s="792"/>
      <c r="Q375" s="792"/>
      <c r="R375" s="792"/>
      <c r="S375" s="792"/>
      <c r="T375" s="792"/>
      <c r="U375" s="792"/>
      <c r="V375" s="792"/>
      <c r="W375" s="792"/>
      <c r="X375" s="792"/>
      <c r="Y375" s="792"/>
      <c r="Z375" s="792"/>
    </row>
    <row r="376" ht="15.75" customHeight="1">
      <c r="A376" s="901"/>
      <c r="B376" s="902"/>
      <c r="C376" s="901"/>
      <c r="D376" s="901"/>
      <c r="E376" s="901"/>
      <c r="F376" s="903"/>
      <c r="G376" s="901"/>
      <c r="H376" s="792"/>
      <c r="I376" s="792"/>
      <c r="J376" s="792"/>
      <c r="K376" s="792"/>
      <c r="L376" s="792"/>
      <c r="M376" s="792"/>
      <c r="N376" s="792"/>
      <c r="O376" s="792"/>
      <c r="P376" s="792"/>
      <c r="Q376" s="792"/>
      <c r="R376" s="792"/>
      <c r="S376" s="792"/>
      <c r="T376" s="792"/>
      <c r="U376" s="792"/>
      <c r="V376" s="792"/>
      <c r="W376" s="792"/>
      <c r="X376" s="792"/>
      <c r="Y376" s="792"/>
      <c r="Z376" s="792"/>
    </row>
    <row r="377" ht="15.75" customHeight="1">
      <c r="A377" s="901"/>
      <c r="B377" s="902"/>
      <c r="C377" s="901"/>
      <c r="D377" s="901"/>
      <c r="E377" s="901"/>
      <c r="F377" s="903"/>
      <c r="G377" s="901"/>
      <c r="H377" s="792"/>
      <c r="I377" s="792"/>
      <c r="J377" s="792"/>
      <c r="K377" s="792"/>
      <c r="L377" s="792"/>
      <c r="M377" s="792"/>
      <c r="N377" s="792"/>
      <c r="O377" s="792"/>
      <c r="P377" s="792"/>
      <c r="Q377" s="792"/>
      <c r="R377" s="792"/>
      <c r="S377" s="792"/>
      <c r="T377" s="792"/>
      <c r="U377" s="792"/>
      <c r="V377" s="792"/>
      <c r="W377" s="792"/>
      <c r="X377" s="792"/>
      <c r="Y377" s="792"/>
      <c r="Z377" s="792"/>
    </row>
    <row r="378" ht="15.75" customHeight="1">
      <c r="A378" s="901"/>
      <c r="B378" s="902"/>
      <c r="C378" s="901"/>
      <c r="D378" s="901"/>
      <c r="E378" s="901"/>
      <c r="F378" s="903"/>
      <c r="G378" s="901"/>
      <c r="H378" s="792"/>
      <c r="I378" s="792"/>
      <c r="J378" s="792"/>
      <c r="K378" s="792"/>
      <c r="L378" s="792"/>
      <c r="M378" s="792"/>
      <c r="N378" s="792"/>
      <c r="O378" s="792"/>
      <c r="P378" s="792"/>
      <c r="Q378" s="792"/>
      <c r="R378" s="792"/>
      <c r="S378" s="792"/>
      <c r="T378" s="792"/>
      <c r="U378" s="792"/>
      <c r="V378" s="792"/>
      <c r="W378" s="792"/>
      <c r="X378" s="792"/>
      <c r="Y378" s="792"/>
      <c r="Z378" s="792"/>
    </row>
    <row r="379" ht="15.75" customHeight="1">
      <c r="A379" s="901"/>
      <c r="B379" s="902"/>
      <c r="C379" s="901"/>
      <c r="D379" s="901"/>
      <c r="E379" s="901"/>
      <c r="F379" s="903"/>
      <c r="G379" s="901"/>
      <c r="H379" s="792"/>
      <c r="I379" s="792"/>
      <c r="J379" s="792"/>
      <c r="K379" s="792"/>
      <c r="L379" s="792"/>
      <c r="M379" s="792"/>
      <c r="N379" s="792"/>
      <c r="O379" s="792"/>
      <c r="P379" s="792"/>
      <c r="Q379" s="792"/>
      <c r="R379" s="792"/>
      <c r="S379" s="792"/>
      <c r="T379" s="792"/>
      <c r="U379" s="792"/>
      <c r="V379" s="792"/>
      <c r="W379" s="792"/>
      <c r="X379" s="792"/>
      <c r="Y379" s="792"/>
      <c r="Z379" s="792"/>
    </row>
    <row r="380" ht="15.75" customHeight="1">
      <c r="A380" s="901"/>
      <c r="B380" s="902"/>
      <c r="C380" s="901"/>
      <c r="D380" s="901"/>
      <c r="E380" s="901"/>
      <c r="F380" s="903"/>
      <c r="G380" s="901"/>
      <c r="H380" s="792"/>
      <c r="I380" s="792"/>
      <c r="J380" s="792"/>
      <c r="K380" s="792"/>
      <c r="L380" s="792"/>
      <c r="M380" s="792"/>
      <c r="N380" s="792"/>
      <c r="O380" s="792"/>
      <c r="P380" s="792"/>
      <c r="Q380" s="792"/>
      <c r="R380" s="792"/>
      <c r="S380" s="792"/>
      <c r="T380" s="792"/>
      <c r="U380" s="792"/>
      <c r="V380" s="792"/>
      <c r="W380" s="792"/>
      <c r="X380" s="792"/>
      <c r="Y380" s="792"/>
      <c r="Z380" s="792"/>
    </row>
    <row r="381" ht="15.75" customHeight="1">
      <c r="A381" s="901"/>
      <c r="B381" s="902"/>
      <c r="C381" s="901"/>
      <c r="D381" s="901"/>
      <c r="E381" s="901"/>
      <c r="F381" s="903"/>
      <c r="G381" s="901"/>
      <c r="H381" s="792"/>
      <c r="I381" s="792"/>
      <c r="J381" s="792"/>
      <c r="K381" s="792"/>
      <c r="L381" s="792"/>
      <c r="M381" s="792"/>
      <c r="N381" s="792"/>
      <c r="O381" s="792"/>
      <c r="P381" s="792"/>
      <c r="Q381" s="792"/>
      <c r="R381" s="792"/>
      <c r="S381" s="792"/>
      <c r="T381" s="792"/>
      <c r="U381" s="792"/>
      <c r="V381" s="792"/>
      <c r="W381" s="792"/>
      <c r="X381" s="792"/>
      <c r="Y381" s="792"/>
      <c r="Z381" s="792"/>
    </row>
    <row r="382" ht="15.75" customHeight="1">
      <c r="A382" s="901"/>
      <c r="B382" s="902"/>
      <c r="C382" s="901"/>
      <c r="D382" s="901"/>
      <c r="E382" s="901"/>
      <c r="F382" s="903"/>
      <c r="G382" s="901"/>
      <c r="H382" s="792"/>
      <c r="I382" s="792"/>
      <c r="J382" s="792"/>
      <c r="K382" s="792"/>
      <c r="L382" s="792"/>
      <c r="M382" s="792"/>
      <c r="N382" s="792"/>
      <c r="O382" s="792"/>
      <c r="P382" s="792"/>
      <c r="Q382" s="792"/>
      <c r="R382" s="792"/>
      <c r="S382" s="792"/>
      <c r="T382" s="792"/>
      <c r="U382" s="792"/>
      <c r="V382" s="792"/>
      <c r="W382" s="792"/>
      <c r="X382" s="792"/>
      <c r="Y382" s="792"/>
      <c r="Z382" s="792"/>
    </row>
    <row r="383" ht="15.75" customHeight="1">
      <c r="A383" s="901"/>
      <c r="B383" s="902"/>
      <c r="C383" s="901"/>
      <c r="D383" s="901"/>
      <c r="E383" s="901"/>
      <c r="F383" s="903"/>
      <c r="G383" s="901"/>
      <c r="H383" s="792"/>
      <c r="I383" s="792"/>
      <c r="J383" s="792"/>
      <c r="K383" s="792"/>
      <c r="L383" s="792"/>
      <c r="M383" s="792"/>
      <c r="N383" s="792"/>
      <c r="O383" s="792"/>
      <c r="P383" s="792"/>
      <c r="Q383" s="792"/>
      <c r="R383" s="792"/>
      <c r="S383" s="792"/>
      <c r="T383" s="792"/>
      <c r="U383" s="792"/>
      <c r="V383" s="792"/>
      <c r="W383" s="792"/>
      <c r="X383" s="792"/>
      <c r="Y383" s="792"/>
      <c r="Z383" s="792"/>
    </row>
    <row r="384" ht="15.75" customHeight="1">
      <c r="A384" s="901"/>
      <c r="B384" s="902"/>
      <c r="C384" s="901"/>
      <c r="D384" s="901"/>
      <c r="E384" s="901"/>
      <c r="F384" s="903"/>
      <c r="G384" s="901"/>
      <c r="H384" s="792"/>
      <c r="I384" s="792"/>
      <c r="J384" s="792"/>
      <c r="K384" s="792"/>
      <c r="L384" s="792"/>
      <c r="M384" s="792"/>
      <c r="N384" s="792"/>
      <c r="O384" s="792"/>
      <c r="P384" s="792"/>
      <c r="Q384" s="792"/>
      <c r="R384" s="792"/>
      <c r="S384" s="792"/>
      <c r="T384" s="792"/>
      <c r="U384" s="792"/>
      <c r="V384" s="792"/>
      <c r="W384" s="792"/>
      <c r="X384" s="792"/>
      <c r="Y384" s="792"/>
      <c r="Z384" s="792"/>
    </row>
    <row r="385" ht="15.75" customHeight="1">
      <c r="A385" s="901"/>
      <c r="B385" s="902"/>
      <c r="C385" s="901"/>
      <c r="D385" s="901"/>
      <c r="E385" s="901"/>
      <c r="F385" s="903"/>
      <c r="G385" s="901"/>
      <c r="H385" s="792"/>
      <c r="I385" s="792"/>
      <c r="J385" s="792"/>
      <c r="K385" s="792"/>
      <c r="L385" s="792"/>
      <c r="M385" s="792"/>
      <c r="N385" s="792"/>
      <c r="O385" s="792"/>
      <c r="P385" s="792"/>
      <c r="Q385" s="792"/>
      <c r="R385" s="792"/>
      <c r="S385" s="792"/>
      <c r="T385" s="792"/>
      <c r="U385" s="792"/>
      <c r="V385" s="792"/>
      <c r="W385" s="792"/>
      <c r="X385" s="792"/>
      <c r="Y385" s="792"/>
      <c r="Z385" s="792"/>
    </row>
    <row r="386" ht="15.75" customHeight="1">
      <c r="A386" s="901"/>
      <c r="B386" s="902"/>
      <c r="C386" s="901"/>
      <c r="D386" s="901"/>
      <c r="E386" s="901"/>
      <c r="F386" s="903"/>
      <c r="G386" s="901"/>
      <c r="H386" s="792"/>
      <c r="I386" s="792"/>
      <c r="J386" s="792"/>
      <c r="K386" s="792"/>
      <c r="L386" s="792"/>
      <c r="M386" s="792"/>
      <c r="N386" s="792"/>
      <c r="O386" s="792"/>
      <c r="P386" s="792"/>
      <c r="Q386" s="792"/>
      <c r="R386" s="792"/>
      <c r="S386" s="792"/>
      <c r="T386" s="792"/>
      <c r="U386" s="792"/>
      <c r="V386" s="792"/>
      <c r="W386" s="792"/>
      <c r="X386" s="792"/>
      <c r="Y386" s="792"/>
      <c r="Z386" s="792"/>
    </row>
    <row r="387" ht="15.75" customHeight="1">
      <c r="A387" s="901"/>
      <c r="B387" s="902"/>
      <c r="C387" s="901"/>
      <c r="D387" s="901"/>
      <c r="E387" s="901"/>
      <c r="F387" s="903"/>
      <c r="G387" s="901"/>
      <c r="H387" s="792"/>
      <c r="I387" s="792"/>
      <c r="J387" s="792"/>
      <c r="K387" s="792"/>
      <c r="L387" s="792"/>
      <c r="M387" s="792"/>
      <c r="N387" s="792"/>
      <c r="O387" s="792"/>
      <c r="P387" s="792"/>
      <c r="Q387" s="792"/>
      <c r="R387" s="792"/>
      <c r="S387" s="792"/>
      <c r="T387" s="792"/>
      <c r="U387" s="792"/>
      <c r="V387" s="792"/>
      <c r="W387" s="792"/>
      <c r="X387" s="792"/>
      <c r="Y387" s="792"/>
      <c r="Z387" s="792"/>
    </row>
    <row r="388" ht="15.75" customHeight="1">
      <c r="A388" s="901"/>
      <c r="B388" s="902"/>
      <c r="C388" s="901"/>
      <c r="D388" s="901"/>
      <c r="E388" s="901"/>
      <c r="F388" s="903"/>
      <c r="G388" s="901"/>
      <c r="H388" s="792"/>
      <c r="I388" s="792"/>
      <c r="J388" s="792"/>
      <c r="K388" s="792"/>
      <c r="L388" s="792"/>
      <c r="M388" s="792"/>
      <c r="N388" s="792"/>
      <c r="O388" s="792"/>
      <c r="P388" s="792"/>
      <c r="Q388" s="792"/>
      <c r="R388" s="792"/>
      <c r="S388" s="792"/>
      <c r="T388" s="792"/>
      <c r="U388" s="792"/>
      <c r="V388" s="792"/>
      <c r="W388" s="792"/>
      <c r="X388" s="792"/>
      <c r="Y388" s="792"/>
      <c r="Z388" s="792"/>
    </row>
    <row r="389" ht="15.75" customHeight="1">
      <c r="A389" s="901"/>
      <c r="B389" s="902"/>
      <c r="C389" s="901"/>
      <c r="D389" s="901"/>
      <c r="E389" s="901"/>
      <c r="F389" s="903"/>
      <c r="G389" s="901"/>
      <c r="H389" s="792"/>
      <c r="I389" s="792"/>
      <c r="J389" s="792"/>
      <c r="K389" s="792"/>
      <c r="L389" s="792"/>
      <c r="M389" s="792"/>
      <c r="N389" s="792"/>
      <c r="O389" s="792"/>
      <c r="P389" s="792"/>
      <c r="Q389" s="792"/>
      <c r="R389" s="792"/>
      <c r="S389" s="792"/>
      <c r="T389" s="792"/>
      <c r="U389" s="792"/>
      <c r="V389" s="792"/>
      <c r="W389" s="792"/>
      <c r="X389" s="792"/>
      <c r="Y389" s="792"/>
      <c r="Z389" s="792"/>
    </row>
    <row r="390" ht="15.75" customHeight="1">
      <c r="A390" s="901"/>
      <c r="B390" s="902"/>
      <c r="C390" s="901"/>
      <c r="D390" s="901"/>
      <c r="E390" s="901"/>
      <c r="F390" s="903"/>
      <c r="G390" s="901"/>
      <c r="H390" s="792"/>
      <c r="I390" s="792"/>
      <c r="J390" s="792"/>
      <c r="K390" s="792"/>
      <c r="L390" s="792"/>
      <c r="M390" s="792"/>
      <c r="N390" s="792"/>
      <c r="O390" s="792"/>
      <c r="P390" s="792"/>
      <c r="Q390" s="792"/>
      <c r="R390" s="792"/>
      <c r="S390" s="792"/>
      <c r="T390" s="792"/>
      <c r="U390" s="792"/>
      <c r="V390" s="792"/>
      <c r="W390" s="792"/>
      <c r="X390" s="792"/>
      <c r="Y390" s="792"/>
      <c r="Z390" s="792"/>
    </row>
    <row r="391" ht="15.75" customHeight="1">
      <c r="A391" s="901"/>
      <c r="B391" s="902"/>
      <c r="C391" s="901"/>
      <c r="D391" s="901"/>
      <c r="E391" s="901"/>
      <c r="F391" s="903"/>
      <c r="G391" s="901"/>
      <c r="H391" s="792"/>
      <c r="I391" s="792"/>
      <c r="J391" s="792"/>
      <c r="K391" s="792"/>
      <c r="L391" s="792"/>
      <c r="M391" s="792"/>
      <c r="N391" s="792"/>
      <c r="O391" s="792"/>
      <c r="P391" s="792"/>
      <c r="Q391" s="792"/>
      <c r="R391" s="792"/>
      <c r="S391" s="792"/>
      <c r="T391" s="792"/>
      <c r="U391" s="792"/>
      <c r="V391" s="792"/>
      <c r="W391" s="792"/>
      <c r="X391" s="792"/>
      <c r="Y391" s="792"/>
      <c r="Z391" s="792"/>
    </row>
    <row r="392" ht="15.75" customHeight="1">
      <c r="A392" s="901"/>
      <c r="B392" s="902"/>
      <c r="C392" s="901"/>
      <c r="D392" s="901"/>
      <c r="E392" s="901"/>
      <c r="F392" s="903"/>
      <c r="G392" s="901"/>
      <c r="H392" s="792"/>
      <c r="I392" s="792"/>
      <c r="J392" s="792"/>
      <c r="K392" s="792"/>
      <c r="L392" s="792"/>
      <c r="M392" s="792"/>
      <c r="N392" s="792"/>
      <c r="O392" s="792"/>
      <c r="P392" s="792"/>
      <c r="Q392" s="792"/>
      <c r="R392" s="792"/>
      <c r="S392" s="792"/>
      <c r="T392" s="792"/>
      <c r="U392" s="792"/>
      <c r="V392" s="792"/>
      <c r="W392" s="792"/>
      <c r="X392" s="792"/>
      <c r="Y392" s="792"/>
      <c r="Z392" s="792"/>
    </row>
    <row r="393" ht="15.75" customHeight="1">
      <c r="A393" s="901"/>
      <c r="B393" s="902"/>
      <c r="C393" s="901"/>
      <c r="D393" s="901"/>
      <c r="E393" s="901"/>
      <c r="F393" s="903"/>
      <c r="G393" s="901"/>
      <c r="H393" s="792"/>
      <c r="I393" s="792"/>
      <c r="J393" s="792"/>
      <c r="K393" s="792"/>
      <c r="L393" s="792"/>
      <c r="M393" s="792"/>
      <c r="N393" s="792"/>
      <c r="O393" s="792"/>
      <c r="P393" s="792"/>
      <c r="Q393" s="792"/>
      <c r="R393" s="792"/>
      <c r="S393" s="792"/>
      <c r="T393" s="792"/>
      <c r="U393" s="792"/>
      <c r="V393" s="792"/>
      <c r="W393" s="792"/>
      <c r="X393" s="792"/>
      <c r="Y393" s="792"/>
      <c r="Z393" s="792"/>
    </row>
    <row r="394" ht="15.75" customHeight="1">
      <c r="A394" s="901"/>
      <c r="B394" s="902"/>
      <c r="C394" s="901"/>
      <c r="D394" s="901"/>
      <c r="E394" s="901"/>
      <c r="F394" s="903"/>
      <c r="G394" s="901"/>
      <c r="H394" s="792"/>
      <c r="I394" s="792"/>
      <c r="J394" s="792"/>
      <c r="K394" s="792"/>
      <c r="L394" s="792"/>
      <c r="M394" s="792"/>
      <c r="N394" s="792"/>
      <c r="O394" s="792"/>
      <c r="P394" s="792"/>
      <c r="Q394" s="792"/>
      <c r="R394" s="792"/>
      <c r="S394" s="792"/>
      <c r="T394" s="792"/>
      <c r="U394" s="792"/>
      <c r="V394" s="792"/>
      <c r="W394" s="792"/>
      <c r="X394" s="792"/>
      <c r="Y394" s="792"/>
      <c r="Z394" s="792"/>
    </row>
    <row r="395" ht="15.75" customHeight="1">
      <c r="A395" s="901"/>
      <c r="B395" s="902"/>
      <c r="C395" s="901"/>
      <c r="D395" s="901"/>
      <c r="E395" s="901"/>
      <c r="F395" s="903"/>
      <c r="G395" s="901"/>
      <c r="H395" s="792"/>
      <c r="I395" s="792"/>
      <c r="J395" s="792"/>
      <c r="K395" s="792"/>
      <c r="L395" s="792"/>
      <c r="M395" s="792"/>
      <c r="N395" s="792"/>
      <c r="O395" s="792"/>
      <c r="P395" s="792"/>
      <c r="Q395" s="792"/>
      <c r="R395" s="792"/>
      <c r="S395" s="792"/>
      <c r="T395" s="792"/>
      <c r="U395" s="792"/>
      <c r="V395" s="792"/>
      <c r="W395" s="792"/>
      <c r="X395" s="792"/>
      <c r="Y395" s="792"/>
      <c r="Z395" s="792"/>
    </row>
    <row r="396" ht="15.75" customHeight="1">
      <c r="A396" s="901"/>
      <c r="B396" s="902"/>
      <c r="C396" s="901"/>
      <c r="D396" s="901"/>
      <c r="E396" s="901"/>
      <c r="F396" s="903"/>
      <c r="G396" s="901"/>
      <c r="H396" s="792"/>
      <c r="I396" s="792"/>
      <c r="J396" s="792"/>
      <c r="K396" s="792"/>
      <c r="L396" s="792"/>
      <c r="M396" s="792"/>
      <c r="N396" s="792"/>
      <c r="O396" s="792"/>
      <c r="P396" s="792"/>
      <c r="Q396" s="792"/>
      <c r="R396" s="792"/>
      <c r="S396" s="792"/>
      <c r="T396" s="792"/>
      <c r="U396" s="792"/>
      <c r="V396" s="792"/>
      <c r="W396" s="792"/>
      <c r="X396" s="792"/>
      <c r="Y396" s="792"/>
      <c r="Z396" s="792"/>
    </row>
    <row r="397" ht="15.75" customHeight="1">
      <c r="A397" s="901"/>
      <c r="B397" s="902"/>
      <c r="C397" s="901"/>
      <c r="D397" s="901"/>
      <c r="E397" s="901"/>
      <c r="F397" s="903"/>
      <c r="G397" s="901"/>
      <c r="H397" s="792"/>
      <c r="I397" s="792"/>
      <c r="J397" s="792"/>
      <c r="K397" s="792"/>
      <c r="L397" s="792"/>
      <c r="M397" s="792"/>
      <c r="N397" s="792"/>
      <c r="O397" s="792"/>
      <c r="P397" s="792"/>
      <c r="Q397" s="792"/>
      <c r="R397" s="792"/>
      <c r="S397" s="792"/>
      <c r="T397" s="792"/>
      <c r="U397" s="792"/>
      <c r="V397" s="792"/>
      <c r="W397" s="792"/>
      <c r="X397" s="792"/>
      <c r="Y397" s="792"/>
      <c r="Z397" s="792"/>
    </row>
    <row r="398" ht="15.75" customHeight="1">
      <c r="A398" s="901"/>
      <c r="B398" s="902"/>
      <c r="C398" s="901"/>
      <c r="D398" s="901"/>
      <c r="E398" s="901"/>
      <c r="F398" s="903"/>
      <c r="G398" s="901"/>
      <c r="H398" s="792"/>
      <c r="I398" s="792"/>
      <c r="J398" s="792"/>
      <c r="K398" s="792"/>
      <c r="L398" s="792"/>
      <c r="M398" s="792"/>
      <c r="N398" s="792"/>
      <c r="O398" s="792"/>
      <c r="P398" s="792"/>
      <c r="Q398" s="792"/>
      <c r="R398" s="792"/>
      <c r="S398" s="792"/>
      <c r="T398" s="792"/>
      <c r="U398" s="792"/>
      <c r="V398" s="792"/>
      <c r="W398" s="792"/>
      <c r="X398" s="792"/>
      <c r="Y398" s="792"/>
      <c r="Z398" s="792"/>
    </row>
    <row r="399" ht="15.75" customHeight="1">
      <c r="A399" s="901"/>
      <c r="B399" s="902"/>
      <c r="C399" s="901"/>
      <c r="D399" s="901"/>
      <c r="E399" s="901"/>
      <c r="F399" s="903"/>
      <c r="G399" s="901"/>
      <c r="H399" s="792"/>
      <c r="I399" s="792"/>
      <c r="J399" s="792"/>
      <c r="K399" s="792"/>
      <c r="L399" s="792"/>
      <c r="M399" s="792"/>
      <c r="N399" s="792"/>
      <c r="O399" s="792"/>
      <c r="P399" s="792"/>
      <c r="Q399" s="792"/>
      <c r="R399" s="792"/>
      <c r="S399" s="792"/>
      <c r="T399" s="792"/>
      <c r="U399" s="792"/>
      <c r="V399" s="792"/>
      <c r="W399" s="792"/>
      <c r="X399" s="792"/>
      <c r="Y399" s="792"/>
      <c r="Z399" s="792"/>
    </row>
    <row r="400" ht="15.75" customHeight="1">
      <c r="A400" s="901"/>
      <c r="B400" s="902"/>
      <c r="C400" s="901"/>
      <c r="D400" s="901"/>
      <c r="E400" s="901"/>
      <c r="F400" s="903"/>
      <c r="G400" s="901"/>
      <c r="H400" s="792"/>
      <c r="I400" s="792"/>
      <c r="J400" s="792"/>
      <c r="K400" s="792"/>
      <c r="L400" s="792"/>
      <c r="M400" s="792"/>
      <c r="N400" s="792"/>
      <c r="O400" s="792"/>
      <c r="P400" s="792"/>
      <c r="Q400" s="792"/>
      <c r="R400" s="792"/>
      <c r="S400" s="792"/>
      <c r="T400" s="792"/>
      <c r="U400" s="792"/>
      <c r="V400" s="792"/>
      <c r="W400" s="792"/>
      <c r="X400" s="792"/>
      <c r="Y400" s="792"/>
      <c r="Z400" s="792"/>
    </row>
    <row r="401" ht="15.75" customHeight="1">
      <c r="A401" s="901"/>
      <c r="B401" s="902"/>
      <c r="C401" s="901"/>
      <c r="D401" s="901"/>
      <c r="E401" s="901"/>
      <c r="F401" s="903"/>
      <c r="G401" s="901"/>
      <c r="H401" s="792"/>
      <c r="I401" s="792"/>
      <c r="J401" s="792"/>
      <c r="K401" s="792"/>
      <c r="L401" s="792"/>
      <c r="M401" s="792"/>
      <c r="N401" s="792"/>
      <c r="O401" s="792"/>
      <c r="P401" s="792"/>
      <c r="Q401" s="792"/>
      <c r="R401" s="792"/>
      <c r="S401" s="792"/>
      <c r="T401" s="792"/>
      <c r="U401" s="792"/>
      <c r="V401" s="792"/>
      <c r="W401" s="792"/>
      <c r="X401" s="792"/>
      <c r="Y401" s="792"/>
      <c r="Z401" s="792"/>
    </row>
    <row r="402" ht="15.75" customHeight="1">
      <c r="A402" s="901"/>
      <c r="B402" s="902"/>
      <c r="C402" s="901"/>
      <c r="D402" s="901"/>
      <c r="E402" s="901"/>
      <c r="F402" s="903"/>
      <c r="G402" s="901"/>
      <c r="H402" s="792"/>
      <c r="I402" s="792"/>
      <c r="J402" s="792"/>
      <c r="K402" s="792"/>
      <c r="L402" s="792"/>
      <c r="M402" s="792"/>
      <c r="N402" s="792"/>
      <c r="O402" s="792"/>
      <c r="P402" s="792"/>
      <c r="Q402" s="792"/>
      <c r="R402" s="792"/>
      <c r="S402" s="792"/>
      <c r="T402" s="792"/>
      <c r="U402" s="792"/>
      <c r="V402" s="792"/>
      <c r="W402" s="792"/>
      <c r="X402" s="792"/>
      <c r="Y402" s="792"/>
      <c r="Z402" s="792"/>
    </row>
    <row r="403" ht="15.75" customHeight="1">
      <c r="A403" s="901"/>
      <c r="B403" s="902"/>
      <c r="C403" s="901"/>
      <c r="D403" s="901"/>
      <c r="E403" s="901"/>
      <c r="F403" s="903"/>
      <c r="G403" s="901"/>
      <c r="H403" s="792"/>
      <c r="I403" s="792"/>
      <c r="J403" s="792"/>
      <c r="K403" s="792"/>
      <c r="L403" s="792"/>
      <c r="M403" s="792"/>
      <c r="N403" s="792"/>
      <c r="O403" s="792"/>
      <c r="P403" s="792"/>
      <c r="Q403" s="792"/>
      <c r="R403" s="792"/>
      <c r="S403" s="792"/>
      <c r="T403" s="792"/>
      <c r="U403" s="792"/>
      <c r="V403" s="792"/>
      <c r="W403" s="792"/>
      <c r="X403" s="792"/>
      <c r="Y403" s="792"/>
      <c r="Z403" s="792"/>
    </row>
    <row r="404" ht="15.75" customHeight="1">
      <c r="A404" s="901"/>
      <c r="B404" s="902"/>
      <c r="C404" s="901"/>
      <c r="D404" s="901"/>
      <c r="E404" s="901"/>
      <c r="F404" s="903"/>
      <c r="G404" s="901"/>
      <c r="H404" s="792"/>
      <c r="I404" s="792"/>
      <c r="J404" s="792"/>
      <c r="K404" s="792"/>
      <c r="L404" s="792"/>
      <c r="M404" s="792"/>
      <c r="N404" s="792"/>
      <c r="O404" s="792"/>
      <c r="P404" s="792"/>
      <c r="Q404" s="792"/>
      <c r="R404" s="792"/>
      <c r="S404" s="792"/>
      <c r="T404" s="792"/>
      <c r="U404" s="792"/>
      <c r="V404" s="792"/>
      <c r="W404" s="792"/>
      <c r="X404" s="792"/>
      <c r="Y404" s="792"/>
      <c r="Z404" s="792"/>
    </row>
    <row r="405" ht="15.75" customHeight="1">
      <c r="A405" s="901"/>
      <c r="B405" s="902"/>
      <c r="C405" s="901"/>
      <c r="D405" s="901"/>
      <c r="E405" s="901"/>
      <c r="F405" s="903"/>
      <c r="G405" s="901"/>
      <c r="H405" s="792"/>
      <c r="I405" s="792"/>
      <c r="J405" s="792"/>
      <c r="K405" s="792"/>
      <c r="L405" s="792"/>
      <c r="M405" s="792"/>
      <c r="N405" s="792"/>
      <c r="O405" s="792"/>
      <c r="P405" s="792"/>
      <c r="Q405" s="792"/>
      <c r="R405" s="792"/>
      <c r="S405" s="792"/>
      <c r="T405" s="792"/>
      <c r="U405" s="792"/>
      <c r="V405" s="792"/>
      <c r="W405" s="792"/>
      <c r="X405" s="792"/>
      <c r="Y405" s="792"/>
      <c r="Z405" s="792"/>
    </row>
    <row r="406" ht="15.75" customHeight="1">
      <c r="A406" s="901"/>
      <c r="B406" s="902"/>
      <c r="C406" s="901"/>
      <c r="D406" s="901"/>
      <c r="E406" s="901"/>
      <c r="F406" s="903"/>
      <c r="G406" s="901"/>
      <c r="H406" s="792"/>
      <c r="I406" s="792"/>
      <c r="J406" s="792"/>
      <c r="K406" s="792"/>
      <c r="L406" s="792"/>
      <c r="M406" s="792"/>
      <c r="N406" s="792"/>
      <c r="O406" s="792"/>
      <c r="P406" s="792"/>
      <c r="Q406" s="792"/>
      <c r="R406" s="792"/>
      <c r="S406" s="792"/>
      <c r="T406" s="792"/>
      <c r="U406" s="792"/>
      <c r="V406" s="792"/>
      <c r="W406" s="792"/>
      <c r="X406" s="792"/>
      <c r="Y406" s="792"/>
      <c r="Z406" s="792"/>
    </row>
    <row r="407" ht="15.75" customHeight="1">
      <c r="A407" s="901"/>
      <c r="B407" s="902"/>
      <c r="C407" s="901"/>
      <c r="D407" s="901"/>
      <c r="E407" s="901"/>
      <c r="F407" s="903"/>
      <c r="G407" s="901"/>
      <c r="H407" s="792"/>
      <c r="I407" s="792"/>
      <c r="J407" s="792"/>
      <c r="K407" s="792"/>
      <c r="L407" s="792"/>
      <c r="M407" s="792"/>
      <c r="N407" s="792"/>
      <c r="O407" s="792"/>
      <c r="P407" s="792"/>
      <c r="Q407" s="792"/>
      <c r="R407" s="792"/>
      <c r="S407" s="792"/>
      <c r="T407" s="792"/>
      <c r="U407" s="792"/>
      <c r="V407" s="792"/>
      <c r="W407" s="792"/>
      <c r="X407" s="792"/>
      <c r="Y407" s="792"/>
      <c r="Z407" s="792"/>
    </row>
    <row r="408" ht="15.75" customHeight="1">
      <c r="A408" s="901"/>
      <c r="B408" s="902"/>
      <c r="C408" s="901"/>
      <c r="D408" s="901"/>
      <c r="E408" s="901"/>
      <c r="F408" s="903"/>
      <c r="G408" s="901"/>
      <c r="H408" s="792"/>
      <c r="I408" s="792"/>
      <c r="J408" s="792"/>
      <c r="K408" s="792"/>
      <c r="L408" s="792"/>
      <c r="M408" s="792"/>
      <c r="N408" s="792"/>
      <c r="O408" s="792"/>
      <c r="P408" s="792"/>
      <c r="Q408" s="792"/>
      <c r="R408" s="792"/>
      <c r="S408" s="792"/>
      <c r="T408" s="792"/>
      <c r="U408" s="792"/>
      <c r="V408" s="792"/>
      <c r="W408" s="792"/>
      <c r="X408" s="792"/>
      <c r="Y408" s="792"/>
      <c r="Z408" s="792"/>
    </row>
    <row r="409" ht="15.75" customHeight="1">
      <c r="A409" s="901"/>
      <c r="B409" s="902"/>
      <c r="C409" s="901"/>
      <c r="D409" s="901"/>
      <c r="E409" s="901"/>
      <c r="F409" s="903"/>
      <c r="G409" s="901"/>
      <c r="H409" s="792"/>
      <c r="I409" s="792"/>
      <c r="J409" s="792"/>
      <c r="K409" s="792"/>
      <c r="L409" s="792"/>
      <c r="M409" s="792"/>
      <c r="N409" s="792"/>
      <c r="O409" s="792"/>
      <c r="P409" s="792"/>
      <c r="Q409" s="792"/>
      <c r="R409" s="792"/>
      <c r="S409" s="792"/>
      <c r="T409" s="792"/>
      <c r="U409" s="792"/>
      <c r="V409" s="792"/>
      <c r="W409" s="792"/>
      <c r="X409" s="792"/>
      <c r="Y409" s="792"/>
      <c r="Z409" s="792"/>
    </row>
    <row r="410" ht="15.75" customHeight="1">
      <c r="A410" s="901"/>
      <c r="B410" s="902"/>
      <c r="C410" s="901"/>
      <c r="D410" s="901"/>
      <c r="E410" s="901"/>
      <c r="F410" s="903"/>
      <c r="G410" s="901"/>
      <c r="H410" s="792"/>
      <c r="I410" s="792"/>
      <c r="J410" s="792"/>
      <c r="K410" s="792"/>
      <c r="L410" s="792"/>
      <c r="M410" s="792"/>
      <c r="N410" s="792"/>
      <c r="O410" s="792"/>
      <c r="P410" s="792"/>
      <c r="Q410" s="792"/>
      <c r="R410" s="792"/>
      <c r="S410" s="792"/>
      <c r="T410" s="792"/>
      <c r="U410" s="792"/>
      <c r="V410" s="792"/>
      <c r="W410" s="792"/>
      <c r="X410" s="792"/>
      <c r="Y410" s="792"/>
      <c r="Z410" s="792"/>
    </row>
    <row r="411" ht="15.75" customHeight="1">
      <c r="A411" s="901"/>
      <c r="B411" s="902"/>
      <c r="C411" s="901"/>
      <c r="D411" s="901"/>
      <c r="E411" s="901"/>
      <c r="F411" s="903"/>
      <c r="G411" s="901"/>
      <c r="H411" s="792"/>
      <c r="I411" s="792"/>
      <c r="J411" s="792"/>
      <c r="K411" s="792"/>
      <c r="L411" s="792"/>
      <c r="M411" s="792"/>
      <c r="N411" s="792"/>
      <c r="O411" s="792"/>
      <c r="P411" s="792"/>
      <c r="Q411" s="792"/>
      <c r="R411" s="792"/>
      <c r="S411" s="792"/>
      <c r="T411" s="792"/>
      <c r="U411" s="792"/>
      <c r="V411" s="792"/>
      <c r="W411" s="792"/>
      <c r="X411" s="792"/>
      <c r="Y411" s="792"/>
      <c r="Z411" s="792"/>
    </row>
    <row r="412" ht="15.75" customHeight="1">
      <c r="A412" s="901"/>
      <c r="B412" s="902"/>
      <c r="C412" s="901"/>
      <c r="D412" s="901"/>
      <c r="E412" s="901"/>
      <c r="F412" s="903"/>
      <c r="G412" s="901"/>
      <c r="H412" s="792"/>
      <c r="I412" s="792"/>
      <c r="J412" s="792"/>
      <c r="K412" s="792"/>
      <c r="L412" s="792"/>
      <c r="M412" s="792"/>
      <c r="N412" s="792"/>
      <c r="O412" s="792"/>
      <c r="P412" s="792"/>
      <c r="Q412" s="792"/>
      <c r="R412" s="792"/>
      <c r="S412" s="792"/>
      <c r="T412" s="792"/>
      <c r="U412" s="792"/>
      <c r="V412" s="792"/>
      <c r="W412" s="792"/>
      <c r="X412" s="792"/>
      <c r="Y412" s="792"/>
      <c r="Z412" s="792"/>
    </row>
    <row r="413" ht="15.75" customHeight="1">
      <c r="A413" s="901"/>
      <c r="B413" s="902"/>
      <c r="C413" s="901"/>
      <c r="D413" s="901"/>
      <c r="E413" s="901"/>
      <c r="F413" s="903"/>
      <c r="G413" s="901"/>
      <c r="H413" s="792"/>
      <c r="I413" s="792"/>
      <c r="J413" s="792"/>
      <c r="K413" s="792"/>
      <c r="L413" s="792"/>
      <c r="M413" s="792"/>
      <c r="N413" s="792"/>
      <c r="O413" s="792"/>
      <c r="P413" s="792"/>
      <c r="Q413" s="792"/>
      <c r="R413" s="792"/>
      <c r="S413" s="792"/>
      <c r="T413" s="792"/>
      <c r="U413" s="792"/>
      <c r="V413" s="792"/>
      <c r="W413" s="792"/>
      <c r="X413" s="792"/>
      <c r="Y413" s="792"/>
      <c r="Z413" s="792"/>
    </row>
    <row r="414" ht="15.75" customHeight="1">
      <c r="A414" s="901"/>
      <c r="B414" s="902"/>
      <c r="C414" s="901"/>
      <c r="D414" s="901"/>
      <c r="E414" s="901"/>
      <c r="F414" s="903"/>
      <c r="G414" s="901"/>
      <c r="H414" s="792"/>
      <c r="I414" s="792"/>
      <c r="J414" s="792"/>
      <c r="K414" s="792"/>
      <c r="L414" s="792"/>
      <c r="M414" s="792"/>
      <c r="N414" s="792"/>
      <c r="O414" s="792"/>
      <c r="P414" s="792"/>
      <c r="Q414" s="792"/>
      <c r="R414" s="792"/>
      <c r="S414" s="792"/>
      <c r="T414" s="792"/>
      <c r="U414" s="792"/>
      <c r="V414" s="792"/>
      <c r="W414" s="792"/>
      <c r="X414" s="792"/>
      <c r="Y414" s="792"/>
      <c r="Z414" s="792"/>
    </row>
    <row r="415" ht="15.75" customHeight="1">
      <c r="A415" s="901"/>
      <c r="B415" s="902"/>
      <c r="C415" s="901"/>
      <c r="D415" s="901"/>
      <c r="E415" s="901"/>
      <c r="F415" s="903"/>
      <c r="G415" s="901"/>
      <c r="H415" s="792"/>
      <c r="I415" s="792"/>
      <c r="J415" s="792"/>
      <c r="K415" s="792"/>
      <c r="L415" s="792"/>
      <c r="M415" s="792"/>
      <c r="N415" s="792"/>
      <c r="O415" s="792"/>
      <c r="P415" s="792"/>
      <c r="Q415" s="792"/>
      <c r="R415" s="792"/>
      <c r="S415" s="792"/>
      <c r="T415" s="792"/>
      <c r="U415" s="792"/>
      <c r="V415" s="792"/>
      <c r="W415" s="792"/>
      <c r="X415" s="792"/>
      <c r="Y415" s="792"/>
      <c r="Z415" s="792"/>
    </row>
    <row r="416" ht="15.75" customHeight="1">
      <c r="A416" s="901"/>
      <c r="B416" s="902"/>
      <c r="C416" s="901"/>
      <c r="D416" s="901"/>
      <c r="E416" s="901"/>
      <c r="F416" s="903"/>
      <c r="G416" s="901"/>
      <c r="H416" s="792"/>
      <c r="I416" s="792"/>
      <c r="J416" s="792"/>
      <c r="K416" s="792"/>
      <c r="L416" s="792"/>
      <c r="M416" s="792"/>
      <c r="N416" s="792"/>
      <c r="O416" s="792"/>
      <c r="P416" s="792"/>
      <c r="Q416" s="792"/>
      <c r="R416" s="792"/>
      <c r="S416" s="792"/>
      <c r="T416" s="792"/>
      <c r="U416" s="792"/>
      <c r="V416" s="792"/>
      <c r="W416" s="792"/>
      <c r="X416" s="792"/>
      <c r="Y416" s="792"/>
      <c r="Z416" s="792"/>
    </row>
    <row r="417" ht="15.75" customHeight="1">
      <c r="A417" s="901"/>
      <c r="B417" s="902"/>
      <c r="C417" s="901"/>
      <c r="D417" s="901"/>
      <c r="E417" s="901"/>
      <c r="F417" s="903"/>
      <c r="G417" s="901"/>
      <c r="H417" s="792"/>
      <c r="I417" s="792"/>
      <c r="J417" s="792"/>
      <c r="K417" s="792"/>
      <c r="L417" s="792"/>
      <c r="M417" s="792"/>
      <c r="N417" s="792"/>
      <c r="O417" s="792"/>
      <c r="P417" s="792"/>
      <c r="Q417" s="792"/>
      <c r="R417" s="792"/>
      <c r="S417" s="792"/>
      <c r="T417" s="792"/>
      <c r="U417" s="792"/>
      <c r="V417" s="792"/>
      <c r="W417" s="792"/>
      <c r="X417" s="792"/>
      <c r="Y417" s="792"/>
      <c r="Z417" s="792"/>
    </row>
    <row r="418" ht="15.75" customHeight="1">
      <c r="A418" s="901"/>
      <c r="B418" s="902"/>
      <c r="C418" s="901"/>
      <c r="D418" s="901"/>
      <c r="E418" s="901"/>
      <c r="F418" s="903"/>
      <c r="G418" s="901"/>
      <c r="H418" s="792"/>
      <c r="I418" s="792"/>
      <c r="J418" s="792"/>
      <c r="K418" s="792"/>
      <c r="L418" s="792"/>
      <c r="M418" s="792"/>
      <c r="N418" s="792"/>
      <c r="O418" s="792"/>
      <c r="P418" s="792"/>
      <c r="Q418" s="792"/>
      <c r="R418" s="792"/>
      <c r="S418" s="792"/>
      <c r="T418" s="792"/>
      <c r="U418" s="792"/>
      <c r="V418" s="792"/>
      <c r="W418" s="792"/>
      <c r="X418" s="792"/>
      <c r="Y418" s="792"/>
      <c r="Z418" s="792"/>
    </row>
    <row r="419" ht="15.75" customHeight="1">
      <c r="A419" s="901"/>
      <c r="B419" s="902"/>
      <c r="C419" s="901"/>
      <c r="D419" s="901"/>
      <c r="E419" s="901"/>
      <c r="F419" s="903"/>
      <c r="G419" s="901"/>
      <c r="H419" s="792"/>
      <c r="I419" s="792"/>
      <c r="J419" s="792"/>
      <c r="K419" s="792"/>
      <c r="L419" s="792"/>
      <c r="M419" s="792"/>
      <c r="N419" s="792"/>
      <c r="O419" s="792"/>
      <c r="P419" s="792"/>
      <c r="Q419" s="792"/>
      <c r="R419" s="792"/>
      <c r="S419" s="792"/>
      <c r="T419" s="792"/>
      <c r="U419" s="792"/>
      <c r="V419" s="792"/>
      <c r="W419" s="792"/>
      <c r="X419" s="792"/>
      <c r="Y419" s="792"/>
      <c r="Z419" s="792"/>
    </row>
    <row r="420" ht="15.75" customHeight="1">
      <c r="A420" s="901"/>
      <c r="B420" s="902"/>
      <c r="C420" s="901"/>
      <c r="D420" s="901"/>
      <c r="E420" s="901"/>
      <c r="F420" s="903"/>
      <c r="G420" s="901"/>
      <c r="H420" s="792"/>
      <c r="I420" s="792"/>
      <c r="J420" s="792"/>
      <c r="K420" s="792"/>
      <c r="L420" s="792"/>
      <c r="M420" s="792"/>
      <c r="N420" s="792"/>
      <c r="O420" s="792"/>
      <c r="P420" s="792"/>
      <c r="Q420" s="792"/>
      <c r="R420" s="792"/>
      <c r="S420" s="792"/>
      <c r="T420" s="792"/>
      <c r="U420" s="792"/>
      <c r="V420" s="792"/>
      <c r="W420" s="792"/>
      <c r="X420" s="792"/>
      <c r="Y420" s="792"/>
      <c r="Z420" s="792"/>
    </row>
    <row r="421" ht="15.75" customHeight="1">
      <c r="A421" s="901"/>
      <c r="B421" s="902"/>
      <c r="C421" s="901"/>
      <c r="D421" s="901"/>
      <c r="E421" s="901"/>
      <c r="F421" s="903"/>
      <c r="G421" s="901"/>
      <c r="H421" s="792"/>
      <c r="I421" s="792"/>
      <c r="J421" s="792"/>
      <c r="K421" s="792"/>
      <c r="L421" s="792"/>
      <c r="M421" s="792"/>
      <c r="N421" s="792"/>
      <c r="O421" s="792"/>
      <c r="P421" s="792"/>
      <c r="Q421" s="792"/>
      <c r="R421" s="792"/>
      <c r="S421" s="792"/>
      <c r="T421" s="792"/>
      <c r="U421" s="792"/>
      <c r="V421" s="792"/>
      <c r="W421" s="792"/>
      <c r="X421" s="792"/>
      <c r="Y421" s="792"/>
      <c r="Z421" s="792"/>
    </row>
    <row r="422" ht="15.75" customHeight="1">
      <c r="A422" s="901"/>
      <c r="B422" s="902"/>
      <c r="C422" s="901"/>
      <c r="D422" s="901"/>
      <c r="E422" s="901"/>
      <c r="F422" s="903"/>
      <c r="G422" s="901"/>
      <c r="H422" s="792"/>
      <c r="I422" s="792"/>
      <c r="J422" s="792"/>
      <c r="K422" s="792"/>
      <c r="L422" s="792"/>
      <c r="M422" s="792"/>
      <c r="N422" s="792"/>
      <c r="O422" s="792"/>
      <c r="P422" s="792"/>
      <c r="Q422" s="792"/>
      <c r="R422" s="792"/>
      <c r="S422" s="792"/>
      <c r="T422" s="792"/>
      <c r="U422" s="792"/>
      <c r="V422" s="792"/>
      <c r="W422" s="792"/>
      <c r="X422" s="792"/>
      <c r="Y422" s="792"/>
      <c r="Z422" s="792"/>
    </row>
    <row r="423" ht="15.75" customHeight="1">
      <c r="A423" s="901"/>
      <c r="B423" s="902"/>
      <c r="C423" s="901"/>
      <c r="D423" s="901"/>
      <c r="E423" s="901"/>
      <c r="F423" s="903"/>
      <c r="G423" s="901"/>
      <c r="H423" s="792"/>
      <c r="I423" s="792"/>
      <c r="J423" s="792"/>
      <c r="K423" s="792"/>
      <c r="L423" s="792"/>
      <c r="M423" s="792"/>
      <c r="N423" s="792"/>
      <c r="O423" s="792"/>
      <c r="P423" s="792"/>
      <c r="Q423" s="792"/>
      <c r="R423" s="792"/>
      <c r="S423" s="792"/>
      <c r="T423" s="792"/>
      <c r="U423" s="792"/>
      <c r="V423" s="792"/>
      <c r="W423" s="792"/>
      <c r="X423" s="792"/>
      <c r="Y423" s="792"/>
      <c r="Z423" s="792"/>
    </row>
    <row r="424" ht="15.75" customHeight="1">
      <c r="A424" s="901"/>
      <c r="B424" s="902"/>
      <c r="C424" s="901"/>
      <c r="D424" s="901"/>
      <c r="E424" s="901"/>
      <c r="F424" s="903"/>
      <c r="G424" s="901"/>
      <c r="H424" s="792"/>
      <c r="I424" s="792"/>
      <c r="J424" s="792"/>
      <c r="K424" s="792"/>
      <c r="L424" s="792"/>
      <c r="M424" s="792"/>
      <c r="N424" s="792"/>
      <c r="O424" s="792"/>
      <c r="P424" s="792"/>
      <c r="Q424" s="792"/>
      <c r="R424" s="792"/>
      <c r="S424" s="792"/>
      <c r="T424" s="792"/>
      <c r="U424" s="792"/>
      <c r="V424" s="792"/>
      <c r="W424" s="792"/>
      <c r="X424" s="792"/>
      <c r="Y424" s="792"/>
      <c r="Z424" s="792"/>
    </row>
    <row r="425" ht="15.75" customHeight="1">
      <c r="A425" s="901"/>
      <c r="B425" s="902"/>
      <c r="C425" s="901"/>
      <c r="D425" s="901"/>
      <c r="E425" s="901"/>
      <c r="F425" s="903"/>
      <c r="G425" s="901"/>
      <c r="H425" s="792"/>
      <c r="I425" s="792"/>
      <c r="J425" s="792"/>
      <c r="K425" s="792"/>
      <c r="L425" s="792"/>
      <c r="M425" s="792"/>
      <c r="N425" s="792"/>
      <c r="O425" s="792"/>
      <c r="P425" s="792"/>
      <c r="Q425" s="792"/>
      <c r="R425" s="792"/>
      <c r="S425" s="792"/>
      <c r="T425" s="792"/>
      <c r="U425" s="792"/>
      <c r="V425" s="792"/>
      <c r="W425" s="792"/>
      <c r="X425" s="792"/>
      <c r="Y425" s="792"/>
      <c r="Z425" s="792"/>
    </row>
    <row r="426" ht="15.75" customHeight="1">
      <c r="A426" s="901"/>
      <c r="B426" s="902"/>
      <c r="C426" s="901"/>
      <c r="D426" s="901"/>
      <c r="E426" s="901"/>
      <c r="F426" s="903"/>
      <c r="G426" s="901"/>
      <c r="H426" s="792"/>
      <c r="I426" s="792"/>
      <c r="J426" s="792"/>
      <c r="K426" s="792"/>
      <c r="L426" s="792"/>
      <c r="M426" s="792"/>
      <c r="N426" s="792"/>
      <c r="O426" s="792"/>
      <c r="P426" s="792"/>
      <c r="Q426" s="792"/>
      <c r="R426" s="792"/>
      <c r="S426" s="792"/>
      <c r="T426" s="792"/>
      <c r="U426" s="792"/>
      <c r="V426" s="792"/>
      <c r="W426" s="792"/>
      <c r="X426" s="792"/>
      <c r="Y426" s="792"/>
      <c r="Z426" s="792"/>
    </row>
    <row r="427" ht="15.75" customHeight="1">
      <c r="A427" s="901"/>
      <c r="B427" s="902"/>
      <c r="C427" s="901"/>
      <c r="D427" s="901"/>
      <c r="E427" s="901"/>
      <c r="F427" s="903"/>
      <c r="G427" s="901"/>
      <c r="H427" s="792"/>
      <c r="I427" s="792"/>
      <c r="J427" s="792"/>
      <c r="K427" s="792"/>
      <c r="L427" s="792"/>
      <c r="M427" s="792"/>
      <c r="N427" s="792"/>
      <c r="O427" s="792"/>
      <c r="P427" s="792"/>
      <c r="Q427" s="792"/>
      <c r="R427" s="792"/>
      <c r="S427" s="792"/>
      <c r="T427" s="792"/>
      <c r="U427" s="792"/>
      <c r="V427" s="792"/>
      <c r="W427" s="792"/>
      <c r="X427" s="792"/>
      <c r="Y427" s="792"/>
      <c r="Z427" s="792"/>
    </row>
    <row r="428" ht="15.75" customHeight="1">
      <c r="A428" s="901"/>
      <c r="B428" s="902"/>
      <c r="C428" s="901"/>
      <c r="D428" s="901"/>
      <c r="E428" s="901"/>
      <c r="F428" s="903"/>
      <c r="G428" s="901"/>
      <c r="H428" s="792"/>
      <c r="I428" s="792"/>
      <c r="J428" s="792"/>
      <c r="K428" s="792"/>
      <c r="L428" s="792"/>
      <c r="M428" s="792"/>
      <c r="N428" s="792"/>
      <c r="O428" s="792"/>
      <c r="P428" s="792"/>
      <c r="Q428" s="792"/>
      <c r="R428" s="792"/>
      <c r="S428" s="792"/>
      <c r="T428" s="792"/>
      <c r="U428" s="792"/>
      <c r="V428" s="792"/>
      <c r="W428" s="792"/>
      <c r="X428" s="792"/>
      <c r="Y428" s="792"/>
      <c r="Z428" s="792"/>
    </row>
    <row r="429" ht="15.75" customHeight="1">
      <c r="A429" s="901"/>
      <c r="B429" s="902"/>
      <c r="C429" s="901"/>
      <c r="D429" s="901"/>
      <c r="E429" s="901"/>
      <c r="F429" s="903"/>
      <c r="G429" s="901"/>
      <c r="H429" s="792"/>
      <c r="I429" s="792"/>
      <c r="J429" s="792"/>
      <c r="K429" s="792"/>
      <c r="L429" s="792"/>
      <c r="M429" s="792"/>
      <c r="N429" s="792"/>
      <c r="O429" s="792"/>
      <c r="P429" s="792"/>
      <c r="Q429" s="792"/>
      <c r="R429" s="792"/>
      <c r="S429" s="792"/>
      <c r="T429" s="792"/>
      <c r="U429" s="792"/>
      <c r="V429" s="792"/>
      <c r="W429" s="792"/>
      <c r="X429" s="792"/>
      <c r="Y429" s="792"/>
      <c r="Z429" s="792"/>
    </row>
    <row r="430" ht="15.75" customHeight="1">
      <c r="A430" s="901"/>
      <c r="B430" s="902"/>
      <c r="C430" s="901"/>
      <c r="D430" s="901"/>
      <c r="E430" s="901"/>
      <c r="F430" s="903"/>
      <c r="G430" s="901"/>
      <c r="H430" s="792"/>
      <c r="I430" s="792"/>
      <c r="J430" s="792"/>
      <c r="K430" s="792"/>
      <c r="L430" s="792"/>
      <c r="M430" s="792"/>
      <c r="N430" s="792"/>
      <c r="O430" s="792"/>
      <c r="P430" s="792"/>
      <c r="Q430" s="792"/>
      <c r="R430" s="792"/>
      <c r="S430" s="792"/>
      <c r="T430" s="792"/>
      <c r="U430" s="792"/>
      <c r="V430" s="792"/>
      <c r="W430" s="792"/>
      <c r="X430" s="792"/>
      <c r="Y430" s="792"/>
      <c r="Z430" s="792"/>
    </row>
    <row r="431" ht="15.75" customHeight="1">
      <c r="A431" s="901"/>
      <c r="B431" s="902"/>
      <c r="C431" s="901"/>
      <c r="D431" s="901"/>
      <c r="E431" s="901"/>
      <c r="F431" s="903"/>
      <c r="G431" s="901"/>
      <c r="H431" s="792"/>
      <c r="I431" s="792"/>
      <c r="J431" s="792"/>
      <c r="K431" s="792"/>
      <c r="L431" s="792"/>
      <c r="M431" s="792"/>
      <c r="N431" s="792"/>
      <c r="O431" s="792"/>
      <c r="P431" s="792"/>
      <c r="Q431" s="792"/>
      <c r="R431" s="792"/>
      <c r="S431" s="792"/>
      <c r="T431" s="792"/>
      <c r="U431" s="792"/>
      <c r="V431" s="792"/>
      <c r="W431" s="792"/>
      <c r="X431" s="792"/>
      <c r="Y431" s="792"/>
      <c r="Z431" s="792"/>
    </row>
    <row r="432" ht="15.75" customHeight="1">
      <c r="A432" s="901"/>
      <c r="B432" s="902"/>
      <c r="C432" s="901"/>
      <c r="D432" s="901"/>
      <c r="E432" s="901"/>
      <c r="F432" s="903"/>
      <c r="G432" s="901"/>
      <c r="H432" s="792"/>
      <c r="I432" s="792"/>
      <c r="J432" s="792"/>
      <c r="K432" s="792"/>
      <c r="L432" s="792"/>
      <c r="M432" s="792"/>
      <c r="N432" s="792"/>
      <c r="O432" s="792"/>
      <c r="P432" s="792"/>
      <c r="Q432" s="792"/>
      <c r="R432" s="792"/>
      <c r="S432" s="792"/>
      <c r="T432" s="792"/>
      <c r="U432" s="792"/>
      <c r="V432" s="792"/>
      <c r="W432" s="792"/>
      <c r="X432" s="792"/>
      <c r="Y432" s="792"/>
      <c r="Z432" s="792"/>
    </row>
    <row r="433" ht="15.75" customHeight="1">
      <c r="A433" s="901"/>
      <c r="B433" s="902"/>
      <c r="C433" s="901"/>
      <c r="D433" s="901"/>
      <c r="E433" s="901"/>
      <c r="F433" s="903"/>
      <c r="G433" s="901"/>
      <c r="H433" s="792"/>
      <c r="I433" s="792"/>
      <c r="J433" s="792"/>
      <c r="K433" s="792"/>
      <c r="L433" s="792"/>
      <c r="M433" s="792"/>
      <c r="N433" s="792"/>
      <c r="O433" s="792"/>
      <c r="P433" s="792"/>
      <c r="Q433" s="792"/>
      <c r="R433" s="792"/>
      <c r="S433" s="792"/>
      <c r="T433" s="792"/>
      <c r="U433" s="792"/>
      <c r="V433" s="792"/>
      <c r="W433" s="792"/>
      <c r="X433" s="792"/>
      <c r="Y433" s="792"/>
      <c r="Z433" s="792"/>
    </row>
    <row r="434" ht="15.75" customHeight="1">
      <c r="A434" s="901"/>
      <c r="B434" s="902"/>
      <c r="C434" s="901"/>
      <c r="D434" s="901"/>
      <c r="E434" s="901"/>
      <c r="F434" s="903"/>
      <c r="G434" s="901"/>
      <c r="H434" s="792"/>
      <c r="I434" s="792"/>
      <c r="J434" s="792"/>
      <c r="K434" s="792"/>
      <c r="L434" s="792"/>
      <c r="M434" s="792"/>
      <c r="N434" s="792"/>
      <c r="O434" s="792"/>
      <c r="P434" s="792"/>
      <c r="Q434" s="792"/>
      <c r="R434" s="792"/>
      <c r="S434" s="792"/>
      <c r="T434" s="792"/>
      <c r="U434" s="792"/>
      <c r="V434" s="792"/>
      <c r="W434" s="792"/>
      <c r="X434" s="792"/>
      <c r="Y434" s="792"/>
      <c r="Z434" s="792"/>
    </row>
    <row r="435" ht="15.75" customHeight="1">
      <c r="A435" s="901"/>
      <c r="B435" s="902"/>
      <c r="C435" s="901"/>
      <c r="D435" s="901"/>
      <c r="E435" s="901"/>
      <c r="F435" s="903"/>
      <c r="G435" s="901"/>
      <c r="H435" s="792"/>
      <c r="I435" s="792"/>
      <c r="J435" s="792"/>
      <c r="K435" s="792"/>
      <c r="L435" s="792"/>
      <c r="M435" s="792"/>
      <c r="N435" s="792"/>
      <c r="O435" s="792"/>
      <c r="P435" s="792"/>
      <c r="Q435" s="792"/>
      <c r="R435" s="792"/>
      <c r="S435" s="792"/>
      <c r="T435" s="792"/>
      <c r="U435" s="792"/>
      <c r="V435" s="792"/>
      <c r="W435" s="792"/>
      <c r="X435" s="792"/>
      <c r="Y435" s="792"/>
      <c r="Z435" s="792"/>
    </row>
    <row r="436" ht="15.75" customHeight="1">
      <c r="A436" s="901"/>
      <c r="B436" s="902"/>
      <c r="C436" s="901"/>
      <c r="D436" s="901"/>
      <c r="E436" s="901"/>
      <c r="F436" s="903"/>
      <c r="G436" s="901"/>
      <c r="H436" s="792"/>
      <c r="I436" s="792"/>
      <c r="J436" s="792"/>
      <c r="K436" s="792"/>
      <c r="L436" s="792"/>
      <c r="M436" s="792"/>
      <c r="N436" s="792"/>
      <c r="O436" s="792"/>
      <c r="P436" s="792"/>
      <c r="Q436" s="792"/>
      <c r="R436" s="792"/>
      <c r="S436" s="792"/>
      <c r="T436" s="792"/>
      <c r="U436" s="792"/>
      <c r="V436" s="792"/>
      <c r="W436" s="792"/>
      <c r="X436" s="792"/>
      <c r="Y436" s="792"/>
      <c r="Z436" s="792"/>
    </row>
    <row r="437" ht="15.75" customHeight="1">
      <c r="A437" s="901"/>
      <c r="B437" s="902"/>
      <c r="C437" s="901"/>
      <c r="D437" s="901"/>
      <c r="E437" s="901"/>
      <c r="F437" s="903"/>
      <c r="G437" s="901"/>
      <c r="H437" s="792"/>
      <c r="I437" s="792"/>
      <c r="J437" s="792"/>
      <c r="K437" s="792"/>
      <c r="L437" s="792"/>
      <c r="M437" s="792"/>
      <c r="N437" s="792"/>
      <c r="O437" s="792"/>
      <c r="P437" s="792"/>
      <c r="Q437" s="792"/>
      <c r="R437" s="792"/>
      <c r="S437" s="792"/>
      <c r="T437" s="792"/>
      <c r="U437" s="792"/>
      <c r="V437" s="792"/>
      <c r="W437" s="792"/>
      <c r="X437" s="792"/>
      <c r="Y437" s="792"/>
      <c r="Z437" s="792"/>
    </row>
    <row r="438" ht="15.75" customHeight="1">
      <c r="A438" s="901"/>
      <c r="B438" s="902"/>
      <c r="C438" s="901"/>
      <c r="D438" s="901"/>
      <c r="E438" s="901"/>
      <c r="F438" s="903"/>
      <c r="G438" s="901"/>
      <c r="H438" s="792"/>
      <c r="I438" s="792"/>
      <c r="J438" s="792"/>
      <c r="K438" s="792"/>
      <c r="L438" s="792"/>
      <c r="M438" s="792"/>
      <c r="N438" s="792"/>
      <c r="O438" s="792"/>
      <c r="P438" s="792"/>
      <c r="Q438" s="792"/>
      <c r="R438" s="792"/>
      <c r="S438" s="792"/>
      <c r="T438" s="792"/>
      <c r="U438" s="792"/>
      <c r="V438" s="792"/>
      <c r="W438" s="792"/>
      <c r="X438" s="792"/>
      <c r="Y438" s="792"/>
      <c r="Z438" s="792"/>
    </row>
    <row r="439" ht="15.75" customHeight="1">
      <c r="A439" s="901"/>
      <c r="B439" s="902"/>
      <c r="C439" s="901"/>
      <c r="D439" s="901"/>
      <c r="E439" s="901"/>
      <c r="F439" s="903"/>
      <c r="G439" s="901"/>
      <c r="H439" s="792"/>
      <c r="I439" s="792"/>
      <c r="J439" s="792"/>
      <c r="K439" s="792"/>
      <c r="L439" s="792"/>
      <c r="M439" s="792"/>
      <c r="N439" s="792"/>
      <c r="O439" s="792"/>
      <c r="P439" s="792"/>
      <c r="Q439" s="792"/>
      <c r="R439" s="792"/>
      <c r="S439" s="792"/>
      <c r="T439" s="792"/>
      <c r="U439" s="792"/>
      <c r="V439" s="792"/>
      <c r="W439" s="792"/>
      <c r="X439" s="792"/>
      <c r="Y439" s="792"/>
      <c r="Z439" s="792"/>
    </row>
    <row r="440" ht="15.75" customHeight="1">
      <c r="A440" s="901"/>
      <c r="B440" s="902"/>
      <c r="C440" s="901"/>
      <c r="D440" s="901"/>
      <c r="E440" s="901"/>
      <c r="F440" s="903"/>
      <c r="G440" s="901"/>
      <c r="H440" s="792"/>
      <c r="I440" s="792"/>
      <c r="J440" s="792"/>
      <c r="K440" s="792"/>
      <c r="L440" s="792"/>
      <c r="M440" s="792"/>
      <c r="N440" s="792"/>
      <c r="O440" s="792"/>
      <c r="P440" s="792"/>
      <c r="Q440" s="792"/>
      <c r="R440" s="792"/>
      <c r="S440" s="792"/>
      <c r="T440" s="792"/>
      <c r="U440" s="792"/>
      <c r="V440" s="792"/>
      <c r="W440" s="792"/>
      <c r="X440" s="792"/>
      <c r="Y440" s="792"/>
      <c r="Z440" s="792"/>
    </row>
    <row r="441" ht="15.75" customHeight="1">
      <c r="A441" s="901"/>
      <c r="B441" s="902"/>
      <c r="C441" s="901"/>
      <c r="D441" s="901"/>
      <c r="E441" s="901"/>
      <c r="F441" s="903"/>
      <c r="G441" s="901"/>
      <c r="H441" s="792"/>
      <c r="I441" s="792"/>
      <c r="J441" s="792"/>
      <c r="K441" s="792"/>
      <c r="L441" s="792"/>
      <c r="M441" s="792"/>
      <c r="N441" s="792"/>
      <c r="O441" s="792"/>
      <c r="P441" s="792"/>
      <c r="Q441" s="792"/>
      <c r="R441" s="792"/>
      <c r="S441" s="792"/>
      <c r="T441" s="792"/>
      <c r="U441" s="792"/>
      <c r="V441" s="792"/>
      <c r="W441" s="792"/>
      <c r="X441" s="792"/>
      <c r="Y441" s="792"/>
      <c r="Z441" s="792"/>
    </row>
    <row r="442" ht="15.75" customHeight="1">
      <c r="A442" s="901"/>
      <c r="B442" s="902"/>
      <c r="C442" s="901"/>
      <c r="D442" s="901"/>
      <c r="E442" s="901"/>
      <c r="F442" s="903"/>
      <c r="G442" s="901"/>
      <c r="H442" s="792"/>
      <c r="I442" s="792"/>
      <c r="J442" s="792"/>
      <c r="K442" s="792"/>
      <c r="L442" s="792"/>
      <c r="M442" s="792"/>
      <c r="N442" s="792"/>
      <c r="O442" s="792"/>
      <c r="P442" s="792"/>
      <c r="Q442" s="792"/>
      <c r="R442" s="792"/>
      <c r="S442" s="792"/>
      <c r="T442" s="792"/>
      <c r="U442" s="792"/>
      <c r="V442" s="792"/>
      <c r="W442" s="792"/>
      <c r="X442" s="792"/>
      <c r="Y442" s="792"/>
      <c r="Z442" s="792"/>
    </row>
    <row r="443" ht="15.75" customHeight="1">
      <c r="A443" s="901"/>
      <c r="B443" s="902"/>
      <c r="C443" s="901"/>
      <c r="D443" s="901"/>
      <c r="E443" s="901"/>
      <c r="F443" s="903"/>
      <c r="G443" s="901"/>
      <c r="H443" s="792"/>
      <c r="I443" s="792"/>
      <c r="J443" s="792"/>
      <c r="K443" s="792"/>
      <c r="L443" s="792"/>
      <c r="M443" s="792"/>
      <c r="N443" s="792"/>
      <c r="O443" s="792"/>
      <c r="P443" s="792"/>
      <c r="Q443" s="792"/>
      <c r="R443" s="792"/>
      <c r="S443" s="792"/>
      <c r="T443" s="792"/>
      <c r="U443" s="792"/>
      <c r="V443" s="792"/>
      <c r="W443" s="792"/>
      <c r="X443" s="792"/>
      <c r="Y443" s="792"/>
      <c r="Z443" s="792"/>
    </row>
    <row r="444" ht="15.75" customHeight="1">
      <c r="A444" s="901"/>
      <c r="B444" s="902"/>
      <c r="C444" s="901"/>
      <c r="D444" s="901"/>
      <c r="E444" s="901"/>
      <c r="F444" s="903"/>
      <c r="G444" s="901"/>
      <c r="H444" s="792"/>
      <c r="I444" s="792"/>
      <c r="J444" s="792"/>
      <c r="K444" s="792"/>
      <c r="L444" s="792"/>
      <c r="M444" s="792"/>
      <c r="N444" s="792"/>
      <c r="O444" s="792"/>
      <c r="P444" s="792"/>
      <c r="Q444" s="792"/>
      <c r="R444" s="792"/>
      <c r="S444" s="792"/>
      <c r="T444" s="792"/>
      <c r="U444" s="792"/>
      <c r="V444" s="792"/>
      <c r="W444" s="792"/>
      <c r="X444" s="792"/>
      <c r="Y444" s="792"/>
      <c r="Z444" s="792"/>
    </row>
    <row r="445" ht="15.75" customHeight="1">
      <c r="A445" s="901"/>
      <c r="B445" s="902"/>
      <c r="C445" s="901"/>
      <c r="D445" s="901"/>
      <c r="E445" s="901"/>
      <c r="F445" s="903"/>
      <c r="G445" s="901"/>
      <c r="H445" s="792"/>
      <c r="I445" s="792"/>
      <c r="J445" s="792"/>
      <c r="K445" s="792"/>
      <c r="L445" s="792"/>
      <c r="M445" s="792"/>
      <c r="N445" s="792"/>
      <c r="O445" s="792"/>
      <c r="P445" s="792"/>
      <c r="Q445" s="792"/>
      <c r="R445" s="792"/>
      <c r="S445" s="792"/>
      <c r="T445" s="792"/>
      <c r="U445" s="792"/>
      <c r="V445" s="792"/>
      <c r="W445" s="792"/>
      <c r="X445" s="792"/>
      <c r="Y445" s="792"/>
      <c r="Z445" s="792"/>
    </row>
    <row r="446" ht="15.75" customHeight="1">
      <c r="A446" s="901"/>
      <c r="B446" s="902"/>
      <c r="C446" s="901"/>
      <c r="D446" s="901"/>
      <c r="E446" s="901"/>
      <c r="F446" s="903"/>
      <c r="G446" s="901"/>
      <c r="H446" s="792"/>
      <c r="I446" s="792"/>
      <c r="J446" s="792"/>
      <c r="K446" s="792"/>
      <c r="L446" s="792"/>
      <c r="M446" s="792"/>
      <c r="N446" s="792"/>
      <c r="O446" s="792"/>
      <c r="P446" s="792"/>
      <c r="Q446" s="792"/>
      <c r="R446" s="792"/>
      <c r="S446" s="792"/>
      <c r="T446" s="792"/>
      <c r="U446" s="792"/>
      <c r="V446" s="792"/>
      <c r="W446" s="792"/>
      <c r="X446" s="792"/>
      <c r="Y446" s="792"/>
      <c r="Z446" s="792"/>
    </row>
    <row r="447" ht="15.75" customHeight="1">
      <c r="A447" s="901"/>
      <c r="B447" s="902"/>
      <c r="C447" s="901"/>
      <c r="D447" s="901"/>
      <c r="E447" s="901"/>
      <c r="F447" s="903"/>
      <c r="G447" s="901"/>
      <c r="H447" s="792"/>
      <c r="I447" s="792"/>
      <c r="J447" s="792"/>
      <c r="K447" s="792"/>
      <c r="L447" s="792"/>
      <c r="M447" s="792"/>
      <c r="N447" s="792"/>
      <c r="O447" s="792"/>
      <c r="P447" s="792"/>
      <c r="Q447" s="792"/>
      <c r="R447" s="792"/>
      <c r="S447" s="792"/>
      <c r="T447" s="792"/>
      <c r="U447" s="792"/>
      <c r="V447" s="792"/>
      <c r="W447" s="792"/>
      <c r="X447" s="792"/>
      <c r="Y447" s="792"/>
      <c r="Z447" s="792"/>
    </row>
    <row r="448" ht="15.75" customHeight="1">
      <c r="A448" s="901"/>
      <c r="B448" s="902"/>
      <c r="C448" s="901"/>
      <c r="D448" s="901"/>
      <c r="E448" s="901"/>
      <c r="F448" s="903"/>
      <c r="G448" s="901"/>
      <c r="H448" s="792"/>
      <c r="I448" s="792"/>
      <c r="J448" s="792"/>
      <c r="K448" s="792"/>
      <c r="L448" s="792"/>
      <c r="M448" s="792"/>
      <c r="N448" s="792"/>
      <c r="O448" s="792"/>
      <c r="P448" s="792"/>
      <c r="Q448" s="792"/>
      <c r="R448" s="792"/>
      <c r="S448" s="792"/>
      <c r="T448" s="792"/>
      <c r="U448" s="792"/>
      <c r="V448" s="792"/>
      <c r="W448" s="792"/>
      <c r="X448" s="792"/>
      <c r="Y448" s="792"/>
      <c r="Z448" s="792"/>
    </row>
    <row r="449" ht="15.75" customHeight="1">
      <c r="A449" s="901"/>
      <c r="B449" s="902"/>
      <c r="C449" s="901"/>
      <c r="D449" s="901"/>
      <c r="E449" s="901"/>
      <c r="F449" s="903"/>
      <c r="G449" s="901"/>
      <c r="H449" s="792"/>
      <c r="I449" s="792"/>
      <c r="J449" s="792"/>
      <c r="K449" s="792"/>
      <c r="L449" s="792"/>
      <c r="M449" s="792"/>
      <c r="N449" s="792"/>
      <c r="O449" s="792"/>
      <c r="P449" s="792"/>
      <c r="Q449" s="792"/>
      <c r="R449" s="792"/>
      <c r="S449" s="792"/>
      <c r="T449" s="792"/>
      <c r="U449" s="792"/>
      <c r="V449" s="792"/>
      <c r="W449" s="792"/>
      <c r="X449" s="792"/>
      <c r="Y449" s="792"/>
      <c r="Z449" s="792"/>
    </row>
    <row r="450" ht="15.75" customHeight="1">
      <c r="A450" s="901"/>
      <c r="B450" s="902"/>
      <c r="C450" s="901"/>
      <c r="D450" s="901"/>
      <c r="E450" s="901"/>
      <c r="F450" s="903"/>
      <c r="G450" s="901"/>
      <c r="H450" s="792"/>
      <c r="I450" s="792"/>
      <c r="J450" s="792"/>
      <c r="K450" s="792"/>
      <c r="L450" s="792"/>
      <c r="M450" s="792"/>
      <c r="N450" s="792"/>
      <c r="O450" s="792"/>
      <c r="P450" s="792"/>
      <c r="Q450" s="792"/>
      <c r="R450" s="792"/>
      <c r="S450" s="792"/>
      <c r="T450" s="792"/>
      <c r="U450" s="792"/>
      <c r="V450" s="792"/>
      <c r="W450" s="792"/>
      <c r="X450" s="792"/>
      <c r="Y450" s="792"/>
      <c r="Z450" s="792"/>
    </row>
    <row r="451" ht="15.75" customHeight="1">
      <c r="A451" s="901"/>
      <c r="B451" s="902"/>
      <c r="C451" s="901"/>
      <c r="D451" s="901"/>
      <c r="E451" s="901"/>
      <c r="F451" s="903"/>
      <c r="G451" s="901"/>
      <c r="H451" s="792"/>
      <c r="I451" s="792"/>
      <c r="J451" s="792"/>
      <c r="K451" s="792"/>
      <c r="L451" s="792"/>
      <c r="M451" s="792"/>
      <c r="N451" s="792"/>
      <c r="O451" s="792"/>
      <c r="P451" s="792"/>
      <c r="Q451" s="792"/>
      <c r="R451" s="792"/>
      <c r="S451" s="792"/>
      <c r="T451" s="792"/>
      <c r="U451" s="792"/>
      <c r="V451" s="792"/>
      <c r="W451" s="792"/>
      <c r="X451" s="792"/>
      <c r="Y451" s="792"/>
      <c r="Z451" s="792"/>
    </row>
    <row r="452" ht="15.75" customHeight="1">
      <c r="A452" s="901"/>
      <c r="B452" s="902"/>
      <c r="C452" s="901"/>
      <c r="D452" s="901"/>
      <c r="E452" s="901"/>
      <c r="F452" s="903"/>
      <c r="G452" s="901"/>
      <c r="H452" s="792"/>
      <c r="I452" s="792"/>
      <c r="J452" s="792"/>
      <c r="K452" s="792"/>
      <c r="L452" s="792"/>
      <c r="M452" s="792"/>
      <c r="N452" s="792"/>
      <c r="O452" s="792"/>
      <c r="P452" s="792"/>
      <c r="Q452" s="792"/>
      <c r="R452" s="792"/>
      <c r="S452" s="792"/>
      <c r="T452" s="792"/>
      <c r="U452" s="792"/>
      <c r="V452" s="792"/>
      <c r="W452" s="792"/>
      <c r="X452" s="792"/>
      <c r="Y452" s="792"/>
      <c r="Z452" s="792"/>
    </row>
    <row r="453" ht="15.75" customHeight="1">
      <c r="A453" s="901"/>
      <c r="B453" s="902"/>
      <c r="C453" s="901"/>
      <c r="D453" s="901"/>
      <c r="E453" s="901"/>
      <c r="F453" s="903"/>
      <c r="G453" s="901"/>
      <c r="H453" s="792"/>
      <c r="I453" s="792"/>
      <c r="J453" s="792"/>
      <c r="K453" s="792"/>
      <c r="L453" s="792"/>
      <c r="M453" s="792"/>
      <c r="N453" s="792"/>
      <c r="O453" s="792"/>
      <c r="P453" s="792"/>
      <c r="Q453" s="792"/>
      <c r="R453" s="792"/>
      <c r="S453" s="792"/>
      <c r="T453" s="792"/>
      <c r="U453" s="792"/>
      <c r="V453" s="792"/>
      <c r="W453" s="792"/>
      <c r="X453" s="792"/>
      <c r="Y453" s="792"/>
      <c r="Z453" s="792"/>
    </row>
    <row r="454" ht="15.75" customHeight="1">
      <c r="A454" s="901"/>
      <c r="B454" s="902"/>
      <c r="C454" s="901"/>
      <c r="D454" s="901"/>
      <c r="E454" s="901"/>
      <c r="F454" s="903"/>
      <c r="G454" s="901"/>
      <c r="H454" s="792"/>
      <c r="I454" s="792"/>
      <c r="J454" s="792"/>
      <c r="K454" s="792"/>
      <c r="L454" s="792"/>
      <c r="M454" s="792"/>
      <c r="N454" s="792"/>
      <c r="O454" s="792"/>
      <c r="P454" s="792"/>
      <c r="Q454" s="792"/>
      <c r="R454" s="792"/>
      <c r="S454" s="792"/>
      <c r="T454" s="792"/>
      <c r="U454" s="792"/>
      <c r="V454" s="792"/>
      <c r="W454" s="792"/>
      <c r="X454" s="792"/>
      <c r="Y454" s="792"/>
      <c r="Z454" s="792"/>
    </row>
    <row r="455" ht="15.75" customHeight="1">
      <c r="A455" s="901"/>
      <c r="B455" s="902"/>
      <c r="C455" s="901"/>
      <c r="D455" s="901"/>
      <c r="E455" s="901"/>
      <c r="F455" s="903"/>
      <c r="G455" s="901"/>
      <c r="H455" s="792"/>
      <c r="I455" s="792"/>
      <c r="J455" s="792"/>
      <c r="K455" s="792"/>
      <c r="L455" s="792"/>
      <c r="M455" s="792"/>
      <c r="N455" s="792"/>
      <c r="O455" s="792"/>
      <c r="P455" s="792"/>
      <c r="Q455" s="792"/>
      <c r="R455" s="792"/>
      <c r="S455" s="792"/>
      <c r="T455" s="792"/>
      <c r="U455" s="792"/>
      <c r="V455" s="792"/>
      <c r="W455" s="792"/>
      <c r="X455" s="792"/>
      <c r="Y455" s="792"/>
      <c r="Z455" s="792"/>
    </row>
    <row r="456" ht="15.75" customHeight="1">
      <c r="A456" s="901"/>
      <c r="B456" s="902"/>
      <c r="C456" s="901"/>
      <c r="D456" s="901"/>
      <c r="E456" s="901"/>
      <c r="F456" s="903"/>
      <c r="G456" s="901"/>
      <c r="H456" s="792"/>
      <c r="I456" s="792"/>
      <c r="J456" s="792"/>
      <c r="K456" s="792"/>
      <c r="L456" s="792"/>
      <c r="M456" s="792"/>
      <c r="N456" s="792"/>
      <c r="O456" s="792"/>
      <c r="P456" s="792"/>
      <c r="Q456" s="792"/>
      <c r="R456" s="792"/>
      <c r="S456" s="792"/>
      <c r="T456" s="792"/>
      <c r="U456" s="792"/>
      <c r="V456" s="792"/>
      <c r="W456" s="792"/>
      <c r="X456" s="792"/>
      <c r="Y456" s="792"/>
      <c r="Z456" s="792"/>
    </row>
    <row r="457" ht="15.75" customHeight="1">
      <c r="A457" s="901"/>
      <c r="B457" s="902"/>
      <c r="C457" s="901"/>
      <c r="D457" s="901"/>
      <c r="E457" s="901"/>
      <c r="F457" s="903"/>
      <c r="G457" s="901"/>
      <c r="H457" s="792"/>
      <c r="I457" s="792"/>
      <c r="J457" s="792"/>
      <c r="K457" s="792"/>
      <c r="L457" s="792"/>
      <c r="M457" s="792"/>
      <c r="N457" s="792"/>
      <c r="O457" s="792"/>
      <c r="P457" s="792"/>
      <c r="Q457" s="792"/>
      <c r="R457" s="792"/>
      <c r="S457" s="792"/>
      <c r="T457" s="792"/>
      <c r="U457" s="792"/>
      <c r="V457" s="792"/>
      <c r="W457" s="792"/>
      <c r="X457" s="792"/>
      <c r="Y457" s="792"/>
      <c r="Z457" s="792"/>
    </row>
    <row r="458" ht="15.75" customHeight="1">
      <c r="A458" s="901"/>
      <c r="B458" s="902"/>
      <c r="C458" s="901"/>
      <c r="D458" s="901"/>
      <c r="E458" s="901"/>
      <c r="F458" s="903"/>
      <c r="G458" s="901"/>
      <c r="H458" s="792"/>
      <c r="I458" s="792"/>
      <c r="J458" s="792"/>
      <c r="K458" s="792"/>
      <c r="L458" s="792"/>
      <c r="M458" s="792"/>
      <c r="N458" s="792"/>
      <c r="O458" s="792"/>
      <c r="P458" s="792"/>
      <c r="Q458" s="792"/>
      <c r="R458" s="792"/>
      <c r="S458" s="792"/>
      <c r="T458" s="792"/>
      <c r="U458" s="792"/>
      <c r="V458" s="792"/>
      <c r="W458" s="792"/>
      <c r="X458" s="792"/>
      <c r="Y458" s="792"/>
      <c r="Z458" s="792"/>
    </row>
    <row r="459" ht="15.75" customHeight="1">
      <c r="A459" s="901"/>
      <c r="B459" s="902"/>
      <c r="C459" s="901"/>
      <c r="D459" s="901"/>
      <c r="E459" s="901"/>
      <c r="F459" s="903"/>
      <c r="G459" s="901"/>
      <c r="H459" s="792"/>
      <c r="I459" s="792"/>
      <c r="J459" s="792"/>
      <c r="K459" s="792"/>
      <c r="L459" s="792"/>
      <c r="M459" s="792"/>
      <c r="N459" s="792"/>
      <c r="O459" s="792"/>
      <c r="P459" s="792"/>
      <c r="Q459" s="792"/>
      <c r="R459" s="792"/>
      <c r="S459" s="792"/>
      <c r="T459" s="792"/>
      <c r="U459" s="792"/>
      <c r="V459" s="792"/>
      <c r="W459" s="792"/>
      <c r="X459" s="792"/>
      <c r="Y459" s="792"/>
      <c r="Z459" s="792"/>
    </row>
    <row r="460" ht="15.75" customHeight="1">
      <c r="A460" s="901"/>
      <c r="B460" s="902"/>
      <c r="C460" s="901"/>
      <c r="D460" s="901"/>
      <c r="E460" s="901"/>
      <c r="F460" s="903"/>
      <c r="G460" s="901"/>
      <c r="H460" s="792"/>
      <c r="I460" s="792"/>
      <c r="J460" s="792"/>
      <c r="K460" s="792"/>
      <c r="L460" s="792"/>
      <c r="M460" s="792"/>
      <c r="N460" s="792"/>
      <c r="O460" s="792"/>
      <c r="P460" s="792"/>
      <c r="Q460" s="792"/>
      <c r="R460" s="792"/>
      <c r="S460" s="792"/>
      <c r="T460" s="792"/>
      <c r="U460" s="792"/>
      <c r="V460" s="792"/>
      <c r="W460" s="792"/>
      <c r="X460" s="792"/>
      <c r="Y460" s="792"/>
      <c r="Z460" s="792"/>
    </row>
    <row r="461" ht="15.75" customHeight="1">
      <c r="A461" s="901"/>
      <c r="B461" s="902"/>
      <c r="C461" s="901"/>
      <c r="D461" s="901"/>
      <c r="E461" s="901"/>
      <c r="F461" s="903"/>
      <c r="G461" s="901"/>
      <c r="H461" s="792"/>
      <c r="I461" s="792"/>
      <c r="J461" s="792"/>
      <c r="K461" s="792"/>
      <c r="L461" s="792"/>
      <c r="M461" s="792"/>
      <c r="N461" s="792"/>
      <c r="O461" s="792"/>
      <c r="P461" s="792"/>
      <c r="Q461" s="792"/>
      <c r="R461" s="792"/>
      <c r="S461" s="792"/>
      <c r="T461" s="792"/>
      <c r="U461" s="792"/>
      <c r="V461" s="792"/>
      <c r="W461" s="792"/>
      <c r="X461" s="792"/>
      <c r="Y461" s="792"/>
      <c r="Z461" s="792"/>
    </row>
    <row r="462" ht="15.75" customHeight="1">
      <c r="A462" s="901"/>
      <c r="B462" s="902"/>
      <c r="C462" s="901"/>
      <c r="D462" s="901"/>
      <c r="E462" s="901"/>
      <c r="F462" s="903"/>
      <c r="G462" s="901"/>
      <c r="H462" s="792"/>
      <c r="I462" s="792"/>
      <c r="J462" s="792"/>
      <c r="K462" s="792"/>
      <c r="L462" s="792"/>
      <c r="M462" s="792"/>
      <c r="N462" s="792"/>
      <c r="O462" s="792"/>
      <c r="P462" s="792"/>
      <c r="Q462" s="792"/>
      <c r="R462" s="792"/>
      <c r="S462" s="792"/>
      <c r="T462" s="792"/>
      <c r="U462" s="792"/>
      <c r="V462" s="792"/>
      <c r="W462" s="792"/>
      <c r="X462" s="792"/>
      <c r="Y462" s="792"/>
      <c r="Z462" s="792"/>
    </row>
    <row r="463" ht="15.75" customHeight="1">
      <c r="A463" s="901"/>
      <c r="B463" s="902"/>
      <c r="C463" s="901"/>
      <c r="D463" s="901"/>
      <c r="E463" s="901"/>
      <c r="F463" s="903"/>
      <c r="G463" s="901"/>
      <c r="H463" s="792"/>
      <c r="I463" s="792"/>
      <c r="J463" s="792"/>
      <c r="K463" s="792"/>
      <c r="L463" s="792"/>
      <c r="M463" s="792"/>
      <c r="N463" s="792"/>
      <c r="O463" s="792"/>
      <c r="P463" s="792"/>
      <c r="Q463" s="792"/>
      <c r="R463" s="792"/>
      <c r="S463" s="792"/>
      <c r="T463" s="792"/>
      <c r="U463" s="792"/>
      <c r="V463" s="792"/>
      <c r="W463" s="792"/>
      <c r="X463" s="792"/>
      <c r="Y463" s="792"/>
      <c r="Z463" s="792"/>
    </row>
    <row r="464" ht="15.75" customHeight="1">
      <c r="A464" s="901"/>
      <c r="B464" s="902"/>
      <c r="C464" s="901"/>
      <c r="D464" s="901"/>
      <c r="E464" s="901"/>
      <c r="F464" s="903"/>
      <c r="G464" s="901"/>
      <c r="H464" s="792"/>
      <c r="I464" s="792"/>
      <c r="J464" s="792"/>
      <c r="K464" s="792"/>
      <c r="L464" s="792"/>
      <c r="M464" s="792"/>
      <c r="N464" s="792"/>
      <c r="O464" s="792"/>
      <c r="P464" s="792"/>
      <c r="Q464" s="792"/>
      <c r="R464" s="792"/>
      <c r="S464" s="792"/>
      <c r="T464" s="792"/>
      <c r="U464" s="792"/>
      <c r="V464" s="792"/>
      <c r="W464" s="792"/>
      <c r="X464" s="792"/>
      <c r="Y464" s="792"/>
      <c r="Z464" s="792"/>
    </row>
    <row r="465" ht="15.75" customHeight="1">
      <c r="A465" s="901"/>
      <c r="B465" s="902"/>
      <c r="C465" s="901"/>
      <c r="D465" s="901"/>
      <c r="E465" s="901"/>
      <c r="F465" s="903"/>
      <c r="G465" s="901"/>
      <c r="H465" s="792"/>
      <c r="I465" s="792"/>
      <c r="J465" s="792"/>
      <c r="K465" s="792"/>
      <c r="L465" s="792"/>
      <c r="M465" s="792"/>
      <c r="N465" s="792"/>
      <c r="O465" s="792"/>
      <c r="P465" s="792"/>
      <c r="Q465" s="792"/>
      <c r="R465" s="792"/>
      <c r="S465" s="792"/>
      <c r="T465" s="792"/>
      <c r="U465" s="792"/>
      <c r="V465" s="792"/>
      <c r="W465" s="792"/>
      <c r="X465" s="792"/>
      <c r="Y465" s="792"/>
      <c r="Z465" s="792"/>
    </row>
    <row r="466" ht="15.75" customHeight="1">
      <c r="A466" s="901"/>
      <c r="B466" s="902"/>
      <c r="C466" s="901"/>
      <c r="D466" s="901"/>
      <c r="E466" s="901"/>
      <c r="F466" s="903"/>
      <c r="G466" s="901"/>
      <c r="H466" s="792"/>
      <c r="I466" s="792"/>
      <c r="J466" s="792"/>
      <c r="K466" s="792"/>
      <c r="L466" s="792"/>
      <c r="M466" s="792"/>
      <c r="N466" s="792"/>
      <c r="O466" s="792"/>
      <c r="P466" s="792"/>
      <c r="Q466" s="792"/>
      <c r="R466" s="792"/>
      <c r="S466" s="792"/>
      <c r="T466" s="792"/>
      <c r="U466" s="792"/>
      <c r="V466" s="792"/>
      <c r="W466" s="792"/>
      <c r="X466" s="792"/>
      <c r="Y466" s="792"/>
      <c r="Z466" s="792"/>
    </row>
    <row r="467" ht="15.75" customHeight="1">
      <c r="A467" s="901"/>
      <c r="B467" s="902"/>
      <c r="C467" s="901"/>
      <c r="D467" s="901"/>
      <c r="E467" s="901"/>
      <c r="F467" s="903"/>
      <c r="G467" s="901"/>
      <c r="H467" s="792"/>
      <c r="I467" s="792"/>
      <c r="J467" s="792"/>
      <c r="K467" s="792"/>
      <c r="L467" s="792"/>
      <c r="M467" s="792"/>
      <c r="N467" s="792"/>
      <c r="O467" s="792"/>
      <c r="P467" s="792"/>
      <c r="Q467" s="792"/>
      <c r="R467" s="792"/>
      <c r="S467" s="792"/>
      <c r="T467" s="792"/>
      <c r="U467" s="792"/>
      <c r="V467" s="792"/>
      <c r="W467" s="792"/>
      <c r="X467" s="792"/>
      <c r="Y467" s="792"/>
      <c r="Z467" s="792"/>
    </row>
    <row r="468" ht="15.75" customHeight="1">
      <c r="A468" s="901"/>
      <c r="B468" s="902"/>
      <c r="C468" s="901"/>
      <c r="D468" s="901"/>
      <c r="E468" s="901"/>
      <c r="F468" s="903"/>
      <c r="G468" s="901"/>
      <c r="H468" s="792"/>
      <c r="I468" s="792"/>
      <c r="J468" s="792"/>
      <c r="K468" s="792"/>
      <c r="L468" s="792"/>
      <c r="M468" s="792"/>
      <c r="N468" s="792"/>
      <c r="O468" s="792"/>
      <c r="P468" s="792"/>
      <c r="Q468" s="792"/>
      <c r="R468" s="792"/>
      <c r="S468" s="792"/>
      <c r="T468" s="792"/>
      <c r="U468" s="792"/>
      <c r="V468" s="792"/>
      <c r="W468" s="792"/>
      <c r="X468" s="792"/>
      <c r="Y468" s="792"/>
      <c r="Z468" s="792"/>
    </row>
    <row r="469" ht="15.75" customHeight="1">
      <c r="A469" s="901"/>
      <c r="B469" s="902"/>
      <c r="C469" s="901"/>
      <c r="D469" s="901"/>
      <c r="E469" s="901"/>
      <c r="F469" s="903"/>
      <c r="G469" s="901"/>
      <c r="H469" s="792"/>
      <c r="I469" s="792"/>
      <c r="J469" s="792"/>
      <c r="K469" s="792"/>
      <c r="L469" s="792"/>
      <c r="M469" s="792"/>
      <c r="N469" s="792"/>
      <c r="O469" s="792"/>
      <c r="P469" s="792"/>
      <c r="Q469" s="792"/>
      <c r="R469" s="792"/>
      <c r="S469" s="792"/>
      <c r="T469" s="792"/>
      <c r="U469" s="792"/>
      <c r="V469" s="792"/>
      <c r="W469" s="792"/>
      <c r="X469" s="792"/>
      <c r="Y469" s="792"/>
      <c r="Z469" s="792"/>
    </row>
    <row r="470" ht="15.75" customHeight="1">
      <c r="A470" s="901"/>
      <c r="B470" s="902"/>
      <c r="C470" s="901"/>
      <c r="D470" s="901"/>
      <c r="E470" s="901"/>
      <c r="F470" s="903"/>
      <c r="G470" s="901"/>
      <c r="H470" s="792"/>
      <c r="I470" s="792"/>
      <c r="J470" s="792"/>
      <c r="K470" s="792"/>
      <c r="L470" s="792"/>
      <c r="M470" s="792"/>
      <c r="N470" s="792"/>
      <c r="O470" s="792"/>
      <c r="P470" s="792"/>
      <c r="Q470" s="792"/>
      <c r="R470" s="792"/>
      <c r="S470" s="792"/>
      <c r="T470" s="792"/>
      <c r="U470" s="792"/>
      <c r="V470" s="792"/>
      <c r="W470" s="792"/>
      <c r="X470" s="792"/>
      <c r="Y470" s="792"/>
      <c r="Z470" s="792"/>
    </row>
    <row r="471" ht="15.75" customHeight="1">
      <c r="A471" s="901"/>
      <c r="B471" s="902"/>
      <c r="C471" s="901"/>
      <c r="D471" s="901"/>
      <c r="E471" s="901"/>
      <c r="F471" s="903"/>
      <c r="G471" s="901"/>
      <c r="H471" s="792"/>
      <c r="I471" s="792"/>
      <c r="J471" s="792"/>
      <c r="K471" s="792"/>
      <c r="L471" s="792"/>
      <c r="M471" s="792"/>
      <c r="N471" s="792"/>
      <c r="O471" s="792"/>
      <c r="P471" s="792"/>
      <c r="Q471" s="792"/>
      <c r="R471" s="792"/>
      <c r="S471" s="792"/>
      <c r="T471" s="792"/>
      <c r="U471" s="792"/>
      <c r="V471" s="792"/>
      <c r="W471" s="792"/>
      <c r="X471" s="792"/>
      <c r="Y471" s="792"/>
      <c r="Z471" s="792"/>
    </row>
    <row r="472" ht="15.75" customHeight="1">
      <c r="A472" s="901"/>
      <c r="B472" s="902"/>
      <c r="C472" s="901"/>
      <c r="D472" s="901"/>
      <c r="E472" s="901"/>
      <c r="F472" s="903"/>
      <c r="G472" s="901"/>
      <c r="H472" s="792"/>
      <c r="I472" s="792"/>
      <c r="J472" s="792"/>
      <c r="K472" s="792"/>
      <c r="L472" s="792"/>
      <c r="M472" s="792"/>
      <c r="N472" s="792"/>
      <c r="O472" s="792"/>
      <c r="P472" s="792"/>
      <c r="Q472" s="792"/>
      <c r="R472" s="792"/>
      <c r="S472" s="792"/>
      <c r="T472" s="792"/>
      <c r="U472" s="792"/>
      <c r="V472" s="792"/>
      <c r="W472" s="792"/>
      <c r="X472" s="792"/>
      <c r="Y472" s="792"/>
      <c r="Z472" s="792"/>
    </row>
    <row r="473" ht="15.75" customHeight="1">
      <c r="A473" s="901"/>
      <c r="B473" s="902"/>
      <c r="C473" s="901"/>
      <c r="D473" s="901"/>
      <c r="E473" s="901"/>
      <c r="F473" s="903"/>
      <c r="G473" s="901"/>
      <c r="H473" s="792"/>
      <c r="I473" s="792"/>
      <c r="J473" s="792"/>
      <c r="K473" s="792"/>
      <c r="L473" s="792"/>
      <c r="M473" s="792"/>
      <c r="N473" s="792"/>
      <c r="O473" s="792"/>
      <c r="P473" s="792"/>
      <c r="Q473" s="792"/>
      <c r="R473" s="792"/>
      <c r="S473" s="792"/>
      <c r="T473" s="792"/>
      <c r="U473" s="792"/>
      <c r="V473" s="792"/>
      <c r="W473" s="792"/>
      <c r="X473" s="792"/>
      <c r="Y473" s="792"/>
      <c r="Z473" s="792"/>
    </row>
    <row r="474" ht="15.75" customHeight="1">
      <c r="A474" s="901"/>
      <c r="B474" s="902"/>
      <c r="C474" s="901"/>
      <c r="D474" s="901"/>
      <c r="E474" s="901"/>
      <c r="F474" s="903"/>
      <c r="G474" s="901"/>
      <c r="H474" s="792"/>
      <c r="I474" s="792"/>
      <c r="J474" s="792"/>
      <c r="K474" s="792"/>
      <c r="L474" s="792"/>
      <c r="M474" s="792"/>
      <c r="N474" s="792"/>
      <c r="O474" s="792"/>
      <c r="P474" s="792"/>
      <c r="Q474" s="792"/>
      <c r="R474" s="792"/>
      <c r="S474" s="792"/>
      <c r="T474" s="792"/>
      <c r="U474" s="792"/>
      <c r="V474" s="792"/>
      <c r="W474" s="792"/>
      <c r="X474" s="792"/>
      <c r="Y474" s="792"/>
      <c r="Z474" s="792"/>
    </row>
    <row r="475" ht="15.75" customHeight="1">
      <c r="A475" s="901"/>
      <c r="B475" s="902"/>
      <c r="C475" s="901"/>
      <c r="D475" s="901"/>
      <c r="E475" s="901"/>
      <c r="F475" s="903"/>
      <c r="G475" s="901"/>
      <c r="H475" s="792"/>
      <c r="I475" s="792"/>
      <c r="J475" s="792"/>
      <c r="K475" s="792"/>
      <c r="L475" s="792"/>
      <c r="M475" s="792"/>
      <c r="N475" s="792"/>
      <c r="O475" s="792"/>
      <c r="P475" s="792"/>
      <c r="Q475" s="792"/>
      <c r="R475" s="792"/>
      <c r="S475" s="792"/>
      <c r="T475" s="792"/>
      <c r="U475" s="792"/>
      <c r="V475" s="792"/>
      <c r="W475" s="792"/>
      <c r="X475" s="792"/>
      <c r="Y475" s="792"/>
      <c r="Z475" s="792"/>
    </row>
    <row r="476" ht="15.75" customHeight="1">
      <c r="A476" s="901"/>
      <c r="B476" s="902"/>
      <c r="C476" s="901"/>
      <c r="D476" s="901"/>
      <c r="E476" s="901"/>
      <c r="F476" s="903"/>
      <c r="G476" s="901"/>
      <c r="H476" s="792"/>
      <c r="I476" s="792"/>
      <c r="J476" s="792"/>
      <c r="K476" s="792"/>
      <c r="L476" s="792"/>
      <c r="M476" s="792"/>
      <c r="N476" s="792"/>
      <c r="O476" s="792"/>
      <c r="P476" s="792"/>
      <c r="Q476" s="792"/>
      <c r="R476" s="792"/>
      <c r="S476" s="792"/>
      <c r="T476" s="792"/>
      <c r="U476" s="792"/>
      <c r="V476" s="792"/>
      <c r="W476" s="792"/>
      <c r="X476" s="792"/>
      <c r="Y476" s="792"/>
      <c r="Z476" s="792"/>
    </row>
    <row r="477" ht="15.75" customHeight="1">
      <c r="A477" s="901"/>
      <c r="B477" s="902"/>
      <c r="C477" s="901"/>
      <c r="D477" s="901"/>
      <c r="E477" s="901"/>
      <c r="F477" s="903"/>
      <c r="G477" s="901"/>
      <c r="H477" s="792"/>
      <c r="I477" s="792"/>
      <c r="J477" s="792"/>
      <c r="K477" s="792"/>
      <c r="L477" s="792"/>
      <c r="M477" s="792"/>
      <c r="N477" s="792"/>
      <c r="O477" s="792"/>
      <c r="P477" s="792"/>
      <c r="Q477" s="792"/>
      <c r="R477" s="792"/>
      <c r="S477" s="792"/>
      <c r="T477" s="792"/>
      <c r="U477" s="792"/>
      <c r="V477" s="792"/>
      <c r="W477" s="792"/>
      <c r="X477" s="792"/>
      <c r="Y477" s="792"/>
      <c r="Z477" s="792"/>
    </row>
    <row r="478" ht="15.75" customHeight="1">
      <c r="A478" s="901"/>
      <c r="B478" s="902"/>
      <c r="C478" s="901"/>
      <c r="D478" s="901"/>
      <c r="E478" s="901"/>
      <c r="F478" s="903"/>
      <c r="G478" s="901"/>
      <c r="H478" s="792"/>
      <c r="I478" s="792"/>
      <c r="J478" s="792"/>
      <c r="K478" s="792"/>
      <c r="L478" s="792"/>
      <c r="M478" s="792"/>
      <c r="N478" s="792"/>
      <c r="O478" s="792"/>
      <c r="P478" s="792"/>
      <c r="Q478" s="792"/>
      <c r="R478" s="792"/>
      <c r="S478" s="792"/>
      <c r="T478" s="792"/>
      <c r="U478" s="792"/>
      <c r="V478" s="792"/>
      <c r="W478" s="792"/>
      <c r="X478" s="792"/>
      <c r="Y478" s="792"/>
      <c r="Z478" s="792"/>
    </row>
    <row r="479" ht="15.75" customHeight="1">
      <c r="A479" s="901"/>
      <c r="B479" s="902"/>
      <c r="C479" s="901"/>
      <c r="D479" s="901"/>
      <c r="E479" s="901"/>
      <c r="F479" s="903"/>
      <c r="G479" s="901"/>
      <c r="H479" s="792"/>
      <c r="I479" s="792"/>
      <c r="J479" s="792"/>
      <c r="K479" s="792"/>
      <c r="L479" s="792"/>
      <c r="M479" s="792"/>
      <c r="N479" s="792"/>
      <c r="O479" s="792"/>
      <c r="P479" s="792"/>
      <c r="Q479" s="792"/>
      <c r="R479" s="792"/>
      <c r="S479" s="792"/>
      <c r="T479" s="792"/>
      <c r="U479" s="792"/>
      <c r="V479" s="792"/>
      <c r="W479" s="792"/>
      <c r="X479" s="792"/>
      <c r="Y479" s="792"/>
      <c r="Z479" s="792"/>
    </row>
    <row r="480" ht="15.75" customHeight="1">
      <c r="A480" s="901"/>
      <c r="B480" s="902"/>
      <c r="C480" s="901"/>
      <c r="D480" s="901"/>
      <c r="E480" s="901"/>
      <c r="F480" s="903"/>
      <c r="G480" s="901"/>
      <c r="H480" s="792"/>
      <c r="I480" s="792"/>
      <c r="J480" s="792"/>
      <c r="K480" s="792"/>
      <c r="L480" s="792"/>
      <c r="M480" s="792"/>
      <c r="N480" s="792"/>
      <c r="O480" s="792"/>
      <c r="P480" s="792"/>
      <c r="Q480" s="792"/>
      <c r="R480" s="792"/>
      <c r="S480" s="792"/>
      <c r="T480" s="792"/>
      <c r="U480" s="792"/>
      <c r="V480" s="792"/>
      <c r="W480" s="792"/>
      <c r="X480" s="792"/>
      <c r="Y480" s="792"/>
      <c r="Z480" s="792"/>
    </row>
    <row r="481" ht="15.75" customHeight="1">
      <c r="A481" s="901"/>
      <c r="B481" s="902"/>
      <c r="C481" s="901"/>
      <c r="D481" s="901"/>
      <c r="E481" s="901"/>
      <c r="F481" s="903"/>
      <c r="G481" s="901"/>
      <c r="H481" s="792"/>
      <c r="I481" s="792"/>
      <c r="J481" s="792"/>
      <c r="K481" s="792"/>
      <c r="L481" s="792"/>
      <c r="M481" s="792"/>
      <c r="N481" s="792"/>
      <c r="O481" s="792"/>
      <c r="P481" s="792"/>
      <c r="Q481" s="792"/>
      <c r="R481" s="792"/>
      <c r="S481" s="792"/>
      <c r="T481" s="792"/>
      <c r="U481" s="792"/>
      <c r="V481" s="792"/>
      <c r="W481" s="792"/>
      <c r="X481" s="792"/>
      <c r="Y481" s="792"/>
      <c r="Z481" s="792"/>
    </row>
    <row r="482" ht="15.75" customHeight="1">
      <c r="A482" s="901"/>
      <c r="B482" s="902"/>
      <c r="C482" s="901"/>
      <c r="D482" s="901"/>
      <c r="E482" s="901"/>
      <c r="F482" s="903"/>
      <c r="G482" s="901"/>
      <c r="H482" s="792"/>
      <c r="I482" s="792"/>
      <c r="J482" s="792"/>
      <c r="K482" s="792"/>
      <c r="L482" s="792"/>
      <c r="M482" s="792"/>
      <c r="N482" s="792"/>
      <c r="O482" s="792"/>
      <c r="P482" s="792"/>
      <c r="Q482" s="792"/>
      <c r="R482" s="792"/>
      <c r="S482" s="792"/>
      <c r="T482" s="792"/>
      <c r="U482" s="792"/>
      <c r="V482" s="792"/>
      <c r="W482" s="792"/>
      <c r="X482" s="792"/>
      <c r="Y482" s="792"/>
      <c r="Z482" s="792"/>
    </row>
    <row r="483" ht="15.75" customHeight="1">
      <c r="A483" s="901"/>
      <c r="B483" s="902"/>
      <c r="C483" s="901"/>
      <c r="D483" s="901"/>
      <c r="E483" s="901"/>
      <c r="F483" s="903"/>
      <c r="G483" s="901"/>
      <c r="H483" s="792"/>
      <c r="I483" s="792"/>
      <c r="J483" s="792"/>
      <c r="K483" s="792"/>
      <c r="L483" s="792"/>
      <c r="M483" s="792"/>
      <c r="N483" s="792"/>
      <c r="O483" s="792"/>
      <c r="P483" s="792"/>
      <c r="Q483" s="792"/>
      <c r="R483" s="792"/>
      <c r="S483" s="792"/>
      <c r="T483" s="792"/>
      <c r="U483" s="792"/>
      <c r="V483" s="792"/>
      <c r="W483" s="792"/>
      <c r="X483" s="792"/>
      <c r="Y483" s="792"/>
      <c r="Z483" s="792"/>
    </row>
    <row r="484" ht="15.75" customHeight="1">
      <c r="A484" s="901"/>
      <c r="B484" s="902"/>
      <c r="C484" s="901"/>
      <c r="D484" s="901"/>
      <c r="E484" s="901"/>
      <c r="F484" s="903"/>
      <c r="G484" s="901"/>
      <c r="H484" s="792"/>
      <c r="I484" s="792"/>
      <c r="J484" s="792"/>
      <c r="K484" s="792"/>
      <c r="L484" s="792"/>
      <c r="M484" s="792"/>
      <c r="N484" s="792"/>
      <c r="O484" s="792"/>
      <c r="P484" s="792"/>
      <c r="Q484" s="792"/>
      <c r="R484" s="792"/>
      <c r="S484" s="792"/>
      <c r="T484" s="792"/>
      <c r="U484" s="792"/>
      <c r="V484" s="792"/>
      <c r="W484" s="792"/>
      <c r="X484" s="792"/>
      <c r="Y484" s="792"/>
      <c r="Z484" s="792"/>
    </row>
    <row r="485" ht="15.75" customHeight="1">
      <c r="A485" s="901"/>
      <c r="B485" s="902"/>
      <c r="C485" s="901"/>
      <c r="D485" s="901"/>
      <c r="E485" s="901"/>
      <c r="F485" s="903"/>
      <c r="G485" s="901"/>
      <c r="H485" s="792"/>
      <c r="I485" s="792"/>
      <c r="J485" s="792"/>
      <c r="K485" s="792"/>
      <c r="L485" s="792"/>
      <c r="M485" s="792"/>
      <c r="N485" s="792"/>
      <c r="O485" s="792"/>
      <c r="P485" s="792"/>
      <c r="Q485" s="792"/>
      <c r="R485" s="792"/>
      <c r="S485" s="792"/>
      <c r="T485" s="792"/>
      <c r="U485" s="792"/>
      <c r="V485" s="792"/>
      <c r="W485" s="792"/>
      <c r="X485" s="792"/>
      <c r="Y485" s="792"/>
      <c r="Z485" s="792"/>
    </row>
    <row r="486" ht="15.75" customHeight="1">
      <c r="A486" s="901"/>
      <c r="B486" s="902"/>
      <c r="C486" s="901"/>
      <c r="D486" s="901"/>
      <c r="E486" s="901"/>
      <c r="F486" s="903"/>
      <c r="G486" s="901"/>
      <c r="H486" s="792"/>
      <c r="I486" s="792"/>
      <c r="J486" s="792"/>
      <c r="K486" s="792"/>
      <c r="L486" s="792"/>
      <c r="M486" s="792"/>
      <c r="N486" s="792"/>
      <c r="O486" s="792"/>
      <c r="P486" s="792"/>
      <c r="Q486" s="792"/>
      <c r="R486" s="792"/>
      <c r="S486" s="792"/>
      <c r="T486" s="792"/>
      <c r="U486" s="792"/>
      <c r="V486" s="792"/>
      <c r="W486" s="792"/>
      <c r="X486" s="792"/>
      <c r="Y486" s="792"/>
      <c r="Z486" s="792"/>
    </row>
    <row r="487" ht="15.75" customHeight="1">
      <c r="A487" s="901"/>
      <c r="B487" s="902"/>
      <c r="C487" s="901"/>
      <c r="D487" s="901"/>
      <c r="E487" s="901"/>
      <c r="F487" s="903"/>
      <c r="G487" s="901"/>
      <c r="H487" s="792"/>
      <c r="I487" s="792"/>
      <c r="J487" s="792"/>
      <c r="K487" s="792"/>
      <c r="L487" s="792"/>
      <c r="M487" s="792"/>
      <c r="N487" s="792"/>
      <c r="O487" s="792"/>
      <c r="P487" s="792"/>
      <c r="Q487" s="792"/>
      <c r="R487" s="792"/>
      <c r="S487" s="792"/>
      <c r="T487" s="792"/>
      <c r="U487" s="792"/>
      <c r="V487" s="792"/>
      <c r="W487" s="792"/>
      <c r="X487" s="792"/>
      <c r="Y487" s="792"/>
      <c r="Z487" s="792"/>
    </row>
    <row r="488" ht="15.75" customHeight="1">
      <c r="A488" s="901"/>
      <c r="B488" s="902"/>
      <c r="C488" s="901"/>
      <c r="D488" s="901"/>
      <c r="E488" s="901"/>
      <c r="F488" s="903"/>
      <c r="G488" s="901"/>
      <c r="H488" s="792"/>
      <c r="I488" s="792"/>
      <c r="J488" s="792"/>
      <c r="K488" s="792"/>
      <c r="L488" s="792"/>
      <c r="M488" s="792"/>
      <c r="N488" s="792"/>
      <c r="O488" s="792"/>
      <c r="P488" s="792"/>
      <c r="Q488" s="792"/>
      <c r="R488" s="792"/>
      <c r="S488" s="792"/>
      <c r="T488" s="792"/>
      <c r="U488" s="792"/>
      <c r="V488" s="792"/>
      <c r="W488" s="792"/>
      <c r="X488" s="792"/>
      <c r="Y488" s="792"/>
      <c r="Z488" s="792"/>
    </row>
    <row r="489" ht="15.75" customHeight="1">
      <c r="A489" s="901"/>
      <c r="B489" s="902"/>
      <c r="C489" s="901"/>
      <c r="D489" s="901"/>
      <c r="E489" s="901"/>
      <c r="F489" s="903"/>
      <c r="G489" s="901"/>
      <c r="H489" s="792"/>
      <c r="I489" s="792"/>
      <c r="J489" s="792"/>
      <c r="K489" s="792"/>
      <c r="L489" s="792"/>
      <c r="M489" s="792"/>
      <c r="N489" s="792"/>
      <c r="O489" s="792"/>
      <c r="P489" s="792"/>
      <c r="Q489" s="792"/>
      <c r="R489" s="792"/>
      <c r="S489" s="792"/>
      <c r="T489" s="792"/>
      <c r="U489" s="792"/>
      <c r="V489" s="792"/>
      <c r="W489" s="792"/>
      <c r="X489" s="792"/>
      <c r="Y489" s="792"/>
      <c r="Z489" s="792"/>
    </row>
    <row r="490" ht="15.75" customHeight="1">
      <c r="A490" s="901"/>
      <c r="B490" s="902"/>
      <c r="C490" s="901"/>
      <c r="D490" s="901"/>
      <c r="E490" s="901"/>
      <c r="F490" s="903"/>
      <c r="G490" s="901"/>
      <c r="H490" s="792"/>
      <c r="I490" s="792"/>
      <c r="J490" s="792"/>
      <c r="K490" s="792"/>
      <c r="L490" s="792"/>
      <c r="M490" s="792"/>
      <c r="N490" s="792"/>
      <c r="O490" s="792"/>
      <c r="P490" s="792"/>
      <c r="Q490" s="792"/>
      <c r="R490" s="792"/>
      <c r="S490" s="792"/>
      <c r="T490" s="792"/>
      <c r="U490" s="792"/>
      <c r="V490" s="792"/>
      <c r="W490" s="792"/>
      <c r="X490" s="792"/>
      <c r="Y490" s="792"/>
      <c r="Z490" s="792"/>
    </row>
    <row r="491" ht="15.75" customHeight="1">
      <c r="A491" s="901"/>
      <c r="B491" s="902"/>
      <c r="C491" s="901"/>
      <c r="D491" s="901"/>
      <c r="E491" s="901"/>
      <c r="F491" s="903"/>
      <c r="G491" s="901"/>
      <c r="H491" s="792"/>
      <c r="I491" s="792"/>
      <c r="J491" s="792"/>
      <c r="K491" s="792"/>
      <c r="L491" s="792"/>
      <c r="M491" s="792"/>
      <c r="N491" s="792"/>
      <c r="O491" s="792"/>
      <c r="P491" s="792"/>
      <c r="Q491" s="792"/>
      <c r="R491" s="792"/>
      <c r="S491" s="792"/>
      <c r="T491" s="792"/>
      <c r="U491" s="792"/>
      <c r="V491" s="792"/>
      <c r="W491" s="792"/>
      <c r="X491" s="792"/>
      <c r="Y491" s="792"/>
      <c r="Z491" s="792"/>
    </row>
    <row r="492" ht="15.75" customHeight="1">
      <c r="A492" s="901"/>
      <c r="B492" s="902"/>
      <c r="C492" s="901"/>
      <c r="D492" s="901"/>
      <c r="E492" s="901"/>
      <c r="F492" s="903"/>
      <c r="G492" s="901"/>
      <c r="H492" s="792"/>
      <c r="I492" s="792"/>
      <c r="J492" s="792"/>
      <c r="K492" s="792"/>
      <c r="L492" s="792"/>
      <c r="M492" s="792"/>
      <c r="N492" s="792"/>
      <c r="O492" s="792"/>
      <c r="P492" s="792"/>
      <c r="Q492" s="792"/>
      <c r="R492" s="792"/>
      <c r="S492" s="792"/>
      <c r="T492" s="792"/>
      <c r="U492" s="792"/>
      <c r="V492" s="792"/>
      <c r="W492" s="792"/>
      <c r="X492" s="792"/>
      <c r="Y492" s="792"/>
      <c r="Z492" s="792"/>
    </row>
    <row r="493" ht="15.75" customHeight="1">
      <c r="A493" s="901"/>
      <c r="B493" s="902"/>
      <c r="C493" s="901"/>
      <c r="D493" s="901"/>
      <c r="E493" s="901"/>
      <c r="F493" s="903"/>
      <c r="G493" s="901"/>
      <c r="H493" s="792"/>
      <c r="I493" s="792"/>
      <c r="J493" s="792"/>
      <c r="K493" s="792"/>
      <c r="L493" s="792"/>
      <c r="M493" s="792"/>
      <c r="N493" s="792"/>
      <c r="O493" s="792"/>
      <c r="P493" s="792"/>
      <c r="Q493" s="792"/>
      <c r="R493" s="792"/>
      <c r="S493" s="792"/>
      <c r="T493" s="792"/>
      <c r="U493" s="792"/>
      <c r="V493" s="792"/>
      <c r="W493" s="792"/>
      <c r="X493" s="792"/>
      <c r="Y493" s="792"/>
      <c r="Z493" s="792"/>
    </row>
    <row r="494" ht="15.75" customHeight="1">
      <c r="A494" s="901"/>
      <c r="B494" s="902"/>
      <c r="C494" s="901"/>
      <c r="D494" s="901"/>
      <c r="E494" s="901"/>
      <c r="F494" s="903"/>
      <c r="G494" s="901"/>
      <c r="H494" s="792"/>
      <c r="I494" s="792"/>
      <c r="J494" s="792"/>
      <c r="K494" s="792"/>
      <c r="L494" s="792"/>
      <c r="M494" s="792"/>
      <c r="N494" s="792"/>
      <c r="O494" s="792"/>
      <c r="P494" s="792"/>
      <c r="Q494" s="792"/>
      <c r="R494" s="792"/>
      <c r="S494" s="792"/>
      <c r="T494" s="792"/>
      <c r="U494" s="792"/>
      <c r="V494" s="792"/>
      <c r="W494" s="792"/>
      <c r="X494" s="792"/>
      <c r="Y494" s="792"/>
      <c r="Z494" s="792"/>
    </row>
    <row r="495" ht="15.75" customHeight="1">
      <c r="A495" s="901"/>
      <c r="B495" s="902"/>
      <c r="C495" s="901"/>
      <c r="D495" s="901"/>
      <c r="E495" s="901"/>
      <c r="F495" s="903"/>
      <c r="G495" s="901"/>
      <c r="H495" s="792"/>
      <c r="I495" s="792"/>
      <c r="J495" s="792"/>
      <c r="K495" s="792"/>
      <c r="L495" s="792"/>
      <c r="M495" s="792"/>
      <c r="N495" s="792"/>
      <c r="O495" s="792"/>
      <c r="P495" s="792"/>
      <c r="Q495" s="792"/>
      <c r="R495" s="792"/>
      <c r="S495" s="792"/>
      <c r="T495" s="792"/>
      <c r="U495" s="792"/>
      <c r="V495" s="792"/>
      <c r="W495" s="792"/>
      <c r="X495" s="792"/>
      <c r="Y495" s="792"/>
      <c r="Z495" s="792"/>
    </row>
    <row r="496" ht="15.75" customHeight="1">
      <c r="A496" s="901"/>
      <c r="B496" s="902"/>
      <c r="C496" s="901"/>
      <c r="D496" s="901"/>
      <c r="E496" s="901"/>
      <c r="F496" s="903"/>
      <c r="G496" s="901"/>
      <c r="H496" s="792"/>
      <c r="I496" s="792"/>
      <c r="J496" s="792"/>
      <c r="K496" s="792"/>
      <c r="L496" s="792"/>
      <c r="M496" s="792"/>
      <c r="N496" s="792"/>
      <c r="O496" s="792"/>
      <c r="P496" s="792"/>
      <c r="Q496" s="792"/>
      <c r="R496" s="792"/>
      <c r="S496" s="792"/>
      <c r="T496" s="792"/>
      <c r="U496" s="792"/>
      <c r="V496" s="792"/>
      <c r="W496" s="792"/>
      <c r="X496" s="792"/>
      <c r="Y496" s="792"/>
      <c r="Z496" s="792"/>
    </row>
    <row r="497" ht="15.75" customHeight="1">
      <c r="A497" s="901"/>
      <c r="B497" s="902"/>
      <c r="C497" s="901"/>
      <c r="D497" s="901"/>
      <c r="E497" s="901"/>
      <c r="F497" s="903"/>
      <c r="G497" s="901"/>
      <c r="H497" s="792"/>
      <c r="I497" s="792"/>
      <c r="J497" s="792"/>
      <c r="K497" s="792"/>
      <c r="L497" s="792"/>
      <c r="M497" s="792"/>
      <c r="N497" s="792"/>
      <c r="O497" s="792"/>
      <c r="P497" s="792"/>
      <c r="Q497" s="792"/>
      <c r="R497" s="792"/>
      <c r="S497" s="792"/>
      <c r="T497" s="792"/>
      <c r="U497" s="792"/>
      <c r="V497" s="792"/>
      <c r="W497" s="792"/>
      <c r="X497" s="792"/>
      <c r="Y497" s="792"/>
      <c r="Z497" s="792"/>
    </row>
    <row r="498" ht="15.75" customHeight="1">
      <c r="A498" s="901"/>
      <c r="B498" s="902"/>
      <c r="C498" s="901"/>
      <c r="D498" s="901"/>
      <c r="E498" s="901"/>
      <c r="F498" s="903"/>
      <c r="G498" s="901"/>
      <c r="H498" s="792"/>
      <c r="I498" s="792"/>
      <c r="J498" s="792"/>
      <c r="K498" s="792"/>
      <c r="L498" s="792"/>
      <c r="M498" s="792"/>
      <c r="N498" s="792"/>
      <c r="O498" s="792"/>
      <c r="P498" s="792"/>
      <c r="Q498" s="792"/>
      <c r="R498" s="792"/>
      <c r="S498" s="792"/>
      <c r="T498" s="792"/>
      <c r="U498" s="792"/>
      <c r="V498" s="792"/>
      <c r="W498" s="792"/>
      <c r="X498" s="792"/>
      <c r="Y498" s="792"/>
      <c r="Z498" s="792"/>
    </row>
    <row r="499" ht="15.75" customHeight="1">
      <c r="A499" s="901"/>
      <c r="B499" s="902"/>
      <c r="C499" s="901"/>
      <c r="D499" s="901"/>
      <c r="E499" s="901"/>
      <c r="F499" s="903"/>
      <c r="G499" s="901"/>
      <c r="H499" s="792"/>
      <c r="I499" s="792"/>
      <c r="J499" s="792"/>
      <c r="K499" s="792"/>
      <c r="L499" s="792"/>
      <c r="M499" s="792"/>
      <c r="N499" s="792"/>
      <c r="O499" s="792"/>
      <c r="P499" s="792"/>
      <c r="Q499" s="792"/>
      <c r="R499" s="792"/>
      <c r="S499" s="792"/>
      <c r="T499" s="792"/>
      <c r="U499" s="792"/>
      <c r="V499" s="792"/>
      <c r="W499" s="792"/>
      <c r="X499" s="792"/>
      <c r="Y499" s="792"/>
      <c r="Z499" s="792"/>
    </row>
    <row r="500" ht="15.75" customHeight="1">
      <c r="A500" s="901"/>
      <c r="B500" s="902"/>
      <c r="C500" s="901"/>
      <c r="D500" s="901"/>
      <c r="E500" s="901"/>
      <c r="F500" s="903"/>
      <c r="G500" s="901"/>
      <c r="H500" s="792"/>
      <c r="I500" s="792"/>
      <c r="J500" s="792"/>
      <c r="K500" s="792"/>
      <c r="L500" s="792"/>
      <c r="M500" s="792"/>
      <c r="N500" s="792"/>
      <c r="O500" s="792"/>
      <c r="P500" s="792"/>
      <c r="Q500" s="792"/>
      <c r="R500" s="792"/>
      <c r="S500" s="792"/>
      <c r="T500" s="792"/>
      <c r="U500" s="792"/>
      <c r="V500" s="792"/>
      <c r="W500" s="792"/>
      <c r="X500" s="792"/>
      <c r="Y500" s="792"/>
      <c r="Z500" s="792"/>
    </row>
    <row r="501" ht="15.75" customHeight="1">
      <c r="A501" s="901"/>
      <c r="B501" s="902"/>
      <c r="C501" s="901"/>
      <c r="D501" s="901"/>
      <c r="E501" s="901"/>
      <c r="F501" s="903"/>
      <c r="G501" s="901"/>
      <c r="H501" s="792"/>
      <c r="I501" s="792"/>
      <c r="J501" s="792"/>
      <c r="K501" s="792"/>
      <c r="L501" s="792"/>
      <c r="M501" s="792"/>
      <c r="N501" s="792"/>
      <c r="O501" s="792"/>
      <c r="P501" s="792"/>
      <c r="Q501" s="792"/>
      <c r="R501" s="792"/>
      <c r="S501" s="792"/>
      <c r="T501" s="792"/>
      <c r="U501" s="792"/>
      <c r="V501" s="792"/>
      <c r="W501" s="792"/>
      <c r="X501" s="792"/>
      <c r="Y501" s="792"/>
      <c r="Z501" s="792"/>
    </row>
    <row r="502" ht="15.75" customHeight="1">
      <c r="A502" s="901"/>
      <c r="B502" s="902"/>
      <c r="C502" s="901"/>
      <c r="D502" s="901"/>
      <c r="E502" s="901"/>
      <c r="F502" s="903"/>
      <c r="G502" s="901"/>
      <c r="H502" s="792"/>
      <c r="I502" s="792"/>
      <c r="J502" s="792"/>
      <c r="K502" s="792"/>
      <c r="L502" s="792"/>
      <c r="M502" s="792"/>
      <c r="N502" s="792"/>
      <c r="O502" s="792"/>
      <c r="P502" s="792"/>
      <c r="Q502" s="792"/>
      <c r="R502" s="792"/>
      <c r="S502" s="792"/>
      <c r="T502" s="792"/>
      <c r="U502" s="792"/>
      <c r="V502" s="792"/>
      <c r="W502" s="792"/>
      <c r="X502" s="792"/>
      <c r="Y502" s="792"/>
      <c r="Z502" s="792"/>
    </row>
    <row r="503" ht="15.75" customHeight="1">
      <c r="A503" s="901"/>
      <c r="B503" s="902"/>
      <c r="C503" s="901"/>
      <c r="D503" s="901"/>
      <c r="E503" s="901"/>
      <c r="F503" s="903"/>
      <c r="G503" s="901"/>
      <c r="H503" s="792"/>
      <c r="I503" s="792"/>
      <c r="J503" s="792"/>
      <c r="K503" s="792"/>
      <c r="L503" s="792"/>
      <c r="M503" s="792"/>
      <c r="N503" s="792"/>
      <c r="O503" s="792"/>
      <c r="P503" s="792"/>
      <c r="Q503" s="792"/>
      <c r="R503" s="792"/>
      <c r="S503" s="792"/>
      <c r="T503" s="792"/>
      <c r="U503" s="792"/>
      <c r="V503" s="792"/>
      <c r="W503" s="792"/>
      <c r="X503" s="792"/>
      <c r="Y503" s="792"/>
      <c r="Z503" s="792"/>
    </row>
    <row r="504" ht="15.75" customHeight="1">
      <c r="A504" s="901"/>
      <c r="B504" s="902"/>
      <c r="C504" s="901"/>
      <c r="D504" s="901"/>
      <c r="E504" s="901"/>
      <c r="F504" s="903"/>
      <c r="G504" s="901"/>
      <c r="H504" s="792"/>
      <c r="I504" s="792"/>
      <c r="J504" s="792"/>
      <c r="K504" s="792"/>
      <c r="L504" s="792"/>
      <c r="M504" s="792"/>
      <c r="N504" s="792"/>
      <c r="O504" s="792"/>
      <c r="P504" s="792"/>
      <c r="Q504" s="792"/>
      <c r="R504" s="792"/>
      <c r="S504" s="792"/>
      <c r="T504" s="792"/>
      <c r="U504" s="792"/>
      <c r="V504" s="792"/>
      <c r="W504" s="792"/>
      <c r="X504" s="792"/>
      <c r="Y504" s="792"/>
      <c r="Z504" s="792"/>
    </row>
    <row r="505" ht="15.75" customHeight="1">
      <c r="A505" s="901"/>
      <c r="B505" s="902"/>
      <c r="C505" s="901"/>
      <c r="D505" s="901"/>
      <c r="E505" s="901"/>
      <c r="F505" s="903"/>
      <c r="G505" s="901"/>
      <c r="H505" s="792"/>
      <c r="I505" s="792"/>
      <c r="J505" s="792"/>
      <c r="K505" s="792"/>
      <c r="L505" s="792"/>
      <c r="M505" s="792"/>
      <c r="N505" s="792"/>
      <c r="O505" s="792"/>
      <c r="P505" s="792"/>
      <c r="Q505" s="792"/>
      <c r="R505" s="792"/>
      <c r="S505" s="792"/>
      <c r="T505" s="792"/>
      <c r="U505" s="792"/>
      <c r="V505" s="792"/>
      <c r="W505" s="792"/>
      <c r="X505" s="792"/>
      <c r="Y505" s="792"/>
      <c r="Z505" s="792"/>
    </row>
    <row r="506" ht="15.75" customHeight="1">
      <c r="A506" s="901"/>
      <c r="B506" s="902"/>
      <c r="C506" s="901"/>
      <c r="D506" s="901"/>
      <c r="E506" s="901"/>
      <c r="F506" s="903"/>
      <c r="G506" s="901"/>
      <c r="H506" s="792"/>
      <c r="I506" s="792"/>
      <c r="J506" s="792"/>
      <c r="K506" s="792"/>
      <c r="L506" s="792"/>
      <c r="M506" s="792"/>
      <c r="N506" s="792"/>
      <c r="O506" s="792"/>
      <c r="P506" s="792"/>
      <c r="Q506" s="792"/>
      <c r="R506" s="792"/>
      <c r="S506" s="792"/>
      <c r="T506" s="792"/>
      <c r="U506" s="792"/>
      <c r="V506" s="792"/>
      <c r="W506" s="792"/>
      <c r="X506" s="792"/>
      <c r="Y506" s="792"/>
      <c r="Z506" s="792"/>
    </row>
    <row r="507" ht="15.75" customHeight="1">
      <c r="A507" s="901"/>
      <c r="B507" s="902"/>
      <c r="C507" s="901"/>
      <c r="D507" s="901"/>
      <c r="E507" s="901"/>
      <c r="F507" s="903"/>
      <c r="G507" s="901"/>
      <c r="H507" s="792"/>
      <c r="I507" s="792"/>
      <c r="J507" s="792"/>
      <c r="K507" s="792"/>
      <c r="L507" s="792"/>
      <c r="M507" s="792"/>
      <c r="N507" s="792"/>
      <c r="O507" s="792"/>
      <c r="P507" s="792"/>
      <c r="Q507" s="792"/>
      <c r="R507" s="792"/>
      <c r="S507" s="792"/>
      <c r="T507" s="792"/>
      <c r="U507" s="792"/>
      <c r="V507" s="792"/>
      <c r="W507" s="792"/>
      <c r="X507" s="792"/>
      <c r="Y507" s="792"/>
      <c r="Z507" s="792"/>
    </row>
    <row r="508" ht="15.75" customHeight="1">
      <c r="A508" s="901"/>
      <c r="B508" s="902"/>
      <c r="C508" s="901"/>
      <c r="D508" s="901"/>
      <c r="E508" s="901"/>
      <c r="F508" s="903"/>
      <c r="G508" s="901"/>
      <c r="H508" s="792"/>
      <c r="I508" s="792"/>
      <c r="J508" s="792"/>
      <c r="K508" s="792"/>
      <c r="L508" s="792"/>
      <c r="M508" s="792"/>
      <c r="N508" s="792"/>
      <c r="O508" s="792"/>
      <c r="P508" s="792"/>
      <c r="Q508" s="792"/>
      <c r="R508" s="792"/>
      <c r="S508" s="792"/>
      <c r="T508" s="792"/>
      <c r="U508" s="792"/>
      <c r="V508" s="792"/>
      <c r="W508" s="792"/>
      <c r="X508" s="792"/>
      <c r="Y508" s="792"/>
      <c r="Z508" s="792"/>
    </row>
    <row r="509" ht="15.75" customHeight="1">
      <c r="A509" s="901"/>
      <c r="B509" s="902"/>
      <c r="C509" s="901"/>
      <c r="D509" s="901"/>
      <c r="E509" s="901"/>
      <c r="F509" s="903"/>
      <c r="G509" s="901"/>
      <c r="H509" s="792"/>
      <c r="I509" s="792"/>
      <c r="J509" s="792"/>
      <c r="K509" s="792"/>
      <c r="L509" s="792"/>
      <c r="M509" s="792"/>
      <c r="N509" s="792"/>
      <c r="O509" s="792"/>
      <c r="P509" s="792"/>
      <c r="Q509" s="792"/>
      <c r="R509" s="792"/>
      <c r="S509" s="792"/>
      <c r="T509" s="792"/>
      <c r="U509" s="792"/>
      <c r="V509" s="792"/>
      <c r="W509" s="792"/>
      <c r="X509" s="792"/>
      <c r="Y509" s="792"/>
      <c r="Z509" s="792"/>
    </row>
    <row r="510" ht="15.75" customHeight="1">
      <c r="A510" s="901"/>
      <c r="B510" s="902"/>
      <c r="C510" s="901"/>
      <c r="D510" s="901"/>
      <c r="E510" s="901"/>
      <c r="F510" s="903"/>
      <c r="G510" s="901"/>
      <c r="H510" s="792"/>
      <c r="I510" s="792"/>
      <c r="J510" s="792"/>
      <c r="K510" s="792"/>
      <c r="L510" s="792"/>
      <c r="M510" s="792"/>
      <c r="N510" s="792"/>
      <c r="O510" s="792"/>
      <c r="P510" s="792"/>
      <c r="Q510" s="792"/>
      <c r="R510" s="792"/>
      <c r="S510" s="792"/>
      <c r="T510" s="792"/>
      <c r="U510" s="792"/>
      <c r="V510" s="792"/>
      <c r="W510" s="792"/>
      <c r="X510" s="792"/>
      <c r="Y510" s="792"/>
      <c r="Z510" s="792"/>
    </row>
    <row r="511" ht="15.75" customHeight="1">
      <c r="A511" s="901"/>
      <c r="B511" s="902"/>
      <c r="C511" s="901"/>
      <c r="D511" s="901"/>
      <c r="E511" s="901"/>
      <c r="F511" s="903"/>
      <c r="G511" s="901"/>
      <c r="H511" s="792"/>
      <c r="I511" s="792"/>
      <c r="J511" s="792"/>
      <c r="K511" s="792"/>
      <c r="L511" s="792"/>
      <c r="M511" s="792"/>
      <c r="N511" s="792"/>
      <c r="O511" s="792"/>
      <c r="P511" s="792"/>
      <c r="Q511" s="792"/>
      <c r="R511" s="792"/>
      <c r="S511" s="792"/>
      <c r="T511" s="792"/>
      <c r="U511" s="792"/>
      <c r="V511" s="792"/>
      <c r="W511" s="792"/>
      <c r="X511" s="792"/>
      <c r="Y511" s="792"/>
      <c r="Z511" s="792"/>
    </row>
    <row r="512" ht="15.75" customHeight="1">
      <c r="A512" s="901"/>
      <c r="B512" s="902"/>
      <c r="C512" s="901"/>
      <c r="D512" s="901"/>
      <c r="E512" s="901"/>
      <c r="F512" s="903"/>
      <c r="G512" s="901"/>
      <c r="H512" s="792"/>
      <c r="I512" s="792"/>
      <c r="J512" s="792"/>
      <c r="K512" s="792"/>
      <c r="L512" s="792"/>
      <c r="M512" s="792"/>
      <c r="N512" s="792"/>
      <c r="O512" s="792"/>
      <c r="P512" s="792"/>
      <c r="Q512" s="792"/>
      <c r="R512" s="792"/>
      <c r="S512" s="792"/>
      <c r="T512" s="792"/>
      <c r="U512" s="792"/>
      <c r="V512" s="792"/>
      <c r="W512" s="792"/>
      <c r="X512" s="792"/>
      <c r="Y512" s="792"/>
      <c r="Z512" s="792"/>
    </row>
    <row r="513" ht="15.75" customHeight="1">
      <c r="A513" s="901"/>
      <c r="B513" s="902"/>
      <c r="C513" s="901"/>
      <c r="D513" s="901"/>
      <c r="E513" s="901"/>
      <c r="F513" s="903"/>
      <c r="G513" s="901"/>
      <c r="H513" s="792"/>
      <c r="I513" s="792"/>
      <c r="J513" s="792"/>
      <c r="K513" s="792"/>
      <c r="L513" s="792"/>
      <c r="M513" s="792"/>
      <c r="N513" s="792"/>
      <c r="O513" s="792"/>
      <c r="P513" s="792"/>
      <c r="Q513" s="792"/>
      <c r="R513" s="792"/>
      <c r="S513" s="792"/>
      <c r="T513" s="792"/>
      <c r="U513" s="792"/>
      <c r="V513" s="792"/>
      <c r="W513" s="792"/>
      <c r="X513" s="792"/>
      <c r="Y513" s="792"/>
      <c r="Z513" s="792"/>
    </row>
    <row r="514" ht="15.75" customHeight="1">
      <c r="A514" s="901"/>
      <c r="B514" s="902"/>
      <c r="C514" s="901"/>
      <c r="D514" s="901"/>
      <c r="E514" s="901"/>
      <c r="F514" s="903"/>
      <c r="G514" s="901"/>
      <c r="H514" s="792"/>
      <c r="I514" s="792"/>
      <c r="J514" s="792"/>
      <c r="K514" s="792"/>
      <c r="L514" s="792"/>
      <c r="M514" s="792"/>
      <c r="N514" s="792"/>
      <c r="O514" s="792"/>
      <c r="P514" s="792"/>
      <c r="Q514" s="792"/>
      <c r="R514" s="792"/>
      <c r="S514" s="792"/>
      <c r="T514" s="792"/>
      <c r="U514" s="792"/>
      <c r="V514" s="792"/>
      <c r="W514" s="792"/>
      <c r="X514" s="792"/>
      <c r="Y514" s="792"/>
      <c r="Z514" s="792"/>
    </row>
    <row r="515" ht="15.75" customHeight="1">
      <c r="A515" s="901"/>
      <c r="B515" s="902"/>
      <c r="C515" s="901"/>
      <c r="D515" s="901"/>
      <c r="E515" s="901"/>
      <c r="F515" s="903"/>
      <c r="G515" s="901"/>
      <c r="H515" s="792"/>
      <c r="I515" s="792"/>
      <c r="J515" s="792"/>
      <c r="K515" s="792"/>
      <c r="L515" s="792"/>
      <c r="M515" s="792"/>
      <c r="N515" s="792"/>
      <c r="O515" s="792"/>
      <c r="P515" s="792"/>
      <c r="Q515" s="792"/>
      <c r="R515" s="792"/>
      <c r="S515" s="792"/>
      <c r="T515" s="792"/>
      <c r="U515" s="792"/>
      <c r="V515" s="792"/>
      <c r="W515" s="792"/>
      <c r="X515" s="792"/>
      <c r="Y515" s="792"/>
      <c r="Z515" s="792"/>
    </row>
    <row r="516" ht="15.75" customHeight="1">
      <c r="A516" s="901"/>
      <c r="B516" s="902"/>
      <c r="C516" s="901"/>
      <c r="D516" s="901"/>
      <c r="E516" s="901"/>
      <c r="F516" s="903"/>
      <c r="G516" s="901"/>
      <c r="H516" s="792"/>
      <c r="I516" s="792"/>
      <c r="J516" s="792"/>
      <c r="K516" s="792"/>
      <c r="L516" s="792"/>
      <c r="M516" s="792"/>
      <c r="N516" s="792"/>
      <c r="O516" s="792"/>
      <c r="P516" s="792"/>
      <c r="Q516" s="792"/>
      <c r="R516" s="792"/>
      <c r="S516" s="792"/>
      <c r="T516" s="792"/>
      <c r="U516" s="792"/>
      <c r="V516" s="792"/>
      <c r="W516" s="792"/>
      <c r="X516" s="792"/>
      <c r="Y516" s="792"/>
      <c r="Z516" s="792"/>
    </row>
    <row r="517" ht="15.75" customHeight="1">
      <c r="A517" s="901"/>
      <c r="B517" s="902"/>
      <c r="C517" s="901"/>
      <c r="D517" s="901"/>
      <c r="E517" s="901"/>
      <c r="F517" s="903"/>
      <c r="G517" s="901"/>
      <c r="H517" s="792"/>
      <c r="I517" s="792"/>
      <c r="J517" s="792"/>
      <c r="K517" s="792"/>
      <c r="L517" s="792"/>
      <c r="M517" s="792"/>
      <c r="N517" s="792"/>
      <c r="O517" s="792"/>
      <c r="P517" s="792"/>
      <c r="Q517" s="792"/>
      <c r="R517" s="792"/>
      <c r="S517" s="792"/>
      <c r="T517" s="792"/>
      <c r="U517" s="792"/>
      <c r="V517" s="792"/>
      <c r="W517" s="792"/>
      <c r="X517" s="792"/>
      <c r="Y517" s="792"/>
      <c r="Z517" s="792"/>
    </row>
    <row r="518" ht="15.75" customHeight="1">
      <c r="A518" s="901"/>
      <c r="B518" s="902"/>
      <c r="C518" s="901"/>
      <c r="D518" s="901"/>
      <c r="E518" s="901"/>
      <c r="F518" s="903"/>
      <c r="G518" s="901"/>
      <c r="H518" s="792"/>
      <c r="I518" s="792"/>
      <c r="J518" s="792"/>
      <c r="K518" s="792"/>
      <c r="L518" s="792"/>
      <c r="M518" s="792"/>
      <c r="N518" s="792"/>
      <c r="O518" s="792"/>
      <c r="P518" s="792"/>
      <c r="Q518" s="792"/>
      <c r="R518" s="792"/>
      <c r="S518" s="792"/>
      <c r="T518" s="792"/>
      <c r="U518" s="792"/>
      <c r="V518" s="792"/>
      <c r="W518" s="792"/>
      <c r="X518" s="792"/>
      <c r="Y518" s="792"/>
      <c r="Z518" s="792"/>
    </row>
    <row r="519" ht="15.75" customHeight="1">
      <c r="A519" s="901"/>
      <c r="B519" s="902"/>
      <c r="C519" s="901"/>
      <c r="D519" s="901"/>
      <c r="E519" s="901"/>
      <c r="F519" s="903"/>
      <c r="G519" s="901"/>
      <c r="H519" s="792"/>
      <c r="I519" s="792"/>
      <c r="J519" s="792"/>
      <c r="K519" s="792"/>
      <c r="L519" s="792"/>
      <c r="M519" s="792"/>
      <c r="N519" s="792"/>
      <c r="O519" s="792"/>
      <c r="P519" s="792"/>
      <c r="Q519" s="792"/>
      <c r="R519" s="792"/>
      <c r="S519" s="792"/>
      <c r="T519" s="792"/>
      <c r="U519" s="792"/>
      <c r="V519" s="792"/>
      <c r="W519" s="792"/>
      <c r="X519" s="792"/>
      <c r="Y519" s="792"/>
      <c r="Z519" s="792"/>
    </row>
    <row r="520" ht="15.75" customHeight="1">
      <c r="A520" s="901"/>
      <c r="B520" s="902"/>
      <c r="C520" s="901"/>
      <c r="D520" s="901"/>
      <c r="E520" s="901"/>
      <c r="F520" s="903"/>
      <c r="G520" s="901"/>
      <c r="H520" s="792"/>
      <c r="I520" s="792"/>
      <c r="J520" s="792"/>
      <c r="K520" s="792"/>
      <c r="L520" s="792"/>
      <c r="M520" s="792"/>
      <c r="N520" s="792"/>
      <c r="O520" s="792"/>
      <c r="P520" s="792"/>
      <c r="Q520" s="792"/>
      <c r="R520" s="792"/>
      <c r="S520" s="792"/>
      <c r="T520" s="792"/>
      <c r="U520" s="792"/>
      <c r="V520" s="792"/>
      <c r="W520" s="792"/>
      <c r="X520" s="792"/>
      <c r="Y520" s="792"/>
      <c r="Z520" s="792"/>
    </row>
    <row r="521" ht="15.75" customHeight="1">
      <c r="A521" s="901"/>
      <c r="B521" s="902"/>
      <c r="C521" s="901"/>
      <c r="D521" s="901"/>
      <c r="E521" s="901"/>
      <c r="F521" s="903"/>
      <c r="G521" s="901"/>
      <c r="H521" s="792"/>
      <c r="I521" s="792"/>
      <c r="J521" s="792"/>
      <c r="K521" s="792"/>
      <c r="L521" s="792"/>
      <c r="M521" s="792"/>
      <c r="N521" s="792"/>
      <c r="O521" s="792"/>
      <c r="P521" s="792"/>
      <c r="Q521" s="792"/>
      <c r="R521" s="792"/>
      <c r="S521" s="792"/>
      <c r="T521" s="792"/>
      <c r="U521" s="792"/>
      <c r="V521" s="792"/>
      <c r="W521" s="792"/>
      <c r="X521" s="792"/>
      <c r="Y521" s="792"/>
      <c r="Z521" s="792"/>
    </row>
    <row r="522" ht="15.75" customHeight="1">
      <c r="A522" s="901"/>
      <c r="B522" s="902"/>
      <c r="C522" s="901"/>
      <c r="D522" s="901"/>
      <c r="E522" s="901"/>
      <c r="F522" s="903"/>
      <c r="G522" s="901"/>
      <c r="H522" s="792"/>
      <c r="I522" s="792"/>
      <c r="J522" s="792"/>
      <c r="K522" s="792"/>
      <c r="L522" s="792"/>
      <c r="M522" s="792"/>
      <c r="N522" s="792"/>
      <c r="O522" s="792"/>
      <c r="P522" s="792"/>
      <c r="Q522" s="792"/>
      <c r="R522" s="792"/>
      <c r="S522" s="792"/>
      <c r="T522" s="792"/>
      <c r="U522" s="792"/>
      <c r="V522" s="792"/>
      <c r="W522" s="792"/>
      <c r="X522" s="792"/>
      <c r="Y522" s="792"/>
      <c r="Z522" s="792"/>
    </row>
    <row r="523" ht="15.75" customHeight="1">
      <c r="A523" s="901"/>
      <c r="B523" s="902"/>
      <c r="C523" s="901"/>
      <c r="D523" s="901"/>
      <c r="E523" s="901"/>
      <c r="F523" s="903"/>
      <c r="G523" s="901"/>
      <c r="H523" s="792"/>
      <c r="I523" s="792"/>
      <c r="J523" s="792"/>
      <c r="K523" s="792"/>
      <c r="L523" s="792"/>
      <c r="M523" s="792"/>
      <c r="N523" s="792"/>
      <c r="O523" s="792"/>
      <c r="P523" s="792"/>
      <c r="Q523" s="792"/>
      <c r="R523" s="792"/>
      <c r="S523" s="792"/>
      <c r="T523" s="792"/>
      <c r="U523" s="792"/>
      <c r="V523" s="792"/>
      <c r="W523" s="792"/>
      <c r="X523" s="792"/>
      <c r="Y523" s="792"/>
      <c r="Z523" s="792"/>
    </row>
    <row r="524" ht="15.75" customHeight="1">
      <c r="A524" s="901"/>
      <c r="B524" s="902"/>
      <c r="C524" s="901"/>
      <c r="D524" s="901"/>
      <c r="E524" s="901"/>
      <c r="F524" s="903"/>
      <c r="G524" s="901"/>
      <c r="H524" s="792"/>
      <c r="I524" s="792"/>
      <c r="J524" s="792"/>
      <c r="K524" s="792"/>
      <c r="L524" s="792"/>
      <c r="M524" s="792"/>
      <c r="N524" s="792"/>
      <c r="O524" s="792"/>
      <c r="P524" s="792"/>
      <c r="Q524" s="792"/>
      <c r="R524" s="792"/>
      <c r="S524" s="792"/>
      <c r="T524" s="792"/>
      <c r="U524" s="792"/>
      <c r="V524" s="792"/>
      <c r="W524" s="792"/>
      <c r="X524" s="792"/>
      <c r="Y524" s="792"/>
      <c r="Z524" s="792"/>
    </row>
    <row r="525" ht="15.75" customHeight="1">
      <c r="A525" s="901"/>
      <c r="B525" s="902"/>
      <c r="C525" s="901"/>
      <c r="D525" s="901"/>
      <c r="E525" s="901"/>
      <c r="F525" s="903"/>
      <c r="G525" s="901"/>
      <c r="H525" s="792"/>
      <c r="I525" s="792"/>
      <c r="J525" s="792"/>
      <c r="K525" s="792"/>
      <c r="L525" s="792"/>
      <c r="M525" s="792"/>
      <c r="N525" s="792"/>
      <c r="O525" s="792"/>
      <c r="P525" s="792"/>
      <c r="Q525" s="792"/>
      <c r="R525" s="792"/>
      <c r="S525" s="792"/>
      <c r="T525" s="792"/>
      <c r="U525" s="792"/>
      <c r="V525" s="792"/>
      <c r="W525" s="792"/>
      <c r="X525" s="792"/>
      <c r="Y525" s="792"/>
      <c r="Z525" s="792"/>
    </row>
    <row r="526" ht="15.75" customHeight="1">
      <c r="A526" s="901"/>
      <c r="B526" s="902"/>
      <c r="C526" s="901"/>
      <c r="D526" s="901"/>
      <c r="E526" s="901"/>
      <c r="F526" s="903"/>
      <c r="G526" s="901"/>
      <c r="H526" s="792"/>
      <c r="I526" s="792"/>
      <c r="J526" s="792"/>
      <c r="K526" s="792"/>
      <c r="L526" s="792"/>
      <c r="M526" s="792"/>
      <c r="N526" s="792"/>
      <c r="O526" s="792"/>
      <c r="P526" s="792"/>
      <c r="Q526" s="792"/>
      <c r="R526" s="792"/>
      <c r="S526" s="792"/>
      <c r="T526" s="792"/>
      <c r="U526" s="792"/>
      <c r="V526" s="792"/>
      <c r="W526" s="792"/>
      <c r="X526" s="792"/>
      <c r="Y526" s="792"/>
      <c r="Z526" s="792"/>
    </row>
    <row r="527" ht="15.75" customHeight="1">
      <c r="A527" s="901"/>
      <c r="B527" s="902"/>
      <c r="C527" s="901"/>
      <c r="D527" s="901"/>
      <c r="E527" s="901"/>
      <c r="F527" s="903"/>
      <c r="G527" s="901"/>
      <c r="H527" s="792"/>
      <c r="I527" s="792"/>
      <c r="J527" s="792"/>
      <c r="K527" s="792"/>
      <c r="L527" s="792"/>
      <c r="M527" s="792"/>
      <c r="N527" s="792"/>
      <c r="O527" s="792"/>
      <c r="P527" s="792"/>
      <c r="Q527" s="792"/>
      <c r="R527" s="792"/>
      <c r="S527" s="792"/>
      <c r="T527" s="792"/>
      <c r="U527" s="792"/>
      <c r="V527" s="792"/>
      <c r="W527" s="792"/>
      <c r="X527" s="792"/>
      <c r="Y527" s="792"/>
      <c r="Z527" s="792"/>
    </row>
    <row r="528" ht="15.75" customHeight="1">
      <c r="A528" s="901"/>
      <c r="B528" s="902"/>
      <c r="C528" s="901"/>
      <c r="D528" s="901"/>
      <c r="E528" s="901"/>
      <c r="F528" s="903"/>
      <c r="G528" s="901"/>
      <c r="H528" s="792"/>
      <c r="I528" s="792"/>
      <c r="J528" s="792"/>
      <c r="K528" s="792"/>
      <c r="L528" s="792"/>
      <c r="M528" s="792"/>
      <c r="N528" s="792"/>
      <c r="O528" s="792"/>
      <c r="P528" s="792"/>
      <c r="Q528" s="792"/>
      <c r="R528" s="792"/>
      <c r="S528" s="792"/>
      <c r="T528" s="792"/>
      <c r="U528" s="792"/>
      <c r="V528" s="792"/>
      <c r="W528" s="792"/>
      <c r="X528" s="792"/>
      <c r="Y528" s="792"/>
      <c r="Z528" s="792"/>
    </row>
    <row r="529" ht="15.75" customHeight="1">
      <c r="A529" s="901"/>
      <c r="B529" s="902"/>
      <c r="C529" s="901"/>
      <c r="D529" s="901"/>
      <c r="E529" s="901"/>
      <c r="F529" s="903"/>
      <c r="G529" s="901"/>
      <c r="H529" s="792"/>
      <c r="I529" s="792"/>
      <c r="J529" s="792"/>
      <c r="K529" s="792"/>
      <c r="L529" s="792"/>
      <c r="M529" s="792"/>
      <c r="N529" s="792"/>
      <c r="O529" s="792"/>
      <c r="P529" s="792"/>
      <c r="Q529" s="792"/>
      <c r="R529" s="792"/>
      <c r="S529" s="792"/>
      <c r="T529" s="792"/>
      <c r="U529" s="792"/>
      <c r="V529" s="792"/>
      <c r="W529" s="792"/>
      <c r="X529" s="792"/>
      <c r="Y529" s="792"/>
      <c r="Z529" s="792"/>
    </row>
    <row r="530" ht="15.75" customHeight="1">
      <c r="A530" s="901"/>
      <c r="B530" s="902"/>
      <c r="C530" s="901"/>
      <c r="D530" s="901"/>
      <c r="E530" s="901"/>
      <c r="F530" s="903"/>
      <c r="G530" s="901"/>
      <c r="H530" s="792"/>
      <c r="I530" s="792"/>
      <c r="J530" s="792"/>
      <c r="K530" s="792"/>
      <c r="L530" s="792"/>
      <c r="M530" s="792"/>
      <c r="N530" s="792"/>
      <c r="O530" s="792"/>
      <c r="P530" s="792"/>
      <c r="Q530" s="792"/>
      <c r="R530" s="792"/>
      <c r="S530" s="792"/>
      <c r="T530" s="792"/>
      <c r="U530" s="792"/>
      <c r="V530" s="792"/>
      <c r="W530" s="792"/>
      <c r="X530" s="792"/>
      <c r="Y530" s="792"/>
      <c r="Z530" s="792"/>
    </row>
    <row r="531" ht="15.75" customHeight="1">
      <c r="A531" s="901"/>
      <c r="B531" s="902"/>
      <c r="C531" s="901"/>
      <c r="D531" s="901"/>
      <c r="E531" s="901"/>
      <c r="F531" s="903"/>
      <c r="G531" s="901"/>
      <c r="H531" s="792"/>
      <c r="I531" s="792"/>
      <c r="J531" s="792"/>
      <c r="K531" s="792"/>
      <c r="L531" s="792"/>
      <c r="M531" s="792"/>
      <c r="N531" s="792"/>
      <c r="O531" s="792"/>
      <c r="P531" s="792"/>
      <c r="Q531" s="792"/>
      <c r="R531" s="792"/>
      <c r="S531" s="792"/>
      <c r="T531" s="792"/>
      <c r="U531" s="792"/>
      <c r="V531" s="792"/>
      <c r="W531" s="792"/>
      <c r="X531" s="792"/>
      <c r="Y531" s="792"/>
      <c r="Z531" s="792"/>
    </row>
    <row r="532" ht="15.75" customHeight="1">
      <c r="A532" s="901"/>
      <c r="B532" s="902"/>
      <c r="C532" s="901"/>
      <c r="D532" s="901"/>
      <c r="E532" s="901"/>
      <c r="F532" s="903"/>
      <c r="G532" s="901"/>
      <c r="H532" s="792"/>
      <c r="I532" s="792"/>
      <c r="J532" s="792"/>
      <c r="K532" s="792"/>
      <c r="L532" s="792"/>
      <c r="M532" s="792"/>
      <c r="N532" s="792"/>
      <c r="O532" s="792"/>
      <c r="P532" s="792"/>
      <c r="Q532" s="792"/>
      <c r="R532" s="792"/>
      <c r="S532" s="792"/>
      <c r="T532" s="792"/>
      <c r="U532" s="792"/>
      <c r="V532" s="792"/>
      <c r="W532" s="792"/>
      <c r="X532" s="792"/>
      <c r="Y532" s="792"/>
      <c r="Z532" s="792"/>
    </row>
    <row r="533" ht="15.75" customHeight="1">
      <c r="A533" s="901"/>
      <c r="B533" s="902"/>
      <c r="C533" s="901"/>
      <c r="D533" s="901"/>
      <c r="E533" s="901"/>
      <c r="F533" s="903"/>
      <c r="G533" s="901"/>
      <c r="H533" s="792"/>
      <c r="I533" s="792"/>
      <c r="J533" s="792"/>
      <c r="K533" s="792"/>
      <c r="L533" s="792"/>
      <c r="M533" s="792"/>
      <c r="N533" s="792"/>
      <c r="O533" s="792"/>
      <c r="P533" s="792"/>
      <c r="Q533" s="792"/>
      <c r="R533" s="792"/>
      <c r="S533" s="792"/>
      <c r="T533" s="792"/>
      <c r="U533" s="792"/>
      <c r="V533" s="792"/>
      <c r="W533" s="792"/>
      <c r="X533" s="792"/>
      <c r="Y533" s="792"/>
      <c r="Z533" s="792"/>
    </row>
    <row r="534" ht="15.75" customHeight="1">
      <c r="A534" s="901"/>
      <c r="B534" s="902"/>
      <c r="C534" s="901"/>
      <c r="D534" s="901"/>
      <c r="E534" s="901"/>
      <c r="F534" s="903"/>
      <c r="G534" s="901"/>
      <c r="H534" s="792"/>
      <c r="I534" s="792"/>
      <c r="J534" s="792"/>
      <c r="K534" s="792"/>
      <c r="L534" s="792"/>
      <c r="M534" s="792"/>
      <c r="N534" s="792"/>
      <c r="O534" s="792"/>
      <c r="P534" s="792"/>
      <c r="Q534" s="792"/>
      <c r="R534" s="792"/>
      <c r="S534" s="792"/>
      <c r="T534" s="792"/>
      <c r="U534" s="792"/>
      <c r="V534" s="792"/>
      <c r="W534" s="792"/>
      <c r="X534" s="792"/>
      <c r="Y534" s="792"/>
      <c r="Z534" s="792"/>
    </row>
    <row r="535" ht="15.75" customHeight="1">
      <c r="A535" s="901"/>
      <c r="B535" s="902"/>
      <c r="C535" s="901"/>
      <c r="D535" s="901"/>
      <c r="E535" s="901"/>
      <c r="F535" s="903"/>
      <c r="G535" s="901"/>
      <c r="H535" s="792"/>
      <c r="I535" s="792"/>
      <c r="J535" s="792"/>
      <c r="K535" s="792"/>
      <c r="L535" s="792"/>
      <c r="M535" s="792"/>
      <c r="N535" s="792"/>
      <c r="O535" s="792"/>
      <c r="P535" s="792"/>
      <c r="Q535" s="792"/>
      <c r="R535" s="792"/>
      <c r="S535" s="792"/>
      <c r="T535" s="792"/>
      <c r="U535" s="792"/>
      <c r="V535" s="792"/>
      <c r="W535" s="792"/>
      <c r="X535" s="792"/>
      <c r="Y535" s="792"/>
      <c r="Z535" s="792"/>
    </row>
    <row r="536" ht="15.75" customHeight="1">
      <c r="A536" s="901"/>
      <c r="B536" s="902"/>
      <c r="C536" s="901"/>
      <c r="D536" s="901"/>
      <c r="E536" s="901"/>
      <c r="F536" s="903"/>
      <c r="G536" s="901"/>
      <c r="H536" s="792"/>
      <c r="I536" s="792"/>
      <c r="J536" s="792"/>
      <c r="K536" s="792"/>
      <c r="L536" s="792"/>
      <c r="M536" s="792"/>
      <c r="N536" s="792"/>
      <c r="O536" s="792"/>
      <c r="P536" s="792"/>
      <c r="Q536" s="792"/>
      <c r="R536" s="792"/>
      <c r="S536" s="792"/>
      <c r="T536" s="792"/>
      <c r="U536" s="792"/>
      <c r="V536" s="792"/>
      <c r="W536" s="792"/>
      <c r="X536" s="792"/>
      <c r="Y536" s="792"/>
      <c r="Z536" s="792"/>
    </row>
    <row r="537" ht="15.75" customHeight="1">
      <c r="A537" s="901"/>
      <c r="B537" s="902"/>
      <c r="C537" s="901"/>
      <c r="D537" s="901"/>
      <c r="E537" s="901"/>
      <c r="F537" s="903"/>
      <c r="G537" s="901"/>
      <c r="H537" s="792"/>
      <c r="I537" s="792"/>
      <c r="J537" s="792"/>
      <c r="K537" s="792"/>
      <c r="L537" s="792"/>
      <c r="M537" s="792"/>
      <c r="N537" s="792"/>
      <c r="O537" s="792"/>
      <c r="P537" s="792"/>
      <c r="Q537" s="792"/>
      <c r="R537" s="792"/>
      <c r="S537" s="792"/>
      <c r="T537" s="792"/>
      <c r="U537" s="792"/>
      <c r="V537" s="792"/>
      <c r="W537" s="792"/>
      <c r="X537" s="792"/>
      <c r="Y537" s="792"/>
      <c r="Z537" s="792"/>
    </row>
    <row r="538" ht="15.75" customHeight="1">
      <c r="A538" s="901"/>
      <c r="B538" s="902"/>
      <c r="C538" s="901"/>
      <c r="D538" s="901"/>
      <c r="E538" s="901"/>
      <c r="F538" s="903"/>
      <c r="G538" s="901"/>
      <c r="H538" s="792"/>
      <c r="I538" s="792"/>
      <c r="J538" s="792"/>
      <c r="K538" s="792"/>
      <c r="L538" s="792"/>
      <c r="M538" s="792"/>
      <c r="N538" s="792"/>
      <c r="O538" s="792"/>
      <c r="P538" s="792"/>
      <c r="Q538" s="792"/>
      <c r="R538" s="792"/>
      <c r="S538" s="792"/>
      <c r="T538" s="792"/>
      <c r="U538" s="792"/>
      <c r="V538" s="792"/>
      <c r="W538" s="792"/>
      <c r="X538" s="792"/>
      <c r="Y538" s="792"/>
      <c r="Z538" s="792"/>
    </row>
    <row r="539" ht="15.75" customHeight="1">
      <c r="A539" s="901"/>
      <c r="B539" s="902"/>
      <c r="C539" s="901"/>
      <c r="D539" s="901"/>
      <c r="E539" s="901"/>
      <c r="F539" s="903"/>
      <c r="G539" s="901"/>
      <c r="H539" s="792"/>
      <c r="I539" s="792"/>
      <c r="J539" s="792"/>
      <c r="K539" s="792"/>
      <c r="L539" s="792"/>
      <c r="M539" s="792"/>
      <c r="N539" s="792"/>
      <c r="O539" s="792"/>
      <c r="P539" s="792"/>
      <c r="Q539" s="792"/>
      <c r="R539" s="792"/>
      <c r="S539" s="792"/>
      <c r="T539" s="792"/>
      <c r="U539" s="792"/>
      <c r="V539" s="792"/>
      <c r="W539" s="792"/>
      <c r="X539" s="792"/>
      <c r="Y539" s="792"/>
      <c r="Z539" s="792"/>
    </row>
    <row r="540" ht="15.75" customHeight="1">
      <c r="A540" s="901"/>
      <c r="B540" s="902"/>
      <c r="C540" s="901"/>
      <c r="D540" s="901"/>
      <c r="E540" s="901"/>
      <c r="F540" s="903"/>
      <c r="G540" s="901"/>
      <c r="H540" s="792"/>
      <c r="I540" s="792"/>
      <c r="J540" s="792"/>
      <c r="K540" s="792"/>
      <c r="L540" s="792"/>
      <c r="M540" s="792"/>
      <c r="N540" s="792"/>
      <c r="O540" s="792"/>
      <c r="P540" s="792"/>
      <c r="Q540" s="792"/>
      <c r="R540" s="792"/>
      <c r="S540" s="792"/>
      <c r="T540" s="792"/>
      <c r="U540" s="792"/>
      <c r="V540" s="792"/>
      <c r="W540" s="792"/>
      <c r="X540" s="792"/>
      <c r="Y540" s="792"/>
      <c r="Z540" s="792"/>
    </row>
    <row r="541" ht="15.75" customHeight="1">
      <c r="A541" s="901"/>
      <c r="B541" s="902"/>
      <c r="C541" s="901"/>
      <c r="D541" s="901"/>
      <c r="E541" s="901"/>
      <c r="F541" s="903"/>
      <c r="G541" s="901"/>
      <c r="H541" s="792"/>
      <c r="I541" s="792"/>
      <c r="J541" s="792"/>
      <c r="K541" s="792"/>
      <c r="L541" s="792"/>
      <c r="M541" s="792"/>
      <c r="N541" s="792"/>
      <c r="O541" s="792"/>
      <c r="P541" s="792"/>
      <c r="Q541" s="792"/>
      <c r="R541" s="792"/>
      <c r="S541" s="792"/>
      <c r="T541" s="792"/>
      <c r="U541" s="792"/>
      <c r="V541" s="792"/>
      <c r="W541" s="792"/>
      <c r="X541" s="792"/>
      <c r="Y541" s="792"/>
      <c r="Z541" s="792"/>
    </row>
    <row r="542" ht="15.75" customHeight="1">
      <c r="A542" s="901"/>
      <c r="B542" s="902"/>
      <c r="C542" s="901"/>
      <c r="D542" s="901"/>
      <c r="E542" s="901"/>
      <c r="F542" s="903"/>
      <c r="G542" s="901"/>
      <c r="H542" s="792"/>
      <c r="I542" s="792"/>
      <c r="J542" s="792"/>
      <c r="K542" s="792"/>
      <c r="L542" s="792"/>
      <c r="M542" s="792"/>
      <c r="N542" s="792"/>
      <c r="O542" s="792"/>
      <c r="P542" s="792"/>
      <c r="Q542" s="792"/>
      <c r="R542" s="792"/>
      <c r="S542" s="792"/>
      <c r="T542" s="792"/>
      <c r="U542" s="792"/>
      <c r="V542" s="792"/>
      <c r="W542" s="792"/>
      <c r="X542" s="792"/>
      <c r="Y542" s="792"/>
      <c r="Z542" s="792"/>
    </row>
    <row r="543" ht="15.75" customHeight="1">
      <c r="A543" s="901"/>
      <c r="B543" s="902"/>
      <c r="C543" s="901"/>
      <c r="D543" s="901"/>
      <c r="E543" s="901"/>
      <c r="F543" s="903"/>
      <c r="G543" s="901"/>
      <c r="H543" s="792"/>
      <c r="I543" s="792"/>
      <c r="J543" s="792"/>
      <c r="K543" s="792"/>
      <c r="L543" s="792"/>
      <c r="M543" s="792"/>
      <c r="N543" s="792"/>
      <c r="O543" s="792"/>
      <c r="P543" s="792"/>
      <c r="Q543" s="792"/>
      <c r="R543" s="792"/>
      <c r="S543" s="792"/>
      <c r="T543" s="792"/>
      <c r="U543" s="792"/>
      <c r="V543" s="792"/>
      <c r="W543" s="792"/>
      <c r="X543" s="792"/>
      <c r="Y543" s="792"/>
      <c r="Z543" s="792"/>
    </row>
    <row r="544" ht="15.75" customHeight="1">
      <c r="A544" s="901"/>
      <c r="B544" s="902"/>
      <c r="C544" s="901"/>
      <c r="D544" s="901"/>
      <c r="E544" s="901"/>
      <c r="F544" s="903"/>
      <c r="G544" s="901"/>
      <c r="H544" s="792"/>
      <c r="I544" s="792"/>
      <c r="J544" s="792"/>
      <c r="K544" s="792"/>
      <c r="L544" s="792"/>
      <c r="M544" s="792"/>
      <c r="N544" s="792"/>
      <c r="O544" s="792"/>
      <c r="P544" s="792"/>
      <c r="Q544" s="792"/>
      <c r="R544" s="792"/>
      <c r="S544" s="792"/>
      <c r="T544" s="792"/>
      <c r="U544" s="792"/>
      <c r="V544" s="792"/>
      <c r="W544" s="792"/>
      <c r="X544" s="792"/>
      <c r="Y544" s="792"/>
      <c r="Z544" s="792"/>
    </row>
    <row r="545" ht="15.75" customHeight="1">
      <c r="A545" s="901"/>
      <c r="B545" s="902"/>
      <c r="C545" s="901"/>
      <c r="D545" s="901"/>
      <c r="E545" s="901"/>
      <c r="F545" s="903"/>
      <c r="G545" s="901"/>
      <c r="H545" s="792"/>
      <c r="I545" s="792"/>
      <c r="J545" s="792"/>
      <c r="K545" s="792"/>
      <c r="L545" s="792"/>
      <c r="M545" s="792"/>
      <c r="N545" s="792"/>
      <c r="O545" s="792"/>
      <c r="P545" s="792"/>
      <c r="Q545" s="792"/>
      <c r="R545" s="792"/>
      <c r="S545" s="792"/>
      <c r="T545" s="792"/>
      <c r="U545" s="792"/>
      <c r="V545" s="792"/>
      <c r="W545" s="792"/>
      <c r="X545" s="792"/>
      <c r="Y545" s="792"/>
      <c r="Z545" s="792"/>
    </row>
    <row r="546" ht="15.75" customHeight="1">
      <c r="A546" s="901"/>
      <c r="B546" s="902"/>
      <c r="C546" s="901"/>
      <c r="D546" s="901"/>
      <c r="E546" s="901"/>
      <c r="F546" s="903"/>
      <c r="G546" s="901"/>
      <c r="H546" s="792"/>
      <c r="I546" s="792"/>
      <c r="J546" s="792"/>
      <c r="K546" s="792"/>
      <c r="L546" s="792"/>
      <c r="M546" s="792"/>
      <c r="N546" s="792"/>
      <c r="O546" s="792"/>
      <c r="P546" s="792"/>
      <c r="Q546" s="792"/>
      <c r="R546" s="792"/>
      <c r="S546" s="792"/>
      <c r="T546" s="792"/>
      <c r="U546" s="792"/>
      <c r="V546" s="792"/>
      <c r="W546" s="792"/>
      <c r="X546" s="792"/>
      <c r="Y546" s="792"/>
      <c r="Z546" s="792"/>
    </row>
    <row r="547" ht="15.75" customHeight="1">
      <c r="A547" s="901"/>
      <c r="B547" s="902"/>
      <c r="C547" s="901"/>
      <c r="D547" s="901"/>
      <c r="E547" s="901"/>
      <c r="F547" s="903"/>
      <c r="G547" s="901"/>
      <c r="H547" s="792"/>
      <c r="I547" s="792"/>
      <c r="J547" s="792"/>
      <c r="K547" s="792"/>
      <c r="L547" s="792"/>
      <c r="M547" s="792"/>
      <c r="N547" s="792"/>
      <c r="O547" s="792"/>
      <c r="P547" s="792"/>
      <c r="Q547" s="792"/>
      <c r="R547" s="792"/>
      <c r="S547" s="792"/>
      <c r="T547" s="792"/>
      <c r="U547" s="792"/>
      <c r="V547" s="792"/>
      <c r="W547" s="792"/>
      <c r="X547" s="792"/>
      <c r="Y547" s="792"/>
      <c r="Z547" s="792"/>
    </row>
    <row r="548" ht="15.75" customHeight="1">
      <c r="A548" s="901"/>
      <c r="B548" s="902"/>
      <c r="C548" s="901"/>
      <c r="D548" s="901"/>
      <c r="E548" s="901"/>
      <c r="F548" s="903"/>
      <c r="G548" s="901"/>
      <c r="H548" s="792"/>
      <c r="I548" s="792"/>
      <c r="J548" s="792"/>
      <c r="K548" s="792"/>
      <c r="L548" s="792"/>
      <c r="M548" s="792"/>
      <c r="N548" s="792"/>
      <c r="O548" s="792"/>
      <c r="P548" s="792"/>
      <c r="Q548" s="792"/>
      <c r="R548" s="792"/>
      <c r="S548" s="792"/>
      <c r="T548" s="792"/>
      <c r="U548" s="792"/>
      <c r="V548" s="792"/>
      <c r="W548" s="792"/>
      <c r="X548" s="792"/>
      <c r="Y548" s="792"/>
      <c r="Z548" s="792"/>
    </row>
    <row r="549" ht="15.75" customHeight="1">
      <c r="A549" s="901"/>
      <c r="B549" s="902"/>
      <c r="C549" s="901"/>
      <c r="D549" s="901"/>
      <c r="E549" s="901"/>
      <c r="F549" s="903"/>
      <c r="G549" s="901"/>
      <c r="H549" s="792"/>
      <c r="I549" s="792"/>
      <c r="J549" s="792"/>
      <c r="K549" s="792"/>
      <c r="L549" s="792"/>
      <c r="M549" s="792"/>
      <c r="N549" s="792"/>
      <c r="O549" s="792"/>
      <c r="P549" s="792"/>
      <c r="Q549" s="792"/>
      <c r="R549" s="792"/>
      <c r="S549" s="792"/>
      <c r="T549" s="792"/>
      <c r="U549" s="792"/>
      <c r="V549" s="792"/>
      <c r="W549" s="792"/>
      <c r="X549" s="792"/>
      <c r="Y549" s="792"/>
      <c r="Z549" s="792"/>
    </row>
    <row r="550" ht="15.75" customHeight="1">
      <c r="A550" s="901"/>
      <c r="B550" s="902"/>
      <c r="C550" s="901"/>
      <c r="D550" s="901"/>
      <c r="E550" s="901"/>
      <c r="F550" s="903"/>
      <c r="G550" s="901"/>
      <c r="H550" s="792"/>
      <c r="I550" s="792"/>
      <c r="J550" s="792"/>
      <c r="K550" s="792"/>
      <c r="L550" s="792"/>
      <c r="M550" s="792"/>
      <c r="N550" s="792"/>
      <c r="O550" s="792"/>
      <c r="P550" s="792"/>
      <c r="Q550" s="792"/>
      <c r="R550" s="792"/>
      <c r="S550" s="792"/>
      <c r="T550" s="792"/>
      <c r="U550" s="792"/>
      <c r="V550" s="792"/>
      <c r="W550" s="792"/>
      <c r="X550" s="792"/>
      <c r="Y550" s="792"/>
      <c r="Z550" s="792"/>
    </row>
    <row r="551" ht="15.75" customHeight="1">
      <c r="A551" s="901"/>
      <c r="B551" s="902"/>
      <c r="C551" s="901"/>
      <c r="D551" s="901"/>
      <c r="E551" s="901"/>
      <c r="F551" s="903"/>
      <c r="G551" s="901"/>
      <c r="H551" s="792"/>
      <c r="I551" s="792"/>
      <c r="J551" s="792"/>
      <c r="K551" s="792"/>
      <c r="L551" s="792"/>
      <c r="M551" s="792"/>
      <c r="N551" s="792"/>
      <c r="O551" s="792"/>
      <c r="P551" s="792"/>
      <c r="Q551" s="792"/>
      <c r="R551" s="792"/>
      <c r="S551" s="792"/>
      <c r="T551" s="792"/>
      <c r="U551" s="792"/>
      <c r="V551" s="792"/>
      <c r="W551" s="792"/>
      <c r="X551" s="792"/>
      <c r="Y551" s="792"/>
      <c r="Z551" s="792"/>
    </row>
    <row r="552" ht="15.75" customHeight="1">
      <c r="A552" s="901"/>
      <c r="B552" s="902"/>
      <c r="C552" s="901"/>
      <c r="D552" s="901"/>
      <c r="E552" s="901"/>
      <c r="F552" s="903"/>
      <c r="G552" s="901"/>
      <c r="H552" s="792"/>
      <c r="I552" s="792"/>
      <c r="J552" s="792"/>
      <c r="K552" s="792"/>
      <c r="L552" s="792"/>
      <c r="M552" s="792"/>
      <c r="N552" s="792"/>
      <c r="O552" s="792"/>
      <c r="P552" s="792"/>
      <c r="Q552" s="792"/>
      <c r="R552" s="792"/>
      <c r="S552" s="792"/>
      <c r="T552" s="792"/>
      <c r="U552" s="792"/>
      <c r="V552" s="792"/>
      <c r="W552" s="792"/>
      <c r="X552" s="792"/>
      <c r="Y552" s="792"/>
      <c r="Z552" s="792"/>
    </row>
    <row r="553" ht="15.75" customHeight="1">
      <c r="A553" s="901"/>
      <c r="B553" s="902"/>
      <c r="C553" s="901"/>
      <c r="D553" s="901"/>
      <c r="E553" s="901"/>
      <c r="F553" s="903"/>
      <c r="G553" s="901"/>
      <c r="H553" s="792"/>
      <c r="I553" s="792"/>
      <c r="J553" s="792"/>
      <c r="K553" s="792"/>
      <c r="L553" s="792"/>
      <c r="M553" s="792"/>
      <c r="N553" s="792"/>
      <c r="O553" s="792"/>
      <c r="P553" s="792"/>
      <c r="Q553" s="792"/>
      <c r="R553" s="792"/>
      <c r="S553" s="792"/>
      <c r="T553" s="792"/>
      <c r="U553" s="792"/>
      <c r="V553" s="792"/>
      <c r="W553" s="792"/>
      <c r="X553" s="792"/>
      <c r="Y553" s="792"/>
      <c r="Z553" s="792"/>
    </row>
    <row r="554" ht="15.75" customHeight="1">
      <c r="A554" s="901"/>
      <c r="B554" s="902"/>
      <c r="C554" s="901"/>
      <c r="D554" s="901"/>
      <c r="E554" s="901"/>
      <c r="F554" s="903"/>
      <c r="G554" s="901"/>
      <c r="H554" s="792"/>
      <c r="I554" s="792"/>
      <c r="J554" s="792"/>
      <c r="K554" s="792"/>
      <c r="L554" s="792"/>
      <c r="M554" s="792"/>
      <c r="N554" s="792"/>
      <c r="O554" s="792"/>
      <c r="P554" s="792"/>
      <c r="Q554" s="792"/>
      <c r="R554" s="792"/>
      <c r="S554" s="792"/>
      <c r="T554" s="792"/>
      <c r="U554" s="792"/>
      <c r="V554" s="792"/>
      <c r="W554" s="792"/>
      <c r="X554" s="792"/>
      <c r="Y554" s="792"/>
      <c r="Z554" s="792"/>
    </row>
    <row r="555" ht="15.75" customHeight="1">
      <c r="A555" s="901"/>
      <c r="B555" s="902"/>
      <c r="C555" s="901"/>
      <c r="D555" s="901"/>
      <c r="E555" s="901"/>
      <c r="F555" s="903"/>
      <c r="G555" s="901"/>
      <c r="H555" s="792"/>
      <c r="I555" s="792"/>
      <c r="J555" s="792"/>
      <c r="K555" s="792"/>
      <c r="L555" s="792"/>
      <c r="M555" s="792"/>
      <c r="N555" s="792"/>
      <c r="O555" s="792"/>
      <c r="P555" s="792"/>
      <c r="Q555" s="792"/>
      <c r="R555" s="792"/>
      <c r="S555" s="792"/>
      <c r="T555" s="792"/>
      <c r="U555" s="792"/>
      <c r="V555" s="792"/>
      <c r="W555" s="792"/>
      <c r="X555" s="792"/>
      <c r="Y555" s="792"/>
      <c r="Z555" s="792"/>
    </row>
    <row r="556" ht="15.75" customHeight="1">
      <c r="A556" s="901"/>
      <c r="B556" s="902"/>
      <c r="C556" s="901"/>
      <c r="D556" s="901"/>
      <c r="E556" s="901"/>
      <c r="F556" s="903"/>
      <c r="G556" s="901"/>
      <c r="H556" s="792"/>
      <c r="I556" s="792"/>
      <c r="J556" s="792"/>
      <c r="K556" s="792"/>
      <c r="L556" s="792"/>
      <c r="M556" s="792"/>
      <c r="N556" s="792"/>
      <c r="O556" s="792"/>
      <c r="P556" s="792"/>
      <c r="Q556" s="792"/>
      <c r="R556" s="792"/>
      <c r="S556" s="792"/>
      <c r="T556" s="792"/>
      <c r="U556" s="792"/>
      <c r="V556" s="792"/>
      <c r="W556" s="792"/>
      <c r="X556" s="792"/>
      <c r="Y556" s="792"/>
      <c r="Z556" s="792"/>
    </row>
    <row r="557" ht="15.75" customHeight="1">
      <c r="A557" s="901"/>
      <c r="B557" s="902"/>
      <c r="C557" s="901"/>
      <c r="D557" s="901"/>
      <c r="E557" s="901"/>
      <c r="F557" s="903"/>
      <c r="G557" s="901"/>
      <c r="H557" s="792"/>
      <c r="I557" s="792"/>
      <c r="J557" s="792"/>
      <c r="K557" s="792"/>
      <c r="L557" s="792"/>
      <c r="M557" s="792"/>
      <c r="N557" s="792"/>
      <c r="O557" s="792"/>
      <c r="P557" s="792"/>
      <c r="Q557" s="792"/>
      <c r="R557" s="792"/>
      <c r="S557" s="792"/>
      <c r="T557" s="792"/>
      <c r="U557" s="792"/>
      <c r="V557" s="792"/>
      <c r="W557" s="792"/>
      <c r="X557" s="792"/>
      <c r="Y557" s="792"/>
      <c r="Z557" s="792"/>
    </row>
    <row r="558" ht="15.75" customHeight="1">
      <c r="A558" s="901"/>
      <c r="B558" s="902"/>
      <c r="C558" s="901"/>
      <c r="D558" s="901"/>
      <c r="E558" s="901"/>
      <c r="F558" s="903"/>
      <c r="G558" s="901"/>
      <c r="H558" s="792"/>
      <c r="I558" s="792"/>
      <c r="J558" s="792"/>
      <c r="K558" s="792"/>
      <c r="L558" s="792"/>
      <c r="M558" s="792"/>
      <c r="N558" s="792"/>
      <c r="O558" s="792"/>
      <c r="P558" s="792"/>
      <c r="Q558" s="792"/>
      <c r="R558" s="792"/>
      <c r="S558" s="792"/>
      <c r="T558" s="792"/>
      <c r="U558" s="792"/>
      <c r="V558" s="792"/>
      <c r="W558" s="792"/>
      <c r="X558" s="792"/>
      <c r="Y558" s="792"/>
      <c r="Z558" s="792"/>
    </row>
    <row r="559" ht="15.75" customHeight="1">
      <c r="A559" s="901"/>
      <c r="B559" s="902"/>
      <c r="C559" s="901"/>
      <c r="D559" s="901"/>
      <c r="E559" s="901"/>
      <c r="F559" s="903"/>
      <c r="G559" s="901"/>
      <c r="H559" s="792"/>
      <c r="I559" s="792"/>
      <c r="J559" s="792"/>
      <c r="K559" s="792"/>
      <c r="L559" s="792"/>
      <c r="M559" s="792"/>
      <c r="N559" s="792"/>
      <c r="O559" s="792"/>
      <c r="P559" s="792"/>
      <c r="Q559" s="792"/>
      <c r="R559" s="792"/>
      <c r="S559" s="792"/>
      <c r="T559" s="792"/>
      <c r="U559" s="792"/>
      <c r="V559" s="792"/>
      <c r="W559" s="792"/>
      <c r="X559" s="792"/>
      <c r="Y559" s="792"/>
      <c r="Z559" s="792"/>
    </row>
    <row r="560" ht="15.75" customHeight="1">
      <c r="A560" s="901"/>
      <c r="B560" s="902"/>
      <c r="C560" s="901"/>
      <c r="D560" s="901"/>
      <c r="E560" s="901"/>
      <c r="F560" s="903"/>
      <c r="G560" s="901"/>
      <c r="H560" s="792"/>
      <c r="I560" s="792"/>
      <c r="J560" s="792"/>
      <c r="K560" s="792"/>
      <c r="L560" s="792"/>
      <c r="M560" s="792"/>
      <c r="N560" s="792"/>
      <c r="O560" s="792"/>
      <c r="P560" s="792"/>
      <c r="Q560" s="792"/>
      <c r="R560" s="792"/>
      <c r="S560" s="792"/>
      <c r="T560" s="792"/>
      <c r="U560" s="792"/>
      <c r="V560" s="792"/>
      <c r="W560" s="792"/>
      <c r="X560" s="792"/>
      <c r="Y560" s="792"/>
      <c r="Z560" s="792"/>
    </row>
    <row r="561" ht="15.75" customHeight="1">
      <c r="A561" s="901"/>
      <c r="B561" s="902"/>
      <c r="C561" s="901"/>
      <c r="D561" s="901"/>
      <c r="E561" s="901"/>
      <c r="F561" s="903"/>
      <c r="G561" s="901"/>
      <c r="H561" s="792"/>
      <c r="I561" s="792"/>
      <c r="J561" s="792"/>
      <c r="K561" s="792"/>
      <c r="L561" s="792"/>
      <c r="M561" s="792"/>
      <c r="N561" s="792"/>
      <c r="O561" s="792"/>
      <c r="P561" s="792"/>
      <c r="Q561" s="792"/>
      <c r="R561" s="792"/>
      <c r="S561" s="792"/>
      <c r="T561" s="792"/>
      <c r="U561" s="792"/>
      <c r="V561" s="792"/>
      <c r="W561" s="792"/>
      <c r="X561" s="792"/>
      <c r="Y561" s="792"/>
      <c r="Z561" s="792"/>
    </row>
    <row r="562" ht="15.75" customHeight="1">
      <c r="A562" s="901"/>
      <c r="B562" s="902"/>
      <c r="C562" s="901"/>
      <c r="D562" s="901"/>
      <c r="E562" s="901"/>
      <c r="F562" s="903"/>
      <c r="G562" s="901"/>
      <c r="H562" s="792"/>
      <c r="I562" s="792"/>
      <c r="J562" s="792"/>
      <c r="K562" s="792"/>
      <c r="L562" s="792"/>
      <c r="M562" s="792"/>
      <c r="N562" s="792"/>
      <c r="O562" s="792"/>
      <c r="P562" s="792"/>
      <c r="Q562" s="792"/>
      <c r="R562" s="792"/>
      <c r="S562" s="792"/>
      <c r="T562" s="792"/>
      <c r="U562" s="792"/>
      <c r="V562" s="792"/>
      <c r="W562" s="792"/>
      <c r="X562" s="792"/>
      <c r="Y562" s="792"/>
      <c r="Z562" s="792"/>
    </row>
    <row r="563" ht="15.75" customHeight="1">
      <c r="A563" s="901"/>
      <c r="B563" s="902"/>
      <c r="C563" s="901"/>
      <c r="D563" s="901"/>
      <c r="E563" s="901"/>
      <c r="F563" s="903"/>
      <c r="G563" s="901"/>
      <c r="H563" s="792"/>
      <c r="I563" s="792"/>
      <c r="J563" s="792"/>
      <c r="K563" s="792"/>
      <c r="L563" s="792"/>
      <c r="M563" s="792"/>
      <c r="N563" s="792"/>
      <c r="O563" s="792"/>
      <c r="P563" s="792"/>
      <c r="Q563" s="792"/>
      <c r="R563" s="792"/>
      <c r="S563" s="792"/>
      <c r="T563" s="792"/>
      <c r="U563" s="792"/>
      <c r="V563" s="792"/>
      <c r="W563" s="792"/>
      <c r="X563" s="792"/>
      <c r="Y563" s="792"/>
      <c r="Z563" s="792"/>
    </row>
    <row r="564" ht="15.75" customHeight="1">
      <c r="A564" s="901"/>
      <c r="B564" s="902"/>
      <c r="C564" s="901"/>
      <c r="D564" s="901"/>
      <c r="E564" s="901"/>
      <c r="F564" s="903"/>
      <c r="G564" s="901"/>
      <c r="H564" s="792"/>
      <c r="I564" s="792"/>
      <c r="J564" s="792"/>
      <c r="K564" s="792"/>
      <c r="L564" s="792"/>
      <c r="M564" s="792"/>
      <c r="N564" s="792"/>
      <c r="O564" s="792"/>
      <c r="P564" s="792"/>
      <c r="Q564" s="792"/>
      <c r="R564" s="792"/>
      <c r="S564" s="792"/>
      <c r="T564" s="792"/>
      <c r="U564" s="792"/>
      <c r="V564" s="792"/>
      <c r="W564" s="792"/>
      <c r="X564" s="792"/>
      <c r="Y564" s="792"/>
      <c r="Z564" s="792"/>
    </row>
    <row r="565" ht="15.75" customHeight="1">
      <c r="A565" s="901"/>
      <c r="B565" s="902"/>
      <c r="C565" s="901"/>
      <c r="D565" s="901"/>
      <c r="E565" s="901"/>
      <c r="F565" s="903"/>
      <c r="G565" s="901"/>
      <c r="H565" s="792"/>
      <c r="I565" s="792"/>
      <c r="J565" s="792"/>
      <c r="K565" s="792"/>
      <c r="L565" s="792"/>
      <c r="M565" s="792"/>
      <c r="N565" s="792"/>
      <c r="O565" s="792"/>
      <c r="P565" s="792"/>
      <c r="Q565" s="792"/>
      <c r="R565" s="792"/>
      <c r="S565" s="792"/>
      <c r="T565" s="792"/>
      <c r="U565" s="792"/>
      <c r="V565" s="792"/>
      <c r="W565" s="792"/>
      <c r="X565" s="792"/>
      <c r="Y565" s="792"/>
      <c r="Z565" s="792"/>
    </row>
    <row r="566" ht="15.75" customHeight="1">
      <c r="A566" s="901"/>
      <c r="B566" s="902"/>
      <c r="C566" s="901"/>
      <c r="D566" s="901"/>
      <c r="E566" s="901"/>
      <c r="F566" s="903"/>
      <c r="G566" s="901"/>
      <c r="H566" s="792"/>
      <c r="I566" s="792"/>
      <c r="J566" s="792"/>
      <c r="K566" s="792"/>
      <c r="L566" s="792"/>
      <c r="M566" s="792"/>
      <c r="N566" s="792"/>
      <c r="O566" s="792"/>
      <c r="P566" s="792"/>
      <c r="Q566" s="792"/>
      <c r="R566" s="792"/>
      <c r="S566" s="792"/>
      <c r="T566" s="792"/>
      <c r="U566" s="792"/>
      <c r="V566" s="792"/>
      <c r="W566" s="792"/>
      <c r="X566" s="792"/>
      <c r="Y566" s="792"/>
      <c r="Z566" s="792"/>
    </row>
    <row r="567" ht="15.75" customHeight="1">
      <c r="A567" s="901"/>
      <c r="B567" s="902"/>
      <c r="C567" s="901"/>
      <c r="D567" s="901"/>
      <c r="E567" s="901"/>
      <c r="F567" s="903"/>
      <c r="G567" s="901"/>
      <c r="H567" s="792"/>
      <c r="I567" s="792"/>
      <c r="J567" s="792"/>
      <c r="K567" s="792"/>
      <c r="L567" s="792"/>
      <c r="M567" s="792"/>
      <c r="N567" s="792"/>
      <c r="O567" s="792"/>
      <c r="P567" s="792"/>
      <c r="Q567" s="792"/>
      <c r="R567" s="792"/>
      <c r="S567" s="792"/>
      <c r="T567" s="792"/>
      <c r="U567" s="792"/>
      <c r="V567" s="792"/>
      <c r="W567" s="792"/>
      <c r="X567" s="792"/>
      <c r="Y567" s="792"/>
      <c r="Z567" s="792"/>
    </row>
    <row r="568" ht="15.75" customHeight="1">
      <c r="A568" s="901"/>
      <c r="B568" s="902"/>
      <c r="C568" s="901"/>
      <c r="D568" s="901"/>
      <c r="E568" s="901"/>
      <c r="F568" s="903"/>
      <c r="G568" s="901"/>
      <c r="H568" s="792"/>
      <c r="I568" s="792"/>
      <c r="J568" s="792"/>
      <c r="K568" s="792"/>
      <c r="L568" s="792"/>
      <c r="M568" s="792"/>
      <c r="N568" s="792"/>
      <c r="O568" s="792"/>
      <c r="P568" s="792"/>
      <c r="Q568" s="792"/>
      <c r="R568" s="792"/>
      <c r="S568" s="792"/>
      <c r="T568" s="792"/>
      <c r="U568" s="792"/>
      <c r="V568" s="792"/>
      <c r="W568" s="792"/>
      <c r="X568" s="792"/>
      <c r="Y568" s="792"/>
      <c r="Z568" s="792"/>
    </row>
    <row r="569" ht="15.75" customHeight="1">
      <c r="A569" s="901"/>
      <c r="B569" s="902"/>
      <c r="C569" s="901"/>
      <c r="D569" s="901"/>
      <c r="E569" s="901"/>
      <c r="F569" s="903"/>
      <c r="G569" s="901"/>
      <c r="H569" s="792"/>
      <c r="I569" s="792"/>
      <c r="J569" s="792"/>
      <c r="K569" s="792"/>
      <c r="L569" s="792"/>
      <c r="M569" s="792"/>
      <c r="N569" s="792"/>
      <c r="O569" s="792"/>
      <c r="P569" s="792"/>
      <c r="Q569" s="792"/>
      <c r="R569" s="792"/>
      <c r="S569" s="792"/>
      <c r="T569" s="792"/>
      <c r="U569" s="792"/>
      <c r="V569" s="792"/>
      <c r="W569" s="792"/>
      <c r="X569" s="792"/>
      <c r="Y569" s="792"/>
      <c r="Z569" s="792"/>
    </row>
    <row r="570" ht="15.75" customHeight="1">
      <c r="A570" s="901"/>
      <c r="B570" s="902"/>
      <c r="C570" s="901"/>
      <c r="D570" s="901"/>
      <c r="E570" s="901"/>
      <c r="F570" s="903"/>
      <c r="G570" s="901"/>
      <c r="H570" s="792"/>
      <c r="I570" s="792"/>
      <c r="J570" s="792"/>
      <c r="K570" s="792"/>
      <c r="L570" s="792"/>
      <c r="M570" s="792"/>
      <c r="N570" s="792"/>
      <c r="O570" s="792"/>
      <c r="P570" s="792"/>
      <c r="Q570" s="792"/>
      <c r="R570" s="792"/>
      <c r="S570" s="792"/>
      <c r="T570" s="792"/>
      <c r="U570" s="792"/>
      <c r="V570" s="792"/>
      <c r="W570" s="792"/>
      <c r="X570" s="792"/>
      <c r="Y570" s="792"/>
      <c r="Z570" s="792"/>
    </row>
    <row r="571" ht="15.75" customHeight="1">
      <c r="A571" s="901"/>
      <c r="B571" s="902"/>
      <c r="C571" s="901"/>
      <c r="D571" s="901"/>
      <c r="E571" s="901"/>
      <c r="F571" s="903"/>
      <c r="G571" s="901"/>
      <c r="H571" s="792"/>
      <c r="I571" s="792"/>
      <c r="J571" s="792"/>
      <c r="K571" s="792"/>
      <c r="L571" s="792"/>
      <c r="M571" s="792"/>
      <c r="N571" s="792"/>
      <c r="O571" s="792"/>
      <c r="P571" s="792"/>
      <c r="Q571" s="792"/>
      <c r="R571" s="792"/>
      <c r="S571" s="792"/>
      <c r="T571" s="792"/>
      <c r="U571" s="792"/>
      <c r="V571" s="792"/>
      <c r="W571" s="792"/>
      <c r="X571" s="792"/>
      <c r="Y571" s="792"/>
      <c r="Z571" s="792"/>
    </row>
    <row r="572" ht="15.75" customHeight="1">
      <c r="A572" s="901"/>
      <c r="B572" s="902"/>
      <c r="C572" s="901"/>
      <c r="D572" s="901"/>
      <c r="E572" s="901"/>
      <c r="F572" s="903"/>
      <c r="G572" s="901"/>
      <c r="H572" s="792"/>
      <c r="I572" s="792"/>
      <c r="J572" s="792"/>
      <c r="K572" s="792"/>
      <c r="L572" s="792"/>
      <c r="M572" s="792"/>
      <c r="N572" s="792"/>
      <c r="O572" s="792"/>
      <c r="P572" s="792"/>
      <c r="Q572" s="792"/>
      <c r="R572" s="792"/>
      <c r="S572" s="792"/>
      <c r="T572" s="792"/>
      <c r="U572" s="792"/>
      <c r="V572" s="792"/>
      <c r="W572" s="792"/>
      <c r="X572" s="792"/>
      <c r="Y572" s="792"/>
      <c r="Z572" s="792"/>
    </row>
    <row r="573" ht="15.75" customHeight="1">
      <c r="A573" s="901"/>
      <c r="B573" s="902"/>
      <c r="C573" s="901"/>
      <c r="D573" s="901"/>
      <c r="E573" s="901"/>
      <c r="F573" s="903"/>
      <c r="G573" s="901"/>
      <c r="H573" s="792"/>
      <c r="I573" s="792"/>
      <c r="J573" s="792"/>
      <c r="K573" s="792"/>
      <c r="L573" s="792"/>
      <c r="M573" s="792"/>
      <c r="N573" s="792"/>
      <c r="O573" s="792"/>
      <c r="P573" s="792"/>
      <c r="Q573" s="792"/>
      <c r="R573" s="792"/>
      <c r="S573" s="792"/>
      <c r="T573" s="792"/>
      <c r="U573" s="792"/>
      <c r="V573" s="792"/>
      <c r="W573" s="792"/>
      <c r="X573" s="792"/>
      <c r="Y573" s="792"/>
      <c r="Z573" s="792"/>
    </row>
    <row r="574" ht="15.75" customHeight="1">
      <c r="A574" s="901"/>
      <c r="B574" s="902"/>
      <c r="C574" s="901"/>
      <c r="D574" s="901"/>
      <c r="E574" s="901"/>
      <c r="F574" s="903"/>
      <c r="G574" s="901"/>
      <c r="H574" s="792"/>
      <c r="I574" s="792"/>
      <c r="J574" s="792"/>
      <c r="K574" s="792"/>
      <c r="L574" s="792"/>
      <c r="M574" s="792"/>
      <c r="N574" s="792"/>
      <c r="O574" s="792"/>
      <c r="P574" s="792"/>
      <c r="Q574" s="792"/>
      <c r="R574" s="792"/>
      <c r="S574" s="792"/>
      <c r="T574" s="792"/>
      <c r="U574" s="792"/>
      <c r="V574" s="792"/>
      <c r="W574" s="792"/>
      <c r="X574" s="792"/>
      <c r="Y574" s="792"/>
      <c r="Z574" s="792"/>
    </row>
    <row r="575" ht="15.75" customHeight="1">
      <c r="A575" s="901"/>
      <c r="B575" s="902"/>
      <c r="C575" s="901"/>
      <c r="D575" s="901"/>
      <c r="E575" s="901"/>
      <c r="F575" s="903"/>
      <c r="G575" s="901"/>
      <c r="H575" s="792"/>
      <c r="I575" s="792"/>
      <c r="J575" s="792"/>
      <c r="K575" s="792"/>
      <c r="L575" s="792"/>
      <c r="M575" s="792"/>
      <c r="N575" s="792"/>
      <c r="O575" s="792"/>
      <c r="P575" s="792"/>
      <c r="Q575" s="792"/>
      <c r="R575" s="792"/>
      <c r="S575" s="792"/>
      <c r="T575" s="792"/>
      <c r="U575" s="792"/>
      <c r="V575" s="792"/>
      <c r="W575" s="792"/>
      <c r="X575" s="792"/>
      <c r="Y575" s="792"/>
      <c r="Z575" s="792"/>
    </row>
    <row r="576" ht="15.75" customHeight="1">
      <c r="A576" s="901"/>
      <c r="B576" s="902"/>
      <c r="C576" s="901"/>
      <c r="D576" s="901"/>
      <c r="E576" s="901"/>
      <c r="F576" s="903"/>
      <c r="G576" s="901"/>
      <c r="H576" s="792"/>
      <c r="I576" s="792"/>
      <c r="J576" s="792"/>
      <c r="K576" s="792"/>
      <c r="L576" s="792"/>
      <c r="M576" s="792"/>
      <c r="N576" s="792"/>
      <c r="O576" s="792"/>
      <c r="P576" s="792"/>
      <c r="Q576" s="792"/>
      <c r="R576" s="792"/>
      <c r="S576" s="792"/>
      <c r="T576" s="792"/>
      <c r="U576" s="792"/>
      <c r="V576" s="792"/>
      <c r="W576" s="792"/>
      <c r="X576" s="792"/>
      <c r="Y576" s="792"/>
      <c r="Z576" s="792"/>
    </row>
    <row r="577" ht="15.75" customHeight="1">
      <c r="A577" s="901"/>
      <c r="B577" s="902"/>
      <c r="C577" s="901"/>
      <c r="D577" s="901"/>
      <c r="E577" s="901"/>
      <c r="F577" s="903"/>
      <c r="G577" s="901"/>
      <c r="H577" s="792"/>
      <c r="I577" s="792"/>
      <c r="J577" s="792"/>
      <c r="K577" s="792"/>
      <c r="L577" s="792"/>
      <c r="M577" s="792"/>
      <c r="N577" s="792"/>
      <c r="O577" s="792"/>
      <c r="P577" s="792"/>
      <c r="Q577" s="792"/>
      <c r="R577" s="792"/>
      <c r="S577" s="792"/>
      <c r="T577" s="792"/>
      <c r="U577" s="792"/>
      <c r="V577" s="792"/>
      <c r="W577" s="792"/>
      <c r="X577" s="792"/>
      <c r="Y577" s="792"/>
      <c r="Z577" s="792"/>
    </row>
    <row r="578" ht="15.75" customHeight="1">
      <c r="A578" s="901"/>
      <c r="B578" s="902"/>
      <c r="C578" s="901"/>
      <c r="D578" s="901"/>
      <c r="E578" s="901"/>
      <c r="F578" s="903"/>
      <c r="G578" s="901"/>
      <c r="H578" s="792"/>
      <c r="I578" s="792"/>
      <c r="J578" s="792"/>
      <c r="K578" s="792"/>
      <c r="L578" s="792"/>
      <c r="M578" s="792"/>
      <c r="N578" s="792"/>
      <c r="O578" s="792"/>
      <c r="P578" s="792"/>
      <c r="Q578" s="792"/>
      <c r="R578" s="792"/>
      <c r="S578" s="792"/>
      <c r="T578" s="792"/>
      <c r="U578" s="792"/>
      <c r="V578" s="792"/>
      <c r="W578" s="792"/>
      <c r="X578" s="792"/>
      <c r="Y578" s="792"/>
      <c r="Z578" s="792"/>
    </row>
    <row r="579" ht="15.75" customHeight="1">
      <c r="A579" s="901"/>
      <c r="B579" s="902"/>
      <c r="C579" s="901"/>
      <c r="D579" s="901"/>
      <c r="E579" s="901"/>
      <c r="F579" s="903"/>
      <c r="G579" s="901"/>
      <c r="H579" s="792"/>
      <c r="I579" s="792"/>
      <c r="J579" s="792"/>
      <c r="K579" s="792"/>
      <c r="L579" s="792"/>
      <c r="M579" s="792"/>
      <c r="N579" s="792"/>
      <c r="O579" s="792"/>
      <c r="P579" s="792"/>
      <c r="Q579" s="792"/>
      <c r="R579" s="792"/>
      <c r="S579" s="792"/>
      <c r="T579" s="792"/>
      <c r="U579" s="792"/>
      <c r="V579" s="792"/>
      <c r="W579" s="792"/>
      <c r="X579" s="792"/>
      <c r="Y579" s="792"/>
      <c r="Z579" s="792"/>
    </row>
    <row r="580" ht="15.75" customHeight="1">
      <c r="A580" s="901"/>
      <c r="B580" s="902"/>
      <c r="C580" s="901"/>
      <c r="D580" s="901"/>
      <c r="E580" s="901"/>
      <c r="F580" s="903"/>
      <c r="G580" s="901"/>
      <c r="H580" s="792"/>
      <c r="I580" s="792"/>
      <c r="J580" s="792"/>
      <c r="K580" s="792"/>
      <c r="L580" s="792"/>
      <c r="M580" s="792"/>
      <c r="N580" s="792"/>
      <c r="O580" s="792"/>
      <c r="P580" s="792"/>
      <c r="Q580" s="792"/>
      <c r="R580" s="792"/>
      <c r="S580" s="792"/>
      <c r="T580" s="792"/>
      <c r="U580" s="792"/>
      <c r="V580" s="792"/>
      <c r="W580" s="792"/>
      <c r="X580" s="792"/>
      <c r="Y580" s="792"/>
      <c r="Z580" s="792"/>
    </row>
    <row r="581" ht="15.75" customHeight="1">
      <c r="A581" s="901"/>
      <c r="B581" s="902"/>
      <c r="C581" s="901"/>
      <c r="D581" s="901"/>
      <c r="E581" s="901"/>
      <c r="F581" s="903"/>
      <c r="G581" s="901"/>
      <c r="H581" s="792"/>
      <c r="I581" s="792"/>
      <c r="J581" s="792"/>
      <c r="K581" s="792"/>
      <c r="L581" s="792"/>
      <c r="M581" s="792"/>
      <c r="N581" s="792"/>
      <c r="O581" s="792"/>
      <c r="P581" s="792"/>
      <c r="Q581" s="792"/>
      <c r="R581" s="792"/>
      <c r="S581" s="792"/>
      <c r="T581" s="792"/>
      <c r="U581" s="792"/>
      <c r="V581" s="792"/>
      <c r="W581" s="792"/>
      <c r="X581" s="792"/>
      <c r="Y581" s="792"/>
      <c r="Z581" s="792"/>
    </row>
    <row r="582" ht="15.75" customHeight="1">
      <c r="A582" s="901"/>
      <c r="B582" s="902"/>
      <c r="C582" s="901"/>
      <c r="D582" s="901"/>
      <c r="E582" s="901"/>
      <c r="F582" s="903"/>
      <c r="G582" s="901"/>
      <c r="H582" s="792"/>
      <c r="I582" s="792"/>
      <c r="J582" s="792"/>
      <c r="K582" s="792"/>
      <c r="L582" s="792"/>
      <c r="M582" s="792"/>
      <c r="N582" s="792"/>
      <c r="O582" s="792"/>
      <c r="P582" s="792"/>
      <c r="Q582" s="792"/>
      <c r="R582" s="792"/>
      <c r="S582" s="792"/>
      <c r="T582" s="792"/>
      <c r="U582" s="792"/>
      <c r="V582" s="792"/>
      <c r="W582" s="792"/>
      <c r="X582" s="792"/>
      <c r="Y582" s="792"/>
      <c r="Z582" s="792"/>
    </row>
    <row r="583" ht="15.75" customHeight="1">
      <c r="A583" s="901"/>
      <c r="B583" s="902"/>
      <c r="C583" s="901"/>
      <c r="D583" s="901"/>
      <c r="E583" s="901"/>
      <c r="F583" s="903"/>
      <c r="G583" s="901"/>
      <c r="H583" s="792"/>
      <c r="I583" s="792"/>
      <c r="J583" s="792"/>
      <c r="K583" s="792"/>
      <c r="L583" s="792"/>
      <c r="M583" s="792"/>
      <c r="N583" s="792"/>
      <c r="O583" s="792"/>
      <c r="P583" s="792"/>
      <c r="Q583" s="792"/>
      <c r="R583" s="792"/>
      <c r="S583" s="792"/>
      <c r="T583" s="792"/>
      <c r="U583" s="792"/>
      <c r="V583" s="792"/>
      <c r="W583" s="792"/>
      <c r="X583" s="792"/>
      <c r="Y583" s="792"/>
      <c r="Z583" s="792"/>
    </row>
    <row r="584" ht="15.75" customHeight="1">
      <c r="A584" s="901"/>
      <c r="B584" s="902"/>
      <c r="C584" s="901"/>
      <c r="D584" s="901"/>
      <c r="E584" s="901"/>
      <c r="F584" s="903"/>
      <c r="G584" s="901"/>
      <c r="H584" s="792"/>
      <c r="I584" s="792"/>
      <c r="J584" s="792"/>
      <c r="K584" s="792"/>
      <c r="L584" s="792"/>
      <c r="M584" s="792"/>
      <c r="N584" s="792"/>
      <c r="O584" s="792"/>
      <c r="P584" s="792"/>
      <c r="Q584" s="792"/>
      <c r="R584" s="792"/>
      <c r="S584" s="792"/>
      <c r="T584" s="792"/>
      <c r="U584" s="792"/>
      <c r="V584" s="792"/>
      <c r="W584" s="792"/>
      <c r="X584" s="792"/>
      <c r="Y584" s="792"/>
      <c r="Z584" s="792"/>
    </row>
    <row r="585" ht="15.75" customHeight="1">
      <c r="A585" s="901"/>
      <c r="B585" s="902"/>
      <c r="C585" s="901"/>
      <c r="D585" s="901"/>
      <c r="E585" s="901"/>
      <c r="F585" s="903"/>
      <c r="G585" s="901"/>
      <c r="H585" s="792"/>
      <c r="I585" s="792"/>
      <c r="J585" s="792"/>
      <c r="K585" s="792"/>
      <c r="L585" s="792"/>
      <c r="M585" s="792"/>
      <c r="N585" s="792"/>
      <c r="O585" s="792"/>
      <c r="P585" s="792"/>
      <c r="Q585" s="792"/>
      <c r="R585" s="792"/>
      <c r="S585" s="792"/>
      <c r="T585" s="792"/>
      <c r="U585" s="792"/>
      <c r="V585" s="792"/>
      <c r="W585" s="792"/>
      <c r="X585" s="792"/>
      <c r="Y585" s="792"/>
      <c r="Z585" s="792"/>
    </row>
    <row r="586" ht="15.75" customHeight="1">
      <c r="A586" s="901"/>
      <c r="B586" s="902"/>
      <c r="C586" s="901"/>
      <c r="D586" s="901"/>
      <c r="E586" s="901"/>
      <c r="F586" s="903"/>
      <c r="G586" s="901"/>
      <c r="H586" s="792"/>
      <c r="I586" s="792"/>
      <c r="J586" s="792"/>
      <c r="K586" s="792"/>
      <c r="L586" s="792"/>
      <c r="M586" s="792"/>
      <c r="N586" s="792"/>
      <c r="O586" s="792"/>
      <c r="P586" s="792"/>
      <c r="Q586" s="792"/>
      <c r="R586" s="792"/>
      <c r="S586" s="792"/>
      <c r="T586" s="792"/>
      <c r="U586" s="792"/>
      <c r="V586" s="792"/>
      <c r="W586" s="792"/>
      <c r="X586" s="792"/>
      <c r="Y586" s="792"/>
      <c r="Z586" s="792"/>
    </row>
    <row r="587" ht="15.75" customHeight="1">
      <c r="A587" s="901"/>
      <c r="B587" s="902"/>
      <c r="C587" s="901"/>
      <c r="D587" s="901"/>
      <c r="E587" s="901"/>
      <c r="F587" s="903"/>
      <c r="G587" s="901"/>
      <c r="H587" s="792"/>
      <c r="I587" s="792"/>
      <c r="J587" s="792"/>
      <c r="K587" s="792"/>
      <c r="L587" s="792"/>
      <c r="M587" s="792"/>
      <c r="N587" s="792"/>
      <c r="O587" s="792"/>
      <c r="P587" s="792"/>
      <c r="Q587" s="792"/>
      <c r="R587" s="792"/>
      <c r="S587" s="792"/>
      <c r="T587" s="792"/>
      <c r="U587" s="792"/>
      <c r="V587" s="792"/>
      <c r="W587" s="792"/>
      <c r="X587" s="792"/>
      <c r="Y587" s="792"/>
      <c r="Z587" s="792"/>
    </row>
    <row r="588" ht="15.75" customHeight="1">
      <c r="A588" s="901"/>
      <c r="B588" s="902"/>
      <c r="C588" s="901"/>
      <c r="D588" s="901"/>
      <c r="E588" s="901"/>
      <c r="F588" s="903"/>
      <c r="G588" s="901"/>
      <c r="H588" s="792"/>
      <c r="I588" s="792"/>
      <c r="J588" s="792"/>
      <c r="K588" s="792"/>
      <c r="L588" s="792"/>
      <c r="M588" s="792"/>
      <c r="N588" s="792"/>
      <c r="O588" s="792"/>
      <c r="P588" s="792"/>
      <c r="Q588" s="792"/>
      <c r="R588" s="792"/>
      <c r="S588" s="792"/>
      <c r="T588" s="792"/>
      <c r="U588" s="792"/>
      <c r="V588" s="792"/>
      <c r="W588" s="792"/>
      <c r="X588" s="792"/>
      <c r="Y588" s="792"/>
      <c r="Z588" s="792"/>
    </row>
    <row r="589" ht="15.75" customHeight="1">
      <c r="A589" s="901"/>
      <c r="B589" s="902"/>
      <c r="C589" s="901"/>
      <c r="D589" s="901"/>
      <c r="E589" s="901"/>
      <c r="F589" s="903"/>
      <c r="G589" s="901"/>
      <c r="H589" s="792"/>
      <c r="I589" s="792"/>
      <c r="J589" s="792"/>
      <c r="K589" s="792"/>
      <c r="L589" s="792"/>
      <c r="M589" s="792"/>
      <c r="N589" s="792"/>
      <c r="O589" s="792"/>
      <c r="P589" s="792"/>
      <c r="Q589" s="792"/>
      <c r="R589" s="792"/>
      <c r="S589" s="792"/>
      <c r="T589" s="792"/>
      <c r="U589" s="792"/>
      <c r="V589" s="792"/>
      <c r="W589" s="792"/>
      <c r="X589" s="792"/>
      <c r="Y589" s="792"/>
      <c r="Z589" s="792"/>
    </row>
    <row r="590" ht="15.75" customHeight="1">
      <c r="A590" s="901"/>
      <c r="B590" s="902"/>
      <c r="C590" s="901"/>
      <c r="D590" s="901"/>
      <c r="E590" s="901"/>
      <c r="F590" s="903"/>
      <c r="G590" s="901"/>
      <c r="H590" s="792"/>
      <c r="I590" s="792"/>
      <c r="J590" s="792"/>
      <c r="K590" s="792"/>
      <c r="L590" s="792"/>
      <c r="M590" s="792"/>
      <c r="N590" s="792"/>
      <c r="O590" s="792"/>
      <c r="P590" s="792"/>
      <c r="Q590" s="792"/>
      <c r="R590" s="792"/>
      <c r="S590" s="792"/>
      <c r="T590" s="792"/>
      <c r="U590" s="792"/>
      <c r="V590" s="792"/>
      <c r="W590" s="792"/>
      <c r="X590" s="792"/>
      <c r="Y590" s="792"/>
      <c r="Z590" s="792"/>
    </row>
    <row r="591" ht="15.75" customHeight="1">
      <c r="A591" s="901"/>
      <c r="B591" s="902"/>
      <c r="C591" s="901"/>
      <c r="D591" s="901"/>
      <c r="E591" s="901"/>
      <c r="F591" s="903"/>
      <c r="G591" s="901"/>
      <c r="H591" s="792"/>
      <c r="I591" s="792"/>
      <c r="J591" s="792"/>
      <c r="K591" s="792"/>
      <c r="L591" s="792"/>
      <c r="M591" s="792"/>
      <c r="N591" s="792"/>
      <c r="O591" s="792"/>
      <c r="P591" s="792"/>
      <c r="Q591" s="792"/>
      <c r="R591" s="792"/>
      <c r="S591" s="792"/>
      <c r="T591" s="792"/>
      <c r="U591" s="792"/>
      <c r="V591" s="792"/>
      <c r="W591" s="792"/>
      <c r="X591" s="792"/>
      <c r="Y591" s="792"/>
      <c r="Z591" s="792"/>
    </row>
    <row r="592" ht="15.75" customHeight="1">
      <c r="A592" s="901"/>
      <c r="B592" s="902"/>
      <c r="C592" s="901"/>
      <c r="D592" s="901"/>
      <c r="E592" s="901"/>
      <c r="F592" s="903"/>
      <c r="G592" s="901"/>
      <c r="H592" s="792"/>
      <c r="I592" s="792"/>
      <c r="J592" s="792"/>
      <c r="K592" s="792"/>
      <c r="L592" s="792"/>
      <c r="M592" s="792"/>
      <c r="N592" s="792"/>
      <c r="O592" s="792"/>
      <c r="P592" s="792"/>
      <c r="Q592" s="792"/>
      <c r="R592" s="792"/>
      <c r="S592" s="792"/>
      <c r="T592" s="792"/>
      <c r="U592" s="792"/>
      <c r="V592" s="792"/>
      <c r="W592" s="792"/>
      <c r="X592" s="792"/>
      <c r="Y592" s="792"/>
      <c r="Z592" s="792"/>
    </row>
    <row r="593" ht="15.75" customHeight="1">
      <c r="A593" s="901"/>
      <c r="B593" s="902"/>
      <c r="C593" s="901"/>
      <c r="D593" s="901"/>
      <c r="E593" s="901"/>
      <c r="F593" s="903"/>
      <c r="G593" s="901"/>
      <c r="H593" s="792"/>
      <c r="I593" s="792"/>
      <c r="J593" s="792"/>
      <c r="K593" s="792"/>
      <c r="L593" s="792"/>
      <c r="M593" s="792"/>
      <c r="N593" s="792"/>
      <c r="O593" s="792"/>
      <c r="P593" s="792"/>
      <c r="Q593" s="792"/>
      <c r="R593" s="792"/>
      <c r="S593" s="792"/>
      <c r="T593" s="792"/>
      <c r="U593" s="792"/>
      <c r="V593" s="792"/>
      <c r="W593" s="792"/>
      <c r="X593" s="792"/>
      <c r="Y593" s="792"/>
      <c r="Z593" s="792"/>
    </row>
    <row r="594" ht="15.75" customHeight="1">
      <c r="A594" s="901"/>
      <c r="B594" s="902"/>
      <c r="C594" s="901"/>
      <c r="D594" s="901"/>
      <c r="E594" s="901"/>
      <c r="F594" s="903"/>
      <c r="G594" s="901"/>
      <c r="H594" s="792"/>
      <c r="I594" s="792"/>
      <c r="J594" s="792"/>
      <c r="K594" s="792"/>
      <c r="L594" s="792"/>
      <c r="M594" s="792"/>
      <c r="N594" s="792"/>
      <c r="O594" s="792"/>
      <c r="P594" s="792"/>
      <c r="Q594" s="792"/>
      <c r="R594" s="792"/>
      <c r="S594" s="792"/>
      <c r="T594" s="792"/>
      <c r="U594" s="792"/>
      <c r="V594" s="792"/>
      <c r="W594" s="792"/>
      <c r="X594" s="792"/>
      <c r="Y594" s="792"/>
      <c r="Z594" s="792"/>
    </row>
    <row r="595" ht="15.75" customHeight="1">
      <c r="A595" s="901"/>
      <c r="B595" s="902"/>
      <c r="C595" s="901"/>
      <c r="D595" s="901"/>
      <c r="E595" s="901"/>
      <c r="F595" s="903"/>
      <c r="G595" s="901"/>
      <c r="H595" s="792"/>
      <c r="I595" s="792"/>
      <c r="J595" s="792"/>
      <c r="K595" s="792"/>
      <c r="L595" s="792"/>
      <c r="M595" s="792"/>
      <c r="N595" s="792"/>
      <c r="O595" s="792"/>
      <c r="P595" s="792"/>
      <c r="Q595" s="792"/>
      <c r="R595" s="792"/>
      <c r="S595" s="792"/>
      <c r="T595" s="792"/>
      <c r="U595" s="792"/>
      <c r="V595" s="792"/>
      <c r="W595" s="792"/>
      <c r="X595" s="792"/>
      <c r="Y595" s="792"/>
      <c r="Z595" s="792"/>
    </row>
    <row r="596" ht="15.75" customHeight="1">
      <c r="A596" s="901"/>
      <c r="B596" s="902"/>
      <c r="C596" s="901"/>
      <c r="D596" s="901"/>
      <c r="E596" s="901"/>
      <c r="F596" s="903"/>
      <c r="G596" s="901"/>
      <c r="H596" s="792"/>
      <c r="I596" s="792"/>
      <c r="J596" s="792"/>
      <c r="K596" s="792"/>
      <c r="L596" s="792"/>
      <c r="M596" s="792"/>
      <c r="N596" s="792"/>
      <c r="O596" s="792"/>
      <c r="P596" s="792"/>
      <c r="Q596" s="792"/>
      <c r="R596" s="792"/>
      <c r="S596" s="792"/>
      <c r="T596" s="792"/>
      <c r="U596" s="792"/>
      <c r="V596" s="792"/>
      <c r="W596" s="792"/>
      <c r="X596" s="792"/>
      <c r="Y596" s="792"/>
      <c r="Z596" s="792"/>
    </row>
    <row r="597" ht="15.75" customHeight="1">
      <c r="A597" s="901"/>
      <c r="B597" s="902"/>
      <c r="C597" s="901"/>
      <c r="D597" s="901"/>
      <c r="E597" s="901"/>
      <c r="F597" s="903"/>
      <c r="G597" s="901"/>
      <c r="H597" s="792"/>
      <c r="I597" s="792"/>
      <c r="J597" s="792"/>
      <c r="K597" s="792"/>
      <c r="L597" s="792"/>
      <c r="M597" s="792"/>
      <c r="N597" s="792"/>
      <c r="O597" s="792"/>
      <c r="P597" s="792"/>
      <c r="Q597" s="792"/>
      <c r="R597" s="792"/>
      <c r="S597" s="792"/>
      <c r="T597" s="792"/>
      <c r="U597" s="792"/>
      <c r="V597" s="792"/>
      <c r="W597" s="792"/>
      <c r="X597" s="792"/>
      <c r="Y597" s="792"/>
      <c r="Z597" s="792"/>
    </row>
    <row r="598" ht="15.75" customHeight="1">
      <c r="A598" s="901"/>
      <c r="B598" s="902"/>
      <c r="C598" s="901"/>
      <c r="D598" s="901"/>
      <c r="E598" s="901"/>
      <c r="F598" s="903"/>
      <c r="G598" s="901"/>
      <c r="H598" s="792"/>
      <c r="I598" s="792"/>
      <c r="J598" s="792"/>
      <c r="K598" s="792"/>
      <c r="L598" s="792"/>
      <c r="M598" s="792"/>
      <c r="N598" s="792"/>
      <c r="O598" s="792"/>
      <c r="P598" s="792"/>
      <c r="Q598" s="792"/>
      <c r="R598" s="792"/>
      <c r="S598" s="792"/>
      <c r="T598" s="792"/>
      <c r="U598" s="792"/>
      <c r="V598" s="792"/>
      <c r="W598" s="792"/>
      <c r="X598" s="792"/>
      <c r="Y598" s="792"/>
      <c r="Z598" s="792"/>
    </row>
    <row r="599" ht="15.75" customHeight="1">
      <c r="A599" s="901"/>
      <c r="B599" s="902"/>
      <c r="C599" s="901"/>
      <c r="D599" s="901"/>
      <c r="E599" s="901"/>
      <c r="F599" s="903"/>
      <c r="G599" s="901"/>
      <c r="H599" s="792"/>
      <c r="I599" s="792"/>
      <c r="J599" s="792"/>
      <c r="K599" s="792"/>
      <c r="L599" s="792"/>
      <c r="M599" s="792"/>
      <c r="N599" s="792"/>
      <c r="O599" s="792"/>
      <c r="P599" s="792"/>
      <c r="Q599" s="792"/>
      <c r="R599" s="792"/>
      <c r="S599" s="792"/>
      <c r="T599" s="792"/>
      <c r="U599" s="792"/>
      <c r="V599" s="792"/>
      <c r="W599" s="792"/>
      <c r="X599" s="792"/>
      <c r="Y599" s="792"/>
      <c r="Z599" s="792"/>
    </row>
    <row r="600" ht="15.75" customHeight="1">
      <c r="A600" s="901"/>
      <c r="B600" s="902"/>
      <c r="C600" s="901"/>
      <c r="D600" s="901"/>
      <c r="E600" s="901"/>
      <c r="F600" s="903"/>
      <c r="G600" s="901"/>
      <c r="H600" s="792"/>
      <c r="I600" s="792"/>
      <c r="J600" s="792"/>
      <c r="K600" s="792"/>
      <c r="L600" s="792"/>
      <c r="M600" s="792"/>
      <c r="N600" s="792"/>
      <c r="O600" s="792"/>
      <c r="P600" s="792"/>
      <c r="Q600" s="792"/>
      <c r="R600" s="792"/>
      <c r="S600" s="792"/>
      <c r="T600" s="792"/>
      <c r="U600" s="792"/>
      <c r="V600" s="792"/>
      <c r="W600" s="792"/>
      <c r="X600" s="792"/>
      <c r="Y600" s="792"/>
      <c r="Z600" s="792"/>
    </row>
    <row r="601" ht="15.75" customHeight="1">
      <c r="A601" s="901"/>
      <c r="B601" s="902"/>
      <c r="C601" s="901"/>
      <c r="D601" s="901"/>
      <c r="E601" s="901"/>
      <c r="F601" s="903"/>
      <c r="G601" s="901"/>
      <c r="H601" s="792"/>
      <c r="I601" s="792"/>
      <c r="J601" s="792"/>
      <c r="K601" s="792"/>
      <c r="L601" s="792"/>
      <c r="M601" s="792"/>
      <c r="N601" s="792"/>
      <c r="O601" s="792"/>
      <c r="P601" s="792"/>
      <c r="Q601" s="792"/>
      <c r="R601" s="792"/>
      <c r="S601" s="792"/>
      <c r="T601" s="792"/>
      <c r="U601" s="792"/>
      <c r="V601" s="792"/>
      <c r="W601" s="792"/>
      <c r="X601" s="792"/>
      <c r="Y601" s="792"/>
      <c r="Z601" s="792"/>
    </row>
    <row r="602" ht="15.75" customHeight="1">
      <c r="A602" s="901"/>
      <c r="B602" s="902"/>
      <c r="C602" s="901"/>
      <c r="D602" s="901"/>
      <c r="E602" s="901"/>
      <c r="F602" s="903"/>
      <c r="G602" s="901"/>
      <c r="H602" s="792"/>
      <c r="I602" s="792"/>
      <c r="J602" s="792"/>
      <c r="K602" s="792"/>
      <c r="L602" s="792"/>
      <c r="M602" s="792"/>
      <c r="N602" s="792"/>
      <c r="O602" s="792"/>
      <c r="P602" s="792"/>
      <c r="Q602" s="792"/>
      <c r="R602" s="792"/>
      <c r="S602" s="792"/>
      <c r="T602" s="792"/>
      <c r="U602" s="792"/>
      <c r="V602" s="792"/>
      <c r="W602" s="792"/>
      <c r="X602" s="792"/>
      <c r="Y602" s="792"/>
      <c r="Z602" s="792"/>
    </row>
    <row r="603" ht="15.75" customHeight="1">
      <c r="A603" s="901"/>
      <c r="B603" s="902"/>
      <c r="C603" s="901"/>
      <c r="D603" s="901"/>
      <c r="E603" s="901"/>
      <c r="F603" s="903"/>
      <c r="G603" s="901"/>
      <c r="H603" s="792"/>
      <c r="I603" s="792"/>
      <c r="J603" s="792"/>
      <c r="K603" s="792"/>
      <c r="L603" s="792"/>
      <c r="M603" s="792"/>
      <c r="N603" s="792"/>
      <c r="O603" s="792"/>
      <c r="P603" s="792"/>
      <c r="Q603" s="792"/>
      <c r="R603" s="792"/>
      <c r="S603" s="792"/>
      <c r="T603" s="792"/>
      <c r="U603" s="792"/>
      <c r="V603" s="792"/>
      <c r="W603" s="792"/>
      <c r="X603" s="792"/>
      <c r="Y603" s="792"/>
      <c r="Z603" s="792"/>
    </row>
    <row r="604" ht="15.75" customHeight="1">
      <c r="A604" s="901"/>
      <c r="B604" s="902"/>
      <c r="C604" s="901"/>
      <c r="D604" s="901"/>
      <c r="E604" s="901"/>
      <c r="F604" s="903"/>
      <c r="G604" s="901"/>
      <c r="H604" s="792"/>
      <c r="I604" s="792"/>
      <c r="J604" s="792"/>
      <c r="K604" s="792"/>
      <c r="L604" s="792"/>
      <c r="M604" s="792"/>
      <c r="N604" s="792"/>
      <c r="O604" s="792"/>
      <c r="P604" s="792"/>
      <c r="Q604" s="792"/>
      <c r="R604" s="792"/>
      <c r="S604" s="792"/>
      <c r="T604" s="792"/>
      <c r="U604" s="792"/>
      <c r="V604" s="792"/>
      <c r="W604" s="792"/>
      <c r="X604" s="792"/>
      <c r="Y604" s="792"/>
      <c r="Z604" s="792"/>
    </row>
    <row r="605" ht="15.75" customHeight="1">
      <c r="A605" s="901"/>
      <c r="B605" s="902"/>
      <c r="C605" s="901"/>
      <c r="D605" s="901"/>
      <c r="E605" s="901"/>
      <c r="F605" s="903"/>
      <c r="G605" s="901"/>
      <c r="H605" s="792"/>
      <c r="I605" s="792"/>
      <c r="J605" s="792"/>
      <c r="K605" s="792"/>
      <c r="L605" s="792"/>
      <c r="M605" s="792"/>
      <c r="N605" s="792"/>
      <c r="O605" s="792"/>
      <c r="P605" s="792"/>
      <c r="Q605" s="792"/>
      <c r="R605" s="792"/>
      <c r="S605" s="792"/>
      <c r="T605" s="792"/>
      <c r="U605" s="792"/>
      <c r="V605" s="792"/>
      <c r="W605" s="792"/>
      <c r="X605" s="792"/>
      <c r="Y605" s="792"/>
      <c r="Z605" s="792"/>
    </row>
    <row r="606" ht="15.75" customHeight="1">
      <c r="A606" s="901"/>
      <c r="B606" s="902"/>
      <c r="C606" s="901"/>
      <c r="D606" s="901"/>
      <c r="E606" s="901"/>
      <c r="F606" s="903"/>
      <c r="G606" s="901"/>
      <c r="H606" s="792"/>
      <c r="I606" s="792"/>
      <c r="J606" s="792"/>
      <c r="K606" s="792"/>
      <c r="L606" s="792"/>
      <c r="M606" s="792"/>
      <c r="N606" s="792"/>
      <c r="O606" s="792"/>
      <c r="P606" s="792"/>
      <c r="Q606" s="792"/>
      <c r="R606" s="792"/>
      <c r="S606" s="792"/>
      <c r="T606" s="792"/>
      <c r="U606" s="792"/>
      <c r="V606" s="792"/>
      <c r="W606" s="792"/>
      <c r="X606" s="792"/>
      <c r="Y606" s="792"/>
      <c r="Z606" s="792"/>
    </row>
    <row r="607" ht="15.75" customHeight="1">
      <c r="A607" s="901"/>
      <c r="B607" s="902"/>
      <c r="C607" s="901"/>
      <c r="D607" s="901"/>
      <c r="E607" s="901"/>
      <c r="F607" s="903"/>
      <c r="G607" s="901"/>
      <c r="H607" s="792"/>
      <c r="I607" s="792"/>
      <c r="J607" s="792"/>
      <c r="K607" s="792"/>
      <c r="L607" s="792"/>
      <c r="M607" s="792"/>
      <c r="N607" s="792"/>
      <c r="O607" s="792"/>
      <c r="P607" s="792"/>
      <c r="Q607" s="792"/>
      <c r="R607" s="792"/>
      <c r="S607" s="792"/>
      <c r="T607" s="792"/>
      <c r="U607" s="792"/>
      <c r="V607" s="792"/>
      <c r="W607" s="792"/>
      <c r="X607" s="792"/>
      <c r="Y607" s="792"/>
      <c r="Z607" s="792"/>
    </row>
    <row r="608" ht="15.75" customHeight="1">
      <c r="A608" s="901"/>
      <c r="B608" s="902"/>
      <c r="C608" s="901"/>
      <c r="D608" s="901"/>
      <c r="E608" s="901"/>
      <c r="F608" s="903"/>
      <c r="G608" s="901"/>
      <c r="H608" s="792"/>
      <c r="I608" s="792"/>
      <c r="J608" s="792"/>
      <c r="K608" s="792"/>
      <c r="L608" s="792"/>
      <c r="M608" s="792"/>
      <c r="N608" s="792"/>
      <c r="O608" s="792"/>
      <c r="P608" s="792"/>
      <c r="Q608" s="792"/>
      <c r="R608" s="792"/>
      <c r="S608" s="792"/>
      <c r="T608" s="792"/>
      <c r="U608" s="792"/>
      <c r="V608" s="792"/>
      <c r="W608" s="792"/>
      <c r="X608" s="792"/>
      <c r="Y608" s="792"/>
      <c r="Z608" s="792"/>
    </row>
    <row r="609" ht="15.75" customHeight="1">
      <c r="A609" s="901"/>
      <c r="B609" s="902"/>
      <c r="C609" s="901"/>
      <c r="D609" s="901"/>
      <c r="E609" s="901"/>
      <c r="F609" s="903"/>
      <c r="G609" s="901"/>
      <c r="H609" s="792"/>
      <c r="I609" s="792"/>
      <c r="J609" s="792"/>
      <c r="K609" s="792"/>
      <c r="L609" s="792"/>
      <c r="M609" s="792"/>
      <c r="N609" s="792"/>
      <c r="O609" s="792"/>
      <c r="P609" s="792"/>
      <c r="Q609" s="792"/>
      <c r="R609" s="792"/>
      <c r="S609" s="792"/>
      <c r="T609" s="792"/>
      <c r="U609" s="792"/>
      <c r="V609" s="792"/>
      <c r="W609" s="792"/>
      <c r="X609" s="792"/>
      <c r="Y609" s="792"/>
      <c r="Z609" s="792"/>
    </row>
    <row r="610" ht="15.75" customHeight="1">
      <c r="A610" s="901"/>
      <c r="B610" s="902"/>
      <c r="C610" s="901"/>
      <c r="D610" s="901"/>
      <c r="E610" s="901"/>
      <c r="F610" s="903"/>
      <c r="G610" s="901"/>
      <c r="H610" s="792"/>
      <c r="I610" s="792"/>
      <c r="J610" s="792"/>
      <c r="K610" s="792"/>
      <c r="L610" s="792"/>
      <c r="M610" s="792"/>
      <c r="N610" s="792"/>
      <c r="O610" s="792"/>
      <c r="P610" s="792"/>
      <c r="Q610" s="792"/>
      <c r="R610" s="792"/>
      <c r="S610" s="792"/>
      <c r="T610" s="792"/>
      <c r="U610" s="792"/>
      <c r="V610" s="792"/>
      <c r="W610" s="792"/>
      <c r="X610" s="792"/>
      <c r="Y610" s="792"/>
      <c r="Z610" s="792"/>
    </row>
    <row r="611" ht="15.75" customHeight="1">
      <c r="A611" s="901"/>
      <c r="B611" s="902"/>
      <c r="C611" s="901"/>
      <c r="D611" s="901"/>
      <c r="E611" s="901"/>
      <c r="F611" s="903"/>
      <c r="G611" s="901"/>
      <c r="H611" s="792"/>
      <c r="I611" s="792"/>
      <c r="J611" s="792"/>
      <c r="K611" s="792"/>
      <c r="L611" s="792"/>
      <c r="M611" s="792"/>
      <c r="N611" s="792"/>
      <c r="O611" s="792"/>
      <c r="P611" s="792"/>
      <c r="Q611" s="792"/>
      <c r="R611" s="792"/>
      <c r="S611" s="792"/>
      <c r="T611" s="792"/>
      <c r="U611" s="792"/>
      <c r="V611" s="792"/>
      <c r="W611" s="792"/>
      <c r="X611" s="792"/>
      <c r="Y611" s="792"/>
      <c r="Z611" s="792"/>
    </row>
    <row r="612" ht="15.75" customHeight="1">
      <c r="A612" s="901"/>
      <c r="B612" s="902"/>
      <c r="C612" s="901"/>
      <c r="D612" s="901"/>
      <c r="E612" s="901"/>
      <c r="F612" s="903"/>
      <c r="G612" s="901"/>
      <c r="H612" s="792"/>
      <c r="I612" s="792"/>
      <c r="J612" s="792"/>
      <c r="K612" s="792"/>
      <c r="L612" s="792"/>
      <c r="M612" s="792"/>
      <c r="N612" s="792"/>
      <c r="O612" s="792"/>
      <c r="P612" s="792"/>
      <c r="Q612" s="792"/>
      <c r="R612" s="792"/>
      <c r="S612" s="792"/>
      <c r="T612" s="792"/>
      <c r="U612" s="792"/>
      <c r="V612" s="792"/>
      <c r="W612" s="792"/>
      <c r="X612" s="792"/>
      <c r="Y612" s="792"/>
      <c r="Z612" s="792"/>
    </row>
    <row r="613" ht="15.75" customHeight="1">
      <c r="A613" s="901"/>
      <c r="B613" s="902"/>
      <c r="C613" s="901"/>
      <c r="D613" s="901"/>
      <c r="E613" s="901"/>
      <c r="F613" s="903"/>
      <c r="G613" s="901"/>
      <c r="H613" s="792"/>
      <c r="I613" s="792"/>
      <c r="J613" s="792"/>
      <c r="K613" s="792"/>
      <c r="L613" s="792"/>
      <c r="M613" s="792"/>
      <c r="N613" s="792"/>
      <c r="O613" s="792"/>
      <c r="P613" s="792"/>
      <c r="Q613" s="792"/>
      <c r="R613" s="792"/>
      <c r="S613" s="792"/>
      <c r="T613" s="792"/>
      <c r="U613" s="792"/>
      <c r="V613" s="792"/>
      <c r="W613" s="792"/>
      <c r="X613" s="792"/>
      <c r="Y613" s="792"/>
      <c r="Z613" s="792"/>
    </row>
    <row r="614" ht="15.75" customHeight="1">
      <c r="A614" s="901"/>
      <c r="B614" s="902"/>
      <c r="C614" s="901"/>
      <c r="D614" s="901"/>
      <c r="E614" s="901"/>
      <c r="F614" s="903"/>
      <c r="G614" s="901"/>
      <c r="H614" s="792"/>
      <c r="I614" s="792"/>
      <c r="J614" s="792"/>
      <c r="K614" s="792"/>
      <c r="L614" s="792"/>
      <c r="M614" s="792"/>
      <c r="N614" s="792"/>
      <c r="O614" s="792"/>
      <c r="P614" s="792"/>
      <c r="Q614" s="792"/>
      <c r="R614" s="792"/>
      <c r="S614" s="792"/>
      <c r="T614" s="792"/>
      <c r="U614" s="792"/>
      <c r="V614" s="792"/>
      <c r="W614" s="792"/>
      <c r="X614" s="792"/>
      <c r="Y614" s="792"/>
      <c r="Z614" s="792"/>
    </row>
    <row r="615" ht="15.75" customHeight="1">
      <c r="A615" s="901"/>
      <c r="B615" s="902"/>
      <c r="C615" s="901"/>
      <c r="D615" s="901"/>
      <c r="E615" s="901"/>
      <c r="F615" s="903"/>
      <c r="G615" s="901"/>
      <c r="H615" s="792"/>
      <c r="I615" s="792"/>
      <c r="J615" s="792"/>
      <c r="K615" s="792"/>
      <c r="L615" s="792"/>
      <c r="M615" s="792"/>
      <c r="N615" s="792"/>
      <c r="O615" s="792"/>
      <c r="P615" s="792"/>
      <c r="Q615" s="792"/>
      <c r="R615" s="792"/>
      <c r="S615" s="792"/>
      <c r="T615" s="792"/>
      <c r="U615" s="792"/>
      <c r="V615" s="792"/>
      <c r="W615" s="792"/>
      <c r="X615" s="792"/>
      <c r="Y615" s="792"/>
      <c r="Z615" s="792"/>
    </row>
    <row r="616" ht="15.75" customHeight="1">
      <c r="A616" s="901"/>
      <c r="B616" s="902"/>
      <c r="C616" s="901"/>
      <c r="D616" s="901"/>
      <c r="E616" s="901"/>
      <c r="F616" s="903"/>
      <c r="G616" s="901"/>
      <c r="H616" s="792"/>
      <c r="I616" s="792"/>
      <c r="J616" s="792"/>
      <c r="K616" s="792"/>
      <c r="L616" s="792"/>
      <c r="M616" s="792"/>
      <c r="N616" s="792"/>
      <c r="O616" s="792"/>
      <c r="P616" s="792"/>
      <c r="Q616" s="792"/>
      <c r="R616" s="792"/>
      <c r="S616" s="792"/>
      <c r="T616" s="792"/>
      <c r="U616" s="792"/>
      <c r="V616" s="792"/>
      <c r="W616" s="792"/>
      <c r="X616" s="792"/>
      <c r="Y616" s="792"/>
      <c r="Z616" s="792"/>
    </row>
    <row r="617" ht="15.75" customHeight="1">
      <c r="A617" s="901"/>
      <c r="B617" s="902"/>
      <c r="C617" s="901"/>
      <c r="D617" s="901"/>
      <c r="E617" s="901"/>
      <c r="F617" s="903"/>
      <c r="G617" s="901"/>
      <c r="H617" s="792"/>
      <c r="I617" s="792"/>
      <c r="J617" s="792"/>
      <c r="K617" s="792"/>
      <c r="L617" s="792"/>
      <c r="M617" s="792"/>
      <c r="N617" s="792"/>
      <c r="O617" s="792"/>
      <c r="P617" s="792"/>
      <c r="Q617" s="792"/>
      <c r="R617" s="792"/>
      <c r="S617" s="792"/>
      <c r="T617" s="792"/>
      <c r="U617" s="792"/>
      <c r="V617" s="792"/>
      <c r="W617" s="792"/>
      <c r="X617" s="792"/>
      <c r="Y617" s="792"/>
      <c r="Z617" s="792"/>
    </row>
    <row r="618" ht="15.75" customHeight="1">
      <c r="A618" s="901"/>
      <c r="B618" s="902"/>
      <c r="C618" s="901"/>
      <c r="D618" s="901"/>
      <c r="E618" s="901"/>
      <c r="F618" s="903"/>
      <c r="G618" s="901"/>
      <c r="H618" s="792"/>
      <c r="I618" s="792"/>
      <c r="J618" s="792"/>
      <c r="K618" s="792"/>
      <c r="L618" s="792"/>
      <c r="M618" s="792"/>
      <c r="N618" s="792"/>
      <c r="O618" s="792"/>
      <c r="P618" s="792"/>
      <c r="Q618" s="792"/>
      <c r="R618" s="792"/>
      <c r="S618" s="792"/>
      <c r="T618" s="792"/>
      <c r="U618" s="792"/>
      <c r="V618" s="792"/>
      <c r="W618" s="792"/>
      <c r="X618" s="792"/>
      <c r="Y618" s="792"/>
      <c r="Z618" s="792"/>
    </row>
    <row r="619" ht="15.75" customHeight="1">
      <c r="A619" s="901"/>
      <c r="B619" s="902"/>
      <c r="C619" s="901"/>
      <c r="D619" s="901"/>
      <c r="E619" s="901"/>
      <c r="F619" s="903"/>
      <c r="G619" s="901"/>
      <c r="H619" s="792"/>
      <c r="I619" s="792"/>
      <c r="J619" s="792"/>
      <c r="K619" s="792"/>
      <c r="L619" s="792"/>
      <c r="M619" s="792"/>
      <c r="N619" s="792"/>
      <c r="O619" s="792"/>
      <c r="P619" s="792"/>
      <c r="Q619" s="792"/>
      <c r="R619" s="792"/>
      <c r="S619" s="792"/>
      <c r="T619" s="792"/>
      <c r="U619" s="792"/>
      <c r="V619" s="792"/>
      <c r="W619" s="792"/>
      <c r="X619" s="792"/>
      <c r="Y619" s="792"/>
      <c r="Z619" s="792"/>
    </row>
    <row r="620" ht="15.75" customHeight="1">
      <c r="A620" s="901"/>
      <c r="B620" s="902"/>
      <c r="C620" s="901"/>
      <c r="D620" s="901"/>
      <c r="E620" s="901"/>
      <c r="F620" s="903"/>
      <c r="G620" s="901"/>
      <c r="H620" s="792"/>
      <c r="I620" s="792"/>
      <c r="J620" s="792"/>
      <c r="K620" s="792"/>
      <c r="L620" s="792"/>
      <c r="M620" s="792"/>
      <c r="N620" s="792"/>
      <c r="O620" s="792"/>
      <c r="P620" s="792"/>
      <c r="Q620" s="792"/>
      <c r="R620" s="792"/>
      <c r="S620" s="792"/>
      <c r="T620" s="792"/>
      <c r="U620" s="792"/>
      <c r="V620" s="792"/>
      <c r="W620" s="792"/>
      <c r="X620" s="792"/>
      <c r="Y620" s="792"/>
      <c r="Z620" s="792"/>
    </row>
    <row r="621" ht="15.75" customHeight="1">
      <c r="A621" s="901"/>
      <c r="B621" s="902"/>
      <c r="C621" s="901"/>
      <c r="D621" s="901"/>
      <c r="E621" s="901"/>
      <c r="F621" s="903"/>
      <c r="G621" s="901"/>
      <c r="H621" s="792"/>
      <c r="I621" s="792"/>
      <c r="J621" s="792"/>
      <c r="K621" s="792"/>
      <c r="L621" s="792"/>
      <c r="M621" s="792"/>
      <c r="N621" s="792"/>
      <c r="O621" s="792"/>
      <c r="P621" s="792"/>
      <c r="Q621" s="792"/>
      <c r="R621" s="792"/>
      <c r="S621" s="792"/>
      <c r="T621" s="792"/>
      <c r="U621" s="792"/>
      <c r="V621" s="792"/>
      <c r="W621" s="792"/>
      <c r="X621" s="792"/>
      <c r="Y621" s="792"/>
      <c r="Z621" s="792"/>
    </row>
    <row r="622" ht="15.75" customHeight="1">
      <c r="A622" s="901"/>
      <c r="B622" s="902"/>
      <c r="C622" s="901"/>
      <c r="D622" s="901"/>
      <c r="E622" s="901"/>
      <c r="F622" s="903"/>
      <c r="G622" s="901"/>
      <c r="H622" s="792"/>
      <c r="I622" s="792"/>
      <c r="J622" s="792"/>
      <c r="K622" s="792"/>
      <c r="L622" s="792"/>
      <c r="M622" s="792"/>
      <c r="N622" s="792"/>
      <c r="O622" s="792"/>
      <c r="P622" s="792"/>
      <c r="Q622" s="792"/>
      <c r="R622" s="792"/>
      <c r="S622" s="792"/>
      <c r="T622" s="792"/>
      <c r="U622" s="792"/>
      <c r="V622" s="792"/>
      <c r="W622" s="792"/>
      <c r="X622" s="792"/>
      <c r="Y622" s="792"/>
      <c r="Z622" s="792"/>
    </row>
    <row r="623" ht="15.75" customHeight="1">
      <c r="A623" s="901"/>
      <c r="B623" s="902"/>
      <c r="C623" s="901"/>
      <c r="D623" s="901"/>
      <c r="E623" s="901"/>
      <c r="F623" s="903"/>
      <c r="G623" s="901"/>
      <c r="H623" s="792"/>
      <c r="I623" s="792"/>
      <c r="J623" s="792"/>
      <c r="K623" s="792"/>
      <c r="L623" s="792"/>
      <c r="M623" s="792"/>
      <c r="N623" s="792"/>
      <c r="O623" s="792"/>
      <c r="P623" s="792"/>
      <c r="Q623" s="792"/>
      <c r="R623" s="792"/>
      <c r="S623" s="792"/>
      <c r="T623" s="792"/>
      <c r="U623" s="792"/>
      <c r="V623" s="792"/>
      <c r="W623" s="792"/>
      <c r="X623" s="792"/>
      <c r="Y623" s="792"/>
      <c r="Z623" s="792"/>
    </row>
    <row r="624" ht="15.75" customHeight="1">
      <c r="A624" s="901"/>
      <c r="B624" s="902"/>
      <c r="C624" s="901"/>
      <c r="D624" s="901"/>
      <c r="E624" s="901"/>
      <c r="F624" s="903"/>
      <c r="G624" s="901"/>
      <c r="H624" s="792"/>
      <c r="I624" s="792"/>
      <c r="J624" s="792"/>
      <c r="K624" s="792"/>
      <c r="L624" s="792"/>
      <c r="M624" s="792"/>
      <c r="N624" s="792"/>
      <c r="O624" s="792"/>
      <c r="P624" s="792"/>
      <c r="Q624" s="792"/>
      <c r="R624" s="792"/>
      <c r="S624" s="792"/>
      <c r="T624" s="792"/>
      <c r="U624" s="792"/>
      <c r="V624" s="792"/>
      <c r="W624" s="792"/>
      <c r="X624" s="792"/>
      <c r="Y624" s="792"/>
      <c r="Z624" s="792"/>
    </row>
    <row r="625" ht="15.75" customHeight="1">
      <c r="A625" s="901"/>
      <c r="B625" s="902"/>
      <c r="C625" s="901"/>
      <c r="D625" s="901"/>
      <c r="E625" s="901"/>
      <c r="F625" s="903"/>
      <c r="G625" s="901"/>
      <c r="H625" s="792"/>
      <c r="I625" s="792"/>
      <c r="J625" s="792"/>
      <c r="K625" s="792"/>
      <c r="L625" s="792"/>
      <c r="M625" s="792"/>
      <c r="N625" s="792"/>
      <c r="O625" s="792"/>
      <c r="P625" s="792"/>
      <c r="Q625" s="792"/>
      <c r="R625" s="792"/>
      <c r="S625" s="792"/>
      <c r="T625" s="792"/>
      <c r="U625" s="792"/>
      <c r="V625" s="792"/>
      <c r="W625" s="792"/>
      <c r="X625" s="792"/>
      <c r="Y625" s="792"/>
      <c r="Z625" s="792"/>
    </row>
    <row r="626" ht="15.75" customHeight="1">
      <c r="A626" s="901"/>
      <c r="B626" s="902"/>
      <c r="C626" s="901"/>
      <c r="D626" s="901"/>
      <c r="E626" s="901"/>
      <c r="F626" s="903"/>
      <c r="G626" s="901"/>
      <c r="H626" s="792"/>
      <c r="I626" s="792"/>
      <c r="J626" s="792"/>
      <c r="K626" s="792"/>
      <c r="L626" s="792"/>
      <c r="M626" s="792"/>
      <c r="N626" s="792"/>
      <c r="O626" s="792"/>
      <c r="P626" s="792"/>
      <c r="Q626" s="792"/>
      <c r="R626" s="792"/>
      <c r="S626" s="792"/>
      <c r="T626" s="792"/>
      <c r="U626" s="792"/>
      <c r="V626" s="792"/>
      <c r="W626" s="792"/>
      <c r="X626" s="792"/>
      <c r="Y626" s="792"/>
      <c r="Z626" s="792"/>
    </row>
    <row r="627" ht="15.75" customHeight="1">
      <c r="A627" s="901"/>
      <c r="B627" s="902"/>
      <c r="C627" s="901"/>
      <c r="D627" s="901"/>
      <c r="E627" s="901"/>
      <c r="F627" s="903"/>
      <c r="G627" s="901"/>
      <c r="H627" s="792"/>
      <c r="I627" s="792"/>
      <c r="J627" s="792"/>
      <c r="K627" s="792"/>
      <c r="L627" s="792"/>
      <c r="M627" s="792"/>
      <c r="N627" s="792"/>
      <c r="O627" s="792"/>
      <c r="P627" s="792"/>
      <c r="Q627" s="792"/>
      <c r="R627" s="792"/>
      <c r="S627" s="792"/>
      <c r="T627" s="792"/>
      <c r="U627" s="792"/>
      <c r="V627" s="792"/>
      <c r="W627" s="792"/>
      <c r="X627" s="792"/>
      <c r="Y627" s="792"/>
      <c r="Z627" s="792"/>
    </row>
    <row r="628" ht="15.75" customHeight="1">
      <c r="A628" s="901"/>
      <c r="B628" s="902"/>
      <c r="C628" s="901"/>
      <c r="D628" s="901"/>
      <c r="E628" s="901"/>
      <c r="F628" s="903"/>
      <c r="G628" s="901"/>
      <c r="H628" s="792"/>
      <c r="I628" s="792"/>
      <c r="J628" s="792"/>
      <c r="K628" s="792"/>
      <c r="L628" s="792"/>
      <c r="M628" s="792"/>
      <c r="N628" s="792"/>
      <c r="O628" s="792"/>
      <c r="P628" s="792"/>
      <c r="Q628" s="792"/>
      <c r="R628" s="792"/>
      <c r="S628" s="792"/>
      <c r="T628" s="792"/>
      <c r="U628" s="792"/>
      <c r="V628" s="792"/>
      <c r="W628" s="792"/>
      <c r="X628" s="792"/>
      <c r="Y628" s="792"/>
      <c r="Z628" s="792"/>
    </row>
    <row r="629" ht="15.75" customHeight="1">
      <c r="A629" s="901"/>
      <c r="B629" s="902"/>
      <c r="C629" s="901"/>
      <c r="D629" s="901"/>
      <c r="E629" s="901"/>
      <c r="F629" s="903"/>
      <c r="G629" s="901"/>
      <c r="H629" s="792"/>
      <c r="I629" s="792"/>
      <c r="J629" s="792"/>
      <c r="K629" s="792"/>
      <c r="L629" s="792"/>
      <c r="M629" s="792"/>
      <c r="N629" s="792"/>
      <c r="O629" s="792"/>
      <c r="P629" s="792"/>
      <c r="Q629" s="792"/>
      <c r="R629" s="792"/>
      <c r="S629" s="792"/>
      <c r="T629" s="792"/>
      <c r="U629" s="792"/>
      <c r="V629" s="792"/>
      <c r="W629" s="792"/>
      <c r="X629" s="792"/>
      <c r="Y629" s="792"/>
      <c r="Z629" s="792"/>
    </row>
    <row r="630" ht="15.75" customHeight="1">
      <c r="A630" s="901"/>
      <c r="B630" s="902"/>
      <c r="C630" s="901"/>
      <c r="D630" s="901"/>
      <c r="E630" s="901"/>
      <c r="F630" s="903"/>
      <c r="G630" s="901"/>
      <c r="H630" s="792"/>
      <c r="I630" s="792"/>
      <c r="J630" s="792"/>
      <c r="K630" s="792"/>
      <c r="L630" s="792"/>
      <c r="M630" s="792"/>
      <c r="N630" s="792"/>
      <c r="O630" s="792"/>
      <c r="P630" s="792"/>
      <c r="Q630" s="792"/>
      <c r="R630" s="792"/>
      <c r="S630" s="792"/>
      <c r="T630" s="792"/>
      <c r="U630" s="792"/>
      <c r="V630" s="792"/>
      <c r="W630" s="792"/>
      <c r="X630" s="792"/>
      <c r="Y630" s="792"/>
      <c r="Z630" s="792"/>
    </row>
    <row r="631" ht="15.75" customHeight="1">
      <c r="A631" s="901"/>
      <c r="B631" s="902"/>
      <c r="C631" s="901"/>
      <c r="D631" s="901"/>
      <c r="E631" s="901"/>
      <c r="F631" s="903"/>
      <c r="G631" s="901"/>
      <c r="H631" s="792"/>
      <c r="I631" s="792"/>
      <c r="J631" s="792"/>
      <c r="K631" s="792"/>
      <c r="L631" s="792"/>
      <c r="M631" s="792"/>
      <c r="N631" s="792"/>
      <c r="O631" s="792"/>
      <c r="P631" s="792"/>
      <c r="Q631" s="792"/>
      <c r="R631" s="792"/>
      <c r="S631" s="792"/>
      <c r="T631" s="792"/>
      <c r="U631" s="792"/>
      <c r="V631" s="792"/>
      <c r="W631" s="792"/>
      <c r="X631" s="792"/>
      <c r="Y631" s="792"/>
      <c r="Z631" s="792"/>
    </row>
    <row r="632" ht="15.75" customHeight="1">
      <c r="A632" s="901"/>
      <c r="B632" s="902"/>
      <c r="C632" s="901"/>
      <c r="D632" s="901"/>
      <c r="E632" s="901"/>
      <c r="F632" s="903"/>
      <c r="G632" s="901"/>
      <c r="H632" s="792"/>
      <c r="I632" s="792"/>
      <c r="J632" s="792"/>
      <c r="K632" s="792"/>
      <c r="L632" s="792"/>
      <c r="M632" s="792"/>
      <c r="N632" s="792"/>
      <c r="O632" s="792"/>
      <c r="P632" s="792"/>
      <c r="Q632" s="792"/>
      <c r="R632" s="792"/>
      <c r="S632" s="792"/>
      <c r="T632" s="792"/>
      <c r="U632" s="792"/>
      <c r="V632" s="792"/>
      <c r="W632" s="792"/>
      <c r="X632" s="792"/>
      <c r="Y632" s="792"/>
      <c r="Z632" s="792"/>
    </row>
    <row r="633" ht="15.75" customHeight="1">
      <c r="A633" s="901"/>
      <c r="B633" s="902"/>
      <c r="C633" s="901"/>
      <c r="D633" s="901"/>
      <c r="E633" s="901"/>
      <c r="F633" s="903"/>
      <c r="G633" s="901"/>
      <c r="H633" s="792"/>
      <c r="I633" s="792"/>
      <c r="J633" s="792"/>
      <c r="K633" s="792"/>
      <c r="L633" s="792"/>
      <c r="M633" s="792"/>
      <c r="N633" s="792"/>
      <c r="O633" s="792"/>
      <c r="P633" s="792"/>
      <c r="Q633" s="792"/>
      <c r="R633" s="792"/>
      <c r="S633" s="792"/>
      <c r="T633" s="792"/>
      <c r="U633" s="792"/>
      <c r="V633" s="792"/>
      <c r="W633" s="792"/>
      <c r="X633" s="792"/>
      <c r="Y633" s="792"/>
      <c r="Z633" s="792"/>
    </row>
    <row r="634" ht="15.75" customHeight="1">
      <c r="A634" s="901"/>
      <c r="B634" s="902"/>
      <c r="C634" s="901"/>
      <c r="D634" s="901"/>
      <c r="E634" s="901"/>
      <c r="F634" s="903"/>
      <c r="G634" s="901"/>
      <c r="H634" s="792"/>
      <c r="I634" s="792"/>
      <c r="J634" s="792"/>
      <c r="K634" s="792"/>
      <c r="L634" s="792"/>
      <c r="M634" s="792"/>
      <c r="N634" s="792"/>
      <c r="O634" s="792"/>
      <c r="P634" s="792"/>
      <c r="Q634" s="792"/>
      <c r="R634" s="792"/>
      <c r="S634" s="792"/>
      <c r="T634" s="792"/>
      <c r="U634" s="792"/>
      <c r="V634" s="792"/>
      <c r="W634" s="792"/>
      <c r="X634" s="792"/>
      <c r="Y634" s="792"/>
      <c r="Z634" s="792"/>
    </row>
    <row r="635" ht="15.75" customHeight="1">
      <c r="A635" s="901"/>
      <c r="B635" s="902"/>
      <c r="C635" s="901"/>
      <c r="D635" s="901"/>
      <c r="E635" s="901"/>
      <c r="F635" s="903"/>
      <c r="G635" s="901"/>
      <c r="H635" s="792"/>
      <c r="I635" s="792"/>
      <c r="J635" s="792"/>
      <c r="K635" s="792"/>
      <c r="L635" s="792"/>
      <c r="M635" s="792"/>
      <c r="N635" s="792"/>
      <c r="O635" s="792"/>
      <c r="P635" s="792"/>
      <c r="Q635" s="792"/>
      <c r="R635" s="792"/>
      <c r="S635" s="792"/>
      <c r="T635" s="792"/>
      <c r="U635" s="792"/>
      <c r="V635" s="792"/>
      <c r="W635" s="792"/>
      <c r="X635" s="792"/>
      <c r="Y635" s="792"/>
      <c r="Z635" s="792"/>
    </row>
    <row r="636" ht="15.75" customHeight="1">
      <c r="A636" s="901"/>
      <c r="B636" s="902"/>
      <c r="C636" s="901"/>
      <c r="D636" s="901"/>
      <c r="E636" s="901"/>
      <c r="F636" s="903"/>
      <c r="G636" s="901"/>
      <c r="H636" s="792"/>
      <c r="I636" s="792"/>
      <c r="J636" s="792"/>
      <c r="K636" s="792"/>
      <c r="L636" s="792"/>
      <c r="M636" s="792"/>
      <c r="N636" s="792"/>
      <c r="O636" s="792"/>
      <c r="P636" s="792"/>
      <c r="Q636" s="792"/>
      <c r="R636" s="792"/>
      <c r="S636" s="792"/>
      <c r="T636" s="792"/>
      <c r="U636" s="792"/>
      <c r="V636" s="792"/>
      <c r="W636" s="792"/>
      <c r="X636" s="792"/>
      <c r="Y636" s="792"/>
      <c r="Z636" s="792"/>
    </row>
    <row r="637" ht="15.75" customHeight="1">
      <c r="A637" s="901"/>
      <c r="B637" s="902"/>
      <c r="C637" s="901"/>
      <c r="D637" s="901"/>
      <c r="E637" s="901"/>
      <c r="F637" s="903"/>
      <c r="G637" s="901"/>
      <c r="H637" s="792"/>
      <c r="I637" s="792"/>
      <c r="J637" s="792"/>
      <c r="K637" s="792"/>
      <c r="L637" s="792"/>
      <c r="M637" s="792"/>
      <c r="N637" s="792"/>
      <c r="O637" s="792"/>
      <c r="P637" s="792"/>
      <c r="Q637" s="792"/>
      <c r="R637" s="792"/>
      <c r="S637" s="792"/>
      <c r="T637" s="792"/>
      <c r="U637" s="792"/>
      <c r="V637" s="792"/>
      <c r="W637" s="792"/>
      <c r="X637" s="792"/>
      <c r="Y637" s="792"/>
      <c r="Z637" s="792"/>
    </row>
    <row r="638" ht="15.75" customHeight="1">
      <c r="A638" s="901"/>
      <c r="B638" s="902"/>
      <c r="C638" s="901"/>
      <c r="D638" s="901"/>
      <c r="E638" s="901"/>
      <c r="F638" s="903"/>
      <c r="G638" s="901"/>
      <c r="H638" s="792"/>
      <c r="I638" s="792"/>
      <c r="J638" s="792"/>
      <c r="K638" s="792"/>
      <c r="L638" s="792"/>
      <c r="M638" s="792"/>
      <c r="N638" s="792"/>
      <c r="O638" s="792"/>
      <c r="P638" s="792"/>
      <c r="Q638" s="792"/>
      <c r="R638" s="792"/>
      <c r="S638" s="792"/>
      <c r="T638" s="792"/>
      <c r="U638" s="792"/>
      <c r="V638" s="792"/>
      <c r="W638" s="792"/>
      <c r="X638" s="792"/>
      <c r="Y638" s="792"/>
      <c r="Z638" s="792"/>
    </row>
    <row r="639" ht="15.75" customHeight="1">
      <c r="A639" s="901"/>
      <c r="B639" s="902"/>
      <c r="C639" s="901"/>
      <c r="D639" s="901"/>
      <c r="E639" s="901"/>
      <c r="F639" s="903"/>
      <c r="G639" s="901"/>
      <c r="H639" s="792"/>
      <c r="I639" s="792"/>
      <c r="J639" s="792"/>
      <c r="K639" s="792"/>
      <c r="L639" s="792"/>
      <c r="M639" s="792"/>
      <c r="N639" s="792"/>
      <c r="O639" s="792"/>
      <c r="P639" s="792"/>
      <c r="Q639" s="792"/>
      <c r="R639" s="792"/>
      <c r="S639" s="792"/>
      <c r="T639" s="792"/>
      <c r="U639" s="792"/>
      <c r="V639" s="792"/>
      <c r="W639" s="792"/>
      <c r="X639" s="792"/>
      <c r="Y639" s="792"/>
      <c r="Z639" s="792"/>
    </row>
    <row r="640" ht="15.75" customHeight="1">
      <c r="A640" s="901"/>
      <c r="B640" s="902"/>
      <c r="C640" s="901"/>
      <c r="D640" s="901"/>
      <c r="E640" s="901"/>
      <c r="F640" s="903"/>
      <c r="G640" s="901"/>
      <c r="H640" s="792"/>
      <c r="I640" s="792"/>
      <c r="J640" s="792"/>
      <c r="K640" s="792"/>
      <c r="L640" s="792"/>
      <c r="M640" s="792"/>
      <c r="N640" s="792"/>
      <c r="O640" s="792"/>
      <c r="P640" s="792"/>
      <c r="Q640" s="792"/>
      <c r="R640" s="792"/>
      <c r="S640" s="792"/>
      <c r="T640" s="792"/>
      <c r="U640" s="792"/>
      <c r="V640" s="792"/>
      <c r="W640" s="792"/>
      <c r="X640" s="792"/>
      <c r="Y640" s="792"/>
      <c r="Z640" s="792"/>
    </row>
    <row r="641" ht="15.75" customHeight="1">
      <c r="A641" s="901"/>
      <c r="B641" s="902"/>
      <c r="C641" s="901"/>
      <c r="D641" s="901"/>
      <c r="E641" s="901"/>
      <c r="F641" s="903"/>
      <c r="G641" s="901"/>
      <c r="H641" s="792"/>
      <c r="I641" s="792"/>
      <c r="J641" s="792"/>
      <c r="K641" s="792"/>
      <c r="L641" s="792"/>
      <c r="M641" s="792"/>
      <c r="N641" s="792"/>
      <c r="O641" s="792"/>
      <c r="P641" s="792"/>
      <c r="Q641" s="792"/>
      <c r="R641" s="792"/>
      <c r="S641" s="792"/>
      <c r="T641" s="792"/>
      <c r="U641" s="792"/>
      <c r="V641" s="792"/>
      <c r="W641" s="792"/>
      <c r="X641" s="792"/>
      <c r="Y641" s="792"/>
      <c r="Z641" s="792"/>
    </row>
    <row r="642" ht="15.75" customHeight="1">
      <c r="A642" s="901"/>
      <c r="B642" s="902"/>
      <c r="C642" s="901"/>
      <c r="D642" s="901"/>
      <c r="E642" s="901"/>
      <c r="F642" s="903"/>
      <c r="G642" s="901"/>
      <c r="H642" s="792"/>
      <c r="I642" s="792"/>
      <c r="J642" s="792"/>
      <c r="K642" s="792"/>
      <c r="L642" s="792"/>
      <c r="M642" s="792"/>
      <c r="N642" s="792"/>
      <c r="O642" s="792"/>
      <c r="P642" s="792"/>
      <c r="Q642" s="792"/>
      <c r="R642" s="792"/>
      <c r="S642" s="792"/>
      <c r="T642" s="792"/>
      <c r="U642" s="792"/>
      <c r="V642" s="792"/>
      <c r="W642" s="792"/>
      <c r="X642" s="792"/>
      <c r="Y642" s="792"/>
      <c r="Z642" s="792"/>
    </row>
    <row r="643" ht="15.75" customHeight="1">
      <c r="A643" s="901"/>
      <c r="B643" s="902"/>
      <c r="C643" s="901"/>
      <c r="D643" s="901"/>
      <c r="E643" s="901"/>
      <c r="F643" s="903"/>
      <c r="G643" s="901"/>
      <c r="H643" s="792"/>
      <c r="I643" s="792"/>
      <c r="J643" s="792"/>
      <c r="K643" s="792"/>
      <c r="L643" s="792"/>
      <c r="M643" s="792"/>
      <c r="N643" s="792"/>
      <c r="O643" s="792"/>
      <c r="P643" s="792"/>
      <c r="Q643" s="792"/>
      <c r="R643" s="792"/>
      <c r="S643" s="792"/>
      <c r="T643" s="792"/>
      <c r="U643" s="792"/>
      <c r="V643" s="792"/>
      <c r="W643" s="792"/>
      <c r="X643" s="792"/>
      <c r="Y643" s="792"/>
      <c r="Z643" s="792"/>
    </row>
    <row r="644" ht="15.75" customHeight="1">
      <c r="A644" s="901"/>
      <c r="B644" s="902"/>
      <c r="C644" s="901"/>
      <c r="D644" s="901"/>
      <c r="E644" s="901"/>
      <c r="F644" s="903"/>
      <c r="G644" s="901"/>
      <c r="H644" s="792"/>
      <c r="I644" s="792"/>
      <c r="J644" s="792"/>
      <c r="K644" s="792"/>
      <c r="L644" s="792"/>
      <c r="M644" s="792"/>
      <c r="N644" s="792"/>
      <c r="O644" s="792"/>
      <c r="P644" s="792"/>
      <c r="Q644" s="792"/>
      <c r="R644" s="792"/>
      <c r="S644" s="792"/>
      <c r="T644" s="792"/>
      <c r="U644" s="792"/>
      <c r="V644" s="792"/>
      <c r="W644" s="792"/>
      <c r="X644" s="792"/>
      <c r="Y644" s="792"/>
      <c r="Z644" s="792"/>
    </row>
    <row r="645" ht="15.75" customHeight="1">
      <c r="A645" s="901"/>
      <c r="B645" s="902"/>
      <c r="C645" s="901"/>
      <c r="D645" s="901"/>
      <c r="E645" s="901"/>
      <c r="F645" s="903"/>
      <c r="G645" s="901"/>
      <c r="H645" s="792"/>
      <c r="I645" s="792"/>
      <c r="J645" s="792"/>
      <c r="K645" s="792"/>
      <c r="L645" s="792"/>
      <c r="M645" s="792"/>
      <c r="N645" s="792"/>
      <c r="O645" s="792"/>
      <c r="P645" s="792"/>
      <c r="Q645" s="792"/>
      <c r="R645" s="792"/>
      <c r="S645" s="792"/>
      <c r="T645" s="792"/>
      <c r="U645" s="792"/>
      <c r="V645" s="792"/>
      <c r="W645" s="792"/>
      <c r="X645" s="792"/>
      <c r="Y645" s="792"/>
      <c r="Z645" s="792"/>
    </row>
    <row r="646" ht="15.75" customHeight="1">
      <c r="A646" s="901"/>
      <c r="B646" s="902"/>
      <c r="C646" s="901"/>
      <c r="D646" s="901"/>
      <c r="E646" s="901"/>
      <c r="F646" s="903"/>
      <c r="G646" s="901"/>
      <c r="H646" s="792"/>
      <c r="I646" s="792"/>
      <c r="J646" s="792"/>
      <c r="K646" s="792"/>
      <c r="L646" s="792"/>
      <c r="M646" s="792"/>
      <c r="N646" s="792"/>
      <c r="O646" s="792"/>
      <c r="P646" s="792"/>
      <c r="Q646" s="792"/>
      <c r="R646" s="792"/>
      <c r="S646" s="792"/>
      <c r="T646" s="792"/>
      <c r="U646" s="792"/>
      <c r="V646" s="792"/>
      <c r="W646" s="792"/>
      <c r="X646" s="792"/>
      <c r="Y646" s="792"/>
      <c r="Z646" s="792"/>
    </row>
    <row r="647" ht="15.75" customHeight="1">
      <c r="A647" s="901"/>
      <c r="B647" s="902"/>
      <c r="C647" s="901"/>
      <c r="D647" s="901"/>
      <c r="E647" s="901"/>
      <c r="F647" s="903"/>
      <c r="G647" s="901"/>
      <c r="H647" s="792"/>
      <c r="I647" s="792"/>
      <c r="J647" s="792"/>
      <c r="K647" s="792"/>
      <c r="L647" s="792"/>
      <c r="M647" s="792"/>
      <c r="N647" s="792"/>
      <c r="O647" s="792"/>
      <c r="P647" s="792"/>
      <c r="Q647" s="792"/>
      <c r="R647" s="792"/>
      <c r="S647" s="792"/>
      <c r="T647" s="792"/>
      <c r="U647" s="792"/>
      <c r="V647" s="792"/>
      <c r="W647" s="792"/>
      <c r="X647" s="792"/>
      <c r="Y647" s="792"/>
      <c r="Z647" s="792"/>
    </row>
    <row r="648" ht="15.75" customHeight="1">
      <c r="A648" s="901"/>
      <c r="B648" s="902"/>
      <c r="C648" s="901"/>
      <c r="D648" s="901"/>
      <c r="E648" s="901"/>
      <c r="F648" s="903"/>
      <c r="G648" s="901"/>
      <c r="H648" s="792"/>
      <c r="I648" s="792"/>
      <c r="J648" s="792"/>
      <c r="K648" s="792"/>
      <c r="L648" s="792"/>
      <c r="M648" s="792"/>
      <c r="N648" s="792"/>
      <c r="O648" s="792"/>
      <c r="P648" s="792"/>
      <c r="Q648" s="792"/>
      <c r="R648" s="792"/>
      <c r="S648" s="792"/>
      <c r="T648" s="792"/>
      <c r="U648" s="792"/>
      <c r="V648" s="792"/>
      <c r="W648" s="792"/>
      <c r="X648" s="792"/>
      <c r="Y648" s="792"/>
      <c r="Z648" s="792"/>
    </row>
    <row r="649" ht="15.75" customHeight="1">
      <c r="A649" s="901"/>
      <c r="B649" s="902"/>
      <c r="C649" s="901"/>
      <c r="D649" s="901"/>
      <c r="E649" s="901"/>
      <c r="F649" s="903"/>
      <c r="G649" s="901"/>
      <c r="H649" s="792"/>
      <c r="I649" s="792"/>
      <c r="J649" s="792"/>
      <c r="K649" s="792"/>
      <c r="L649" s="792"/>
      <c r="M649" s="792"/>
      <c r="N649" s="792"/>
      <c r="O649" s="792"/>
      <c r="P649" s="792"/>
      <c r="Q649" s="792"/>
      <c r="R649" s="792"/>
      <c r="S649" s="792"/>
      <c r="T649" s="792"/>
      <c r="U649" s="792"/>
      <c r="V649" s="792"/>
      <c r="W649" s="792"/>
      <c r="X649" s="792"/>
      <c r="Y649" s="792"/>
      <c r="Z649" s="792"/>
    </row>
    <row r="650" ht="15.75" customHeight="1">
      <c r="A650" s="901"/>
      <c r="B650" s="902"/>
      <c r="C650" s="901"/>
      <c r="D650" s="901"/>
      <c r="E650" s="901"/>
      <c r="F650" s="903"/>
      <c r="G650" s="901"/>
      <c r="H650" s="792"/>
      <c r="I650" s="792"/>
      <c r="J650" s="792"/>
      <c r="K650" s="792"/>
      <c r="L650" s="792"/>
      <c r="M650" s="792"/>
      <c r="N650" s="792"/>
      <c r="O650" s="792"/>
      <c r="P650" s="792"/>
      <c r="Q650" s="792"/>
      <c r="R650" s="792"/>
      <c r="S650" s="792"/>
      <c r="T650" s="792"/>
      <c r="U650" s="792"/>
      <c r="V650" s="792"/>
      <c r="W650" s="792"/>
      <c r="X650" s="792"/>
      <c r="Y650" s="792"/>
      <c r="Z650" s="792"/>
    </row>
    <row r="651" ht="15.75" customHeight="1">
      <c r="A651" s="901"/>
      <c r="B651" s="902"/>
      <c r="C651" s="901"/>
      <c r="D651" s="901"/>
      <c r="E651" s="901"/>
      <c r="F651" s="903"/>
      <c r="G651" s="901"/>
      <c r="H651" s="792"/>
      <c r="I651" s="792"/>
      <c r="J651" s="792"/>
      <c r="K651" s="792"/>
      <c r="L651" s="792"/>
      <c r="M651" s="792"/>
      <c r="N651" s="792"/>
      <c r="O651" s="792"/>
      <c r="P651" s="792"/>
      <c r="Q651" s="792"/>
      <c r="R651" s="792"/>
      <c r="S651" s="792"/>
      <c r="T651" s="792"/>
      <c r="U651" s="792"/>
      <c r="V651" s="792"/>
      <c r="W651" s="792"/>
      <c r="X651" s="792"/>
      <c r="Y651" s="792"/>
      <c r="Z651" s="792"/>
    </row>
    <row r="652" ht="15.75" customHeight="1">
      <c r="A652" s="901"/>
      <c r="B652" s="902"/>
      <c r="C652" s="901"/>
      <c r="D652" s="901"/>
      <c r="E652" s="901"/>
      <c r="F652" s="903"/>
      <c r="G652" s="901"/>
      <c r="H652" s="792"/>
      <c r="I652" s="792"/>
      <c r="J652" s="792"/>
      <c r="K652" s="792"/>
      <c r="L652" s="792"/>
      <c r="M652" s="792"/>
      <c r="N652" s="792"/>
      <c r="O652" s="792"/>
      <c r="P652" s="792"/>
      <c r="Q652" s="792"/>
      <c r="R652" s="792"/>
      <c r="S652" s="792"/>
      <c r="T652" s="792"/>
      <c r="U652" s="792"/>
      <c r="V652" s="792"/>
      <c r="W652" s="792"/>
      <c r="X652" s="792"/>
      <c r="Y652" s="792"/>
      <c r="Z652" s="792"/>
    </row>
    <row r="653" ht="15.75" customHeight="1">
      <c r="A653" s="901"/>
      <c r="B653" s="902"/>
      <c r="C653" s="901"/>
      <c r="D653" s="901"/>
      <c r="E653" s="901"/>
      <c r="F653" s="903"/>
      <c r="G653" s="901"/>
      <c r="H653" s="792"/>
      <c r="I653" s="792"/>
      <c r="J653" s="792"/>
      <c r="K653" s="792"/>
      <c r="L653" s="792"/>
      <c r="M653" s="792"/>
      <c r="N653" s="792"/>
      <c r="O653" s="792"/>
      <c r="P653" s="792"/>
      <c r="Q653" s="792"/>
      <c r="R653" s="792"/>
      <c r="S653" s="792"/>
      <c r="T653" s="792"/>
      <c r="U653" s="792"/>
      <c r="V653" s="792"/>
      <c r="W653" s="792"/>
      <c r="X653" s="792"/>
      <c r="Y653" s="792"/>
      <c r="Z653" s="792"/>
    </row>
    <row r="654" ht="15.75" customHeight="1">
      <c r="A654" s="901"/>
      <c r="B654" s="902"/>
      <c r="C654" s="901"/>
      <c r="D654" s="901"/>
      <c r="E654" s="901"/>
      <c r="F654" s="903"/>
      <c r="G654" s="901"/>
      <c r="H654" s="792"/>
      <c r="I654" s="792"/>
      <c r="J654" s="792"/>
      <c r="K654" s="792"/>
      <c r="L654" s="792"/>
      <c r="M654" s="792"/>
      <c r="N654" s="792"/>
      <c r="O654" s="792"/>
      <c r="P654" s="792"/>
      <c r="Q654" s="792"/>
      <c r="R654" s="792"/>
      <c r="S654" s="792"/>
      <c r="T654" s="792"/>
      <c r="U654" s="792"/>
      <c r="V654" s="792"/>
      <c r="W654" s="792"/>
      <c r="X654" s="792"/>
      <c r="Y654" s="792"/>
      <c r="Z654" s="792"/>
    </row>
    <row r="655" ht="15.75" customHeight="1">
      <c r="A655" s="901"/>
      <c r="B655" s="902"/>
      <c r="C655" s="901"/>
      <c r="D655" s="901"/>
      <c r="E655" s="901"/>
      <c r="F655" s="903"/>
      <c r="G655" s="901"/>
      <c r="H655" s="792"/>
      <c r="I655" s="792"/>
      <c r="J655" s="792"/>
      <c r="K655" s="792"/>
      <c r="L655" s="792"/>
      <c r="M655" s="792"/>
      <c r="N655" s="792"/>
      <c r="O655" s="792"/>
      <c r="P655" s="792"/>
      <c r="Q655" s="792"/>
      <c r="R655" s="792"/>
      <c r="S655" s="792"/>
      <c r="T655" s="792"/>
      <c r="U655" s="792"/>
      <c r="V655" s="792"/>
      <c r="W655" s="792"/>
      <c r="X655" s="792"/>
      <c r="Y655" s="792"/>
      <c r="Z655" s="792"/>
    </row>
    <row r="656" ht="15.75" customHeight="1">
      <c r="A656" s="901"/>
      <c r="B656" s="902"/>
      <c r="C656" s="901"/>
      <c r="D656" s="901"/>
      <c r="E656" s="901"/>
      <c r="F656" s="903"/>
      <c r="G656" s="901"/>
      <c r="H656" s="792"/>
      <c r="I656" s="792"/>
      <c r="J656" s="792"/>
      <c r="K656" s="792"/>
      <c r="L656" s="792"/>
      <c r="M656" s="792"/>
      <c r="N656" s="792"/>
      <c r="O656" s="792"/>
      <c r="P656" s="792"/>
      <c r="Q656" s="792"/>
      <c r="R656" s="792"/>
      <c r="S656" s="792"/>
      <c r="T656" s="792"/>
      <c r="U656" s="792"/>
      <c r="V656" s="792"/>
      <c r="W656" s="792"/>
      <c r="X656" s="792"/>
      <c r="Y656" s="792"/>
      <c r="Z656" s="792"/>
    </row>
    <row r="657" ht="15.75" customHeight="1">
      <c r="A657" s="901"/>
      <c r="B657" s="902"/>
      <c r="C657" s="901"/>
      <c r="D657" s="901"/>
      <c r="E657" s="901"/>
      <c r="F657" s="903"/>
      <c r="G657" s="901"/>
      <c r="H657" s="792"/>
      <c r="I657" s="792"/>
      <c r="J657" s="792"/>
      <c r="K657" s="792"/>
      <c r="L657" s="792"/>
      <c r="M657" s="792"/>
      <c r="N657" s="792"/>
      <c r="O657" s="792"/>
      <c r="P657" s="792"/>
      <c r="Q657" s="792"/>
      <c r="R657" s="792"/>
      <c r="S657" s="792"/>
      <c r="T657" s="792"/>
      <c r="U657" s="792"/>
      <c r="V657" s="792"/>
      <c r="W657" s="792"/>
      <c r="X657" s="792"/>
      <c r="Y657" s="792"/>
      <c r="Z657" s="792"/>
    </row>
    <row r="658" ht="15.75" customHeight="1">
      <c r="A658" s="901"/>
      <c r="B658" s="902"/>
      <c r="C658" s="901"/>
      <c r="D658" s="901"/>
      <c r="E658" s="901"/>
      <c r="F658" s="903"/>
      <c r="G658" s="901"/>
      <c r="H658" s="792"/>
      <c r="I658" s="792"/>
      <c r="J658" s="792"/>
      <c r="K658" s="792"/>
      <c r="L658" s="792"/>
      <c r="M658" s="792"/>
      <c r="N658" s="792"/>
      <c r="O658" s="792"/>
      <c r="P658" s="792"/>
      <c r="Q658" s="792"/>
      <c r="R658" s="792"/>
      <c r="S658" s="792"/>
      <c r="T658" s="792"/>
      <c r="U658" s="792"/>
      <c r="V658" s="792"/>
      <c r="W658" s="792"/>
      <c r="X658" s="792"/>
      <c r="Y658" s="792"/>
      <c r="Z658" s="792"/>
    </row>
    <row r="659" ht="15.75" customHeight="1">
      <c r="A659" s="901"/>
      <c r="B659" s="902"/>
      <c r="C659" s="901"/>
      <c r="D659" s="901"/>
      <c r="E659" s="901"/>
      <c r="F659" s="903"/>
      <c r="G659" s="901"/>
      <c r="H659" s="792"/>
      <c r="I659" s="792"/>
      <c r="J659" s="792"/>
      <c r="K659" s="792"/>
      <c r="L659" s="792"/>
      <c r="M659" s="792"/>
      <c r="N659" s="792"/>
      <c r="O659" s="792"/>
      <c r="P659" s="792"/>
      <c r="Q659" s="792"/>
      <c r="R659" s="792"/>
      <c r="S659" s="792"/>
      <c r="T659" s="792"/>
      <c r="U659" s="792"/>
      <c r="V659" s="792"/>
      <c r="W659" s="792"/>
      <c r="X659" s="792"/>
      <c r="Y659" s="792"/>
      <c r="Z659" s="792"/>
    </row>
    <row r="660" ht="15.75" customHeight="1">
      <c r="A660" s="901"/>
      <c r="B660" s="902"/>
      <c r="C660" s="901"/>
      <c r="D660" s="901"/>
      <c r="E660" s="901"/>
      <c r="F660" s="903"/>
      <c r="G660" s="901"/>
      <c r="H660" s="792"/>
      <c r="I660" s="792"/>
      <c r="J660" s="792"/>
      <c r="K660" s="792"/>
      <c r="L660" s="792"/>
      <c r="M660" s="792"/>
      <c r="N660" s="792"/>
      <c r="O660" s="792"/>
      <c r="P660" s="792"/>
      <c r="Q660" s="792"/>
      <c r="R660" s="792"/>
      <c r="S660" s="792"/>
      <c r="T660" s="792"/>
      <c r="U660" s="792"/>
      <c r="V660" s="792"/>
      <c r="W660" s="792"/>
      <c r="X660" s="792"/>
      <c r="Y660" s="792"/>
      <c r="Z660" s="792"/>
    </row>
    <row r="661" ht="15.75" customHeight="1">
      <c r="A661" s="901"/>
      <c r="B661" s="902"/>
      <c r="C661" s="901"/>
      <c r="D661" s="901"/>
      <c r="E661" s="901"/>
      <c r="F661" s="903"/>
      <c r="G661" s="901"/>
      <c r="H661" s="792"/>
      <c r="I661" s="792"/>
      <c r="J661" s="792"/>
      <c r="K661" s="792"/>
      <c r="L661" s="792"/>
      <c r="M661" s="792"/>
      <c r="N661" s="792"/>
      <c r="O661" s="792"/>
      <c r="P661" s="792"/>
      <c r="Q661" s="792"/>
      <c r="R661" s="792"/>
      <c r="S661" s="792"/>
      <c r="T661" s="792"/>
      <c r="U661" s="792"/>
      <c r="V661" s="792"/>
      <c r="W661" s="792"/>
      <c r="X661" s="792"/>
      <c r="Y661" s="792"/>
      <c r="Z661" s="792"/>
    </row>
    <row r="662" ht="15.75" customHeight="1">
      <c r="A662" s="901"/>
      <c r="B662" s="902"/>
      <c r="C662" s="901"/>
      <c r="D662" s="901"/>
      <c r="E662" s="901"/>
      <c r="F662" s="903"/>
      <c r="G662" s="901"/>
      <c r="H662" s="792"/>
      <c r="I662" s="792"/>
      <c r="J662" s="792"/>
      <c r="K662" s="792"/>
      <c r="L662" s="792"/>
      <c r="M662" s="792"/>
      <c r="N662" s="792"/>
      <c r="O662" s="792"/>
      <c r="P662" s="792"/>
      <c r="Q662" s="792"/>
      <c r="R662" s="792"/>
      <c r="S662" s="792"/>
      <c r="T662" s="792"/>
      <c r="U662" s="792"/>
      <c r="V662" s="792"/>
      <c r="W662" s="792"/>
      <c r="X662" s="792"/>
      <c r="Y662" s="792"/>
      <c r="Z662" s="792"/>
    </row>
    <row r="663" ht="15.75" customHeight="1">
      <c r="A663" s="901"/>
      <c r="B663" s="902"/>
      <c r="C663" s="901"/>
      <c r="D663" s="901"/>
      <c r="E663" s="901"/>
      <c r="F663" s="903"/>
      <c r="G663" s="901"/>
      <c r="H663" s="792"/>
      <c r="I663" s="792"/>
      <c r="J663" s="792"/>
      <c r="K663" s="792"/>
      <c r="L663" s="792"/>
      <c r="M663" s="792"/>
      <c r="N663" s="792"/>
      <c r="O663" s="792"/>
      <c r="P663" s="792"/>
      <c r="Q663" s="792"/>
      <c r="R663" s="792"/>
      <c r="S663" s="792"/>
      <c r="T663" s="792"/>
      <c r="U663" s="792"/>
      <c r="V663" s="792"/>
      <c r="W663" s="792"/>
      <c r="X663" s="792"/>
      <c r="Y663" s="792"/>
      <c r="Z663" s="792"/>
    </row>
    <row r="664" ht="15.75" customHeight="1">
      <c r="A664" s="901"/>
      <c r="B664" s="902"/>
      <c r="C664" s="901"/>
      <c r="D664" s="901"/>
      <c r="E664" s="901"/>
      <c r="F664" s="903"/>
      <c r="G664" s="901"/>
      <c r="H664" s="792"/>
      <c r="I664" s="792"/>
      <c r="J664" s="792"/>
      <c r="K664" s="792"/>
      <c r="L664" s="792"/>
      <c r="M664" s="792"/>
      <c r="N664" s="792"/>
      <c r="O664" s="792"/>
      <c r="P664" s="792"/>
      <c r="Q664" s="792"/>
      <c r="R664" s="792"/>
      <c r="S664" s="792"/>
      <c r="T664" s="792"/>
      <c r="U664" s="792"/>
      <c r="V664" s="792"/>
      <c r="W664" s="792"/>
      <c r="X664" s="792"/>
      <c r="Y664" s="792"/>
      <c r="Z664" s="792"/>
    </row>
    <row r="665" ht="15.75" customHeight="1">
      <c r="A665" s="901"/>
      <c r="B665" s="902"/>
      <c r="C665" s="901"/>
      <c r="D665" s="901"/>
      <c r="E665" s="901"/>
      <c r="F665" s="903"/>
      <c r="G665" s="901"/>
      <c r="H665" s="792"/>
      <c r="I665" s="792"/>
      <c r="J665" s="792"/>
      <c r="K665" s="792"/>
      <c r="L665" s="792"/>
      <c r="M665" s="792"/>
      <c r="N665" s="792"/>
      <c r="O665" s="792"/>
      <c r="P665" s="792"/>
      <c r="Q665" s="792"/>
      <c r="R665" s="792"/>
      <c r="S665" s="792"/>
      <c r="T665" s="792"/>
      <c r="U665" s="792"/>
      <c r="V665" s="792"/>
      <c r="W665" s="792"/>
      <c r="X665" s="792"/>
      <c r="Y665" s="792"/>
      <c r="Z665" s="792"/>
    </row>
    <row r="666" ht="15.75" customHeight="1">
      <c r="A666" s="901"/>
      <c r="B666" s="902"/>
      <c r="C666" s="901"/>
      <c r="D666" s="901"/>
      <c r="E666" s="901"/>
      <c r="F666" s="903"/>
      <c r="G666" s="901"/>
      <c r="H666" s="792"/>
      <c r="I666" s="792"/>
      <c r="J666" s="792"/>
      <c r="K666" s="792"/>
      <c r="L666" s="792"/>
      <c r="M666" s="792"/>
      <c r="N666" s="792"/>
      <c r="O666" s="792"/>
      <c r="P666" s="792"/>
      <c r="Q666" s="792"/>
      <c r="R666" s="792"/>
      <c r="S666" s="792"/>
      <c r="T666" s="792"/>
      <c r="U666" s="792"/>
      <c r="V666" s="792"/>
      <c r="W666" s="792"/>
      <c r="X666" s="792"/>
      <c r="Y666" s="792"/>
      <c r="Z666" s="792"/>
    </row>
    <row r="667" ht="15.75" customHeight="1">
      <c r="A667" s="901"/>
      <c r="B667" s="902"/>
      <c r="C667" s="901"/>
      <c r="D667" s="901"/>
      <c r="E667" s="901"/>
      <c r="F667" s="903"/>
      <c r="G667" s="901"/>
      <c r="H667" s="792"/>
      <c r="I667" s="792"/>
      <c r="J667" s="792"/>
      <c r="K667" s="792"/>
      <c r="L667" s="792"/>
      <c r="M667" s="792"/>
      <c r="N667" s="792"/>
      <c r="O667" s="792"/>
      <c r="P667" s="792"/>
      <c r="Q667" s="792"/>
      <c r="R667" s="792"/>
      <c r="S667" s="792"/>
      <c r="T667" s="792"/>
      <c r="U667" s="792"/>
      <c r="V667" s="792"/>
      <c r="W667" s="792"/>
      <c r="X667" s="792"/>
      <c r="Y667" s="792"/>
      <c r="Z667" s="792"/>
    </row>
    <row r="668" ht="15.75" customHeight="1">
      <c r="A668" s="901"/>
      <c r="B668" s="902"/>
      <c r="C668" s="901"/>
      <c r="D668" s="901"/>
      <c r="E668" s="901"/>
      <c r="F668" s="903"/>
      <c r="G668" s="901"/>
      <c r="H668" s="792"/>
      <c r="I668" s="792"/>
      <c r="J668" s="792"/>
      <c r="K668" s="792"/>
      <c r="L668" s="792"/>
      <c r="M668" s="792"/>
      <c r="N668" s="792"/>
      <c r="O668" s="792"/>
      <c r="P668" s="792"/>
      <c r="Q668" s="792"/>
      <c r="R668" s="792"/>
      <c r="S668" s="792"/>
      <c r="T668" s="792"/>
      <c r="U668" s="792"/>
      <c r="V668" s="792"/>
      <c r="W668" s="792"/>
      <c r="X668" s="792"/>
      <c r="Y668" s="792"/>
      <c r="Z668" s="792"/>
    </row>
    <row r="669" ht="15.75" customHeight="1">
      <c r="A669" s="901"/>
      <c r="B669" s="902"/>
      <c r="C669" s="901"/>
      <c r="D669" s="901"/>
      <c r="E669" s="901"/>
      <c r="F669" s="903"/>
      <c r="G669" s="901"/>
      <c r="H669" s="792"/>
      <c r="I669" s="792"/>
      <c r="J669" s="792"/>
      <c r="K669" s="792"/>
      <c r="L669" s="792"/>
      <c r="M669" s="792"/>
      <c r="N669" s="792"/>
      <c r="O669" s="792"/>
      <c r="P669" s="792"/>
      <c r="Q669" s="792"/>
      <c r="R669" s="792"/>
      <c r="S669" s="792"/>
      <c r="T669" s="792"/>
      <c r="U669" s="792"/>
      <c r="V669" s="792"/>
      <c r="W669" s="792"/>
      <c r="X669" s="792"/>
      <c r="Y669" s="792"/>
      <c r="Z669" s="792"/>
    </row>
    <row r="670" ht="15.75" customHeight="1">
      <c r="A670" s="901"/>
      <c r="B670" s="902"/>
      <c r="C670" s="901"/>
      <c r="D670" s="901"/>
      <c r="E670" s="901"/>
      <c r="F670" s="903"/>
      <c r="G670" s="901"/>
      <c r="H670" s="792"/>
      <c r="I670" s="792"/>
      <c r="J670" s="792"/>
      <c r="K670" s="792"/>
      <c r="L670" s="792"/>
      <c r="M670" s="792"/>
      <c r="N670" s="792"/>
      <c r="O670" s="792"/>
      <c r="P670" s="792"/>
      <c r="Q670" s="792"/>
      <c r="R670" s="792"/>
      <c r="S670" s="792"/>
      <c r="T670" s="792"/>
      <c r="U670" s="792"/>
      <c r="V670" s="792"/>
      <c r="W670" s="792"/>
      <c r="X670" s="792"/>
      <c r="Y670" s="792"/>
      <c r="Z670" s="792"/>
    </row>
    <row r="671" ht="15.75" customHeight="1">
      <c r="A671" s="901"/>
      <c r="B671" s="902"/>
      <c r="C671" s="901"/>
      <c r="D671" s="901"/>
      <c r="E671" s="901"/>
      <c r="F671" s="903"/>
      <c r="G671" s="901"/>
      <c r="H671" s="792"/>
      <c r="I671" s="792"/>
      <c r="J671" s="792"/>
      <c r="K671" s="792"/>
      <c r="L671" s="792"/>
      <c r="M671" s="792"/>
      <c r="N671" s="792"/>
      <c r="O671" s="792"/>
      <c r="P671" s="792"/>
      <c r="Q671" s="792"/>
      <c r="R671" s="792"/>
      <c r="S671" s="792"/>
      <c r="T671" s="792"/>
      <c r="U671" s="792"/>
      <c r="V671" s="792"/>
      <c r="W671" s="792"/>
      <c r="X671" s="792"/>
      <c r="Y671" s="792"/>
      <c r="Z671" s="792"/>
    </row>
    <row r="672" ht="15.75" customHeight="1">
      <c r="A672" s="901"/>
      <c r="B672" s="902"/>
      <c r="C672" s="901"/>
      <c r="D672" s="901"/>
      <c r="E672" s="901"/>
      <c r="F672" s="903"/>
      <c r="G672" s="901"/>
      <c r="H672" s="792"/>
      <c r="I672" s="792"/>
      <c r="J672" s="792"/>
      <c r="K672" s="792"/>
      <c r="L672" s="792"/>
      <c r="M672" s="792"/>
      <c r="N672" s="792"/>
      <c r="O672" s="792"/>
      <c r="P672" s="792"/>
      <c r="Q672" s="792"/>
      <c r="R672" s="792"/>
      <c r="S672" s="792"/>
      <c r="T672" s="792"/>
      <c r="U672" s="792"/>
      <c r="V672" s="792"/>
      <c r="W672" s="792"/>
      <c r="X672" s="792"/>
      <c r="Y672" s="792"/>
      <c r="Z672" s="792"/>
    </row>
    <row r="673" ht="15.75" customHeight="1">
      <c r="A673" s="901"/>
      <c r="B673" s="902"/>
      <c r="C673" s="901"/>
      <c r="D673" s="901"/>
      <c r="E673" s="901"/>
      <c r="F673" s="903"/>
      <c r="G673" s="901"/>
      <c r="H673" s="792"/>
      <c r="I673" s="792"/>
      <c r="J673" s="792"/>
      <c r="K673" s="792"/>
      <c r="L673" s="792"/>
      <c r="M673" s="792"/>
      <c r="N673" s="792"/>
      <c r="O673" s="792"/>
      <c r="P673" s="792"/>
      <c r="Q673" s="792"/>
      <c r="R673" s="792"/>
      <c r="S673" s="792"/>
      <c r="T673" s="792"/>
      <c r="U673" s="792"/>
      <c r="V673" s="792"/>
      <c r="W673" s="792"/>
      <c r="X673" s="792"/>
      <c r="Y673" s="792"/>
      <c r="Z673" s="792"/>
    </row>
    <row r="674" ht="15.75" customHeight="1">
      <c r="A674" s="901"/>
      <c r="B674" s="902"/>
      <c r="C674" s="901"/>
      <c r="D674" s="901"/>
      <c r="E674" s="901"/>
      <c r="F674" s="903"/>
      <c r="G674" s="901"/>
      <c r="H674" s="792"/>
      <c r="I674" s="792"/>
      <c r="J674" s="792"/>
      <c r="K674" s="792"/>
      <c r="L674" s="792"/>
      <c r="M674" s="792"/>
      <c r="N674" s="792"/>
      <c r="O674" s="792"/>
      <c r="P674" s="792"/>
      <c r="Q674" s="792"/>
      <c r="R674" s="792"/>
      <c r="S674" s="792"/>
      <c r="T674" s="792"/>
      <c r="U674" s="792"/>
      <c r="V674" s="792"/>
      <c r="W674" s="792"/>
      <c r="X674" s="792"/>
      <c r="Y674" s="792"/>
      <c r="Z674" s="792"/>
    </row>
    <row r="675" ht="15.75" customHeight="1">
      <c r="A675" s="901"/>
      <c r="B675" s="902"/>
      <c r="C675" s="901"/>
      <c r="D675" s="901"/>
      <c r="E675" s="901"/>
      <c r="F675" s="903"/>
      <c r="G675" s="901"/>
      <c r="H675" s="792"/>
      <c r="I675" s="792"/>
      <c r="J675" s="792"/>
      <c r="K675" s="792"/>
      <c r="L675" s="792"/>
      <c r="M675" s="792"/>
      <c r="N675" s="792"/>
      <c r="O675" s="792"/>
      <c r="P675" s="792"/>
      <c r="Q675" s="792"/>
      <c r="R675" s="792"/>
      <c r="S675" s="792"/>
      <c r="T675" s="792"/>
      <c r="U675" s="792"/>
      <c r="V675" s="792"/>
      <c r="W675" s="792"/>
      <c r="X675" s="792"/>
      <c r="Y675" s="792"/>
      <c r="Z675" s="792"/>
    </row>
    <row r="676" ht="15.75" customHeight="1">
      <c r="A676" s="901"/>
      <c r="B676" s="902"/>
      <c r="C676" s="901"/>
      <c r="D676" s="901"/>
      <c r="E676" s="901"/>
      <c r="F676" s="903"/>
      <c r="G676" s="901"/>
      <c r="H676" s="792"/>
      <c r="I676" s="792"/>
      <c r="J676" s="792"/>
      <c r="K676" s="792"/>
      <c r="L676" s="792"/>
      <c r="M676" s="792"/>
      <c r="N676" s="792"/>
      <c r="O676" s="792"/>
      <c r="P676" s="792"/>
      <c r="Q676" s="792"/>
      <c r="R676" s="792"/>
      <c r="S676" s="792"/>
      <c r="T676" s="792"/>
      <c r="U676" s="792"/>
      <c r="V676" s="792"/>
      <c r="W676" s="792"/>
      <c r="X676" s="792"/>
      <c r="Y676" s="792"/>
      <c r="Z676" s="792"/>
    </row>
    <row r="677" ht="15.75" customHeight="1">
      <c r="A677" s="901"/>
      <c r="B677" s="902"/>
      <c r="C677" s="901"/>
      <c r="D677" s="901"/>
      <c r="E677" s="901"/>
      <c r="F677" s="903"/>
      <c r="G677" s="901"/>
      <c r="H677" s="792"/>
      <c r="I677" s="792"/>
      <c r="J677" s="792"/>
      <c r="K677" s="792"/>
      <c r="L677" s="792"/>
      <c r="M677" s="792"/>
      <c r="N677" s="792"/>
      <c r="O677" s="792"/>
      <c r="P677" s="792"/>
      <c r="Q677" s="792"/>
      <c r="R677" s="792"/>
      <c r="S677" s="792"/>
      <c r="T677" s="792"/>
      <c r="U677" s="792"/>
      <c r="V677" s="792"/>
      <c r="W677" s="792"/>
      <c r="X677" s="792"/>
      <c r="Y677" s="792"/>
      <c r="Z677" s="792"/>
    </row>
    <row r="678" ht="15.75" customHeight="1">
      <c r="A678" s="901"/>
      <c r="B678" s="902"/>
      <c r="C678" s="901"/>
      <c r="D678" s="901"/>
      <c r="E678" s="901"/>
      <c r="F678" s="903"/>
      <c r="G678" s="901"/>
      <c r="H678" s="792"/>
      <c r="I678" s="792"/>
      <c r="J678" s="792"/>
      <c r="K678" s="792"/>
      <c r="L678" s="792"/>
      <c r="M678" s="792"/>
      <c r="N678" s="792"/>
      <c r="O678" s="792"/>
      <c r="P678" s="792"/>
      <c r="Q678" s="792"/>
      <c r="R678" s="792"/>
      <c r="S678" s="792"/>
      <c r="T678" s="792"/>
      <c r="U678" s="792"/>
      <c r="V678" s="792"/>
      <c r="W678" s="792"/>
      <c r="X678" s="792"/>
      <c r="Y678" s="792"/>
      <c r="Z678" s="792"/>
    </row>
    <row r="679" ht="15.75" customHeight="1">
      <c r="A679" s="901"/>
      <c r="B679" s="902"/>
      <c r="C679" s="901"/>
      <c r="D679" s="901"/>
      <c r="E679" s="901"/>
      <c r="F679" s="903"/>
      <c r="G679" s="901"/>
      <c r="H679" s="792"/>
      <c r="I679" s="792"/>
      <c r="J679" s="792"/>
      <c r="K679" s="792"/>
      <c r="L679" s="792"/>
      <c r="M679" s="792"/>
      <c r="N679" s="792"/>
      <c r="O679" s="792"/>
      <c r="P679" s="792"/>
      <c r="Q679" s="792"/>
      <c r="R679" s="792"/>
      <c r="S679" s="792"/>
      <c r="T679" s="792"/>
      <c r="U679" s="792"/>
      <c r="V679" s="792"/>
      <c r="W679" s="792"/>
      <c r="X679" s="792"/>
      <c r="Y679" s="792"/>
      <c r="Z679" s="792"/>
    </row>
    <row r="680" ht="15.75" customHeight="1">
      <c r="A680" s="901"/>
      <c r="B680" s="902"/>
      <c r="C680" s="901"/>
      <c r="D680" s="901"/>
      <c r="E680" s="901"/>
      <c r="F680" s="903"/>
      <c r="G680" s="901"/>
      <c r="H680" s="792"/>
      <c r="I680" s="792"/>
      <c r="J680" s="792"/>
      <c r="K680" s="792"/>
      <c r="L680" s="792"/>
      <c r="M680" s="792"/>
      <c r="N680" s="792"/>
      <c r="O680" s="792"/>
      <c r="P680" s="792"/>
      <c r="Q680" s="792"/>
      <c r="R680" s="792"/>
      <c r="S680" s="792"/>
      <c r="T680" s="792"/>
      <c r="U680" s="792"/>
      <c r="V680" s="792"/>
      <c r="W680" s="792"/>
      <c r="X680" s="792"/>
      <c r="Y680" s="792"/>
      <c r="Z680" s="792"/>
    </row>
    <row r="681" ht="15.75" customHeight="1">
      <c r="A681" s="901"/>
      <c r="B681" s="902"/>
      <c r="C681" s="901"/>
      <c r="D681" s="901"/>
      <c r="E681" s="901"/>
      <c r="F681" s="903"/>
      <c r="G681" s="901"/>
      <c r="H681" s="792"/>
      <c r="I681" s="792"/>
      <c r="J681" s="792"/>
      <c r="K681" s="792"/>
      <c r="L681" s="792"/>
      <c r="M681" s="792"/>
      <c r="N681" s="792"/>
      <c r="O681" s="792"/>
      <c r="P681" s="792"/>
      <c r="Q681" s="792"/>
      <c r="R681" s="792"/>
      <c r="S681" s="792"/>
      <c r="T681" s="792"/>
      <c r="U681" s="792"/>
      <c r="V681" s="792"/>
      <c r="W681" s="792"/>
      <c r="X681" s="792"/>
      <c r="Y681" s="792"/>
      <c r="Z681" s="792"/>
    </row>
    <row r="682" ht="15.75" customHeight="1">
      <c r="A682" s="901"/>
      <c r="B682" s="902"/>
      <c r="C682" s="901"/>
      <c r="D682" s="901"/>
      <c r="E682" s="901"/>
      <c r="F682" s="903"/>
      <c r="G682" s="901"/>
      <c r="H682" s="792"/>
      <c r="I682" s="792"/>
      <c r="J682" s="792"/>
      <c r="K682" s="792"/>
      <c r="L682" s="792"/>
      <c r="M682" s="792"/>
      <c r="N682" s="792"/>
      <c r="O682" s="792"/>
      <c r="P682" s="792"/>
      <c r="Q682" s="792"/>
      <c r="R682" s="792"/>
      <c r="S682" s="792"/>
      <c r="T682" s="792"/>
      <c r="U682" s="792"/>
      <c r="V682" s="792"/>
      <c r="W682" s="792"/>
      <c r="X682" s="792"/>
      <c r="Y682" s="792"/>
      <c r="Z682" s="792"/>
    </row>
    <row r="683" ht="15.75" customHeight="1">
      <c r="A683" s="901"/>
      <c r="B683" s="902"/>
      <c r="C683" s="901"/>
      <c r="D683" s="901"/>
      <c r="E683" s="901"/>
      <c r="F683" s="903"/>
      <c r="G683" s="901"/>
      <c r="H683" s="792"/>
      <c r="I683" s="792"/>
      <c r="J683" s="792"/>
      <c r="K683" s="792"/>
      <c r="L683" s="792"/>
      <c r="M683" s="792"/>
      <c r="N683" s="792"/>
      <c r="O683" s="792"/>
      <c r="P683" s="792"/>
      <c r="Q683" s="792"/>
      <c r="R683" s="792"/>
      <c r="S683" s="792"/>
      <c r="T683" s="792"/>
      <c r="U683" s="792"/>
      <c r="V683" s="792"/>
      <c r="W683" s="792"/>
      <c r="X683" s="792"/>
      <c r="Y683" s="792"/>
      <c r="Z683" s="792"/>
    </row>
    <row r="684" ht="15.75" customHeight="1">
      <c r="A684" s="901"/>
      <c r="B684" s="902"/>
      <c r="C684" s="901"/>
      <c r="D684" s="901"/>
      <c r="E684" s="901"/>
      <c r="F684" s="903"/>
      <c r="G684" s="901"/>
      <c r="H684" s="792"/>
      <c r="I684" s="792"/>
      <c r="J684" s="792"/>
      <c r="K684" s="792"/>
      <c r="L684" s="792"/>
      <c r="M684" s="792"/>
      <c r="N684" s="792"/>
      <c r="O684" s="792"/>
      <c r="P684" s="792"/>
      <c r="Q684" s="792"/>
      <c r="R684" s="792"/>
      <c r="S684" s="792"/>
      <c r="T684" s="792"/>
      <c r="U684" s="792"/>
      <c r="V684" s="792"/>
      <c r="W684" s="792"/>
      <c r="X684" s="792"/>
      <c r="Y684" s="792"/>
      <c r="Z684" s="792"/>
    </row>
    <row r="685" ht="15.75" customHeight="1">
      <c r="A685" s="901"/>
      <c r="B685" s="902"/>
      <c r="C685" s="901"/>
      <c r="D685" s="901"/>
      <c r="E685" s="901"/>
      <c r="F685" s="903"/>
      <c r="G685" s="901"/>
      <c r="H685" s="792"/>
      <c r="I685" s="792"/>
      <c r="J685" s="792"/>
      <c r="K685" s="792"/>
      <c r="L685" s="792"/>
      <c r="M685" s="792"/>
      <c r="N685" s="792"/>
      <c r="O685" s="792"/>
      <c r="P685" s="792"/>
      <c r="Q685" s="792"/>
      <c r="R685" s="792"/>
      <c r="S685" s="792"/>
      <c r="T685" s="792"/>
      <c r="U685" s="792"/>
      <c r="V685" s="792"/>
      <c r="W685" s="792"/>
      <c r="X685" s="792"/>
      <c r="Y685" s="792"/>
      <c r="Z685" s="792"/>
    </row>
    <row r="686" ht="15.75" customHeight="1">
      <c r="A686" s="901"/>
      <c r="B686" s="902"/>
      <c r="C686" s="901"/>
      <c r="D686" s="901"/>
      <c r="E686" s="901"/>
      <c r="F686" s="903"/>
      <c r="G686" s="901"/>
      <c r="H686" s="792"/>
      <c r="I686" s="792"/>
      <c r="J686" s="792"/>
      <c r="K686" s="792"/>
      <c r="L686" s="792"/>
      <c r="M686" s="792"/>
      <c r="N686" s="792"/>
      <c r="O686" s="792"/>
      <c r="P686" s="792"/>
      <c r="Q686" s="792"/>
      <c r="R686" s="792"/>
      <c r="S686" s="792"/>
      <c r="T686" s="792"/>
      <c r="U686" s="792"/>
      <c r="V686" s="792"/>
      <c r="W686" s="792"/>
      <c r="X686" s="792"/>
      <c r="Y686" s="792"/>
      <c r="Z686" s="792"/>
    </row>
    <row r="687" ht="15.75" customHeight="1">
      <c r="A687" s="901"/>
      <c r="B687" s="902"/>
      <c r="C687" s="901"/>
      <c r="D687" s="901"/>
      <c r="E687" s="901"/>
      <c r="F687" s="903"/>
      <c r="G687" s="901"/>
      <c r="H687" s="792"/>
      <c r="I687" s="792"/>
      <c r="J687" s="792"/>
      <c r="K687" s="792"/>
      <c r="L687" s="792"/>
      <c r="M687" s="792"/>
      <c r="N687" s="792"/>
      <c r="O687" s="792"/>
      <c r="P687" s="792"/>
      <c r="Q687" s="792"/>
      <c r="R687" s="792"/>
      <c r="S687" s="792"/>
      <c r="T687" s="792"/>
      <c r="U687" s="792"/>
      <c r="V687" s="792"/>
      <c r="W687" s="792"/>
      <c r="X687" s="792"/>
      <c r="Y687" s="792"/>
      <c r="Z687" s="792"/>
    </row>
    <row r="688" ht="15.75" customHeight="1">
      <c r="A688" s="901"/>
      <c r="B688" s="902"/>
      <c r="C688" s="901"/>
      <c r="D688" s="901"/>
      <c r="E688" s="901"/>
      <c r="F688" s="903"/>
      <c r="G688" s="901"/>
      <c r="H688" s="792"/>
      <c r="I688" s="792"/>
      <c r="J688" s="792"/>
      <c r="K688" s="792"/>
      <c r="L688" s="792"/>
      <c r="M688" s="792"/>
      <c r="N688" s="792"/>
      <c r="O688" s="792"/>
      <c r="P688" s="792"/>
      <c r="Q688" s="792"/>
      <c r="R688" s="792"/>
      <c r="S688" s="792"/>
      <c r="T688" s="792"/>
      <c r="U688" s="792"/>
      <c r="V688" s="792"/>
      <c r="W688" s="792"/>
      <c r="X688" s="792"/>
      <c r="Y688" s="792"/>
      <c r="Z688" s="792"/>
    </row>
    <row r="689" ht="15.75" customHeight="1">
      <c r="A689" s="901"/>
      <c r="B689" s="902"/>
      <c r="C689" s="901"/>
      <c r="D689" s="901"/>
      <c r="E689" s="901"/>
      <c r="F689" s="903"/>
      <c r="G689" s="901"/>
      <c r="H689" s="792"/>
      <c r="I689" s="792"/>
      <c r="J689" s="792"/>
      <c r="K689" s="792"/>
      <c r="L689" s="792"/>
      <c r="M689" s="792"/>
      <c r="N689" s="792"/>
      <c r="O689" s="792"/>
      <c r="P689" s="792"/>
      <c r="Q689" s="792"/>
      <c r="R689" s="792"/>
      <c r="S689" s="792"/>
      <c r="T689" s="792"/>
      <c r="U689" s="792"/>
      <c r="V689" s="792"/>
      <c r="W689" s="792"/>
      <c r="X689" s="792"/>
      <c r="Y689" s="792"/>
      <c r="Z689" s="792"/>
    </row>
    <row r="690" ht="15.75" customHeight="1">
      <c r="A690" s="901"/>
      <c r="B690" s="902"/>
      <c r="C690" s="901"/>
      <c r="D690" s="901"/>
      <c r="E690" s="901"/>
      <c r="F690" s="903"/>
      <c r="G690" s="901"/>
      <c r="H690" s="792"/>
      <c r="I690" s="792"/>
      <c r="J690" s="792"/>
      <c r="K690" s="792"/>
      <c r="L690" s="792"/>
      <c r="M690" s="792"/>
      <c r="N690" s="792"/>
      <c r="O690" s="792"/>
      <c r="P690" s="792"/>
      <c r="Q690" s="792"/>
      <c r="R690" s="792"/>
      <c r="S690" s="792"/>
      <c r="T690" s="792"/>
      <c r="U690" s="792"/>
      <c r="V690" s="792"/>
      <c r="W690" s="792"/>
      <c r="X690" s="792"/>
      <c r="Y690" s="792"/>
      <c r="Z690" s="792"/>
    </row>
    <row r="691" ht="15.75" customHeight="1">
      <c r="A691" s="901"/>
      <c r="B691" s="902"/>
      <c r="C691" s="901"/>
      <c r="D691" s="901"/>
      <c r="E691" s="901"/>
      <c r="F691" s="903"/>
      <c r="G691" s="901"/>
      <c r="H691" s="792"/>
      <c r="I691" s="792"/>
      <c r="J691" s="792"/>
      <c r="K691" s="792"/>
      <c r="L691" s="792"/>
      <c r="M691" s="792"/>
      <c r="N691" s="792"/>
      <c r="O691" s="792"/>
      <c r="P691" s="792"/>
      <c r="Q691" s="792"/>
      <c r="R691" s="792"/>
      <c r="S691" s="792"/>
      <c r="T691" s="792"/>
      <c r="U691" s="792"/>
      <c r="V691" s="792"/>
      <c r="W691" s="792"/>
      <c r="X691" s="792"/>
      <c r="Y691" s="792"/>
      <c r="Z691" s="792"/>
    </row>
    <row r="692" ht="15.75" customHeight="1">
      <c r="A692" s="901"/>
      <c r="B692" s="902"/>
      <c r="C692" s="901"/>
      <c r="D692" s="901"/>
      <c r="E692" s="901"/>
      <c r="F692" s="903"/>
      <c r="G692" s="901"/>
      <c r="H692" s="792"/>
      <c r="I692" s="792"/>
      <c r="J692" s="792"/>
      <c r="K692" s="792"/>
      <c r="L692" s="792"/>
      <c r="M692" s="792"/>
      <c r="N692" s="792"/>
      <c r="O692" s="792"/>
      <c r="P692" s="792"/>
      <c r="Q692" s="792"/>
      <c r="R692" s="792"/>
      <c r="S692" s="792"/>
      <c r="T692" s="792"/>
      <c r="U692" s="792"/>
      <c r="V692" s="792"/>
      <c r="W692" s="792"/>
      <c r="X692" s="792"/>
      <c r="Y692" s="792"/>
      <c r="Z692" s="792"/>
    </row>
    <row r="693" ht="15.75" customHeight="1">
      <c r="A693" s="901"/>
      <c r="B693" s="902"/>
      <c r="C693" s="901"/>
      <c r="D693" s="901"/>
      <c r="E693" s="901"/>
      <c r="F693" s="903"/>
      <c r="G693" s="901"/>
      <c r="H693" s="792"/>
      <c r="I693" s="792"/>
      <c r="J693" s="792"/>
      <c r="K693" s="792"/>
      <c r="L693" s="792"/>
      <c r="M693" s="792"/>
      <c r="N693" s="792"/>
      <c r="O693" s="792"/>
      <c r="P693" s="792"/>
      <c r="Q693" s="792"/>
      <c r="R693" s="792"/>
      <c r="S693" s="792"/>
      <c r="T693" s="792"/>
      <c r="U693" s="792"/>
      <c r="V693" s="792"/>
      <c r="W693" s="792"/>
      <c r="X693" s="792"/>
      <c r="Y693" s="792"/>
      <c r="Z693" s="792"/>
    </row>
    <row r="694" ht="15.75" customHeight="1">
      <c r="A694" s="901"/>
      <c r="B694" s="902"/>
      <c r="C694" s="901"/>
      <c r="D694" s="901"/>
      <c r="E694" s="901"/>
      <c r="F694" s="903"/>
      <c r="G694" s="901"/>
      <c r="H694" s="792"/>
      <c r="I694" s="792"/>
      <c r="J694" s="792"/>
      <c r="K694" s="792"/>
      <c r="L694" s="792"/>
      <c r="M694" s="792"/>
      <c r="N694" s="792"/>
      <c r="O694" s="792"/>
      <c r="P694" s="792"/>
      <c r="Q694" s="792"/>
      <c r="R694" s="792"/>
      <c r="S694" s="792"/>
      <c r="T694" s="792"/>
      <c r="U694" s="792"/>
      <c r="V694" s="792"/>
      <c r="W694" s="792"/>
      <c r="X694" s="792"/>
      <c r="Y694" s="792"/>
      <c r="Z694" s="792"/>
    </row>
    <row r="695" ht="15.75" customHeight="1">
      <c r="A695" s="901"/>
      <c r="B695" s="902"/>
      <c r="C695" s="901"/>
      <c r="D695" s="901"/>
      <c r="E695" s="901"/>
      <c r="F695" s="903"/>
      <c r="G695" s="901"/>
      <c r="H695" s="792"/>
      <c r="I695" s="792"/>
      <c r="J695" s="792"/>
      <c r="K695" s="792"/>
      <c r="L695" s="792"/>
      <c r="M695" s="792"/>
      <c r="N695" s="792"/>
      <c r="O695" s="792"/>
      <c r="P695" s="792"/>
      <c r="Q695" s="792"/>
      <c r="R695" s="792"/>
      <c r="S695" s="792"/>
      <c r="T695" s="792"/>
      <c r="U695" s="792"/>
      <c r="V695" s="792"/>
      <c r="W695" s="792"/>
      <c r="X695" s="792"/>
      <c r="Y695" s="792"/>
      <c r="Z695" s="792"/>
    </row>
    <row r="696" ht="15.75" customHeight="1">
      <c r="A696" s="901"/>
      <c r="B696" s="902"/>
      <c r="C696" s="901"/>
      <c r="D696" s="901"/>
      <c r="E696" s="901"/>
      <c r="F696" s="903"/>
      <c r="G696" s="901"/>
      <c r="H696" s="792"/>
      <c r="I696" s="792"/>
      <c r="J696" s="792"/>
      <c r="K696" s="792"/>
      <c r="L696" s="792"/>
      <c r="M696" s="792"/>
      <c r="N696" s="792"/>
      <c r="O696" s="792"/>
      <c r="P696" s="792"/>
      <c r="Q696" s="792"/>
      <c r="R696" s="792"/>
      <c r="S696" s="792"/>
      <c r="T696" s="792"/>
      <c r="U696" s="792"/>
      <c r="V696" s="792"/>
      <c r="W696" s="792"/>
      <c r="X696" s="792"/>
      <c r="Y696" s="792"/>
      <c r="Z696" s="792"/>
    </row>
    <row r="697" ht="15.75" customHeight="1">
      <c r="A697" s="901"/>
      <c r="B697" s="902"/>
      <c r="C697" s="901"/>
      <c r="D697" s="901"/>
      <c r="E697" s="901"/>
      <c r="F697" s="903"/>
      <c r="G697" s="901"/>
      <c r="H697" s="792"/>
      <c r="I697" s="792"/>
      <c r="J697" s="792"/>
      <c r="K697" s="792"/>
      <c r="L697" s="792"/>
      <c r="M697" s="792"/>
      <c r="N697" s="792"/>
      <c r="O697" s="792"/>
      <c r="P697" s="792"/>
      <c r="Q697" s="792"/>
      <c r="R697" s="792"/>
      <c r="S697" s="792"/>
      <c r="T697" s="792"/>
      <c r="U697" s="792"/>
      <c r="V697" s="792"/>
      <c r="W697" s="792"/>
      <c r="X697" s="792"/>
      <c r="Y697" s="792"/>
      <c r="Z697" s="792"/>
    </row>
    <row r="698" ht="15.75" customHeight="1">
      <c r="A698" s="901"/>
      <c r="B698" s="902"/>
      <c r="C698" s="901"/>
      <c r="D698" s="901"/>
      <c r="E698" s="901"/>
      <c r="F698" s="903"/>
      <c r="G698" s="901"/>
      <c r="H698" s="792"/>
      <c r="I698" s="792"/>
      <c r="J698" s="792"/>
      <c r="K698" s="792"/>
      <c r="L698" s="792"/>
      <c r="M698" s="792"/>
      <c r="N698" s="792"/>
      <c r="O698" s="792"/>
      <c r="P698" s="792"/>
      <c r="Q698" s="792"/>
      <c r="R698" s="792"/>
      <c r="S698" s="792"/>
      <c r="T698" s="792"/>
      <c r="U698" s="792"/>
      <c r="V698" s="792"/>
      <c r="W698" s="792"/>
      <c r="X698" s="792"/>
      <c r="Y698" s="792"/>
      <c r="Z698" s="792"/>
    </row>
    <row r="699" ht="15.75" customHeight="1">
      <c r="A699" s="901"/>
      <c r="B699" s="902"/>
      <c r="C699" s="901"/>
      <c r="D699" s="901"/>
      <c r="E699" s="901"/>
      <c r="F699" s="903"/>
      <c r="G699" s="901"/>
      <c r="H699" s="792"/>
      <c r="I699" s="792"/>
      <c r="J699" s="792"/>
      <c r="K699" s="792"/>
      <c r="L699" s="792"/>
      <c r="M699" s="792"/>
      <c r="N699" s="792"/>
      <c r="O699" s="792"/>
      <c r="P699" s="792"/>
      <c r="Q699" s="792"/>
      <c r="R699" s="792"/>
      <c r="S699" s="792"/>
      <c r="T699" s="792"/>
      <c r="U699" s="792"/>
      <c r="V699" s="792"/>
      <c r="W699" s="792"/>
      <c r="X699" s="792"/>
      <c r="Y699" s="792"/>
      <c r="Z699" s="792"/>
    </row>
    <row r="700" ht="15.75" customHeight="1">
      <c r="A700" s="901"/>
      <c r="B700" s="902"/>
      <c r="C700" s="901"/>
      <c r="D700" s="901"/>
      <c r="E700" s="901"/>
      <c r="F700" s="903"/>
      <c r="G700" s="901"/>
      <c r="H700" s="792"/>
      <c r="I700" s="792"/>
      <c r="J700" s="792"/>
      <c r="K700" s="792"/>
      <c r="L700" s="792"/>
      <c r="M700" s="792"/>
      <c r="N700" s="792"/>
      <c r="O700" s="792"/>
      <c r="P700" s="792"/>
      <c r="Q700" s="792"/>
      <c r="R700" s="792"/>
      <c r="S700" s="792"/>
      <c r="T700" s="792"/>
      <c r="U700" s="792"/>
      <c r="V700" s="792"/>
      <c r="W700" s="792"/>
      <c r="X700" s="792"/>
      <c r="Y700" s="792"/>
      <c r="Z700" s="792"/>
    </row>
    <row r="701" ht="15.75" customHeight="1">
      <c r="A701" s="901"/>
      <c r="B701" s="902"/>
      <c r="C701" s="901"/>
      <c r="D701" s="901"/>
      <c r="E701" s="901"/>
      <c r="F701" s="903"/>
      <c r="G701" s="901"/>
      <c r="H701" s="792"/>
      <c r="I701" s="792"/>
      <c r="J701" s="792"/>
      <c r="K701" s="792"/>
      <c r="L701" s="792"/>
      <c r="M701" s="792"/>
      <c r="N701" s="792"/>
      <c r="O701" s="792"/>
      <c r="P701" s="792"/>
      <c r="Q701" s="792"/>
      <c r="R701" s="792"/>
      <c r="S701" s="792"/>
      <c r="T701" s="792"/>
      <c r="U701" s="792"/>
      <c r="V701" s="792"/>
      <c r="W701" s="792"/>
      <c r="X701" s="792"/>
      <c r="Y701" s="792"/>
      <c r="Z701" s="792"/>
    </row>
    <row r="702" ht="15.75" customHeight="1">
      <c r="A702" s="901"/>
      <c r="B702" s="902"/>
      <c r="C702" s="901"/>
      <c r="D702" s="901"/>
      <c r="E702" s="901"/>
      <c r="F702" s="903"/>
      <c r="G702" s="901"/>
      <c r="H702" s="792"/>
      <c r="I702" s="792"/>
      <c r="J702" s="792"/>
      <c r="K702" s="792"/>
      <c r="L702" s="792"/>
      <c r="M702" s="792"/>
      <c r="N702" s="792"/>
      <c r="O702" s="792"/>
      <c r="P702" s="792"/>
      <c r="Q702" s="792"/>
      <c r="R702" s="792"/>
      <c r="S702" s="792"/>
      <c r="T702" s="792"/>
      <c r="U702" s="792"/>
      <c r="V702" s="792"/>
      <c r="W702" s="792"/>
      <c r="X702" s="792"/>
      <c r="Y702" s="792"/>
      <c r="Z702" s="792"/>
    </row>
    <row r="703" ht="15.75" customHeight="1">
      <c r="A703" s="901"/>
      <c r="B703" s="902"/>
      <c r="C703" s="901"/>
      <c r="D703" s="901"/>
      <c r="E703" s="901"/>
      <c r="F703" s="903"/>
      <c r="G703" s="901"/>
      <c r="H703" s="792"/>
      <c r="I703" s="792"/>
      <c r="J703" s="792"/>
      <c r="K703" s="792"/>
      <c r="L703" s="792"/>
      <c r="M703" s="792"/>
      <c r="N703" s="792"/>
      <c r="O703" s="792"/>
      <c r="P703" s="792"/>
      <c r="Q703" s="792"/>
      <c r="R703" s="792"/>
      <c r="S703" s="792"/>
      <c r="T703" s="792"/>
      <c r="U703" s="792"/>
      <c r="V703" s="792"/>
      <c r="W703" s="792"/>
      <c r="X703" s="792"/>
      <c r="Y703" s="792"/>
      <c r="Z703" s="792"/>
    </row>
    <row r="704" ht="15.75" customHeight="1">
      <c r="A704" s="901"/>
      <c r="B704" s="902"/>
      <c r="C704" s="901"/>
      <c r="D704" s="901"/>
      <c r="E704" s="901"/>
      <c r="F704" s="903"/>
      <c r="G704" s="901"/>
      <c r="H704" s="792"/>
      <c r="I704" s="792"/>
      <c r="J704" s="792"/>
      <c r="K704" s="792"/>
      <c r="L704" s="792"/>
      <c r="M704" s="792"/>
      <c r="N704" s="792"/>
      <c r="O704" s="792"/>
      <c r="P704" s="792"/>
      <c r="Q704" s="792"/>
      <c r="R704" s="792"/>
      <c r="S704" s="792"/>
      <c r="T704" s="792"/>
      <c r="U704" s="792"/>
      <c r="V704" s="792"/>
      <c r="W704" s="792"/>
      <c r="X704" s="792"/>
      <c r="Y704" s="792"/>
      <c r="Z704" s="792"/>
    </row>
    <row r="705" ht="15.75" customHeight="1">
      <c r="A705" s="901"/>
      <c r="B705" s="902"/>
      <c r="C705" s="901"/>
      <c r="D705" s="901"/>
      <c r="E705" s="901"/>
      <c r="F705" s="903"/>
      <c r="G705" s="901"/>
      <c r="H705" s="792"/>
      <c r="I705" s="792"/>
      <c r="J705" s="792"/>
      <c r="K705" s="792"/>
      <c r="L705" s="792"/>
      <c r="M705" s="792"/>
      <c r="N705" s="792"/>
      <c r="O705" s="792"/>
      <c r="P705" s="792"/>
      <c r="Q705" s="792"/>
      <c r="R705" s="792"/>
      <c r="S705" s="792"/>
      <c r="T705" s="792"/>
      <c r="U705" s="792"/>
      <c r="V705" s="792"/>
      <c r="W705" s="792"/>
      <c r="X705" s="792"/>
      <c r="Y705" s="792"/>
      <c r="Z705" s="792"/>
    </row>
    <row r="706" ht="15.75" customHeight="1">
      <c r="A706" s="901"/>
      <c r="B706" s="902"/>
      <c r="C706" s="901"/>
      <c r="D706" s="901"/>
      <c r="E706" s="901"/>
      <c r="F706" s="903"/>
      <c r="G706" s="901"/>
      <c r="H706" s="792"/>
      <c r="I706" s="792"/>
      <c r="J706" s="792"/>
      <c r="K706" s="792"/>
      <c r="L706" s="792"/>
      <c r="M706" s="792"/>
      <c r="N706" s="792"/>
      <c r="O706" s="792"/>
      <c r="P706" s="792"/>
      <c r="Q706" s="792"/>
      <c r="R706" s="792"/>
      <c r="S706" s="792"/>
      <c r="T706" s="792"/>
      <c r="U706" s="792"/>
      <c r="V706" s="792"/>
      <c r="W706" s="792"/>
      <c r="X706" s="792"/>
      <c r="Y706" s="792"/>
      <c r="Z706" s="792"/>
    </row>
    <row r="707" ht="15.75" customHeight="1">
      <c r="A707" s="901"/>
      <c r="B707" s="902"/>
      <c r="C707" s="901"/>
      <c r="D707" s="901"/>
      <c r="E707" s="901"/>
      <c r="F707" s="903"/>
      <c r="G707" s="901"/>
      <c r="H707" s="792"/>
      <c r="I707" s="792"/>
      <c r="J707" s="792"/>
      <c r="K707" s="792"/>
      <c r="L707" s="792"/>
      <c r="M707" s="792"/>
      <c r="N707" s="792"/>
      <c r="O707" s="792"/>
      <c r="P707" s="792"/>
      <c r="Q707" s="792"/>
      <c r="R707" s="792"/>
      <c r="S707" s="792"/>
      <c r="T707" s="792"/>
      <c r="U707" s="792"/>
      <c r="V707" s="792"/>
      <c r="W707" s="792"/>
      <c r="X707" s="792"/>
      <c r="Y707" s="792"/>
      <c r="Z707" s="792"/>
    </row>
    <row r="708" ht="15.75" customHeight="1">
      <c r="A708" s="901"/>
      <c r="B708" s="902"/>
      <c r="C708" s="901"/>
      <c r="D708" s="901"/>
      <c r="E708" s="901"/>
      <c r="F708" s="903"/>
      <c r="G708" s="901"/>
      <c r="H708" s="792"/>
      <c r="I708" s="792"/>
      <c r="J708" s="792"/>
      <c r="K708" s="792"/>
      <c r="L708" s="792"/>
      <c r="M708" s="792"/>
      <c r="N708" s="792"/>
      <c r="O708" s="792"/>
      <c r="P708" s="792"/>
      <c r="Q708" s="792"/>
      <c r="R708" s="792"/>
      <c r="S708" s="792"/>
      <c r="T708" s="792"/>
      <c r="U708" s="792"/>
      <c r="V708" s="792"/>
      <c r="W708" s="792"/>
      <c r="X708" s="792"/>
      <c r="Y708" s="792"/>
      <c r="Z708" s="792"/>
    </row>
    <row r="709" ht="15.75" customHeight="1">
      <c r="A709" s="901"/>
      <c r="B709" s="902"/>
      <c r="C709" s="901"/>
      <c r="D709" s="901"/>
      <c r="E709" s="901"/>
      <c r="F709" s="903"/>
      <c r="G709" s="901"/>
      <c r="H709" s="792"/>
      <c r="I709" s="792"/>
      <c r="J709" s="792"/>
      <c r="K709" s="792"/>
      <c r="L709" s="792"/>
      <c r="M709" s="792"/>
      <c r="N709" s="792"/>
      <c r="O709" s="792"/>
      <c r="P709" s="792"/>
      <c r="Q709" s="792"/>
      <c r="R709" s="792"/>
      <c r="S709" s="792"/>
      <c r="T709" s="792"/>
      <c r="U709" s="792"/>
      <c r="V709" s="792"/>
      <c r="W709" s="792"/>
      <c r="X709" s="792"/>
      <c r="Y709" s="792"/>
      <c r="Z709" s="792"/>
    </row>
    <row r="710" ht="15.75" customHeight="1">
      <c r="A710" s="901"/>
      <c r="B710" s="902"/>
      <c r="C710" s="901"/>
      <c r="D710" s="901"/>
      <c r="E710" s="901"/>
      <c r="F710" s="903"/>
      <c r="G710" s="901"/>
      <c r="H710" s="792"/>
      <c r="I710" s="792"/>
      <c r="J710" s="792"/>
      <c r="K710" s="792"/>
      <c r="L710" s="792"/>
      <c r="M710" s="792"/>
      <c r="N710" s="792"/>
      <c r="O710" s="792"/>
      <c r="P710" s="792"/>
      <c r="Q710" s="792"/>
      <c r="R710" s="792"/>
      <c r="S710" s="792"/>
      <c r="T710" s="792"/>
      <c r="U710" s="792"/>
      <c r="V710" s="792"/>
      <c r="W710" s="792"/>
      <c r="X710" s="792"/>
      <c r="Y710" s="792"/>
      <c r="Z710" s="792"/>
    </row>
    <row r="711" ht="15.75" customHeight="1">
      <c r="A711" s="901"/>
      <c r="B711" s="902"/>
      <c r="C711" s="901"/>
      <c r="D711" s="901"/>
      <c r="E711" s="901"/>
      <c r="F711" s="903"/>
      <c r="G711" s="901"/>
      <c r="H711" s="792"/>
      <c r="I711" s="792"/>
      <c r="J711" s="792"/>
      <c r="K711" s="792"/>
      <c r="L711" s="792"/>
      <c r="M711" s="792"/>
      <c r="N711" s="792"/>
      <c r="O711" s="792"/>
      <c r="P711" s="792"/>
      <c r="Q711" s="792"/>
      <c r="R711" s="792"/>
      <c r="S711" s="792"/>
      <c r="T711" s="792"/>
      <c r="U711" s="792"/>
      <c r="V711" s="792"/>
      <c r="W711" s="792"/>
      <c r="X711" s="792"/>
      <c r="Y711" s="792"/>
      <c r="Z711" s="792"/>
    </row>
    <row r="712" ht="15.75" customHeight="1">
      <c r="A712" s="901"/>
      <c r="B712" s="902"/>
      <c r="C712" s="901"/>
      <c r="D712" s="901"/>
      <c r="E712" s="901"/>
      <c r="F712" s="903"/>
      <c r="G712" s="901"/>
      <c r="H712" s="792"/>
      <c r="I712" s="792"/>
      <c r="J712" s="792"/>
      <c r="K712" s="792"/>
      <c r="L712" s="792"/>
      <c r="M712" s="792"/>
      <c r="N712" s="792"/>
      <c r="O712" s="792"/>
      <c r="P712" s="792"/>
      <c r="Q712" s="792"/>
      <c r="R712" s="792"/>
      <c r="S712" s="792"/>
      <c r="T712" s="792"/>
      <c r="U712" s="792"/>
      <c r="V712" s="792"/>
      <c r="W712" s="792"/>
      <c r="X712" s="792"/>
      <c r="Y712" s="792"/>
      <c r="Z712" s="792"/>
    </row>
    <row r="713" ht="15.75" customHeight="1">
      <c r="A713" s="901"/>
      <c r="B713" s="902"/>
      <c r="C713" s="901"/>
      <c r="D713" s="901"/>
      <c r="E713" s="901"/>
      <c r="F713" s="903"/>
      <c r="G713" s="901"/>
      <c r="H713" s="792"/>
      <c r="I713" s="792"/>
      <c r="J713" s="792"/>
      <c r="K713" s="792"/>
      <c r="L713" s="792"/>
      <c r="M713" s="792"/>
      <c r="N713" s="792"/>
      <c r="O713" s="792"/>
      <c r="P713" s="792"/>
      <c r="Q713" s="792"/>
      <c r="R713" s="792"/>
      <c r="S713" s="792"/>
      <c r="T713" s="792"/>
      <c r="U713" s="792"/>
      <c r="V713" s="792"/>
      <c r="W713" s="792"/>
      <c r="X713" s="792"/>
      <c r="Y713" s="792"/>
      <c r="Z713" s="792"/>
    </row>
    <row r="714" ht="15.75" customHeight="1">
      <c r="A714" s="901"/>
      <c r="B714" s="902"/>
      <c r="C714" s="901"/>
      <c r="D714" s="901"/>
      <c r="E714" s="901"/>
      <c r="F714" s="903"/>
      <c r="G714" s="901"/>
      <c r="H714" s="792"/>
      <c r="I714" s="792"/>
      <c r="J714" s="792"/>
      <c r="K714" s="792"/>
      <c r="L714" s="792"/>
      <c r="M714" s="792"/>
      <c r="N714" s="792"/>
      <c r="O714" s="792"/>
      <c r="P714" s="792"/>
      <c r="Q714" s="792"/>
      <c r="R714" s="792"/>
      <c r="S714" s="792"/>
      <c r="T714" s="792"/>
      <c r="U714" s="792"/>
      <c r="V714" s="792"/>
      <c r="W714" s="792"/>
      <c r="X714" s="792"/>
      <c r="Y714" s="792"/>
      <c r="Z714" s="792"/>
    </row>
    <row r="715" ht="15.75" customHeight="1">
      <c r="A715" s="901"/>
      <c r="B715" s="902"/>
      <c r="C715" s="901"/>
      <c r="D715" s="901"/>
      <c r="E715" s="901"/>
      <c r="F715" s="903"/>
      <c r="G715" s="901"/>
      <c r="H715" s="792"/>
      <c r="I715" s="792"/>
      <c r="J715" s="792"/>
      <c r="K715" s="792"/>
      <c r="L715" s="792"/>
      <c r="M715" s="792"/>
      <c r="N715" s="792"/>
      <c r="O715" s="792"/>
      <c r="P715" s="792"/>
      <c r="Q715" s="792"/>
      <c r="R715" s="792"/>
      <c r="S715" s="792"/>
      <c r="T715" s="792"/>
      <c r="U715" s="792"/>
      <c r="V715" s="792"/>
      <c r="W715" s="792"/>
      <c r="X715" s="792"/>
      <c r="Y715" s="792"/>
      <c r="Z715" s="792"/>
    </row>
    <row r="716" ht="15.75" customHeight="1">
      <c r="A716" s="901"/>
      <c r="B716" s="902"/>
      <c r="C716" s="901"/>
      <c r="D716" s="901"/>
      <c r="E716" s="901"/>
      <c r="F716" s="903"/>
      <c r="G716" s="901"/>
      <c r="H716" s="792"/>
      <c r="I716" s="792"/>
      <c r="J716" s="792"/>
      <c r="K716" s="792"/>
      <c r="L716" s="792"/>
      <c r="M716" s="792"/>
      <c r="N716" s="792"/>
      <c r="O716" s="792"/>
      <c r="P716" s="792"/>
      <c r="Q716" s="792"/>
      <c r="R716" s="792"/>
      <c r="S716" s="792"/>
      <c r="T716" s="792"/>
      <c r="U716" s="792"/>
      <c r="V716" s="792"/>
      <c r="W716" s="792"/>
      <c r="X716" s="792"/>
      <c r="Y716" s="792"/>
      <c r="Z716" s="792"/>
    </row>
    <row r="717" ht="15.75" customHeight="1">
      <c r="A717" s="901"/>
      <c r="B717" s="902"/>
      <c r="C717" s="901"/>
      <c r="D717" s="901"/>
      <c r="E717" s="901"/>
      <c r="F717" s="903"/>
      <c r="G717" s="901"/>
      <c r="H717" s="792"/>
      <c r="I717" s="792"/>
      <c r="J717" s="792"/>
      <c r="K717" s="792"/>
      <c r="L717" s="792"/>
      <c r="M717" s="792"/>
      <c r="N717" s="792"/>
      <c r="O717" s="792"/>
      <c r="P717" s="792"/>
      <c r="Q717" s="792"/>
      <c r="R717" s="792"/>
      <c r="S717" s="792"/>
      <c r="T717" s="792"/>
      <c r="U717" s="792"/>
      <c r="V717" s="792"/>
      <c r="W717" s="792"/>
      <c r="X717" s="792"/>
      <c r="Y717" s="792"/>
      <c r="Z717" s="792"/>
    </row>
    <row r="718" ht="15.75" customHeight="1">
      <c r="A718" s="901"/>
      <c r="B718" s="902"/>
      <c r="C718" s="901"/>
      <c r="D718" s="901"/>
      <c r="E718" s="901"/>
      <c r="F718" s="903"/>
      <c r="G718" s="901"/>
      <c r="H718" s="792"/>
      <c r="I718" s="792"/>
      <c r="J718" s="792"/>
      <c r="K718" s="792"/>
      <c r="L718" s="792"/>
      <c r="M718" s="792"/>
      <c r="N718" s="792"/>
      <c r="O718" s="792"/>
      <c r="P718" s="792"/>
      <c r="Q718" s="792"/>
      <c r="R718" s="792"/>
      <c r="S718" s="792"/>
      <c r="T718" s="792"/>
      <c r="U718" s="792"/>
      <c r="V718" s="792"/>
      <c r="W718" s="792"/>
      <c r="X718" s="792"/>
      <c r="Y718" s="792"/>
      <c r="Z718" s="792"/>
    </row>
    <row r="719" ht="15.75" customHeight="1">
      <c r="A719" s="901"/>
      <c r="B719" s="902"/>
      <c r="C719" s="901"/>
      <c r="D719" s="901"/>
      <c r="E719" s="901"/>
      <c r="F719" s="903"/>
      <c r="G719" s="901"/>
      <c r="H719" s="792"/>
      <c r="I719" s="792"/>
      <c r="J719" s="792"/>
      <c r="K719" s="792"/>
      <c r="L719" s="792"/>
      <c r="M719" s="792"/>
      <c r="N719" s="792"/>
      <c r="O719" s="792"/>
      <c r="P719" s="792"/>
      <c r="Q719" s="792"/>
      <c r="R719" s="792"/>
      <c r="S719" s="792"/>
      <c r="T719" s="792"/>
      <c r="U719" s="792"/>
      <c r="V719" s="792"/>
      <c r="W719" s="792"/>
      <c r="X719" s="792"/>
      <c r="Y719" s="792"/>
      <c r="Z719" s="792"/>
    </row>
    <row r="720" ht="15.75" customHeight="1">
      <c r="A720" s="901"/>
      <c r="B720" s="902"/>
      <c r="C720" s="901"/>
      <c r="D720" s="901"/>
      <c r="E720" s="901"/>
      <c r="F720" s="903"/>
      <c r="G720" s="901"/>
      <c r="H720" s="792"/>
      <c r="I720" s="792"/>
      <c r="J720" s="792"/>
      <c r="K720" s="792"/>
      <c r="L720" s="792"/>
      <c r="M720" s="792"/>
      <c r="N720" s="792"/>
      <c r="O720" s="792"/>
      <c r="P720" s="792"/>
      <c r="Q720" s="792"/>
      <c r="R720" s="792"/>
      <c r="S720" s="792"/>
      <c r="T720" s="792"/>
      <c r="U720" s="792"/>
      <c r="V720" s="792"/>
      <c r="W720" s="792"/>
      <c r="X720" s="792"/>
      <c r="Y720" s="792"/>
      <c r="Z720" s="792"/>
    </row>
    <row r="721" ht="15.75" customHeight="1">
      <c r="A721" s="901"/>
      <c r="B721" s="902"/>
      <c r="C721" s="901"/>
      <c r="D721" s="901"/>
      <c r="E721" s="901"/>
      <c r="F721" s="903"/>
      <c r="G721" s="901"/>
      <c r="H721" s="792"/>
      <c r="I721" s="792"/>
      <c r="J721" s="792"/>
      <c r="K721" s="792"/>
      <c r="L721" s="792"/>
      <c r="M721" s="792"/>
      <c r="N721" s="792"/>
      <c r="O721" s="792"/>
      <c r="P721" s="792"/>
      <c r="Q721" s="792"/>
      <c r="R721" s="792"/>
      <c r="S721" s="792"/>
      <c r="T721" s="792"/>
      <c r="U721" s="792"/>
      <c r="V721" s="792"/>
      <c r="W721" s="792"/>
      <c r="X721" s="792"/>
      <c r="Y721" s="792"/>
      <c r="Z721" s="792"/>
    </row>
    <row r="722" ht="15.75" customHeight="1">
      <c r="A722" s="901"/>
      <c r="B722" s="902"/>
      <c r="C722" s="901"/>
      <c r="D722" s="901"/>
      <c r="E722" s="901"/>
      <c r="F722" s="903"/>
      <c r="G722" s="901"/>
      <c r="H722" s="792"/>
      <c r="I722" s="792"/>
      <c r="J722" s="792"/>
      <c r="K722" s="792"/>
      <c r="L722" s="792"/>
      <c r="M722" s="792"/>
      <c r="N722" s="792"/>
      <c r="O722" s="792"/>
      <c r="P722" s="792"/>
      <c r="Q722" s="792"/>
      <c r="R722" s="792"/>
      <c r="S722" s="792"/>
      <c r="T722" s="792"/>
      <c r="U722" s="792"/>
      <c r="V722" s="792"/>
      <c r="W722" s="792"/>
      <c r="X722" s="792"/>
      <c r="Y722" s="792"/>
      <c r="Z722" s="792"/>
    </row>
    <row r="723" ht="15.75" customHeight="1">
      <c r="A723" s="901"/>
      <c r="B723" s="902"/>
      <c r="C723" s="901"/>
      <c r="D723" s="901"/>
      <c r="E723" s="901"/>
      <c r="F723" s="903"/>
      <c r="G723" s="901"/>
      <c r="H723" s="792"/>
      <c r="I723" s="792"/>
      <c r="J723" s="792"/>
      <c r="K723" s="792"/>
      <c r="L723" s="792"/>
      <c r="M723" s="792"/>
      <c r="N723" s="792"/>
      <c r="O723" s="792"/>
      <c r="P723" s="792"/>
      <c r="Q723" s="792"/>
      <c r="R723" s="792"/>
      <c r="S723" s="792"/>
      <c r="T723" s="792"/>
      <c r="U723" s="792"/>
      <c r="V723" s="792"/>
      <c r="W723" s="792"/>
      <c r="X723" s="792"/>
      <c r="Y723" s="792"/>
      <c r="Z723" s="792"/>
    </row>
    <row r="724" ht="15.75" customHeight="1">
      <c r="A724" s="901"/>
      <c r="B724" s="902"/>
      <c r="C724" s="901"/>
      <c r="D724" s="901"/>
      <c r="E724" s="901"/>
      <c r="F724" s="903"/>
      <c r="G724" s="901"/>
      <c r="H724" s="792"/>
      <c r="I724" s="792"/>
      <c r="J724" s="792"/>
      <c r="K724" s="792"/>
      <c r="L724" s="792"/>
      <c r="M724" s="792"/>
      <c r="N724" s="792"/>
      <c r="O724" s="792"/>
      <c r="P724" s="792"/>
      <c r="Q724" s="792"/>
      <c r="R724" s="792"/>
      <c r="S724" s="792"/>
      <c r="T724" s="792"/>
      <c r="U724" s="792"/>
      <c r="V724" s="792"/>
      <c r="W724" s="792"/>
      <c r="X724" s="792"/>
      <c r="Y724" s="792"/>
      <c r="Z724" s="792"/>
    </row>
    <row r="725" ht="15.75" customHeight="1">
      <c r="A725" s="901"/>
      <c r="B725" s="902"/>
      <c r="C725" s="901"/>
      <c r="D725" s="901"/>
      <c r="E725" s="901"/>
      <c r="F725" s="903"/>
      <c r="G725" s="901"/>
      <c r="H725" s="792"/>
      <c r="I725" s="792"/>
      <c r="J725" s="792"/>
      <c r="K725" s="792"/>
      <c r="L725" s="792"/>
      <c r="M725" s="792"/>
      <c r="N725" s="792"/>
      <c r="O725" s="792"/>
      <c r="P725" s="792"/>
      <c r="Q725" s="792"/>
      <c r="R725" s="792"/>
      <c r="S725" s="792"/>
      <c r="T725" s="792"/>
      <c r="U725" s="792"/>
      <c r="V725" s="792"/>
      <c r="W725" s="792"/>
      <c r="X725" s="792"/>
      <c r="Y725" s="792"/>
      <c r="Z725" s="792"/>
    </row>
    <row r="726" ht="15.75" customHeight="1">
      <c r="A726" s="901"/>
      <c r="B726" s="902"/>
      <c r="C726" s="901"/>
      <c r="D726" s="901"/>
      <c r="E726" s="901"/>
      <c r="F726" s="903"/>
      <c r="G726" s="901"/>
      <c r="H726" s="792"/>
      <c r="I726" s="792"/>
      <c r="J726" s="792"/>
      <c r="K726" s="792"/>
      <c r="L726" s="792"/>
      <c r="M726" s="792"/>
      <c r="N726" s="792"/>
      <c r="O726" s="792"/>
      <c r="P726" s="792"/>
      <c r="Q726" s="792"/>
      <c r="R726" s="792"/>
      <c r="S726" s="792"/>
      <c r="T726" s="792"/>
      <c r="U726" s="792"/>
      <c r="V726" s="792"/>
      <c r="W726" s="792"/>
      <c r="X726" s="792"/>
      <c r="Y726" s="792"/>
      <c r="Z726" s="792"/>
    </row>
    <row r="727" ht="15.75" customHeight="1">
      <c r="A727" s="901"/>
      <c r="B727" s="902"/>
      <c r="C727" s="901"/>
      <c r="D727" s="901"/>
      <c r="E727" s="901"/>
      <c r="F727" s="903"/>
      <c r="G727" s="901"/>
      <c r="H727" s="792"/>
      <c r="I727" s="792"/>
      <c r="J727" s="792"/>
      <c r="K727" s="792"/>
      <c r="L727" s="792"/>
      <c r="M727" s="792"/>
      <c r="N727" s="792"/>
      <c r="O727" s="792"/>
      <c r="P727" s="792"/>
      <c r="Q727" s="792"/>
      <c r="R727" s="792"/>
      <c r="S727" s="792"/>
      <c r="T727" s="792"/>
      <c r="U727" s="792"/>
      <c r="V727" s="792"/>
      <c r="W727" s="792"/>
      <c r="X727" s="792"/>
      <c r="Y727" s="792"/>
      <c r="Z727" s="792"/>
    </row>
    <row r="728" ht="15.75" customHeight="1">
      <c r="A728" s="901"/>
      <c r="B728" s="902"/>
      <c r="C728" s="901"/>
      <c r="D728" s="901"/>
      <c r="E728" s="901"/>
      <c r="F728" s="903"/>
      <c r="G728" s="901"/>
      <c r="H728" s="792"/>
      <c r="I728" s="792"/>
      <c r="J728" s="792"/>
      <c r="K728" s="792"/>
      <c r="L728" s="792"/>
      <c r="M728" s="792"/>
      <c r="N728" s="792"/>
      <c r="O728" s="792"/>
      <c r="P728" s="792"/>
      <c r="Q728" s="792"/>
      <c r="R728" s="792"/>
      <c r="S728" s="792"/>
      <c r="T728" s="792"/>
      <c r="U728" s="792"/>
      <c r="V728" s="792"/>
      <c r="W728" s="792"/>
      <c r="X728" s="792"/>
      <c r="Y728" s="792"/>
      <c r="Z728" s="792"/>
    </row>
    <row r="729" ht="15.75" customHeight="1">
      <c r="A729" s="901"/>
      <c r="B729" s="902"/>
      <c r="C729" s="901"/>
      <c r="D729" s="901"/>
      <c r="E729" s="901"/>
      <c r="F729" s="903"/>
      <c r="G729" s="901"/>
      <c r="H729" s="792"/>
      <c r="I729" s="792"/>
      <c r="J729" s="792"/>
      <c r="K729" s="792"/>
      <c r="L729" s="792"/>
      <c r="M729" s="792"/>
      <c r="N729" s="792"/>
      <c r="O729" s="792"/>
      <c r="P729" s="792"/>
      <c r="Q729" s="792"/>
      <c r="R729" s="792"/>
      <c r="S729" s="792"/>
      <c r="T729" s="792"/>
      <c r="U729" s="792"/>
      <c r="V729" s="792"/>
      <c r="W729" s="792"/>
      <c r="X729" s="792"/>
      <c r="Y729" s="792"/>
      <c r="Z729" s="792"/>
    </row>
    <row r="730" ht="15.75" customHeight="1">
      <c r="A730" s="901"/>
      <c r="B730" s="902"/>
      <c r="C730" s="901"/>
      <c r="D730" s="901"/>
      <c r="E730" s="901"/>
      <c r="F730" s="903"/>
      <c r="G730" s="901"/>
      <c r="H730" s="792"/>
      <c r="I730" s="792"/>
      <c r="J730" s="792"/>
      <c r="K730" s="792"/>
      <c r="L730" s="792"/>
      <c r="M730" s="792"/>
      <c r="N730" s="792"/>
      <c r="O730" s="792"/>
      <c r="P730" s="792"/>
      <c r="Q730" s="792"/>
      <c r="R730" s="792"/>
      <c r="S730" s="792"/>
      <c r="T730" s="792"/>
      <c r="U730" s="792"/>
      <c r="V730" s="792"/>
      <c r="W730" s="792"/>
      <c r="X730" s="792"/>
      <c r="Y730" s="792"/>
      <c r="Z730" s="792"/>
    </row>
    <row r="731" ht="15.75" customHeight="1">
      <c r="A731" s="901"/>
      <c r="B731" s="902"/>
      <c r="C731" s="901"/>
      <c r="D731" s="901"/>
      <c r="E731" s="901"/>
      <c r="F731" s="903"/>
      <c r="G731" s="901"/>
      <c r="H731" s="792"/>
      <c r="I731" s="792"/>
      <c r="J731" s="792"/>
      <c r="K731" s="792"/>
      <c r="L731" s="792"/>
      <c r="M731" s="792"/>
      <c r="N731" s="792"/>
      <c r="O731" s="792"/>
      <c r="P731" s="792"/>
      <c r="Q731" s="792"/>
      <c r="R731" s="792"/>
      <c r="S731" s="792"/>
      <c r="T731" s="792"/>
      <c r="U731" s="792"/>
      <c r="V731" s="792"/>
      <c r="W731" s="792"/>
      <c r="X731" s="792"/>
      <c r="Y731" s="792"/>
      <c r="Z731" s="792"/>
    </row>
    <row r="732" ht="15.75" customHeight="1">
      <c r="A732" s="901"/>
      <c r="B732" s="902"/>
      <c r="C732" s="901"/>
      <c r="D732" s="901"/>
      <c r="E732" s="901"/>
      <c r="F732" s="903"/>
      <c r="G732" s="901"/>
      <c r="H732" s="792"/>
      <c r="I732" s="792"/>
      <c r="J732" s="792"/>
      <c r="K732" s="792"/>
      <c r="L732" s="792"/>
      <c r="M732" s="792"/>
      <c r="N732" s="792"/>
      <c r="O732" s="792"/>
      <c r="P732" s="792"/>
      <c r="Q732" s="792"/>
      <c r="R732" s="792"/>
      <c r="S732" s="792"/>
      <c r="T732" s="792"/>
      <c r="U732" s="792"/>
      <c r="V732" s="792"/>
      <c r="W732" s="792"/>
      <c r="X732" s="792"/>
      <c r="Y732" s="792"/>
      <c r="Z732" s="792"/>
    </row>
    <row r="733" ht="15.75" customHeight="1">
      <c r="A733" s="901"/>
      <c r="B733" s="902"/>
      <c r="C733" s="901"/>
      <c r="D733" s="901"/>
      <c r="E733" s="901"/>
      <c r="F733" s="903"/>
      <c r="G733" s="901"/>
      <c r="H733" s="792"/>
      <c r="I733" s="792"/>
      <c r="J733" s="792"/>
      <c r="K733" s="792"/>
      <c r="L733" s="792"/>
      <c r="M733" s="792"/>
      <c r="N733" s="792"/>
      <c r="O733" s="792"/>
      <c r="P733" s="792"/>
      <c r="Q733" s="792"/>
      <c r="R733" s="792"/>
      <c r="S733" s="792"/>
      <c r="T733" s="792"/>
      <c r="U733" s="792"/>
      <c r="V733" s="792"/>
      <c r="W733" s="792"/>
      <c r="X733" s="792"/>
      <c r="Y733" s="792"/>
      <c r="Z733" s="792"/>
    </row>
    <row r="734" ht="15.75" customHeight="1">
      <c r="A734" s="901"/>
      <c r="B734" s="902"/>
      <c r="C734" s="901"/>
      <c r="D734" s="901"/>
      <c r="E734" s="901"/>
      <c r="F734" s="903"/>
      <c r="G734" s="901"/>
      <c r="H734" s="792"/>
      <c r="I734" s="792"/>
      <c r="J734" s="792"/>
      <c r="K734" s="792"/>
      <c r="L734" s="792"/>
      <c r="M734" s="792"/>
      <c r="N734" s="792"/>
      <c r="O734" s="792"/>
      <c r="P734" s="792"/>
      <c r="Q734" s="792"/>
      <c r="R734" s="792"/>
      <c r="S734" s="792"/>
      <c r="T734" s="792"/>
      <c r="U734" s="792"/>
      <c r="V734" s="792"/>
      <c r="W734" s="792"/>
      <c r="X734" s="792"/>
      <c r="Y734" s="792"/>
      <c r="Z734" s="792"/>
    </row>
    <row r="735" ht="15.75" customHeight="1">
      <c r="A735" s="901"/>
      <c r="B735" s="902"/>
      <c r="C735" s="901"/>
      <c r="D735" s="901"/>
      <c r="E735" s="901"/>
      <c r="F735" s="903"/>
      <c r="G735" s="901"/>
      <c r="H735" s="792"/>
      <c r="I735" s="792"/>
      <c r="J735" s="792"/>
      <c r="K735" s="792"/>
      <c r="L735" s="792"/>
      <c r="M735" s="792"/>
      <c r="N735" s="792"/>
      <c r="O735" s="792"/>
      <c r="P735" s="792"/>
      <c r="Q735" s="792"/>
      <c r="R735" s="792"/>
      <c r="S735" s="792"/>
      <c r="T735" s="792"/>
      <c r="U735" s="792"/>
      <c r="V735" s="792"/>
      <c r="W735" s="792"/>
      <c r="X735" s="792"/>
      <c r="Y735" s="792"/>
      <c r="Z735" s="792"/>
    </row>
    <row r="736" ht="15.75" customHeight="1">
      <c r="A736" s="901"/>
      <c r="B736" s="902"/>
      <c r="C736" s="901"/>
      <c r="D736" s="901"/>
      <c r="E736" s="901"/>
      <c r="F736" s="903"/>
      <c r="G736" s="901"/>
      <c r="H736" s="792"/>
      <c r="I736" s="792"/>
      <c r="J736" s="792"/>
      <c r="K736" s="792"/>
      <c r="L736" s="792"/>
      <c r="M736" s="792"/>
      <c r="N736" s="792"/>
      <c r="O736" s="792"/>
      <c r="P736" s="792"/>
      <c r="Q736" s="792"/>
      <c r="R736" s="792"/>
      <c r="S736" s="792"/>
      <c r="T736" s="792"/>
      <c r="U736" s="792"/>
      <c r="V736" s="792"/>
      <c r="W736" s="792"/>
      <c r="X736" s="792"/>
      <c r="Y736" s="792"/>
      <c r="Z736" s="792"/>
    </row>
    <row r="737" ht="15.75" customHeight="1">
      <c r="A737" s="901"/>
      <c r="B737" s="902"/>
      <c r="C737" s="901"/>
      <c r="D737" s="901"/>
      <c r="E737" s="901"/>
      <c r="F737" s="903"/>
      <c r="G737" s="901"/>
      <c r="H737" s="792"/>
      <c r="I737" s="792"/>
      <c r="J737" s="792"/>
      <c r="K737" s="792"/>
      <c r="L737" s="792"/>
      <c r="M737" s="792"/>
      <c r="N737" s="792"/>
      <c r="O737" s="792"/>
      <c r="P737" s="792"/>
      <c r="Q737" s="792"/>
      <c r="R737" s="792"/>
      <c r="S737" s="792"/>
      <c r="T737" s="792"/>
      <c r="U737" s="792"/>
      <c r="V737" s="792"/>
      <c r="W737" s="792"/>
      <c r="X737" s="792"/>
      <c r="Y737" s="792"/>
      <c r="Z737" s="792"/>
    </row>
    <row r="738" ht="15.75" customHeight="1">
      <c r="A738" s="901"/>
      <c r="B738" s="902"/>
      <c r="C738" s="901"/>
      <c r="D738" s="901"/>
      <c r="E738" s="901"/>
      <c r="F738" s="903"/>
      <c r="G738" s="901"/>
      <c r="H738" s="792"/>
      <c r="I738" s="792"/>
      <c r="J738" s="792"/>
      <c r="K738" s="792"/>
      <c r="L738" s="792"/>
      <c r="M738" s="792"/>
      <c r="N738" s="792"/>
      <c r="O738" s="792"/>
      <c r="P738" s="792"/>
      <c r="Q738" s="792"/>
      <c r="R738" s="792"/>
      <c r="S738" s="792"/>
      <c r="T738" s="792"/>
      <c r="U738" s="792"/>
      <c r="V738" s="792"/>
      <c r="W738" s="792"/>
      <c r="X738" s="792"/>
      <c r="Y738" s="792"/>
      <c r="Z738" s="792"/>
    </row>
    <row r="739" ht="15.75" customHeight="1">
      <c r="A739" s="901"/>
      <c r="B739" s="902"/>
      <c r="C739" s="901"/>
      <c r="D739" s="901"/>
      <c r="E739" s="901"/>
      <c r="F739" s="903"/>
      <c r="G739" s="901"/>
      <c r="H739" s="792"/>
      <c r="I739" s="792"/>
      <c r="J739" s="792"/>
      <c r="K739" s="792"/>
      <c r="L739" s="792"/>
      <c r="M739" s="792"/>
      <c r="N739" s="792"/>
      <c r="O739" s="792"/>
      <c r="P739" s="792"/>
      <c r="Q739" s="792"/>
      <c r="R739" s="792"/>
      <c r="S739" s="792"/>
      <c r="T739" s="792"/>
      <c r="U739" s="792"/>
      <c r="V739" s="792"/>
      <c r="W739" s="792"/>
      <c r="X739" s="792"/>
      <c r="Y739" s="792"/>
      <c r="Z739" s="792"/>
    </row>
    <row r="740" ht="15.75" customHeight="1">
      <c r="A740" s="901"/>
      <c r="B740" s="902"/>
      <c r="C740" s="901"/>
      <c r="D740" s="901"/>
      <c r="E740" s="901"/>
      <c r="F740" s="903"/>
      <c r="G740" s="901"/>
      <c r="H740" s="792"/>
      <c r="I740" s="792"/>
      <c r="J740" s="792"/>
      <c r="K740" s="792"/>
      <c r="L740" s="792"/>
      <c r="M740" s="792"/>
      <c r="N740" s="792"/>
      <c r="O740" s="792"/>
      <c r="P740" s="792"/>
      <c r="Q740" s="792"/>
      <c r="R740" s="792"/>
      <c r="S740" s="792"/>
      <c r="T740" s="792"/>
      <c r="U740" s="792"/>
      <c r="V740" s="792"/>
      <c r="W740" s="792"/>
      <c r="X740" s="792"/>
      <c r="Y740" s="792"/>
      <c r="Z740" s="792"/>
    </row>
    <row r="741" ht="15.75" customHeight="1">
      <c r="A741" s="901"/>
      <c r="B741" s="902"/>
      <c r="C741" s="901"/>
      <c r="D741" s="901"/>
      <c r="E741" s="901"/>
      <c r="F741" s="903"/>
      <c r="G741" s="901"/>
      <c r="H741" s="792"/>
      <c r="I741" s="792"/>
      <c r="J741" s="792"/>
      <c r="K741" s="792"/>
      <c r="L741" s="792"/>
      <c r="M741" s="792"/>
      <c r="N741" s="792"/>
      <c r="O741" s="792"/>
      <c r="P741" s="792"/>
      <c r="Q741" s="792"/>
      <c r="R741" s="792"/>
      <c r="S741" s="792"/>
      <c r="T741" s="792"/>
      <c r="U741" s="792"/>
      <c r="V741" s="792"/>
      <c r="W741" s="792"/>
      <c r="X741" s="792"/>
      <c r="Y741" s="792"/>
      <c r="Z741" s="792"/>
    </row>
    <row r="742" ht="15.75" customHeight="1">
      <c r="A742" s="901"/>
      <c r="B742" s="902"/>
      <c r="C742" s="901"/>
      <c r="D742" s="901"/>
      <c r="E742" s="901"/>
      <c r="F742" s="903"/>
      <c r="G742" s="901"/>
      <c r="H742" s="792"/>
      <c r="I742" s="792"/>
      <c r="J742" s="792"/>
      <c r="K742" s="792"/>
      <c r="L742" s="792"/>
      <c r="M742" s="792"/>
      <c r="N742" s="792"/>
      <c r="O742" s="792"/>
      <c r="P742" s="792"/>
      <c r="Q742" s="792"/>
      <c r="R742" s="792"/>
      <c r="S742" s="792"/>
      <c r="T742" s="792"/>
      <c r="U742" s="792"/>
      <c r="V742" s="792"/>
      <c r="W742" s="792"/>
      <c r="X742" s="792"/>
      <c r="Y742" s="792"/>
      <c r="Z742" s="792"/>
    </row>
    <row r="743" ht="15.75" customHeight="1">
      <c r="A743" s="901"/>
      <c r="B743" s="902"/>
      <c r="C743" s="901"/>
      <c r="D743" s="901"/>
      <c r="E743" s="901"/>
      <c r="F743" s="903"/>
      <c r="G743" s="901"/>
      <c r="H743" s="792"/>
      <c r="I743" s="792"/>
      <c r="J743" s="792"/>
      <c r="K743" s="792"/>
      <c r="L743" s="792"/>
      <c r="M743" s="792"/>
      <c r="N743" s="792"/>
      <c r="O743" s="792"/>
      <c r="P743" s="792"/>
      <c r="Q743" s="792"/>
      <c r="R743" s="792"/>
      <c r="S743" s="792"/>
      <c r="T743" s="792"/>
      <c r="U743" s="792"/>
      <c r="V743" s="792"/>
      <c r="W743" s="792"/>
      <c r="X743" s="792"/>
      <c r="Y743" s="792"/>
      <c r="Z743" s="792"/>
    </row>
    <row r="744" ht="15.75" customHeight="1">
      <c r="A744" s="901"/>
      <c r="B744" s="902"/>
      <c r="C744" s="901"/>
      <c r="D744" s="901"/>
      <c r="E744" s="901"/>
      <c r="F744" s="903"/>
      <c r="G744" s="901"/>
      <c r="H744" s="792"/>
      <c r="I744" s="792"/>
      <c r="J744" s="792"/>
      <c r="K744" s="792"/>
      <c r="L744" s="792"/>
      <c r="M744" s="792"/>
      <c r="N744" s="792"/>
      <c r="O744" s="792"/>
      <c r="P744" s="792"/>
      <c r="Q744" s="792"/>
      <c r="R744" s="792"/>
      <c r="S744" s="792"/>
      <c r="T744" s="792"/>
      <c r="U744" s="792"/>
      <c r="V744" s="792"/>
      <c r="W744" s="792"/>
      <c r="X744" s="792"/>
      <c r="Y744" s="792"/>
      <c r="Z744" s="792"/>
    </row>
    <row r="745" ht="15.75" customHeight="1">
      <c r="A745" s="901"/>
      <c r="B745" s="902"/>
      <c r="C745" s="901"/>
      <c r="D745" s="901"/>
      <c r="E745" s="901"/>
      <c r="F745" s="903"/>
      <c r="G745" s="901"/>
      <c r="H745" s="792"/>
      <c r="I745" s="792"/>
      <c r="J745" s="792"/>
      <c r="K745" s="792"/>
      <c r="L745" s="792"/>
      <c r="M745" s="792"/>
      <c r="N745" s="792"/>
      <c r="O745" s="792"/>
      <c r="P745" s="792"/>
      <c r="Q745" s="792"/>
      <c r="R745" s="792"/>
      <c r="S745" s="792"/>
      <c r="T745" s="792"/>
      <c r="U745" s="792"/>
      <c r="V745" s="792"/>
      <c r="W745" s="792"/>
      <c r="X745" s="792"/>
      <c r="Y745" s="792"/>
      <c r="Z745" s="792"/>
    </row>
    <row r="746" ht="15.75" customHeight="1">
      <c r="A746" s="901"/>
      <c r="B746" s="902"/>
      <c r="C746" s="901"/>
      <c r="D746" s="901"/>
      <c r="E746" s="901"/>
      <c r="F746" s="903"/>
      <c r="G746" s="901"/>
      <c r="H746" s="792"/>
      <c r="I746" s="792"/>
      <c r="J746" s="792"/>
      <c r="K746" s="792"/>
      <c r="L746" s="792"/>
      <c r="M746" s="792"/>
      <c r="N746" s="792"/>
      <c r="O746" s="792"/>
      <c r="P746" s="792"/>
      <c r="Q746" s="792"/>
      <c r="R746" s="792"/>
      <c r="S746" s="792"/>
      <c r="T746" s="792"/>
      <c r="U746" s="792"/>
      <c r="V746" s="792"/>
      <c r="W746" s="792"/>
      <c r="X746" s="792"/>
      <c r="Y746" s="792"/>
      <c r="Z746" s="792"/>
    </row>
    <row r="747" ht="15.75" customHeight="1">
      <c r="A747" s="901"/>
      <c r="B747" s="902"/>
      <c r="C747" s="901"/>
      <c r="D747" s="901"/>
      <c r="E747" s="901"/>
      <c r="F747" s="903"/>
      <c r="G747" s="901"/>
      <c r="H747" s="792"/>
      <c r="I747" s="792"/>
      <c r="J747" s="792"/>
      <c r="K747" s="792"/>
      <c r="L747" s="792"/>
      <c r="M747" s="792"/>
      <c r="N747" s="792"/>
      <c r="O747" s="792"/>
      <c r="P747" s="792"/>
      <c r="Q747" s="792"/>
      <c r="R747" s="792"/>
      <c r="S747" s="792"/>
      <c r="T747" s="792"/>
      <c r="U747" s="792"/>
      <c r="V747" s="792"/>
      <c r="W747" s="792"/>
      <c r="X747" s="792"/>
      <c r="Y747" s="792"/>
      <c r="Z747" s="792"/>
    </row>
    <row r="748" ht="15.75" customHeight="1">
      <c r="A748" s="901"/>
      <c r="B748" s="902"/>
      <c r="C748" s="901"/>
      <c r="D748" s="901"/>
      <c r="E748" s="901"/>
      <c r="F748" s="903"/>
      <c r="G748" s="901"/>
      <c r="H748" s="792"/>
      <c r="I748" s="792"/>
      <c r="J748" s="792"/>
      <c r="K748" s="792"/>
      <c r="L748" s="792"/>
      <c r="M748" s="792"/>
      <c r="N748" s="792"/>
      <c r="O748" s="792"/>
      <c r="P748" s="792"/>
      <c r="Q748" s="792"/>
      <c r="R748" s="792"/>
      <c r="S748" s="792"/>
      <c r="T748" s="792"/>
      <c r="U748" s="792"/>
      <c r="V748" s="792"/>
      <c r="W748" s="792"/>
      <c r="X748" s="792"/>
      <c r="Y748" s="792"/>
      <c r="Z748" s="792"/>
    </row>
    <row r="749" ht="15.75" customHeight="1">
      <c r="A749" s="901"/>
      <c r="B749" s="902"/>
      <c r="C749" s="901"/>
      <c r="D749" s="901"/>
      <c r="E749" s="901"/>
      <c r="F749" s="903"/>
      <c r="G749" s="901"/>
      <c r="H749" s="792"/>
      <c r="I749" s="792"/>
      <c r="J749" s="792"/>
      <c r="K749" s="792"/>
      <c r="L749" s="792"/>
      <c r="M749" s="792"/>
      <c r="N749" s="792"/>
      <c r="O749" s="792"/>
      <c r="P749" s="792"/>
      <c r="Q749" s="792"/>
      <c r="R749" s="792"/>
      <c r="S749" s="792"/>
      <c r="T749" s="792"/>
      <c r="U749" s="792"/>
      <c r="V749" s="792"/>
      <c r="W749" s="792"/>
      <c r="X749" s="792"/>
      <c r="Y749" s="792"/>
      <c r="Z749" s="792"/>
    </row>
    <row r="750" ht="15.75" customHeight="1">
      <c r="A750" s="901"/>
      <c r="B750" s="902"/>
      <c r="C750" s="901"/>
      <c r="D750" s="901"/>
      <c r="E750" s="901"/>
      <c r="F750" s="903"/>
      <c r="G750" s="901"/>
      <c r="H750" s="792"/>
      <c r="I750" s="792"/>
      <c r="J750" s="792"/>
      <c r="K750" s="792"/>
      <c r="L750" s="792"/>
      <c r="M750" s="792"/>
      <c r="N750" s="792"/>
      <c r="O750" s="792"/>
      <c r="P750" s="792"/>
      <c r="Q750" s="792"/>
      <c r="R750" s="792"/>
      <c r="S750" s="792"/>
      <c r="T750" s="792"/>
      <c r="U750" s="792"/>
      <c r="V750" s="792"/>
      <c r="W750" s="792"/>
      <c r="X750" s="792"/>
      <c r="Y750" s="792"/>
      <c r="Z750" s="792"/>
    </row>
    <row r="751" ht="15.75" customHeight="1">
      <c r="A751" s="901"/>
      <c r="B751" s="902"/>
      <c r="C751" s="901"/>
      <c r="D751" s="901"/>
      <c r="E751" s="901"/>
      <c r="F751" s="903"/>
      <c r="G751" s="901"/>
      <c r="H751" s="792"/>
      <c r="I751" s="792"/>
      <c r="J751" s="792"/>
      <c r="K751" s="792"/>
      <c r="L751" s="792"/>
      <c r="M751" s="792"/>
      <c r="N751" s="792"/>
      <c r="O751" s="792"/>
      <c r="P751" s="792"/>
      <c r="Q751" s="792"/>
      <c r="R751" s="792"/>
      <c r="S751" s="792"/>
      <c r="T751" s="792"/>
      <c r="U751" s="792"/>
      <c r="V751" s="792"/>
      <c r="W751" s="792"/>
      <c r="X751" s="792"/>
      <c r="Y751" s="792"/>
      <c r="Z751" s="792"/>
    </row>
    <row r="752" ht="15.75" customHeight="1">
      <c r="A752" s="901"/>
      <c r="B752" s="902"/>
      <c r="C752" s="901"/>
      <c r="D752" s="901"/>
      <c r="E752" s="901"/>
      <c r="F752" s="903"/>
      <c r="G752" s="901"/>
      <c r="H752" s="792"/>
      <c r="I752" s="792"/>
      <c r="J752" s="792"/>
      <c r="K752" s="792"/>
      <c r="L752" s="792"/>
      <c r="M752" s="792"/>
      <c r="N752" s="792"/>
      <c r="O752" s="792"/>
      <c r="P752" s="792"/>
      <c r="Q752" s="792"/>
      <c r="R752" s="792"/>
      <c r="S752" s="792"/>
      <c r="T752" s="792"/>
      <c r="U752" s="792"/>
      <c r="V752" s="792"/>
      <c r="W752" s="792"/>
      <c r="X752" s="792"/>
      <c r="Y752" s="792"/>
      <c r="Z752" s="792"/>
    </row>
    <row r="753" ht="15.75" customHeight="1">
      <c r="A753" s="901"/>
      <c r="B753" s="902"/>
      <c r="C753" s="901"/>
      <c r="D753" s="901"/>
      <c r="E753" s="901"/>
      <c r="F753" s="903"/>
      <c r="G753" s="901"/>
      <c r="H753" s="792"/>
      <c r="I753" s="792"/>
      <c r="J753" s="792"/>
      <c r="K753" s="792"/>
      <c r="L753" s="792"/>
      <c r="M753" s="792"/>
      <c r="N753" s="792"/>
      <c r="O753" s="792"/>
      <c r="P753" s="792"/>
      <c r="Q753" s="792"/>
      <c r="R753" s="792"/>
      <c r="S753" s="792"/>
      <c r="T753" s="792"/>
      <c r="U753" s="792"/>
      <c r="V753" s="792"/>
      <c r="W753" s="792"/>
      <c r="X753" s="792"/>
      <c r="Y753" s="792"/>
      <c r="Z753" s="792"/>
    </row>
    <row r="754" ht="15.75" customHeight="1">
      <c r="A754" s="901"/>
      <c r="B754" s="902"/>
      <c r="C754" s="901"/>
      <c r="D754" s="901"/>
      <c r="E754" s="901"/>
      <c r="F754" s="903"/>
      <c r="G754" s="901"/>
      <c r="H754" s="792"/>
      <c r="I754" s="792"/>
      <c r="J754" s="792"/>
      <c r="K754" s="792"/>
      <c r="L754" s="792"/>
      <c r="M754" s="792"/>
      <c r="N754" s="792"/>
      <c r="O754" s="792"/>
      <c r="P754" s="792"/>
      <c r="Q754" s="792"/>
      <c r="R754" s="792"/>
      <c r="S754" s="792"/>
      <c r="T754" s="792"/>
      <c r="U754" s="792"/>
      <c r="V754" s="792"/>
      <c r="W754" s="792"/>
      <c r="X754" s="792"/>
      <c r="Y754" s="792"/>
      <c r="Z754" s="792"/>
    </row>
    <row r="755" ht="15.75" customHeight="1">
      <c r="A755" s="901"/>
      <c r="B755" s="902"/>
      <c r="C755" s="901"/>
      <c r="D755" s="901"/>
      <c r="E755" s="901"/>
      <c r="F755" s="903"/>
      <c r="G755" s="901"/>
      <c r="H755" s="792"/>
      <c r="I755" s="792"/>
      <c r="J755" s="792"/>
      <c r="K755" s="792"/>
      <c r="L755" s="792"/>
      <c r="M755" s="792"/>
      <c r="N755" s="792"/>
      <c r="O755" s="792"/>
      <c r="P755" s="792"/>
      <c r="Q755" s="792"/>
      <c r="R755" s="792"/>
      <c r="S755" s="792"/>
      <c r="T755" s="792"/>
      <c r="U755" s="792"/>
      <c r="V755" s="792"/>
      <c r="W755" s="792"/>
      <c r="X755" s="792"/>
      <c r="Y755" s="792"/>
      <c r="Z755" s="792"/>
    </row>
    <row r="756" ht="15.75" customHeight="1">
      <c r="A756" s="901"/>
      <c r="B756" s="902"/>
      <c r="C756" s="901"/>
      <c r="D756" s="901"/>
      <c r="E756" s="901"/>
      <c r="F756" s="903"/>
      <c r="G756" s="901"/>
      <c r="H756" s="792"/>
      <c r="I756" s="792"/>
      <c r="J756" s="792"/>
      <c r="K756" s="792"/>
      <c r="L756" s="792"/>
      <c r="M756" s="792"/>
      <c r="N756" s="792"/>
      <c r="O756" s="792"/>
      <c r="P756" s="792"/>
      <c r="Q756" s="792"/>
      <c r="R756" s="792"/>
      <c r="S756" s="792"/>
      <c r="T756" s="792"/>
      <c r="U756" s="792"/>
      <c r="V756" s="792"/>
      <c r="W756" s="792"/>
      <c r="X756" s="792"/>
      <c r="Y756" s="792"/>
      <c r="Z756" s="792"/>
    </row>
    <row r="757" ht="15.75" customHeight="1">
      <c r="A757" s="901"/>
      <c r="B757" s="902"/>
      <c r="C757" s="901"/>
      <c r="D757" s="901"/>
      <c r="E757" s="901"/>
      <c r="F757" s="903"/>
      <c r="G757" s="901"/>
      <c r="H757" s="792"/>
      <c r="I757" s="792"/>
      <c r="J757" s="792"/>
      <c r="K757" s="792"/>
      <c r="L757" s="792"/>
      <c r="M757" s="792"/>
      <c r="N757" s="792"/>
      <c r="O757" s="792"/>
      <c r="P757" s="792"/>
      <c r="Q757" s="792"/>
      <c r="R757" s="792"/>
      <c r="S757" s="792"/>
      <c r="T757" s="792"/>
      <c r="U757" s="792"/>
      <c r="V757" s="792"/>
      <c r="W757" s="792"/>
      <c r="X757" s="792"/>
      <c r="Y757" s="792"/>
      <c r="Z757" s="792"/>
    </row>
    <row r="758" ht="15.75" customHeight="1">
      <c r="A758" s="901"/>
      <c r="B758" s="902"/>
      <c r="C758" s="901"/>
      <c r="D758" s="901"/>
      <c r="E758" s="901"/>
      <c r="F758" s="903"/>
      <c r="G758" s="901"/>
      <c r="H758" s="792"/>
      <c r="I758" s="792"/>
      <c r="J758" s="792"/>
      <c r="K758" s="792"/>
      <c r="L758" s="792"/>
      <c r="M758" s="792"/>
      <c r="N758" s="792"/>
      <c r="O758" s="792"/>
      <c r="P758" s="792"/>
      <c r="Q758" s="792"/>
      <c r="R758" s="792"/>
      <c r="S758" s="792"/>
      <c r="T758" s="792"/>
      <c r="U758" s="792"/>
      <c r="V758" s="792"/>
      <c r="W758" s="792"/>
      <c r="X758" s="792"/>
      <c r="Y758" s="792"/>
      <c r="Z758" s="792"/>
    </row>
    <row r="759" ht="15.75" customHeight="1">
      <c r="A759" s="901"/>
      <c r="B759" s="902"/>
      <c r="C759" s="901"/>
      <c r="D759" s="901"/>
      <c r="E759" s="901"/>
      <c r="F759" s="903"/>
      <c r="G759" s="901"/>
      <c r="H759" s="792"/>
      <c r="I759" s="792"/>
      <c r="J759" s="792"/>
      <c r="K759" s="792"/>
      <c r="L759" s="792"/>
      <c r="M759" s="792"/>
      <c r="N759" s="792"/>
      <c r="O759" s="792"/>
      <c r="P759" s="792"/>
      <c r="Q759" s="792"/>
      <c r="R759" s="792"/>
      <c r="S759" s="792"/>
      <c r="T759" s="792"/>
      <c r="U759" s="792"/>
      <c r="V759" s="792"/>
      <c r="W759" s="792"/>
      <c r="X759" s="792"/>
      <c r="Y759" s="792"/>
      <c r="Z759" s="792"/>
    </row>
    <row r="760" ht="15.75" customHeight="1">
      <c r="A760" s="901"/>
      <c r="B760" s="902"/>
      <c r="C760" s="901"/>
      <c r="D760" s="901"/>
      <c r="E760" s="901"/>
      <c r="F760" s="903"/>
      <c r="G760" s="901"/>
      <c r="H760" s="792"/>
      <c r="I760" s="792"/>
      <c r="J760" s="792"/>
      <c r="K760" s="792"/>
      <c r="L760" s="792"/>
      <c r="M760" s="792"/>
      <c r="N760" s="792"/>
      <c r="O760" s="792"/>
      <c r="P760" s="792"/>
      <c r="Q760" s="792"/>
      <c r="R760" s="792"/>
      <c r="S760" s="792"/>
      <c r="T760" s="792"/>
      <c r="U760" s="792"/>
      <c r="V760" s="792"/>
      <c r="W760" s="792"/>
      <c r="X760" s="792"/>
      <c r="Y760" s="792"/>
      <c r="Z760" s="792"/>
    </row>
    <row r="761" ht="15.75" customHeight="1">
      <c r="A761" s="901"/>
      <c r="B761" s="902"/>
      <c r="C761" s="901"/>
      <c r="D761" s="901"/>
      <c r="E761" s="901"/>
      <c r="F761" s="903"/>
      <c r="G761" s="901"/>
      <c r="H761" s="792"/>
      <c r="I761" s="792"/>
      <c r="J761" s="792"/>
      <c r="K761" s="792"/>
      <c r="L761" s="792"/>
      <c r="M761" s="792"/>
      <c r="N761" s="792"/>
      <c r="O761" s="792"/>
      <c r="P761" s="792"/>
      <c r="Q761" s="792"/>
      <c r="R761" s="792"/>
      <c r="S761" s="792"/>
      <c r="T761" s="792"/>
      <c r="U761" s="792"/>
      <c r="V761" s="792"/>
      <c r="W761" s="792"/>
      <c r="X761" s="792"/>
      <c r="Y761" s="792"/>
      <c r="Z761" s="792"/>
    </row>
    <row r="762" ht="15.75" customHeight="1">
      <c r="A762" s="901"/>
      <c r="B762" s="902"/>
      <c r="C762" s="901"/>
      <c r="D762" s="901"/>
      <c r="E762" s="901"/>
      <c r="F762" s="903"/>
      <c r="G762" s="901"/>
      <c r="H762" s="792"/>
      <c r="I762" s="792"/>
      <c r="J762" s="792"/>
      <c r="K762" s="792"/>
      <c r="L762" s="792"/>
      <c r="M762" s="792"/>
      <c r="N762" s="792"/>
      <c r="O762" s="792"/>
      <c r="P762" s="792"/>
      <c r="Q762" s="792"/>
      <c r="R762" s="792"/>
      <c r="S762" s="792"/>
      <c r="T762" s="792"/>
      <c r="U762" s="792"/>
      <c r="V762" s="792"/>
      <c r="W762" s="792"/>
      <c r="X762" s="792"/>
      <c r="Y762" s="792"/>
      <c r="Z762" s="792"/>
    </row>
    <row r="763" ht="15.75" customHeight="1">
      <c r="A763" s="901"/>
      <c r="B763" s="902"/>
      <c r="C763" s="901"/>
      <c r="D763" s="901"/>
      <c r="E763" s="901"/>
      <c r="F763" s="903"/>
      <c r="G763" s="901"/>
      <c r="H763" s="792"/>
      <c r="I763" s="792"/>
      <c r="J763" s="792"/>
      <c r="K763" s="792"/>
      <c r="L763" s="792"/>
      <c r="M763" s="792"/>
      <c r="N763" s="792"/>
      <c r="O763" s="792"/>
      <c r="P763" s="792"/>
      <c r="Q763" s="792"/>
      <c r="R763" s="792"/>
      <c r="S763" s="792"/>
      <c r="T763" s="792"/>
      <c r="U763" s="792"/>
      <c r="V763" s="792"/>
      <c r="W763" s="792"/>
      <c r="X763" s="792"/>
      <c r="Y763" s="792"/>
      <c r="Z763" s="792"/>
    </row>
    <row r="764" ht="15.75" customHeight="1">
      <c r="A764" s="901"/>
      <c r="B764" s="902"/>
      <c r="C764" s="901"/>
      <c r="D764" s="901"/>
      <c r="E764" s="901"/>
      <c r="F764" s="903"/>
      <c r="G764" s="901"/>
      <c r="H764" s="792"/>
      <c r="I764" s="792"/>
      <c r="J764" s="792"/>
      <c r="K764" s="792"/>
      <c r="L764" s="792"/>
      <c r="M764" s="792"/>
      <c r="N764" s="792"/>
      <c r="O764" s="792"/>
      <c r="P764" s="792"/>
      <c r="Q764" s="792"/>
      <c r="R764" s="792"/>
      <c r="S764" s="792"/>
      <c r="T764" s="792"/>
      <c r="U764" s="792"/>
      <c r="V764" s="792"/>
      <c r="W764" s="792"/>
      <c r="X764" s="792"/>
      <c r="Y764" s="792"/>
      <c r="Z764" s="792"/>
    </row>
    <row r="765" ht="15.75" customHeight="1">
      <c r="A765" s="901"/>
      <c r="B765" s="902"/>
      <c r="C765" s="901"/>
      <c r="D765" s="901"/>
      <c r="E765" s="901"/>
      <c r="F765" s="903"/>
      <c r="G765" s="901"/>
      <c r="H765" s="792"/>
      <c r="I765" s="792"/>
      <c r="J765" s="792"/>
      <c r="K765" s="792"/>
      <c r="L765" s="792"/>
      <c r="M765" s="792"/>
      <c r="N765" s="792"/>
      <c r="O765" s="792"/>
      <c r="P765" s="792"/>
      <c r="Q765" s="792"/>
      <c r="R765" s="792"/>
      <c r="S765" s="792"/>
      <c r="T765" s="792"/>
      <c r="U765" s="792"/>
      <c r="V765" s="792"/>
      <c r="W765" s="792"/>
      <c r="X765" s="792"/>
      <c r="Y765" s="792"/>
      <c r="Z765" s="792"/>
    </row>
    <row r="766" ht="15.75" customHeight="1">
      <c r="A766" s="901"/>
      <c r="B766" s="902"/>
      <c r="C766" s="901"/>
      <c r="D766" s="901"/>
      <c r="E766" s="901"/>
      <c r="F766" s="903"/>
      <c r="G766" s="901"/>
      <c r="H766" s="792"/>
      <c r="I766" s="792"/>
      <c r="J766" s="792"/>
      <c r="K766" s="792"/>
      <c r="L766" s="792"/>
      <c r="M766" s="792"/>
      <c r="N766" s="792"/>
      <c r="O766" s="792"/>
      <c r="P766" s="792"/>
      <c r="Q766" s="792"/>
      <c r="R766" s="792"/>
      <c r="S766" s="792"/>
      <c r="T766" s="792"/>
      <c r="U766" s="792"/>
      <c r="V766" s="792"/>
      <c r="W766" s="792"/>
      <c r="X766" s="792"/>
      <c r="Y766" s="792"/>
      <c r="Z766" s="792"/>
    </row>
    <row r="767" ht="15.75" customHeight="1">
      <c r="A767" s="901"/>
      <c r="B767" s="902"/>
      <c r="C767" s="901"/>
      <c r="D767" s="901"/>
      <c r="E767" s="901"/>
      <c r="F767" s="903"/>
      <c r="G767" s="901"/>
      <c r="H767" s="792"/>
      <c r="I767" s="792"/>
      <c r="J767" s="792"/>
      <c r="K767" s="792"/>
      <c r="L767" s="792"/>
      <c r="M767" s="792"/>
      <c r="N767" s="792"/>
      <c r="O767" s="792"/>
      <c r="P767" s="792"/>
      <c r="Q767" s="792"/>
      <c r="R767" s="792"/>
      <c r="S767" s="792"/>
      <c r="T767" s="792"/>
      <c r="U767" s="792"/>
      <c r="V767" s="792"/>
      <c r="W767" s="792"/>
      <c r="X767" s="792"/>
      <c r="Y767" s="792"/>
      <c r="Z767" s="792"/>
    </row>
    <row r="768" ht="15.75" customHeight="1">
      <c r="A768" s="901"/>
      <c r="B768" s="902"/>
      <c r="C768" s="901"/>
      <c r="D768" s="901"/>
      <c r="E768" s="901"/>
      <c r="F768" s="903"/>
      <c r="G768" s="901"/>
      <c r="H768" s="792"/>
      <c r="I768" s="792"/>
      <c r="J768" s="792"/>
      <c r="K768" s="792"/>
      <c r="L768" s="792"/>
      <c r="M768" s="792"/>
      <c r="N768" s="792"/>
      <c r="O768" s="792"/>
      <c r="P768" s="792"/>
      <c r="Q768" s="792"/>
      <c r="R768" s="792"/>
      <c r="S768" s="792"/>
      <c r="T768" s="792"/>
      <c r="U768" s="792"/>
      <c r="V768" s="792"/>
      <c r="W768" s="792"/>
      <c r="X768" s="792"/>
      <c r="Y768" s="792"/>
      <c r="Z768" s="792"/>
    </row>
    <row r="769" ht="15.75" customHeight="1">
      <c r="A769" s="901"/>
      <c r="B769" s="902"/>
      <c r="C769" s="901"/>
      <c r="D769" s="901"/>
      <c r="E769" s="901"/>
      <c r="F769" s="903"/>
      <c r="G769" s="901"/>
      <c r="H769" s="792"/>
      <c r="I769" s="792"/>
      <c r="J769" s="792"/>
      <c r="K769" s="792"/>
      <c r="L769" s="792"/>
      <c r="M769" s="792"/>
      <c r="N769" s="792"/>
      <c r="O769" s="792"/>
      <c r="P769" s="792"/>
      <c r="Q769" s="792"/>
      <c r="R769" s="792"/>
      <c r="S769" s="792"/>
      <c r="T769" s="792"/>
      <c r="U769" s="792"/>
      <c r="V769" s="792"/>
      <c r="W769" s="792"/>
      <c r="X769" s="792"/>
      <c r="Y769" s="792"/>
      <c r="Z769" s="792"/>
    </row>
    <row r="770" ht="15.75" customHeight="1">
      <c r="A770" s="901"/>
      <c r="B770" s="902"/>
      <c r="C770" s="901"/>
      <c r="D770" s="901"/>
      <c r="E770" s="901"/>
      <c r="F770" s="903"/>
      <c r="G770" s="901"/>
      <c r="H770" s="792"/>
      <c r="I770" s="792"/>
      <c r="J770" s="792"/>
      <c r="K770" s="792"/>
      <c r="L770" s="792"/>
      <c r="M770" s="792"/>
      <c r="N770" s="792"/>
      <c r="O770" s="792"/>
      <c r="P770" s="792"/>
      <c r="Q770" s="792"/>
      <c r="R770" s="792"/>
      <c r="S770" s="792"/>
      <c r="T770" s="792"/>
      <c r="U770" s="792"/>
      <c r="V770" s="792"/>
      <c r="W770" s="792"/>
      <c r="X770" s="792"/>
      <c r="Y770" s="792"/>
      <c r="Z770" s="792"/>
    </row>
    <row r="771" ht="15.75" customHeight="1">
      <c r="A771" s="901"/>
      <c r="B771" s="902"/>
      <c r="C771" s="901"/>
      <c r="D771" s="901"/>
      <c r="E771" s="901"/>
      <c r="F771" s="903"/>
      <c r="G771" s="901"/>
      <c r="H771" s="792"/>
      <c r="I771" s="792"/>
      <c r="J771" s="792"/>
      <c r="K771" s="792"/>
      <c r="L771" s="792"/>
      <c r="M771" s="792"/>
      <c r="N771" s="792"/>
      <c r="O771" s="792"/>
      <c r="P771" s="792"/>
      <c r="Q771" s="792"/>
      <c r="R771" s="792"/>
      <c r="S771" s="792"/>
      <c r="T771" s="792"/>
      <c r="U771" s="792"/>
      <c r="V771" s="792"/>
      <c r="W771" s="792"/>
      <c r="X771" s="792"/>
      <c r="Y771" s="792"/>
      <c r="Z771" s="792"/>
    </row>
    <row r="772" ht="15.75" customHeight="1">
      <c r="A772" s="901"/>
      <c r="B772" s="902"/>
      <c r="C772" s="901"/>
      <c r="D772" s="901"/>
      <c r="E772" s="901"/>
      <c r="F772" s="903"/>
      <c r="G772" s="901"/>
      <c r="H772" s="792"/>
      <c r="I772" s="792"/>
      <c r="J772" s="792"/>
      <c r="K772" s="792"/>
      <c r="L772" s="792"/>
      <c r="M772" s="792"/>
      <c r="N772" s="792"/>
      <c r="O772" s="792"/>
      <c r="P772" s="792"/>
      <c r="Q772" s="792"/>
      <c r="R772" s="792"/>
      <c r="S772" s="792"/>
      <c r="T772" s="792"/>
      <c r="U772" s="792"/>
      <c r="V772" s="792"/>
      <c r="W772" s="792"/>
      <c r="X772" s="792"/>
      <c r="Y772" s="792"/>
      <c r="Z772" s="792"/>
    </row>
    <row r="773" ht="15.75" customHeight="1">
      <c r="A773" s="901"/>
      <c r="B773" s="902"/>
      <c r="C773" s="901"/>
      <c r="D773" s="901"/>
      <c r="E773" s="901"/>
      <c r="F773" s="903"/>
      <c r="G773" s="901"/>
      <c r="H773" s="792"/>
      <c r="I773" s="792"/>
      <c r="J773" s="792"/>
      <c r="K773" s="792"/>
      <c r="L773" s="792"/>
      <c r="M773" s="792"/>
      <c r="N773" s="792"/>
      <c r="O773" s="792"/>
      <c r="P773" s="792"/>
      <c r="Q773" s="792"/>
      <c r="R773" s="792"/>
      <c r="S773" s="792"/>
      <c r="T773" s="792"/>
      <c r="U773" s="792"/>
      <c r="V773" s="792"/>
      <c r="W773" s="792"/>
      <c r="X773" s="792"/>
      <c r="Y773" s="792"/>
      <c r="Z773" s="792"/>
    </row>
    <row r="774" ht="15.75" customHeight="1">
      <c r="A774" s="901"/>
      <c r="B774" s="902"/>
      <c r="C774" s="901"/>
      <c r="D774" s="901"/>
      <c r="E774" s="901"/>
      <c r="F774" s="903"/>
      <c r="G774" s="901"/>
      <c r="H774" s="792"/>
      <c r="I774" s="792"/>
      <c r="J774" s="792"/>
      <c r="K774" s="792"/>
      <c r="L774" s="792"/>
      <c r="M774" s="792"/>
      <c r="N774" s="792"/>
      <c r="O774" s="792"/>
      <c r="P774" s="792"/>
      <c r="Q774" s="792"/>
      <c r="R774" s="792"/>
      <c r="S774" s="792"/>
      <c r="T774" s="792"/>
      <c r="U774" s="792"/>
      <c r="V774" s="792"/>
      <c r="W774" s="792"/>
      <c r="X774" s="792"/>
      <c r="Y774" s="792"/>
      <c r="Z774" s="792"/>
    </row>
    <row r="775" ht="15.75" customHeight="1">
      <c r="A775" s="901"/>
      <c r="B775" s="902"/>
      <c r="C775" s="901"/>
      <c r="D775" s="901"/>
      <c r="E775" s="901"/>
      <c r="F775" s="903"/>
      <c r="G775" s="901"/>
      <c r="H775" s="792"/>
      <c r="I775" s="792"/>
      <c r="J775" s="792"/>
      <c r="K775" s="792"/>
      <c r="L775" s="792"/>
      <c r="M775" s="792"/>
      <c r="N775" s="792"/>
      <c r="O775" s="792"/>
      <c r="P775" s="792"/>
      <c r="Q775" s="792"/>
      <c r="R775" s="792"/>
      <c r="S775" s="792"/>
      <c r="T775" s="792"/>
      <c r="U775" s="792"/>
      <c r="V775" s="792"/>
      <c r="W775" s="792"/>
      <c r="X775" s="792"/>
      <c r="Y775" s="792"/>
      <c r="Z775" s="792"/>
    </row>
    <row r="776" ht="15.75" customHeight="1">
      <c r="A776" s="901"/>
      <c r="B776" s="902"/>
      <c r="C776" s="901"/>
      <c r="D776" s="901"/>
      <c r="E776" s="901"/>
      <c r="F776" s="903"/>
      <c r="G776" s="901"/>
      <c r="H776" s="792"/>
      <c r="I776" s="792"/>
      <c r="J776" s="792"/>
      <c r="K776" s="792"/>
      <c r="L776" s="792"/>
      <c r="M776" s="792"/>
      <c r="N776" s="792"/>
      <c r="O776" s="792"/>
      <c r="P776" s="792"/>
      <c r="Q776" s="792"/>
      <c r="R776" s="792"/>
      <c r="S776" s="792"/>
      <c r="T776" s="792"/>
      <c r="U776" s="792"/>
      <c r="V776" s="792"/>
      <c r="W776" s="792"/>
      <c r="X776" s="792"/>
      <c r="Y776" s="792"/>
      <c r="Z776" s="792"/>
    </row>
    <row r="777" ht="15.75" customHeight="1">
      <c r="A777" s="901"/>
      <c r="B777" s="902"/>
      <c r="C777" s="901"/>
      <c r="D777" s="901"/>
      <c r="E777" s="901"/>
      <c r="F777" s="903"/>
      <c r="G777" s="901"/>
      <c r="H777" s="792"/>
      <c r="I777" s="792"/>
      <c r="J777" s="792"/>
      <c r="K777" s="792"/>
      <c r="L777" s="792"/>
      <c r="M777" s="792"/>
      <c r="N777" s="792"/>
      <c r="O777" s="792"/>
      <c r="P777" s="792"/>
      <c r="Q777" s="792"/>
      <c r="R777" s="792"/>
      <c r="S777" s="792"/>
      <c r="T777" s="792"/>
      <c r="U777" s="792"/>
      <c r="V777" s="792"/>
      <c r="W777" s="792"/>
      <c r="X777" s="792"/>
      <c r="Y777" s="792"/>
      <c r="Z777" s="792"/>
    </row>
    <row r="778" ht="15.75" customHeight="1">
      <c r="A778" s="901"/>
      <c r="B778" s="902"/>
      <c r="C778" s="901"/>
      <c r="D778" s="901"/>
      <c r="E778" s="901"/>
      <c r="F778" s="903"/>
      <c r="G778" s="901"/>
      <c r="H778" s="792"/>
      <c r="I778" s="792"/>
      <c r="J778" s="792"/>
      <c r="K778" s="792"/>
      <c r="L778" s="792"/>
      <c r="M778" s="792"/>
      <c r="N778" s="792"/>
      <c r="O778" s="792"/>
      <c r="P778" s="792"/>
      <c r="Q778" s="792"/>
      <c r="R778" s="792"/>
      <c r="S778" s="792"/>
      <c r="T778" s="792"/>
      <c r="U778" s="792"/>
      <c r="V778" s="792"/>
      <c r="W778" s="792"/>
      <c r="X778" s="792"/>
      <c r="Y778" s="792"/>
      <c r="Z778" s="792"/>
    </row>
    <row r="779" ht="15.75" customHeight="1">
      <c r="A779" s="901"/>
      <c r="B779" s="902"/>
      <c r="C779" s="901"/>
      <c r="D779" s="901"/>
      <c r="E779" s="901"/>
      <c r="F779" s="903"/>
      <c r="G779" s="901"/>
      <c r="H779" s="792"/>
      <c r="I779" s="792"/>
      <c r="J779" s="792"/>
      <c r="K779" s="792"/>
      <c r="L779" s="792"/>
      <c r="M779" s="792"/>
      <c r="N779" s="792"/>
      <c r="O779" s="792"/>
      <c r="P779" s="792"/>
      <c r="Q779" s="792"/>
      <c r="R779" s="792"/>
      <c r="S779" s="792"/>
      <c r="T779" s="792"/>
      <c r="U779" s="792"/>
      <c r="V779" s="792"/>
      <c r="W779" s="792"/>
      <c r="X779" s="792"/>
      <c r="Y779" s="792"/>
      <c r="Z779" s="792"/>
    </row>
    <row r="780" ht="15.75" customHeight="1">
      <c r="A780" s="901"/>
      <c r="B780" s="902"/>
      <c r="C780" s="901"/>
      <c r="D780" s="901"/>
      <c r="E780" s="901"/>
      <c r="F780" s="903"/>
      <c r="G780" s="901"/>
      <c r="H780" s="792"/>
      <c r="I780" s="792"/>
      <c r="J780" s="792"/>
      <c r="K780" s="792"/>
      <c r="L780" s="792"/>
      <c r="M780" s="792"/>
      <c r="N780" s="792"/>
      <c r="O780" s="792"/>
      <c r="P780" s="792"/>
      <c r="Q780" s="792"/>
      <c r="R780" s="792"/>
      <c r="S780" s="792"/>
      <c r="T780" s="792"/>
      <c r="U780" s="792"/>
      <c r="V780" s="792"/>
      <c r="W780" s="792"/>
      <c r="X780" s="792"/>
      <c r="Y780" s="792"/>
      <c r="Z780" s="792"/>
    </row>
    <row r="781" ht="15.75" customHeight="1">
      <c r="A781" s="901"/>
      <c r="B781" s="902"/>
      <c r="C781" s="901"/>
      <c r="D781" s="901"/>
      <c r="E781" s="901"/>
      <c r="F781" s="903"/>
      <c r="G781" s="901"/>
      <c r="H781" s="792"/>
      <c r="I781" s="792"/>
      <c r="J781" s="792"/>
      <c r="K781" s="792"/>
      <c r="L781" s="792"/>
      <c r="M781" s="792"/>
      <c r="N781" s="792"/>
      <c r="O781" s="792"/>
      <c r="P781" s="792"/>
      <c r="Q781" s="792"/>
      <c r="R781" s="792"/>
      <c r="S781" s="792"/>
      <c r="T781" s="792"/>
      <c r="U781" s="792"/>
      <c r="V781" s="792"/>
      <c r="W781" s="792"/>
      <c r="X781" s="792"/>
      <c r="Y781" s="792"/>
      <c r="Z781" s="792"/>
    </row>
    <row r="782" ht="15.75" customHeight="1">
      <c r="A782" s="901"/>
      <c r="B782" s="902"/>
      <c r="C782" s="901"/>
      <c r="D782" s="901"/>
      <c r="E782" s="901"/>
      <c r="F782" s="903"/>
      <c r="G782" s="901"/>
      <c r="H782" s="792"/>
      <c r="I782" s="792"/>
      <c r="J782" s="792"/>
      <c r="K782" s="792"/>
      <c r="L782" s="792"/>
      <c r="M782" s="792"/>
      <c r="N782" s="792"/>
      <c r="O782" s="792"/>
      <c r="P782" s="792"/>
      <c r="Q782" s="792"/>
      <c r="R782" s="792"/>
      <c r="S782" s="792"/>
      <c r="T782" s="792"/>
      <c r="U782" s="792"/>
      <c r="V782" s="792"/>
      <c r="W782" s="792"/>
      <c r="X782" s="792"/>
      <c r="Y782" s="792"/>
      <c r="Z782" s="792"/>
    </row>
    <row r="783" ht="15.75" customHeight="1">
      <c r="A783" s="901"/>
      <c r="B783" s="902"/>
      <c r="C783" s="901"/>
      <c r="D783" s="901"/>
      <c r="E783" s="901"/>
      <c r="F783" s="903"/>
      <c r="G783" s="901"/>
      <c r="H783" s="792"/>
      <c r="I783" s="792"/>
      <c r="J783" s="792"/>
      <c r="K783" s="792"/>
      <c r="L783" s="792"/>
      <c r="M783" s="792"/>
      <c r="N783" s="792"/>
      <c r="O783" s="792"/>
      <c r="P783" s="792"/>
      <c r="Q783" s="792"/>
      <c r="R783" s="792"/>
      <c r="S783" s="792"/>
      <c r="T783" s="792"/>
      <c r="U783" s="792"/>
      <c r="V783" s="792"/>
      <c r="W783" s="792"/>
      <c r="X783" s="792"/>
      <c r="Y783" s="792"/>
      <c r="Z783" s="792"/>
    </row>
    <row r="784" ht="15.75" customHeight="1">
      <c r="A784" s="901"/>
      <c r="B784" s="902"/>
      <c r="C784" s="901"/>
      <c r="D784" s="901"/>
      <c r="E784" s="901"/>
      <c r="F784" s="903"/>
      <c r="G784" s="901"/>
      <c r="H784" s="792"/>
      <c r="I784" s="792"/>
      <c r="J784" s="792"/>
      <c r="K784" s="792"/>
      <c r="L784" s="792"/>
      <c r="M784" s="792"/>
      <c r="N784" s="792"/>
      <c r="O784" s="792"/>
      <c r="P784" s="792"/>
      <c r="Q784" s="792"/>
      <c r="R784" s="792"/>
      <c r="S784" s="792"/>
      <c r="T784" s="792"/>
      <c r="U784" s="792"/>
      <c r="V784" s="792"/>
      <c r="W784" s="792"/>
      <c r="X784" s="792"/>
      <c r="Y784" s="792"/>
      <c r="Z784" s="792"/>
    </row>
    <row r="785" ht="15.75" customHeight="1">
      <c r="A785" s="901"/>
      <c r="B785" s="902"/>
      <c r="C785" s="901"/>
      <c r="D785" s="901"/>
      <c r="E785" s="901"/>
      <c r="F785" s="903"/>
      <c r="G785" s="901"/>
      <c r="H785" s="792"/>
      <c r="I785" s="792"/>
      <c r="J785" s="792"/>
      <c r="K785" s="792"/>
      <c r="L785" s="792"/>
      <c r="M785" s="792"/>
      <c r="N785" s="792"/>
      <c r="O785" s="792"/>
      <c r="P785" s="792"/>
      <c r="Q785" s="792"/>
      <c r="R785" s="792"/>
      <c r="S785" s="792"/>
      <c r="T785" s="792"/>
      <c r="U785" s="792"/>
      <c r="V785" s="792"/>
      <c r="W785" s="792"/>
      <c r="X785" s="792"/>
      <c r="Y785" s="792"/>
      <c r="Z785" s="792"/>
    </row>
    <row r="786" ht="15.75" customHeight="1">
      <c r="A786" s="901"/>
      <c r="B786" s="902"/>
      <c r="C786" s="901"/>
      <c r="D786" s="901"/>
      <c r="E786" s="901"/>
      <c r="F786" s="903"/>
      <c r="G786" s="901"/>
      <c r="H786" s="792"/>
      <c r="I786" s="792"/>
      <c r="J786" s="792"/>
      <c r="K786" s="792"/>
      <c r="L786" s="792"/>
      <c r="M786" s="792"/>
      <c r="N786" s="792"/>
      <c r="O786" s="792"/>
      <c r="P786" s="792"/>
      <c r="Q786" s="792"/>
      <c r="R786" s="792"/>
      <c r="S786" s="792"/>
      <c r="T786" s="792"/>
      <c r="U786" s="792"/>
      <c r="V786" s="792"/>
      <c r="W786" s="792"/>
      <c r="X786" s="792"/>
      <c r="Y786" s="792"/>
      <c r="Z786" s="792"/>
    </row>
    <row r="787" ht="15.75" customHeight="1">
      <c r="A787" s="901"/>
      <c r="B787" s="902"/>
      <c r="C787" s="901"/>
      <c r="D787" s="901"/>
      <c r="E787" s="901"/>
      <c r="F787" s="903"/>
      <c r="G787" s="901"/>
      <c r="H787" s="792"/>
      <c r="I787" s="792"/>
      <c r="J787" s="792"/>
      <c r="K787" s="792"/>
      <c r="L787" s="792"/>
      <c r="M787" s="792"/>
      <c r="N787" s="792"/>
      <c r="O787" s="792"/>
      <c r="P787" s="792"/>
      <c r="Q787" s="792"/>
      <c r="R787" s="792"/>
      <c r="S787" s="792"/>
      <c r="T787" s="792"/>
      <c r="U787" s="792"/>
      <c r="V787" s="792"/>
      <c r="W787" s="792"/>
      <c r="X787" s="792"/>
      <c r="Y787" s="792"/>
      <c r="Z787" s="792"/>
    </row>
    <row r="788" ht="15.75" customHeight="1">
      <c r="A788" s="901"/>
      <c r="B788" s="902"/>
      <c r="C788" s="901"/>
      <c r="D788" s="901"/>
      <c r="E788" s="901"/>
      <c r="F788" s="903"/>
      <c r="G788" s="901"/>
      <c r="H788" s="792"/>
      <c r="I788" s="792"/>
      <c r="J788" s="792"/>
      <c r="K788" s="792"/>
      <c r="L788" s="792"/>
      <c r="M788" s="792"/>
      <c r="N788" s="792"/>
      <c r="O788" s="792"/>
      <c r="P788" s="792"/>
      <c r="Q788" s="792"/>
      <c r="R788" s="792"/>
      <c r="S788" s="792"/>
      <c r="T788" s="792"/>
      <c r="U788" s="792"/>
      <c r="V788" s="792"/>
      <c r="W788" s="792"/>
      <c r="X788" s="792"/>
      <c r="Y788" s="792"/>
      <c r="Z788" s="792"/>
    </row>
    <row r="789" ht="15.75" customHeight="1">
      <c r="A789" s="901"/>
      <c r="B789" s="902"/>
      <c r="C789" s="901"/>
      <c r="D789" s="901"/>
      <c r="E789" s="901"/>
      <c r="F789" s="903"/>
      <c r="G789" s="901"/>
      <c r="H789" s="792"/>
      <c r="I789" s="792"/>
      <c r="J789" s="792"/>
      <c r="K789" s="792"/>
      <c r="L789" s="792"/>
      <c r="M789" s="792"/>
      <c r="N789" s="792"/>
      <c r="O789" s="792"/>
      <c r="P789" s="792"/>
      <c r="Q789" s="792"/>
      <c r="R789" s="792"/>
      <c r="S789" s="792"/>
      <c r="T789" s="792"/>
      <c r="U789" s="792"/>
      <c r="V789" s="792"/>
      <c r="W789" s="792"/>
      <c r="X789" s="792"/>
      <c r="Y789" s="792"/>
      <c r="Z789" s="792"/>
    </row>
    <row r="790" ht="15.75" customHeight="1">
      <c r="A790" s="901"/>
      <c r="B790" s="902"/>
      <c r="C790" s="901"/>
      <c r="D790" s="901"/>
      <c r="E790" s="901"/>
      <c r="F790" s="903"/>
      <c r="G790" s="901"/>
      <c r="H790" s="792"/>
      <c r="I790" s="792"/>
      <c r="J790" s="792"/>
      <c r="K790" s="792"/>
      <c r="L790" s="792"/>
      <c r="M790" s="792"/>
      <c r="N790" s="792"/>
      <c r="O790" s="792"/>
      <c r="P790" s="792"/>
      <c r="Q790" s="792"/>
      <c r="R790" s="792"/>
      <c r="S790" s="792"/>
      <c r="T790" s="792"/>
      <c r="U790" s="792"/>
      <c r="V790" s="792"/>
      <c r="W790" s="792"/>
      <c r="X790" s="792"/>
      <c r="Y790" s="792"/>
      <c r="Z790" s="792"/>
    </row>
    <row r="791" ht="15.75" customHeight="1">
      <c r="A791" s="901"/>
      <c r="B791" s="902"/>
      <c r="C791" s="901"/>
      <c r="D791" s="901"/>
      <c r="E791" s="901"/>
      <c r="F791" s="903"/>
      <c r="G791" s="901"/>
      <c r="H791" s="792"/>
      <c r="I791" s="792"/>
      <c r="J791" s="792"/>
      <c r="K791" s="792"/>
      <c r="L791" s="792"/>
      <c r="M791" s="792"/>
      <c r="N791" s="792"/>
      <c r="O791" s="792"/>
      <c r="P791" s="792"/>
      <c r="Q791" s="792"/>
      <c r="R791" s="792"/>
      <c r="S791" s="792"/>
      <c r="T791" s="792"/>
      <c r="U791" s="792"/>
      <c r="V791" s="792"/>
      <c r="W791" s="792"/>
      <c r="X791" s="792"/>
      <c r="Y791" s="792"/>
      <c r="Z791" s="792"/>
    </row>
    <row r="792" ht="15.75" customHeight="1">
      <c r="A792" s="901"/>
      <c r="B792" s="902"/>
      <c r="C792" s="901"/>
      <c r="D792" s="901"/>
      <c r="E792" s="901"/>
      <c r="F792" s="903"/>
      <c r="G792" s="901"/>
      <c r="H792" s="792"/>
      <c r="I792" s="792"/>
      <c r="J792" s="792"/>
      <c r="K792" s="792"/>
      <c r="L792" s="792"/>
      <c r="M792" s="792"/>
      <c r="N792" s="792"/>
      <c r="O792" s="792"/>
      <c r="P792" s="792"/>
      <c r="Q792" s="792"/>
      <c r="R792" s="792"/>
      <c r="S792" s="792"/>
      <c r="T792" s="792"/>
      <c r="U792" s="792"/>
      <c r="V792" s="792"/>
      <c r="W792" s="792"/>
      <c r="X792" s="792"/>
      <c r="Y792" s="792"/>
      <c r="Z792" s="792"/>
    </row>
    <row r="793" ht="15.75" customHeight="1">
      <c r="A793" s="901"/>
      <c r="B793" s="902"/>
      <c r="C793" s="901"/>
      <c r="D793" s="901"/>
      <c r="E793" s="901"/>
      <c r="F793" s="903"/>
      <c r="G793" s="901"/>
      <c r="H793" s="792"/>
      <c r="I793" s="792"/>
      <c r="J793" s="792"/>
      <c r="K793" s="792"/>
      <c r="L793" s="792"/>
      <c r="M793" s="792"/>
      <c r="N793" s="792"/>
      <c r="O793" s="792"/>
      <c r="P793" s="792"/>
      <c r="Q793" s="792"/>
      <c r="R793" s="792"/>
      <c r="S793" s="792"/>
      <c r="T793" s="792"/>
      <c r="U793" s="792"/>
      <c r="V793" s="792"/>
      <c r="W793" s="792"/>
      <c r="X793" s="792"/>
      <c r="Y793" s="792"/>
      <c r="Z793" s="792"/>
    </row>
    <row r="794" ht="15.75" customHeight="1">
      <c r="A794" s="901"/>
      <c r="B794" s="902"/>
      <c r="C794" s="901"/>
      <c r="D794" s="901"/>
      <c r="E794" s="901"/>
      <c r="F794" s="903"/>
      <c r="G794" s="901"/>
      <c r="H794" s="792"/>
      <c r="I794" s="792"/>
      <c r="J794" s="792"/>
      <c r="K794" s="792"/>
      <c r="L794" s="792"/>
      <c r="M794" s="792"/>
      <c r="N794" s="792"/>
      <c r="O794" s="792"/>
      <c r="P794" s="792"/>
      <c r="Q794" s="792"/>
      <c r="R794" s="792"/>
      <c r="S794" s="792"/>
      <c r="T794" s="792"/>
      <c r="U794" s="792"/>
      <c r="V794" s="792"/>
      <c r="W794" s="792"/>
      <c r="X794" s="792"/>
      <c r="Y794" s="792"/>
      <c r="Z794" s="792"/>
    </row>
    <row r="795" ht="15.75" customHeight="1">
      <c r="A795" s="901"/>
      <c r="B795" s="902"/>
      <c r="C795" s="901"/>
      <c r="D795" s="901"/>
      <c r="E795" s="901"/>
      <c r="F795" s="903"/>
      <c r="G795" s="901"/>
      <c r="H795" s="792"/>
      <c r="I795" s="792"/>
      <c r="J795" s="792"/>
      <c r="K795" s="792"/>
      <c r="L795" s="792"/>
      <c r="M795" s="792"/>
      <c r="N795" s="792"/>
      <c r="O795" s="792"/>
      <c r="P795" s="792"/>
      <c r="Q795" s="792"/>
      <c r="R795" s="792"/>
      <c r="S795" s="792"/>
      <c r="T795" s="792"/>
      <c r="U795" s="792"/>
      <c r="V795" s="792"/>
      <c r="W795" s="792"/>
      <c r="X795" s="792"/>
      <c r="Y795" s="792"/>
      <c r="Z795" s="792"/>
    </row>
    <row r="796" ht="15.75" customHeight="1">
      <c r="A796" s="901"/>
      <c r="B796" s="902"/>
      <c r="C796" s="901"/>
      <c r="D796" s="901"/>
      <c r="E796" s="901"/>
      <c r="F796" s="903"/>
      <c r="G796" s="901"/>
      <c r="H796" s="792"/>
      <c r="I796" s="792"/>
      <c r="J796" s="792"/>
      <c r="K796" s="792"/>
      <c r="L796" s="792"/>
      <c r="M796" s="792"/>
      <c r="N796" s="792"/>
      <c r="O796" s="792"/>
      <c r="P796" s="792"/>
      <c r="Q796" s="792"/>
      <c r="R796" s="792"/>
      <c r="S796" s="792"/>
      <c r="T796" s="792"/>
      <c r="U796" s="792"/>
      <c r="V796" s="792"/>
      <c r="W796" s="792"/>
      <c r="X796" s="792"/>
      <c r="Y796" s="792"/>
      <c r="Z796" s="792"/>
    </row>
    <row r="797" ht="15.75" customHeight="1">
      <c r="A797" s="901"/>
      <c r="B797" s="902"/>
      <c r="C797" s="901"/>
      <c r="D797" s="901"/>
      <c r="E797" s="901"/>
      <c r="F797" s="903"/>
      <c r="G797" s="901"/>
      <c r="H797" s="792"/>
      <c r="I797" s="792"/>
      <c r="J797" s="792"/>
      <c r="K797" s="792"/>
      <c r="L797" s="792"/>
      <c r="M797" s="792"/>
      <c r="N797" s="792"/>
      <c r="O797" s="792"/>
      <c r="P797" s="792"/>
      <c r="Q797" s="792"/>
      <c r="R797" s="792"/>
      <c r="S797" s="792"/>
      <c r="T797" s="792"/>
      <c r="U797" s="792"/>
      <c r="V797" s="792"/>
      <c r="W797" s="792"/>
      <c r="X797" s="792"/>
      <c r="Y797" s="792"/>
      <c r="Z797" s="792"/>
    </row>
    <row r="798" ht="15.75" customHeight="1">
      <c r="A798" s="901"/>
      <c r="B798" s="902"/>
      <c r="C798" s="901"/>
      <c r="D798" s="901"/>
      <c r="E798" s="901"/>
      <c r="F798" s="903"/>
      <c r="G798" s="901"/>
      <c r="H798" s="792"/>
      <c r="I798" s="792"/>
      <c r="J798" s="792"/>
      <c r="K798" s="792"/>
      <c r="L798" s="792"/>
      <c r="M798" s="792"/>
      <c r="N798" s="792"/>
      <c r="O798" s="792"/>
      <c r="P798" s="792"/>
      <c r="Q798" s="792"/>
      <c r="R798" s="792"/>
      <c r="S798" s="792"/>
      <c r="T798" s="792"/>
      <c r="U798" s="792"/>
      <c r="V798" s="792"/>
      <c r="W798" s="792"/>
      <c r="X798" s="792"/>
      <c r="Y798" s="792"/>
      <c r="Z798" s="792"/>
    </row>
    <row r="799" ht="15.75" customHeight="1">
      <c r="A799" s="901"/>
      <c r="B799" s="902"/>
      <c r="C799" s="901"/>
      <c r="D799" s="901"/>
      <c r="E799" s="901"/>
      <c r="F799" s="903"/>
      <c r="G799" s="901"/>
      <c r="H799" s="792"/>
      <c r="I799" s="792"/>
      <c r="J799" s="792"/>
      <c r="K799" s="792"/>
      <c r="L799" s="792"/>
      <c r="M799" s="792"/>
      <c r="N799" s="792"/>
      <c r="O799" s="792"/>
      <c r="P799" s="792"/>
      <c r="Q799" s="792"/>
      <c r="R799" s="792"/>
      <c r="S799" s="792"/>
      <c r="T799" s="792"/>
      <c r="U799" s="792"/>
      <c r="V799" s="792"/>
      <c r="W799" s="792"/>
      <c r="X799" s="792"/>
      <c r="Y799" s="792"/>
      <c r="Z799" s="792"/>
    </row>
    <row r="800" ht="15.75" customHeight="1">
      <c r="A800" s="901"/>
      <c r="B800" s="902"/>
      <c r="C800" s="901"/>
      <c r="D800" s="901"/>
      <c r="E800" s="901"/>
      <c r="F800" s="903"/>
      <c r="G800" s="901"/>
      <c r="H800" s="792"/>
      <c r="I800" s="792"/>
      <c r="J800" s="792"/>
      <c r="K800" s="792"/>
      <c r="L800" s="792"/>
      <c r="M800" s="792"/>
      <c r="N800" s="792"/>
      <c r="O800" s="792"/>
      <c r="P800" s="792"/>
      <c r="Q800" s="792"/>
      <c r="R800" s="792"/>
      <c r="S800" s="792"/>
      <c r="T800" s="792"/>
      <c r="U800" s="792"/>
      <c r="V800" s="792"/>
      <c r="W800" s="792"/>
      <c r="X800" s="792"/>
      <c r="Y800" s="792"/>
      <c r="Z800" s="792"/>
    </row>
    <row r="801" ht="15.75" customHeight="1">
      <c r="A801" s="901"/>
      <c r="B801" s="902"/>
      <c r="C801" s="901"/>
      <c r="D801" s="901"/>
      <c r="E801" s="901"/>
      <c r="F801" s="903"/>
      <c r="G801" s="901"/>
      <c r="H801" s="792"/>
      <c r="I801" s="792"/>
      <c r="J801" s="792"/>
      <c r="K801" s="792"/>
      <c r="L801" s="792"/>
      <c r="M801" s="792"/>
      <c r="N801" s="792"/>
      <c r="O801" s="792"/>
      <c r="P801" s="792"/>
      <c r="Q801" s="792"/>
      <c r="R801" s="792"/>
      <c r="S801" s="792"/>
      <c r="T801" s="792"/>
      <c r="U801" s="792"/>
      <c r="V801" s="792"/>
      <c r="W801" s="792"/>
      <c r="X801" s="792"/>
      <c r="Y801" s="792"/>
      <c r="Z801" s="792"/>
    </row>
    <row r="802" ht="15.75" customHeight="1">
      <c r="A802" s="901"/>
      <c r="B802" s="902"/>
      <c r="C802" s="901"/>
      <c r="D802" s="901"/>
      <c r="E802" s="901"/>
      <c r="F802" s="903"/>
      <c r="G802" s="901"/>
      <c r="H802" s="792"/>
      <c r="I802" s="792"/>
      <c r="J802" s="792"/>
      <c r="K802" s="792"/>
      <c r="L802" s="792"/>
      <c r="M802" s="792"/>
      <c r="N802" s="792"/>
      <c r="O802" s="792"/>
      <c r="P802" s="792"/>
      <c r="Q802" s="792"/>
      <c r="R802" s="792"/>
      <c r="S802" s="792"/>
      <c r="T802" s="792"/>
      <c r="U802" s="792"/>
      <c r="V802" s="792"/>
      <c r="W802" s="792"/>
      <c r="X802" s="792"/>
      <c r="Y802" s="792"/>
      <c r="Z802" s="792"/>
    </row>
    <row r="803" ht="15.75" customHeight="1">
      <c r="A803" s="901"/>
      <c r="B803" s="902"/>
      <c r="C803" s="901"/>
      <c r="D803" s="901"/>
      <c r="E803" s="901"/>
      <c r="F803" s="903"/>
      <c r="G803" s="901"/>
      <c r="H803" s="792"/>
      <c r="I803" s="792"/>
      <c r="J803" s="792"/>
      <c r="K803" s="792"/>
      <c r="L803" s="792"/>
      <c r="M803" s="792"/>
      <c r="N803" s="792"/>
      <c r="O803" s="792"/>
      <c r="P803" s="792"/>
      <c r="Q803" s="792"/>
      <c r="R803" s="792"/>
      <c r="S803" s="792"/>
      <c r="T803" s="792"/>
      <c r="U803" s="792"/>
      <c r="V803" s="792"/>
      <c r="W803" s="792"/>
      <c r="X803" s="792"/>
      <c r="Y803" s="792"/>
      <c r="Z803" s="792"/>
    </row>
    <row r="804" ht="15.75" customHeight="1">
      <c r="A804" s="901"/>
      <c r="B804" s="902"/>
      <c r="C804" s="901"/>
      <c r="D804" s="901"/>
      <c r="E804" s="901"/>
      <c r="F804" s="903"/>
      <c r="G804" s="901"/>
      <c r="H804" s="792"/>
      <c r="I804" s="792"/>
      <c r="J804" s="792"/>
      <c r="K804" s="792"/>
      <c r="L804" s="792"/>
      <c r="M804" s="792"/>
      <c r="N804" s="792"/>
      <c r="O804" s="792"/>
      <c r="P804" s="792"/>
      <c r="Q804" s="792"/>
      <c r="R804" s="792"/>
      <c r="S804" s="792"/>
      <c r="T804" s="792"/>
      <c r="U804" s="792"/>
      <c r="V804" s="792"/>
      <c r="W804" s="792"/>
      <c r="X804" s="792"/>
      <c r="Y804" s="792"/>
      <c r="Z804" s="792"/>
    </row>
    <row r="805" ht="15.75" customHeight="1">
      <c r="A805" s="901"/>
      <c r="B805" s="902"/>
      <c r="C805" s="901"/>
      <c r="D805" s="901"/>
      <c r="E805" s="901"/>
      <c r="F805" s="903"/>
      <c r="G805" s="901"/>
      <c r="H805" s="792"/>
      <c r="I805" s="792"/>
      <c r="J805" s="792"/>
      <c r="K805" s="792"/>
      <c r="L805" s="792"/>
      <c r="M805" s="792"/>
      <c r="N805" s="792"/>
      <c r="O805" s="792"/>
      <c r="P805" s="792"/>
      <c r="Q805" s="792"/>
      <c r="R805" s="792"/>
      <c r="S805" s="792"/>
      <c r="T805" s="792"/>
      <c r="U805" s="792"/>
      <c r="V805" s="792"/>
      <c r="W805" s="792"/>
      <c r="X805" s="792"/>
      <c r="Y805" s="792"/>
      <c r="Z805" s="792"/>
    </row>
    <row r="806" ht="15.75" customHeight="1">
      <c r="A806" s="901"/>
      <c r="B806" s="902"/>
      <c r="C806" s="901"/>
      <c r="D806" s="901"/>
      <c r="E806" s="901"/>
      <c r="F806" s="903"/>
      <c r="G806" s="901"/>
      <c r="H806" s="792"/>
      <c r="I806" s="792"/>
      <c r="J806" s="792"/>
      <c r="K806" s="792"/>
      <c r="L806" s="792"/>
      <c r="M806" s="792"/>
      <c r="N806" s="792"/>
      <c r="O806" s="792"/>
      <c r="P806" s="792"/>
      <c r="Q806" s="792"/>
      <c r="R806" s="792"/>
      <c r="S806" s="792"/>
      <c r="T806" s="792"/>
      <c r="U806" s="792"/>
      <c r="V806" s="792"/>
      <c r="W806" s="792"/>
      <c r="X806" s="792"/>
      <c r="Y806" s="792"/>
      <c r="Z806" s="792"/>
    </row>
    <row r="807" ht="15.75" customHeight="1">
      <c r="A807" s="901"/>
      <c r="B807" s="902"/>
      <c r="C807" s="901"/>
      <c r="D807" s="901"/>
      <c r="E807" s="901"/>
      <c r="F807" s="903"/>
      <c r="G807" s="901"/>
      <c r="H807" s="792"/>
      <c r="I807" s="792"/>
      <c r="J807" s="792"/>
      <c r="K807" s="792"/>
      <c r="L807" s="792"/>
      <c r="M807" s="792"/>
      <c r="N807" s="792"/>
      <c r="O807" s="792"/>
      <c r="P807" s="792"/>
      <c r="Q807" s="792"/>
      <c r="R807" s="792"/>
      <c r="S807" s="792"/>
      <c r="T807" s="792"/>
      <c r="U807" s="792"/>
      <c r="V807" s="792"/>
      <c r="W807" s="792"/>
      <c r="X807" s="792"/>
      <c r="Y807" s="792"/>
      <c r="Z807" s="792"/>
    </row>
    <row r="808" ht="15.75" customHeight="1">
      <c r="A808" s="901"/>
      <c r="B808" s="902"/>
      <c r="C808" s="901"/>
      <c r="D808" s="901"/>
      <c r="E808" s="901"/>
      <c r="F808" s="903"/>
      <c r="G808" s="901"/>
      <c r="H808" s="792"/>
      <c r="I808" s="792"/>
      <c r="J808" s="792"/>
      <c r="K808" s="792"/>
      <c r="L808" s="792"/>
      <c r="M808" s="792"/>
      <c r="N808" s="792"/>
      <c r="O808" s="792"/>
      <c r="P808" s="792"/>
      <c r="Q808" s="792"/>
      <c r="R808" s="792"/>
      <c r="S808" s="792"/>
      <c r="T808" s="792"/>
      <c r="U808" s="792"/>
      <c r="V808" s="792"/>
      <c r="W808" s="792"/>
      <c r="X808" s="792"/>
      <c r="Y808" s="792"/>
      <c r="Z808" s="792"/>
    </row>
    <row r="809" ht="15.75" customHeight="1">
      <c r="A809" s="901"/>
      <c r="B809" s="902"/>
      <c r="C809" s="901"/>
      <c r="D809" s="901"/>
      <c r="E809" s="901"/>
      <c r="F809" s="903"/>
      <c r="G809" s="901"/>
      <c r="H809" s="792"/>
      <c r="I809" s="792"/>
      <c r="J809" s="792"/>
      <c r="K809" s="792"/>
      <c r="L809" s="792"/>
      <c r="M809" s="792"/>
      <c r="N809" s="792"/>
      <c r="O809" s="792"/>
      <c r="P809" s="792"/>
      <c r="Q809" s="792"/>
      <c r="R809" s="792"/>
      <c r="S809" s="792"/>
      <c r="T809" s="792"/>
      <c r="U809" s="792"/>
      <c r="V809" s="792"/>
      <c r="W809" s="792"/>
      <c r="X809" s="792"/>
      <c r="Y809" s="792"/>
      <c r="Z809" s="792"/>
    </row>
    <row r="810" ht="15.75" customHeight="1">
      <c r="A810" s="901"/>
      <c r="B810" s="902"/>
      <c r="C810" s="901"/>
      <c r="D810" s="901"/>
      <c r="E810" s="901"/>
      <c r="F810" s="903"/>
      <c r="G810" s="901"/>
      <c r="H810" s="792"/>
      <c r="I810" s="792"/>
      <c r="J810" s="792"/>
      <c r="K810" s="792"/>
      <c r="L810" s="792"/>
      <c r="M810" s="792"/>
      <c r="N810" s="792"/>
      <c r="O810" s="792"/>
      <c r="P810" s="792"/>
      <c r="Q810" s="792"/>
      <c r="R810" s="792"/>
      <c r="S810" s="792"/>
      <c r="T810" s="792"/>
      <c r="U810" s="792"/>
      <c r="V810" s="792"/>
      <c r="W810" s="792"/>
      <c r="X810" s="792"/>
      <c r="Y810" s="792"/>
      <c r="Z810" s="792"/>
    </row>
    <row r="811" ht="15.75" customHeight="1">
      <c r="A811" s="901"/>
      <c r="B811" s="902"/>
      <c r="C811" s="901"/>
      <c r="D811" s="901"/>
      <c r="E811" s="901"/>
      <c r="F811" s="903"/>
      <c r="G811" s="901"/>
      <c r="H811" s="792"/>
      <c r="I811" s="792"/>
      <c r="J811" s="792"/>
      <c r="K811" s="792"/>
      <c r="L811" s="792"/>
      <c r="M811" s="792"/>
      <c r="N811" s="792"/>
      <c r="O811" s="792"/>
      <c r="P811" s="792"/>
      <c r="Q811" s="792"/>
      <c r="R811" s="792"/>
      <c r="S811" s="792"/>
      <c r="T811" s="792"/>
      <c r="U811" s="792"/>
      <c r="V811" s="792"/>
      <c r="W811" s="792"/>
      <c r="X811" s="792"/>
      <c r="Y811" s="792"/>
      <c r="Z811" s="792"/>
    </row>
    <row r="812" ht="15.75" customHeight="1">
      <c r="A812" s="901"/>
      <c r="B812" s="902"/>
      <c r="C812" s="901"/>
      <c r="D812" s="901"/>
      <c r="E812" s="901"/>
      <c r="F812" s="903"/>
      <c r="G812" s="901"/>
      <c r="H812" s="792"/>
      <c r="I812" s="792"/>
      <c r="J812" s="792"/>
      <c r="K812" s="792"/>
      <c r="L812" s="792"/>
      <c r="M812" s="792"/>
      <c r="N812" s="792"/>
      <c r="O812" s="792"/>
      <c r="P812" s="792"/>
      <c r="Q812" s="792"/>
      <c r="R812" s="792"/>
      <c r="S812" s="792"/>
      <c r="T812" s="792"/>
      <c r="U812" s="792"/>
      <c r="V812" s="792"/>
      <c r="W812" s="792"/>
      <c r="X812" s="792"/>
      <c r="Y812" s="792"/>
      <c r="Z812" s="792"/>
    </row>
    <row r="813" ht="15.75" customHeight="1">
      <c r="A813" s="901"/>
      <c r="B813" s="902"/>
      <c r="C813" s="901"/>
      <c r="D813" s="901"/>
      <c r="E813" s="901"/>
      <c r="F813" s="903"/>
      <c r="G813" s="901"/>
      <c r="H813" s="792"/>
      <c r="I813" s="792"/>
      <c r="J813" s="792"/>
      <c r="K813" s="792"/>
      <c r="L813" s="792"/>
      <c r="M813" s="792"/>
      <c r="N813" s="792"/>
      <c r="O813" s="792"/>
      <c r="P813" s="792"/>
      <c r="Q813" s="792"/>
      <c r="R813" s="792"/>
      <c r="S813" s="792"/>
      <c r="T813" s="792"/>
      <c r="U813" s="792"/>
      <c r="V813" s="792"/>
      <c r="W813" s="792"/>
      <c r="X813" s="792"/>
      <c r="Y813" s="792"/>
      <c r="Z813" s="792"/>
    </row>
    <row r="814" ht="15.75" customHeight="1">
      <c r="A814" s="901"/>
      <c r="B814" s="902"/>
      <c r="C814" s="901"/>
      <c r="D814" s="901"/>
      <c r="E814" s="901"/>
      <c r="F814" s="903"/>
      <c r="G814" s="901"/>
      <c r="H814" s="792"/>
      <c r="I814" s="792"/>
      <c r="J814" s="792"/>
      <c r="K814" s="792"/>
      <c r="L814" s="792"/>
      <c r="M814" s="792"/>
      <c r="N814" s="792"/>
      <c r="O814" s="792"/>
      <c r="P814" s="792"/>
      <c r="Q814" s="792"/>
      <c r="R814" s="792"/>
      <c r="S814" s="792"/>
      <c r="T814" s="792"/>
      <c r="U814" s="792"/>
      <c r="V814" s="792"/>
      <c r="W814" s="792"/>
      <c r="X814" s="792"/>
      <c r="Y814" s="792"/>
      <c r="Z814" s="792"/>
    </row>
    <row r="815" ht="15.75" customHeight="1">
      <c r="A815" s="901"/>
      <c r="B815" s="902"/>
      <c r="C815" s="901"/>
      <c r="D815" s="901"/>
      <c r="E815" s="901"/>
      <c r="F815" s="903"/>
      <c r="G815" s="901"/>
      <c r="H815" s="792"/>
      <c r="I815" s="792"/>
      <c r="J815" s="792"/>
      <c r="K815" s="792"/>
      <c r="L815" s="792"/>
      <c r="M815" s="792"/>
      <c r="N815" s="792"/>
      <c r="O815" s="792"/>
      <c r="P815" s="792"/>
      <c r="Q815" s="792"/>
      <c r="R815" s="792"/>
      <c r="S815" s="792"/>
      <c r="T815" s="792"/>
      <c r="U815" s="792"/>
      <c r="V815" s="792"/>
      <c r="W815" s="792"/>
      <c r="X815" s="792"/>
      <c r="Y815" s="792"/>
      <c r="Z815" s="792"/>
    </row>
    <row r="816" ht="15.75" customHeight="1">
      <c r="A816" s="901"/>
      <c r="B816" s="902"/>
      <c r="C816" s="901"/>
      <c r="D816" s="901"/>
      <c r="E816" s="901"/>
      <c r="F816" s="903"/>
      <c r="G816" s="901"/>
      <c r="H816" s="792"/>
      <c r="I816" s="792"/>
      <c r="J816" s="792"/>
      <c r="K816" s="792"/>
      <c r="L816" s="792"/>
      <c r="M816" s="792"/>
      <c r="N816" s="792"/>
      <c r="O816" s="792"/>
      <c r="P816" s="792"/>
      <c r="Q816" s="792"/>
      <c r="R816" s="792"/>
      <c r="S816" s="792"/>
      <c r="T816" s="792"/>
      <c r="U816" s="792"/>
      <c r="V816" s="792"/>
      <c r="W816" s="792"/>
      <c r="X816" s="792"/>
      <c r="Y816" s="792"/>
      <c r="Z816" s="792"/>
    </row>
    <row r="817" ht="15.75" customHeight="1">
      <c r="A817" s="901"/>
      <c r="B817" s="902"/>
      <c r="C817" s="901"/>
      <c r="D817" s="901"/>
      <c r="E817" s="901"/>
      <c r="F817" s="903"/>
      <c r="G817" s="901"/>
      <c r="H817" s="792"/>
      <c r="I817" s="792"/>
      <c r="J817" s="792"/>
      <c r="K817" s="792"/>
      <c r="L817" s="792"/>
      <c r="M817" s="792"/>
      <c r="N817" s="792"/>
      <c r="O817" s="792"/>
      <c r="P817" s="792"/>
      <c r="Q817" s="792"/>
      <c r="R817" s="792"/>
      <c r="S817" s="792"/>
      <c r="T817" s="792"/>
      <c r="U817" s="792"/>
      <c r="V817" s="792"/>
      <c r="W817" s="792"/>
      <c r="X817" s="792"/>
      <c r="Y817" s="792"/>
      <c r="Z817" s="792"/>
    </row>
    <row r="818" ht="15.75" customHeight="1">
      <c r="A818" s="901"/>
      <c r="B818" s="902"/>
      <c r="C818" s="901"/>
      <c r="D818" s="901"/>
      <c r="E818" s="901"/>
      <c r="F818" s="903"/>
      <c r="G818" s="901"/>
      <c r="H818" s="792"/>
      <c r="I818" s="792"/>
      <c r="J818" s="792"/>
      <c r="K818" s="792"/>
      <c r="L818" s="792"/>
      <c r="M818" s="792"/>
      <c r="N818" s="792"/>
      <c r="O818" s="792"/>
      <c r="P818" s="792"/>
      <c r="Q818" s="792"/>
      <c r="R818" s="792"/>
      <c r="S818" s="792"/>
      <c r="T818" s="792"/>
      <c r="U818" s="792"/>
      <c r="V818" s="792"/>
      <c r="W818" s="792"/>
      <c r="X818" s="792"/>
      <c r="Y818" s="792"/>
      <c r="Z818" s="792"/>
    </row>
    <row r="819" ht="15.75" customHeight="1">
      <c r="A819" s="901"/>
      <c r="B819" s="902"/>
      <c r="C819" s="901"/>
      <c r="D819" s="901"/>
      <c r="E819" s="901"/>
      <c r="F819" s="903"/>
      <c r="G819" s="901"/>
      <c r="H819" s="792"/>
      <c r="I819" s="792"/>
      <c r="J819" s="792"/>
      <c r="K819" s="792"/>
      <c r="L819" s="792"/>
      <c r="M819" s="792"/>
      <c r="N819" s="792"/>
      <c r="O819" s="792"/>
      <c r="P819" s="792"/>
      <c r="Q819" s="792"/>
      <c r="R819" s="792"/>
      <c r="S819" s="792"/>
      <c r="T819" s="792"/>
      <c r="U819" s="792"/>
      <c r="V819" s="792"/>
      <c r="W819" s="792"/>
      <c r="X819" s="792"/>
      <c r="Y819" s="792"/>
      <c r="Z819" s="792"/>
    </row>
    <row r="820" ht="15.75" customHeight="1">
      <c r="A820" s="901"/>
      <c r="B820" s="902"/>
      <c r="C820" s="901"/>
      <c r="D820" s="901"/>
      <c r="E820" s="901"/>
      <c r="F820" s="903"/>
      <c r="G820" s="901"/>
      <c r="H820" s="792"/>
      <c r="I820" s="792"/>
      <c r="J820" s="792"/>
      <c r="K820" s="792"/>
      <c r="L820" s="792"/>
      <c r="M820" s="792"/>
      <c r="N820" s="792"/>
      <c r="O820" s="792"/>
      <c r="P820" s="792"/>
      <c r="Q820" s="792"/>
      <c r="R820" s="792"/>
      <c r="S820" s="792"/>
      <c r="T820" s="792"/>
      <c r="U820" s="792"/>
      <c r="V820" s="792"/>
      <c r="W820" s="792"/>
      <c r="X820" s="792"/>
      <c r="Y820" s="792"/>
      <c r="Z820" s="792"/>
    </row>
    <row r="821" ht="15.75" customHeight="1">
      <c r="A821" s="901"/>
      <c r="B821" s="902"/>
      <c r="C821" s="901"/>
      <c r="D821" s="901"/>
      <c r="E821" s="901"/>
      <c r="F821" s="903"/>
      <c r="G821" s="901"/>
      <c r="H821" s="792"/>
      <c r="I821" s="792"/>
      <c r="J821" s="792"/>
      <c r="K821" s="792"/>
      <c r="L821" s="792"/>
      <c r="M821" s="792"/>
      <c r="N821" s="792"/>
      <c r="O821" s="792"/>
      <c r="P821" s="792"/>
      <c r="Q821" s="792"/>
      <c r="R821" s="792"/>
      <c r="S821" s="792"/>
      <c r="T821" s="792"/>
      <c r="U821" s="792"/>
      <c r="V821" s="792"/>
      <c r="W821" s="792"/>
      <c r="X821" s="792"/>
      <c r="Y821" s="792"/>
      <c r="Z821" s="792"/>
    </row>
    <row r="822" ht="15.75" customHeight="1">
      <c r="A822" s="901"/>
      <c r="B822" s="902"/>
      <c r="C822" s="901"/>
      <c r="D822" s="901"/>
      <c r="E822" s="901"/>
      <c r="F822" s="903"/>
      <c r="G822" s="901"/>
      <c r="H822" s="792"/>
      <c r="I822" s="792"/>
      <c r="J822" s="792"/>
      <c r="K822" s="792"/>
      <c r="L822" s="792"/>
      <c r="M822" s="792"/>
      <c r="N822" s="792"/>
      <c r="O822" s="792"/>
      <c r="P822" s="792"/>
      <c r="Q822" s="792"/>
      <c r="R822" s="792"/>
      <c r="S822" s="792"/>
      <c r="T822" s="792"/>
      <c r="U822" s="792"/>
      <c r="V822" s="792"/>
      <c r="W822" s="792"/>
      <c r="X822" s="792"/>
      <c r="Y822" s="792"/>
      <c r="Z822" s="792"/>
    </row>
    <row r="823" ht="15.75" customHeight="1">
      <c r="A823" s="901"/>
      <c r="B823" s="902"/>
      <c r="C823" s="901"/>
      <c r="D823" s="901"/>
      <c r="E823" s="901"/>
      <c r="F823" s="903"/>
      <c r="G823" s="901"/>
      <c r="H823" s="792"/>
      <c r="I823" s="792"/>
      <c r="J823" s="792"/>
      <c r="K823" s="792"/>
      <c r="L823" s="792"/>
      <c r="M823" s="792"/>
      <c r="N823" s="792"/>
      <c r="O823" s="792"/>
      <c r="P823" s="792"/>
      <c r="Q823" s="792"/>
      <c r="R823" s="792"/>
      <c r="S823" s="792"/>
      <c r="T823" s="792"/>
      <c r="U823" s="792"/>
      <c r="V823" s="792"/>
      <c r="W823" s="792"/>
      <c r="X823" s="792"/>
      <c r="Y823" s="792"/>
      <c r="Z823" s="792"/>
    </row>
    <row r="824" ht="15.75" customHeight="1">
      <c r="A824" s="901"/>
      <c r="B824" s="902"/>
      <c r="C824" s="901"/>
      <c r="D824" s="901"/>
      <c r="E824" s="901"/>
      <c r="F824" s="903"/>
      <c r="G824" s="901"/>
      <c r="H824" s="792"/>
      <c r="I824" s="792"/>
      <c r="J824" s="792"/>
      <c r="K824" s="792"/>
      <c r="L824" s="792"/>
      <c r="M824" s="792"/>
      <c r="N824" s="792"/>
      <c r="O824" s="792"/>
      <c r="P824" s="792"/>
      <c r="Q824" s="792"/>
      <c r="R824" s="792"/>
      <c r="S824" s="792"/>
      <c r="T824" s="792"/>
      <c r="U824" s="792"/>
      <c r="V824" s="792"/>
      <c r="W824" s="792"/>
      <c r="X824" s="792"/>
      <c r="Y824" s="792"/>
      <c r="Z824" s="792"/>
    </row>
    <row r="825" ht="15.75" customHeight="1">
      <c r="A825" s="901"/>
      <c r="B825" s="902"/>
      <c r="C825" s="901"/>
      <c r="D825" s="901"/>
      <c r="E825" s="901"/>
      <c r="F825" s="903"/>
      <c r="G825" s="901"/>
      <c r="H825" s="792"/>
      <c r="I825" s="792"/>
      <c r="J825" s="792"/>
      <c r="K825" s="792"/>
      <c r="L825" s="792"/>
      <c r="M825" s="792"/>
      <c r="N825" s="792"/>
      <c r="O825" s="792"/>
      <c r="P825" s="792"/>
      <c r="Q825" s="792"/>
      <c r="R825" s="792"/>
      <c r="S825" s="792"/>
      <c r="T825" s="792"/>
      <c r="U825" s="792"/>
      <c r="V825" s="792"/>
      <c r="W825" s="792"/>
      <c r="X825" s="792"/>
      <c r="Y825" s="792"/>
      <c r="Z825" s="792"/>
    </row>
    <row r="826" ht="15.75" customHeight="1">
      <c r="A826" s="901"/>
      <c r="B826" s="902"/>
      <c r="C826" s="901"/>
      <c r="D826" s="901"/>
      <c r="E826" s="901"/>
      <c r="F826" s="903"/>
      <c r="G826" s="901"/>
      <c r="H826" s="792"/>
      <c r="I826" s="792"/>
      <c r="J826" s="792"/>
      <c r="K826" s="792"/>
      <c r="L826" s="792"/>
      <c r="M826" s="792"/>
      <c r="N826" s="792"/>
      <c r="O826" s="792"/>
      <c r="P826" s="792"/>
      <c r="Q826" s="792"/>
      <c r="R826" s="792"/>
      <c r="S826" s="792"/>
      <c r="T826" s="792"/>
      <c r="U826" s="792"/>
      <c r="V826" s="792"/>
      <c r="W826" s="792"/>
      <c r="X826" s="792"/>
      <c r="Y826" s="792"/>
      <c r="Z826" s="792"/>
    </row>
    <row r="827" ht="15.75" customHeight="1">
      <c r="A827" s="901"/>
      <c r="B827" s="902"/>
      <c r="C827" s="901"/>
      <c r="D827" s="901"/>
      <c r="E827" s="901"/>
      <c r="F827" s="903"/>
      <c r="G827" s="901"/>
      <c r="H827" s="792"/>
      <c r="I827" s="792"/>
      <c r="J827" s="792"/>
      <c r="K827" s="792"/>
      <c r="L827" s="792"/>
      <c r="M827" s="792"/>
      <c r="N827" s="792"/>
      <c r="O827" s="792"/>
      <c r="P827" s="792"/>
      <c r="Q827" s="792"/>
      <c r="R827" s="792"/>
      <c r="S827" s="792"/>
      <c r="T827" s="792"/>
      <c r="U827" s="792"/>
      <c r="V827" s="792"/>
      <c r="W827" s="792"/>
      <c r="X827" s="792"/>
      <c r="Y827" s="792"/>
      <c r="Z827" s="792"/>
    </row>
    <row r="828" ht="15.75" customHeight="1">
      <c r="A828" s="901"/>
      <c r="B828" s="902"/>
      <c r="C828" s="901"/>
      <c r="D828" s="901"/>
      <c r="E828" s="901"/>
      <c r="F828" s="903"/>
      <c r="G828" s="901"/>
      <c r="H828" s="792"/>
      <c r="I828" s="792"/>
      <c r="J828" s="792"/>
      <c r="K828" s="792"/>
      <c r="L828" s="792"/>
      <c r="M828" s="792"/>
      <c r="N828" s="792"/>
      <c r="O828" s="792"/>
      <c r="P828" s="792"/>
      <c r="Q828" s="792"/>
      <c r="R828" s="792"/>
      <c r="S828" s="792"/>
      <c r="T828" s="792"/>
      <c r="U828" s="792"/>
      <c r="V828" s="792"/>
      <c r="W828" s="792"/>
      <c r="X828" s="792"/>
      <c r="Y828" s="792"/>
      <c r="Z828" s="792"/>
    </row>
    <row r="829" ht="15.75" customHeight="1">
      <c r="A829" s="901"/>
      <c r="B829" s="902"/>
      <c r="C829" s="901"/>
      <c r="D829" s="901"/>
      <c r="E829" s="901"/>
      <c r="F829" s="903"/>
      <c r="G829" s="901"/>
      <c r="H829" s="792"/>
      <c r="I829" s="792"/>
      <c r="J829" s="792"/>
      <c r="K829" s="792"/>
      <c r="L829" s="792"/>
      <c r="M829" s="792"/>
      <c r="N829" s="792"/>
      <c r="O829" s="792"/>
      <c r="P829" s="792"/>
      <c r="Q829" s="792"/>
      <c r="R829" s="792"/>
      <c r="S829" s="792"/>
      <c r="T829" s="792"/>
      <c r="U829" s="792"/>
      <c r="V829" s="792"/>
      <c r="W829" s="792"/>
      <c r="X829" s="792"/>
      <c r="Y829" s="792"/>
      <c r="Z829" s="792"/>
    </row>
    <row r="830" ht="15.75" customHeight="1">
      <c r="A830" s="901"/>
      <c r="B830" s="902"/>
      <c r="C830" s="901"/>
      <c r="D830" s="901"/>
      <c r="E830" s="901"/>
      <c r="F830" s="903"/>
      <c r="G830" s="901"/>
      <c r="H830" s="792"/>
      <c r="I830" s="792"/>
      <c r="J830" s="792"/>
      <c r="K830" s="792"/>
      <c r="L830" s="792"/>
      <c r="M830" s="792"/>
      <c r="N830" s="792"/>
      <c r="O830" s="792"/>
      <c r="P830" s="792"/>
      <c r="Q830" s="792"/>
      <c r="R830" s="792"/>
      <c r="S830" s="792"/>
      <c r="T830" s="792"/>
      <c r="U830" s="792"/>
      <c r="V830" s="792"/>
      <c r="W830" s="792"/>
      <c r="X830" s="792"/>
      <c r="Y830" s="792"/>
      <c r="Z830" s="792"/>
    </row>
    <row r="831" ht="15.75" customHeight="1">
      <c r="A831" s="901"/>
      <c r="B831" s="902"/>
      <c r="C831" s="901"/>
      <c r="D831" s="901"/>
      <c r="E831" s="901"/>
      <c r="F831" s="903"/>
      <c r="G831" s="901"/>
      <c r="H831" s="792"/>
      <c r="I831" s="792"/>
      <c r="J831" s="792"/>
      <c r="K831" s="792"/>
      <c r="L831" s="792"/>
      <c r="M831" s="792"/>
      <c r="N831" s="792"/>
      <c r="O831" s="792"/>
      <c r="P831" s="792"/>
      <c r="Q831" s="792"/>
      <c r="R831" s="792"/>
      <c r="S831" s="792"/>
      <c r="T831" s="792"/>
      <c r="U831" s="792"/>
      <c r="V831" s="792"/>
      <c r="W831" s="792"/>
      <c r="X831" s="792"/>
      <c r="Y831" s="792"/>
      <c r="Z831" s="792"/>
    </row>
    <row r="832" ht="15.75" customHeight="1">
      <c r="A832" s="901"/>
      <c r="B832" s="902"/>
      <c r="C832" s="901"/>
      <c r="D832" s="901"/>
      <c r="E832" s="901"/>
      <c r="F832" s="903"/>
      <c r="G832" s="901"/>
      <c r="H832" s="792"/>
      <c r="I832" s="792"/>
      <c r="J832" s="792"/>
      <c r="K832" s="792"/>
      <c r="L832" s="792"/>
      <c r="M832" s="792"/>
      <c r="N832" s="792"/>
      <c r="O832" s="792"/>
      <c r="P832" s="792"/>
      <c r="Q832" s="792"/>
      <c r="R832" s="792"/>
      <c r="S832" s="792"/>
      <c r="T832" s="792"/>
      <c r="U832" s="792"/>
      <c r="V832" s="792"/>
      <c r="W832" s="792"/>
      <c r="X832" s="792"/>
      <c r="Y832" s="792"/>
      <c r="Z832" s="792"/>
    </row>
    <row r="833" ht="15.75" customHeight="1">
      <c r="A833" s="901"/>
      <c r="B833" s="902"/>
      <c r="C833" s="901"/>
      <c r="D833" s="901"/>
      <c r="E833" s="901"/>
      <c r="F833" s="903"/>
      <c r="G833" s="901"/>
      <c r="H833" s="792"/>
      <c r="I833" s="792"/>
      <c r="J833" s="792"/>
      <c r="K833" s="792"/>
      <c r="L833" s="792"/>
      <c r="M833" s="792"/>
      <c r="N833" s="792"/>
      <c r="O833" s="792"/>
      <c r="P833" s="792"/>
      <c r="Q833" s="792"/>
      <c r="R833" s="792"/>
      <c r="S833" s="792"/>
      <c r="T833" s="792"/>
      <c r="U833" s="792"/>
      <c r="V833" s="792"/>
      <c r="W833" s="792"/>
      <c r="X833" s="792"/>
      <c r="Y833" s="792"/>
      <c r="Z833" s="792"/>
    </row>
    <row r="834" ht="15.75" customHeight="1">
      <c r="A834" s="901"/>
      <c r="B834" s="902"/>
      <c r="C834" s="901"/>
      <c r="D834" s="901"/>
      <c r="E834" s="901"/>
      <c r="F834" s="903"/>
      <c r="G834" s="901"/>
      <c r="H834" s="792"/>
      <c r="I834" s="792"/>
      <c r="J834" s="792"/>
      <c r="K834" s="792"/>
      <c r="L834" s="792"/>
      <c r="M834" s="792"/>
      <c r="N834" s="792"/>
      <c r="O834" s="792"/>
      <c r="P834" s="792"/>
      <c r="Q834" s="792"/>
      <c r="R834" s="792"/>
      <c r="S834" s="792"/>
      <c r="T834" s="792"/>
      <c r="U834" s="792"/>
      <c r="V834" s="792"/>
      <c r="W834" s="792"/>
      <c r="X834" s="792"/>
      <c r="Y834" s="792"/>
      <c r="Z834" s="792"/>
    </row>
    <row r="835" ht="15.75" customHeight="1">
      <c r="A835" s="901"/>
      <c r="B835" s="902"/>
      <c r="C835" s="901"/>
      <c r="D835" s="901"/>
      <c r="E835" s="901"/>
      <c r="F835" s="903"/>
      <c r="G835" s="901"/>
      <c r="H835" s="792"/>
      <c r="I835" s="792"/>
      <c r="J835" s="792"/>
      <c r="K835" s="792"/>
      <c r="L835" s="792"/>
      <c r="M835" s="792"/>
      <c r="N835" s="792"/>
      <c r="O835" s="792"/>
      <c r="P835" s="792"/>
      <c r="Q835" s="792"/>
      <c r="R835" s="792"/>
      <c r="S835" s="792"/>
      <c r="T835" s="792"/>
      <c r="U835" s="792"/>
      <c r="V835" s="792"/>
      <c r="W835" s="792"/>
      <c r="X835" s="792"/>
      <c r="Y835" s="792"/>
      <c r="Z835" s="792"/>
    </row>
    <row r="836" ht="15.75" customHeight="1">
      <c r="A836" s="901"/>
      <c r="B836" s="902"/>
      <c r="C836" s="901"/>
      <c r="D836" s="901"/>
      <c r="E836" s="901"/>
      <c r="F836" s="903"/>
      <c r="G836" s="901"/>
      <c r="H836" s="792"/>
      <c r="I836" s="792"/>
      <c r="J836" s="792"/>
      <c r="K836" s="792"/>
      <c r="L836" s="792"/>
      <c r="M836" s="792"/>
      <c r="N836" s="792"/>
      <c r="O836" s="792"/>
      <c r="P836" s="792"/>
      <c r="Q836" s="792"/>
      <c r="R836" s="792"/>
      <c r="S836" s="792"/>
      <c r="T836" s="792"/>
      <c r="U836" s="792"/>
      <c r="V836" s="792"/>
      <c r="W836" s="792"/>
      <c r="X836" s="792"/>
      <c r="Y836" s="792"/>
      <c r="Z836" s="792"/>
    </row>
    <row r="837" ht="15.75" customHeight="1">
      <c r="A837" s="901"/>
      <c r="B837" s="902"/>
      <c r="C837" s="901"/>
      <c r="D837" s="901"/>
      <c r="E837" s="901"/>
      <c r="F837" s="903"/>
      <c r="G837" s="901"/>
      <c r="H837" s="792"/>
      <c r="I837" s="792"/>
      <c r="J837" s="792"/>
      <c r="K837" s="792"/>
      <c r="L837" s="792"/>
      <c r="M837" s="792"/>
      <c r="N837" s="792"/>
      <c r="O837" s="792"/>
      <c r="P837" s="792"/>
      <c r="Q837" s="792"/>
      <c r="R837" s="792"/>
      <c r="S837" s="792"/>
      <c r="T837" s="792"/>
      <c r="U837" s="792"/>
      <c r="V837" s="792"/>
      <c r="W837" s="792"/>
      <c r="X837" s="792"/>
      <c r="Y837" s="792"/>
      <c r="Z837" s="792"/>
    </row>
    <row r="838" ht="15.75" customHeight="1">
      <c r="A838" s="901"/>
      <c r="B838" s="902"/>
      <c r="C838" s="901"/>
      <c r="D838" s="901"/>
      <c r="E838" s="901"/>
      <c r="F838" s="903"/>
      <c r="G838" s="901"/>
      <c r="H838" s="792"/>
      <c r="I838" s="792"/>
      <c r="J838" s="792"/>
      <c r="K838" s="792"/>
      <c r="L838" s="792"/>
      <c r="M838" s="792"/>
      <c r="N838" s="792"/>
      <c r="O838" s="792"/>
      <c r="P838" s="792"/>
      <c r="Q838" s="792"/>
      <c r="R838" s="792"/>
      <c r="S838" s="792"/>
      <c r="T838" s="792"/>
      <c r="U838" s="792"/>
      <c r="V838" s="792"/>
      <c r="W838" s="792"/>
      <c r="X838" s="792"/>
      <c r="Y838" s="792"/>
      <c r="Z838" s="792"/>
    </row>
    <row r="839" ht="15.75" customHeight="1">
      <c r="A839" s="901"/>
      <c r="B839" s="902"/>
      <c r="C839" s="901"/>
      <c r="D839" s="901"/>
      <c r="E839" s="901"/>
      <c r="F839" s="903"/>
      <c r="G839" s="901"/>
      <c r="H839" s="792"/>
      <c r="I839" s="792"/>
      <c r="J839" s="792"/>
      <c r="K839" s="792"/>
      <c r="L839" s="792"/>
      <c r="M839" s="792"/>
      <c r="N839" s="792"/>
      <c r="O839" s="792"/>
      <c r="P839" s="792"/>
      <c r="Q839" s="792"/>
      <c r="R839" s="792"/>
      <c r="S839" s="792"/>
      <c r="T839" s="792"/>
      <c r="U839" s="792"/>
      <c r="V839" s="792"/>
      <c r="W839" s="792"/>
      <c r="X839" s="792"/>
      <c r="Y839" s="792"/>
      <c r="Z839" s="792"/>
    </row>
    <row r="840" ht="15.75" customHeight="1">
      <c r="A840" s="901"/>
      <c r="B840" s="902"/>
      <c r="C840" s="901"/>
      <c r="D840" s="901"/>
      <c r="E840" s="901"/>
      <c r="F840" s="903"/>
      <c r="G840" s="901"/>
      <c r="H840" s="792"/>
      <c r="I840" s="792"/>
      <c r="J840" s="792"/>
      <c r="K840" s="792"/>
      <c r="L840" s="792"/>
      <c r="M840" s="792"/>
      <c r="N840" s="792"/>
      <c r="O840" s="792"/>
      <c r="P840" s="792"/>
      <c r="Q840" s="792"/>
      <c r="R840" s="792"/>
      <c r="S840" s="792"/>
      <c r="T840" s="792"/>
      <c r="U840" s="792"/>
      <c r="V840" s="792"/>
      <c r="W840" s="792"/>
      <c r="X840" s="792"/>
      <c r="Y840" s="792"/>
      <c r="Z840" s="792"/>
    </row>
    <row r="841" ht="15.75" customHeight="1">
      <c r="A841" s="901"/>
      <c r="B841" s="902"/>
      <c r="C841" s="901"/>
      <c r="D841" s="901"/>
      <c r="E841" s="901"/>
      <c r="F841" s="903"/>
      <c r="G841" s="901"/>
      <c r="H841" s="792"/>
      <c r="I841" s="792"/>
      <c r="J841" s="792"/>
      <c r="K841" s="792"/>
      <c r="L841" s="792"/>
      <c r="M841" s="792"/>
      <c r="N841" s="792"/>
      <c r="O841" s="792"/>
      <c r="P841" s="792"/>
      <c r="Q841" s="792"/>
      <c r="R841" s="792"/>
      <c r="S841" s="792"/>
      <c r="T841" s="792"/>
      <c r="U841" s="792"/>
      <c r="V841" s="792"/>
      <c r="W841" s="792"/>
      <c r="X841" s="792"/>
      <c r="Y841" s="792"/>
      <c r="Z841" s="792"/>
    </row>
    <row r="842" ht="15.75" customHeight="1">
      <c r="A842" s="901"/>
      <c r="B842" s="902"/>
      <c r="C842" s="901"/>
      <c r="D842" s="901"/>
      <c r="E842" s="901"/>
      <c r="F842" s="903"/>
      <c r="G842" s="901"/>
      <c r="H842" s="792"/>
      <c r="I842" s="792"/>
      <c r="J842" s="792"/>
      <c r="K842" s="792"/>
      <c r="L842" s="792"/>
      <c r="M842" s="792"/>
      <c r="N842" s="792"/>
      <c r="O842" s="792"/>
      <c r="P842" s="792"/>
      <c r="Q842" s="792"/>
      <c r="R842" s="792"/>
      <c r="S842" s="792"/>
      <c r="T842" s="792"/>
      <c r="U842" s="792"/>
      <c r="V842" s="792"/>
      <c r="W842" s="792"/>
      <c r="X842" s="792"/>
      <c r="Y842" s="792"/>
      <c r="Z842" s="792"/>
    </row>
    <row r="843" ht="15.75" customHeight="1">
      <c r="A843" s="901"/>
      <c r="B843" s="902"/>
      <c r="C843" s="901"/>
      <c r="D843" s="901"/>
      <c r="E843" s="901"/>
      <c r="F843" s="903"/>
      <c r="G843" s="901"/>
      <c r="H843" s="792"/>
      <c r="I843" s="792"/>
      <c r="J843" s="792"/>
      <c r="K843" s="792"/>
      <c r="L843" s="792"/>
      <c r="M843" s="792"/>
      <c r="N843" s="792"/>
      <c r="O843" s="792"/>
      <c r="P843" s="792"/>
      <c r="Q843" s="792"/>
      <c r="R843" s="792"/>
      <c r="S843" s="792"/>
      <c r="T843" s="792"/>
      <c r="U843" s="792"/>
      <c r="V843" s="792"/>
      <c r="W843" s="792"/>
      <c r="X843" s="792"/>
      <c r="Y843" s="792"/>
      <c r="Z843" s="792"/>
    </row>
    <row r="844" ht="15.75" customHeight="1">
      <c r="A844" s="901"/>
      <c r="B844" s="902"/>
      <c r="C844" s="901"/>
      <c r="D844" s="901"/>
      <c r="E844" s="901"/>
      <c r="F844" s="903"/>
      <c r="G844" s="901"/>
      <c r="H844" s="792"/>
      <c r="I844" s="792"/>
      <c r="J844" s="792"/>
      <c r="K844" s="792"/>
      <c r="L844" s="792"/>
      <c r="M844" s="792"/>
      <c r="N844" s="792"/>
      <c r="O844" s="792"/>
      <c r="P844" s="792"/>
      <c r="Q844" s="792"/>
      <c r="R844" s="792"/>
      <c r="S844" s="792"/>
      <c r="T844" s="792"/>
      <c r="U844" s="792"/>
      <c r="V844" s="792"/>
      <c r="W844" s="792"/>
      <c r="X844" s="792"/>
      <c r="Y844" s="792"/>
      <c r="Z844" s="792"/>
    </row>
    <row r="845" ht="15.75" customHeight="1">
      <c r="A845" s="901"/>
      <c r="B845" s="902"/>
      <c r="C845" s="901"/>
      <c r="D845" s="901"/>
      <c r="E845" s="901"/>
      <c r="F845" s="903"/>
      <c r="G845" s="901"/>
      <c r="H845" s="792"/>
      <c r="I845" s="792"/>
      <c r="J845" s="792"/>
      <c r="K845" s="792"/>
      <c r="L845" s="792"/>
      <c r="M845" s="792"/>
      <c r="N845" s="792"/>
      <c r="O845" s="792"/>
      <c r="P845" s="792"/>
      <c r="Q845" s="792"/>
      <c r="R845" s="792"/>
      <c r="S845" s="792"/>
      <c r="T845" s="792"/>
      <c r="U845" s="792"/>
      <c r="V845" s="792"/>
      <c r="W845" s="792"/>
      <c r="X845" s="792"/>
      <c r="Y845" s="792"/>
      <c r="Z845" s="792"/>
    </row>
    <row r="846" ht="15.75" customHeight="1">
      <c r="A846" s="901"/>
      <c r="B846" s="902"/>
      <c r="C846" s="901"/>
      <c r="D846" s="901"/>
      <c r="E846" s="901"/>
      <c r="F846" s="903"/>
      <c r="G846" s="901"/>
      <c r="H846" s="792"/>
      <c r="I846" s="792"/>
      <c r="J846" s="792"/>
      <c r="K846" s="792"/>
      <c r="L846" s="792"/>
      <c r="M846" s="792"/>
      <c r="N846" s="792"/>
      <c r="O846" s="792"/>
      <c r="P846" s="792"/>
      <c r="Q846" s="792"/>
      <c r="R846" s="792"/>
      <c r="S846" s="792"/>
      <c r="T846" s="792"/>
      <c r="U846" s="792"/>
      <c r="V846" s="792"/>
      <c r="W846" s="792"/>
      <c r="X846" s="792"/>
      <c r="Y846" s="792"/>
      <c r="Z846" s="792"/>
    </row>
    <row r="847" ht="15.75" customHeight="1">
      <c r="A847" s="901"/>
      <c r="B847" s="902"/>
      <c r="C847" s="901"/>
      <c r="D847" s="901"/>
      <c r="E847" s="901"/>
      <c r="F847" s="903"/>
      <c r="G847" s="901"/>
      <c r="H847" s="792"/>
      <c r="I847" s="792"/>
      <c r="J847" s="792"/>
      <c r="K847" s="792"/>
      <c r="L847" s="792"/>
      <c r="M847" s="792"/>
      <c r="N847" s="792"/>
      <c r="O847" s="792"/>
      <c r="P847" s="792"/>
      <c r="Q847" s="792"/>
      <c r="R847" s="792"/>
      <c r="S847" s="792"/>
      <c r="T847" s="792"/>
      <c r="U847" s="792"/>
      <c r="V847" s="792"/>
      <c r="W847" s="792"/>
      <c r="X847" s="792"/>
      <c r="Y847" s="792"/>
      <c r="Z847" s="792"/>
    </row>
    <row r="848" ht="15.75" customHeight="1">
      <c r="A848" s="901"/>
      <c r="B848" s="902"/>
      <c r="C848" s="901"/>
      <c r="D848" s="901"/>
      <c r="E848" s="901"/>
      <c r="F848" s="903"/>
      <c r="G848" s="901"/>
      <c r="H848" s="792"/>
      <c r="I848" s="792"/>
      <c r="J848" s="792"/>
      <c r="K848" s="792"/>
      <c r="L848" s="792"/>
      <c r="M848" s="792"/>
      <c r="N848" s="792"/>
      <c r="O848" s="792"/>
      <c r="P848" s="792"/>
      <c r="Q848" s="792"/>
      <c r="R848" s="792"/>
      <c r="S848" s="792"/>
      <c r="T848" s="792"/>
      <c r="U848" s="792"/>
      <c r="V848" s="792"/>
      <c r="W848" s="792"/>
      <c r="X848" s="792"/>
      <c r="Y848" s="792"/>
      <c r="Z848" s="792"/>
    </row>
    <row r="849" ht="15.75" customHeight="1">
      <c r="A849" s="901"/>
      <c r="B849" s="902"/>
      <c r="C849" s="901"/>
      <c r="D849" s="901"/>
      <c r="E849" s="901"/>
      <c r="F849" s="903"/>
      <c r="G849" s="901"/>
      <c r="H849" s="792"/>
      <c r="I849" s="792"/>
      <c r="J849" s="792"/>
      <c r="K849" s="792"/>
      <c r="L849" s="792"/>
      <c r="M849" s="792"/>
      <c r="N849" s="792"/>
      <c r="O849" s="792"/>
      <c r="P849" s="792"/>
      <c r="Q849" s="792"/>
      <c r="R849" s="792"/>
      <c r="S849" s="792"/>
      <c r="T849" s="792"/>
      <c r="U849" s="792"/>
      <c r="V849" s="792"/>
      <c r="W849" s="792"/>
      <c r="X849" s="792"/>
      <c r="Y849" s="792"/>
      <c r="Z849" s="792"/>
    </row>
    <row r="850" ht="15.75" customHeight="1">
      <c r="A850" s="901"/>
      <c r="B850" s="902"/>
      <c r="C850" s="901"/>
      <c r="D850" s="901"/>
      <c r="E850" s="901"/>
      <c r="F850" s="903"/>
      <c r="G850" s="901"/>
      <c r="H850" s="792"/>
      <c r="I850" s="792"/>
      <c r="J850" s="792"/>
      <c r="K850" s="792"/>
      <c r="L850" s="792"/>
      <c r="M850" s="792"/>
      <c r="N850" s="792"/>
      <c r="O850" s="792"/>
      <c r="P850" s="792"/>
      <c r="Q850" s="792"/>
      <c r="R850" s="792"/>
      <c r="S850" s="792"/>
      <c r="T850" s="792"/>
      <c r="U850" s="792"/>
      <c r="V850" s="792"/>
      <c r="W850" s="792"/>
      <c r="X850" s="792"/>
      <c r="Y850" s="792"/>
      <c r="Z850" s="792"/>
    </row>
    <row r="851" ht="15.75" customHeight="1">
      <c r="A851" s="901"/>
      <c r="B851" s="902"/>
      <c r="C851" s="901"/>
      <c r="D851" s="901"/>
      <c r="E851" s="901"/>
      <c r="F851" s="903"/>
      <c r="G851" s="901"/>
      <c r="H851" s="792"/>
      <c r="I851" s="792"/>
      <c r="J851" s="792"/>
      <c r="K851" s="792"/>
      <c r="L851" s="792"/>
      <c r="M851" s="792"/>
      <c r="N851" s="792"/>
      <c r="O851" s="792"/>
      <c r="P851" s="792"/>
      <c r="Q851" s="792"/>
      <c r="R851" s="792"/>
      <c r="S851" s="792"/>
      <c r="T851" s="792"/>
      <c r="U851" s="792"/>
      <c r="V851" s="792"/>
      <c r="W851" s="792"/>
      <c r="X851" s="792"/>
      <c r="Y851" s="792"/>
      <c r="Z851" s="792"/>
    </row>
    <row r="852" ht="15.75" customHeight="1">
      <c r="A852" s="901"/>
      <c r="B852" s="902"/>
      <c r="C852" s="901"/>
      <c r="D852" s="901"/>
      <c r="E852" s="901"/>
      <c r="F852" s="903"/>
      <c r="G852" s="901"/>
      <c r="H852" s="792"/>
      <c r="I852" s="792"/>
      <c r="J852" s="792"/>
      <c r="K852" s="792"/>
      <c r="L852" s="792"/>
      <c r="M852" s="792"/>
      <c r="N852" s="792"/>
      <c r="O852" s="792"/>
      <c r="P852" s="792"/>
      <c r="Q852" s="792"/>
      <c r="R852" s="792"/>
      <c r="S852" s="792"/>
      <c r="T852" s="792"/>
      <c r="U852" s="792"/>
      <c r="V852" s="792"/>
      <c r="W852" s="792"/>
      <c r="X852" s="792"/>
      <c r="Y852" s="792"/>
      <c r="Z852" s="792"/>
    </row>
    <row r="853" ht="15.75" customHeight="1">
      <c r="A853" s="901"/>
      <c r="B853" s="902"/>
      <c r="C853" s="901"/>
      <c r="D853" s="901"/>
      <c r="E853" s="901"/>
      <c r="F853" s="903"/>
      <c r="G853" s="901"/>
      <c r="H853" s="792"/>
      <c r="I853" s="792"/>
      <c r="J853" s="792"/>
      <c r="K853" s="792"/>
      <c r="L853" s="792"/>
      <c r="M853" s="792"/>
      <c r="N853" s="792"/>
      <c r="O853" s="792"/>
      <c r="P853" s="792"/>
      <c r="Q853" s="792"/>
      <c r="R853" s="792"/>
      <c r="S853" s="792"/>
      <c r="T853" s="792"/>
      <c r="U853" s="792"/>
      <c r="V853" s="792"/>
      <c r="W853" s="792"/>
      <c r="X853" s="792"/>
      <c r="Y853" s="792"/>
      <c r="Z853" s="792"/>
    </row>
    <row r="854" ht="15.75" customHeight="1">
      <c r="A854" s="901"/>
      <c r="B854" s="902"/>
      <c r="C854" s="901"/>
      <c r="D854" s="901"/>
      <c r="E854" s="901"/>
      <c r="F854" s="903"/>
      <c r="G854" s="901"/>
      <c r="H854" s="792"/>
      <c r="I854" s="792"/>
      <c r="J854" s="792"/>
      <c r="K854" s="792"/>
      <c r="L854" s="792"/>
      <c r="M854" s="792"/>
      <c r="N854" s="792"/>
      <c r="O854" s="792"/>
      <c r="P854" s="792"/>
      <c r="Q854" s="792"/>
      <c r="R854" s="792"/>
      <c r="S854" s="792"/>
      <c r="T854" s="792"/>
      <c r="U854" s="792"/>
      <c r="V854" s="792"/>
      <c r="W854" s="792"/>
      <c r="X854" s="792"/>
      <c r="Y854" s="792"/>
      <c r="Z854" s="792"/>
    </row>
    <row r="855" ht="15.75" customHeight="1">
      <c r="A855" s="901"/>
      <c r="B855" s="902"/>
      <c r="C855" s="901"/>
      <c r="D855" s="901"/>
      <c r="E855" s="901"/>
      <c r="F855" s="903"/>
      <c r="G855" s="901"/>
      <c r="H855" s="792"/>
      <c r="I855" s="792"/>
      <c r="J855" s="792"/>
      <c r="K855" s="792"/>
      <c r="L855" s="792"/>
      <c r="M855" s="792"/>
      <c r="N855" s="792"/>
      <c r="O855" s="792"/>
      <c r="P855" s="792"/>
      <c r="Q855" s="792"/>
      <c r="R855" s="792"/>
      <c r="S855" s="792"/>
      <c r="T855" s="792"/>
      <c r="U855" s="792"/>
      <c r="V855" s="792"/>
      <c r="W855" s="792"/>
      <c r="X855" s="792"/>
      <c r="Y855" s="792"/>
      <c r="Z855" s="792"/>
    </row>
    <row r="856" ht="15.75" customHeight="1">
      <c r="A856" s="901"/>
      <c r="B856" s="902"/>
      <c r="C856" s="901"/>
      <c r="D856" s="901"/>
      <c r="E856" s="901"/>
      <c r="F856" s="903"/>
      <c r="G856" s="901"/>
      <c r="H856" s="792"/>
      <c r="I856" s="792"/>
      <c r="J856" s="792"/>
      <c r="K856" s="792"/>
      <c r="L856" s="792"/>
      <c r="M856" s="792"/>
      <c r="N856" s="792"/>
      <c r="O856" s="792"/>
      <c r="P856" s="792"/>
      <c r="Q856" s="792"/>
      <c r="R856" s="792"/>
      <c r="S856" s="792"/>
      <c r="T856" s="792"/>
      <c r="U856" s="792"/>
      <c r="V856" s="792"/>
      <c r="W856" s="792"/>
      <c r="X856" s="792"/>
      <c r="Y856" s="792"/>
      <c r="Z856" s="792"/>
    </row>
    <row r="857" ht="15.75" customHeight="1">
      <c r="A857" s="901"/>
      <c r="B857" s="902"/>
      <c r="C857" s="901"/>
      <c r="D857" s="901"/>
      <c r="E857" s="901"/>
      <c r="F857" s="903"/>
      <c r="G857" s="901"/>
      <c r="H857" s="792"/>
      <c r="I857" s="792"/>
      <c r="J857" s="792"/>
      <c r="K857" s="792"/>
      <c r="L857" s="792"/>
      <c r="M857" s="792"/>
      <c r="N857" s="792"/>
      <c r="O857" s="792"/>
      <c r="P857" s="792"/>
      <c r="Q857" s="792"/>
      <c r="R857" s="792"/>
      <c r="S857" s="792"/>
      <c r="T857" s="792"/>
      <c r="U857" s="792"/>
      <c r="V857" s="792"/>
      <c r="W857" s="792"/>
      <c r="X857" s="792"/>
      <c r="Y857" s="792"/>
      <c r="Z857" s="792"/>
    </row>
    <row r="858" ht="15.75" customHeight="1">
      <c r="A858" s="901"/>
      <c r="B858" s="902"/>
      <c r="C858" s="901"/>
      <c r="D858" s="901"/>
      <c r="E858" s="901"/>
      <c r="F858" s="903"/>
      <c r="G858" s="901"/>
      <c r="H858" s="792"/>
      <c r="I858" s="792"/>
      <c r="J858" s="792"/>
      <c r="K858" s="792"/>
      <c r="L858" s="792"/>
      <c r="M858" s="792"/>
      <c r="N858" s="792"/>
      <c r="O858" s="792"/>
      <c r="P858" s="792"/>
      <c r="Q858" s="792"/>
      <c r="R858" s="792"/>
      <c r="S858" s="792"/>
      <c r="T858" s="792"/>
      <c r="U858" s="792"/>
      <c r="V858" s="792"/>
      <c r="W858" s="792"/>
      <c r="X858" s="792"/>
      <c r="Y858" s="792"/>
      <c r="Z858" s="792"/>
    </row>
    <row r="859" ht="15.75" customHeight="1">
      <c r="A859" s="901"/>
      <c r="B859" s="902"/>
      <c r="C859" s="901"/>
      <c r="D859" s="901"/>
      <c r="E859" s="901"/>
      <c r="F859" s="903"/>
      <c r="G859" s="901"/>
      <c r="H859" s="792"/>
      <c r="I859" s="792"/>
      <c r="J859" s="792"/>
      <c r="K859" s="792"/>
      <c r="L859" s="792"/>
      <c r="M859" s="792"/>
      <c r="N859" s="792"/>
      <c r="O859" s="792"/>
      <c r="P859" s="792"/>
      <c r="Q859" s="792"/>
      <c r="R859" s="792"/>
      <c r="S859" s="792"/>
      <c r="T859" s="792"/>
      <c r="U859" s="792"/>
      <c r="V859" s="792"/>
      <c r="W859" s="792"/>
      <c r="X859" s="792"/>
      <c r="Y859" s="792"/>
      <c r="Z859" s="792"/>
    </row>
    <row r="860" ht="15.75" customHeight="1">
      <c r="A860" s="901"/>
      <c r="B860" s="902"/>
      <c r="C860" s="901"/>
      <c r="D860" s="901"/>
      <c r="E860" s="901"/>
      <c r="F860" s="903"/>
      <c r="G860" s="901"/>
      <c r="H860" s="792"/>
      <c r="I860" s="792"/>
      <c r="J860" s="792"/>
      <c r="K860" s="792"/>
      <c r="L860" s="792"/>
      <c r="M860" s="792"/>
      <c r="N860" s="792"/>
      <c r="O860" s="792"/>
      <c r="P860" s="792"/>
      <c r="Q860" s="792"/>
      <c r="R860" s="792"/>
      <c r="S860" s="792"/>
      <c r="T860" s="792"/>
      <c r="U860" s="792"/>
      <c r="V860" s="792"/>
      <c r="W860" s="792"/>
      <c r="X860" s="792"/>
      <c r="Y860" s="792"/>
      <c r="Z860" s="792"/>
    </row>
    <row r="861" ht="15.75" customHeight="1">
      <c r="A861" s="901"/>
      <c r="B861" s="902"/>
      <c r="C861" s="901"/>
      <c r="D861" s="901"/>
      <c r="E861" s="901"/>
      <c r="F861" s="903"/>
      <c r="G861" s="901"/>
      <c r="H861" s="792"/>
      <c r="I861" s="792"/>
      <c r="J861" s="792"/>
      <c r="K861" s="792"/>
      <c r="L861" s="792"/>
      <c r="M861" s="792"/>
      <c r="N861" s="792"/>
      <c r="O861" s="792"/>
      <c r="P861" s="792"/>
      <c r="Q861" s="792"/>
      <c r="R861" s="792"/>
      <c r="S861" s="792"/>
      <c r="T861" s="792"/>
      <c r="U861" s="792"/>
      <c r="V861" s="792"/>
      <c r="W861" s="792"/>
      <c r="X861" s="792"/>
      <c r="Y861" s="792"/>
      <c r="Z861" s="792"/>
    </row>
    <row r="862" ht="15.75" customHeight="1">
      <c r="A862" s="901"/>
      <c r="B862" s="902"/>
      <c r="C862" s="901"/>
      <c r="D862" s="901"/>
      <c r="E862" s="901"/>
      <c r="F862" s="903"/>
      <c r="G862" s="901"/>
      <c r="H862" s="792"/>
      <c r="I862" s="792"/>
      <c r="J862" s="792"/>
      <c r="K862" s="792"/>
      <c r="L862" s="792"/>
      <c r="M862" s="792"/>
      <c r="N862" s="792"/>
      <c r="O862" s="792"/>
      <c r="P862" s="792"/>
      <c r="Q862" s="792"/>
      <c r="R862" s="792"/>
      <c r="S862" s="792"/>
      <c r="T862" s="792"/>
      <c r="U862" s="792"/>
      <c r="V862" s="792"/>
      <c r="W862" s="792"/>
      <c r="X862" s="792"/>
      <c r="Y862" s="792"/>
      <c r="Z862" s="792"/>
    </row>
    <row r="863" ht="15.75" customHeight="1">
      <c r="A863" s="901"/>
      <c r="B863" s="902"/>
      <c r="C863" s="901"/>
      <c r="D863" s="901"/>
      <c r="E863" s="901"/>
      <c r="F863" s="903"/>
      <c r="G863" s="901"/>
      <c r="H863" s="792"/>
      <c r="I863" s="792"/>
      <c r="J863" s="792"/>
      <c r="K863" s="792"/>
      <c r="L863" s="792"/>
      <c r="M863" s="792"/>
      <c r="N863" s="792"/>
      <c r="O863" s="792"/>
      <c r="P863" s="792"/>
      <c r="Q863" s="792"/>
      <c r="R863" s="792"/>
      <c r="S863" s="792"/>
      <c r="T863" s="792"/>
      <c r="U863" s="792"/>
      <c r="V863" s="792"/>
      <c r="W863" s="792"/>
      <c r="X863" s="792"/>
      <c r="Y863" s="792"/>
      <c r="Z863" s="792"/>
    </row>
    <row r="864" ht="15.75" customHeight="1">
      <c r="A864" s="901"/>
      <c r="B864" s="902"/>
      <c r="C864" s="901"/>
      <c r="D864" s="901"/>
      <c r="E864" s="901"/>
      <c r="F864" s="903"/>
      <c r="G864" s="901"/>
      <c r="H864" s="792"/>
      <c r="I864" s="792"/>
      <c r="J864" s="792"/>
      <c r="K864" s="792"/>
      <c r="L864" s="792"/>
      <c r="M864" s="792"/>
      <c r="N864" s="792"/>
      <c r="O864" s="792"/>
      <c r="P864" s="792"/>
      <c r="Q864" s="792"/>
      <c r="R864" s="792"/>
      <c r="S864" s="792"/>
      <c r="T864" s="792"/>
      <c r="U864" s="792"/>
      <c r="V864" s="792"/>
      <c r="W864" s="792"/>
      <c r="X864" s="792"/>
      <c r="Y864" s="792"/>
      <c r="Z864" s="792"/>
    </row>
    <row r="865" ht="15.75" customHeight="1">
      <c r="A865" s="901"/>
      <c r="B865" s="902"/>
      <c r="C865" s="901"/>
      <c r="D865" s="901"/>
      <c r="E865" s="901"/>
      <c r="F865" s="903"/>
      <c r="G865" s="901"/>
      <c r="H865" s="792"/>
      <c r="I865" s="792"/>
      <c r="J865" s="792"/>
      <c r="K865" s="792"/>
      <c r="L865" s="792"/>
      <c r="M865" s="792"/>
      <c r="N865" s="792"/>
      <c r="O865" s="792"/>
      <c r="P865" s="792"/>
      <c r="Q865" s="792"/>
      <c r="R865" s="792"/>
      <c r="S865" s="792"/>
      <c r="T865" s="792"/>
      <c r="U865" s="792"/>
      <c r="V865" s="792"/>
      <c r="W865" s="792"/>
      <c r="X865" s="792"/>
      <c r="Y865" s="792"/>
      <c r="Z865" s="792"/>
    </row>
    <row r="866" ht="15.75" customHeight="1">
      <c r="A866" s="901"/>
      <c r="B866" s="902"/>
      <c r="C866" s="901"/>
      <c r="D866" s="901"/>
      <c r="E866" s="901"/>
      <c r="F866" s="903"/>
      <c r="G866" s="901"/>
      <c r="H866" s="792"/>
      <c r="I866" s="792"/>
      <c r="J866" s="792"/>
      <c r="K866" s="792"/>
      <c r="L866" s="792"/>
      <c r="M866" s="792"/>
      <c r="N866" s="792"/>
      <c r="O866" s="792"/>
      <c r="P866" s="792"/>
      <c r="Q866" s="792"/>
      <c r="R866" s="792"/>
      <c r="S866" s="792"/>
      <c r="T866" s="792"/>
      <c r="U866" s="792"/>
      <c r="V866" s="792"/>
      <c r="W866" s="792"/>
      <c r="X866" s="792"/>
      <c r="Y866" s="792"/>
      <c r="Z866" s="792"/>
    </row>
    <row r="867" ht="15.75" customHeight="1">
      <c r="A867" s="901"/>
      <c r="B867" s="902"/>
      <c r="C867" s="901"/>
      <c r="D867" s="901"/>
      <c r="E867" s="901"/>
      <c r="F867" s="903"/>
      <c r="G867" s="901"/>
      <c r="H867" s="792"/>
      <c r="I867" s="792"/>
      <c r="J867" s="792"/>
      <c r="K867" s="792"/>
      <c r="L867" s="792"/>
      <c r="M867" s="792"/>
      <c r="N867" s="792"/>
      <c r="O867" s="792"/>
      <c r="P867" s="792"/>
      <c r="Q867" s="792"/>
      <c r="R867" s="792"/>
      <c r="S867" s="792"/>
      <c r="T867" s="792"/>
      <c r="U867" s="792"/>
      <c r="V867" s="792"/>
      <c r="W867" s="792"/>
      <c r="X867" s="792"/>
      <c r="Y867" s="792"/>
      <c r="Z867" s="792"/>
    </row>
    <row r="868" ht="15.75" customHeight="1">
      <c r="A868" s="901"/>
      <c r="B868" s="902"/>
      <c r="C868" s="901"/>
      <c r="D868" s="901"/>
      <c r="E868" s="901"/>
      <c r="F868" s="903"/>
      <c r="G868" s="901"/>
      <c r="H868" s="792"/>
      <c r="I868" s="792"/>
      <c r="J868" s="792"/>
      <c r="K868" s="792"/>
      <c r="L868" s="792"/>
      <c r="M868" s="792"/>
      <c r="N868" s="792"/>
      <c r="O868" s="792"/>
      <c r="P868" s="792"/>
      <c r="Q868" s="792"/>
      <c r="R868" s="792"/>
      <c r="S868" s="792"/>
      <c r="T868" s="792"/>
      <c r="U868" s="792"/>
      <c r="V868" s="792"/>
      <c r="W868" s="792"/>
      <c r="X868" s="792"/>
      <c r="Y868" s="792"/>
      <c r="Z868" s="792"/>
    </row>
    <row r="869" ht="15.75" customHeight="1">
      <c r="A869" s="901"/>
      <c r="B869" s="902"/>
      <c r="C869" s="901"/>
      <c r="D869" s="901"/>
      <c r="E869" s="901"/>
      <c r="F869" s="903"/>
      <c r="G869" s="901"/>
      <c r="H869" s="792"/>
      <c r="I869" s="792"/>
      <c r="J869" s="792"/>
      <c r="K869" s="792"/>
      <c r="L869" s="792"/>
      <c r="M869" s="792"/>
      <c r="N869" s="792"/>
      <c r="O869" s="792"/>
      <c r="P869" s="792"/>
      <c r="Q869" s="792"/>
      <c r="R869" s="792"/>
      <c r="S869" s="792"/>
      <c r="T869" s="792"/>
      <c r="U869" s="792"/>
      <c r="V869" s="792"/>
      <c r="W869" s="792"/>
      <c r="X869" s="792"/>
      <c r="Y869" s="792"/>
      <c r="Z869" s="792"/>
    </row>
    <row r="870" ht="15.75" customHeight="1">
      <c r="A870" s="901"/>
      <c r="B870" s="902"/>
      <c r="C870" s="901"/>
      <c r="D870" s="901"/>
      <c r="E870" s="901"/>
      <c r="F870" s="903"/>
      <c r="G870" s="901"/>
      <c r="H870" s="792"/>
      <c r="I870" s="792"/>
      <c r="J870" s="792"/>
      <c r="K870" s="792"/>
      <c r="L870" s="792"/>
      <c r="M870" s="792"/>
      <c r="N870" s="792"/>
      <c r="O870" s="792"/>
      <c r="P870" s="792"/>
      <c r="Q870" s="792"/>
      <c r="R870" s="792"/>
      <c r="S870" s="792"/>
      <c r="T870" s="792"/>
      <c r="U870" s="792"/>
      <c r="V870" s="792"/>
      <c r="W870" s="792"/>
      <c r="X870" s="792"/>
      <c r="Y870" s="792"/>
      <c r="Z870" s="792"/>
    </row>
    <row r="871" ht="15.75" customHeight="1">
      <c r="A871" s="901"/>
      <c r="B871" s="902"/>
      <c r="C871" s="901"/>
      <c r="D871" s="901"/>
      <c r="E871" s="901"/>
      <c r="F871" s="903"/>
      <c r="G871" s="901"/>
      <c r="H871" s="792"/>
      <c r="I871" s="792"/>
      <c r="J871" s="792"/>
      <c r="K871" s="792"/>
      <c r="L871" s="792"/>
      <c r="M871" s="792"/>
      <c r="N871" s="792"/>
      <c r="O871" s="792"/>
      <c r="P871" s="792"/>
      <c r="Q871" s="792"/>
      <c r="R871" s="792"/>
      <c r="S871" s="792"/>
      <c r="T871" s="792"/>
      <c r="U871" s="792"/>
      <c r="V871" s="792"/>
      <c r="W871" s="792"/>
      <c r="X871" s="792"/>
      <c r="Y871" s="792"/>
      <c r="Z871" s="792"/>
    </row>
    <row r="872" ht="15.75" customHeight="1">
      <c r="A872" s="901"/>
      <c r="B872" s="902"/>
      <c r="C872" s="901"/>
      <c r="D872" s="901"/>
      <c r="E872" s="901"/>
      <c r="F872" s="903"/>
      <c r="G872" s="901"/>
      <c r="H872" s="792"/>
      <c r="I872" s="792"/>
      <c r="J872" s="792"/>
      <c r="K872" s="792"/>
      <c r="L872" s="792"/>
      <c r="M872" s="792"/>
      <c r="N872" s="792"/>
      <c r="O872" s="792"/>
      <c r="P872" s="792"/>
      <c r="Q872" s="792"/>
      <c r="R872" s="792"/>
      <c r="S872" s="792"/>
      <c r="T872" s="792"/>
      <c r="U872" s="792"/>
      <c r="V872" s="792"/>
      <c r="W872" s="792"/>
      <c r="X872" s="792"/>
      <c r="Y872" s="792"/>
      <c r="Z872" s="792"/>
    </row>
    <row r="873" ht="15.75" customHeight="1">
      <c r="A873" s="901"/>
      <c r="B873" s="902"/>
      <c r="C873" s="901"/>
      <c r="D873" s="901"/>
      <c r="E873" s="901"/>
      <c r="F873" s="903"/>
      <c r="G873" s="901"/>
      <c r="H873" s="792"/>
      <c r="I873" s="792"/>
      <c r="J873" s="792"/>
      <c r="K873" s="792"/>
      <c r="L873" s="792"/>
      <c r="M873" s="792"/>
      <c r="N873" s="792"/>
      <c r="O873" s="792"/>
      <c r="P873" s="792"/>
      <c r="Q873" s="792"/>
      <c r="R873" s="792"/>
      <c r="S873" s="792"/>
      <c r="T873" s="792"/>
      <c r="U873" s="792"/>
      <c r="V873" s="792"/>
      <c r="W873" s="792"/>
      <c r="X873" s="792"/>
      <c r="Y873" s="792"/>
      <c r="Z873" s="792"/>
    </row>
    <row r="874" ht="15.75" customHeight="1">
      <c r="A874" s="901"/>
      <c r="B874" s="902"/>
      <c r="C874" s="901"/>
      <c r="D874" s="901"/>
      <c r="E874" s="901"/>
      <c r="F874" s="903"/>
      <c r="G874" s="901"/>
      <c r="H874" s="792"/>
      <c r="I874" s="792"/>
      <c r="J874" s="792"/>
      <c r="K874" s="792"/>
      <c r="L874" s="792"/>
      <c r="M874" s="792"/>
      <c r="N874" s="792"/>
      <c r="O874" s="792"/>
      <c r="P874" s="792"/>
      <c r="Q874" s="792"/>
      <c r="R874" s="792"/>
      <c r="S874" s="792"/>
      <c r="T874" s="792"/>
      <c r="U874" s="792"/>
      <c r="V874" s="792"/>
      <c r="W874" s="792"/>
      <c r="X874" s="792"/>
      <c r="Y874" s="792"/>
      <c r="Z874" s="792"/>
    </row>
    <row r="875" ht="15.75" customHeight="1">
      <c r="A875" s="901"/>
      <c r="B875" s="902"/>
      <c r="C875" s="901"/>
      <c r="D875" s="901"/>
      <c r="E875" s="901"/>
      <c r="F875" s="903"/>
      <c r="G875" s="901"/>
      <c r="H875" s="792"/>
      <c r="I875" s="792"/>
      <c r="J875" s="792"/>
      <c r="K875" s="792"/>
      <c r="L875" s="792"/>
      <c r="M875" s="792"/>
      <c r="N875" s="792"/>
      <c r="O875" s="792"/>
      <c r="P875" s="792"/>
      <c r="Q875" s="792"/>
      <c r="R875" s="792"/>
      <c r="S875" s="792"/>
      <c r="T875" s="792"/>
      <c r="U875" s="792"/>
      <c r="V875" s="792"/>
      <c r="W875" s="792"/>
      <c r="X875" s="792"/>
      <c r="Y875" s="792"/>
      <c r="Z875" s="792"/>
    </row>
    <row r="876" ht="15.75" customHeight="1">
      <c r="A876" s="901"/>
      <c r="B876" s="902"/>
      <c r="C876" s="901"/>
      <c r="D876" s="901"/>
      <c r="E876" s="901"/>
      <c r="F876" s="903"/>
      <c r="G876" s="901"/>
      <c r="H876" s="792"/>
      <c r="I876" s="792"/>
      <c r="J876" s="792"/>
      <c r="K876" s="792"/>
      <c r="L876" s="792"/>
      <c r="M876" s="792"/>
      <c r="N876" s="792"/>
      <c r="O876" s="792"/>
      <c r="P876" s="792"/>
      <c r="Q876" s="792"/>
      <c r="R876" s="792"/>
      <c r="S876" s="792"/>
      <c r="T876" s="792"/>
      <c r="U876" s="792"/>
      <c r="V876" s="792"/>
      <c r="W876" s="792"/>
      <c r="X876" s="792"/>
      <c r="Y876" s="792"/>
      <c r="Z876" s="792"/>
    </row>
    <row r="877" ht="15.75" customHeight="1">
      <c r="A877" s="901"/>
      <c r="B877" s="902"/>
      <c r="C877" s="901"/>
      <c r="D877" s="901"/>
      <c r="E877" s="901"/>
      <c r="F877" s="903"/>
      <c r="G877" s="901"/>
      <c r="H877" s="792"/>
      <c r="I877" s="792"/>
      <c r="J877" s="792"/>
      <c r="K877" s="792"/>
      <c r="L877" s="792"/>
      <c r="M877" s="792"/>
      <c r="N877" s="792"/>
      <c r="O877" s="792"/>
      <c r="P877" s="792"/>
      <c r="Q877" s="792"/>
      <c r="R877" s="792"/>
      <c r="S877" s="792"/>
      <c r="T877" s="792"/>
      <c r="U877" s="792"/>
      <c r="V877" s="792"/>
      <c r="W877" s="792"/>
      <c r="X877" s="792"/>
      <c r="Y877" s="792"/>
      <c r="Z877" s="792"/>
    </row>
    <row r="878" ht="15.75" customHeight="1">
      <c r="A878" s="901"/>
      <c r="B878" s="902"/>
      <c r="C878" s="901"/>
      <c r="D878" s="901"/>
      <c r="E878" s="901"/>
      <c r="F878" s="903"/>
      <c r="G878" s="901"/>
      <c r="H878" s="792"/>
      <c r="I878" s="792"/>
      <c r="J878" s="792"/>
      <c r="K878" s="792"/>
      <c r="L878" s="792"/>
      <c r="M878" s="792"/>
      <c r="N878" s="792"/>
      <c r="O878" s="792"/>
      <c r="P878" s="792"/>
      <c r="Q878" s="792"/>
      <c r="R878" s="792"/>
      <c r="S878" s="792"/>
      <c r="T878" s="792"/>
      <c r="U878" s="792"/>
      <c r="V878" s="792"/>
      <c r="W878" s="792"/>
      <c r="X878" s="792"/>
      <c r="Y878" s="792"/>
      <c r="Z878" s="792"/>
    </row>
    <row r="879" ht="15.75" customHeight="1">
      <c r="A879" s="901"/>
      <c r="B879" s="902"/>
      <c r="C879" s="901"/>
      <c r="D879" s="901"/>
      <c r="E879" s="901"/>
      <c r="F879" s="903"/>
      <c r="G879" s="901"/>
      <c r="H879" s="792"/>
      <c r="I879" s="792"/>
      <c r="J879" s="792"/>
      <c r="K879" s="792"/>
      <c r="L879" s="792"/>
      <c r="M879" s="792"/>
      <c r="N879" s="792"/>
      <c r="O879" s="792"/>
      <c r="P879" s="792"/>
      <c r="Q879" s="792"/>
      <c r="R879" s="792"/>
      <c r="S879" s="792"/>
      <c r="T879" s="792"/>
      <c r="U879" s="792"/>
      <c r="V879" s="792"/>
      <c r="W879" s="792"/>
      <c r="X879" s="792"/>
      <c r="Y879" s="792"/>
      <c r="Z879" s="792"/>
    </row>
    <row r="880" ht="15.75" customHeight="1">
      <c r="A880" s="901"/>
      <c r="B880" s="902"/>
      <c r="C880" s="901"/>
      <c r="D880" s="901"/>
      <c r="E880" s="901"/>
      <c r="F880" s="903"/>
      <c r="G880" s="901"/>
      <c r="H880" s="792"/>
      <c r="I880" s="792"/>
      <c r="J880" s="792"/>
      <c r="K880" s="792"/>
      <c r="L880" s="792"/>
      <c r="M880" s="792"/>
      <c r="N880" s="792"/>
      <c r="O880" s="792"/>
      <c r="P880" s="792"/>
      <c r="Q880" s="792"/>
      <c r="R880" s="792"/>
      <c r="S880" s="792"/>
      <c r="T880" s="792"/>
      <c r="U880" s="792"/>
      <c r="V880" s="792"/>
      <c r="W880" s="792"/>
      <c r="X880" s="792"/>
      <c r="Y880" s="792"/>
      <c r="Z880" s="792"/>
    </row>
    <row r="881" ht="15.75" customHeight="1">
      <c r="A881" s="901"/>
      <c r="B881" s="902"/>
      <c r="C881" s="901"/>
      <c r="D881" s="901"/>
      <c r="E881" s="901"/>
      <c r="F881" s="903"/>
      <c r="G881" s="901"/>
      <c r="H881" s="792"/>
      <c r="I881" s="792"/>
      <c r="J881" s="792"/>
      <c r="K881" s="792"/>
      <c r="L881" s="792"/>
      <c r="M881" s="792"/>
      <c r="N881" s="792"/>
      <c r="O881" s="792"/>
      <c r="P881" s="792"/>
      <c r="Q881" s="792"/>
      <c r="R881" s="792"/>
      <c r="S881" s="792"/>
      <c r="T881" s="792"/>
      <c r="U881" s="792"/>
      <c r="V881" s="792"/>
      <c r="W881" s="792"/>
      <c r="X881" s="792"/>
      <c r="Y881" s="792"/>
      <c r="Z881" s="792"/>
    </row>
    <row r="882" ht="15.75" customHeight="1">
      <c r="A882" s="901"/>
      <c r="B882" s="902"/>
      <c r="C882" s="901"/>
      <c r="D882" s="901"/>
      <c r="E882" s="901"/>
      <c r="F882" s="903"/>
      <c r="G882" s="901"/>
      <c r="H882" s="792"/>
      <c r="I882" s="792"/>
      <c r="J882" s="792"/>
      <c r="K882" s="792"/>
      <c r="L882" s="792"/>
      <c r="M882" s="792"/>
      <c r="N882" s="792"/>
      <c r="O882" s="792"/>
      <c r="P882" s="792"/>
      <c r="Q882" s="792"/>
      <c r="R882" s="792"/>
      <c r="S882" s="792"/>
      <c r="T882" s="792"/>
      <c r="U882" s="792"/>
      <c r="V882" s="792"/>
      <c r="W882" s="792"/>
      <c r="X882" s="792"/>
      <c r="Y882" s="792"/>
      <c r="Z882" s="792"/>
    </row>
    <row r="883" ht="15.75" customHeight="1">
      <c r="A883" s="901"/>
      <c r="B883" s="902"/>
      <c r="C883" s="901"/>
      <c r="D883" s="901"/>
      <c r="E883" s="901"/>
      <c r="F883" s="903"/>
      <c r="G883" s="901"/>
      <c r="H883" s="792"/>
      <c r="I883" s="792"/>
      <c r="J883" s="792"/>
      <c r="K883" s="792"/>
      <c r="L883" s="792"/>
      <c r="M883" s="792"/>
      <c r="N883" s="792"/>
      <c r="O883" s="792"/>
      <c r="P883" s="792"/>
      <c r="Q883" s="792"/>
      <c r="R883" s="792"/>
      <c r="S883" s="792"/>
      <c r="T883" s="792"/>
      <c r="U883" s="792"/>
      <c r="V883" s="792"/>
      <c r="W883" s="792"/>
      <c r="X883" s="792"/>
      <c r="Y883" s="792"/>
      <c r="Z883" s="792"/>
    </row>
    <row r="884" ht="15.75" customHeight="1">
      <c r="A884" s="901"/>
      <c r="B884" s="902"/>
      <c r="C884" s="901"/>
      <c r="D884" s="901"/>
      <c r="E884" s="901"/>
      <c r="F884" s="903"/>
      <c r="G884" s="901"/>
      <c r="H884" s="792"/>
      <c r="I884" s="792"/>
      <c r="J884" s="792"/>
      <c r="K884" s="792"/>
      <c r="L884" s="792"/>
      <c r="M884" s="792"/>
      <c r="N884" s="792"/>
      <c r="O884" s="792"/>
      <c r="P884" s="792"/>
      <c r="Q884" s="792"/>
      <c r="R884" s="792"/>
      <c r="S884" s="792"/>
      <c r="T884" s="792"/>
      <c r="U884" s="792"/>
      <c r="V884" s="792"/>
      <c r="W884" s="792"/>
      <c r="X884" s="792"/>
      <c r="Y884" s="792"/>
      <c r="Z884" s="792"/>
    </row>
    <row r="885" ht="15.75" customHeight="1">
      <c r="A885" s="901"/>
      <c r="B885" s="902"/>
      <c r="C885" s="901"/>
      <c r="D885" s="901"/>
      <c r="E885" s="901"/>
      <c r="F885" s="903"/>
      <c r="G885" s="901"/>
      <c r="H885" s="792"/>
      <c r="I885" s="792"/>
      <c r="J885" s="792"/>
      <c r="K885" s="792"/>
      <c r="L885" s="792"/>
      <c r="M885" s="792"/>
      <c r="N885" s="792"/>
      <c r="O885" s="792"/>
      <c r="P885" s="792"/>
      <c r="Q885" s="792"/>
      <c r="R885" s="792"/>
      <c r="S885" s="792"/>
      <c r="T885" s="792"/>
      <c r="U885" s="792"/>
      <c r="V885" s="792"/>
      <c r="W885" s="792"/>
      <c r="X885" s="792"/>
      <c r="Y885" s="792"/>
      <c r="Z885" s="792"/>
    </row>
    <row r="886" ht="15.75" customHeight="1">
      <c r="A886" s="901"/>
      <c r="B886" s="902"/>
      <c r="C886" s="901"/>
      <c r="D886" s="901"/>
      <c r="E886" s="901"/>
      <c r="F886" s="903"/>
      <c r="G886" s="901"/>
      <c r="H886" s="792"/>
      <c r="I886" s="792"/>
      <c r="J886" s="792"/>
      <c r="K886" s="792"/>
      <c r="L886" s="792"/>
      <c r="M886" s="792"/>
      <c r="N886" s="792"/>
      <c r="O886" s="792"/>
      <c r="P886" s="792"/>
      <c r="Q886" s="792"/>
      <c r="R886" s="792"/>
      <c r="S886" s="792"/>
      <c r="T886" s="792"/>
      <c r="U886" s="792"/>
      <c r="V886" s="792"/>
      <c r="W886" s="792"/>
      <c r="X886" s="792"/>
      <c r="Y886" s="792"/>
      <c r="Z886" s="792"/>
    </row>
    <row r="887" ht="15.75" customHeight="1">
      <c r="A887" s="901"/>
      <c r="B887" s="902"/>
      <c r="C887" s="901"/>
      <c r="D887" s="901"/>
      <c r="E887" s="901"/>
      <c r="F887" s="903"/>
      <c r="G887" s="901"/>
      <c r="H887" s="792"/>
      <c r="I887" s="792"/>
      <c r="J887" s="792"/>
      <c r="K887" s="792"/>
      <c r="L887" s="792"/>
      <c r="M887" s="792"/>
      <c r="N887" s="792"/>
      <c r="O887" s="792"/>
      <c r="P887" s="792"/>
      <c r="Q887" s="792"/>
      <c r="R887" s="792"/>
      <c r="S887" s="792"/>
      <c r="T887" s="792"/>
      <c r="U887" s="792"/>
      <c r="V887" s="792"/>
      <c r="W887" s="792"/>
      <c r="X887" s="792"/>
      <c r="Y887" s="792"/>
      <c r="Z887" s="792"/>
    </row>
    <row r="888" ht="15.75" customHeight="1">
      <c r="A888" s="901"/>
      <c r="B888" s="902"/>
      <c r="C888" s="901"/>
      <c r="D888" s="901"/>
      <c r="E888" s="901"/>
      <c r="F888" s="903"/>
      <c r="G888" s="901"/>
      <c r="H888" s="792"/>
      <c r="I888" s="792"/>
      <c r="J888" s="792"/>
      <c r="K888" s="792"/>
      <c r="L888" s="792"/>
      <c r="M888" s="792"/>
      <c r="N888" s="792"/>
      <c r="O888" s="792"/>
      <c r="P888" s="792"/>
      <c r="Q888" s="792"/>
      <c r="R888" s="792"/>
      <c r="S888" s="792"/>
      <c r="T888" s="792"/>
      <c r="U888" s="792"/>
      <c r="V888" s="792"/>
      <c r="W888" s="792"/>
      <c r="X888" s="792"/>
      <c r="Y888" s="792"/>
      <c r="Z888" s="792"/>
    </row>
    <row r="889" ht="15.75" customHeight="1">
      <c r="A889" s="901"/>
      <c r="B889" s="902"/>
      <c r="C889" s="901"/>
      <c r="D889" s="901"/>
      <c r="E889" s="901"/>
      <c r="F889" s="903"/>
      <c r="G889" s="901"/>
      <c r="H889" s="792"/>
      <c r="I889" s="792"/>
      <c r="J889" s="792"/>
      <c r="K889" s="792"/>
      <c r="L889" s="792"/>
      <c r="M889" s="792"/>
      <c r="N889" s="792"/>
      <c r="O889" s="792"/>
      <c r="P889" s="792"/>
      <c r="Q889" s="792"/>
      <c r="R889" s="792"/>
      <c r="S889" s="792"/>
      <c r="T889" s="792"/>
      <c r="U889" s="792"/>
      <c r="V889" s="792"/>
      <c r="W889" s="792"/>
      <c r="X889" s="792"/>
      <c r="Y889" s="792"/>
      <c r="Z889" s="792"/>
    </row>
    <row r="890" ht="15.75" customHeight="1">
      <c r="A890" s="901"/>
      <c r="B890" s="902"/>
      <c r="C890" s="901"/>
      <c r="D890" s="901"/>
      <c r="E890" s="901"/>
      <c r="F890" s="903"/>
      <c r="G890" s="901"/>
      <c r="H890" s="792"/>
      <c r="I890" s="792"/>
      <c r="J890" s="792"/>
      <c r="K890" s="792"/>
      <c r="L890" s="792"/>
      <c r="M890" s="792"/>
      <c r="N890" s="792"/>
      <c r="O890" s="792"/>
      <c r="P890" s="792"/>
      <c r="Q890" s="792"/>
      <c r="R890" s="792"/>
      <c r="S890" s="792"/>
      <c r="T890" s="792"/>
      <c r="U890" s="792"/>
      <c r="V890" s="792"/>
      <c r="W890" s="792"/>
      <c r="X890" s="792"/>
      <c r="Y890" s="792"/>
      <c r="Z890" s="792"/>
    </row>
    <row r="891" ht="15.75" customHeight="1">
      <c r="A891" s="901"/>
      <c r="B891" s="902"/>
      <c r="C891" s="901"/>
      <c r="D891" s="901"/>
      <c r="E891" s="901"/>
      <c r="F891" s="903"/>
      <c r="G891" s="901"/>
      <c r="H891" s="792"/>
      <c r="I891" s="792"/>
      <c r="J891" s="792"/>
      <c r="K891" s="792"/>
      <c r="L891" s="792"/>
      <c r="M891" s="792"/>
      <c r="N891" s="792"/>
      <c r="O891" s="792"/>
      <c r="P891" s="792"/>
      <c r="Q891" s="792"/>
      <c r="R891" s="792"/>
      <c r="S891" s="792"/>
      <c r="T891" s="792"/>
      <c r="U891" s="792"/>
      <c r="V891" s="792"/>
      <c r="W891" s="792"/>
      <c r="X891" s="792"/>
      <c r="Y891" s="792"/>
      <c r="Z891" s="792"/>
    </row>
    <row r="892" ht="15.75" customHeight="1">
      <c r="A892" s="901"/>
      <c r="B892" s="902"/>
      <c r="C892" s="901"/>
      <c r="D892" s="901"/>
      <c r="E892" s="901"/>
      <c r="F892" s="903"/>
      <c r="G892" s="901"/>
      <c r="H892" s="792"/>
      <c r="I892" s="792"/>
      <c r="J892" s="792"/>
      <c r="K892" s="792"/>
      <c r="L892" s="792"/>
      <c r="M892" s="792"/>
      <c r="N892" s="792"/>
      <c r="O892" s="792"/>
      <c r="P892" s="792"/>
      <c r="Q892" s="792"/>
      <c r="R892" s="792"/>
      <c r="S892" s="792"/>
      <c r="T892" s="792"/>
      <c r="U892" s="792"/>
      <c r="V892" s="792"/>
      <c r="W892" s="792"/>
      <c r="X892" s="792"/>
      <c r="Y892" s="792"/>
      <c r="Z892" s="792"/>
    </row>
    <row r="893" ht="15.75" customHeight="1">
      <c r="A893" s="901"/>
      <c r="B893" s="902"/>
      <c r="C893" s="901"/>
      <c r="D893" s="901"/>
      <c r="E893" s="901"/>
      <c r="F893" s="903"/>
      <c r="G893" s="901"/>
      <c r="H893" s="792"/>
      <c r="I893" s="792"/>
      <c r="J893" s="792"/>
      <c r="K893" s="792"/>
      <c r="L893" s="792"/>
      <c r="M893" s="792"/>
      <c r="N893" s="792"/>
      <c r="O893" s="792"/>
      <c r="P893" s="792"/>
      <c r="Q893" s="792"/>
      <c r="R893" s="792"/>
      <c r="S893" s="792"/>
      <c r="T893" s="792"/>
      <c r="U893" s="792"/>
      <c r="V893" s="792"/>
      <c r="W893" s="792"/>
      <c r="X893" s="792"/>
      <c r="Y893" s="792"/>
      <c r="Z893" s="792"/>
    </row>
    <row r="894" ht="15.75" customHeight="1">
      <c r="A894" s="901"/>
      <c r="B894" s="902"/>
      <c r="C894" s="901"/>
      <c r="D894" s="901"/>
      <c r="E894" s="901"/>
      <c r="F894" s="903"/>
      <c r="G894" s="901"/>
      <c r="H894" s="792"/>
      <c r="I894" s="792"/>
      <c r="J894" s="792"/>
      <c r="K894" s="792"/>
      <c r="L894" s="792"/>
      <c r="M894" s="792"/>
      <c r="N894" s="792"/>
      <c r="O894" s="792"/>
      <c r="P894" s="792"/>
      <c r="Q894" s="792"/>
      <c r="R894" s="792"/>
      <c r="S894" s="792"/>
      <c r="T894" s="792"/>
      <c r="U894" s="792"/>
      <c r="V894" s="792"/>
      <c r="W894" s="792"/>
      <c r="X894" s="792"/>
      <c r="Y894" s="792"/>
      <c r="Z894" s="792"/>
    </row>
    <row r="895" ht="15.75" customHeight="1">
      <c r="A895" s="901"/>
      <c r="B895" s="902"/>
      <c r="C895" s="901"/>
      <c r="D895" s="901"/>
      <c r="E895" s="901"/>
      <c r="F895" s="903"/>
      <c r="G895" s="901"/>
      <c r="H895" s="792"/>
      <c r="I895" s="792"/>
      <c r="J895" s="792"/>
      <c r="K895" s="792"/>
      <c r="L895" s="792"/>
      <c r="M895" s="792"/>
      <c r="N895" s="792"/>
      <c r="O895" s="792"/>
      <c r="P895" s="792"/>
      <c r="Q895" s="792"/>
      <c r="R895" s="792"/>
      <c r="S895" s="792"/>
      <c r="T895" s="792"/>
      <c r="U895" s="792"/>
      <c r="V895" s="792"/>
      <c r="W895" s="792"/>
      <c r="X895" s="792"/>
      <c r="Y895" s="792"/>
      <c r="Z895" s="792"/>
    </row>
    <row r="896" ht="15.75" customHeight="1">
      <c r="A896" s="901"/>
      <c r="B896" s="902"/>
      <c r="C896" s="901"/>
      <c r="D896" s="901"/>
      <c r="E896" s="901"/>
      <c r="F896" s="903"/>
      <c r="G896" s="901"/>
      <c r="H896" s="792"/>
      <c r="I896" s="792"/>
      <c r="J896" s="792"/>
      <c r="K896" s="792"/>
      <c r="L896" s="792"/>
      <c r="M896" s="792"/>
      <c r="N896" s="792"/>
      <c r="O896" s="792"/>
      <c r="P896" s="792"/>
      <c r="Q896" s="792"/>
      <c r="R896" s="792"/>
      <c r="S896" s="792"/>
      <c r="T896" s="792"/>
      <c r="U896" s="792"/>
      <c r="V896" s="792"/>
      <c r="W896" s="792"/>
      <c r="X896" s="792"/>
      <c r="Y896" s="792"/>
      <c r="Z896" s="792"/>
    </row>
    <row r="897" ht="15.75" customHeight="1">
      <c r="A897" s="901"/>
      <c r="B897" s="902"/>
      <c r="C897" s="901"/>
      <c r="D897" s="901"/>
      <c r="E897" s="901"/>
      <c r="F897" s="903"/>
      <c r="G897" s="901"/>
      <c r="H897" s="792"/>
      <c r="I897" s="792"/>
      <c r="J897" s="792"/>
      <c r="K897" s="792"/>
      <c r="L897" s="792"/>
      <c r="M897" s="792"/>
      <c r="N897" s="792"/>
      <c r="O897" s="792"/>
      <c r="P897" s="792"/>
      <c r="Q897" s="792"/>
      <c r="R897" s="792"/>
      <c r="S897" s="792"/>
      <c r="T897" s="792"/>
      <c r="U897" s="792"/>
      <c r="V897" s="792"/>
      <c r="W897" s="792"/>
      <c r="X897" s="792"/>
      <c r="Y897" s="792"/>
      <c r="Z897" s="792"/>
    </row>
    <row r="898" ht="15.75" customHeight="1">
      <c r="A898" s="901"/>
      <c r="B898" s="902"/>
      <c r="C898" s="901"/>
      <c r="D898" s="901"/>
      <c r="E898" s="901"/>
      <c r="F898" s="903"/>
      <c r="G898" s="901"/>
      <c r="H898" s="792"/>
      <c r="I898" s="792"/>
      <c r="J898" s="792"/>
      <c r="K898" s="792"/>
      <c r="L898" s="792"/>
      <c r="M898" s="792"/>
      <c r="N898" s="792"/>
      <c r="O898" s="792"/>
      <c r="P898" s="792"/>
      <c r="Q898" s="792"/>
      <c r="R898" s="792"/>
      <c r="S898" s="792"/>
      <c r="T898" s="792"/>
      <c r="U898" s="792"/>
      <c r="V898" s="792"/>
      <c r="W898" s="792"/>
      <c r="X898" s="792"/>
      <c r="Y898" s="792"/>
      <c r="Z898" s="792"/>
    </row>
    <row r="899" ht="15.75" customHeight="1">
      <c r="A899" s="901"/>
      <c r="B899" s="902"/>
      <c r="C899" s="901"/>
      <c r="D899" s="901"/>
      <c r="E899" s="901"/>
      <c r="F899" s="903"/>
      <c r="G899" s="901"/>
      <c r="H899" s="792"/>
      <c r="I899" s="792"/>
      <c r="J899" s="792"/>
      <c r="K899" s="792"/>
      <c r="L899" s="792"/>
      <c r="M899" s="792"/>
      <c r="N899" s="792"/>
      <c r="O899" s="792"/>
      <c r="P899" s="792"/>
      <c r="Q899" s="792"/>
      <c r="R899" s="792"/>
      <c r="S899" s="792"/>
      <c r="T899" s="792"/>
      <c r="U899" s="792"/>
      <c r="V899" s="792"/>
      <c r="W899" s="792"/>
      <c r="X899" s="792"/>
      <c r="Y899" s="792"/>
      <c r="Z899" s="792"/>
    </row>
    <row r="900" ht="15.75" customHeight="1">
      <c r="A900" s="901"/>
      <c r="B900" s="902"/>
      <c r="C900" s="901"/>
      <c r="D900" s="901"/>
      <c r="E900" s="901"/>
      <c r="F900" s="903"/>
      <c r="G900" s="901"/>
      <c r="H900" s="792"/>
      <c r="I900" s="792"/>
      <c r="J900" s="792"/>
      <c r="K900" s="792"/>
      <c r="L900" s="792"/>
      <c r="M900" s="792"/>
      <c r="N900" s="792"/>
      <c r="O900" s="792"/>
      <c r="P900" s="792"/>
      <c r="Q900" s="792"/>
      <c r="R900" s="792"/>
      <c r="S900" s="792"/>
      <c r="T900" s="792"/>
      <c r="U900" s="792"/>
      <c r="V900" s="792"/>
      <c r="W900" s="792"/>
      <c r="X900" s="792"/>
      <c r="Y900" s="792"/>
      <c r="Z900" s="792"/>
    </row>
    <row r="901" ht="15.75" customHeight="1">
      <c r="A901" s="901"/>
      <c r="B901" s="902"/>
      <c r="C901" s="901"/>
      <c r="D901" s="901"/>
      <c r="E901" s="901"/>
      <c r="F901" s="903"/>
      <c r="G901" s="901"/>
      <c r="H901" s="792"/>
      <c r="I901" s="792"/>
      <c r="J901" s="792"/>
      <c r="K901" s="792"/>
      <c r="L901" s="792"/>
      <c r="M901" s="792"/>
      <c r="N901" s="792"/>
      <c r="O901" s="792"/>
      <c r="P901" s="792"/>
      <c r="Q901" s="792"/>
      <c r="R901" s="792"/>
      <c r="S901" s="792"/>
      <c r="T901" s="792"/>
      <c r="U901" s="792"/>
      <c r="V901" s="792"/>
      <c r="W901" s="792"/>
      <c r="X901" s="792"/>
      <c r="Y901" s="792"/>
      <c r="Z901" s="792"/>
    </row>
    <row r="902" ht="15.75" customHeight="1">
      <c r="A902" s="901"/>
      <c r="B902" s="902"/>
      <c r="C902" s="901"/>
      <c r="D902" s="901"/>
      <c r="E902" s="901"/>
      <c r="F902" s="903"/>
      <c r="G902" s="901"/>
      <c r="H902" s="792"/>
      <c r="I902" s="792"/>
      <c r="J902" s="792"/>
      <c r="K902" s="792"/>
      <c r="L902" s="792"/>
      <c r="M902" s="792"/>
      <c r="N902" s="792"/>
      <c r="O902" s="792"/>
      <c r="P902" s="792"/>
      <c r="Q902" s="792"/>
      <c r="R902" s="792"/>
      <c r="S902" s="792"/>
      <c r="T902" s="792"/>
      <c r="U902" s="792"/>
      <c r="V902" s="792"/>
      <c r="W902" s="792"/>
      <c r="X902" s="792"/>
      <c r="Y902" s="792"/>
      <c r="Z902" s="792"/>
    </row>
    <row r="903" ht="15.75" customHeight="1">
      <c r="A903" s="901"/>
      <c r="B903" s="902"/>
      <c r="C903" s="901"/>
      <c r="D903" s="901"/>
      <c r="E903" s="901"/>
      <c r="F903" s="903"/>
      <c r="G903" s="901"/>
      <c r="H903" s="792"/>
      <c r="I903" s="792"/>
      <c r="J903" s="792"/>
      <c r="K903" s="792"/>
      <c r="L903" s="792"/>
      <c r="M903" s="792"/>
      <c r="N903" s="792"/>
      <c r="O903" s="792"/>
      <c r="P903" s="792"/>
      <c r="Q903" s="792"/>
      <c r="R903" s="792"/>
      <c r="S903" s="792"/>
      <c r="T903" s="792"/>
      <c r="U903" s="792"/>
      <c r="V903" s="792"/>
      <c r="W903" s="792"/>
      <c r="X903" s="792"/>
      <c r="Y903" s="792"/>
      <c r="Z903" s="792"/>
    </row>
    <row r="904" ht="15.75" customHeight="1">
      <c r="A904" s="901"/>
      <c r="B904" s="902"/>
      <c r="C904" s="901"/>
      <c r="D904" s="901"/>
      <c r="E904" s="901"/>
      <c r="F904" s="903"/>
      <c r="G904" s="901"/>
      <c r="H904" s="792"/>
      <c r="I904" s="792"/>
      <c r="J904" s="792"/>
      <c r="K904" s="792"/>
      <c r="L904" s="792"/>
      <c r="M904" s="792"/>
      <c r="N904" s="792"/>
      <c r="O904" s="792"/>
      <c r="P904" s="792"/>
      <c r="Q904" s="792"/>
      <c r="R904" s="792"/>
      <c r="S904" s="792"/>
      <c r="T904" s="792"/>
      <c r="U904" s="792"/>
      <c r="V904" s="792"/>
      <c r="W904" s="792"/>
      <c r="X904" s="792"/>
      <c r="Y904" s="792"/>
      <c r="Z904" s="792"/>
    </row>
    <row r="905" ht="15.75" customHeight="1">
      <c r="A905" s="901"/>
      <c r="B905" s="902"/>
      <c r="C905" s="901"/>
      <c r="D905" s="901"/>
      <c r="E905" s="901"/>
      <c r="F905" s="903"/>
      <c r="G905" s="901"/>
      <c r="H905" s="792"/>
      <c r="I905" s="792"/>
      <c r="J905" s="792"/>
      <c r="K905" s="792"/>
      <c r="L905" s="792"/>
      <c r="M905" s="792"/>
      <c r="N905" s="792"/>
      <c r="O905" s="792"/>
      <c r="P905" s="792"/>
      <c r="Q905" s="792"/>
      <c r="R905" s="792"/>
      <c r="S905" s="792"/>
      <c r="T905" s="792"/>
      <c r="U905" s="792"/>
      <c r="V905" s="792"/>
      <c r="W905" s="792"/>
      <c r="X905" s="792"/>
      <c r="Y905" s="792"/>
      <c r="Z905" s="792"/>
    </row>
    <row r="906" ht="15.75" customHeight="1">
      <c r="A906" s="901"/>
      <c r="B906" s="902"/>
      <c r="C906" s="901"/>
      <c r="D906" s="901"/>
      <c r="E906" s="901"/>
      <c r="F906" s="903"/>
      <c r="G906" s="901"/>
      <c r="H906" s="792"/>
      <c r="I906" s="792"/>
      <c r="J906" s="792"/>
      <c r="K906" s="792"/>
      <c r="L906" s="792"/>
      <c r="M906" s="792"/>
      <c r="N906" s="792"/>
      <c r="O906" s="792"/>
      <c r="P906" s="792"/>
      <c r="Q906" s="792"/>
      <c r="R906" s="792"/>
      <c r="S906" s="792"/>
      <c r="T906" s="792"/>
      <c r="U906" s="792"/>
      <c r="V906" s="792"/>
      <c r="W906" s="792"/>
      <c r="X906" s="792"/>
      <c r="Y906" s="792"/>
      <c r="Z906" s="792"/>
    </row>
    <row r="907" ht="15.75" customHeight="1">
      <c r="A907" s="901"/>
      <c r="B907" s="902"/>
      <c r="C907" s="901"/>
      <c r="D907" s="901"/>
      <c r="E907" s="901"/>
      <c r="F907" s="903"/>
      <c r="G907" s="901"/>
      <c r="H907" s="792"/>
      <c r="I907" s="792"/>
      <c r="J907" s="792"/>
      <c r="K907" s="792"/>
      <c r="L907" s="792"/>
      <c r="M907" s="792"/>
      <c r="N907" s="792"/>
      <c r="O907" s="792"/>
      <c r="P907" s="792"/>
      <c r="Q907" s="792"/>
      <c r="R907" s="792"/>
      <c r="S907" s="792"/>
      <c r="T907" s="792"/>
      <c r="U907" s="792"/>
      <c r="V907" s="792"/>
      <c r="W907" s="792"/>
      <c r="X907" s="792"/>
      <c r="Y907" s="792"/>
      <c r="Z907" s="792"/>
    </row>
    <row r="908" ht="15.75" customHeight="1">
      <c r="A908" s="901"/>
      <c r="B908" s="902"/>
      <c r="C908" s="901"/>
      <c r="D908" s="901"/>
      <c r="E908" s="901"/>
      <c r="F908" s="903"/>
      <c r="G908" s="901"/>
      <c r="H908" s="792"/>
      <c r="I908" s="792"/>
      <c r="J908" s="792"/>
      <c r="K908" s="792"/>
      <c r="L908" s="792"/>
      <c r="M908" s="792"/>
      <c r="N908" s="792"/>
      <c r="O908" s="792"/>
      <c r="P908" s="792"/>
      <c r="Q908" s="792"/>
      <c r="R908" s="792"/>
      <c r="S908" s="792"/>
      <c r="T908" s="792"/>
      <c r="U908" s="792"/>
      <c r="V908" s="792"/>
      <c r="W908" s="792"/>
      <c r="X908" s="792"/>
      <c r="Y908" s="792"/>
      <c r="Z908" s="792"/>
    </row>
    <row r="909" ht="15.75" customHeight="1">
      <c r="A909" s="901"/>
      <c r="B909" s="902"/>
      <c r="C909" s="901"/>
      <c r="D909" s="901"/>
      <c r="E909" s="901"/>
      <c r="F909" s="903"/>
      <c r="G909" s="901"/>
      <c r="H909" s="792"/>
      <c r="I909" s="792"/>
      <c r="J909" s="792"/>
      <c r="K909" s="792"/>
      <c r="L909" s="792"/>
      <c r="M909" s="792"/>
      <c r="N909" s="792"/>
      <c r="O909" s="792"/>
      <c r="P909" s="792"/>
      <c r="Q909" s="792"/>
      <c r="R909" s="792"/>
      <c r="S909" s="792"/>
      <c r="T909" s="792"/>
      <c r="U909" s="792"/>
      <c r="V909" s="792"/>
      <c r="W909" s="792"/>
      <c r="X909" s="792"/>
      <c r="Y909" s="792"/>
      <c r="Z909" s="792"/>
    </row>
    <row r="910" ht="15.75" customHeight="1">
      <c r="A910" s="901"/>
      <c r="B910" s="902"/>
      <c r="C910" s="901"/>
      <c r="D910" s="901"/>
      <c r="E910" s="901"/>
      <c r="F910" s="903"/>
      <c r="G910" s="901"/>
      <c r="H910" s="792"/>
      <c r="I910" s="792"/>
      <c r="J910" s="792"/>
      <c r="K910" s="792"/>
      <c r="L910" s="792"/>
      <c r="M910" s="792"/>
      <c r="N910" s="792"/>
      <c r="O910" s="792"/>
      <c r="P910" s="792"/>
      <c r="Q910" s="792"/>
      <c r="R910" s="792"/>
      <c r="S910" s="792"/>
      <c r="T910" s="792"/>
      <c r="U910" s="792"/>
      <c r="V910" s="792"/>
      <c r="W910" s="792"/>
      <c r="X910" s="792"/>
      <c r="Y910" s="792"/>
      <c r="Z910" s="792"/>
    </row>
    <row r="911" ht="15.75" customHeight="1">
      <c r="A911" s="901"/>
      <c r="B911" s="902"/>
      <c r="C911" s="901"/>
      <c r="D911" s="901"/>
      <c r="E911" s="901"/>
      <c r="F911" s="903"/>
      <c r="G911" s="901"/>
      <c r="H911" s="792"/>
      <c r="I911" s="792"/>
      <c r="J911" s="792"/>
      <c r="K911" s="792"/>
      <c r="L911" s="792"/>
      <c r="M911" s="792"/>
      <c r="N911" s="792"/>
      <c r="O911" s="792"/>
      <c r="P911" s="792"/>
      <c r="Q911" s="792"/>
      <c r="R911" s="792"/>
      <c r="S911" s="792"/>
      <c r="T911" s="792"/>
      <c r="U911" s="792"/>
      <c r="V911" s="792"/>
      <c r="W911" s="792"/>
      <c r="X911" s="792"/>
      <c r="Y911" s="792"/>
      <c r="Z911" s="792"/>
    </row>
    <row r="912" ht="15.75" customHeight="1">
      <c r="A912" s="901"/>
      <c r="B912" s="902"/>
      <c r="C912" s="901"/>
      <c r="D912" s="901"/>
      <c r="E912" s="901"/>
      <c r="F912" s="903"/>
      <c r="G912" s="901"/>
      <c r="H912" s="792"/>
      <c r="I912" s="792"/>
      <c r="J912" s="792"/>
      <c r="K912" s="792"/>
      <c r="L912" s="792"/>
      <c r="M912" s="792"/>
      <c r="N912" s="792"/>
      <c r="O912" s="792"/>
      <c r="P912" s="792"/>
      <c r="Q912" s="792"/>
      <c r="R912" s="792"/>
      <c r="S912" s="792"/>
      <c r="T912" s="792"/>
      <c r="U912" s="792"/>
      <c r="V912" s="792"/>
      <c r="W912" s="792"/>
      <c r="X912" s="792"/>
      <c r="Y912" s="792"/>
      <c r="Z912" s="792"/>
    </row>
    <row r="913" ht="15.75" customHeight="1">
      <c r="A913" s="901"/>
      <c r="B913" s="902"/>
      <c r="C913" s="901"/>
      <c r="D913" s="901"/>
      <c r="E913" s="901"/>
      <c r="F913" s="903"/>
      <c r="G913" s="901"/>
      <c r="H913" s="792"/>
      <c r="I913" s="792"/>
      <c r="J913" s="792"/>
      <c r="K913" s="792"/>
      <c r="L913" s="792"/>
      <c r="M913" s="792"/>
      <c r="N913" s="792"/>
      <c r="O913" s="792"/>
      <c r="P913" s="792"/>
      <c r="Q913" s="792"/>
      <c r="R913" s="792"/>
      <c r="S913" s="792"/>
      <c r="T913" s="792"/>
      <c r="U913" s="792"/>
      <c r="V913" s="792"/>
      <c r="W913" s="792"/>
      <c r="X913" s="792"/>
      <c r="Y913" s="792"/>
      <c r="Z913" s="792"/>
    </row>
    <row r="914" ht="15.75" customHeight="1">
      <c r="A914" s="901"/>
      <c r="B914" s="902"/>
      <c r="C914" s="901"/>
      <c r="D914" s="901"/>
      <c r="E914" s="901"/>
      <c r="F914" s="903"/>
      <c r="G914" s="901"/>
      <c r="H914" s="792"/>
      <c r="I914" s="792"/>
      <c r="J914" s="792"/>
      <c r="K914" s="792"/>
      <c r="L914" s="792"/>
      <c r="M914" s="792"/>
      <c r="N914" s="792"/>
      <c r="O914" s="792"/>
      <c r="P914" s="792"/>
      <c r="Q914" s="792"/>
      <c r="R914" s="792"/>
      <c r="S914" s="792"/>
      <c r="T914" s="792"/>
      <c r="U914" s="792"/>
      <c r="V914" s="792"/>
      <c r="W914" s="792"/>
      <c r="X914" s="792"/>
      <c r="Y914" s="792"/>
      <c r="Z914" s="792"/>
    </row>
    <row r="915" ht="15.75" customHeight="1">
      <c r="A915" s="901"/>
      <c r="B915" s="902"/>
      <c r="C915" s="901"/>
      <c r="D915" s="901"/>
      <c r="E915" s="901"/>
      <c r="F915" s="903"/>
      <c r="G915" s="901"/>
      <c r="H915" s="792"/>
      <c r="I915" s="792"/>
      <c r="J915" s="792"/>
      <c r="K915" s="792"/>
      <c r="L915" s="792"/>
      <c r="M915" s="792"/>
      <c r="N915" s="792"/>
      <c r="O915" s="792"/>
      <c r="P915" s="792"/>
      <c r="Q915" s="792"/>
      <c r="R915" s="792"/>
      <c r="S915" s="792"/>
      <c r="T915" s="792"/>
      <c r="U915" s="792"/>
      <c r="V915" s="792"/>
      <c r="W915" s="792"/>
      <c r="X915" s="792"/>
      <c r="Y915" s="792"/>
      <c r="Z915" s="792"/>
    </row>
    <row r="916" ht="15.75" customHeight="1">
      <c r="A916" s="901"/>
      <c r="B916" s="902"/>
      <c r="C916" s="901"/>
      <c r="D916" s="901"/>
      <c r="E916" s="901"/>
      <c r="F916" s="903"/>
      <c r="G916" s="901"/>
      <c r="H916" s="792"/>
      <c r="I916" s="792"/>
      <c r="J916" s="792"/>
      <c r="K916" s="792"/>
      <c r="L916" s="792"/>
      <c r="M916" s="792"/>
      <c r="N916" s="792"/>
      <c r="O916" s="792"/>
      <c r="P916" s="792"/>
      <c r="Q916" s="792"/>
      <c r="R916" s="792"/>
      <c r="S916" s="792"/>
      <c r="T916" s="792"/>
      <c r="U916" s="792"/>
      <c r="V916" s="792"/>
      <c r="W916" s="792"/>
      <c r="X916" s="792"/>
      <c r="Y916" s="792"/>
      <c r="Z916" s="792"/>
    </row>
    <row r="917" ht="15.75" customHeight="1">
      <c r="A917" s="901"/>
      <c r="B917" s="902"/>
      <c r="C917" s="901"/>
      <c r="D917" s="901"/>
      <c r="E917" s="901"/>
      <c r="F917" s="903"/>
      <c r="G917" s="901"/>
      <c r="H917" s="792"/>
      <c r="I917" s="792"/>
      <c r="J917" s="792"/>
      <c r="K917" s="792"/>
      <c r="L917" s="792"/>
      <c r="M917" s="792"/>
      <c r="N917" s="792"/>
      <c r="O917" s="792"/>
      <c r="P917" s="792"/>
      <c r="Q917" s="792"/>
      <c r="R917" s="792"/>
      <c r="S917" s="792"/>
      <c r="T917" s="792"/>
      <c r="U917" s="792"/>
      <c r="V917" s="792"/>
      <c r="W917" s="792"/>
      <c r="X917" s="792"/>
      <c r="Y917" s="792"/>
      <c r="Z917" s="792"/>
    </row>
    <row r="918" ht="15.75" customHeight="1">
      <c r="A918" s="901"/>
      <c r="B918" s="902"/>
      <c r="C918" s="901"/>
      <c r="D918" s="901"/>
      <c r="E918" s="901"/>
      <c r="F918" s="903"/>
      <c r="G918" s="901"/>
      <c r="H918" s="792"/>
      <c r="I918" s="792"/>
      <c r="J918" s="792"/>
      <c r="K918" s="792"/>
      <c r="L918" s="792"/>
      <c r="M918" s="792"/>
      <c r="N918" s="792"/>
      <c r="O918" s="792"/>
      <c r="P918" s="792"/>
      <c r="Q918" s="792"/>
      <c r="R918" s="792"/>
      <c r="S918" s="792"/>
      <c r="T918" s="792"/>
      <c r="U918" s="792"/>
      <c r="V918" s="792"/>
      <c r="W918" s="792"/>
      <c r="X918" s="792"/>
      <c r="Y918" s="792"/>
      <c r="Z918" s="792"/>
    </row>
    <row r="919" ht="15.75" customHeight="1">
      <c r="A919" s="901"/>
      <c r="B919" s="902"/>
      <c r="C919" s="901"/>
      <c r="D919" s="901"/>
      <c r="E919" s="901"/>
      <c r="F919" s="903"/>
      <c r="G919" s="901"/>
      <c r="H919" s="792"/>
      <c r="I919" s="792"/>
      <c r="J919" s="792"/>
      <c r="K919" s="792"/>
      <c r="L919" s="792"/>
      <c r="M919" s="792"/>
      <c r="N919" s="792"/>
      <c r="O919" s="792"/>
      <c r="P919" s="792"/>
      <c r="Q919" s="792"/>
      <c r="R919" s="792"/>
      <c r="S919" s="792"/>
      <c r="T919" s="792"/>
      <c r="U919" s="792"/>
      <c r="V919" s="792"/>
      <c r="W919" s="792"/>
      <c r="X919" s="792"/>
      <c r="Y919" s="792"/>
      <c r="Z919" s="792"/>
    </row>
    <row r="920" ht="15.75" customHeight="1">
      <c r="A920" s="901"/>
      <c r="B920" s="902"/>
      <c r="C920" s="901"/>
      <c r="D920" s="901"/>
      <c r="E920" s="901"/>
      <c r="F920" s="903"/>
      <c r="G920" s="901"/>
      <c r="H920" s="792"/>
      <c r="I920" s="792"/>
      <c r="J920" s="792"/>
      <c r="K920" s="792"/>
      <c r="L920" s="792"/>
      <c r="M920" s="792"/>
      <c r="N920" s="792"/>
      <c r="O920" s="792"/>
      <c r="P920" s="792"/>
      <c r="Q920" s="792"/>
      <c r="R920" s="792"/>
      <c r="S920" s="792"/>
      <c r="T920" s="792"/>
      <c r="U920" s="792"/>
      <c r="V920" s="792"/>
      <c r="W920" s="792"/>
      <c r="X920" s="792"/>
      <c r="Y920" s="792"/>
      <c r="Z920" s="792"/>
    </row>
    <row r="921" ht="15.75" customHeight="1">
      <c r="A921" s="901"/>
      <c r="B921" s="902"/>
      <c r="C921" s="901"/>
      <c r="D921" s="901"/>
      <c r="E921" s="901"/>
      <c r="F921" s="903"/>
      <c r="G921" s="901"/>
      <c r="H921" s="792"/>
      <c r="I921" s="792"/>
      <c r="J921" s="792"/>
      <c r="K921" s="792"/>
      <c r="L921" s="792"/>
      <c r="M921" s="792"/>
      <c r="N921" s="792"/>
      <c r="O921" s="792"/>
      <c r="P921" s="792"/>
      <c r="Q921" s="792"/>
      <c r="R921" s="792"/>
      <c r="S921" s="792"/>
      <c r="T921" s="792"/>
      <c r="U921" s="792"/>
      <c r="V921" s="792"/>
      <c r="W921" s="792"/>
      <c r="X921" s="792"/>
      <c r="Y921" s="792"/>
      <c r="Z921" s="792"/>
    </row>
    <row r="922" ht="15.75" customHeight="1">
      <c r="A922" s="901"/>
      <c r="B922" s="902"/>
      <c r="C922" s="901"/>
      <c r="D922" s="901"/>
      <c r="E922" s="901"/>
      <c r="F922" s="903"/>
      <c r="G922" s="901"/>
      <c r="H922" s="792"/>
      <c r="I922" s="792"/>
      <c r="J922" s="792"/>
      <c r="K922" s="792"/>
      <c r="L922" s="792"/>
      <c r="M922" s="792"/>
      <c r="N922" s="792"/>
      <c r="O922" s="792"/>
      <c r="P922" s="792"/>
      <c r="Q922" s="792"/>
      <c r="R922" s="792"/>
      <c r="S922" s="792"/>
      <c r="T922" s="792"/>
      <c r="U922" s="792"/>
      <c r="V922" s="792"/>
      <c r="W922" s="792"/>
      <c r="X922" s="792"/>
      <c r="Y922" s="792"/>
      <c r="Z922" s="792"/>
    </row>
    <row r="923" ht="15.75" customHeight="1">
      <c r="A923" s="901"/>
      <c r="B923" s="902"/>
      <c r="C923" s="901"/>
      <c r="D923" s="901"/>
      <c r="E923" s="901"/>
      <c r="F923" s="903"/>
      <c r="G923" s="901"/>
      <c r="H923" s="792"/>
      <c r="I923" s="792"/>
      <c r="J923" s="792"/>
      <c r="K923" s="792"/>
      <c r="L923" s="792"/>
      <c r="M923" s="792"/>
      <c r="N923" s="792"/>
      <c r="O923" s="792"/>
      <c r="P923" s="792"/>
      <c r="Q923" s="792"/>
      <c r="R923" s="792"/>
      <c r="S923" s="792"/>
      <c r="T923" s="792"/>
      <c r="U923" s="792"/>
      <c r="V923" s="792"/>
      <c r="W923" s="792"/>
      <c r="X923" s="792"/>
      <c r="Y923" s="792"/>
      <c r="Z923" s="792"/>
    </row>
    <row r="924" ht="15.75" customHeight="1">
      <c r="A924" s="901"/>
      <c r="B924" s="902"/>
      <c r="C924" s="901"/>
      <c r="D924" s="901"/>
      <c r="E924" s="901"/>
      <c r="F924" s="903"/>
      <c r="G924" s="901"/>
      <c r="H924" s="792"/>
      <c r="I924" s="792"/>
      <c r="J924" s="792"/>
      <c r="K924" s="792"/>
      <c r="L924" s="792"/>
      <c r="M924" s="792"/>
      <c r="N924" s="792"/>
      <c r="O924" s="792"/>
      <c r="P924" s="792"/>
      <c r="Q924" s="792"/>
      <c r="R924" s="792"/>
      <c r="S924" s="792"/>
      <c r="T924" s="792"/>
      <c r="U924" s="792"/>
      <c r="V924" s="792"/>
      <c r="W924" s="792"/>
      <c r="X924" s="792"/>
      <c r="Y924" s="792"/>
      <c r="Z924" s="792"/>
    </row>
    <row r="925" ht="15.75" customHeight="1">
      <c r="A925" s="901"/>
      <c r="B925" s="902"/>
      <c r="C925" s="901"/>
      <c r="D925" s="901"/>
      <c r="E925" s="901"/>
      <c r="F925" s="903"/>
      <c r="G925" s="901"/>
      <c r="H925" s="792"/>
      <c r="I925" s="792"/>
      <c r="J925" s="792"/>
      <c r="K925" s="792"/>
      <c r="L925" s="792"/>
      <c r="M925" s="792"/>
      <c r="N925" s="792"/>
      <c r="O925" s="792"/>
      <c r="P925" s="792"/>
      <c r="Q925" s="792"/>
      <c r="R925" s="792"/>
      <c r="S925" s="792"/>
      <c r="T925" s="792"/>
      <c r="U925" s="792"/>
      <c r="V925" s="792"/>
      <c r="W925" s="792"/>
      <c r="X925" s="792"/>
      <c r="Y925" s="792"/>
      <c r="Z925" s="792"/>
    </row>
    <row r="926" ht="15.75" customHeight="1">
      <c r="A926" s="901"/>
      <c r="B926" s="902"/>
      <c r="C926" s="901"/>
      <c r="D926" s="901"/>
      <c r="E926" s="901"/>
      <c r="F926" s="903"/>
      <c r="G926" s="901"/>
      <c r="H926" s="792"/>
      <c r="I926" s="792"/>
      <c r="J926" s="792"/>
      <c r="K926" s="792"/>
      <c r="L926" s="792"/>
      <c r="M926" s="792"/>
      <c r="N926" s="792"/>
      <c r="O926" s="792"/>
      <c r="P926" s="792"/>
      <c r="Q926" s="792"/>
      <c r="R926" s="792"/>
      <c r="S926" s="792"/>
      <c r="T926" s="792"/>
      <c r="U926" s="792"/>
      <c r="V926" s="792"/>
      <c r="W926" s="792"/>
      <c r="X926" s="792"/>
      <c r="Y926" s="792"/>
      <c r="Z926" s="792"/>
    </row>
    <row r="927" ht="15.75" customHeight="1">
      <c r="A927" s="901"/>
      <c r="B927" s="902"/>
      <c r="C927" s="901"/>
      <c r="D927" s="901"/>
      <c r="E927" s="901"/>
      <c r="F927" s="903"/>
      <c r="G927" s="901"/>
      <c r="H927" s="792"/>
      <c r="I927" s="792"/>
      <c r="J927" s="792"/>
      <c r="K927" s="792"/>
      <c r="L927" s="792"/>
      <c r="M927" s="792"/>
      <c r="N927" s="792"/>
      <c r="O927" s="792"/>
      <c r="P927" s="792"/>
      <c r="Q927" s="792"/>
      <c r="R927" s="792"/>
      <c r="S927" s="792"/>
      <c r="T927" s="792"/>
      <c r="U927" s="792"/>
      <c r="V927" s="792"/>
      <c r="W927" s="792"/>
      <c r="X927" s="792"/>
      <c r="Y927" s="792"/>
      <c r="Z927" s="792"/>
    </row>
    <row r="928" ht="15.75" customHeight="1">
      <c r="A928" s="901"/>
      <c r="B928" s="902"/>
      <c r="C928" s="901"/>
      <c r="D928" s="901"/>
      <c r="E928" s="901"/>
      <c r="F928" s="903"/>
      <c r="G928" s="901"/>
      <c r="H928" s="792"/>
      <c r="I928" s="792"/>
      <c r="J928" s="792"/>
      <c r="K928" s="792"/>
      <c r="L928" s="792"/>
      <c r="M928" s="792"/>
      <c r="N928" s="792"/>
      <c r="O928" s="792"/>
      <c r="P928" s="792"/>
      <c r="Q928" s="792"/>
      <c r="R928" s="792"/>
      <c r="S928" s="792"/>
      <c r="T928" s="792"/>
      <c r="U928" s="792"/>
      <c r="V928" s="792"/>
      <c r="W928" s="792"/>
      <c r="X928" s="792"/>
      <c r="Y928" s="792"/>
      <c r="Z928" s="792"/>
    </row>
    <row r="929" ht="15.75" customHeight="1">
      <c r="A929" s="901"/>
      <c r="B929" s="902"/>
      <c r="C929" s="901"/>
      <c r="D929" s="901"/>
      <c r="E929" s="901"/>
      <c r="F929" s="903"/>
      <c r="G929" s="901"/>
      <c r="H929" s="792"/>
      <c r="I929" s="792"/>
      <c r="J929" s="792"/>
      <c r="K929" s="792"/>
      <c r="L929" s="792"/>
      <c r="M929" s="792"/>
      <c r="N929" s="792"/>
      <c r="O929" s="792"/>
      <c r="P929" s="792"/>
      <c r="Q929" s="792"/>
      <c r="R929" s="792"/>
      <c r="S929" s="792"/>
      <c r="T929" s="792"/>
      <c r="U929" s="792"/>
      <c r="V929" s="792"/>
      <c r="W929" s="792"/>
      <c r="X929" s="792"/>
      <c r="Y929" s="792"/>
      <c r="Z929" s="792"/>
    </row>
    <row r="930" ht="15.75" customHeight="1">
      <c r="A930" s="901"/>
      <c r="B930" s="902"/>
      <c r="C930" s="901"/>
      <c r="D930" s="901"/>
      <c r="E930" s="901"/>
      <c r="F930" s="903"/>
      <c r="G930" s="901"/>
      <c r="H930" s="792"/>
      <c r="I930" s="792"/>
      <c r="J930" s="792"/>
      <c r="K930" s="792"/>
      <c r="L930" s="792"/>
      <c r="M930" s="792"/>
      <c r="N930" s="792"/>
      <c r="O930" s="792"/>
      <c r="P930" s="792"/>
      <c r="Q930" s="792"/>
      <c r="R930" s="792"/>
      <c r="S930" s="792"/>
      <c r="T930" s="792"/>
      <c r="U930" s="792"/>
      <c r="V930" s="792"/>
      <c r="W930" s="792"/>
      <c r="X930" s="792"/>
      <c r="Y930" s="792"/>
      <c r="Z930" s="792"/>
    </row>
    <row r="931" ht="15.75" customHeight="1">
      <c r="A931" s="901"/>
      <c r="B931" s="902"/>
      <c r="C931" s="901"/>
      <c r="D931" s="901"/>
      <c r="E931" s="901"/>
      <c r="F931" s="903"/>
      <c r="G931" s="901"/>
      <c r="H931" s="792"/>
      <c r="I931" s="792"/>
      <c r="J931" s="792"/>
      <c r="K931" s="792"/>
      <c r="L931" s="792"/>
      <c r="M931" s="792"/>
      <c r="N931" s="792"/>
      <c r="O931" s="792"/>
      <c r="P931" s="792"/>
      <c r="Q931" s="792"/>
      <c r="R931" s="792"/>
      <c r="S931" s="792"/>
      <c r="T931" s="792"/>
      <c r="U931" s="792"/>
      <c r="V931" s="792"/>
      <c r="W931" s="792"/>
      <c r="X931" s="792"/>
      <c r="Y931" s="792"/>
      <c r="Z931" s="792"/>
    </row>
    <row r="932" ht="15.75" customHeight="1">
      <c r="A932" s="901"/>
      <c r="B932" s="902"/>
      <c r="C932" s="901"/>
      <c r="D932" s="901"/>
      <c r="E932" s="901"/>
      <c r="F932" s="903"/>
      <c r="G932" s="901"/>
      <c r="H932" s="792"/>
      <c r="I932" s="792"/>
      <c r="J932" s="792"/>
      <c r="K932" s="792"/>
      <c r="L932" s="792"/>
      <c r="M932" s="792"/>
      <c r="N932" s="792"/>
      <c r="O932" s="792"/>
      <c r="P932" s="792"/>
      <c r="Q932" s="792"/>
      <c r="R932" s="792"/>
      <c r="S932" s="792"/>
      <c r="T932" s="792"/>
      <c r="U932" s="792"/>
      <c r="V932" s="792"/>
      <c r="W932" s="792"/>
      <c r="X932" s="792"/>
      <c r="Y932" s="792"/>
      <c r="Z932" s="792"/>
    </row>
    <row r="933" ht="15.75" customHeight="1">
      <c r="A933" s="901"/>
      <c r="B933" s="902"/>
      <c r="C933" s="901"/>
      <c r="D933" s="901"/>
      <c r="E933" s="901"/>
      <c r="F933" s="903"/>
      <c r="G933" s="901"/>
      <c r="H933" s="792"/>
      <c r="I933" s="792"/>
      <c r="J933" s="792"/>
      <c r="K933" s="792"/>
      <c r="L933" s="792"/>
      <c r="M933" s="792"/>
      <c r="N933" s="792"/>
      <c r="O933" s="792"/>
      <c r="P933" s="792"/>
      <c r="Q933" s="792"/>
      <c r="R933" s="792"/>
      <c r="S933" s="792"/>
      <c r="T933" s="792"/>
      <c r="U933" s="792"/>
      <c r="V933" s="792"/>
      <c r="W933" s="792"/>
      <c r="X933" s="792"/>
      <c r="Y933" s="792"/>
      <c r="Z933" s="792"/>
    </row>
    <row r="934" ht="15.75" customHeight="1">
      <c r="A934" s="901"/>
      <c r="B934" s="902"/>
      <c r="C934" s="901"/>
      <c r="D934" s="901"/>
      <c r="E934" s="901"/>
      <c r="F934" s="903"/>
      <c r="G934" s="901"/>
      <c r="H934" s="792"/>
      <c r="I934" s="792"/>
      <c r="J934" s="792"/>
      <c r="K934" s="792"/>
      <c r="L934" s="792"/>
      <c r="M934" s="792"/>
      <c r="N934" s="792"/>
      <c r="O934" s="792"/>
      <c r="P934" s="792"/>
      <c r="Q934" s="792"/>
      <c r="R934" s="792"/>
      <c r="S934" s="792"/>
      <c r="T934" s="792"/>
      <c r="U934" s="792"/>
      <c r="V934" s="792"/>
      <c r="W934" s="792"/>
      <c r="X934" s="792"/>
      <c r="Y934" s="792"/>
      <c r="Z934" s="792"/>
    </row>
    <row r="935" ht="15.75" customHeight="1">
      <c r="A935" s="901"/>
      <c r="B935" s="902"/>
      <c r="C935" s="901"/>
      <c r="D935" s="901"/>
      <c r="E935" s="901"/>
      <c r="F935" s="903"/>
      <c r="G935" s="901"/>
      <c r="H935" s="792"/>
      <c r="I935" s="792"/>
      <c r="J935" s="792"/>
      <c r="K935" s="792"/>
      <c r="L935" s="792"/>
      <c r="M935" s="792"/>
      <c r="N935" s="792"/>
      <c r="O935" s="792"/>
      <c r="P935" s="792"/>
      <c r="Q935" s="792"/>
      <c r="R935" s="792"/>
      <c r="S935" s="792"/>
      <c r="T935" s="792"/>
      <c r="U935" s="792"/>
      <c r="V935" s="792"/>
      <c r="W935" s="792"/>
      <c r="X935" s="792"/>
      <c r="Y935" s="792"/>
      <c r="Z935" s="792"/>
    </row>
    <row r="936" ht="15.75" customHeight="1">
      <c r="A936" s="901"/>
      <c r="B936" s="902"/>
      <c r="C936" s="901"/>
      <c r="D936" s="901"/>
      <c r="E936" s="901"/>
      <c r="F936" s="903"/>
      <c r="G936" s="901"/>
      <c r="H936" s="792"/>
      <c r="I936" s="792"/>
      <c r="J936" s="792"/>
      <c r="K936" s="792"/>
      <c r="L936" s="792"/>
      <c r="M936" s="792"/>
      <c r="N936" s="792"/>
      <c r="O936" s="792"/>
      <c r="P936" s="792"/>
      <c r="Q936" s="792"/>
      <c r="R936" s="792"/>
      <c r="S936" s="792"/>
      <c r="T936" s="792"/>
      <c r="U936" s="792"/>
      <c r="V936" s="792"/>
      <c r="W936" s="792"/>
      <c r="X936" s="792"/>
      <c r="Y936" s="792"/>
      <c r="Z936" s="792"/>
    </row>
    <row r="937" ht="15.75" customHeight="1">
      <c r="A937" s="901"/>
      <c r="B937" s="902"/>
      <c r="C937" s="901"/>
      <c r="D937" s="901"/>
      <c r="E937" s="901"/>
      <c r="F937" s="903"/>
      <c r="G937" s="901"/>
      <c r="H937" s="792"/>
      <c r="I937" s="792"/>
      <c r="J937" s="792"/>
      <c r="K937" s="792"/>
      <c r="L937" s="792"/>
      <c r="M937" s="792"/>
      <c r="N937" s="792"/>
      <c r="O937" s="792"/>
      <c r="P937" s="792"/>
      <c r="Q937" s="792"/>
      <c r="R937" s="792"/>
      <c r="S937" s="792"/>
      <c r="T937" s="792"/>
      <c r="U937" s="792"/>
      <c r="V937" s="792"/>
      <c r="W937" s="792"/>
      <c r="X937" s="792"/>
      <c r="Y937" s="792"/>
      <c r="Z937" s="792"/>
    </row>
    <row r="938" ht="15.75" customHeight="1">
      <c r="A938" s="901"/>
      <c r="B938" s="902"/>
      <c r="C938" s="901"/>
      <c r="D938" s="901"/>
      <c r="E938" s="901"/>
      <c r="F938" s="903"/>
      <c r="G938" s="901"/>
      <c r="H938" s="792"/>
      <c r="I938" s="792"/>
      <c r="J938" s="792"/>
      <c r="K938" s="792"/>
      <c r="L938" s="792"/>
      <c r="M938" s="792"/>
      <c r="N938" s="792"/>
      <c r="O938" s="792"/>
      <c r="P938" s="792"/>
      <c r="Q938" s="792"/>
      <c r="R938" s="792"/>
      <c r="S938" s="792"/>
      <c r="T938" s="792"/>
      <c r="U938" s="792"/>
      <c r="V938" s="792"/>
      <c r="W938" s="792"/>
      <c r="X938" s="792"/>
      <c r="Y938" s="792"/>
      <c r="Z938" s="792"/>
    </row>
    <row r="939" ht="15.75" customHeight="1">
      <c r="A939" s="901"/>
      <c r="B939" s="902"/>
      <c r="C939" s="901"/>
      <c r="D939" s="901"/>
      <c r="E939" s="901"/>
      <c r="F939" s="903"/>
      <c r="G939" s="901"/>
      <c r="H939" s="792"/>
      <c r="I939" s="792"/>
      <c r="J939" s="792"/>
      <c r="K939" s="792"/>
      <c r="L939" s="792"/>
      <c r="M939" s="792"/>
      <c r="N939" s="792"/>
      <c r="O939" s="792"/>
      <c r="P939" s="792"/>
      <c r="Q939" s="792"/>
      <c r="R939" s="792"/>
      <c r="S939" s="792"/>
      <c r="T939" s="792"/>
      <c r="U939" s="792"/>
      <c r="V939" s="792"/>
      <c r="W939" s="792"/>
      <c r="X939" s="792"/>
      <c r="Y939" s="792"/>
      <c r="Z939" s="792"/>
    </row>
    <row r="940" ht="15.75" customHeight="1">
      <c r="A940" s="901"/>
      <c r="B940" s="902"/>
      <c r="C940" s="901"/>
      <c r="D940" s="901"/>
      <c r="E940" s="901"/>
      <c r="F940" s="903"/>
      <c r="G940" s="901"/>
      <c r="H940" s="792"/>
      <c r="I940" s="792"/>
      <c r="J940" s="792"/>
      <c r="K940" s="792"/>
      <c r="L940" s="792"/>
      <c r="M940" s="792"/>
      <c r="N940" s="792"/>
      <c r="O940" s="792"/>
      <c r="P940" s="792"/>
      <c r="Q940" s="792"/>
      <c r="R940" s="792"/>
      <c r="S940" s="792"/>
      <c r="T940" s="792"/>
      <c r="U940" s="792"/>
      <c r="V940" s="792"/>
      <c r="W940" s="792"/>
      <c r="X940" s="792"/>
      <c r="Y940" s="792"/>
      <c r="Z940" s="792"/>
    </row>
    <row r="941" ht="15.75" customHeight="1">
      <c r="A941" s="901"/>
      <c r="B941" s="902"/>
      <c r="C941" s="901"/>
      <c r="D941" s="901"/>
      <c r="E941" s="901"/>
      <c r="F941" s="903"/>
      <c r="G941" s="901"/>
      <c r="H941" s="792"/>
      <c r="I941" s="792"/>
      <c r="J941" s="792"/>
      <c r="K941" s="792"/>
      <c r="L941" s="792"/>
      <c r="M941" s="792"/>
      <c r="N941" s="792"/>
      <c r="O941" s="792"/>
      <c r="P941" s="792"/>
      <c r="Q941" s="792"/>
      <c r="R941" s="792"/>
      <c r="S941" s="792"/>
      <c r="T941" s="792"/>
      <c r="U941" s="792"/>
      <c r="V941" s="792"/>
      <c r="W941" s="792"/>
      <c r="X941" s="792"/>
      <c r="Y941" s="792"/>
      <c r="Z941" s="792"/>
    </row>
    <row r="942" ht="15.75" customHeight="1">
      <c r="A942" s="901"/>
      <c r="B942" s="902"/>
      <c r="C942" s="901"/>
      <c r="D942" s="901"/>
      <c r="E942" s="901"/>
      <c r="F942" s="903"/>
      <c r="G942" s="901"/>
      <c r="H942" s="792"/>
      <c r="I942" s="792"/>
      <c r="J942" s="792"/>
      <c r="K942" s="792"/>
      <c r="L942" s="792"/>
      <c r="M942" s="792"/>
      <c r="N942" s="792"/>
      <c r="O942" s="792"/>
      <c r="P942" s="792"/>
      <c r="Q942" s="792"/>
      <c r="R942" s="792"/>
      <c r="S942" s="792"/>
      <c r="T942" s="792"/>
      <c r="U942" s="792"/>
      <c r="V942" s="792"/>
      <c r="W942" s="792"/>
      <c r="X942" s="792"/>
      <c r="Y942" s="792"/>
      <c r="Z942" s="792"/>
    </row>
    <row r="943" ht="15.75" customHeight="1">
      <c r="A943" s="901"/>
      <c r="B943" s="902"/>
      <c r="C943" s="901"/>
      <c r="D943" s="901"/>
      <c r="E943" s="901"/>
      <c r="F943" s="903"/>
      <c r="G943" s="901"/>
      <c r="H943" s="792"/>
      <c r="I943" s="792"/>
      <c r="J943" s="792"/>
      <c r="K943" s="792"/>
      <c r="L943" s="792"/>
      <c r="M943" s="792"/>
      <c r="N943" s="792"/>
      <c r="O943" s="792"/>
      <c r="P943" s="792"/>
      <c r="Q943" s="792"/>
      <c r="R943" s="792"/>
      <c r="S943" s="792"/>
      <c r="T943" s="792"/>
      <c r="U943" s="792"/>
      <c r="V943" s="792"/>
      <c r="W943" s="792"/>
      <c r="X943" s="792"/>
      <c r="Y943" s="792"/>
      <c r="Z943" s="792"/>
    </row>
    <row r="944" ht="15.75" customHeight="1">
      <c r="A944" s="901"/>
      <c r="B944" s="902"/>
      <c r="C944" s="901"/>
      <c r="D944" s="901"/>
      <c r="E944" s="901"/>
      <c r="F944" s="903"/>
      <c r="G944" s="901"/>
      <c r="H944" s="792"/>
      <c r="I944" s="792"/>
      <c r="J944" s="792"/>
      <c r="K944" s="792"/>
      <c r="L944" s="792"/>
      <c r="M944" s="792"/>
      <c r="N944" s="792"/>
      <c r="O944" s="792"/>
      <c r="P944" s="792"/>
      <c r="Q944" s="792"/>
      <c r="R944" s="792"/>
      <c r="S944" s="792"/>
      <c r="T944" s="792"/>
      <c r="U944" s="792"/>
      <c r="V944" s="792"/>
      <c r="W944" s="792"/>
      <c r="X944" s="792"/>
      <c r="Y944" s="792"/>
      <c r="Z944" s="792"/>
    </row>
    <row r="945" ht="15.75" customHeight="1">
      <c r="A945" s="901"/>
      <c r="B945" s="902"/>
      <c r="C945" s="901"/>
      <c r="D945" s="901"/>
      <c r="E945" s="901"/>
      <c r="F945" s="903"/>
      <c r="G945" s="901"/>
      <c r="H945" s="792"/>
      <c r="I945" s="792"/>
      <c r="J945" s="792"/>
      <c r="K945" s="792"/>
      <c r="L945" s="792"/>
      <c r="M945" s="792"/>
      <c r="N945" s="792"/>
      <c r="O945" s="792"/>
      <c r="P945" s="792"/>
      <c r="Q945" s="792"/>
      <c r="R945" s="792"/>
      <c r="S945" s="792"/>
      <c r="T945" s="792"/>
      <c r="U945" s="792"/>
      <c r="V945" s="792"/>
      <c r="W945" s="792"/>
      <c r="X945" s="792"/>
      <c r="Y945" s="792"/>
      <c r="Z945" s="792"/>
    </row>
    <row r="946" ht="15.75" customHeight="1">
      <c r="A946" s="901"/>
      <c r="B946" s="902"/>
      <c r="C946" s="901"/>
      <c r="D946" s="901"/>
      <c r="E946" s="901"/>
      <c r="F946" s="903"/>
      <c r="G946" s="901"/>
      <c r="H946" s="792"/>
      <c r="I946" s="792"/>
      <c r="J946" s="792"/>
      <c r="K946" s="792"/>
      <c r="L946" s="792"/>
      <c r="M946" s="792"/>
      <c r="N946" s="792"/>
      <c r="O946" s="792"/>
      <c r="P946" s="792"/>
      <c r="Q946" s="792"/>
      <c r="R946" s="792"/>
      <c r="S946" s="792"/>
      <c r="T946" s="792"/>
      <c r="U946" s="792"/>
      <c r="V946" s="792"/>
      <c r="W946" s="792"/>
      <c r="X946" s="792"/>
      <c r="Y946" s="792"/>
      <c r="Z946" s="792"/>
    </row>
    <row r="947" ht="15.75" customHeight="1">
      <c r="A947" s="901"/>
      <c r="B947" s="902"/>
      <c r="C947" s="901"/>
      <c r="D947" s="901"/>
      <c r="E947" s="901"/>
      <c r="F947" s="903"/>
      <c r="G947" s="901"/>
      <c r="H947" s="792"/>
      <c r="I947" s="792"/>
      <c r="J947" s="792"/>
      <c r="K947" s="792"/>
      <c r="L947" s="792"/>
      <c r="M947" s="792"/>
      <c r="N947" s="792"/>
      <c r="O947" s="792"/>
      <c r="P947" s="792"/>
      <c r="Q947" s="792"/>
      <c r="R947" s="792"/>
      <c r="S947" s="792"/>
      <c r="T947" s="792"/>
      <c r="U947" s="792"/>
      <c r="V947" s="792"/>
      <c r="W947" s="792"/>
      <c r="X947" s="792"/>
      <c r="Y947" s="792"/>
      <c r="Z947" s="792"/>
    </row>
    <row r="948" ht="15.75" customHeight="1">
      <c r="A948" s="901"/>
      <c r="B948" s="902"/>
      <c r="C948" s="901"/>
      <c r="D948" s="901"/>
      <c r="E948" s="901"/>
      <c r="F948" s="903"/>
      <c r="G948" s="901"/>
      <c r="H948" s="792"/>
      <c r="I948" s="792"/>
      <c r="J948" s="792"/>
      <c r="K948" s="792"/>
      <c r="L948" s="792"/>
      <c r="M948" s="792"/>
      <c r="N948" s="792"/>
      <c r="O948" s="792"/>
      <c r="P948" s="792"/>
      <c r="Q948" s="792"/>
      <c r="R948" s="792"/>
      <c r="S948" s="792"/>
      <c r="T948" s="792"/>
      <c r="U948" s="792"/>
      <c r="V948" s="792"/>
      <c r="W948" s="792"/>
      <c r="X948" s="792"/>
      <c r="Y948" s="792"/>
      <c r="Z948" s="792"/>
    </row>
    <row r="949" ht="15.75" customHeight="1">
      <c r="A949" s="901"/>
      <c r="B949" s="902"/>
      <c r="C949" s="901"/>
      <c r="D949" s="901"/>
      <c r="E949" s="901"/>
      <c r="F949" s="903"/>
      <c r="G949" s="901"/>
      <c r="H949" s="792"/>
      <c r="I949" s="792"/>
      <c r="J949" s="792"/>
      <c r="K949" s="792"/>
      <c r="L949" s="792"/>
      <c r="M949" s="792"/>
      <c r="N949" s="792"/>
      <c r="O949" s="792"/>
      <c r="P949" s="792"/>
      <c r="Q949" s="792"/>
      <c r="R949" s="792"/>
      <c r="S949" s="792"/>
      <c r="T949" s="792"/>
      <c r="U949" s="792"/>
      <c r="V949" s="792"/>
      <c r="W949" s="792"/>
      <c r="X949" s="792"/>
      <c r="Y949" s="792"/>
      <c r="Z949" s="792"/>
    </row>
    <row r="950" ht="15.75" customHeight="1">
      <c r="A950" s="901"/>
      <c r="B950" s="902"/>
      <c r="C950" s="901"/>
      <c r="D950" s="901"/>
      <c r="E950" s="901"/>
      <c r="F950" s="903"/>
      <c r="G950" s="901"/>
      <c r="H950" s="792"/>
      <c r="I950" s="792"/>
      <c r="J950" s="792"/>
      <c r="K950" s="792"/>
      <c r="L950" s="792"/>
      <c r="M950" s="792"/>
      <c r="N950" s="792"/>
      <c r="O950" s="792"/>
      <c r="P950" s="792"/>
      <c r="Q950" s="792"/>
      <c r="R950" s="792"/>
      <c r="S950" s="792"/>
      <c r="T950" s="792"/>
      <c r="U950" s="792"/>
      <c r="V950" s="792"/>
      <c r="W950" s="792"/>
      <c r="X950" s="792"/>
      <c r="Y950" s="792"/>
      <c r="Z950" s="792"/>
    </row>
    <row r="951" ht="15.75" customHeight="1">
      <c r="A951" s="901"/>
      <c r="B951" s="902"/>
      <c r="C951" s="901"/>
      <c r="D951" s="901"/>
      <c r="E951" s="901"/>
      <c r="F951" s="903"/>
      <c r="G951" s="901"/>
      <c r="H951" s="792"/>
      <c r="I951" s="792"/>
      <c r="J951" s="792"/>
      <c r="K951" s="792"/>
      <c r="L951" s="792"/>
      <c r="M951" s="792"/>
      <c r="N951" s="792"/>
      <c r="O951" s="792"/>
      <c r="P951" s="792"/>
      <c r="Q951" s="792"/>
      <c r="R951" s="792"/>
      <c r="S951" s="792"/>
      <c r="T951" s="792"/>
      <c r="U951" s="792"/>
      <c r="V951" s="792"/>
      <c r="W951" s="792"/>
      <c r="X951" s="792"/>
      <c r="Y951" s="792"/>
      <c r="Z951" s="792"/>
    </row>
    <row r="952" ht="15.75" customHeight="1">
      <c r="A952" s="901"/>
      <c r="B952" s="902"/>
      <c r="C952" s="901"/>
      <c r="D952" s="901"/>
      <c r="E952" s="901"/>
      <c r="F952" s="903"/>
      <c r="G952" s="901"/>
      <c r="H952" s="792"/>
      <c r="I952" s="792"/>
      <c r="J952" s="792"/>
      <c r="K952" s="792"/>
      <c r="L952" s="792"/>
      <c r="M952" s="792"/>
      <c r="N952" s="792"/>
      <c r="O952" s="792"/>
      <c r="P952" s="792"/>
      <c r="Q952" s="792"/>
      <c r="R952" s="792"/>
      <c r="S952" s="792"/>
      <c r="T952" s="792"/>
      <c r="U952" s="792"/>
      <c r="V952" s="792"/>
      <c r="W952" s="792"/>
      <c r="X952" s="792"/>
      <c r="Y952" s="792"/>
      <c r="Z952" s="792"/>
    </row>
    <row r="953" ht="15.75" customHeight="1">
      <c r="A953" s="901"/>
      <c r="B953" s="902"/>
      <c r="C953" s="901"/>
      <c r="D953" s="901"/>
      <c r="E953" s="901"/>
      <c r="F953" s="903"/>
      <c r="G953" s="901"/>
      <c r="H953" s="792"/>
      <c r="I953" s="792"/>
      <c r="J953" s="792"/>
      <c r="K953" s="792"/>
      <c r="L953" s="792"/>
      <c r="M953" s="792"/>
      <c r="N953" s="792"/>
      <c r="O953" s="792"/>
      <c r="P953" s="792"/>
      <c r="Q953" s="792"/>
      <c r="R953" s="792"/>
      <c r="S953" s="792"/>
      <c r="T953" s="792"/>
      <c r="U953" s="792"/>
      <c r="V953" s="792"/>
      <c r="W953" s="792"/>
      <c r="X953" s="792"/>
      <c r="Y953" s="792"/>
      <c r="Z953" s="792"/>
    </row>
    <row r="954" ht="15.75" customHeight="1">
      <c r="A954" s="901"/>
      <c r="B954" s="902"/>
      <c r="C954" s="901"/>
      <c r="D954" s="901"/>
      <c r="E954" s="901"/>
      <c r="F954" s="903"/>
      <c r="G954" s="901"/>
      <c r="H954" s="792"/>
      <c r="I954" s="792"/>
      <c r="J954" s="792"/>
      <c r="K954" s="792"/>
      <c r="L954" s="792"/>
      <c r="M954" s="792"/>
      <c r="N954" s="792"/>
      <c r="O954" s="792"/>
      <c r="P954" s="792"/>
      <c r="Q954" s="792"/>
      <c r="R954" s="792"/>
      <c r="S954" s="792"/>
      <c r="T954" s="792"/>
      <c r="U954" s="792"/>
      <c r="V954" s="792"/>
      <c r="W954" s="792"/>
      <c r="X954" s="792"/>
      <c r="Y954" s="792"/>
      <c r="Z954" s="792"/>
    </row>
    <row r="955" ht="15.75" customHeight="1">
      <c r="A955" s="901"/>
      <c r="B955" s="902"/>
      <c r="C955" s="901"/>
      <c r="D955" s="901"/>
      <c r="E955" s="901"/>
      <c r="F955" s="903"/>
      <c r="G955" s="901"/>
      <c r="H955" s="792"/>
      <c r="I955" s="792"/>
      <c r="J955" s="792"/>
      <c r="K955" s="792"/>
      <c r="L955" s="792"/>
      <c r="M955" s="792"/>
      <c r="N955" s="792"/>
      <c r="O955" s="792"/>
      <c r="P955" s="792"/>
      <c r="Q955" s="792"/>
      <c r="R955" s="792"/>
      <c r="S955" s="792"/>
      <c r="T955" s="792"/>
      <c r="U955" s="792"/>
      <c r="V955" s="792"/>
      <c r="W955" s="792"/>
      <c r="X955" s="792"/>
      <c r="Y955" s="792"/>
      <c r="Z955" s="792"/>
    </row>
    <row r="956" ht="15.75" customHeight="1">
      <c r="A956" s="901"/>
      <c r="B956" s="902"/>
      <c r="C956" s="901"/>
      <c r="D956" s="901"/>
      <c r="E956" s="901"/>
      <c r="F956" s="903"/>
      <c r="G956" s="901"/>
      <c r="H956" s="792"/>
      <c r="I956" s="792"/>
      <c r="J956" s="792"/>
      <c r="K956" s="792"/>
      <c r="L956" s="792"/>
      <c r="M956" s="792"/>
      <c r="N956" s="792"/>
      <c r="O956" s="792"/>
      <c r="P956" s="792"/>
      <c r="Q956" s="792"/>
      <c r="R956" s="792"/>
      <c r="S956" s="792"/>
      <c r="T956" s="792"/>
      <c r="U956" s="792"/>
      <c r="V956" s="792"/>
      <c r="W956" s="792"/>
      <c r="X956" s="792"/>
      <c r="Y956" s="792"/>
      <c r="Z956" s="792"/>
    </row>
    <row r="957" ht="15.75" customHeight="1">
      <c r="A957" s="901"/>
      <c r="B957" s="902"/>
      <c r="C957" s="901"/>
      <c r="D957" s="901"/>
      <c r="E957" s="901"/>
      <c r="F957" s="903"/>
      <c r="G957" s="901"/>
      <c r="H957" s="792"/>
      <c r="I957" s="792"/>
      <c r="J957" s="792"/>
      <c r="K957" s="792"/>
      <c r="L957" s="792"/>
      <c r="M957" s="792"/>
      <c r="N957" s="792"/>
      <c r="O957" s="792"/>
      <c r="P957" s="792"/>
      <c r="Q957" s="792"/>
      <c r="R957" s="792"/>
      <c r="S957" s="792"/>
      <c r="T957" s="792"/>
      <c r="U957" s="792"/>
      <c r="V957" s="792"/>
      <c r="W957" s="792"/>
      <c r="X957" s="792"/>
      <c r="Y957" s="792"/>
      <c r="Z957" s="792"/>
    </row>
    <row r="958" ht="15.75" customHeight="1">
      <c r="A958" s="901"/>
      <c r="B958" s="902"/>
      <c r="C958" s="901"/>
      <c r="D958" s="901"/>
      <c r="E958" s="901"/>
      <c r="F958" s="903"/>
      <c r="G958" s="901"/>
      <c r="H958" s="792"/>
      <c r="I958" s="792"/>
      <c r="J958" s="792"/>
      <c r="K958" s="792"/>
      <c r="L958" s="792"/>
      <c r="M958" s="792"/>
      <c r="N958" s="792"/>
      <c r="O958" s="792"/>
      <c r="P958" s="792"/>
      <c r="Q958" s="792"/>
      <c r="R958" s="792"/>
      <c r="S958" s="792"/>
      <c r="T958" s="792"/>
      <c r="U958" s="792"/>
      <c r="V958" s="792"/>
      <c r="W958" s="792"/>
      <c r="X958" s="792"/>
      <c r="Y958" s="792"/>
      <c r="Z958" s="792"/>
    </row>
    <row r="959" ht="15.75" customHeight="1">
      <c r="A959" s="901"/>
      <c r="B959" s="902"/>
      <c r="C959" s="901"/>
      <c r="D959" s="901"/>
      <c r="E959" s="901"/>
      <c r="F959" s="903"/>
      <c r="G959" s="901"/>
      <c r="H959" s="792"/>
      <c r="I959" s="792"/>
      <c r="J959" s="792"/>
      <c r="K959" s="792"/>
      <c r="L959" s="792"/>
      <c r="M959" s="792"/>
      <c r="N959" s="792"/>
      <c r="O959" s="792"/>
      <c r="P959" s="792"/>
      <c r="Q959" s="792"/>
      <c r="R959" s="792"/>
      <c r="S959" s="792"/>
      <c r="T959" s="792"/>
      <c r="U959" s="792"/>
      <c r="V959" s="792"/>
      <c r="W959" s="792"/>
      <c r="X959" s="792"/>
      <c r="Y959" s="792"/>
      <c r="Z959" s="792"/>
    </row>
    <row r="960" ht="15.75" customHeight="1">
      <c r="A960" s="901"/>
      <c r="B960" s="902"/>
      <c r="C960" s="901"/>
      <c r="D960" s="901"/>
      <c r="E960" s="901"/>
      <c r="F960" s="903"/>
      <c r="G960" s="901"/>
      <c r="H960" s="792"/>
      <c r="I960" s="792"/>
      <c r="J960" s="792"/>
      <c r="K960" s="792"/>
      <c r="L960" s="792"/>
      <c r="M960" s="792"/>
      <c r="N960" s="792"/>
      <c r="O960" s="792"/>
      <c r="P960" s="792"/>
      <c r="Q960" s="792"/>
      <c r="R960" s="792"/>
      <c r="S960" s="792"/>
      <c r="T960" s="792"/>
      <c r="U960" s="792"/>
      <c r="V960" s="792"/>
      <c r="W960" s="792"/>
      <c r="X960" s="792"/>
      <c r="Y960" s="792"/>
      <c r="Z960" s="792"/>
    </row>
    <row r="961" ht="15.75" customHeight="1">
      <c r="A961" s="901"/>
      <c r="B961" s="902"/>
      <c r="C961" s="901"/>
      <c r="D961" s="901"/>
      <c r="E961" s="901"/>
      <c r="F961" s="903"/>
      <c r="G961" s="901"/>
      <c r="H961" s="792"/>
      <c r="I961" s="792"/>
      <c r="J961" s="792"/>
      <c r="K961" s="792"/>
      <c r="L961" s="792"/>
      <c r="M961" s="792"/>
      <c r="N961" s="792"/>
      <c r="O961" s="792"/>
      <c r="P961" s="792"/>
      <c r="Q961" s="792"/>
      <c r="R961" s="792"/>
      <c r="S961" s="792"/>
      <c r="T961" s="792"/>
      <c r="U961" s="792"/>
      <c r="V961" s="792"/>
      <c r="W961" s="792"/>
      <c r="X961" s="792"/>
      <c r="Y961" s="792"/>
      <c r="Z961" s="792"/>
    </row>
    <row r="962" ht="15.75" customHeight="1">
      <c r="A962" s="901"/>
      <c r="B962" s="902"/>
      <c r="C962" s="901"/>
      <c r="D962" s="901"/>
      <c r="E962" s="901"/>
      <c r="F962" s="903"/>
      <c r="G962" s="901"/>
      <c r="H962" s="792"/>
      <c r="I962" s="792"/>
      <c r="J962" s="792"/>
      <c r="K962" s="792"/>
      <c r="L962" s="792"/>
      <c r="M962" s="792"/>
      <c r="N962" s="792"/>
      <c r="O962" s="792"/>
      <c r="P962" s="792"/>
      <c r="Q962" s="792"/>
      <c r="R962" s="792"/>
      <c r="S962" s="792"/>
      <c r="T962" s="792"/>
      <c r="U962" s="792"/>
      <c r="V962" s="792"/>
      <c r="W962" s="792"/>
      <c r="X962" s="792"/>
      <c r="Y962" s="792"/>
      <c r="Z962" s="792"/>
    </row>
    <row r="963" ht="15.75" customHeight="1">
      <c r="A963" s="901"/>
      <c r="B963" s="902"/>
      <c r="C963" s="901"/>
      <c r="D963" s="901"/>
      <c r="E963" s="901"/>
      <c r="F963" s="903"/>
      <c r="G963" s="901"/>
      <c r="H963" s="792"/>
      <c r="I963" s="792"/>
      <c r="J963" s="792"/>
      <c r="K963" s="792"/>
      <c r="L963" s="792"/>
      <c r="M963" s="792"/>
      <c r="N963" s="792"/>
      <c r="O963" s="792"/>
      <c r="P963" s="792"/>
      <c r="Q963" s="792"/>
      <c r="R963" s="792"/>
      <c r="S963" s="792"/>
      <c r="T963" s="792"/>
      <c r="U963" s="792"/>
      <c r="V963" s="792"/>
      <c r="W963" s="792"/>
      <c r="X963" s="792"/>
      <c r="Y963" s="792"/>
      <c r="Z963" s="792"/>
    </row>
    <row r="964" ht="15.75" customHeight="1">
      <c r="A964" s="901"/>
      <c r="B964" s="902"/>
      <c r="C964" s="901"/>
      <c r="D964" s="901"/>
      <c r="E964" s="901"/>
      <c r="F964" s="903"/>
      <c r="G964" s="901"/>
      <c r="H964" s="792"/>
      <c r="I964" s="792"/>
      <c r="J964" s="792"/>
      <c r="K964" s="792"/>
      <c r="L964" s="792"/>
      <c r="M964" s="792"/>
      <c r="N964" s="792"/>
      <c r="O964" s="792"/>
      <c r="P964" s="792"/>
      <c r="Q964" s="792"/>
      <c r="R964" s="792"/>
      <c r="S964" s="792"/>
      <c r="T964" s="792"/>
      <c r="U964" s="792"/>
      <c r="V964" s="792"/>
      <c r="W964" s="792"/>
      <c r="X964" s="792"/>
      <c r="Y964" s="792"/>
      <c r="Z964" s="792"/>
    </row>
    <row r="965" ht="15.75" customHeight="1">
      <c r="A965" s="901"/>
      <c r="B965" s="902"/>
      <c r="C965" s="901"/>
      <c r="D965" s="901"/>
      <c r="E965" s="901"/>
      <c r="F965" s="903"/>
      <c r="G965" s="901"/>
      <c r="H965" s="792"/>
      <c r="I965" s="792"/>
      <c r="J965" s="792"/>
      <c r="K965" s="792"/>
      <c r="L965" s="792"/>
      <c r="M965" s="792"/>
      <c r="N965" s="792"/>
      <c r="O965" s="792"/>
      <c r="P965" s="792"/>
      <c r="Q965" s="792"/>
      <c r="R965" s="792"/>
      <c r="S965" s="792"/>
      <c r="T965" s="792"/>
      <c r="U965" s="792"/>
      <c r="V965" s="792"/>
      <c r="W965" s="792"/>
      <c r="X965" s="792"/>
      <c r="Y965" s="792"/>
      <c r="Z965" s="792"/>
    </row>
    <row r="966" ht="15.75" customHeight="1">
      <c r="A966" s="901"/>
      <c r="B966" s="902"/>
      <c r="C966" s="901"/>
      <c r="D966" s="901"/>
      <c r="E966" s="901"/>
      <c r="F966" s="903"/>
      <c r="G966" s="901"/>
      <c r="H966" s="792"/>
      <c r="I966" s="792"/>
      <c r="J966" s="792"/>
      <c r="K966" s="792"/>
      <c r="L966" s="792"/>
      <c r="M966" s="792"/>
      <c r="N966" s="792"/>
      <c r="O966" s="792"/>
      <c r="P966" s="792"/>
      <c r="Q966" s="792"/>
      <c r="R966" s="792"/>
      <c r="S966" s="792"/>
      <c r="T966" s="792"/>
      <c r="U966" s="792"/>
      <c r="V966" s="792"/>
      <c r="W966" s="792"/>
      <c r="X966" s="792"/>
      <c r="Y966" s="792"/>
      <c r="Z966" s="792"/>
    </row>
    <row r="967" ht="15.75" customHeight="1">
      <c r="A967" s="901"/>
      <c r="B967" s="902"/>
      <c r="C967" s="901"/>
      <c r="D967" s="901"/>
      <c r="E967" s="901"/>
      <c r="F967" s="903"/>
      <c r="G967" s="901"/>
      <c r="H967" s="792"/>
      <c r="I967" s="792"/>
      <c r="J967" s="792"/>
      <c r="K967" s="792"/>
      <c r="L967" s="792"/>
      <c r="M967" s="792"/>
      <c r="N967" s="792"/>
      <c r="O967" s="792"/>
      <c r="P967" s="792"/>
      <c r="Q967" s="792"/>
      <c r="R967" s="792"/>
      <c r="S967" s="792"/>
      <c r="T967" s="792"/>
      <c r="U967" s="792"/>
      <c r="V967" s="792"/>
      <c r="W967" s="792"/>
      <c r="X967" s="792"/>
      <c r="Y967" s="792"/>
      <c r="Z967" s="792"/>
    </row>
    <row r="968" ht="15.75" customHeight="1">
      <c r="A968" s="901"/>
      <c r="B968" s="902"/>
      <c r="C968" s="901"/>
      <c r="D968" s="901"/>
      <c r="E968" s="901"/>
      <c r="F968" s="903"/>
      <c r="G968" s="901"/>
      <c r="H968" s="792"/>
      <c r="I968" s="792"/>
      <c r="J968" s="792"/>
      <c r="K968" s="792"/>
      <c r="L968" s="792"/>
      <c r="M968" s="792"/>
      <c r="N968" s="792"/>
      <c r="O968" s="792"/>
      <c r="P968" s="792"/>
      <c r="Q968" s="792"/>
      <c r="R968" s="792"/>
      <c r="S968" s="792"/>
      <c r="T968" s="792"/>
      <c r="U968" s="792"/>
      <c r="V968" s="792"/>
      <c r="W968" s="792"/>
      <c r="X968" s="792"/>
      <c r="Y968" s="792"/>
      <c r="Z968" s="792"/>
    </row>
    <row r="969" ht="15.75" customHeight="1">
      <c r="A969" s="901"/>
      <c r="B969" s="902"/>
      <c r="C969" s="901"/>
      <c r="D969" s="901"/>
      <c r="E969" s="901"/>
      <c r="F969" s="903"/>
      <c r="G969" s="901"/>
      <c r="H969" s="792"/>
      <c r="I969" s="792"/>
      <c r="J969" s="792"/>
      <c r="K969" s="792"/>
      <c r="L969" s="792"/>
      <c r="M969" s="792"/>
      <c r="N969" s="792"/>
      <c r="O969" s="792"/>
      <c r="P969" s="792"/>
      <c r="Q969" s="792"/>
      <c r="R969" s="792"/>
      <c r="S969" s="792"/>
      <c r="T969" s="792"/>
      <c r="U969" s="792"/>
      <c r="V969" s="792"/>
      <c r="W969" s="792"/>
      <c r="X969" s="792"/>
      <c r="Y969" s="792"/>
      <c r="Z969" s="792"/>
    </row>
    <row r="970" ht="15.75" customHeight="1">
      <c r="A970" s="901"/>
      <c r="B970" s="902"/>
      <c r="C970" s="901"/>
      <c r="D970" s="901"/>
      <c r="E970" s="901"/>
      <c r="F970" s="903"/>
      <c r="G970" s="901"/>
      <c r="H970" s="792"/>
      <c r="I970" s="792"/>
      <c r="J970" s="792"/>
      <c r="K970" s="792"/>
      <c r="L970" s="792"/>
      <c r="M970" s="792"/>
      <c r="N970" s="792"/>
      <c r="O970" s="792"/>
      <c r="P970" s="792"/>
      <c r="Q970" s="792"/>
      <c r="R970" s="792"/>
      <c r="S970" s="792"/>
      <c r="T970" s="792"/>
      <c r="U970" s="792"/>
      <c r="V970" s="792"/>
      <c r="W970" s="792"/>
      <c r="X970" s="792"/>
      <c r="Y970" s="792"/>
      <c r="Z970" s="792"/>
    </row>
    <row r="971" ht="15.75" customHeight="1">
      <c r="A971" s="901"/>
      <c r="B971" s="902"/>
      <c r="C971" s="901"/>
      <c r="D971" s="901"/>
      <c r="E971" s="901"/>
      <c r="F971" s="903"/>
      <c r="G971" s="901"/>
      <c r="H971" s="792"/>
      <c r="I971" s="792"/>
      <c r="J971" s="792"/>
      <c r="K971" s="792"/>
      <c r="L971" s="792"/>
      <c r="M971" s="792"/>
      <c r="N971" s="792"/>
      <c r="O971" s="792"/>
      <c r="P971" s="792"/>
      <c r="Q971" s="792"/>
      <c r="R971" s="792"/>
      <c r="S971" s="792"/>
      <c r="T971" s="792"/>
      <c r="U971" s="792"/>
      <c r="V971" s="792"/>
      <c r="W971" s="792"/>
      <c r="X971" s="792"/>
      <c r="Y971" s="792"/>
      <c r="Z971" s="792"/>
    </row>
    <row r="972" ht="15.75" customHeight="1">
      <c r="A972" s="901"/>
      <c r="B972" s="902"/>
      <c r="C972" s="901"/>
      <c r="D972" s="901"/>
      <c r="E972" s="901"/>
      <c r="F972" s="903"/>
      <c r="G972" s="901"/>
      <c r="H972" s="792"/>
      <c r="I972" s="792"/>
      <c r="J972" s="792"/>
      <c r="K972" s="792"/>
      <c r="L972" s="792"/>
      <c r="M972" s="792"/>
      <c r="N972" s="792"/>
      <c r="O972" s="792"/>
      <c r="P972" s="792"/>
      <c r="Q972" s="792"/>
      <c r="R972" s="792"/>
      <c r="S972" s="792"/>
      <c r="T972" s="792"/>
      <c r="U972" s="792"/>
      <c r="V972" s="792"/>
      <c r="W972" s="792"/>
      <c r="X972" s="792"/>
      <c r="Y972" s="792"/>
      <c r="Z972" s="792"/>
    </row>
    <row r="973" ht="15.75" customHeight="1">
      <c r="A973" s="901"/>
      <c r="B973" s="902"/>
      <c r="C973" s="901"/>
      <c r="D973" s="901"/>
      <c r="E973" s="901"/>
      <c r="F973" s="903"/>
      <c r="G973" s="901"/>
      <c r="H973" s="792"/>
      <c r="I973" s="792"/>
      <c r="J973" s="792"/>
      <c r="K973" s="792"/>
      <c r="L973" s="792"/>
      <c r="M973" s="792"/>
      <c r="N973" s="792"/>
      <c r="O973" s="792"/>
      <c r="P973" s="792"/>
      <c r="Q973" s="792"/>
      <c r="R973" s="792"/>
      <c r="S973" s="792"/>
      <c r="T973" s="792"/>
      <c r="U973" s="792"/>
      <c r="V973" s="792"/>
      <c r="W973" s="792"/>
      <c r="X973" s="792"/>
      <c r="Y973" s="792"/>
      <c r="Z973" s="792"/>
    </row>
    <row r="974" ht="15.75" customHeight="1">
      <c r="A974" s="901"/>
      <c r="B974" s="902"/>
      <c r="C974" s="901"/>
      <c r="D974" s="901"/>
      <c r="E974" s="901"/>
      <c r="F974" s="903"/>
      <c r="G974" s="901"/>
      <c r="H974" s="792"/>
      <c r="I974" s="792"/>
      <c r="J974" s="792"/>
      <c r="K974" s="792"/>
      <c r="L974" s="792"/>
      <c r="M974" s="792"/>
      <c r="N974" s="792"/>
      <c r="O974" s="792"/>
      <c r="P974" s="792"/>
      <c r="Q974" s="792"/>
      <c r="R974" s="792"/>
      <c r="S974" s="792"/>
      <c r="T974" s="792"/>
      <c r="U974" s="792"/>
      <c r="V974" s="792"/>
      <c r="W974" s="792"/>
      <c r="X974" s="792"/>
      <c r="Y974" s="792"/>
      <c r="Z974" s="792"/>
    </row>
    <row r="975" ht="15.75" customHeight="1">
      <c r="A975" s="901"/>
      <c r="B975" s="902"/>
      <c r="C975" s="901"/>
      <c r="D975" s="901"/>
      <c r="E975" s="901"/>
      <c r="F975" s="903"/>
      <c r="G975" s="901"/>
      <c r="H975" s="792"/>
      <c r="I975" s="792"/>
      <c r="J975" s="792"/>
      <c r="K975" s="792"/>
      <c r="L975" s="792"/>
      <c r="M975" s="792"/>
      <c r="N975" s="792"/>
      <c r="O975" s="792"/>
      <c r="P975" s="792"/>
      <c r="Q975" s="792"/>
      <c r="R975" s="792"/>
      <c r="S975" s="792"/>
      <c r="T975" s="792"/>
      <c r="U975" s="792"/>
      <c r="V975" s="792"/>
      <c r="W975" s="792"/>
      <c r="X975" s="792"/>
      <c r="Y975" s="792"/>
      <c r="Z975" s="792"/>
    </row>
    <row r="976" ht="15.75" customHeight="1">
      <c r="A976" s="901"/>
      <c r="B976" s="902"/>
      <c r="C976" s="901"/>
      <c r="D976" s="901"/>
      <c r="E976" s="901"/>
      <c r="F976" s="903"/>
      <c r="G976" s="901"/>
      <c r="H976" s="792"/>
      <c r="I976" s="792"/>
      <c r="J976" s="792"/>
      <c r="K976" s="792"/>
      <c r="L976" s="792"/>
      <c r="M976" s="792"/>
      <c r="N976" s="792"/>
      <c r="O976" s="792"/>
      <c r="P976" s="792"/>
      <c r="Q976" s="792"/>
      <c r="R976" s="792"/>
      <c r="S976" s="792"/>
      <c r="T976" s="792"/>
      <c r="U976" s="792"/>
      <c r="V976" s="792"/>
      <c r="W976" s="792"/>
      <c r="X976" s="792"/>
      <c r="Y976" s="792"/>
      <c r="Z976" s="792"/>
    </row>
    <row r="977" ht="15.75" customHeight="1">
      <c r="A977" s="901"/>
      <c r="B977" s="902"/>
      <c r="C977" s="901"/>
      <c r="D977" s="901"/>
      <c r="E977" s="901"/>
      <c r="F977" s="903"/>
      <c r="G977" s="901"/>
      <c r="H977" s="792"/>
      <c r="I977" s="792"/>
      <c r="J977" s="792"/>
      <c r="K977" s="792"/>
      <c r="L977" s="792"/>
      <c r="M977" s="792"/>
      <c r="N977" s="792"/>
      <c r="O977" s="792"/>
      <c r="P977" s="792"/>
      <c r="Q977" s="792"/>
      <c r="R977" s="792"/>
      <c r="S977" s="792"/>
      <c r="T977" s="792"/>
      <c r="U977" s="792"/>
      <c r="V977" s="792"/>
      <c r="W977" s="792"/>
      <c r="X977" s="792"/>
      <c r="Y977" s="792"/>
      <c r="Z977" s="792"/>
    </row>
    <row r="978" ht="15.75" customHeight="1">
      <c r="A978" s="901"/>
      <c r="B978" s="902"/>
      <c r="C978" s="901"/>
      <c r="D978" s="901"/>
      <c r="E978" s="901"/>
      <c r="F978" s="903"/>
      <c r="G978" s="901"/>
      <c r="H978" s="792"/>
      <c r="I978" s="792"/>
      <c r="J978" s="792"/>
      <c r="K978" s="792"/>
      <c r="L978" s="792"/>
      <c r="M978" s="792"/>
      <c r="N978" s="792"/>
      <c r="O978" s="792"/>
      <c r="P978" s="792"/>
      <c r="Q978" s="792"/>
      <c r="R978" s="792"/>
      <c r="S978" s="792"/>
      <c r="T978" s="792"/>
      <c r="U978" s="792"/>
      <c r="V978" s="792"/>
      <c r="W978" s="792"/>
      <c r="X978" s="792"/>
      <c r="Y978" s="792"/>
      <c r="Z978" s="792"/>
    </row>
    <row r="979" ht="15.75" customHeight="1">
      <c r="A979" s="901"/>
      <c r="B979" s="902"/>
      <c r="C979" s="901"/>
      <c r="D979" s="901"/>
      <c r="E979" s="901"/>
      <c r="F979" s="903"/>
      <c r="G979" s="901"/>
      <c r="H979" s="792"/>
      <c r="I979" s="792"/>
      <c r="J979" s="792"/>
      <c r="K979" s="792"/>
      <c r="L979" s="792"/>
      <c r="M979" s="792"/>
      <c r="N979" s="792"/>
      <c r="O979" s="792"/>
      <c r="P979" s="792"/>
      <c r="Q979" s="792"/>
      <c r="R979" s="792"/>
      <c r="S979" s="792"/>
      <c r="T979" s="792"/>
      <c r="U979" s="792"/>
      <c r="V979" s="792"/>
      <c r="W979" s="792"/>
      <c r="X979" s="792"/>
      <c r="Y979" s="792"/>
      <c r="Z979" s="792"/>
    </row>
    <row r="980" ht="15.75" customHeight="1">
      <c r="A980" s="901"/>
      <c r="B980" s="902"/>
      <c r="C980" s="901"/>
      <c r="D980" s="901"/>
      <c r="E980" s="901"/>
      <c r="F980" s="903"/>
      <c r="G980" s="901"/>
      <c r="H980" s="792"/>
      <c r="I980" s="792"/>
      <c r="J980" s="792"/>
      <c r="K980" s="792"/>
      <c r="L980" s="792"/>
      <c r="M980" s="792"/>
      <c r="N980" s="792"/>
      <c r="O980" s="792"/>
      <c r="P980" s="792"/>
      <c r="Q980" s="792"/>
      <c r="R980" s="792"/>
      <c r="S980" s="792"/>
      <c r="T980" s="792"/>
      <c r="U980" s="792"/>
      <c r="V980" s="792"/>
      <c r="W980" s="792"/>
      <c r="X980" s="792"/>
      <c r="Y980" s="792"/>
      <c r="Z980" s="792"/>
    </row>
    <row r="981" ht="15.75" customHeight="1">
      <c r="A981" s="901"/>
      <c r="B981" s="902"/>
      <c r="C981" s="901"/>
      <c r="D981" s="901"/>
      <c r="E981" s="901"/>
      <c r="F981" s="903"/>
      <c r="G981" s="901"/>
      <c r="H981" s="792"/>
      <c r="I981" s="792"/>
      <c r="J981" s="792"/>
      <c r="K981" s="792"/>
      <c r="L981" s="792"/>
      <c r="M981" s="792"/>
      <c r="N981" s="792"/>
      <c r="O981" s="792"/>
      <c r="P981" s="792"/>
      <c r="Q981" s="792"/>
      <c r="R981" s="792"/>
      <c r="S981" s="792"/>
      <c r="T981" s="792"/>
      <c r="U981" s="792"/>
      <c r="V981" s="792"/>
      <c r="W981" s="792"/>
      <c r="X981" s="792"/>
      <c r="Y981" s="792"/>
      <c r="Z981" s="792"/>
    </row>
    <row r="982" ht="15.75" customHeight="1">
      <c r="A982" s="901"/>
      <c r="B982" s="902"/>
      <c r="C982" s="901"/>
      <c r="D982" s="901"/>
      <c r="E982" s="901"/>
      <c r="F982" s="903"/>
      <c r="G982" s="901"/>
      <c r="H982" s="792"/>
      <c r="I982" s="792"/>
      <c r="J982" s="792"/>
      <c r="K982" s="792"/>
      <c r="L982" s="792"/>
      <c r="M982" s="792"/>
      <c r="N982" s="792"/>
      <c r="O982" s="792"/>
      <c r="P982" s="792"/>
      <c r="Q982" s="792"/>
      <c r="R982" s="792"/>
      <c r="S982" s="792"/>
      <c r="T982" s="792"/>
      <c r="U982" s="792"/>
      <c r="V982" s="792"/>
      <c r="W982" s="792"/>
      <c r="X982" s="792"/>
      <c r="Y982" s="792"/>
      <c r="Z982" s="792"/>
    </row>
    <row r="983" ht="15.75" customHeight="1">
      <c r="A983" s="901"/>
      <c r="B983" s="902"/>
      <c r="C983" s="901"/>
      <c r="D983" s="901"/>
      <c r="E983" s="901"/>
      <c r="F983" s="903"/>
      <c r="G983" s="901"/>
      <c r="H983" s="792"/>
      <c r="I983" s="792"/>
      <c r="J983" s="792"/>
      <c r="K983" s="792"/>
      <c r="L983" s="792"/>
      <c r="M983" s="792"/>
      <c r="N983" s="792"/>
      <c r="O983" s="792"/>
      <c r="P983" s="792"/>
      <c r="Q983" s="792"/>
      <c r="R983" s="792"/>
      <c r="S983" s="792"/>
      <c r="T983" s="792"/>
      <c r="U983" s="792"/>
      <c r="V983" s="792"/>
      <c r="W983" s="792"/>
      <c r="X983" s="792"/>
      <c r="Y983" s="792"/>
      <c r="Z983" s="792"/>
    </row>
    <row r="984" ht="15.75" customHeight="1">
      <c r="A984" s="901"/>
      <c r="B984" s="902"/>
      <c r="C984" s="901"/>
      <c r="D984" s="901"/>
      <c r="E984" s="901"/>
      <c r="F984" s="903"/>
      <c r="G984" s="901"/>
      <c r="H984" s="792"/>
      <c r="I984" s="792"/>
      <c r="J984" s="792"/>
      <c r="K984" s="792"/>
      <c r="L984" s="792"/>
      <c r="M984" s="792"/>
      <c r="N984" s="792"/>
      <c r="O984" s="792"/>
      <c r="P984" s="792"/>
      <c r="Q984" s="792"/>
      <c r="R984" s="792"/>
      <c r="S984" s="792"/>
      <c r="T984" s="792"/>
      <c r="U984" s="792"/>
      <c r="V984" s="792"/>
      <c r="W984" s="792"/>
      <c r="X984" s="792"/>
      <c r="Y984" s="792"/>
      <c r="Z984" s="792"/>
    </row>
    <row r="985" ht="15.75" customHeight="1">
      <c r="A985" s="901"/>
      <c r="B985" s="902"/>
      <c r="C985" s="901"/>
      <c r="D985" s="901"/>
      <c r="E985" s="901"/>
      <c r="F985" s="903"/>
      <c r="G985" s="901"/>
      <c r="H985" s="792"/>
      <c r="I985" s="792"/>
      <c r="J985" s="792"/>
      <c r="K985" s="792"/>
      <c r="L985" s="792"/>
      <c r="M985" s="792"/>
      <c r="N985" s="792"/>
      <c r="O985" s="792"/>
      <c r="P985" s="792"/>
      <c r="Q985" s="792"/>
      <c r="R985" s="792"/>
      <c r="S985" s="792"/>
      <c r="T985" s="792"/>
      <c r="U985" s="792"/>
      <c r="V985" s="792"/>
      <c r="W985" s="792"/>
      <c r="X985" s="792"/>
      <c r="Y985" s="792"/>
      <c r="Z985" s="792"/>
    </row>
    <row r="986" ht="15.75" customHeight="1">
      <c r="A986" s="901"/>
      <c r="B986" s="902"/>
      <c r="C986" s="901"/>
      <c r="D986" s="901"/>
      <c r="E986" s="901"/>
      <c r="F986" s="903"/>
      <c r="G986" s="901"/>
      <c r="H986" s="792"/>
      <c r="I986" s="792"/>
      <c r="J986" s="792"/>
      <c r="K986" s="792"/>
      <c r="L986" s="792"/>
      <c r="M986" s="792"/>
      <c r="N986" s="792"/>
      <c r="O986" s="792"/>
      <c r="P986" s="792"/>
      <c r="Q986" s="792"/>
      <c r="R986" s="792"/>
      <c r="S986" s="792"/>
      <c r="T986" s="792"/>
      <c r="U986" s="792"/>
      <c r="V986" s="792"/>
      <c r="W986" s="792"/>
      <c r="X986" s="792"/>
      <c r="Y986" s="792"/>
      <c r="Z986" s="792"/>
    </row>
    <row r="987" ht="15.75" customHeight="1">
      <c r="A987" s="901"/>
      <c r="B987" s="902"/>
      <c r="C987" s="901"/>
      <c r="D987" s="901"/>
      <c r="E987" s="901"/>
      <c r="F987" s="903"/>
      <c r="G987" s="901"/>
      <c r="H987" s="792"/>
      <c r="I987" s="792"/>
      <c r="J987" s="792"/>
      <c r="K987" s="792"/>
      <c r="L987" s="792"/>
      <c r="M987" s="792"/>
      <c r="N987" s="792"/>
      <c r="O987" s="792"/>
      <c r="P987" s="792"/>
      <c r="Q987" s="792"/>
      <c r="R987" s="792"/>
      <c r="S987" s="792"/>
      <c r="T987" s="792"/>
      <c r="U987" s="792"/>
      <c r="V987" s="792"/>
      <c r="W987" s="792"/>
      <c r="X987" s="792"/>
      <c r="Y987" s="792"/>
      <c r="Z987" s="792"/>
    </row>
    <row r="988" ht="15.75" customHeight="1">
      <c r="A988" s="901"/>
      <c r="B988" s="902"/>
      <c r="C988" s="901"/>
      <c r="D988" s="901"/>
      <c r="E988" s="901"/>
      <c r="F988" s="903"/>
      <c r="G988" s="901"/>
      <c r="H988" s="792"/>
      <c r="I988" s="792"/>
      <c r="J988" s="792"/>
      <c r="K988" s="792"/>
      <c r="L988" s="792"/>
      <c r="M988" s="792"/>
      <c r="N988" s="792"/>
      <c r="O988" s="792"/>
      <c r="P988" s="792"/>
      <c r="Q988" s="792"/>
      <c r="R988" s="792"/>
      <c r="S988" s="792"/>
      <c r="T988" s="792"/>
      <c r="U988" s="792"/>
      <c r="V988" s="792"/>
      <c r="W988" s="792"/>
      <c r="X988" s="792"/>
      <c r="Y988" s="792"/>
      <c r="Z988" s="792"/>
    </row>
    <row r="989" ht="15.75" customHeight="1">
      <c r="A989" s="901"/>
      <c r="B989" s="902"/>
      <c r="C989" s="901"/>
      <c r="D989" s="901"/>
      <c r="E989" s="901"/>
      <c r="F989" s="903"/>
      <c r="G989" s="901"/>
      <c r="H989" s="792"/>
      <c r="I989" s="792"/>
      <c r="J989" s="792"/>
      <c r="K989" s="792"/>
      <c r="L989" s="792"/>
      <c r="M989" s="792"/>
      <c r="N989" s="792"/>
      <c r="O989" s="792"/>
      <c r="P989" s="792"/>
      <c r="Q989" s="792"/>
      <c r="R989" s="792"/>
      <c r="S989" s="792"/>
      <c r="T989" s="792"/>
      <c r="U989" s="792"/>
      <c r="V989" s="792"/>
      <c r="W989" s="792"/>
      <c r="X989" s="792"/>
      <c r="Y989" s="792"/>
      <c r="Z989" s="792"/>
    </row>
    <row r="990" ht="15.75" customHeight="1">
      <c r="A990" s="901"/>
      <c r="B990" s="902"/>
      <c r="C990" s="901"/>
      <c r="D990" s="901"/>
      <c r="E990" s="901"/>
      <c r="F990" s="903"/>
      <c r="G990" s="901"/>
      <c r="H990" s="792"/>
      <c r="I990" s="792"/>
      <c r="J990" s="792"/>
      <c r="K990" s="792"/>
      <c r="L990" s="792"/>
      <c r="M990" s="792"/>
      <c r="N990" s="792"/>
      <c r="O990" s="792"/>
      <c r="P990" s="792"/>
      <c r="Q990" s="792"/>
      <c r="R990" s="792"/>
      <c r="S990" s="792"/>
      <c r="T990" s="792"/>
      <c r="U990" s="792"/>
      <c r="V990" s="792"/>
      <c r="W990" s="792"/>
      <c r="X990" s="792"/>
      <c r="Y990" s="792"/>
      <c r="Z990" s="792"/>
    </row>
    <row r="991" ht="15.75" customHeight="1">
      <c r="A991" s="901"/>
      <c r="B991" s="902"/>
      <c r="C991" s="901"/>
      <c r="D991" s="901"/>
      <c r="E991" s="901"/>
      <c r="F991" s="903"/>
      <c r="G991" s="901"/>
      <c r="H991" s="792"/>
      <c r="I991" s="792"/>
      <c r="J991" s="792"/>
      <c r="K991" s="792"/>
      <c r="L991" s="792"/>
      <c r="M991" s="792"/>
      <c r="N991" s="792"/>
      <c r="O991" s="792"/>
      <c r="P991" s="792"/>
      <c r="Q991" s="792"/>
      <c r="R991" s="792"/>
      <c r="S991" s="792"/>
      <c r="T991" s="792"/>
      <c r="U991" s="792"/>
      <c r="V991" s="792"/>
      <c r="W991" s="792"/>
      <c r="X991" s="792"/>
      <c r="Y991" s="792"/>
      <c r="Z991" s="792"/>
    </row>
    <row r="992" ht="15.75" customHeight="1">
      <c r="A992" s="901"/>
      <c r="B992" s="902"/>
      <c r="C992" s="901"/>
      <c r="D992" s="901"/>
      <c r="E992" s="901"/>
      <c r="F992" s="903"/>
      <c r="G992" s="901"/>
      <c r="H992" s="792"/>
      <c r="I992" s="792"/>
      <c r="J992" s="792"/>
      <c r="K992" s="792"/>
      <c r="L992" s="792"/>
      <c r="M992" s="792"/>
      <c r="N992" s="792"/>
      <c r="O992" s="792"/>
      <c r="P992" s="792"/>
      <c r="Q992" s="792"/>
      <c r="R992" s="792"/>
      <c r="S992" s="792"/>
      <c r="T992" s="792"/>
      <c r="U992" s="792"/>
      <c r="V992" s="792"/>
      <c r="W992" s="792"/>
      <c r="X992" s="792"/>
      <c r="Y992" s="792"/>
      <c r="Z992" s="792"/>
    </row>
    <row r="993" ht="15.75" customHeight="1">
      <c r="A993" s="901"/>
      <c r="B993" s="902"/>
      <c r="C993" s="901"/>
      <c r="D993" s="901"/>
      <c r="E993" s="901"/>
      <c r="F993" s="903"/>
      <c r="G993" s="901"/>
      <c r="H993" s="792"/>
      <c r="I993" s="792"/>
      <c r="J993" s="792"/>
      <c r="K993" s="792"/>
      <c r="L993" s="792"/>
      <c r="M993" s="792"/>
      <c r="N993" s="792"/>
      <c r="O993" s="792"/>
      <c r="P993" s="792"/>
      <c r="Q993" s="792"/>
      <c r="R993" s="792"/>
      <c r="S993" s="792"/>
      <c r="T993" s="792"/>
      <c r="U993" s="792"/>
      <c r="V993" s="792"/>
      <c r="W993" s="792"/>
      <c r="X993" s="792"/>
      <c r="Y993" s="792"/>
      <c r="Z993" s="792"/>
    </row>
    <row r="994" ht="15.75" customHeight="1">
      <c r="A994" s="901"/>
      <c r="B994" s="902"/>
      <c r="C994" s="901"/>
      <c r="D994" s="901"/>
      <c r="E994" s="901"/>
      <c r="F994" s="903"/>
      <c r="G994" s="901"/>
      <c r="H994" s="792"/>
      <c r="I994" s="792"/>
      <c r="J994" s="792"/>
      <c r="K994" s="792"/>
      <c r="L994" s="792"/>
      <c r="M994" s="792"/>
      <c r="N994" s="792"/>
      <c r="O994" s="792"/>
      <c r="P994" s="792"/>
      <c r="Q994" s="792"/>
      <c r="R994" s="792"/>
      <c r="S994" s="792"/>
      <c r="T994" s="792"/>
      <c r="U994" s="792"/>
      <c r="V994" s="792"/>
      <c r="W994" s="792"/>
      <c r="X994" s="792"/>
      <c r="Y994" s="792"/>
      <c r="Z994" s="792"/>
    </row>
    <row r="995" ht="15.75" customHeight="1">
      <c r="A995" s="901"/>
      <c r="B995" s="902"/>
      <c r="C995" s="901"/>
      <c r="D995" s="901"/>
      <c r="E995" s="901"/>
      <c r="F995" s="903"/>
      <c r="G995" s="901"/>
      <c r="H995" s="792"/>
      <c r="I995" s="792"/>
      <c r="J995" s="792"/>
      <c r="K995" s="792"/>
      <c r="L995" s="792"/>
      <c r="M995" s="792"/>
      <c r="N995" s="792"/>
      <c r="O995" s="792"/>
      <c r="P995" s="792"/>
      <c r="Q995" s="792"/>
      <c r="R995" s="792"/>
      <c r="S995" s="792"/>
      <c r="T995" s="792"/>
      <c r="U995" s="792"/>
      <c r="V995" s="792"/>
      <c r="W995" s="792"/>
      <c r="X995" s="792"/>
      <c r="Y995" s="792"/>
      <c r="Z995" s="792"/>
    </row>
    <row r="996" ht="15.75" customHeight="1">
      <c r="A996" s="901"/>
      <c r="B996" s="902"/>
      <c r="C996" s="901"/>
      <c r="D996" s="901"/>
      <c r="E996" s="901"/>
      <c r="F996" s="903"/>
      <c r="G996" s="901"/>
      <c r="H996" s="792"/>
      <c r="I996" s="792"/>
      <c r="J996" s="792"/>
      <c r="K996" s="792"/>
      <c r="L996" s="792"/>
      <c r="M996" s="792"/>
      <c r="N996" s="792"/>
      <c r="O996" s="792"/>
      <c r="P996" s="792"/>
      <c r="Q996" s="792"/>
      <c r="R996" s="792"/>
      <c r="S996" s="792"/>
      <c r="T996" s="792"/>
      <c r="U996" s="792"/>
      <c r="V996" s="792"/>
      <c r="W996" s="792"/>
      <c r="X996" s="792"/>
      <c r="Y996" s="792"/>
      <c r="Z996" s="792"/>
    </row>
    <row r="997" ht="15.75" customHeight="1">
      <c r="A997" s="901"/>
      <c r="B997" s="902"/>
      <c r="C997" s="901"/>
      <c r="D997" s="901"/>
      <c r="E997" s="901"/>
      <c r="F997" s="903"/>
      <c r="G997" s="901"/>
      <c r="H997" s="792"/>
      <c r="I997" s="792"/>
      <c r="J997" s="792"/>
      <c r="K997" s="792"/>
      <c r="L997" s="792"/>
      <c r="M997" s="792"/>
      <c r="N997" s="792"/>
      <c r="O997" s="792"/>
      <c r="P997" s="792"/>
      <c r="Q997" s="792"/>
      <c r="R997" s="792"/>
      <c r="S997" s="792"/>
      <c r="T997" s="792"/>
      <c r="U997" s="792"/>
      <c r="V997" s="792"/>
      <c r="W997" s="792"/>
      <c r="X997" s="792"/>
      <c r="Y997" s="792"/>
      <c r="Z997" s="792"/>
    </row>
    <row r="998" ht="15.75" customHeight="1">
      <c r="A998" s="901"/>
      <c r="B998" s="902"/>
      <c r="C998" s="901"/>
      <c r="D998" s="901"/>
      <c r="E998" s="901"/>
      <c r="F998" s="903"/>
      <c r="G998" s="901"/>
      <c r="H998" s="792"/>
      <c r="I998" s="792"/>
      <c r="J998" s="792"/>
      <c r="K998" s="792"/>
      <c r="L998" s="792"/>
      <c r="M998" s="792"/>
      <c r="N998" s="792"/>
      <c r="O998" s="792"/>
      <c r="P998" s="792"/>
      <c r="Q998" s="792"/>
      <c r="R998" s="792"/>
      <c r="S998" s="792"/>
      <c r="T998" s="792"/>
      <c r="U998" s="792"/>
      <c r="V998" s="792"/>
      <c r="W998" s="792"/>
      <c r="X998" s="792"/>
      <c r="Y998" s="792"/>
      <c r="Z998" s="792"/>
    </row>
    <row r="999" ht="15.75" customHeight="1">
      <c r="A999" s="901"/>
      <c r="B999" s="902"/>
      <c r="C999" s="901"/>
      <c r="D999" s="901"/>
      <c r="E999" s="901"/>
      <c r="F999" s="903"/>
      <c r="G999" s="901"/>
      <c r="H999" s="792"/>
      <c r="I999" s="792"/>
      <c r="J999" s="792"/>
      <c r="K999" s="792"/>
      <c r="L999" s="792"/>
      <c r="M999" s="792"/>
      <c r="N999" s="792"/>
      <c r="O999" s="792"/>
      <c r="P999" s="792"/>
      <c r="Q999" s="792"/>
      <c r="R999" s="792"/>
      <c r="S999" s="792"/>
      <c r="T999" s="792"/>
      <c r="U999" s="792"/>
      <c r="V999" s="792"/>
      <c r="W999" s="792"/>
      <c r="X999" s="792"/>
      <c r="Y999" s="792"/>
      <c r="Z999" s="792"/>
    </row>
    <row r="1000" ht="15.75" customHeight="1">
      <c r="A1000" s="901"/>
      <c r="B1000" s="902"/>
      <c r="C1000" s="901"/>
      <c r="D1000" s="901"/>
      <c r="E1000" s="901"/>
      <c r="F1000" s="903"/>
      <c r="G1000" s="901"/>
      <c r="H1000" s="792"/>
      <c r="I1000" s="792"/>
      <c r="J1000" s="792"/>
      <c r="K1000" s="792"/>
      <c r="L1000" s="792"/>
      <c r="M1000" s="792"/>
      <c r="N1000" s="792"/>
      <c r="O1000" s="792"/>
      <c r="P1000" s="792"/>
      <c r="Q1000" s="792"/>
      <c r="R1000" s="792"/>
      <c r="S1000" s="792"/>
      <c r="T1000" s="792"/>
      <c r="U1000" s="792"/>
      <c r="V1000" s="792"/>
      <c r="W1000" s="792"/>
      <c r="X1000" s="792"/>
      <c r="Y1000" s="792"/>
      <c r="Z1000" s="792"/>
    </row>
  </sheetData>
  <autoFilter ref="$A$1:$G$199"/>
  <conditionalFormatting sqref="A2:C199 D2:E2 D3:D199 E3:E4 E5:G54 E55:E57 E58:G199 G2:G4 G55:G57">
    <cfRule type="containsBlanks" dxfId="0" priority="1">
      <formula>LEN(TRIM(A2))=0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9.57"/>
    <col customWidth="1" min="3" max="3" width="20.71"/>
    <col customWidth="1" min="4" max="4" width="5.71"/>
    <col customWidth="1" min="5" max="5" width="30.57"/>
    <col customWidth="1" min="6" max="6" width="21.29"/>
    <col customWidth="1" min="7" max="7" width="6.43"/>
    <col customWidth="1" min="8" max="8" width="30.0"/>
    <col customWidth="1" min="9" max="9" width="20.57"/>
    <col customWidth="1" min="10" max="10" width="5.57"/>
    <col customWidth="1" min="11" max="11" width="30.0"/>
    <col customWidth="1" min="12" max="12" width="20.57"/>
    <col customWidth="1" min="13" max="26" width="30.0"/>
  </cols>
  <sheetData>
    <row r="1" ht="152.25" customHeight="1">
      <c r="A1" s="904">
        <v>1.0</v>
      </c>
      <c r="B1" s="905" t="str">
        <f>IMAGE("https://cdn.ttgtmedia.com/rms/onlineimages/hp_elitebook_mobile.jpg",1)</f>
        <v/>
      </c>
      <c r="C1" s="906" t="s">
        <v>3302</v>
      </c>
      <c r="D1" s="904">
        <v>200.0</v>
      </c>
      <c r="E1" s="907" t="str">
        <f>IMAGE("https://www.makestore.in/wp-content/uploads/2019/06/27pF_50V_Ceramic_Capacitors.png",1)</f>
        <v/>
      </c>
      <c r="F1" s="906" t="s">
        <v>3303</v>
      </c>
      <c r="G1" s="904">
        <v>101.0</v>
      </c>
      <c r="H1" s="908" t="str">
        <f>IMAGE("https://5.imimg.com/data5/DM/UP/MY-3422722/latex-coated-gloves-500x500.jpg",1)</f>
        <v/>
      </c>
      <c r="I1" s="906" t="s">
        <v>3304</v>
      </c>
      <c r="J1" s="904">
        <v>300.0</v>
      </c>
      <c r="K1" s="909" t="str">
        <f>IMAGE("https://5.imimg.com/data5/QC/NX/MY-932240/clear-plastic-funnel-250x250.jpg", 1)</f>
        <v/>
      </c>
      <c r="L1" s="906" t="s">
        <v>3305</v>
      </c>
    </row>
    <row r="2" ht="152.25" customHeight="1">
      <c r="A2" s="904">
        <v>2.0</v>
      </c>
      <c r="B2" s="910" t="str">
        <f>IMAGE("https://robu.in/wp-content/uploads/2023/06/CNC1310-Metal-Engraving-Cutting-PVC-PCB-Aluminum-Copper-CNC-Router-Machine-5.jpg",1)</f>
        <v/>
      </c>
      <c r="C2" s="906" t="s">
        <v>3306</v>
      </c>
      <c r="D2" s="904">
        <v>201.0</v>
      </c>
      <c r="E2" s="907" t="str">
        <f>IMAGE("https://projectpoint.in/image/cache/catalog/ceramic-capacitors-50V-4.7pf-672x504.jpg",1)</f>
        <v/>
      </c>
      <c r="F2" s="906" t="s">
        <v>3307</v>
      </c>
      <c r="G2" s="904">
        <v>102.0</v>
      </c>
      <c r="H2" s="911" t="str">
        <f>IMAGE("https://i.ebayimg.com/images/g/QLMAAOSwETxj4~0j/s-l1600.jpg",1)</f>
        <v/>
      </c>
      <c r="I2" s="906" t="s">
        <v>3308</v>
      </c>
      <c r="J2" s="904">
        <v>301.0</v>
      </c>
      <c r="K2" s="912" t="str">
        <f>IMAGE("https://m.media-amazon.com/images/I/31ALofIyvBL._SX466_.jpg",1)</f>
        <v/>
      </c>
      <c r="L2" s="906" t="s">
        <v>3309</v>
      </c>
    </row>
    <row r="3" ht="152.25" customHeight="1">
      <c r="A3" s="904">
        <v>3.0</v>
      </c>
      <c r="B3" s="909" t="str">
        <f>IMAGE("https://www.scimetricsinc.com/images/detailed/2/ss-324-dch2.jpg",1)</f>
        <v/>
      </c>
      <c r="C3" s="906" t="s">
        <v>3310</v>
      </c>
      <c r="D3" s="904">
        <v>202.0</v>
      </c>
      <c r="E3" s="907" t="str">
        <f>IMAGE("https://projectpoint.in/image/cache/catalog/102-672x504.jpg",1)</f>
        <v/>
      </c>
      <c r="F3" s="906" t="s">
        <v>3311</v>
      </c>
      <c r="G3" s="904">
        <v>103.0</v>
      </c>
      <c r="H3" s="913" t="str">
        <f>IMAGE("https://rukminim2.flixcart.com/image/832/832/krs40i80/worldwide-adaptor/f/7/g/pack-of-1-power-adapter-12v-2-amp-dual-pin-for-charger-with-original-imag5hmbvgzazbzz.jpeg?q=70",1)</f>
        <v/>
      </c>
      <c r="I3" s="906" t="s">
        <v>3312</v>
      </c>
      <c r="J3" s="904">
        <v>302.0</v>
      </c>
      <c r="K3" s="914" t="str">
        <f>IMAGE("https://m.media-amazon.com/images/I/71Nb2wKaZgS._SL1500_.jpg", 1)</f>
        <v/>
      </c>
      <c r="L3" s="906" t="s">
        <v>3313</v>
      </c>
    </row>
    <row r="4" ht="152.25" customHeight="1">
      <c r="A4" s="904">
        <v>4.0</v>
      </c>
      <c r="B4" s="909" t="str">
        <f>IMAGE("https://www.cei.washington.edu/wp-content/uploads/2014/06/PS2600_inUse_ENLRG_168287.jpg",1)</f>
        <v/>
      </c>
      <c r="C4" s="906" t="s">
        <v>3314</v>
      </c>
      <c r="D4" s="904">
        <v>203.0</v>
      </c>
      <c r="E4" s="907" t="str">
        <f>IMAGE("https://projectpoint.in/image/cache/catalog/103-672x504.jpg",1)</f>
        <v/>
      </c>
      <c r="F4" s="906" t="s">
        <v>3315</v>
      </c>
      <c r="G4" s="904">
        <v>104.0</v>
      </c>
      <c r="H4" s="915" t="str">
        <f>IMAGE("https://i5.walmartimages.com/asr/2f51619b-ee1e-4e7f-9717-927459ae38b6.1308a61cc28d473c3122e46595affb79.jpeg",1)</f>
        <v/>
      </c>
      <c r="I4" s="906" t="s">
        <v>3316</v>
      </c>
      <c r="J4" s="904">
        <v>303.0</v>
      </c>
      <c r="K4" s="909" t="str">
        <f>IMAGE("https://www.sigmaaldrich.com/deepweb/content/dam/sigma-aldrich/product2/017/wha2200110.tif/_jcr_content/renditions/wha2200110-large.jpg", 1)</f>
        <v/>
      </c>
      <c r="L4" s="906" t="s">
        <v>3317</v>
      </c>
    </row>
    <row r="5" ht="152.25" customHeight="1">
      <c r="A5" s="904">
        <v>9.0</v>
      </c>
      <c r="B5" s="910" t="str">
        <f>IMAGE("https://m.media-amazon.com/images/I/61UtNlSmPaL._SX342_.jpg",1)</f>
        <v/>
      </c>
      <c r="C5" s="906" t="s">
        <v>3318</v>
      </c>
      <c r="D5" s="904">
        <v>204.0</v>
      </c>
      <c r="E5" s="907" t="str">
        <f>IMAGE("https://m.media-amazon.com/images/W/MEDIAX_792452-T2/images/I/31vPU3nIarL.jpg",1)</f>
        <v/>
      </c>
      <c r="F5" s="906" t="s">
        <v>3319</v>
      </c>
      <c r="G5" s="904">
        <v>105.0</v>
      </c>
      <c r="H5" s="915" t="str">
        <f>IMAGE("https://helloaugust.in/wp-content/uploads/2020/04/dark-colour-chart-paper-full-size-300x300.jpg",1)</f>
        <v/>
      </c>
      <c r="I5" s="906" t="s">
        <v>3320</v>
      </c>
      <c r="J5" s="904">
        <v>304.0</v>
      </c>
      <c r="K5" s="915" t="str">
        <f>IMAGE("https://5.imimg.com/data5/KE/BV/MY-37063415/elastic-rubber-band-500x500.jpg",1)</f>
        <v/>
      </c>
      <c r="L5" s="906" t="s">
        <v>3321</v>
      </c>
    </row>
    <row r="6" ht="152.25" customHeight="1">
      <c r="A6" s="904">
        <v>5.0</v>
      </c>
      <c r="B6" s="905" t="str">
        <f>IMAGE("https://c1.neweggimages.com/Productimage/24-001-864-04.jpg",1)</f>
        <v/>
      </c>
      <c r="C6" s="906" t="s">
        <v>3322</v>
      </c>
      <c r="D6" s="904">
        <v>205.0</v>
      </c>
      <c r="E6" s="907" t="str">
        <f>IMAGE("https://5.imimg.com/data5/SELLER/Default/2020/8/IJ/BD/HA/84543611/2n3904-transistor-500x500.jpg",1)</f>
        <v/>
      </c>
      <c r="F6" s="906" t="s">
        <v>3323</v>
      </c>
      <c r="G6" s="904">
        <v>106.0</v>
      </c>
      <c r="H6" s="905" t="str">
        <f>IMAGE("https://i0.wp.com/www.deltastore.in/wp-content/uploads/2021/05/Untitled-design-95.png?fit=1080%2C1080&amp;ssl=1",1)</f>
        <v/>
      </c>
      <c r="I6" s="906" t="s">
        <v>3324</v>
      </c>
      <c r="J6" s="904">
        <v>305.0</v>
      </c>
      <c r="K6" s="915" t="str">
        <f>IMAGE("https://5.imimg.com/data5/BN/VV/MY-31202642/rubber-band-500x500.jpg",1)</f>
        <v/>
      </c>
      <c r="L6" s="906" t="s">
        <v>3325</v>
      </c>
    </row>
    <row r="7" ht="152.25" customHeight="1">
      <c r="A7" s="904">
        <v>6.0</v>
      </c>
      <c r="B7" s="905" t="str">
        <f>IMAGE("https://www.designinfo.in/wp-content/uploads/nc/p/5/1/4/9/0/51490-485x485.jpg",1)</f>
        <v/>
      </c>
      <c r="C7" s="906" t="s">
        <v>3326</v>
      </c>
      <c r="D7" s="904">
        <v>206.0</v>
      </c>
      <c r="E7" s="907" t="str">
        <f>IMAGE("https://rukminim2.flixcart.com/image/832/832/k44hksw0/transistor/d/m/d/100-pics-bc547-npn-transistor-sme-original-imafn3dfw2fqwgxg.jpeg?q=70",1)</f>
        <v/>
      </c>
      <c r="F7" s="906" t="s">
        <v>3327</v>
      </c>
      <c r="G7" s="904">
        <v>107.0</v>
      </c>
      <c r="H7" s="905" t="str">
        <f>IMAGE("https://m.media-amazon.com/images/I/6100FnINmsL._SL1468_.jpg",1)</f>
        <v/>
      </c>
      <c r="I7" s="906" t="s">
        <v>3328</v>
      </c>
      <c r="J7" s="904">
        <v>306.0</v>
      </c>
      <c r="K7" s="915" t="str">
        <f>IMAGE("https://5.imimg.com/data5/YV/DJ/MY-7514996/rubber-band-500x500.jpg",1)</f>
        <v/>
      </c>
      <c r="L7" s="906" t="s">
        <v>3329</v>
      </c>
    </row>
    <row r="8" ht="152.25" customHeight="1">
      <c r="A8" s="904">
        <v>7.0</v>
      </c>
      <c r="B8" s="914" t="str">
        <f>IMAGE("https://m.media-amazon.com/images/I/51UNpTjs6rS._SL1200_.jpg",1)</f>
        <v/>
      </c>
      <c r="C8" s="906" t="s">
        <v>3330</v>
      </c>
      <c r="D8" s="904">
        <v>207.0</v>
      </c>
      <c r="E8" s="907" t="str">
        <f>IMAGE("https://m.media-amazon.com/images/W/MEDIAX_792452-T2/images/I/31po6g2eu+L.jpg",1)</f>
        <v/>
      </c>
      <c r="F8" s="906" t="s">
        <v>3331</v>
      </c>
      <c r="G8" s="904">
        <v>108.0</v>
      </c>
      <c r="H8" s="805" t="str">
        <f>IMAGE("https://m.media-amazon.com/images/I/61yYBr4qxBL._SL1276_.jpg",1)</f>
        <v/>
      </c>
      <c r="I8" s="906" t="s">
        <v>3332</v>
      </c>
      <c r="J8" s="904">
        <v>307.0</v>
      </c>
      <c r="K8" s="915" t="str">
        <f>IMAGE("https://m.media-amazon.com/images/I/51XnX9DfiFL._SL1166_.jpg",1)</f>
        <v/>
      </c>
      <c r="L8" s="906" t="s">
        <v>3333</v>
      </c>
    </row>
    <row r="9" ht="152.25" customHeight="1">
      <c r="A9" s="904">
        <v>8.0</v>
      </c>
      <c r="B9" s="914" t="str">
        <f>IMAGE("https://m.media-amazon.com/images/I/51LxodXCiyS._SL1000_.jpg",1)</f>
        <v/>
      </c>
      <c r="C9" s="906" t="s">
        <v>3334</v>
      </c>
      <c r="D9" s="904">
        <v>208.0</v>
      </c>
      <c r="E9" s="907" t="str">
        <f>IMAGE("https://5.imimg.com/data5/MA/XW/GW/SELLER-84581978/cdil-transistor-bc557-500x500.jpg",1)</f>
        <v/>
      </c>
      <c r="F9" s="906" t="s">
        <v>3335</v>
      </c>
      <c r="G9" s="904">
        <v>109.0</v>
      </c>
      <c r="H9" s="909" t="str">
        <f>IMAGE("https://5.imimg.com/data5/SI/VL/MY-6819814/multi-volume-adjustable-micropipette.jpg",1)</f>
        <v/>
      </c>
      <c r="I9" s="906" t="s">
        <v>3336</v>
      </c>
      <c r="J9" s="904">
        <v>308.0</v>
      </c>
      <c r="K9" s="913" t="str">
        <f t="shared" ref="K9:K13" si="1">IMAGE("https://i.ebayimg.com/images/g/xCYAAOSwjvJlEQU8/s-l1600.jpg",1)</f>
        <v/>
      </c>
      <c r="L9" s="906" t="s">
        <v>3337</v>
      </c>
    </row>
    <row r="10" ht="152.25" customHeight="1">
      <c r="A10" s="904">
        <v>10.0</v>
      </c>
      <c r="B10" s="910" t="str">
        <f>IMAGE("https://robu.in/wp-content/uploads/2023/10/1709922-04.jpeg",1)</f>
        <v/>
      </c>
      <c r="C10" s="906" t="s">
        <v>3338</v>
      </c>
      <c r="D10" s="904">
        <v>209.0</v>
      </c>
      <c r="E10" s="907" t="str">
        <f>IMAGE("https://www.chipmart.in/wp-content/uploads/2022/08/SL100-NPN-General-Purpose-Medium-Power-Transistor-50V-500mA.png",1)</f>
        <v/>
      </c>
      <c r="F10" s="906" t="s">
        <v>3339</v>
      </c>
      <c r="G10" s="904">
        <v>110.0</v>
      </c>
      <c r="H10" s="909" t="str">
        <f>IMAGE("https://pim-resources.coleparmer.com/product/l/dwk-life-sciences-kimble-dwk-kimble-babcock-pipettes-14663.jpg",1)</f>
        <v/>
      </c>
      <c r="I10" s="906" t="s">
        <v>3340</v>
      </c>
      <c r="J10" s="904">
        <v>309.0</v>
      </c>
      <c r="K10" s="913" t="str">
        <f t="shared" si="1"/>
        <v/>
      </c>
      <c r="L10" s="906" t="s">
        <v>3341</v>
      </c>
    </row>
    <row r="11" ht="152.25" customHeight="1">
      <c r="A11" s="904">
        <v>11.0</v>
      </c>
      <c r="B11" s="910" t="str">
        <f>IMAGE("https://robu.in/wp-content/uploads/2022/12/Creality-X-Ender-CR-Laser-Falcon-Laser-Engraver-10W-1.jpg",1)</f>
        <v/>
      </c>
      <c r="C11" s="906" t="s">
        <v>3342</v>
      </c>
      <c r="D11" s="904">
        <v>210.0</v>
      </c>
      <c r="E11" s="907" t="str">
        <f>IMAGE("https://5.imimg.com/data5/WJ/EW/MY-25117786/2n2222-npn-transistors-500x500.jpg",1)</f>
        <v/>
      </c>
      <c r="F11" s="906" t="s">
        <v>3343</v>
      </c>
      <c r="G11" s="904">
        <v>111.0</v>
      </c>
      <c r="H11" s="911" t="str">
        <f>IMAGE("https://www.stanleytools.me/EMEA/PRODUCT/IMAGES/HIRES/STHT0-10194/STHT0-10194_1.jpg?resize=530x530",1)</f>
        <v/>
      </c>
      <c r="I11" s="906" t="s">
        <v>3344</v>
      </c>
      <c r="J11" s="904">
        <v>310.0</v>
      </c>
      <c r="K11" s="913" t="str">
        <f t="shared" si="1"/>
        <v/>
      </c>
      <c r="L11" s="906" t="s">
        <v>3345</v>
      </c>
    </row>
    <row r="12" ht="152.25" customHeight="1">
      <c r="A12" s="904">
        <v>12.0</v>
      </c>
      <c r="B12" s="910" t="str">
        <f>IMAGE("https://encrypted-tbn0.gstatic.com/images?q=tbn:ANd9GcSw4ZKYTILzMTBPTewgHq0FqjkLIvxbvC5JnmGROET_l9xXSJIMgzcOEBoEumI6ki1Y2LQ&amp;usqp=CAU")</f>
        <v/>
      </c>
      <c r="C12" s="906" t="s">
        <v>3346</v>
      </c>
      <c r="D12" s="904">
        <v>211.0</v>
      </c>
      <c r="E12" s="909" t="str">
        <f>IMAGE("https://cpimg.tistatic.com/04633059/b/5/15-Ml-Dropper-Bottle.jpg", 1)</f>
        <v/>
      </c>
      <c r="F12" s="906" t="s">
        <v>3347</v>
      </c>
      <c r="G12" s="904">
        <v>112.0</v>
      </c>
      <c r="H12" s="915" t="str">
        <f>IMAGE("https://upload.wikimedia.org/wikipedia/commons/7/79/Polymer_clay_examples.jpg",1)</f>
        <v/>
      </c>
      <c r="I12" s="906" t="s">
        <v>3348</v>
      </c>
      <c r="J12" s="904">
        <v>311.0</v>
      </c>
      <c r="K12" s="913" t="str">
        <f t="shared" si="1"/>
        <v/>
      </c>
      <c r="L12" s="906" t="s">
        <v>3349</v>
      </c>
    </row>
    <row r="13" ht="152.25" customHeight="1">
      <c r="A13" s="904">
        <v>13.0</v>
      </c>
      <c r="B13" s="910" t="str">
        <f>IMAGE("https://5.imimg.com/data5/SELLER/Default/2022/10/QQ/KR/IQ/23162102/singer-s0303-sewing-machine.png",1)</f>
        <v/>
      </c>
      <c r="C13" s="906" t="s">
        <v>3350</v>
      </c>
      <c r="D13" s="904">
        <v>212.0</v>
      </c>
      <c r="E13" s="805" t="str">
        <f>IMAGE("https://m.media-amazon.com/images/I/51KO2QtXE8L._SL1000_.jpg", 1)</f>
        <v/>
      </c>
      <c r="F13" s="906" t="s">
        <v>3351</v>
      </c>
      <c r="G13" s="904">
        <v>113.0</v>
      </c>
      <c r="H13" s="916" t="str">
        <f>IMAGE("https://m.media-amazon.com/images/I/51FB8cHTJyL._SL1500_.jpg",1)</f>
        <v/>
      </c>
      <c r="I13" s="906" t="s">
        <v>3352</v>
      </c>
      <c r="J13" s="904">
        <v>312.0</v>
      </c>
      <c r="K13" s="913" t="str">
        <f t="shared" si="1"/>
        <v/>
      </c>
      <c r="L13" s="906" t="s">
        <v>3353</v>
      </c>
    </row>
    <row r="14" ht="152.25" customHeight="1">
      <c r="A14" s="904">
        <v>14.0</v>
      </c>
      <c r="B14" s="910" t="str">
        <f>IMAGE("https://images.squarespace-cdn.com/content/v1/55de7b84e4b05b5cc8c23805/1466384541753-6ZUAWSHXQVOA62A7JBT7/check_and_true_patterns_2",1)</f>
        <v/>
      </c>
      <c r="C14" s="906" t="s">
        <v>3354</v>
      </c>
      <c r="D14" s="904">
        <v>213.0</v>
      </c>
      <c r="E14" s="912" t="str">
        <f>IMAGE("https://robu.in/wp-content/uploads/2019/06/3.5mm-Audio-Plug-3-Pole-Gold-plated-Earphone-Adapter-For-DIY-Stereo-Headset-5.jpg",1)</f>
        <v/>
      </c>
      <c r="F14" s="906" t="s">
        <v>3355</v>
      </c>
      <c r="G14" s="904">
        <v>114.0</v>
      </c>
      <c r="H14" s="913" t="str">
        <f>IMAGE("https://rukminim1.flixcart.com/image/850/1000/k62i5jk0/solar-panel/7/g/q/diy-projects-6v-80ma-wire-attached-mini-power-solar-cells-for-original-imafzm93vcqqnsat.jpeg?q=20")</f>
        <v/>
      </c>
      <c r="I14" s="906" t="s">
        <v>3356</v>
      </c>
      <c r="J14" s="904">
        <v>313.0</v>
      </c>
      <c r="K14" s="915" t="str">
        <f>IMAGE("https://m.media-amazon.com/images/I/81XeaSXczEL._SL1500_.jpg",1)</f>
        <v/>
      </c>
      <c r="L14" s="906" t="s">
        <v>3357</v>
      </c>
    </row>
    <row r="15" ht="152.25" customHeight="1">
      <c r="A15" s="904">
        <v>15.0</v>
      </c>
      <c r="B15" s="905" t="str">
        <f>IMAGE("https://5.imimg.com/data5/EQ/UF/HC/SELLER-78563426/laser-printers-500x500.jpg", 1)</f>
        <v/>
      </c>
      <c r="C15" s="906" t="s">
        <v>3358</v>
      </c>
      <c r="D15" s="904">
        <v>214.0</v>
      </c>
      <c r="E15" s="917" t="str">
        <f>IMAGE("https://m.media-amazon.com/images/W/MEDIAX_792452-T2/images/I/61Njm4X2d2L._AC_UF1000,1000_QL80_.jpg",1)</f>
        <v/>
      </c>
      <c r="F15" s="906" t="s">
        <v>3359</v>
      </c>
      <c r="G15" s="904">
        <v>115.0</v>
      </c>
      <c r="H15" s="918" t="str">
        <f>IMAGE("https://5.imimg.com/data5/FT/MG/MY-9316309/soldering-wire-500x500.jpg",1)</f>
        <v/>
      </c>
      <c r="I15" s="906" t="s">
        <v>3360</v>
      </c>
      <c r="J15" s="904">
        <v>314.0</v>
      </c>
      <c r="K15" s="915" t="str">
        <f>IMAGE("https://cdn11.bigcommerce.com/s-4wnn7v3yyu/images/stencil/1280x1280/products/493/1433/Velcro-Brand-Adhesive-Tape-on-a-Roll__20148.1608230554.1280.1280__85763.1620829229.jpg?c=1",1)</f>
        <v/>
      </c>
      <c r="L15" s="906" t="s">
        <v>3361</v>
      </c>
    </row>
    <row r="16" ht="152.25" customHeight="1">
      <c r="A16" s="904">
        <v>16.0</v>
      </c>
      <c r="B16" s="908" t="str">
        <f>IMAGE("https://img2.exportersindia.com/product_images/bc-full/dir_151/4514764/dust-masks-1499837104-3125900.jpg",1)</f>
        <v/>
      </c>
      <c r="C16" s="906" t="s">
        <v>3362</v>
      </c>
      <c r="D16" s="904">
        <v>215.0</v>
      </c>
      <c r="E16" s="911" t="str">
        <f>IMAGE("https://tandyleather.com/cdn/shop/products/3033-00-CRAFT-KIFE-BLADES-5PK-SILO-1_1200x1200.jpg?v=1623106045",1)</f>
        <v/>
      </c>
      <c r="F16" s="906" t="s">
        <v>3363</v>
      </c>
      <c r="G16" s="904">
        <v>116.0</v>
      </c>
      <c r="H16" s="918" t="str">
        <f>IMAGE("https://i0.wp.com/armsol.in/wp-content/uploads/2021/08/1-5-rotated.jpg?fit=600%2C600&amp;ssl=1",1)</f>
        <v/>
      </c>
      <c r="I16" s="906" t="s">
        <v>3364</v>
      </c>
      <c r="J16" s="904">
        <v>315.0</v>
      </c>
      <c r="K16" s="915" t="str">
        <f>IMAGE("https://m.media-amazon.com/images/I/81PowerIGsL._SL1500_.jpg")</f>
        <v/>
      </c>
      <c r="L16" s="906" t="s">
        <v>3365</v>
      </c>
    </row>
    <row r="17" ht="152.25" customHeight="1">
      <c r="A17" s="904">
        <v>17.0</v>
      </c>
      <c r="B17" s="909" t="str">
        <f>IMAGE("https://m.media-amazon.com/images/I/71O3EMayekL.jpg",1)</f>
        <v/>
      </c>
      <c r="C17" s="906" t="s">
        <v>3366</v>
      </c>
      <c r="D17" s="904">
        <v>216.0</v>
      </c>
      <c r="E17" s="909" t="str">
        <f>IMAGE("https://www.abdoslifesciences.com/wp-content/uploads/Abdos_Delhi2-107_P10911-to-P10918-2.png",1)</f>
        <v/>
      </c>
      <c r="F17" s="906" t="s">
        <v>3367</v>
      </c>
      <c r="G17" s="904">
        <v>117.0</v>
      </c>
      <c r="H17" s="805" t="str">
        <f>IMAGE("https://m.media-amazon.com/images/I/31b1KCUwqyL.jpg", 1)</f>
        <v/>
      </c>
      <c r="I17" s="906" t="s">
        <v>3368</v>
      </c>
      <c r="J17" s="904">
        <v>316.0</v>
      </c>
      <c r="K17" s="911" t="str">
        <f>IMAGE("https://ravimachines.com/wp-content/uploads/2016/07/full_13.jpg",1)</f>
        <v/>
      </c>
      <c r="L17" s="906" t="s">
        <v>3369</v>
      </c>
    </row>
    <row r="18" ht="152.25" customHeight="1">
      <c r="A18" s="904">
        <v>18.0</v>
      </c>
      <c r="B18" s="913" t="str">
        <f>IMAGE("https://i0.wp.com/www.circuituncle.com/wp-content/uploads/2019/10/mg90s.png?fit=1001%2C1001&amp;ssl=1",1)</f>
        <v/>
      </c>
      <c r="C18" s="906" t="s">
        <v>3370</v>
      </c>
      <c r="D18" s="904">
        <v>217.0</v>
      </c>
      <c r="E18" s="919" t="str">
        <f>IMAGE("https://robu.in/wp-content/uploads/2017/05/LDR-module-1.png",1)</f>
        <v/>
      </c>
      <c r="F18" s="906" t="s">
        <v>3371</v>
      </c>
      <c r="G18" s="904">
        <v>118.0</v>
      </c>
      <c r="H18" s="805" t="str">
        <f>IMAGE("https://5.imimg.com/data5/SB/TW/SA/SELLER-91497159/glass-beaker-500x500.jpg",1)</f>
        <v/>
      </c>
      <c r="I18" s="906" t="s">
        <v>3372</v>
      </c>
      <c r="J18" s="904">
        <v>317.0</v>
      </c>
      <c r="K18" s="911" t="str">
        <f>IMAGE("https://m.media-amazon.com/images/I/41GBeFsg3kL.jpg",1)</f>
        <v/>
      </c>
      <c r="L18" s="906" t="s">
        <v>3373</v>
      </c>
    </row>
    <row r="19" ht="152.25" customHeight="1">
      <c r="A19" s="904">
        <v>19.0</v>
      </c>
      <c r="B19" s="913" t="str">
        <f>IMAGE("https://robu.in/wp-content/uploads/2017/04/Arduino_NANO_expansion1.jpg",1)</f>
        <v/>
      </c>
      <c r="C19" s="906" t="s">
        <v>3374</v>
      </c>
      <c r="D19" s="904">
        <v>218.0</v>
      </c>
      <c r="E19" s="912" t="str">
        <f>IMAGE("https://www.olelectronics.in/wp-content/uploads/Miniature-Vibration-Motor.png",1)</f>
        <v/>
      </c>
      <c r="F19" s="906" t="s">
        <v>3375</v>
      </c>
      <c r="G19" s="904">
        <v>119.0</v>
      </c>
      <c r="H19" s="911" t="str">
        <f>IMAGE("https://www.faithfulltools.com/images/xxlarge/FAIRULE150SS.jpg",1)</f>
        <v/>
      </c>
      <c r="I19" s="906" t="s">
        <v>3376</v>
      </c>
      <c r="J19" s="904">
        <v>318.0</v>
      </c>
      <c r="K19" s="805" t="str">
        <f>IMAGE("https://www.abdoslifesciences.com/wp-content/uploads/p10.jpg", 1)</f>
        <v/>
      </c>
      <c r="L19" s="906" t="s">
        <v>3377</v>
      </c>
    </row>
    <row r="20" ht="152.25" customHeight="1">
      <c r="A20" s="904">
        <v>20.0</v>
      </c>
      <c r="B20" s="913" t="str">
        <f>IMAGE("https://robu.in/wp-content/uploads/2015/11/SKU-6337.png",1)</f>
        <v/>
      </c>
      <c r="C20" s="906" t="s">
        <v>3378</v>
      </c>
      <c r="D20" s="904">
        <v>219.0</v>
      </c>
      <c r="E20" s="920" t="str">
        <f>IMAGE("https://5.imimg.com/data5/SELLER/Default/2022/9/HX/YZ/GJ/43948449/micro-sd-card-adapter-with-level-shifter-500x500.png",1)</f>
        <v/>
      </c>
      <c r="F20" s="906" t="s">
        <v>3379</v>
      </c>
      <c r="G20" s="904">
        <v>120.0</v>
      </c>
      <c r="H20" s="911" t="str">
        <f>IMAGE("https://www.shaanstationery.com/image/cache/catalog/kangaro/kangaro-stapler-no-10-corner-view-1000x1000.jpg",1)</f>
        <v/>
      </c>
      <c r="I20" s="906" t="s">
        <v>3380</v>
      </c>
      <c r="J20" s="904">
        <v>319.0</v>
      </c>
      <c r="K20" s="911" t="str">
        <f>IMAGE("https://cdn.moglix.com/p/pyKW0TKgEsJZd-xxlarge.jpg",1)</f>
        <v/>
      </c>
      <c r="L20" s="906" t="s">
        <v>3381</v>
      </c>
    </row>
    <row r="21" ht="152.25" customHeight="1">
      <c r="A21" s="904">
        <v>21.0</v>
      </c>
      <c r="B21" s="913" t="str">
        <f>IMAGE("https://robu.in/wp-content/uploads/2017/10/Uno-R3-CH340G-ATmega328p-Development-Board-Compatible-with-Arduino2.png",1)</f>
        <v/>
      </c>
      <c r="C21" s="906" t="s">
        <v>3382</v>
      </c>
      <c r="D21" s="904">
        <v>220.0</v>
      </c>
      <c r="E21" s="912" t="str">
        <f>IMAGE("https://5.imimg.com/data5/SELLER/Default/2023/2/OP/GV/HH/182244990/water-pump-module-1000x1000.jpg",1)</f>
        <v/>
      </c>
      <c r="F21" s="906" t="s">
        <v>3383</v>
      </c>
      <c r="G21" s="904">
        <v>121.0</v>
      </c>
      <c r="H21" s="911" t="str">
        <f>IMAGE("https://hydetools.com/wp-content/uploads/2019/09/42046b.jpg",1)</f>
        <v/>
      </c>
      <c r="I21" s="906" t="s">
        <v>3384</v>
      </c>
      <c r="J21" s="904">
        <v>320.0</v>
      </c>
      <c r="K21" s="913" t="str">
        <f>IMAGE("https://robu.in/wp-content/uploads/2017/04/Alligator-Clips-Electrical-DIY-Test-Leads-10pcs-For-Test-Leads-Double-ended-Crocodile-Clips-Roach-Clip-2.jpg",1)</f>
        <v/>
      </c>
      <c r="L21" s="906" t="s">
        <v>3385</v>
      </c>
    </row>
    <row r="22" ht="152.25" customHeight="1">
      <c r="A22" s="904">
        <v>22.0</v>
      </c>
      <c r="B22" s="913" t="str">
        <f>IMAGE("https://5.imimg.com/data5/VS/XC/MY-4167793/arduino-nano-500x500.jpg",1)</f>
        <v/>
      </c>
      <c r="C22" s="906" t="s">
        <v>3386</v>
      </c>
      <c r="D22" s="904">
        <v>221.0</v>
      </c>
      <c r="E22" s="920" t="str">
        <f>IMAGE("https://cdn.shopify.com/s/files/1/0088/0056/7392/products/Sound_Detector_Module.jpg?v=1566646449",1)</f>
        <v/>
      </c>
      <c r="F22" s="906" t="s">
        <v>3387</v>
      </c>
      <c r="G22" s="904">
        <v>122.0</v>
      </c>
      <c r="H22" s="911" t="str">
        <f>IMAGE("https://rtcexplore.com/wp-content/uploads/2019/10/munix-scissors-sl1173n-185mm-authorized-distributors-wholesaler-renaissance-bulk-order-shop-buy-online-supplier-best-lowest-cheapest-factory-price-dealers-kerala-india.jpg",1)</f>
        <v/>
      </c>
      <c r="I22" s="906" t="s">
        <v>3388</v>
      </c>
      <c r="J22" s="904">
        <v>321.0</v>
      </c>
      <c r="K22" s="911" t="str">
        <f>IMAGE("https://5.imimg.com/data5/JR/LF/GK/SELLER-30390418/hacksaw-500x500.png",1)</f>
        <v/>
      </c>
      <c r="L22" s="906" t="s">
        <v>3389</v>
      </c>
    </row>
    <row r="23" ht="152.25" customHeight="1">
      <c r="A23" s="904">
        <v>23.0</v>
      </c>
      <c r="B23" s="915" t="str">
        <f>IMAGE("https://5.imimg.com/data5/SELLER/Default/2020/9/EF/FR/SW/13763930/fevicryte-acrylic-colors-500x500.jpg",1)</f>
        <v/>
      </c>
      <c r="C23" s="906" t="s">
        <v>3390</v>
      </c>
      <c r="D23" s="904">
        <v>222.0</v>
      </c>
      <c r="E23" s="920" t="str">
        <f>IMAGE("https://robu.in/wp-content/uploads/2016/03/12251.jpg",1)</f>
        <v/>
      </c>
      <c r="F23" s="906" t="s">
        <v>3391</v>
      </c>
      <c r="G23" s="904">
        <v>123.0</v>
      </c>
      <c r="H23" s="911" t="str">
        <f>IMAGE("https://5.imimg.com/data5/SELLER/Default/2020/10/KC/AV/BY/25174136/150b-cutter-stripper-250x250.jpg",1)</f>
        <v/>
      </c>
      <c r="I23" s="906" t="s">
        <v>3392</v>
      </c>
      <c r="J23" s="904">
        <v>322.0</v>
      </c>
      <c r="K23" s="915" t="str">
        <f>IMAGE("https://5.imimg.com/data5/BN/FC/MY-25588345/omega-cell-tape-dispenser-500x500.jpg",1)</f>
        <v/>
      </c>
      <c r="L23" s="906" t="s">
        <v>3393</v>
      </c>
    </row>
    <row r="24" ht="152.25" customHeight="1">
      <c r="A24" s="904">
        <v>24.0</v>
      </c>
      <c r="B24" s="921" t="str">
        <f>IMAGE("https://5.imimg.com/data5/SELLER/Default/2020/10/MN/BG/IF/24066098/sunlu-sl-300-3d-pen-green-500x500.jpg",1)</f>
        <v/>
      </c>
      <c r="C24" s="906" t="s">
        <v>3394</v>
      </c>
      <c r="D24" s="904">
        <v>223.0</v>
      </c>
      <c r="E24" s="909" t="str">
        <f>IMAGE("https://5.imimg.com/data5/SELLER/Default/2021/7/IF/DT/PV/116258883/microscope-cover-glass-250x250.JPG",1)</f>
        <v/>
      </c>
      <c r="F24" s="906" t="s">
        <v>3395</v>
      </c>
      <c r="G24" s="904">
        <v>124.0</v>
      </c>
      <c r="H24" s="911" t="str">
        <f>IMAGE("https://m.media-amazon.com/images/I/61O+7azby+L.jpg",1)</f>
        <v/>
      </c>
      <c r="I24" s="906" t="s">
        <v>3396</v>
      </c>
      <c r="J24" s="904">
        <v>323.0</v>
      </c>
      <c r="K24" s="909" t="str">
        <f>IMAGE("https://m.media-amazon.com/images/I/51+vdFGMMML._SL1001_.jpg",1)</f>
        <v/>
      </c>
      <c r="L24" s="906" t="s">
        <v>3397</v>
      </c>
    </row>
    <row r="25" ht="152.25" customHeight="1">
      <c r="A25" s="904">
        <v>25.0</v>
      </c>
      <c r="B25" s="920" t="str">
        <f>IMAGE("https://robu.in/wp-content/uploads/2016/02/617hpF6cJbL._SL1000_.jpg",1)</f>
        <v/>
      </c>
      <c r="C25" s="906" t="s">
        <v>3398</v>
      </c>
      <c r="D25" s="904">
        <v>224.0</v>
      </c>
      <c r="E25" s="915" t="str">
        <f>IMAGE("https://5.imimg.com/data5/YG/CD/MY-4112616/transparent-tape-500x500.jpg",1)</f>
        <v/>
      </c>
      <c r="F25" s="906" t="s">
        <v>3399</v>
      </c>
      <c r="G25" s="904">
        <v>125.0</v>
      </c>
      <c r="H25" s="912" t="str">
        <f>IMAGE("https://aryabot.in/wp-content/uploads/2023/10/castor-wheel-big-550x550w.webp",1)</f>
        <v/>
      </c>
      <c r="I25" s="906" t="s">
        <v>3400</v>
      </c>
      <c r="J25" s="904">
        <v>324.0</v>
      </c>
      <c r="K25" s="913" t="str">
        <f>IMAGE("https://m.media-amazon.com/images/W/MEDIAX_792452-T2/images/I/417I5BCQPSL.jpg",1)</f>
        <v/>
      </c>
      <c r="L25" s="906" t="s">
        <v>3401</v>
      </c>
    </row>
    <row r="26" ht="152.25" customHeight="1">
      <c r="A26" s="904">
        <v>26.0</v>
      </c>
      <c r="B26" s="913" t="str">
        <f>IMAGE("https://m.media-amazon.com/images/W/MEDIAX_792452-T2/images/I/61xb9SMx4AL._SL1440_.jpg",1)</f>
        <v/>
      </c>
      <c r="C26" s="906" t="s">
        <v>3402</v>
      </c>
      <c r="D26" s="904">
        <v>225.0</v>
      </c>
      <c r="E26" s="915" t="str">
        <f>IMAGE("https://m.media-amazon.com/images/I/61JiUrBk2-L._SL1082_.jpg",1)</f>
        <v/>
      </c>
      <c r="F26" s="906" t="s">
        <v>3403</v>
      </c>
      <c r="G26" s="904">
        <v>126.0</v>
      </c>
      <c r="H26" s="912" t="str">
        <f>IMAGE("https://5.imimg.com/data5/FI/FV/DZ/SELLER-22718366/27-mm-3p-piezoelectric-buzzer-plate-500x500.jpg",1)</f>
        <v/>
      </c>
      <c r="I26" s="906" t="s">
        <v>3404</v>
      </c>
      <c r="J26" s="904">
        <v>325.0</v>
      </c>
      <c r="K26" s="913" t="str">
        <f>IMAGE("https://m.media-amazon.com/images/I/61zJ0n1EqGS._AC_SL1500_.jpg",1)</f>
        <v/>
      </c>
      <c r="L26" s="906" t="s">
        <v>3405</v>
      </c>
    </row>
    <row r="27" ht="152.25" customHeight="1">
      <c r="A27" s="904">
        <v>27.0</v>
      </c>
      <c r="B27" s="914" t="str">
        <f>IMAGE("https://shopmakerq.com/wp-content/uploads/2021/01/flower-land-ready-to-post-68.jpg",1)</f>
        <v/>
      </c>
      <c r="C27" s="906" t="s">
        <v>3406</v>
      </c>
      <c r="D27" s="904">
        <v>226.0</v>
      </c>
      <c r="E27" s="915" t="str">
        <f>IMAGE("https://m.media-amazon.com/images/I/51JAsOuirxL._SL1000_.jpg",1)</f>
        <v/>
      </c>
      <c r="F27" s="906" t="s">
        <v>3407</v>
      </c>
      <c r="G27" s="904">
        <v>127.0</v>
      </c>
      <c r="H27" s="912" t="str">
        <f>IMAGE("https://www.tomsonelectronics.com/cdn/shop/products/40X1MALERAI_2048x2048.jpg?v=1602835171",1)</f>
        <v/>
      </c>
      <c r="I27" s="906" t="s">
        <v>3408</v>
      </c>
      <c r="J27" s="904">
        <v>326.0</v>
      </c>
      <c r="K27" s="913" t="str">
        <f>IMAGE("https://rukminim2.flixcart.com/image/832/832/k8t3jbk0/cable-sleeve/j/c/q/black-2mm-polyolefin-heat-shrink-tube-sleeve-for-wrap-60-meter-original-imafqq3y2g2v9vzz.jpeg?q=70",1)</f>
        <v/>
      </c>
      <c r="L27" s="906" t="s">
        <v>3409</v>
      </c>
    </row>
    <row r="28" ht="152.25" customHeight="1">
      <c r="A28" s="904">
        <v>28.0</v>
      </c>
      <c r="B28" s="913" t="str">
        <f>IMAGE("https://makerselectronics.com/wp-content/uploads/2020/07/ESP32-CAM-2.jpg",1)</f>
        <v/>
      </c>
      <c r="C28" s="906" t="s">
        <v>3410</v>
      </c>
      <c r="D28" s="904">
        <v>227.0</v>
      </c>
      <c r="E28" s="915" t="str">
        <f>IMAGE("https://megahardwarett.com/wp-content/uploads/2022/03/71TQZaRi6yL._AC_SX425_.jpg",1)</f>
        <v/>
      </c>
      <c r="F28" s="906" t="s">
        <v>3411</v>
      </c>
      <c r="G28" s="904">
        <v>128.0</v>
      </c>
      <c r="H28" s="912" t="str">
        <f>IMAGE("https://rukminim2.flixcart.com/image/832/832/ks243gw0/electronic-hobby-kit/x/f/2/2mm-pitch-female-burg-strip-40-pin-5-pcs-prime-intact-original-imag5pxpqjxcdsgh.jpeg?q=70",1)</f>
        <v/>
      </c>
      <c r="I28" s="906" t="s">
        <v>3412</v>
      </c>
      <c r="J28" s="904">
        <v>327.0</v>
      </c>
      <c r="K28" s="913" t="str">
        <f>IMAGE("https://m.media-amazon.com/images/I/61zJ0n1EqGS._AC_SL1500_.jpg",1)</f>
        <v/>
      </c>
      <c r="L28" s="906" t="s">
        <v>3413</v>
      </c>
    </row>
    <row r="29" ht="152.25" customHeight="1">
      <c r="A29" s="904">
        <v>29.0</v>
      </c>
      <c r="B29" s="911" t="str">
        <f>IMAGE("https://cdn.shopify.com/s/files/1/0088/0056/7392/products/71GahpQFYhL._SL1500_1024x.jpg?v=1634034762",1)</f>
        <v/>
      </c>
      <c r="C29" s="906" t="s">
        <v>3414</v>
      </c>
      <c r="D29" s="904">
        <v>228.0</v>
      </c>
      <c r="E29" s="915" t="str">
        <f>IMAGE("https://m.media-amazon.com/images/I/61gsXe9wSqL._AC_SL1001_.jpg",1)</f>
        <v/>
      </c>
      <c r="F29" s="906" t="s">
        <v>3415</v>
      </c>
      <c r="G29" s="904">
        <v>129.0</v>
      </c>
      <c r="H29" s="914" t="str">
        <f>IMAGE("https://m.media-amazon.com/images/W/MEDIAX_792452-T2/images/I/61gvV3Wc-NL._SL1024_.jpg")</f>
        <v/>
      </c>
      <c r="I29" s="906" t="s">
        <v>3416</v>
      </c>
      <c r="J29" s="904">
        <v>328.0</v>
      </c>
      <c r="K29" s="805" t="str">
        <f>IMAGE("https://m.media-amazon.com/images/I/A1PFWcAysAL.jpg", 1)</f>
        <v/>
      </c>
      <c r="L29" s="906" t="s">
        <v>3417</v>
      </c>
    </row>
    <row r="30" ht="152.25" customHeight="1">
      <c r="A30" s="904">
        <v>30.0</v>
      </c>
      <c r="B30" s="913" t="str">
        <f>IMAGE("https://m.media-amazon.com/images/W/MEDIAX_792452-T2/images/I/61t+lNeiChL._SL1443_.jpg",1)</f>
        <v/>
      </c>
      <c r="C30" s="906" t="s">
        <v>3418</v>
      </c>
      <c r="D30" s="904">
        <v>229.0</v>
      </c>
      <c r="E30" s="912" t="str">
        <f>IMAGE("https://makerbazar.in/cdn/shop/products/dcmalejackwithwire2_600x.jpg?v=1642675074",1)</f>
        <v/>
      </c>
      <c r="F30" s="906" t="s">
        <v>3419</v>
      </c>
      <c r="G30" s="904">
        <v>130.0</v>
      </c>
      <c r="H30" s="914" t="str">
        <f>IMAGE("https://in.element14.com/productimages/large/en_GB/IN07444-40.jpg",1)</f>
        <v/>
      </c>
      <c r="I30" s="906" t="s">
        <v>3420</v>
      </c>
      <c r="J30" s="904">
        <v>329.0</v>
      </c>
      <c r="K30" s="805" t="str">
        <f>IMAGE("https://5.imimg.com/data5/SELLER/Default/2022/10/RF/ME/PW/7444604/12x100mm-glass-test-tube-500x500.jpg", 1)</f>
        <v/>
      </c>
      <c r="L30" s="906" t="s">
        <v>3421</v>
      </c>
    </row>
    <row r="31" ht="152.25" customHeight="1">
      <c r="A31" s="904">
        <v>31.0</v>
      </c>
      <c r="B31" s="913" t="str">
        <f>IMAGE("https://cdn.shopify.com/s/files/1/0088/0056/7392/products/Stepper_motor_with_Driver_board.jpg?v=1552579276",1)</f>
        <v/>
      </c>
      <c r="C31" s="906" t="s">
        <v>3422</v>
      </c>
      <c r="D31" s="904">
        <v>230.0</v>
      </c>
      <c r="E31" s="912" t="str">
        <f>IMAGE("https://m.media-amazon.com/images/I/31ALofIyvBL._SX466_.jpg",1)</f>
        <v/>
      </c>
      <c r="F31" s="906" t="s">
        <v>3423</v>
      </c>
      <c r="G31" s="904">
        <v>131.0</v>
      </c>
      <c r="H31" s="919" t="str">
        <f>IMAGE("https://robu.in/wp-content/uploads/2019/05/MAX30100-Pulse-Oximeter-Heart-Rate-Sensor-Module-2.jpg",1)</f>
        <v/>
      </c>
      <c r="I31" s="906" t="s">
        <v>3424</v>
      </c>
      <c r="J31" s="904">
        <v>330.0</v>
      </c>
      <c r="K31" s="915" t="str">
        <f>IMAGE("https://m.media-amazon.com/images/I/91UgeU77qnL._AC_UF894,1000_QL80_.jpg",1)</f>
        <v/>
      </c>
      <c r="L31" s="906" t="s">
        <v>3425</v>
      </c>
    </row>
    <row r="32" ht="152.25" customHeight="1">
      <c r="A32" s="904">
        <v>32.0</v>
      </c>
      <c r="B32" s="913" t="str">
        <f>IMAGE("https://images-cdn.ubuy.co.in/6578382306deda07ed788ca4-rechargeable-aa-batteries-aa.jpg",1)</f>
        <v/>
      </c>
      <c r="C32" s="906" t="s">
        <v>3426</v>
      </c>
      <c r="D32" s="904">
        <v>231.0</v>
      </c>
      <c r="E32" s="918" t="str">
        <f>IMAGE("https://i0.wp.com/roboticsdna.in/wp-content/uploads/2020/11/IRON-TIP-1.png?fit=1000%2C1000&amp;ssl=1",1)</f>
        <v/>
      </c>
      <c r="F32" s="906" t="s">
        <v>3427</v>
      </c>
      <c r="G32" s="904">
        <v>132.0</v>
      </c>
      <c r="H32" s="919" t="str">
        <f>IMAGE("https://m.media-amazon.com/images/I/41Y-5b4TQcL.jpg",1)</f>
        <v/>
      </c>
      <c r="I32" s="906" t="s">
        <v>3428</v>
      </c>
      <c r="J32" s="904">
        <v>331.0</v>
      </c>
      <c r="K32" s="915" t="str">
        <f>IMAGE("https://m.media-amazon.com/images/I/21wXjA1iP5L.jpg",1)</f>
        <v/>
      </c>
      <c r="L32" s="906" t="s">
        <v>3429</v>
      </c>
    </row>
    <row r="33" ht="152.25" customHeight="1">
      <c r="A33" s="904">
        <v>33.0</v>
      </c>
      <c r="B33" s="909" t="str">
        <f>IMAGE("https://5.imimg.com/data5/SELLER/Default/2021/3/XX/WV/MR/4080247/lab-sinks-500x500.jpeg",1)</f>
        <v/>
      </c>
      <c r="C33" s="906" t="s">
        <v>3430</v>
      </c>
      <c r="D33" s="904">
        <v>232.0</v>
      </c>
      <c r="E33" s="918" t="str">
        <f>IMAGE("https://www.toolworld.in/storage/media/product/1656317774.jpg",1)</f>
        <v/>
      </c>
      <c r="F33" s="906" t="s">
        <v>3431</v>
      </c>
      <c r="G33" s="904">
        <v>133.0</v>
      </c>
      <c r="H33" s="913" t="str">
        <f>IMAGE("https://robu.in/wp-content/uploads/2016/04/61nEdk-NxSL._SY355_.jpg",1)</f>
        <v/>
      </c>
      <c r="I33" s="906" t="s">
        <v>3432</v>
      </c>
      <c r="J33" s="904">
        <v>332.0</v>
      </c>
      <c r="K33" s="915" t="str">
        <f>IMAGE("https://5.imimg.com/data5/CP/IB/ZZ/SELLER-22769189/tissue-paper-boxes-500x500.jpg",1)</f>
        <v/>
      </c>
      <c r="L33" s="906" t="s">
        <v>3433</v>
      </c>
    </row>
    <row r="34" ht="152.25" customHeight="1">
      <c r="A34" s="904">
        <v>34.0</v>
      </c>
      <c r="B34" s="913" t="str">
        <f>IMAGE("https://robu.in/wp-content/uploads/2017/11/mg995-high-speed-digital-metal-gear-2bb-torque-rc-for-servo-hpi-savage-xl-2.jpg",1)</f>
        <v/>
      </c>
      <c r="C34" s="906" t="s">
        <v>3434</v>
      </c>
      <c r="D34" s="904">
        <v>233.0</v>
      </c>
      <c r="E34" s="913" t="str">
        <f>IMAGE("https://rukminim2.flixcart.com/image/832/832/jwfa5jk0/pendrive/pendrive/z/f/p/sandisk-sdcz50-128g-i35-original-imafh3xkevktvq4w.jpeg?q=70",1)</f>
        <v/>
      </c>
      <c r="F34" s="906" t="s">
        <v>3435</v>
      </c>
      <c r="G34" s="904">
        <v>134.0</v>
      </c>
      <c r="H34" s="915" t="str">
        <f>IMAGE("https://encrypted-tbn0.gstatic.com/=IMAGEs?q=tbn:ANd9GcTv3YU2gmM00qoI79XpKhq-dV1wM5aPXrLsmrVwQWwEda0tuTarN0ncQ0DMg_JUYk4IBe4&amp;usqp=CAU",1)</f>
        <v/>
      </c>
      <c r="I34" s="906" t="s">
        <v>3436</v>
      </c>
      <c r="J34" s="904">
        <v>333.0</v>
      </c>
      <c r="K34" s="912" t="str">
        <f>IMAGE("https://i0.wp.com/www.rytronics.in/wp-content/uploads/2021/09/9v-batter-connector-snap-connector02.jpg?fit=1000%2C1000&amp;ssl=1",1)</f>
        <v/>
      </c>
      <c r="L34" s="906" t="s">
        <v>3437</v>
      </c>
    </row>
    <row r="35" ht="152.25" customHeight="1">
      <c r="A35" s="904">
        <v>35.0</v>
      </c>
      <c r="B35" s="913" t="str">
        <f>IMAGE("https://m.media-amazon.com/images/I/61rcnccrByL._SL1238_.jpg",1)</f>
        <v/>
      </c>
      <c r="C35" s="906" t="s">
        <v>3438</v>
      </c>
      <c r="D35" s="904">
        <v>234.0</v>
      </c>
      <c r="E35" s="913" t="str">
        <f t="shared" ref="E35:E37" si="2">IMAGE("https://cdn.shopify.com/s/files/1/0527/2692/3444/products/M-M10CM_800x.jpg?v=1620840829",1)</f>
        <v/>
      </c>
      <c r="F35" s="906" t="s">
        <v>3439</v>
      </c>
      <c r="G35" s="904">
        <v>135.0</v>
      </c>
      <c r="H35" s="913" t="str">
        <f>IMAGE("https://5.imimg.com/data5/SR/JZ/RD/SELLER-80355495/large-breadboard-800-points--500x500.jpg",1)</f>
        <v/>
      </c>
      <c r="I35" s="906" t="s">
        <v>3440</v>
      </c>
      <c r="J35" s="904">
        <v>334.0</v>
      </c>
      <c r="K35" s="917" t="str">
        <f>IMAGE("https://m.media-amazon.com/images/W/MEDIAX_792452-T2/images/I/61z4uqZdmPL._AC_UF1000,1000_QL80_.jpg",1)</f>
        <v/>
      </c>
      <c r="L35" s="906" t="s">
        <v>3441</v>
      </c>
    </row>
    <row r="36" ht="152.25" customHeight="1">
      <c r="A36" s="904">
        <v>36.0</v>
      </c>
      <c r="B36" s="913" t="str">
        <f>IMAGE("https://www.atel-electronics.eu/pic_cache/10/06158.jpg",1)</f>
        <v/>
      </c>
      <c r="C36" s="906" t="s">
        <v>3442</v>
      </c>
      <c r="D36" s="904">
        <v>235.0</v>
      </c>
      <c r="E36" s="913" t="str">
        <f t="shared" si="2"/>
        <v/>
      </c>
      <c r="F36" s="906" t="s">
        <v>3443</v>
      </c>
      <c r="G36" s="904">
        <v>136.0</v>
      </c>
      <c r="H36" s="912" t="str">
        <f>IMAGE("https://robu.in/wp-content/uploads/2022/06/510c1Z93PDL._SX679_.jpg",1)</f>
        <v/>
      </c>
      <c r="I36" s="906" t="s">
        <v>3444</v>
      </c>
      <c r="J36" s="904">
        <v>335.0</v>
      </c>
      <c r="K36" s="909" t="str">
        <f>IMAGE("https://www.jiomart.com/images/product/original/rvlv8pifi3/abgil-borosilicate-glass-measuring-cylinder-graduated-100ml-capacity-one-unit-in-a-box-product-images-orvlv8pifi3-p601441168-1-202305130212.jpg?im=Resize=(420,420)",1)</f>
        <v/>
      </c>
      <c r="L36" s="906" t="s">
        <v>3445</v>
      </c>
    </row>
    <row r="37" ht="152.25" customHeight="1">
      <c r="A37" s="904">
        <v>37.0</v>
      </c>
      <c r="B37" s="913" t="str">
        <f>IMAGE("https://store.fut-electronics.com/cdn/shop/products/OLED_blue_1024x1024.jpg?v=1598634954")</f>
        <v/>
      </c>
      <c r="C37" s="906" t="s">
        <v>3446</v>
      </c>
      <c r="D37" s="904">
        <v>236.0</v>
      </c>
      <c r="E37" s="913" t="str">
        <f t="shared" si="2"/>
        <v/>
      </c>
      <c r="F37" s="906" t="s">
        <v>3447</v>
      </c>
      <c r="G37" s="904">
        <v>137.0</v>
      </c>
      <c r="H37" s="913" t="str">
        <f>IMAGE("https://5.imimg.com/data5/DJ/PF/TV/SELLER-95692783/bo-wheel-500x500.jpg",1)</f>
        <v/>
      </c>
      <c r="I37" s="906" t="s">
        <v>3448</v>
      </c>
      <c r="J37" s="904">
        <v>336.0</v>
      </c>
      <c r="K37" s="911" t="str">
        <f>IMAGE("https://m.media-amazon.com/images/I/71qyUXJ5i6L._AC_UF1000,1000_QL80_.jpg",1)</f>
        <v/>
      </c>
      <c r="L37" s="906" t="s">
        <v>3449</v>
      </c>
    </row>
    <row r="38" ht="152.25" customHeight="1">
      <c r="A38" s="904">
        <v>38.0</v>
      </c>
      <c r="B38" s="918" t="str">
        <f>IMAGE("https://robu.in/wp-content/uploads/2015/10/Soldron-25-Watt-Iron-Soldering-Gun-5.jpg")</f>
        <v/>
      </c>
      <c r="C38" s="906" t="s">
        <v>3450</v>
      </c>
      <c r="D38" s="904">
        <v>237.0</v>
      </c>
      <c r="E38" s="919" t="str">
        <f>IMAGE("https://m.media-amazon.com/images/W/MEDIAX_792452-T2/images/I/51cWZAAMiWL._SL1000_.jpg",1)</f>
        <v/>
      </c>
      <c r="F38" s="906" t="s">
        <v>3451</v>
      </c>
      <c r="G38" s="904">
        <v>138.0</v>
      </c>
      <c r="H38" s="919" t="str">
        <f>IMAGE("https://m.media-amazon.com/images/W/MEDIAX_792452-T2/images/I/7158I82c4bL._SL1500_.jpg",1)</f>
        <v/>
      </c>
      <c r="I38" s="906" t="s">
        <v>3452</v>
      </c>
      <c r="J38" s="904">
        <v>337.0</v>
      </c>
      <c r="K38" s="911" t="str">
        <f>IMAGE("https://images.jdmagicbox.com/quickquotes/images_main/plier-381885296-5n4zf.jpg",1)</f>
        <v/>
      </c>
      <c r="L38" s="906" t="s">
        <v>3453</v>
      </c>
    </row>
    <row r="39" ht="152.25" customHeight="1">
      <c r="A39" s="904">
        <v>39.0</v>
      </c>
      <c r="B39" s="920" t="str">
        <f>IMAGE("https://encrypted-tbn0.gstatic.com/images?q=tbn:ANd9GcQ9HdcUbkhENGQnNmIni640zFk33IAUdUx_x0uluq_AFf1Hud04FBhhZQFZXM2xrHw_7W4&amp;usqp=CAU",1)</f>
        <v/>
      </c>
      <c r="C39" s="906" t="s">
        <v>3454</v>
      </c>
      <c r="D39" s="904">
        <v>238.0</v>
      </c>
      <c r="E39" s="919" t="str">
        <f>IMAGE("https://m.media-amazon.com/images/W/MEDIAX_792452-T2/images/I/61wbYlIdx0L._SL1500_.jpg",1)</f>
        <v/>
      </c>
      <c r="F39" s="906" t="s">
        <v>3455</v>
      </c>
      <c r="G39" s="904">
        <v>139.0</v>
      </c>
      <c r="H39" s="908" t="str">
        <f>IMAGE("https://m.media-amazon.com/images/I/61UHX6mp+wL._AC_UF894,1000_QL80_.jpg",1)</f>
        <v/>
      </c>
      <c r="I39" s="906" t="s">
        <v>3456</v>
      </c>
      <c r="J39" s="904">
        <v>338.0</v>
      </c>
      <c r="K39" s="911" t="str">
        <f>IMAGE("https://in.misumi-ec.com/linked/material/fs/FUJ1/PHOTO/223000817171_001.jpg?$product_main$",1)</f>
        <v/>
      </c>
      <c r="L39" s="906" t="s">
        <v>3457</v>
      </c>
    </row>
    <row r="40" ht="152.25" customHeight="1">
      <c r="A40" s="904">
        <v>40.0</v>
      </c>
      <c r="B40" s="920" t="str">
        <f>IMAGE("https://robu.in/wp-content/uploads/2016/03/12251.jpg",1)</f>
        <v/>
      </c>
      <c r="C40" s="906" t="s">
        <v>3458</v>
      </c>
      <c r="D40" s="904">
        <v>239.0</v>
      </c>
      <c r="E40" s="915" t="str">
        <f>IMAGE("https://5.imimg.com/data5/NA/SV/MA/SELLER-5806248/transparent-ohp-sheet-1000x1000.jpg",1)</f>
        <v/>
      </c>
      <c r="F40" s="906" t="s">
        <v>3459</v>
      </c>
      <c r="G40" s="904">
        <v>140.0</v>
      </c>
      <c r="H40" s="912" t="str">
        <f>IMAGE("https://m.media-amazon.com/images/I/51BByYhTjOL._SX425_.jpg",1)</f>
        <v/>
      </c>
      <c r="I40" s="906" t="s">
        <v>3460</v>
      </c>
      <c r="J40" s="904">
        <v>339.0</v>
      </c>
      <c r="K40" s="911" t="str">
        <f>IMAGE("https://imgaz.staticbg.com/thumb/large/oaupload/ser1/banggood/images/7C/1F/5589ac29-19a8-4258-b248-7a7bd3e6595a.JPG",1)</f>
        <v/>
      </c>
      <c r="L40" s="906" t="s">
        <v>3461</v>
      </c>
    </row>
    <row r="41" ht="152.25" customHeight="1">
      <c r="A41" s="904">
        <v>41.0</v>
      </c>
      <c r="B41" s="920" t="str">
        <f>IMAGE("https://m.media-amazon.com/images/W/MEDIAX_792452-T2/images/I/61e+2rew8OL._SL1011_.jpg",1)</f>
        <v/>
      </c>
      <c r="C41" s="906" t="s">
        <v>3462</v>
      </c>
      <c r="D41" s="904">
        <v>240.0</v>
      </c>
      <c r="E41" s="909" t="str">
        <f>IMAGE("https://m.media-amazon.com/images/W/MEDIAX_792452-T2/images/I/71veIL4opPL.jpg",1)</f>
        <v/>
      </c>
      <c r="F41" s="906" t="s">
        <v>3463</v>
      </c>
      <c r="G41" s="904">
        <v>141.0</v>
      </c>
      <c r="H41" s="913" t="str">
        <f>IMAGE("https://probots.co.in/pub/media/catalog/product/cache/d8ddd0f9b0cd008b57085cd218b48832/4/-/4-x-1.5v-aa-battery-holder01.jpg",1)</f>
        <v/>
      </c>
      <c r="I41" s="906" t="s">
        <v>3464</v>
      </c>
      <c r="J41" s="904">
        <v>340.0</v>
      </c>
      <c r="K41" s="911" t="str">
        <f>IMAGE("https://cdn.shopify.com/s/files/1/0276/7382/1286/products/57_1a2e82a1-0306-49dc-8a29-0c0b2110ddb8_600x.jpg?v=1632245164",1)</f>
        <v/>
      </c>
      <c r="L41" s="906" t="s">
        <v>3465</v>
      </c>
    </row>
    <row r="42" ht="152.25" customHeight="1">
      <c r="A42" s="904">
        <v>42.0</v>
      </c>
      <c r="B42" s="913" t="str">
        <f>IMAGE("https://5.imimg.com/data5/SELLER/Default/2021/7/XA/OZ/BW/6610292/9v-power-plus-nimh-rechargeable-battery-500x500.jpg",1)</f>
        <v/>
      </c>
      <c r="C42" s="906" t="s">
        <v>3466</v>
      </c>
      <c r="D42" s="904">
        <v>241.0</v>
      </c>
      <c r="E42" s="911" t="str">
        <f>IMAGE("https://m.media-amazon.com/images/I/51OTKanSUXL._SL1024_.jpg",1)</f>
        <v/>
      </c>
      <c r="F42" s="906" t="s">
        <v>3467</v>
      </c>
      <c r="G42" s="904">
        <v>142.0</v>
      </c>
      <c r="H42" s="911" t="str">
        <f>IMAGE("https://www.dewalt.com/NAG/PRODUCT/IMAGES/HIRES/DWHT83193/DWHT83193_2.jpg",1)</f>
        <v/>
      </c>
      <c r="I42" s="906" t="s">
        <v>3468</v>
      </c>
      <c r="J42" s="904">
        <v>341.0</v>
      </c>
      <c r="K42" s="911" t="str">
        <f>IMAGE("https://m.media-amazon.com/images/I/41o7y9ztHcL._SX466_.jpg",1)</f>
        <v/>
      </c>
      <c r="L42" s="906" t="s">
        <v>3469</v>
      </c>
    </row>
    <row r="43" ht="152.25" customHeight="1">
      <c r="A43" s="904">
        <v>43.0</v>
      </c>
      <c r="B43" s="913" t="str">
        <f>IMAGE("https://1ohm.in/wp-content/uploads/2021/07/MB102-3.3V5V-Breadboard-Power-Supply-Module.png",1)</f>
        <v/>
      </c>
      <c r="C43" s="906" t="s">
        <v>3470</v>
      </c>
      <c r="D43" s="904">
        <v>242.0</v>
      </c>
      <c r="E43" s="915" t="str">
        <f>IMAGE("https://www.wpiinc.com/media/catalog/product/cache/57a65487c9a4c9d3ba2482ad45cfc757/5/0/503023.jpg",1)</f>
        <v/>
      </c>
      <c r="F43" s="906" t="s">
        <v>3471</v>
      </c>
      <c r="G43" s="904">
        <v>143.0</v>
      </c>
      <c r="H43" s="911" t="str">
        <f>IMAGE("https://sc04.alicdn.com/kf/HTB1fK8lXPvuK1Rjy0Faq6x2aVXa5.jpg",1)</f>
        <v/>
      </c>
      <c r="I43" s="906" t="s">
        <v>3472</v>
      </c>
      <c r="J43" s="904">
        <v>342.0</v>
      </c>
      <c r="K43" s="915" t="str">
        <f>IMAGE("https://encrypted-tbn0.gstatic.com/=IMAGEs?q=tbn:ANd9GcSdcvov5296EXdnf0Fj0qF-G6iK-nu0n6Z4THAWosUzBx_wQ7GuJyrL0Rnbt1uBxLroiao&amp;usqp=CAU",1)</f>
        <v/>
      </c>
      <c r="L43" s="906" t="s">
        <v>3473</v>
      </c>
    </row>
    <row r="44" ht="152.25" customHeight="1">
      <c r="A44" s="904">
        <v>44.0</v>
      </c>
      <c r="B44" s="913" t="str">
        <f>IMAGE("https://www.berrybase.de/media/image/c5/26/b6/ID_186599_orig_600x600.jpg",1)</f>
        <v/>
      </c>
      <c r="C44" s="906" t="s">
        <v>3474</v>
      </c>
      <c r="D44" s="904">
        <v>243.0</v>
      </c>
      <c r="E44" s="915" t="str">
        <f>IMAGE("https://5.imimg.com/data5/LJ/PW/MY-3849711/loctite-401-super-glue-500x500.jpg",1)</f>
        <v/>
      </c>
      <c r="F44" s="906" t="s">
        <v>3475</v>
      </c>
      <c r="G44" s="904">
        <v>144.0</v>
      </c>
      <c r="H44" s="907" t="str">
        <f>IMAGE("https://rukminim2.flixcart.com/image/832/832/xif0q/electronic-hobby-kit/d/o/s/50-pcs-blue-led-5mm-kitsguru-original-imaghfqbjbn4hshz.jpeg?q=70",1)</f>
        <v/>
      </c>
      <c r="I44" s="906" t="s">
        <v>3476</v>
      </c>
      <c r="J44" s="904">
        <v>343.0</v>
      </c>
      <c r="K44" s="915" t="str">
        <f>IMAGE("https://empire-s3-production.bobvila.com/articles/wp-content/uploads/2021/03/The-Best-Paper-Straws-Option-HIWARE-Extra-Wide-Paper-Smoothie-Boba-Straws-300x300.jpg",1)</f>
        <v/>
      </c>
      <c r="L44" s="906" t="s">
        <v>3477</v>
      </c>
    </row>
    <row r="45" ht="152.25" customHeight="1">
      <c r="A45" s="904">
        <v>45.0</v>
      </c>
      <c r="B45" s="913" t="str">
        <f>IMAGE("https://robu.in/wp-content/uploads/2020/09/L298P-Motor-Driver-Shield-for-Arduino-3.jpg",1)</f>
        <v/>
      </c>
      <c r="C45" s="906" t="s">
        <v>3478</v>
      </c>
      <c r="D45" s="904">
        <v>244.0</v>
      </c>
      <c r="E45" s="915" t="str">
        <f>IMAGE("https://cdn.shopify.com/s/files/1/0064/3412/7939/products/Main-2_2baab3ae-c700-4dd7-acd2-e9442aee0358_2048x.jpg?v=1669799264",1)</f>
        <v/>
      </c>
      <c r="F45" s="906" t="s">
        <v>3479</v>
      </c>
      <c r="G45" s="904">
        <v>145.0</v>
      </c>
      <c r="H45" s="907" t="str">
        <f>IMAGE("https://rukminim2.flixcart.com/image/832/832/krz97rk0/electronic-hobby-kit/r/p/r/5mm-green-led-light-emitting-diode-highlight-for-arduino-pack-of-original-imag5n63ad6pnxqe.jpeg?q=70", 1)</f>
        <v/>
      </c>
      <c r="I45" s="906" t="s">
        <v>3480</v>
      </c>
      <c r="J45" s="904">
        <v>344.0</v>
      </c>
      <c r="K45" s="915" t="str">
        <f>IMAGE("https://encrypted-tbn0.gstatic.com/=IMAGEs?q=tbn:ANd9GcSdcvov5296EXdnf0Fj0qF-G6iK-nu0n6Z4THAWosUzBx_wQ7GuJyrL0Rnbt1uBxLroiao&amp;usqp=CAU",1)</f>
        <v/>
      </c>
      <c r="L45" s="906" t="s">
        <v>3481</v>
      </c>
    </row>
    <row r="46" ht="152.25" customHeight="1">
      <c r="A46" s="904">
        <v>46.0</v>
      </c>
      <c r="B46" s="913" t="str">
        <f>IMAGE("https://5.imimg.com/data5/II/UT/SO/SELLER-1968074/16x2-lcd-display-500x500.jpg",1)</f>
        <v/>
      </c>
      <c r="C46" s="906" t="s">
        <v>3482</v>
      </c>
      <c r="D46" s="904">
        <v>245.0</v>
      </c>
      <c r="E46" s="805" t="str">
        <f>IMAGE("https://m.media-amazon.com/images/I/61ra1C535pL._SL1500_.jpg", 1)</f>
        <v/>
      </c>
      <c r="F46" s="906" t="s">
        <v>3483</v>
      </c>
      <c r="G46" s="904">
        <v>146.0</v>
      </c>
      <c r="H46" s="907" t="str">
        <f>IMAGE("https://rukminim2.flixcart.com/image/832/832/ktrk13k0/electronic-hobby-kit/u/f/w/10-pcs-5mm-round-diffused-red-color-led-light-bulb-lamp-light-original-imag7ff6rchccrbz.jpeg?q=70", 1)</f>
        <v/>
      </c>
      <c r="I46" s="906" t="s">
        <v>3484</v>
      </c>
      <c r="J46" s="904">
        <v>345.0</v>
      </c>
      <c r="K46" s="915" t="str">
        <f>IMAGE("https://ae01.alicdn.com/kf/HTB1bkyaX3mH3KVjSZKzq6z2OXXax/200-Pieces-Multi-functional-Split-Pins-Brads-Silver-Brads-Paper-Fasteners-for-Scrapbooking-Stamping-Embellishments-Making.jpg_Q90.jpg_.webp",1)</f>
        <v/>
      </c>
      <c r="L46" s="906" t="s">
        <v>3485</v>
      </c>
    </row>
    <row r="47" ht="152.25" customHeight="1">
      <c r="A47" s="904">
        <v>47.0</v>
      </c>
      <c r="B47" s="920" t="str">
        <f>IMAGE("https://m.media-amazon.com/images/W/MEDIAX_792452-T2/images/I/612Fb4y5P6S._SL1100_.jpg",1)</f>
        <v/>
      </c>
      <c r="C47" s="906" t="s">
        <v>3486</v>
      </c>
      <c r="D47" s="904">
        <v>246.0</v>
      </c>
      <c r="E47" s="915" t="str">
        <f>IMAGE("https://www.htconline.in/images/thumbs/0019821_camlin-drawing-pencils-set-of-6.jpeg",1)</f>
        <v/>
      </c>
      <c r="F47" s="906" t="s">
        <v>3487</v>
      </c>
      <c r="G47" s="904">
        <v>147.0</v>
      </c>
      <c r="H47" s="907" t="str">
        <f>IMAGE("https://robu.in/wp-content/uploads/2020/10/5mm-DIP-Led-White.png", 1)</f>
        <v/>
      </c>
      <c r="I47" s="906" t="s">
        <v>3488</v>
      </c>
      <c r="J47" s="904">
        <v>346.0</v>
      </c>
      <c r="K47" s="915" t="str">
        <f>IMAGE("https://upload.wikimedia.org/wikipedia/commons/e/e8/Office-pink-erasers.jpg",1)</f>
        <v/>
      </c>
      <c r="L47" s="906" t="s">
        <v>3489</v>
      </c>
    </row>
    <row r="48" ht="152.25" customHeight="1">
      <c r="A48" s="904">
        <v>48.0</v>
      </c>
      <c r="B48" s="920" t="str">
        <f>IMAGE("https://encrypted-tbn0.gstatic.com/images?q=tbn:ANd9GcRrIyUWjQ1rnIJDwYms78skSv9zbdkdml4sTR1WfoKl6GFD5OWnZULG8H98AB-i394c3VQ&amp;usqp=CAU",1)</f>
        <v/>
      </c>
      <c r="C48" s="906" t="s">
        <v>3490</v>
      </c>
      <c r="D48" s="904">
        <v>247.0</v>
      </c>
      <c r="E48" s="915" t="str">
        <f>IMAGE("https://images-eu.ssl-images-amazon.com/images/I/41imfiqCBDL._AC_UL600_SR600,600_.jpg",1)</f>
        <v/>
      </c>
      <c r="F48" s="906" t="s">
        <v>3491</v>
      </c>
      <c r="G48" s="904">
        <v>148.0</v>
      </c>
      <c r="H48" s="907" t="str">
        <f>IMAGE("https://robu.in/wp-content/uploads/2020/10/5-mm-DIP-Led-Yellow.png", 1)</f>
        <v/>
      </c>
      <c r="I48" s="906" t="s">
        <v>3492</v>
      </c>
      <c r="J48" s="904">
        <v>347.0</v>
      </c>
      <c r="K48" s="912" t="str">
        <f>IMAGE("https://potentiallabs.com/cart/image/cache/catalog/2021/555-timer-ic-400x400.jpeg",1)</f>
        <v/>
      </c>
      <c r="L48" s="906" t="s">
        <v>3493</v>
      </c>
    </row>
    <row r="49" ht="152.25" customHeight="1">
      <c r="A49" s="904">
        <v>49.0</v>
      </c>
      <c r="B49" s="915" t="str">
        <f>IMAGE("https://4.imimg.com/data4/JR/UW/MY-11957408/drawing-paper.jpg",1)</f>
        <v/>
      </c>
      <c r="C49" s="906" t="s">
        <v>3494</v>
      </c>
      <c r="D49" s="904">
        <v>248.0</v>
      </c>
      <c r="E49" s="805" t="str">
        <f>IMAGE("https://5.imimg.com/data5/UM/JA/MY-39609002/screw-gauge-500x500.jpg",1)</f>
        <v/>
      </c>
      <c r="F49" s="906" t="s">
        <v>3495</v>
      </c>
      <c r="G49" s="904">
        <v>149.0</v>
      </c>
      <c r="H49" s="920" t="str">
        <f>IMAGE("https://i0.wp.com/superbtech.in/wp-content/uploads/2020/07/2-60.jpg?fit=500%2C500&amp;ssl=1",1)</f>
        <v/>
      </c>
      <c r="I49" s="906" t="s">
        <v>3496</v>
      </c>
      <c r="J49" s="904">
        <v>348.0</v>
      </c>
      <c r="K49" s="922" t="str">
        <f>IMAGE("https://5.imimg.com/data5/SELLER/Default/2021/9/HF/RK/UF/37611021/10k-ohm-ntc-thermistor-500x500.jpg",1)</f>
        <v/>
      </c>
      <c r="L49" s="906" t="s">
        <v>3497</v>
      </c>
    </row>
    <row r="50" ht="152.25" customHeight="1">
      <c r="A50" s="904">
        <v>50.0</v>
      </c>
      <c r="B50" s="907" t="str">
        <f>IMAGE("https://5.imimg.com/data5/QO/AU/MY-77080729/uge-electrolytic-capacitors-500x375-500x500.jpg",1)</f>
        <v/>
      </c>
      <c r="C50" s="906" t="s">
        <v>3498</v>
      </c>
      <c r="D50" s="904">
        <v>249.0</v>
      </c>
      <c r="E50" s="912" t="str">
        <f>IMAGE("https://encrypted-tbn0.gstatic.com/images?q=tbn:ANd9GcR-ur1Cl_3Rq82qZ9KbLtZX3U_7cevDQWdUVA&amp;usqp=CAU",1)</f>
        <v/>
      </c>
      <c r="F50" s="906" t="s">
        <v>3499</v>
      </c>
      <c r="G50" s="904">
        <v>150.0</v>
      </c>
      <c r="H50" s="920" t="str">
        <f>IMAGE("https://5.imimg.com/data5/SELLER/Default/2021/6/XN/UI/NS/84973740/mq2-flammable-gas-and-smoke-sensor-module-500x500.jpg",1)</f>
        <v/>
      </c>
      <c r="I50" s="906" t="s">
        <v>3500</v>
      </c>
      <c r="J50" s="904">
        <v>349.0</v>
      </c>
      <c r="K50" s="911" t="str">
        <f>IMAGE("https://res.cloudinary.com/rsc/image/upload/b_rgb:FFFFFF,c_pad,dpr_1.0,f_auto,q_auto,w_700/c_pad,w_700/C4847566-05",1)</f>
        <v/>
      </c>
      <c r="L50" s="906" t="s">
        <v>3501</v>
      </c>
    </row>
    <row r="51" ht="152.25" customHeight="1">
      <c r="A51" s="904">
        <v>51.0</v>
      </c>
      <c r="B51" s="907" t="str">
        <f>IMAGE("https://res.cloudinary.com/rsc/image/upload/b_rgb:FFFFFF,c_pad,dpr_1.0,f_auto,q_auto,w_700/c_pad,w_700/F5201539-01",1)</f>
        <v/>
      </c>
      <c r="C51" s="906" t="s">
        <v>3502</v>
      </c>
      <c r="D51" s="904">
        <v>250.0</v>
      </c>
      <c r="E51" s="912" t="str">
        <f>IMAGE("https://ashokaonlineshop.in/wp-content/uploads/2022/11/650nm-Mini-Laser-Dot-Diode-Module1.jpeg",1)</f>
        <v/>
      </c>
      <c r="F51" s="906" t="s">
        <v>3503</v>
      </c>
      <c r="G51" s="904">
        <v>151.0</v>
      </c>
      <c r="H51" s="907" t="str">
        <f>IMAGE("https://potentiallabs.com/cart/image/cache/catalog/nov-dec/DS18B20-500x500-500x500.jpg",1)</f>
        <v/>
      </c>
      <c r="I51" s="906" t="s">
        <v>3504</v>
      </c>
      <c r="J51" s="904">
        <v>350.0</v>
      </c>
      <c r="K51" s="907" t="str">
        <f t="shared" ref="K51:K92" si="3">IMAGE("https://projectpoint.in/image/cache/catalog/CFR_Resistor_Kit-672x504.jpg",1)</f>
        <v/>
      </c>
      <c r="L51" s="906" t="s">
        <v>3505</v>
      </c>
    </row>
    <row r="52" ht="152.25" customHeight="1">
      <c r="A52" s="904">
        <v>52.0</v>
      </c>
      <c r="B52" s="66" t="str">
        <f>IMAGE("https://www.220converters.com/resize/Shared/images/Product/Seven-Star-ES5C-220-Volt-Universal-5-Outlet-Power-Strip-With-Surge-Protection-220V-240V/es5c.jpg?bw=500&amp;bh=500",1)</f>
        <v/>
      </c>
      <c r="C52" s="906" t="s">
        <v>3506</v>
      </c>
      <c r="D52" s="904">
        <v>251.0</v>
      </c>
      <c r="E52" s="911" t="str">
        <f>IMAGE("https://services.ibo.com/media/v1/products/images/db78032d-e5ba-4c4c-bc8f-110fa0021b77/stanley-sta7221xjin-16-pc-drilling-and-screwdriving-set-1.jpeg",1)</f>
        <v/>
      </c>
      <c r="F52" s="906" t="s">
        <v>3507</v>
      </c>
      <c r="G52" s="904">
        <v>152.0</v>
      </c>
      <c r="H52" s="915" t="str">
        <f>IMAGE("https://m.media-amazon.com/images/I/61ZBVWoGgCL._SL1500_.jpg",1)</f>
        <v/>
      </c>
      <c r="I52" s="906" t="s">
        <v>3508</v>
      </c>
      <c r="J52" s="904">
        <v>351.0</v>
      </c>
      <c r="K52" s="907" t="str">
        <f t="shared" si="3"/>
        <v/>
      </c>
      <c r="L52" s="906" t="s">
        <v>3509</v>
      </c>
    </row>
    <row r="53" ht="152.25" customHeight="1">
      <c r="A53" s="904">
        <v>53.0</v>
      </c>
      <c r="B53" s="916" t="str">
        <f>IMAGE("https://assetscdn1.paytm.com/images/catalog/product/S/ST/STAEVA-FOAM-SHEKAPI63599336D8CB51/1563562065545_0..jpg?imwidth=320&amp;impolicy=hq",1)</f>
        <v/>
      </c>
      <c r="C53" s="906" t="s">
        <v>3510</v>
      </c>
      <c r="D53" s="904">
        <v>252.0</v>
      </c>
      <c r="E53" s="911" t="str">
        <f>IMAGE("https://5.imimg.com/data5/DH/NE/PV/SELLER-4135781/6-pc-precision-screwdriver-set-500x500.jpg",1)</f>
        <v/>
      </c>
      <c r="F53" s="906" t="s">
        <v>3511</v>
      </c>
      <c r="G53" s="904">
        <v>153.0</v>
      </c>
      <c r="H53" s="913" t="str">
        <f>IMAGE("https://robu.in/wp-content/uploads/2018/07/50-CM-Micro-USB-Cable-1.jpg",1)</f>
        <v/>
      </c>
      <c r="I53" s="906" t="s">
        <v>3512</v>
      </c>
      <c r="J53" s="904">
        <v>352.0</v>
      </c>
      <c r="K53" s="907" t="str">
        <f t="shared" si="3"/>
        <v/>
      </c>
      <c r="L53" s="906" t="s">
        <v>3513</v>
      </c>
    </row>
    <row r="54" ht="152.25" customHeight="1">
      <c r="A54" s="904">
        <v>54.0</v>
      </c>
      <c r="B54" s="913" t="str">
        <f>IMAGE("https://i02.psgsm.net/gsm.com/p/887576/480/power-bank-hoco-j26-10000-mah-micro-usb-type-b-input-5v-2a-2-usb-outputs-5-v-2-1-a-139-70-16-mm-with-micro-usb-cable-type-b-black.jpg",1)</f>
        <v/>
      </c>
      <c r="C54" s="906" t="s">
        <v>3514</v>
      </c>
      <c r="D54" s="904">
        <v>253.0</v>
      </c>
      <c r="E54" s="911" t="str">
        <f>IMAGE("https://5.imimg.com/data5/SELLER/Default/2020/12/RU/ZP/SZ/45671901/alstone-silicone-sealant-500x500.jpeg",1)</f>
        <v/>
      </c>
      <c r="F54" s="906" t="s">
        <v>3515</v>
      </c>
      <c r="G54" s="904">
        <v>154.0</v>
      </c>
      <c r="H54" s="912" t="str">
        <f>IMAGE("https://5.imimg.com/data5/OF/VW/IL/SELLER-9316309/burg-strips-500x500.jpg",1)</f>
        <v/>
      </c>
      <c r="I54" s="906" t="s">
        <v>3516</v>
      </c>
      <c r="J54" s="904">
        <v>353.0</v>
      </c>
      <c r="K54" s="907" t="str">
        <f t="shared" si="3"/>
        <v/>
      </c>
      <c r="L54" s="906" t="s">
        <v>3517</v>
      </c>
    </row>
    <row r="55" ht="152.25" customHeight="1">
      <c r="A55" s="904">
        <v>55.0</v>
      </c>
      <c r="B55" s="908" t="str">
        <f>IMAGE("https://5.imimg.com/data5/AR/LM/NG/SELLER-21409398/lab-uniform-500x500.jpg",1)</f>
        <v/>
      </c>
      <c r="C55" s="906" t="s">
        <v>3518</v>
      </c>
      <c r="D55" s="904">
        <v>254.0</v>
      </c>
      <c r="E55" s="911" t="str">
        <f>IMAGE("https://res.cloudinary.com/tacoma-screw-products/image/upload/f_auto,t_product-large/Images/519-103_prt.jpg",1)</f>
        <v/>
      </c>
      <c r="F55" s="906" t="s">
        <v>3519</v>
      </c>
      <c r="G55" s="904">
        <v>155.0</v>
      </c>
      <c r="H55" s="916" t="str">
        <f>IMAGE("https://www.ramsayrubber.com/wp-content/uploads/2020/01/Rolls-Sheeting-Polyurethane-Foam-Rolls2-1.jpg",1)</f>
        <v/>
      </c>
      <c r="I55" s="906" t="s">
        <v>3520</v>
      </c>
      <c r="J55" s="904">
        <v>354.0</v>
      </c>
      <c r="K55" s="907" t="str">
        <f t="shared" si="3"/>
        <v/>
      </c>
      <c r="L55" s="906" t="s">
        <v>3521</v>
      </c>
    </row>
    <row r="56" ht="152.25" customHeight="1">
      <c r="A56" s="904">
        <v>56.0</v>
      </c>
      <c r="B56" s="916" t="str">
        <f>IMAGE("https://cdn11.bigcommerce.com/s-33iv1gdknl/images/stencil/1280x1280/products/115465/70691/prd_32014_5797121027228__12010.1559545680.jpg?c=2",1)</f>
        <v/>
      </c>
      <c r="C56" s="906" t="s">
        <v>3522</v>
      </c>
      <c r="D56" s="904">
        <v>255.0</v>
      </c>
      <c r="E56" s="907" t="str">
        <f>IMAGE("https://www.electronicscomp.com/image/cache/catalog/irfz44-n-channel-power-mosfet-1-800x800.JPG",1)</f>
        <v/>
      </c>
      <c r="F56" s="906" t="s">
        <v>3523</v>
      </c>
      <c r="G56" s="904">
        <v>156.0</v>
      </c>
      <c r="H56" s="910" t="str">
        <f>IMAGE("https://m.media-amazon.com/images/I/61SERFzRHuL._AC_UF1000,1000_QL80_.jpg")</f>
        <v/>
      </c>
      <c r="I56" s="906" t="s">
        <v>3524</v>
      </c>
      <c r="J56" s="904">
        <v>355.0</v>
      </c>
      <c r="K56" s="907" t="str">
        <f t="shared" si="3"/>
        <v/>
      </c>
      <c r="L56" s="906" t="s">
        <v>3525</v>
      </c>
    </row>
    <row r="57" ht="152.25" customHeight="1">
      <c r="A57" s="904">
        <v>57.0</v>
      </c>
      <c r="B57" s="914" t="str">
        <f>IMAGE("https://cdn.shopify.com/s/files/1/0559/1970/6265/products/4_61325b1b-840f-41dd-a6d9-0ddb00c5c7bc_1024x1024@2x.png?v=1670588177",1)</f>
        <v/>
      </c>
      <c r="C57" s="906" t="s">
        <v>3526</v>
      </c>
      <c r="D57" s="904">
        <v>256.0</v>
      </c>
      <c r="E57" s="918" t="str">
        <f>IMAGE("https://m.media-amazon.com/images/W/MEDIAX_792452-T2/images/I/91hMIBtDtPS._SL1500_.jpg")</f>
        <v/>
      </c>
      <c r="F57" s="906" t="s">
        <v>3527</v>
      </c>
      <c r="G57" s="904">
        <v>157.0</v>
      </c>
      <c r="H57" s="915" t="str">
        <f>IMAGE("https://encrypted-tbn0.gstatic.com/=IMAGEs?q=tbn:ANd9GcTv3YU2gmM00qoI79XpKhq-dV1wM5aPXrLsmrVwQWwEda0tuTarN0ncQ0DMg_JUYk4IBe4&amp;usqp=CAU",1)</f>
        <v/>
      </c>
      <c r="I57" s="906" t="s">
        <v>3528</v>
      </c>
      <c r="J57" s="904">
        <v>356.0</v>
      </c>
      <c r="K57" s="907" t="str">
        <f t="shared" si="3"/>
        <v/>
      </c>
      <c r="L57" s="906" t="s">
        <v>3529</v>
      </c>
    </row>
    <row r="58" ht="152.25" customHeight="1">
      <c r="A58" s="904">
        <v>58.0</v>
      </c>
      <c r="B58" s="913" t="str">
        <f>IMAGE("https://robu.in/wp-content/uploads/2021/05/EU-Plug-Universal-Battery-Charger-For-18650-16340-14500-Li-ion-Rechargeable-Battery-Charger-3.jpg",1)</f>
        <v/>
      </c>
      <c r="C58" s="906" t="s">
        <v>3530</v>
      </c>
      <c r="D58" s="904">
        <v>257.0</v>
      </c>
      <c r="E58" s="912" t="str">
        <f>IMAGE("https://m.media-amazon.com/images/W/MEDIAX_792452-T2/images/I/61UPqH4BXuL.SS700.jpg",1)</f>
        <v/>
      </c>
      <c r="F58" s="906" t="s">
        <v>3531</v>
      </c>
      <c r="G58" s="904">
        <v>158.0</v>
      </c>
      <c r="H58" s="920" t="str">
        <f>IMAGE("https://projecthubbharat.com/wp-content/uploads/2022/02/dht-11-sensor-module-india-800x800-1.jpg",1)</f>
        <v/>
      </c>
      <c r="I58" s="906" t="s">
        <v>3532</v>
      </c>
      <c r="J58" s="904">
        <v>357.0</v>
      </c>
      <c r="K58" s="907" t="str">
        <f t="shared" si="3"/>
        <v/>
      </c>
      <c r="L58" s="906" t="s">
        <v>3533</v>
      </c>
    </row>
    <row r="59" ht="152.25" customHeight="1">
      <c r="A59" s="904">
        <v>59.0</v>
      </c>
      <c r="B59" s="913" t="str">
        <f>IMAGE("https://robu.in/wp-content/uploads/2017/06/robu-3-13.jpg",1)</f>
        <v/>
      </c>
      <c r="C59" s="906" t="s">
        <v>3534</v>
      </c>
      <c r="D59" s="904">
        <v>258.0</v>
      </c>
      <c r="E59" s="912" t="str">
        <f>IMAGE("https://m.media-amazon.com/images/I/31ALofIyvBL._SX466_.jpg",1)</f>
        <v/>
      </c>
      <c r="F59" s="906" t="s">
        <v>3535</v>
      </c>
      <c r="G59" s="904">
        <v>159.0</v>
      </c>
      <c r="H59" s="908" t="str">
        <f>IMAGE("https://5.imimg.com/data5/RD/NQ/ZF/SELLER-67911650/safety-goggles.jpg")</f>
        <v/>
      </c>
      <c r="I59" s="906" t="s">
        <v>3536</v>
      </c>
      <c r="J59" s="904">
        <v>358.0</v>
      </c>
      <c r="K59" s="907" t="str">
        <f t="shared" si="3"/>
        <v/>
      </c>
      <c r="L59" s="906" t="s">
        <v>3537</v>
      </c>
    </row>
    <row r="60" ht="152.25" customHeight="1">
      <c r="A60" s="904">
        <v>60.0</v>
      </c>
      <c r="B60" s="911" t="str">
        <f>IMAGE("https://cdn.moglix.com/p/Rn8lZopeAizs5-xxlarge.jpg",1)</f>
        <v/>
      </c>
      <c r="C60" s="906" t="s">
        <v>3538</v>
      </c>
      <c r="D60" s="904">
        <v>259.0</v>
      </c>
      <c r="E60" s="907" t="str">
        <f>IMAGE("https://5.imimg.com/data5/AH/OG/AM/SELLER-5278310/mkc-27701-changeover-reed-switch-500x500.jpg",1)</f>
        <v/>
      </c>
      <c r="F60" s="906" t="s">
        <v>3539</v>
      </c>
      <c r="G60" s="904">
        <v>160.0</v>
      </c>
      <c r="H60" s="910" t="str">
        <f>IMAGE("https://dreampolymers.com/wp-content/uploads/2023/06/Nylon-Crystal-Clear-3D-Printing-Filaments-Spool-with-Article-700x700.jpg",1)</f>
        <v/>
      </c>
      <c r="I60" s="906" t="s">
        <v>3540</v>
      </c>
      <c r="J60" s="904">
        <v>359.0</v>
      </c>
      <c r="K60" s="907" t="str">
        <f t="shared" si="3"/>
        <v/>
      </c>
      <c r="L60" s="906" t="s">
        <v>3541</v>
      </c>
    </row>
    <row r="61" ht="152.25" customHeight="1">
      <c r="A61" s="904">
        <v>61.0</v>
      </c>
      <c r="B61" s="919" t="str">
        <f>IMAGE("https://robu.in/wp-content/uploads/2016/08/2-1.jpg",1)</f>
        <v/>
      </c>
      <c r="C61" s="906" t="s">
        <v>3542</v>
      </c>
      <c r="D61" s="904">
        <v>260.0</v>
      </c>
      <c r="E61" s="915" t="str">
        <f>IMAGE("https://m.media-amazon.com/images/I/51xkFZnkVFL._SX466_.jpg",1)</f>
        <v/>
      </c>
      <c r="F61" s="906" t="s">
        <v>3543</v>
      </c>
      <c r="G61" s="904">
        <v>161.0</v>
      </c>
      <c r="H61" s="915" t="str">
        <f>IMAGE("https://m.media-amazon.com/images/W/MEDIAX_792452-T2/images/I/71vxqqo9r7L.jpg",1)</f>
        <v/>
      </c>
      <c r="I61" s="906" t="s">
        <v>3544</v>
      </c>
      <c r="J61" s="904">
        <v>360.0</v>
      </c>
      <c r="K61" s="907" t="str">
        <f t="shared" si="3"/>
        <v/>
      </c>
      <c r="L61" s="906" t="s">
        <v>3545</v>
      </c>
    </row>
    <row r="62" ht="152.25" customHeight="1">
      <c r="A62" s="904">
        <v>62.0</v>
      </c>
      <c r="B62" s="919" t="str">
        <f>IMAGE("https://5.imimg.com/data5/SELLER/Default/2023/1/KQ/RE/WN/37611021/unique-india-force-pressure-sensor-square-500x500.jpg",1)</f>
        <v/>
      </c>
      <c r="C62" s="906" t="s">
        <v>3546</v>
      </c>
      <c r="D62" s="904">
        <v>261.0</v>
      </c>
      <c r="E62" s="919" t="str">
        <f>IMAGE("https://robu.in/wp-content/uploads/2017/06/31100-2.jpg",1)</f>
        <v/>
      </c>
      <c r="F62" s="906" t="s">
        <v>3547</v>
      </c>
      <c r="G62" s="904">
        <v>162.0</v>
      </c>
      <c r="H62" s="913" t="str">
        <f>IMAGE("https://5.imimg.com/data5/SELLER/Default/2020/12/GY/DK/LM/59387089/400-point-solderless-breadboard-500x500.jpg",1)</f>
        <v/>
      </c>
      <c r="I62" s="906" t="s">
        <v>3548</v>
      </c>
      <c r="J62" s="904">
        <v>361.0</v>
      </c>
      <c r="K62" s="907" t="str">
        <f t="shared" si="3"/>
        <v/>
      </c>
      <c r="L62" s="906" t="s">
        <v>3549</v>
      </c>
    </row>
    <row r="63" ht="152.25" customHeight="1">
      <c r="A63" s="904">
        <v>63.0</v>
      </c>
      <c r="B63" s="919" t="str">
        <f>IMAGE("https://robu.in/wp-content/uploads/2016/03/Ublox-Neo-6M-GPS.jpg",1)</f>
        <v/>
      </c>
      <c r="C63" s="906" t="s">
        <v>3550</v>
      </c>
      <c r="D63" s="904">
        <v>262.0</v>
      </c>
      <c r="E63" s="919" t="str">
        <f>IMAGE("https://makerbazar.in/cdn/shop/products/IR_transmitter-receiver_-_TSOP_1738_600x.jpg?v=1582114496",1)</f>
        <v/>
      </c>
      <c r="F63" s="906" t="s">
        <v>3551</v>
      </c>
      <c r="G63" s="904">
        <v>163.0</v>
      </c>
      <c r="H63" s="920" t="str">
        <f>IMAGE("https://probots.co.in/pub/media/catalog/product/cache/d8ddd0f9b0cd008b57085cd218b48832/p/r/probotslm386.jpg",1)</f>
        <v/>
      </c>
      <c r="I63" s="906" t="s">
        <v>3552</v>
      </c>
      <c r="J63" s="904">
        <v>362.0</v>
      </c>
      <c r="K63" s="907" t="str">
        <f t="shared" si="3"/>
        <v/>
      </c>
      <c r="L63" s="906" t="s">
        <v>3553</v>
      </c>
    </row>
    <row r="64" ht="152.25" customHeight="1">
      <c r="A64" s="904">
        <v>64.0</v>
      </c>
      <c r="B64" s="919" t="str">
        <f>IMAGE("https://makerbazar.in/cdn/shop/products/IR-Array_2048x2048_29f53719-c65f-4f67-a7f9-06b99966bf49_400x.jpg?v=1628014848",1)</f>
        <v/>
      </c>
      <c r="C64" s="906" t="s">
        <v>3554</v>
      </c>
      <c r="D64" s="904">
        <v>263.0</v>
      </c>
      <c r="E64" s="911" t="str">
        <f>IMAGE("https://rukminim1.flixcart.com/image/832/832/drill-bit-set/z/a/z/new-micro-hand-drill-chuck-20x-0-3-1-6mm-straight-shank-twist-original-imaeq98eafbpt7qu.jpeg?q=70", 1)</f>
        <v/>
      </c>
      <c r="F64" s="906" t="s">
        <v>3555</v>
      </c>
      <c r="G64" s="904">
        <v>164.0</v>
      </c>
      <c r="H64" s="913" t="str">
        <f>IMAGE("https://robu.in/wp-content/uploads/2019/03/2-x-1.5V-AA-battery-holder-with-cover-and-OnOff-Switch-6.jpg",1)</f>
        <v/>
      </c>
      <c r="I64" s="906" t="s">
        <v>3556</v>
      </c>
      <c r="J64" s="904">
        <v>363.0</v>
      </c>
      <c r="K64" s="907" t="str">
        <f t="shared" si="3"/>
        <v/>
      </c>
      <c r="L64" s="906" t="s">
        <v>3557</v>
      </c>
    </row>
    <row r="65" ht="152.25" customHeight="1">
      <c r="A65" s="904">
        <v>65.0</v>
      </c>
      <c r="B65" s="917" t="str">
        <f>IMAGE("https://rukminim2.flixcart.com/image/850/1000/kshtxu80/dustbin/p/l/y/swaccha-bharat-champaign-dry-and-wet-waste-bins-small-11ltr-original-imag6fnfj6pqmsba.jpeg?q=20",1)</f>
        <v/>
      </c>
      <c r="C65" s="906" t="s">
        <v>3558</v>
      </c>
      <c r="D65" s="904">
        <v>264.0</v>
      </c>
      <c r="E65" s="915" t="str">
        <f>IMAGE("https://m.media-amazon.com/images/I/712GPbILcpL._SX425_.jpg",1)</f>
        <v/>
      </c>
      <c r="F65" s="906" t="s">
        <v>3559</v>
      </c>
      <c r="G65" s="904">
        <v>165.0</v>
      </c>
      <c r="H65" s="918" t="str">
        <f>IMAGE("https://www.voltaat.com/cdn/shop/products/voltaat-soldering-board-5cm-x-7cm-10728457568358_1024x1024.jpg?v=1628445244")</f>
        <v/>
      </c>
      <c r="I65" s="906" t="s">
        <v>3560</v>
      </c>
      <c r="J65" s="904">
        <v>364.0</v>
      </c>
      <c r="K65" s="907" t="str">
        <f t="shared" si="3"/>
        <v/>
      </c>
      <c r="L65" s="906" t="s">
        <v>3561</v>
      </c>
    </row>
    <row r="66" ht="152.25" customHeight="1">
      <c r="A66" s="904">
        <v>66.0</v>
      </c>
      <c r="B66" s="909" t="str">
        <f>IMAGE("https://5.imimg.com/data5/GX/OE/MY-972879/30ml-specimen-container-500x500.jpg", 1)</f>
        <v/>
      </c>
      <c r="C66" s="906" t="s">
        <v>3562</v>
      </c>
      <c r="D66" s="904">
        <v>265.0</v>
      </c>
      <c r="E66" s="915" t="str">
        <f>IMAGE("https://c8.alamy.com/comp/R7TP32/paint-palette-with-various-acrylic-paints-and-a-brush-R7TP32.jpg",1)</f>
        <v/>
      </c>
      <c r="F66" s="906" t="s">
        <v>3563</v>
      </c>
      <c r="G66" s="904">
        <v>166.0</v>
      </c>
      <c r="H66" s="907" t="str">
        <f>IMAGE("https://sharvielectronics.com/wp-content/uploads/2020/02/2.2uF-50V-Electrolytic-Capacitor.jpg",1)</f>
        <v/>
      </c>
      <c r="I66" s="906" t="s">
        <v>3564</v>
      </c>
      <c r="J66" s="904">
        <v>365.0</v>
      </c>
      <c r="K66" s="907" t="str">
        <f t="shared" si="3"/>
        <v/>
      </c>
      <c r="L66" s="906" t="s">
        <v>3565</v>
      </c>
    </row>
    <row r="67" ht="152.25" customHeight="1">
      <c r="A67" s="904">
        <v>67.0</v>
      </c>
      <c r="B67" s="905" t="str">
        <f>IMAGE("https://m.media-amazon.com/images/W/MEDIAX_792452-T2/images/I/71pGjUwrUlL._AC_UF1000,1000_QL80_.jpg",1)</f>
        <v/>
      </c>
      <c r="C67" s="906" t="s">
        <v>3566</v>
      </c>
      <c r="D67" s="904">
        <v>266.0</v>
      </c>
      <c r="E67" s="912" t="str">
        <f>IMAGE("https://www.electronicscomp.com/image/cache/catalog/cd4033-5-stage-johnson-decade-counter-ic-dip-16-800x800.jpg",1)</f>
        <v/>
      </c>
      <c r="F67" s="906" t="s">
        <v>3567</v>
      </c>
      <c r="G67" s="904">
        <v>167.0</v>
      </c>
      <c r="H67" s="907" t="str">
        <f>IMAGE("https://5.imimg.com/data5/JL/JS/ZA/SELLER-21614932/4-7uf-400v-keltron-capacitor-500x500.jpg",1)</f>
        <v/>
      </c>
      <c r="I67" s="906" t="s">
        <v>3568</v>
      </c>
      <c r="J67" s="904">
        <v>366.0</v>
      </c>
      <c r="K67" s="907" t="str">
        <f t="shared" si="3"/>
        <v/>
      </c>
      <c r="L67" s="906" t="s">
        <v>3569</v>
      </c>
    </row>
    <row r="68" ht="152.25" customHeight="1">
      <c r="A68" s="904">
        <v>68.0</v>
      </c>
      <c r="B68" s="66" t="str">
        <f>IMAGE("https://www.jiomart.com/images/product/original/491503417/mi-home-security-camera-digital-o491503417-p590045677-0-202010110622.jpeg")</f>
        <v/>
      </c>
      <c r="C68" s="906" t="s">
        <v>3570</v>
      </c>
      <c r="D68" s="904">
        <v>267.0</v>
      </c>
      <c r="E68" s="911" t="str">
        <f>IMAGE("https://sc04.alicdn.com/kf/HTB1f9mqOZbpK1RjSZFyq6x_qFXaz.jpg",1)</f>
        <v/>
      </c>
      <c r="F68" s="906" t="s">
        <v>3571</v>
      </c>
      <c r="G68" s="904">
        <v>168.0</v>
      </c>
      <c r="H68" s="907" t="str">
        <f>IMAGE("https://www.faranux.com/wp-content/uploads/2017/04/2f2603f8-1uf-50v-electrolytic-capacitor-pack-of-5-tech3179-8225-800x800-1.jpg",1)</f>
        <v/>
      </c>
      <c r="I68" s="906" t="s">
        <v>3572</v>
      </c>
      <c r="J68" s="904">
        <v>367.0</v>
      </c>
      <c r="K68" s="907" t="str">
        <f t="shared" si="3"/>
        <v/>
      </c>
      <c r="L68" s="906" t="s">
        <v>3573</v>
      </c>
    </row>
    <row r="69" ht="152.25" customHeight="1">
      <c r="A69" s="904">
        <v>69.0</v>
      </c>
      <c r="B69" s="909" t="str">
        <f>IMAGE("https://www.domo.in/image/cache/catalog/nHance/LNSS4201/Display-228x228.jpg")</f>
        <v/>
      </c>
      <c r="C69" s="906" t="s">
        <v>3574</v>
      </c>
      <c r="D69" s="904">
        <v>268.0</v>
      </c>
      <c r="E69" s="911" t="str">
        <f>IMAGE("https://m.media-amazon.com/images/I/518vUksgebL._SL1100_.jpg",1)</f>
        <v/>
      </c>
      <c r="F69" s="906" t="s">
        <v>3575</v>
      </c>
      <c r="G69" s="904">
        <v>169.0</v>
      </c>
      <c r="H69" s="911" t="str">
        <f>IMAGE("https://5.imimg.com/data5/UF/DF/MY-45635244/sand-paper-500x500.jpg",1)</f>
        <v/>
      </c>
      <c r="I69" s="906" t="s">
        <v>3576</v>
      </c>
      <c r="J69" s="904">
        <v>368.0</v>
      </c>
      <c r="K69" s="907" t="str">
        <f t="shared" si="3"/>
        <v/>
      </c>
      <c r="L69" s="906" t="s">
        <v>3577</v>
      </c>
    </row>
    <row r="70" ht="152.25" customHeight="1">
      <c r="A70" s="904">
        <v>70.0</v>
      </c>
      <c r="B70" s="907" t="str">
        <f>IMAGE("https://5.imimg.com/data5/SP/GM/AD/SELLER-84581978/keltron-2200uf-35-v-electrolytic-capacitors-500x500.jpg",1)</f>
        <v/>
      </c>
      <c r="C70" s="906" t="s">
        <v>3578</v>
      </c>
      <c r="D70" s="904">
        <v>269.0</v>
      </c>
      <c r="E70" s="911" t="str">
        <f>IMAGE("https://rukminim1.flixcart.com/image/416/416/jidg9zk0/art-craft-kit/f/g/a/9mm-snap-off-precision-blades-30-degree-blades-100-blade-pack-1-original-imaf66g6ahvgzem3.jpeg?q=70",1)</f>
        <v/>
      </c>
      <c r="F70" s="906" t="s">
        <v>3579</v>
      </c>
      <c r="G70" s="904">
        <v>170.0</v>
      </c>
      <c r="H70" s="905" t="str">
        <f>IMAGE("https://m.media-amazon.com/images/I/61Zlcg+2mNL.jpg")</f>
        <v/>
      </c>
      <c r="I70" s="906" t="s">
        <v>3580</v>
      </c>
      <c r="J70" s="904">
        <v>369.0</v>
      </c>
      <c r="K70" s="907" t="str">
        <f t="shared" si="3"/>
        <v/>
      </c>
      <c r="L70" s="906" t="s">
        <v>3581</v>
      </c>
    </row>
    <row r="71" ht="152.25" customHeight="1">
      <c r="A71" s="904">
        <v>71.0</v>
      </c>
      <c r="B71" s="907" t="str">
        <f>IMAGE("https://5.imimg.com/data5/QO/AU/MY-77080729/uge-electrolytic-capacitors-500x375-500x500.jpg",1)</f>
        <v/>
      </c>
      <c r="C71" s="906" t="s">
        <v>3582</v>
      </c>
      <c r="D71" s="904">
        <v>270.0</v>
      </c>
      <c r="E71" s="915" t="str">
        <f>IMAGE("https://cdn.shopify.com/s/files/1/0032/5448/5037/products/suvidha-aluminium-foil-72-meters-pack-of-12_800x.jpg?v=1562920856",1)</f>
        <v/>
      </c>
      <c r="F71" s="906" t="s">
        <v>3583</v>
      </c>
      <c r="G71" s="904">
        <v>171.0</v>
      </c>
      <c r="H71" s="910" t="str">
        <f>IMAGE("https://images.prismic.io/xometry-marketing/7b3779f5-0c4c-4944-a7bb-75f9e8b14eff_mulitcolor-3d-printer-filament.jpg?auto=compress%2Cformat&amp;rect=166%2C0%2C667%2C667&amp;w=486&amp;h=486&amp;fit=max",1)</f>
        <v/>
      </c>
      <c r="I71" s="906" t="s">
        <v>3584</v>
      </c>
      <c r="J71" s="904">
        <v>370.0</v>
      </c>
      <c r="K71" s="907" t="str">
        <f t="shared" si="3"/>
        <v/>
      </c>
      <c r="L71" s="906" t="s">
        <v>3585</v>
      </c>
    </row>
    <row r="72" ht="152.25" customHeight="1">
      <c r="A72" s="904">
        <v>72.0</v>
      </c>
      <c r="B72" s="907" t="str">
        <f>IMAGE("https://www.sunrobotics.in/web/image/product.product/3164/image_1024/%5B10042%5D%201000UF-25V%20Electrolytic%20Capacitor?unique=acd9ab2",1)</f>
        <v/>
      </c>
      <c r="C72" s="906" t="s">
        <v>3586</v>
      </c>
      <c r="D72" s="904">
        <v>271.0</v>
      </c>
      <c r="E72" s="915" t="str">
        <f>IMAGE("https://encrypted-tbn0.gstatic.com/=IMAGEs?q=tbn:ANd9GcTv3YU2gmM00qoI79XpKhq-dV1wM5aPXrLsmrVwQWwEda0tuTarN0ncQ0DMg_JUYk4IBe4&amp;usqp=CAU",1)</f>
        <v/>
      </c>
      <c r="F72" s="906" t="s">
        <v>3587</v>
      </c>
      <c r="G72" s="904">
        <v>172.0</v>
      </c>
      <c r="H72" s="908" t="str">
        <f>IMAGE("https://rukminim1.flixcart.com/image/416/416/jj367bk0/fire-extinguisher-mount/w/s/y/2-kg-abc-type-fire-extinguisher-safepro-original-imaf6h7fkdngmbqd.jpeg?q=70",1)</f>
        <v/>
      </c>
      <c r="I72" s="906" t="s">
        <v>3588</v>
      </c>
      <c r="J72" s="904">
        <v>371.0</v>
      </c>
      <c r="K72" s="907" t="str">
        <f t="shared" si="3"/>
        <v/>
      </c>
      <c r="L72" s="906" t="s">
        <v>3589</v>
      </c>
    </row>
    <row r="73" ht="152.25" customHeight="1">
      <c r="A73" s="904">
        <v>73.0</v>
      </c>
      <c r="B73" s="907" t="str">
        <f>IMAGE("https://image.robotistan.com/5mm-transparent-rgb-led-2633-11-O.jpg", 1)</f>
        <v/>
      </c>
      <c r="C73" s="906" t="s">
        <v>3590</v>
      </c>
      <c r="D73" s="904">
        <v>272.0</v>
      </c>
      <c r="E73" s="911" t="str">
        <f>IMAGE("https://rukminim1.flixcart.com/image/832/832/jtq47m80/cutter/r/6/d/professional-new-metal-handle-hobby-cutter-craft-knife-shredder-original-imafeyaeaex6mh2p.jpeg?q=70",1)</f>
        <v/>
      </c>
      <c r="F73" s="906" t="s">
        <v>3591</v>
      </c>
      <c r="G73" s="904">
        <v>173.0</v>
      </c>
      <c r="H73" s="908" t="str">
        <f>IMAGE("https://m.media-amazon.com/images/I/41yRsXk89rS._SX355_.jpg",1)</f>
        <v/>
      </c>
      <c r="I73" s="906" t="s">
        <v>3592</v>
      </c>
      <c r="J73" s="904">
        <v>372.0</v>
      </c>
      <c r="K73" s="907" t="str">
        <f t="shared" si="3"/>
        <v/>
      </c>
      <c r="L73" s="906" t="s">
        <v>3593</v>
      </c>
    </row>
    <row r="74" ht="152.25" customHeight="1">
      <c r="A74" s="904">
        <v>74.0</v>
      </c>
      <c r="B74" s="911" t="str">
        <f>IMAGE("https://cdn.shopify.com/s/files/1/0064/3412/7939/products/71vpWrfPgFL._SL1000_9c7ae600-0e17-44f0-97b0-7a8fa32a55cc_2048x.jpg?v=1540199513",1)</f>
        <v/>
      </c>
      <c r="C74" s="906" t="s">
        <v>3594</v>
      </c>
      <c r="D74" s="904">
        <v>273.0</v>
      </c>
      <c r="E74" s="915" t="str">
        <f>IMAGE("https://images.meesho.com/images/products/60299132/dranx_512.jpg",1)</f>
        <v/>
      </c>
      <c r="F74" s="906" t="s">
        <v>3595</v>
      </c>
      <c r="G74" s="904">
        <v>174.0</v>
      </c>
      <c r="H74" s="805" t="str">
        <f>IMAGE("https://images.jdmagicbox.com/quickquotes/images_main/Digital-Microcontroller-pH-meter-310486837-bbbxy.jpg", 1)</f>
        <v/>
      </c>
      <c r="I74" s="906" t="s">
        <v>3596</v>
      </c>
      <c r="J74" s="904">
        <v>373.0</v>
      </c>
      <c r="K74" s="907" t="str">
        <f t="shared" si="3"/>
        <v/>
      </c>
      <c r="L74" s="906" t="s">
        <v>3597</v>
      </c>
    </row>
    <row r="75" ht="152.25" customHeight="1">
      <c r="A75" s="904">
        <v>75.0</v>
      </c>
      <c r="B75" s="911" t="str">
        <f>IMAGE("https://5.imimg.com/data5/RT/WA/MY-67270826/digital-vernier-caliper-500x500.jpg",1)</f>
        <v/>
      </c>
      <c r="C75" s="906" t="s">
        <v>3598</v>
      </c>
      <c r="D75" s="904">
        <v>274.0</v>
      </c>
      <c r="E75" s="915" t="str">
        <f>IMAGE("https://3.imimg.com/data3/QQ/JR/MY-2/plastic-twine-500x500.jpg",1)</f>
        <v/>
      </c>
      <c r="F75" s="906" t="s">
        <v>3599</v>
      </c>
      <c r="G75" s="904">
        <v>175.0</v>
      </c>
      <c r="H75" s="805" t="str">
        <f>IMAGE("https://image.made-in-china.com/202f0j00DeSTmvGBnZpR/Electronic-Weighing-Scale-Digital-Scale-of-High-Precision-HWA-.jpg",1)</f>
        <v/>
      </c>
      <c r="I75" s="906" t="s">
        <v>3600</v>
      </c>
      <c r="J75" s="904">
        <v>374.0</v>
      </c>
      <c r="K75" s="907" t="str">
        <f t="shared" si="3"/>
        <v/>
      </c>
      <c r="L75" s="906" t="s">
        <v>3601</v>
      </c>
    </row>
    <row r="76" ht="152.25" customHeight="1">
      <c r="A76" s="904">
        <v>76.0</v>
      </c>
      <c r="B76" s="919" t="str">
        <f>IMAGE("https://m.media-amazon.com/images/W/MEDIAX_792452-T2/images/I/71PSVpNRPuL._SL1500_.jpg",1)</f>
        <v/>
      </c>
      <c r="C76" s="906" t="s">
        <v>3602</v>
      </c>
      <c r="D76" s="904">
        <v>275.0</v>
      </c>
      <c r="E76" s="907" t="str">
        <f t="shared" ref="E76:E78" si="4">IMAGE("https://probots.co.in/pub/media/catalog/product/cache/d8ddd0f9b0cd008b57085cd218b48832/1/k/1k_ohm_variable_resistor_potentiometer1-1000x1000_12.jpg",1)</f>
        <v/>
      </c>
      <c r="F76" s="906" t="s">
        <v>3603</v>
      </c>
      <c r="G76" s="904">
        <v>176.0</v>
      </c>
      <c r="H76" s="911" t="str">
        <f>IMAGE("https://m.media-amazon.com/images/I/71-uBViGV+L._SX522_.jpg",1)</f>
        <v/>
      </c>
      <c r="I76" s="906" t="s">
        <v>3604</v>
      </c>
      <c r="J76" s="904">
        <v>375.0</v>
      </c>
      <c r="K76" s="907" t="str">
        <f t="shared" si="3"/>
        <v/>
      </c>
      <c r="L76" s="906" t="s">
        <v>3605</v>
      </c>
    </row>
    <row r="77" ht="152.25" customHeight="1">
      <c r="A77" s="904">
        <v>77.0</v>
      </c>
      <c r="B77" s="911" t="str">
        <f>IMAGE("https://encrypted-tbn0.gstatic.com/images?q=tbn:ANd9GcRnlFGDkPLnXJSjTXFe7fzQ2kj51brspxAcjVtkmgU5NgUWN5-EbmbNTptE-Y3t4g8lr84&amp;usqp=CAU",1)</f>
        <v/>
      </c>
      <c r="C77" s="906" t="s">
        <v>3606</v>
      </c>
      <c r="D77" s="904">
        <v>276.0</v>
      </c>
      <c r="E77" s="907" t="str">
        <f t="shared" si="4"/>
        <v/>
      </c>
      <c r="F77" s="906" t="s">
        <v>3607</v>
      </c>
      <c r="G77" s="904">
        <v>177.0</v>
      </c>
      <c r="H77" s="911" t="str">
        <f>IMAGE("https://m.media-amazon.com/images/I/51wli9aWH9S._SL1000_.jpg",1)</f>
        <v/>
      </c>
      <c r="I77" s="906" t="s">
        <v>3608</v>
      </c>
      <c r="J77" s="904">
        <v>376.0</v>
      </c>
      <c r="K77" s="907" t="str">
        <f t="shared" si="3"/>
        <v/>
      </c>
      <c r="L77" s="906" t="s">
        <v>3609</v>
      </c>
    </row>
    <row r="78" ht="152.25" customHeight="1">
      <c r="A78" s="904">
        <v>78.0</v>
      </c>
      <c r="B78" s="913" t="str">
        <f t="shared" ref="B78:B79" si="5">IMAGE("https://m.media-amazon.com/images/W/MEDIAX_792452-T2/images/I/21bgQSzvxLL.jpg",1)</f>
        <v/>
      </c>
      <c r="C78" s="906" t="s">
        <v>3610</v>
      </c>
      <c r="D78" s="904">
        <v>277.0</v>
      </c>
      <c r="E78" s="907" t="str">
        <f t="shared" si="4"/>
        <v/>
      </c>
      <c r="F78" s="906" t="s">
        <v>3611</v>
      </c>
      <c r="G78" s="904">
        <v>178.0</v>
      </c>
      <c r="H78" s="911" t="str">
        <f>IMAGE("https://rukminim1.flixcart.com/image/416/416/kajywsw0/glue-gun/b/w/b/stht6-70416-stanley-original-imafs32tjzsqag2g.jpeg",1)</f>
        <v/>
      </c>
      <c r="I78" s="906" t="s">
        <v>3612</v>
      </c>
      <c r="J78" s="904">
        <v>377.0</v>
      </c>
      <c r="K78" s="907" t="str">
        <f t="shared" si="3"/>
        <v/>
      </c>
      <c r="L78" s="906" t="s">
        <v>3613</v>
      </c>
    </row>
    <row r="79" ht="152.25" customHeight="1">
      <c r="A79" s="904">
        <v>79.0</v>
      </c>
      <c r="B79" s="913" t="str">
        <f t="shared" si="5"/>
        <v/>
      </c>
      <c r="C79" s="906" t="s">
        <v>3614</v>
      </c>
      <c r="D79" s="904">
        <v>278.0</v>
      </c>
      <c r="E79" s="915" t="str">
        <f>IMAGE("https://m.media-amazon.com/images/I/717edTeWYZL._SL1500_.jpg",1)</f>
        <v/>
      </c>
      <c r="F79" s="906" t="s">
        <v>3615</v>
      </c>
      <c r="G79" s="904">
        <v>179.0</v>
      </c>
      <c r="H79" s="911" t="str">
        <f>IMAGE("https://5.imimg.com/data5/GU/RT/MY-2970994/bench-clamp.jpg",1)</f>
        <v/>
      </c>
      <c r="I79" s="906" t="s">
        <v>3616</v>
      </c>
      <c r="J79" s="904">
        <v>378.0</v>
      </c>
      <c r="K79" s="907" t="str">
        <f t="shared" si="3"/>
        <v/>
      </c>
      <c r="L79" s="906" t="s">
        <v>3617</v>
      </c>
    </row>
    <row r="80" ht="152.25" customHeight="1">
      <c r="A80" s="904">
        <v>80.0</v>
      </c>
      <c r="B80" s="914" t="str">
        <f>IMAGE("https://m.media-amazon.com/images/I/61WLNOGJ4JS.jpg")</f>
        <v/>
      </c>
      <c r="C80" s="906" t="s">
        <v>3618</v>
      </c>
      <c r="D80" s="904">
        <v>279.0</v>
      </c>
      <c r="E80" s="912" t="str">
        <f>IMAGE("https://robu.in/wp-content/uploads/2020/09/DC3-6V-130-DIY-Toy-Motor-2-Pcs.-1.png",1)</f>
        <v/>
      </c>
      <c r="F80" s="906" t="s">
        <v>3619</v>
      </c>
      <c r="G80" s="904">
        <v>180.0</v>
      </c>
      <c r="H80" s="915" t="str">
        <f>IMAGE("https://4.imimg.com/data4/TN/NP/MY-32886991/a4-colour-paper-500x500.jpg",1)</f>
        <v/>
      </c>
      <c r="I80" s="906" t="s">
        <v>3620</v>
      </c>
      <c r="J80" s="904">
        <v>379.0</v>
      </c>
      <c r="K80" s="907" t="str">
        <f t="shared" si="3"/>
        <v/>
      </c>
      <c r="L80" s="906" t="s">
        <v>3621</v>
      </c>
    </row>
    <row r="81" ht="152.25" customHeight="1">
      <c r="A81" s="904">
        <v>81.0</v>
      </c>
      <c r="B81" s="905" t="str">
        <f>IMAGE("https://m.media-amazon.com/images/W/MEDIAX_792452-T2/images/I/51UzU+2x3OS._SL1000_.jpg")</f>
        <v/>
      </c>
      <c r="C81" s="906" t="s">
        <v>3622</v>
      </c>
      <c r="D81" s="904">
        <v>280.0</v>
      </c>
      <c r="E81" s="917" t="str">
        <f>IMAGE("https://5.imimg.com/data5/PL/FV/MY-11916319/synthetic-angle-broom-500x500.jpg",1)</f>
        <v/>
      </c>
      <c r="F81" s="906" t="s">
        <v>3623</v>
      </c>
      <c r="G81" s="904">
        <v>181.0</v>
      </c>
      <c r="H81" s="915" t="str">
        <f>IMAGE("https://m.media-amazon.com/images/I/51W0ZrtkMsL._SX679_.jpg",1)</f>
        <v/>
      </c>
      <c r="I81" s="906" t="s">
        <v>3624</v>
      </c>
      <c r="J81" s="904">
        <v>380.0</v>
      </c>
      <c r="K81" s="907" t="str">
        <f t="shared" si="3"/>
        <v/>
      </c>
      <c r="L81" s="906" t="s">
        <v>3625</v>
      </c>
    </row>
    <row r="82" ht="152.25" customHeight="1">
      <c r="A82" s="904">
        <v>82.0</v>
      </c>
      <c r="B82" s="911" t="str">
        <f>IMAGE("https://m.media-amazon.com/images/I/71FtK1+vf0L._SL1500_.jpg",1)</f>
        <v/>
      </c>
      <c r="C82" s="906" t="s">
        <v>3626</v>
      </c>
      <c r="D82" s="904">
        <v>281.0</v>
      </c>
      <c r="E82" s="918" t="str">
        <f>IMAGE("https://m.media-amazon.com/images/W/MEDIAX_792452-T2/images/I/511g3IePVzL.jpg",1)</f>
        <v/>
      </c>
      <c r="F82" s="906" t="s">
        <v>3627</v>
      </c>
      <c r="G82" s="904">
        <v>182.0</v>
      </c>
      <c r="H82" s="916" t="str">
        <f>IMAGE("https://m.media-amazon.com/images/I/51FB8cHTJyL._SL1500_.jpg",1)</f>
        <v/>
      </c>
      <c r="I82" s="906" t="s">
        <v>3628</v>
      </c>
      <c r="J82" s="904">
        <v>381.0</v>
      </c>
      <c r="K82" s="907" t="str">
        <f t="shared" si="3"/>
        <v/>
      </c>
      <c r="L82" s="906" t="s">
        <v>3629</v>
      </c>
    </row>
    <row r="83" ht="152.25" customHeight="1">
      <c r="A83" s="904">
        <v>83.0</v>
      </c>
      <c r="B83" s="910" t="str">
        <f>IMAGE("https://5.imimg.com/data5/LA/TM/JO/SELLER-79394111/3d-printer-nylon-filament-500x500.jpg",1)</f>
        <v/>
      </c>
      <c r="C83" s="906" t="s">
        <v>3630</v>
      </c>
      <c r="D83" s="904">
        <v>282.0</v>
      </c>
      <c r="E83" s="911" t="str">
        <f>IMAGE("https://m.media-amazon.com/images/I/71NdWJD1LKL._SL1500_.jpg",1)</f>
        <v/>
      </c>
      <c r="F83" s="906" t="s">
        <v>3631</v>
      </c>
      <c r="G83" s="904">
        <v>183.0</v>
      </c>
      <c r="H83" s="911" t="str">
        <f>IMAGE("https://m.media-amazon.com/images/I/31u15vg7r0L._SX342_.jpg",1)</f>
        <v/>
      </c>
      <c r="I83" s="906" t="s">
        <v>3632</v>
      </c>
      <c r="J83" s="904">
        <v>382.0</v>
      </c>
      <c r="K83" s="907" t="str">
        <f t="shared" si="3"/>
        <v/>
      </c>
      <c r="L83" s="906" t="s">
        <v>3633</v>
      </c>
    </row>
    <row r="84" ht="152.25" customHeight="1">
      <c r="A84" s="904">
        <v>84.0</v>
      </c>
      <c r="B84" s="915" t="str">
        <f>IMAGE("https://imgs.michaels.com/MAM/assets/1/5E3C12034D34434F8A9BAAFDDF0F8E1B/img/5CDBB82051B44720A8F8901B4AABD77C/10446567_2.jpg",1)</f>
        <v/>
      </c>
      <c r="C84" s="906" t="s">
        <v>3634</v>
      </c>
      <c r="D84" s="904">
        <v>283.0</v>
      </c>
      <c r="E84" s="911" t="str">
        <f>IMAGE("https://5.imimg.com/data5/TS/AU/MY-11200044/steel-shaft-claw-hammer-500x500.jpg",1)</f>
        <v/>
      </c>
      <c r="F84" s="906" t="s">
        <v>3635</v>
      </c>
      <c r="G84" s="904">
        <v>184.0</v>
      </c>
      <c r="H84" s="915" t="str">
        <f>IMAGE("https://m.media-amazon.com/images/W/MEDIAX_792452-T2/images/I/611Q9E31rML._SL1500_.jpg",1)</f>
        <v/>
      </c>
      <c r="I84" s="906" t="s">
        <v>3636</v>
      </c>
      <c r="J84" s="904">
        <v>383.0</v>
      </c>
      <c r="K84" s="907" t="str">
        <f t="shared" si="3"/>
        <v/>
      </c>
      <c r="L84" s="906" t="s">
        <v>3637</v>
      </c>
    </row>
    <row r="85" ht="152.25" customHeight="1">
      <c r="A85" s="904">
        <v>85.0</v>
      </c>
      <c r="B85" s="913" t="str">
        <f>IMAGE("https://m.media-amazon.com/images/I/6161NXWtz-L._SL1500_.jpg",1)</f>
        <v/>
      </c>
      <c r="C85" s="906" t="s">
        <v>3638</v>
      </c>
      <c r="D85" s="904">
        <v>284.0</v>
      </c>
      <c r="E85" s="911" t="str">
        <f>IMAGE("https://res.cloudinary.com/rsc/image/upload/b_rgb:FFFFFF,c_pad,dpr_1.0,f_auto,q_auto,w_700/c_pad,w_700/C1985249-01",1)</f>
        <v/>
      </c>
      <c r="F85" s="906" t="s">
        <v>3639</v>
      </c>
      <c r="G85" s="904">
        <v>185.0</v>
      </c>
      <c r="H85" s="915" t="str">
        <f>IMAGE("https://www.sitaramstationers.com/wp-content/uploads/2022/01/Faber-Castell-Textile-Marker-5pcs.jpg",1)</f>
        <v/>
      </c>
      <c r="I85" s="906" t="s">
        <v>3640</v>
      </c>
      <c r="J85" s="904">
        <v>384.0</v>
      </c>
      <c r="K85" s="907" t="str">
        <f t="shared" si="3"/>
        <v/>
      </c>
      <c r="L85" s="906" t="s">
        <v>3641</v>
      </c>
    </row>
    <row r="86" ht="152.25" customHeight="1">
      <c r="A86" s="904">
        <v>86.0</v>
      </c>
      <c r="B86" s="915" t="str">
        <f>IMAGE("https://5.imimg.com/data5/AC/TD/VT/SELLER-14930302/milky-white-acrylic-sheet.jpg",1)</f>
        <v/>
      </c>
      <c r="C86" s="906" t="s">
        <v>3642</v>
      </c>
      <c r="D86" s="904">
        <v>285.0</v>
      </c>
      <c r="E86" s="911" t="str">
        <f>IMAGE("https://m.media-amazon.com/images/I/41XSpNsGoiL._SL1024_.jpg",1)</f>
        <v/>
      </c>
      <c r="F86" s="906" t="s">
        <v>3643</v>
      </c>
      <c r="G86" s="904">
        <v>186.0</v>
      </c>
      <c r="H86" s="912" t="str">
        <f>IMAGE("https://rukminim2.flixcart.com/image/832/832/xif0q/shopsy-electronic-hobby-kit/h/f/k/3-9-volt-dc-toy-motor-with-fan-blade-9v-battery-snapper-original-imagsksg7jpy8fyf.jpeg?q=70",1)</f>
        <v/>
      </c>
      <c r="I86" s="906" t="s">
        <v>3644</v>
      </c>
      <c r="J86" s="904">
        <v>385.0</v>
      </c>
      <c r="K86" s="907" t="str">
        <f t="shared" si="3"/>
        <v/>
      </c>
      <c r="L86" s="906" t="s">
        <v>3645</v>
      </c>
    </row>
    <row r="87" ht="152.25" customHeight="1">
      <c r="A87" s="904">
        <v>87.0</v>
      </c>
      <c r="B87" s="913" t="str">
        <f>IMAGE("https://makerbazar.in/cdn/shop/files/6015fanwithwire_600x.jpg?v=1695792315",1)</f>
        <v/>
      </c>
      <c r="C87" s="906" t="s">
        <v>3646</v>
      </c>
      <c r="D87" s="904">
        <v>286.0</v>
      </c>
      <c r="E87" s="911" t="str">
        <f>IMAGE("https://m.media-amazon.com/images/I/41V47za3aNL.jpg",1)</f>
        <v/>
      </c>
      <c r="F87" s="906" t="s">
        <v>3647</v>
      </c>
      <c r="G87" s="904">
        <v>187.0</v>
      </c>
      <c r="H87" s="913" t="str">
        <f>IMAGE("https://robotools.in/wp-content/uploads/2022/09/18650-x-2-battery-holder-with-cover-and-OnOff-Switch-5.jpg",1)</f>
        <v/>
      </c>
      <c r="I87" s="906" t="s">
        <v>3648</v>
      </c>
      <c r="J87" s="904">
        <v>386.0</v>
      </c>
      <c r="K87" s="907" t="str">
        <f t="shared" si="3"/>
        <v/>
      </c>
      <c r="L87" s="906" t="s">
        <v>3649</v>
      </c>
    </row>
    <row r="88" ht="152.25" customHeight="1">
      <c r="A88" s="904">
        <v>88.0</v>
      </c>
      <c r="B88" s="913" t="str">
        <f>IMAGE("https://www.electronicscomp.com/image/cache/catalog/esp8266-esp01-wifi-module-india-800x800.jpg",1)</f>
        <v/>
      </c>
      <c r="C88" s="906" t="s">
        <v>3650</v>
      </c>
      <c r="D88" s="904">
        <v>287.0</v>
      </c>
      <c r="E88" s="911" t="str">
        <f>IMAGE("https://5.imimg.com/data5/SELLER/Default/2021/8/PV/SU/PR/30592678/stanley-stht65242-8-6-piece-cushion-grip-screwdriver-set-1000x1000.jpg",1)</f>
        <v/>
      </c>
      <c r="F88" s="906" t="s">
        <v>3651</v>
      </c>
      <c r="G88" s="904">
        <v>188.0</v>
      </c>
      <c r="H88" s="913" t="str">
        <f>IMAGE("https://robu.in/wp-content/uploads/2021/05/0.5W-8OHM-Trumpet-Diameter-36mm-1.jpeg",1)</f>
        <v/>
      </c>
      <c r="I88" s="906" t="s">
        <v>3652</v>
      </c>
      <c r="J88" s="904">
        <v>387.0</v>
      </c>
      <c r="K88" s="907" t="str">
        <f t="shared" si="3"/>
        <v/>
      </c>
      <c r="L88" s="906" t="s">
        <v>3653</v>
      </c>
    </row>
    <row r="89" ht="152.25" customHeight="1">
      <c r="A89" s="904">
        <v>89.0</v>
      </c>
      <c r="B89" s="913" t="str">
        <f>IMAGE("https://images-na.ssl-images-amazon.com/images/I/51p4KPR9o1L.SS700.jpg",1)</f>
        <v/>
      </c>
      <c r="C89" s="906" t="s">
        <v>3654</v>
      </c>
      <c r="D89" s="904">
        <v>288.0</v>
      </c>
      <c r="E89" s="911" t="str">
        <f>IMAGE("https://cdn.bmstores.co.uk/images/hpcProductImage/imgFull/369783-stanley-sealant-gun-diy.jpg",1)</f>
        <v/>
      </c>
      <c r="F89" s="906" t="s">
        <v>3655</v>
      </c>
      <c r="G89" s="904">
        <v>189.0</v>
      </c>
      <c r="H89" s="913" t="str">
        <f>IMAGE("https://encrypted-tbn0.gstatic.com/images?q=tbn:ANd9GcR4A79FMiemvwjtYU3z1SGV0ayCZPtc8oNMobr5AuvlhGOJoeuq78aTh7JjRPQlfFrsXfE&amp;usqp=CAU",1)</f>
        <v/>
      </c>
      <c r="I89" s="906" t="s">
        <v>3656</v>
      </c>
      <c r="J89" s="904">
        <v>388.0</v>
      </c>
      <c r="K89" s="907" t="str">
        <f t="shared" si="3"/>
        <v/>
      </c>
      <c r="L89" s="906" t="s">
        <v>3657</v>
      </c>
    </row>
    <row r="90" ht="152.25" customHeight="1">
      <c r="A90" s="904">
        <v>90.0</v>
      </c>
      <c r="B90" s="920" t="str">
        <f>IMAGE("https://cdn.shopify.com/s/files/1/0559/1970/6265/products/1_9713a8db-db1e-42d0-a3e7-eebb7f66c4e9.jpg?v=1670581925",1)</f>
        <v/>
      </c>
      <c r="C90" s="906" t="s">
        <v>3658</v>
      </c>
      <c r="D90" s="904">
        <v>289.0</v>
      </c>
      <c r="E90" s="911" t="str">
        <f>IMAGE("https://m.media-amazon.com/images/I/71Ivg-yxQSL.jpg",1)</f>
        <v/>
      </c>
      <c r="F90" s="906" t="s">
        <v>3659</v>
      </c>
      <c r="G90" s="904">
        <v>190.0</v>
      </c>
      <c r="H90" s="913" t="str">
        <f>IMAGE("https://spectra.in/pub/media/catalog/product/cache/7e53def136a0cff9dfe2172d470c46ea/b/a/bafo_usb_a_male_to_mini_usb_b_cable_2.0_2.jpeg",1)</f>
        <v/>
      </c>
      <c r="I90" s="906" t="s">
        <v>3660</v>
      </c>
      <c r="J90" s="904">
        <v>389.0</v>
      </c>
      <c r="K90" s="907" t="str">
        <f t="shared" si="3"/>
        <v/>
      </c>
      <c r="L90" s="906" t="s">
        <v>3661</v>
      </c>
    </row>
    <row r="91" ht="152.25" customHeight="1">
      <c r="A91" s="904">
        <v>91.0</v>
      </c>
      <c r="B91" s="911" t="str">
        <f>IMAGE("https://cdn-reichelt.de/bilder/web/xxl_ws/I210/LEITZ_54166095.png",1)</f>
        <v/>
      </c>
      <c r="C91" s="906" t="s">
        <v>3662</v>
      </c>
      <c r="D91" s="904">
        <v>290.0</v>
      </c>
      <c r="E91" s="908" t="str">
        <f>IMAGE("https://cdn.moglix.com/p/oBWcDtePyNEFP.jpg",1)</f>
        <v/>
      </c>
      <c r="F91" s="906" t="s">
        <v>3663</v>
      </c>
      <c r="G91" s="904">
        <v>191.0</v>
      </c>
      <c r="H91" s="918" t="str">
        <f>IMAGE("https://m.media-amazon.com/images/W/MEDIAX_792452-T2/images/I/41OjS3jnL4L.jpg",1)</f>
        <v/>
      </c>
      <c r="I91" s="906" t="s">
        <v>3664</v>
      </c>
      <c r="J91" s="904">
        <v>390.0</v>
      </c>
      <c r="K91" s="907" t="str">
        <f t="shared" si="3"/>
        <v/>
      </c>
      <c r="L91" s="906" t="s">
        <v>3665</v>
      </c>
    </row>
    <row r="92" ht="152.25" customHeight="1">
      <c r="A92" s="904">
        <v>92.0</v>
      </c>
      <c r="B92" s="907" t="str">
        <f>IMAGE("https://projectpoint.in/image/cache/catalog/22uf-450v-672x504.jpg",1)</f>
        <v/>
      </c>
      <c r="C92" s="906" t="s">
        <v>3666</v>
      </c>
      <c r="D92" s="904">
        <v>291.0</v>
      </c>
      <c r="E92" s="805" t="str">
        <f>IMAGE("https://www.abdoslifesciences.com/wp-content/uploads/Wash-Bottle-LDPE-day-20376.jpg", 1)</f>
        <v/>
      </c>
      <c r="F92" s="906" t="s">
        <v>3667</v>
      </c>
      <c r="G92" s="904">
        <v>192.0</v>
      </c>
      <c r="H92" s="909" t="str">
        <f>IMAGE("https://m.media-amazon.com/images/I/5171LRi2a3L._SX522_.jpg", 1)</f>
        <v/>
      </c>
      <c r="I92" s="906" t="s">
        <v>3668</v>
      </c>
      <c r="J92" s="904">
        <v>391.0</v>
      </c>
      <c r="K92" s="907" t="str">
        <f t="shared" si="3"/>
        <v/>
      </c>
      <c r="L92" s="906" t="s">
        <v>3669</v>
      </c>
    </row>
    <row r="93" ht="152.25" customHeight="1">
      <c r="A93" s="904">
        <v>93.0</v>
      </c>
      <c r="B93" s="907" t="str">
        <f>IMAGE("https://projectpoint.in/image/cache/catalog/47uf-250v-672x504.jpg",1)</f>
        <v/>
      </c>
      <c r="C93" s="906" t="s">
        <v>3670</v>
      </c>
      <c r="D93" s="904">
        <v>292.0</v>
      </c>
      <c r="E93" s="909" t="str">
        <f>IMAGE("https://5.imimg.com/data5/AZ/OD/EC/SELLER-20177713/laboratory-slides-500x500.jpg",1)</f>
        <v/>
      </c>
      <c r="F93" s="906" t="s">
        <v>3671</v>
      </c>
      <c r="G93" s="904">
        <v>193.0</v>
      </c>
      <c r="H93" s="911" t="str">
        <f>IMAGE("https://5.imimg.com/data5/AO/GN/AU/SELLER-10873750/floppy-disk-1000x1000.jpg",1)</f>
        <v/>
      </c>
      <c r="I93" s="906" t="s">
        <v>3672</v>
      </c>
      <c r="J93" s="904">
        <v>392.0</v>
      </c>
      <c r="K93" s="907" t="str">
        <f t="shared" ref="K93:K94" si="6">IMAGE("https://m.media-amazon.com/images/W/MEDIAX_792452-T2/images/I/41A+MQfyyEL.jpg",1)</f>
        <v/>
      </c>
      <c r="L93" s="906" t="s">
        <v>3673</v>
      </c>
    </row>
    <row r="94" ht="152.25" customHeight="1">
      <c r="A94" s="904">
        <v>94.0</v>
      </c>
      <c r="B94" s="907" t="str">
        <f>IMAGE("https://new.sunrobotics.in/web/image/product.product/7775/image_1024/%5B10061%5D%2010uF%20Electrolytic%20Capacitor?unique=2e60387",1)</f>
        <v/>
      </c>
      <c r="C94" s="906" t="s">
        <v>3674</v>
      </c>
      <c r="D94" s="904">
        <v>293.0</v>
      </c>
      <c r="E94" s="911" t="str">
        <f>IMAGE("https://m.media-amazon.com/images/I/513ZkVzGbdL._AC_.jpg", 1)</f>
        <v/>
      </c>
      <c r="F94" s="906" t="s">
        <v>3675</v>
      </c>
      <c r="G94" s="904">
        <v>194.0</v>
      </c>
      <c r="H94" s="912" t="str">
        <f>IMAGE("https://m.media-amazon.com/images/I/31ALofIyvBL._SX466_.jpg",1)</f>
        <v/>
      </c>
      <c r="I94" s="906" t="s">
        <v>3676</v>
      </c>
      <c r="J94" s="904">
        <v>393.0</v>
      </c>
      <c r="K94" s="907" t="str">
        <f t="shared" si="6"/>
        <v/>
      </c>
      <c r="L94" s="906" t="s">
        <v>3677</v>
      </c>
    </row>
    <row r="95" ht="152.25" customHeight="1">
      <c r="A95" s="904">
        <v>95.0</v>
      </c>
      <c r="B95" s="805" t="str">
        <f>IMAGE("https://5.imimg.com/data5/XG/YW/VV/SELLER-219478/hot-plate-round-250x250.jpg",1)</f>
        <v/>
      </c>
      <c r="C95" s="906" t="s">
        <v>3678</v>
      </c>
      <c r="D95" s="904">
        <v>294.0</v>
      </c>
      <c r="E95" s="915" t="str">
        <f>IMAGE("https://encrypted-tbn0.gstatic.com/=IMAGEs?q=tbn:ANd9GcSdcvov5296EXdnf0Fj0qF-G6iK-nu0n6Z4THAWosUzBx_wQ7GuJyrL0Rnbt1uBxLroiao&amp;usqp=CAU",1)</f>
        <v/>
      </c>
      <c r="F95" s="906" t="s">
        <v>3679</v>
      </c>
      <c r="G95" s="904">
        <v>195.0</v>
      </c>
      <c r="H95" s="912" t="str">
        <f>IMAGE("https://m.media-amazon.com/images/I/51khY6g46VL._AC_SL1500_.jpg",1)</f>
        <v/>
      </c>
      <c r="I95" s="906" t="s">
        <v>3680</v>
      </c>
      <c r="J95" s="904">
        <v>394.0</v>
      </c>
      <c r="K95" s="915" t="str">
        <f>IMAGE("https://images-eu.ssl-images-amazon.com/images/I/41imfiqCBDL._AC_UL600_SR600,600_.jpg",1)</f>
        <v/>
      </c>
      <c r="L95" s="906" t="s">
        <v>3681</v>
      </c>
    </row>
    <row r="96" ht="152.25" customHeight="1">
      <c r="A96" s="904">
        <v>96.0</v>
      </c>
      <c r="B96" s="919" t="str">
        <f>IMAGE("https://robu.in/wp-content/uploads/2017/09/download-1-2.jpg",1)</f>
        <v/>
      </c>
      <c r="C96" s="906" t="s">
        <v>3682</v>
      </c>
      <c r="D96" s="904">
        <v>295.0</v>
      </c>
      <c r="E96" s="915" t="str">
        <f>IMAGE("https://i5.walmartimages.com/asr/093150f9-deec-44c1-a07d-a6985f3f45c7.dad44d94862d81eed55b6d8aef2937c1.jpeg?odnHeight=612&amp;odnWidth=612&amp;odnBg=FFFFFF",1)</f>
        <v/>
      </c>
      <c r="F96" s="906" t="s">
        <v>3683</v>
      </c>
      <c r="G96" s="904">
        <v>196.0</v>
      </c>
      <c r="H96" s="912" t="str">
        <f>IMAGE("https://etstore.in/wp-content/uploads/2021/12/IMG_20201130_100203.png",1)</f>
        <v/>
      </c>
      <c r="I96" s="906" t="s">
        <v>3684</v>
      </c>
      <c r="J96" s="904">
        <v>395.0</v>
      </c>
      <c r="K96" s="915" t="str">
        <f>IMAGE("https://3.imimg.com/data3/HA/PB/MY-3231014/sewing-needle.jpg",1)</f>
        <v/>
      </c>
      <c r="L96" s="906" t="s">
        <v>3685</v>
      </c>
    </row>
    <row r="97" ht="152.25" customHeight="1">
      <c r="A97" s="904">
        <v>97.0</v>
      </c>
      <c r="B97" s="919" t="str">
        <f>IMAGE("https://media.distrelec.com/Web/WebShopImages/landscape_large/7-/01/Adafruit_163_30129187-01.jpg",1)</f>
        <v/>
      </c>
      <c r="C97" s="906" t="s">
        <v>3686</v>
      </c>
      <c r="D97" s="904">
        <v>296.0</v>
      </c>
      <c r="E97" s="907" t="str">
        <f>IMAGE("https://www.electronicscomp.com/image/cache/catalog/irfz44-n-channel-power-mosfet-1-800x800.JPG",1)</f>
        <v/>
      </c>
      <c r="F97" s="906" t="s">
        <v>3687</v>
      </c>
      <c r="G97" s="904">
        <v>197.0</v>
      </c>
      <c r="H97" s="912" t="str">
        <f>IMAGE("https://m.media-amazon.com/images/I/71UDXftBeaL._SX466_.jpg",1)</f>
        <v/>
      </c>
      <c r="I97" s="906" t="s">
        <v>3688</v>
      </c>
      <c r="J97" s="904">
        <v>396.0</v>
      </c>
      <c r="K97" s="915" t="str">
        <f>IMAGE("https://m.media-amazon.com/images/I/61ywjiydpbS._SL1500_.jpg",1)</f>
        <v/>
      </c>
      <c r="L97" s="906" t="s">
        <v>3689</v>
      </c>
    </row>
    <row r="98" ht="152.25" customHeight="1">
      <c r="A98" s="904">
        <v>98.0</v>
      </c>
      <c r="B98" s="905" t="str">
        <f>IMAGE("https://encrypted-tbn1.gstatic.com/shopping?q=tbn:ANd9GcSwk1vUmWwFhmXgluT27_kpt_1XbFeMGM9voPktN2V8FycBha0_9qycLyoE5G3LsPm9IAaz9ZK9JsFmIAo5gwJtywrUheHD9Zzv6NIaMNLbw1go2XSC6Z0l&amp;usqp=CAE",1)</f>
        <v/>
      </c>
      <c r="C98" s="906" t="s">
        <v>3690</v>
      </c>
      <c r="D98" s="904">
        <v>297.0</v>
      </c>
      <c r="E98" s="918" t="str">
        <f>IMAGE("https://5.imimg.com/data5/SELLER/Default/2022/1/IK/KY/AC/131638211/31tvrpe7ijl-500x500.jpg")</f>
        <v/>
      </c>
      <c r="F98" s="906" t="s">
        <v>3691</v>
      </c>
      <c r="G98" s="904">
        <v>198.0</v>
      </c>
      <c r="H98" s="912" t="str">
        <f>IMAGE("https://m.media-amazon.com/images/I/4116hBQx0XL._SX425_.jpg",1)</f>
        <v/>
      </c>
      <c r="I98" s="906" t="s">
        <v>3692</v>
      </c>
      <c r="J98" s="904">
        <v>397.0</v>
      </c>
      <c r="K98" s="915" t="str">
        <f>IMAGE("https://5.imimg.com/data5/UH/JG/MY-4558736/1-500x500.jpg",1)</f>
        <v/>
      </c>
      <c r="L98" s="906" t="s">
        <v>3693</v>
      </c>
    </row>
    <row r="99" ht="152.25" customHeight="1">
      <c r="A99" s="904">
        <v>99.0</v>
      </c>
      <c r="B99" s="919" t="str">
        <f>IMAGE("https://m.media-amazon.com/images/W/MEDIAX_792452-T2/images/I/61QNSpIV-GL._SL1000_.jpg",1)</f>
        <v/>
      </c>
      <c r="C99" s="906" t="s">
        <v>3694</v>
      </c>
      <c r="D99" s="904">
        <v>298.0</v>
      </c>
      <c r="E99" s="918" t="str">
        <f>IMAGE("https://m.media-amazon.com/images/W/MEDIAX_792452-T2/images/I/419leG1YjXL.jpg",1)</f>
        <v/>
      </c>
      <c r="F99" s="906" t="s">
        <v>3695</v>
      </c>
      <c r="G99" s="904">
        <v>199.0</v>
      </c>
      <c r="H99" s="907" t="str">
        <f>IMAGE("https://www.ato.com/content/images/thumbs/0011952_01f-50v-disc-ceramic-capacitor_550.jpeg",1)</f>
        <v/>
      </c>
      <c r="I99" s="906" t="s">
        <v>3696</v>
      </c>
      <c r="J99" s="904">
        <v>398.0</v>
      </c>
      <c r="K99" s="909" t="str">
        <f>IMAGE("https://cdn11.bigcommerce.com/s-ilgxsy4t82/images/stencil/1280x1280/products/26974/38601/71FdxYsnfeS__33053.1656738044.jpg?c=1&amp;imbypass=on", 1)</f>
        <v/>
      </c>
      <c r="L99" s="906" t="s">
        <v>3697</v>
      </c>
    </row>
    <row r="100" ht="152.25" customHeight="1">
      <c r="A100" s="904">
        <v>100.0</v>
      </c>
      <c r="B100" s="919" t="str">
        <f>IMAGE("https://makerbazar.in/cdn/shop/products/Untitled-1_39_1_60x.jpg?v=1637233670",1)</f>
        <v/>
      </c>
      <c r="C100" s="906" t="s">
        <v>3698</v>
      </c>
      <c r="D100" s="904">
        <v>299.0</v>
      </c>
      <c r="E100" s="909" t="str">
        <f>IMAGE("https://www.reagecon.com/product/image/medium/6267270_1.jpg",1)</f>
        <v/>
      </c>
      <c r="F100" s="906" t="s">
        <v>3699</v>
      </c>
      <c r="G100" s="904">
        <v>300.0</v>
      </c>
      <c r="H100" s="923" t="str">
        <f>IMAGE("https://m.media-amazon.com/images/W/MEDIAX_792452-T2/images/I/61bweaSSVhL._SL1500_.jpg", 1)</f>
        <v/>
      </c>
      <c r="I100" s="906" t="s">
        <v>3700</v>
      </c>
      <c r="J100" s="924"/>
      <c r="K100" s="924"/>
      <c r="L100" s="924"/>
    </row>
    <row r="101" ht="152.25" customHeight="1">
      <c r="A101" s="904">
        <v>203.0</v>
      </c>
      <c r="B101" s="907" t="str">
        <f>IMAGE("https://projectpoint.in/image/cache/catalog/103-672x504.jpg",1)</f>
        <v/>
      </c>
      <c r="C101" s="906" t="s">
        <v>3315</v>
      </c>
      <c r="D101" s="904">
        <v>301.0</v>
      </c>
      <c r="E101" s="923" t="str">
        <f>IMAGE("https://asia.blackanddecker.global/ASIA/PRODUCT/IMAGES/HIRES/RT18KA-B1/RT18KA_1.jpg?resize=530x530", 1)</f>
        <v/>
      </c>
      <c r="F101" s="906" t="s">
        <v>3701</v>
      </c>
      <c r="G101" s="904">
        <v>302.0</v>
      </c>
      <c r="H101" s="923" t="str">
        <f>IMAGE("https://5.imimg.com/data5/SELLER/Default/2023/5/311302937/IM/IY/MO/34533827/safety-rubber-apron-1000x1000.jpg", 1)</f>
        <v/>
      </c>
      <c r="I101" s="906" t="s">
        <v>3702</v>
      </c>
    </row>
    <row r="102" ht="152.25" customHeight="1">
      <c r="A102" s="767"/>
      <c r="B102" s="925"/>
      <c r="C102" s="926"/>
    </row>
    <row r="103" ht="152.25" customHeight="1">
      <c r="A103" s="767"/>
      <c r="B103" s="925"/>
      <c r="C103" s="926"/>
    </row>
    <row r="104" ht="152.25" customHeight="1">
      <c r="A104" s="767"/>
      <c r="B104" s="925"/>
      <c r="C104" s="926"/>
    </row>
    <row r="105" ht="152.25" customHeight="1">
      <c r="A105" s="767"/>
      <c r="B105" s="925"/>
      <c r="C105" s="926"/>
    </row>
    <row r="106" ht="152.25" customHeight="1">
      <c r="A106" s="767"/>
      <c r="B106" s="925"/>
      <c r="C106" s="926"/>
    </row>
    <row r="107" ht="152.25" customHeight="1">
      <c r="A107" s="767"/>
      <c r="B107" s="925"/>
      <c r="C107" s="926"/>
    </row>
    <row r="108" ht="152.25" customHeight="1">
      <c r="A108" s="767"/>
      <c r="B108" s="925"/>
      <c r="C108" s="926"/>
    </row>
    <row r="109" ht="152.25" customHeight="1">
      <c r="A109" s="767"/>
      <c r="B109" s="925"/>
      <c r="C109" s="926"/>
    </row>
    <row r="110" ht="152.25" customHeight="1">
      <c r="A110" s="767"/>
      <c r="B110" s="925"/>
      <c r="C110" s="926"/>
    </row>
    <row r="111" ht="152.25" customHeight="1">
      <c r="A111" s="767"/>
      <c r="B111" s="925"/>
      <c r="C111" s="926"/>
    </row>
    <row r="112" ht="152.25" customHeight="1">
      <c r="A112" s="767"/>
      <c r="B112" s="925"/>
      <c r="C112" s="926"/>
    </row>
    <row r="113" ht="152.25" customHeight="1">
      <c r="A113" s="767"/>
      <c r="B113" s="925"/>
      <c r="C113" s="926"/>
    </row>
    <row r="114" ht="152.25" customHeight="1">
      <c r="A114" s="767"/>
      <c r="B114" s="925"/>
      <c r="C114" s="926"/>
    </row>
    <row r="115" ht="152.25" customHeight="1">
      <c r="A115" s="767"/>
      <c r="B115" s="925"/>
      <c r="C115" s="926"/>
    </row>
    <row r="116" ht="152.25" customHeight="1">
      <c r="A116" s="767"/>
      <c r="B116" s="925"/>
      <c r="C116" s="926"/>
    </row>
    <row r="117" ht="152.25" customHeight="1">
      <c r="A117" s="767"/>
      <c r="B117" s="925"/>
      <c r="C117" s="926"/>
    </row>
    <row r="118" ht="152.25" customHeight="1">
      <c r="A118" s="767"/>
      <c r="B118" s="925"/>
      <c r="C118" s="926"/>
    </row>
    <row r="119" ht="152.25" customHeight="1">
      <c r="A119" s="767"/>
      <c r="B119" s="925"/>
      <c r="C119" s="926"/>
    </row>
    <row r="120" ht="152.25" customHeight="1">
      <c r="A120" s="767"/>
      <c r="B120" s="925"/>
      <c r="C120" s="926"/>
    </row>
    <row r="121" ht="152.25" customHeight="1">
      <c r="A121" s="767"/>
      <c r="B121" s="925"/>
      <c r="C121" s="926"/>
    </row>
    <row r="122" ht="152.25" customHeight="1">
      <c r="A122" s="767"/>
      <c r="B122" s="925"/>
      <c r="C122" s="926"/>
    </row>
    <row r="123" ht="152.25" customHeight="1">
      <c r="A123" s="767"/>
      <c r="B123" s="925"/>
      <c r="C123" s="926"/>
    </row>
    <row r="124" ht="152.25" customHeight="1">
      <c r="A124" s="767"/>
      <c r="B124" s="925"/>
      <c r="C124" s="926"/>
    </row>
    <row r="125" ht="152.25" customHeight="1">
      <c r="A125" s="767"/>
      <c r="B125" s="925"/>
      <c r="C125" s="926"/>
    </row>
    <row r="126" ht="152.25" customHeight="1">
      <c r="A126" s="767"/>
      <c r="B126" s="925"/>
      <c r="C126" s="926"/>
    </row>
    <row r="127" ht="152.25" customHeight="1">
      <c r="A127" s="767"/>
      <c r="B127" s="925"/>
      <c r="C127" s="926"/>
    </row>
    <row r="128" ht="152.25" customHeight="1">
      <c r="A128" s="767"/>
      <c r="B128" s="925"/>
      <c r="C128" s="926"/>
    </row>
    <row r="129" ht="152.25" customHeight="1">
      <c r="A129" s="767"/>
      <c r="B129" s="925"/>
      <c r="C129" s="926"/>
    </row>
    <row r="130" ht="152.25" customHeight="1">
      <c r="A130" s="767"/>
      <c r="B130" s="925"/>
      <c r="C130" s="926"/>
    </row>
    <row r="131" ht="152.25" customHeight="1">
      <c r="A131" s="767"/>
      <c r="B131" s="925"/>
      <c r="C131" s="926"/>
    </row>
    <row r="132" ht="152.25" customHeight="1">
      <c r="A132" s="767"/>
      <c r="B132" s="925"/>
      <c r="C132" s="926"/>
    </row>
    <row r="133" ht="152.25" customHeight="1">
      <c r="A133" s="767"/>
      <c r="B133" s="925"/>
      <c r="C133" s="926"/>
    </row>
    <row r="134" ht="152.25" customHeight="1">
      <c r="A134" s="767"/>
      <c r="B134" s="925"/>
      <c r="C134" s="926"/>
    </row>
    <row r="135" ht="152.25" customHeight="1">
      <c r="A135" s="767"/>
      <c r="B135" s="925"/>
      <c r="C135" s="926"/>
    </row>
    <row r="136" ht="152.25" customHeight="1">
      <c r="A136" s="767"/>
      <c r="B136" s="925"/>
      <c r="C136" s="926"/>
    </row>
    <row r="137" ht="152.25" customHeight="1">
      <c r="A137" s="767"/>
      <c r="B137" s="925"/>
      <c r="C137" s="926"/>
    </row>
    <row r="138" ht="152.25" customHeight="1">
      <c r="A138" s="767"/>
      <c r="B138" s="925"/>
      <c r="C138" s="926"/>
    </row>
    <row r="139" ht="152.25" customHeight="1">
      <c r="A139" s="767"/>
      <c r="B139" s="925"/>
      <c r="C139" s="926"/>
    </row>
    <row r="140" ht="152.25" customHeight="1">
      <c r="A140" s="767"/>
      <c r="B140" s="925"/>
      <c r="C140" s="926"/>
    </row>
    <row r="141" ht="152.25" customHeight="1">
      <c r="A141" s="767"/>
      <c r="B141" s="925"/>
      <c r="C141" s="926"/>
    </row>
    <row r="142" ht="152.25" customHeight="1">
      <c r="A142" s="767"/>
      <c r="B142" s="925"/>
      <c r="C142" s="926"/>
    </row>
    <row r="143" ht="152.25" customHeight="1">
      <c r="A143" s="767"/>
      <c r="B143" s="925"/>
      <c r="C143" s="926"/>
    </row>
    <row r="144" ht="152.25" customHeight="1">
      <c r="A144" s="767"/>
      <c r="B144" s="925"/>
      <c r="C144" s="926"/>
    </row>
    <row r="145" ht="152.25" customHeight="1">
      <c r="A145" s="767"/>
      <c r="B145" s="925"/>
      <c r="C145" s="926"/>
    </row>
    <row r="146" ht="152.25" customHeight="1">
      <c r="A146" s="767"/>
      <c r="B146" s="925"/>
      <c r="C146" s="926"/>
    </row>
    <row r="147" ht="152.25" customHeight="1">
      <c r="A147" s="767"/>
      <c r="B147" s="925"/>
      <c r="C147" s="926"/>
    </row>
    <row r="148" ht="152.25" customHeight="1">
      <c r="A148" s="767"/>
      <c r="B148" s="925"/>
      <c r="C148" s="926"/>
    </row>
    <row r="149" ht="152.25" customHeight="1">
      <c r="A149" s="767"/>
      <c r="B149" s="925"/>
      <c r="C149" s="926"/>
    </row>
    <row r="150" ht="152.25" customHeight="1">
      <c r="A150" s="767"/>
      <c r="B150" s="925"/>
      <c r="C150" s="926"/>
    </row>
    <row r="151" ht="152.25" customHeight="1">
      <c r="A151" s="767"/>
      <c r="B151" s="925"/>
      <c r="C151" s="926"/>
    </row>
    <row r="152" ht="152.25" customHeight="1">
      <c r="A152" s="767"/>
      <c r="B152" s="925"/>
      <c r="C152" s="926"/>
    </row>
    <row r="153" ht="152.25" customHeight="1">
      <c r="A153" s="767"/>
      <c r="B153" s="925"/>
      <c r="C153" s="926"/>
    </row>
    <row r="154" ht="152.25" customHeight="1">
      <c r="A154" s="767"/>
      <c r="B154" s="925"/>
      <c r="C154" s="926"/>
    </row>
    <row r="155" ht="152.25" customHeight="1">
      <c r="A155" s="767"/>
      <c r="B155" s="925"/>
      <c r="C155" s="926"/>
    </row>
    <row r="156" ht="152.25" customHeight="1">
      <c r="A156" s="767"/>
      <c r="B156" s="925"/>
      <c r="C156" s="926"/>
    </row>
    <row r="157" ht="152.25" customHeight="1">
      <c r="A157" s="767"/>
      <c r="B157" s="925"/>
      <c r="C157" s="926"/>
    </row>
    <row r="158" ht="152.25" customHeight="1">
      <c r="A158" s="767"/>
      <c r="B158" s="925"/>
      <c r="C158" s="926"/>
    </row>
    <row r="159" ht="152.25" customHeight="1">
      <c r="A159" s="767"/>
      <c r="B159" s="925"/>
      <c r="C159" s="926"/>
    </row>
    <row r="160" ht="152.25" customHeight="1">
      <c r="A160" s="767"/>
      <c r="B160" s="925"/>
      <c r="C160" s="926"/>
    </row>
    <row r="161" ht="152.25" customHeight="1">
      <c r="A161" s="767"/>
      <c r="B161" s="925"/>
      <c r="C161" s="926"/>
    </row>
    <row r="162" ht="152.25" customHeight="1">
      <c r="A162" s="767"/>
      <c r="B162" s="925"/>
      <c r="C162" s="926"/>
    </row>
    <row r="163" ht="152.25" customHeight="1">
      <c r="A163" s="767"/>
      <c r="B163" s="925"/>
      <c r="C163" s="926"/>
    </row>
    <row r="164" ht="152.25" customHeight="1">
      <c r="A164" s="767"/>
      <c r="B164" s="925"/>
      <c r="C164" s="926"/>
    </row>
    <row r="165" ht="152.25" customHeight="1">
      <c r="A165" s="767"/>
      <c r="B165" s="925"/>
      <c r="C165" s="926"/>
    </row>
    <row r="166" ht="152.25" customHeight="1">
      <c r="A166" s="767"/>
      <c r="B166" s="925"/>
      <c r="C166" s="926"/>
    </row>
    <row r="167" ht="152.25" customHeight="1">
      <c r="A167" s="767"/>
      <c r="B167" s="925"/>
      <c r="C167" s="926"/>
    </row>
    <row r="168" ht="152.25" customHeight="1">
      <c r="A168" s="767"/>
      <c r="B168" s="925"/>
      <c r="C168" s="926"/>
    </row>
    <row r="169" ht="152.25" customHeight="1">
      <c r="A169" s="767"/>
      <c r="B169" s="925"/>
      <c r="C169" s="926"/>
    </row>
    <row r="170" ht="152.25" customHeight="1">
      <c r="A170" s="767"/>
      <c r="B170" s="925"/>
      <c r="C170" s="926"/>
    </row>
    <row r="171" ht="152.25" customHeight="1">
      <c r="A171" s="767"/>
      <c r="B171" s="925"/>
      <c r="C171" s="926"/>
    </row>
    <row r="172" ht="152.25" customHeight="1">
      <c r="A172" s="767"/>
      <c r="B172" s="925"/>
      <c r="C172" s="926"/>
    </row>
    <row r="173" ht="152.25" customHeight="1">
      <c r="A173" s="767"/>
      <c r="B173" s="925"/>
      <c r="C173" s="926"/>
    </row>
    <row r="174" ht="152.25" customHeight="1">
      <c r="A174" s="767"/>
      <c r="B174" s="925"/>
      <c r="C174" s="926"/>
    </row>
    <row r="175" ht="152.25" customHeight="1">
      <c r="A175" s="767"/>
      <c r="B175" s="925"/>
      <c r="C175" s="926"/>
    </row>
    <row r="176" ht="152.25" customHeight="1">
      <c r="A176" s="767"/>
      <c r="B176" s="925"/>
      <c r="C176" s="926"/>
    </row>
    <row r="177" ht="152.25" customHeight="1">
      <c r="A177" s="767"/>
      <c r="B177" s="925"/>
      <c r="C177" s="926"/>
    </row>
    <row r="178" ht="152.25" customHeight="1">
      <c r="A178" s="767"/>
      <c r="B178" s="925"/>
      <c r="C178" s="926"/>
    </row>
    <row r="179" ht="152.25" customHeight="1">
      <c r="A179" s="767"/>
      <c r="B179" s="925"/>
      <c r="C179" s="926"/>
    </row>
    <row r="180" ht="152.25" customHeight="1">
      <c r="A180" s="767"/>
      <c r="B180" s="925"/>
      <c r="C180" s="926"/>
    </row>
    <row r="181" ht="152.25" customHeight="1">
      <c r="A181" s="767"/>
      <c r="B181" s="925"/>
      <c r="C181" s="926"/>
    </row>
    <row r="182" ht="152.25" customHeight="1">
      <c r="A182" s="767"/>
      <c r="B182" s="925"/>
      <c r="C182" s="926"/>
    </row>
    <row r="183" ht="152.25" customHeight="1">
      <c r="A183" s="767"/>
      <c r="B183" s="925"/>
      <c r="C183" s="926"/>
    </row>
    <row r="184" ht="152.25" customHeight="1">
      <c r="A184" s="767"/>
      <c r="B184" s="925"/>
      <c r="C184" s="926"/>
    </row>
    <row r="185" ht="152.25" customHeight="1">
      <c r="A185" s="767"/>
      <c r="B185" s="925"/>
      <c r="C185" s="926"/>
    </row>
    <row r="186" ht="152.25" customHeight="1">
      <c r="A186" s="767"/>
      <c r="B186" s="925"/>
      <c r="C186" s="926"/>
    </row>
    <row r="187" ht="152.25" customHeight="1">
      <c r="A187" s="767"/>
      <c r="B187" s="925"/>
      <c r="C187" s="926"/>
    </row>
    <row r="188" ht="152.25" customHeight="1">
      <c r="A188" s="767"/>
      <c r="B188" s="925"/>
      <c r="C188" s="926"/>
    </row>
    <row r="189" ht="152.25" customHeight="1">
      <c r="A189" s="767"/>
      <c r="B189" s="925"/>
      <c r="C189" s="926"/>
    </row>
    <row r="190" ht="152.25" customHeight="1">
      <c r="A190" s="767"/>
      <c r="B190" s="925"/>
      <c r="C190" s="926"/>
    </row>
    <row r="191" ht="152.25" customHeight="1">
      <c r="A191" s="767"/>
      <c r="B191" s="925"/>
      <c r="C191" s="926"/>
    </row>
    <row r="192" ht="152.25" customHeight="1">
      <c r="A192" s="767"/>
      <c r="B192" s="925"/>
      <c r="C192" s="926"/>
    </row>
    <row r="193" ht="152.25" customHeight="1">
      <c r="A193" s="767"/>
      <c r="B193" s="925"/>
      <c r="C193" s="926"/>
    </row>
    <row r="194" ht="152.25" customHeight="1">
      <c r="A194" s="767"/>
      <c r="B194" s="925"/>
      <c r="C194" s="926"/>
    </row>
    <row r="195" ht="152.25" customHeight="1">
      <c r="A195" s="767"/>
      <c r="B195" s="925"/>
      <c r="C195" s="926"/>
    </row>
    <row r="196" ht="152.25" customHeight="1">
      <c r="A196" s="767"/>
      <c r="B196" s="925"/>
      <c r="C196" s="926"/>
    </row>
    <row r="197" ht="152.25" customHeight="1">
      <c r="A197" s="767"/>
      <c r="B197" s="925"/>
      <c r="C197" s="926"/>
    </row>
    <row r="198" ht="152.25" customHeight="1">
      <c r="A198" s="767"/>
      <c r="B198" s="925"/>
      <c r="C198" s="926"/>
    </row>
    <row r="199" ht="152.25" customHeight="1">
      <c r="A199" s="767"/>
      <c r="B199" s="925"/>
      <c r="C199" s="926"/>
    </row>
    <row r="200" ht="152.25" customHeight="1">
      <c r="A200" s="767"/>
      <c r="B200" s="12"/>
      <c r="C200" s="926"/>
    </row>
    <row r="201" ht="152.25" customHeight="1">
      <c r="A201" s="767"/>
      <c r="B201" s="12"/>
      <c r="C201" s="926"/>
    </row>
    <row r="202" ht="152.25" customHeight="1">
      <c r="A202" s="767"/>
      <c r="B202" s="12"/>
      <c r="C202" s="926"/>
    </row>
    <row r="203" ht="152.25" customHeight="1">
      <c r="A203" s="767"/>
      <c r="B203" s="12"/>
      <c r="C203" s="926"/>
    </row>
    <row r="204" ht="152.25" customHeight="1">
      <c r="A204" s="767"/>
      <c r="B204" s="12"/>
      <c r="C204" s="926"/>
    </row>
    <row r="205" ht="152.25" customHeight="1">
      <c r="A205" s="767"/>
      <c r="B205" s="12"/>
      <c r="C205" s="926"/>
    </row>
    <row r="206" ht="152.25" customHeight="1">
      <c r="A206" s="767"/>
      <c r="B206" s="12"/>
      <c r="C206" s="926"/>
    </row>
    <row r="207" ht="152.25" customHeight="1">
      <c r="A207" s="767"/>
      <c r="B207" s="12"/>
      <c r="C207" s="926"/>
    </row>
    <row r="208" ht="152.25" customHeight="1">
      <c r="A208" s="767"/>
      <c r="B208" s="12"/>
      <c r="C208" s="926"/>
    </row>
    <row r="209" ht="152.25" customHeight="1">
      <c r="A209" s="767"/>
      <c r="B209" s="12"/>
      <c r="C209" s="926"/>
    </row>
    <row r="210" ht="152.25" customHeight="1">
      <c r="A210" s="767"/>
      <c r="B210" s="12"/>
      <c r="C210" s="926"/>
    </row>
    <row r="211" ht="152.25" customHeight="1">
      <c r="A211" s="767"/>
      <c r="B211" s="12"/>
      <c r="C211" s="926"/>
    </row>
    <row r="212" ht="152.25" customHeight="1">
      <c r="A212" s="767"/>
      <c r="B212" s="12"/>
      <c r="C212" s="926"/>
    </row>
    <row r="213" ht="152.25" customHeight="1">
      <c r="A213" s="767"/>
      <c r="B213" s="12"/>
      <c r="C213" s="926"/>
    </row>
    <row r="214" ht="152.25" customHeight="1">
      <c r="A214" s="767"/>
      <c r="B214" s="12"/>
      <c r="C214" s="926"/>
    </row>
    <row r="215" ht="152.25" customHeight="1">
      <c r="A215" s="767"/>
      <c r="B215" s="12"/>
      <c r="C215" s="926"/>
    </row>
    <row r="216" ht="152.25" customHeight="1">
      <c r="A216" s="767"/>
      <c r="B216" s="12"/>
      <c r="C216" s="926"/>
    </row>
    <row r="217" ht="152.25" customHeight="1">
      <c r="A217" s="767"/>
      <c r="B217" s="12"/>
      <c r="C217" s="926"/>
    </row>
    <row r="218" ht="152.25" customHeight="1">
      <c r="A218" s="767"/>
      <c r="B218" s="12"/>
      <c r="C218" s="926"/>
    </row>
    <row r="219" ht="152.25" customHeight="1">
      <c r="A219" s="767"/>
      <c r="B219" s="12"/>
      <c r="C219" s="926"/>
    </row>
    <row r="220" ht="152.25" customHeight="1">
      <c r="A220" s="767"/>
      <c r="B220" s="12"/>
      <c r="C220" s="926"/>
    </row>
    <row r="221" ht="152.25" customHeight="1">
      <c r="A221" s="767"/>
      <c r="B221" s="12"/>
      <c r="C221" s="926"/>
    </row>
    <row r="222" ht="152.25" customHeight="1">
      <c r="A222" s="767"/>
      <c r="B222" s="12"/>
      <c r="C222" s="926"/>
    </row>
    <row r="223" ht="152.25" customHeight="1">
      <c r="A223" s="767"/>
      <c r="B223" s="12"/>
      <c r="C223" s="926"/>
    </row>
    <row r="224" ht="152.25" customHeight="1">
      <c r="A224" s="767"/>
      <c r="B224" s="12"/>
      <c r="C224" s="926"/>
    </row>
    <row r="225" ht="152.25" customHeight="1">
      <c r="A225" s="767"/>
      <c r="B225" s="12"/>
      <c r="C225" s="926"/>
    </row>
    <row r="226" ht="152.25" customHeight="1">
      <c r="A226" s="767"/>
      <c r="B226" s="12"/>
      <c r="C226" s="926"/>
    </row>
    <row r="227" ht="152.25" customHeight="1">
      <c r="A227" s="767"/>
      <c r="B227" s="12"/>
      <c r="C227" s="926"/>
    </row>
    <row r="228" ht="152.25" customHeight="1">
      <c r="A228" s="767"/>
      <c r="B228" s="12"/>
      <c r="C228" s="926"/>
    </row>
    <row r="229" ht="152.25" customHeight="1">
      <c r="A229" s="767"/>
      <c r="B229" s="12"/>
      <c r="C229" s="926"/>
    </row>
    <row r="230" ht="152.25" customHeight="1">
      <c r="A230" s="767"/>
      <c r="B230" s="12"/>
      <c r="C230" s="926"/>
    </row>
    <row r="231" ht="152.25" customHeight="1">
      <c r="A231" s="767"/>
      <c r="B231" s="12"/>
      <c r="C231" s="926"/>
    </row>
    <row r="232" ht="152.25" customHeight="1">
      <c r="A232" s="767"/>
      <c r="B232" s="12"/>
      <c r="C232" s="926"/>
    </row>
    <row r="233" ht="152.25" customHeight="1">
      <c r="A233" s="767"/>
      <c r="B233" s="12"/>
      <c r="C233" s="926"/>
    </row>
    <row r="234" ht="152.25" customHeight="1">
      <c r="A234" s="767"/>
      <c r="B234" s="12"/>
      <c r="C234" s="926"/>
    </row>
    <row r="235" ht="152.25" customHeight="1">
      <c r="A235" s="767"/>
      <c r="B235" s="12"/>
      <c r="C235" s="926"/>
    </row>
    <row r="236" ht="152.25" customHeight="1">
      <c r="A236" s="767"/>
      <c r="B236" s="12"/>
      <c r="C236" s="926"/>
    </row>
    <row r="237" ht="152.25" customHeight="1">
      <c r="A237" s="767"/>
      <c r="B237" s="12"/>
      <c r="C237" s="926"/>
    </row>
    <row r="238" ht="152.25" customHeight="1">
      <c r="A238" s="767"/>
      <c r="B238" s="12"/>
      <c r="C238" s="926"/>
    </row>
    <row r="239" ht="152.25" customHeight="1">
      <c r="A239" s="767"/>
      <c r="B239" s="12"/>
      <c r="C239" s="926"/>
    </row>
    <row r="240" ht="152.25" customHeight="1">
      <c r="A240" s="767"/>
      <c r="B240" s="12"/>
      <c r="C240" s="926"/>
    </row>
    <row r="241" ht="152.25" customHeight="1">
      <c r="A241" s="767"/>
      <c r="B241" s="12"/>
      <c r="C241" s="926"/>
    </row>
    <row r="242" ht="152.25" customHeight="1">
      <c r="A242" s="767"/>
      <c r="B242" s="12"/>
      <c r="C242" s="926"/>
    </row>
    <row r="243" ht="152.25" customHeight="1">
      <c r="A243" s="767"/>
      <c r="B243" s="12"/>
      <c r="C243" s="926"/>
    </row>
    <row r="244" ht="152.25" customHeight="1">
      <c r="A244" s="767"/>
      <c r="B244" s="12"/>
      <c r="C244" s="926"/>
    </row>
    <row r="245" ht="152.25" customHeight="1">
      <c r="A245" s="767"/>
      <c r="B245" s="12"/>
      <c r="C245" s="926"/>
    </row>
    <row r="246" ht="152.25" customHeight="1">
      <c r="A246" s="767"/>
      <c r="B246" s="12"/>
      <c r="C246" s="926"/>
    </row>
    <row r="247" ht="152.25" customHeight="1">
      <c r="A247" s="767"/>
      <c r="B247" s="12"/>
      <c r="C247" s="926"/>
    </row>
    <row r="248" ht="152.25" customHeight="1">
      <c r="A248" s="767"/>
      <c r="B248" s="12"/>
      <c r="C248" s="926"/>
    </row>
    <row r="249" ht="152.25" customHeight="1">
      <c r="A249" s="767"/>
      <c r="B249" s="12"/>
      <c r="C249" s="926"/>
    </row>
    <row r="250" ht="152.25" customHeight="1">
      <c r="A250" s="767"/>
      <c r="B250" s="12"/>
      <c r="C250" s="926"/>
    </row>
    <row r="251" ht="152.25" customHeight="1">
      <c r="A251" s="767"/>
      <c r="B251" s="12"/>
      <c r="C251" s="926"/>
    </row>
    <row r="252" ht="152.25" customHeight="1">
      <c r="A252" s="767"/>
      <c r="B252" s="12"/>
      <c r="C252" s="926"/>
    </row>
    <row r="253" ht="152.25" customHeight="1">
      <c r="A253" s="767"/>
      <c r="B253" s="12"/>
      <c r="C253" s="926"/>
    </row>
    <row r="254" ht="152.25" customHeight="1">
      <c r="A254" s="767"/>
      <c r="B254" s="12"/>
      <c r="C254" s="926"/>
    </row>
    <row r="255" ht="152.25" customHeight="1">
      <c r="A255" s="767"/>
      <c r="B255" s="12"/>
      <c r="C255" s="926"/>
    </row>
    <row r="256" ht="152.25" customHeight="1">
      <c r="A256" s="767"/>
      <c r="B256" s="12"/>
      <c r="C256" s="926"/>
    </row>
    <row r="257" ht="152.25" customHeight="1">
      <c r="A257" s="767"/>
      <c r="B257" s="12"/>
      <c r="C257" s="926"/>
    </row>
    <row r="258" ht="152.25" customHeight="1">
      <c r="A258" s="767"/>
      <c r="B258" s="12"/>
      <c r="C258" s="926"/>
    </row>
    <row r="259" ht="152.25" customHeight="1">
      <c r="A259" s="767"/>
      <c r="B259" s="12"/>
      <c r="C259" s="926"/>
    </row>
    <row r="260" ht="152.25" customHeight="1">
      <c r="A260" s="767"/>
      <c r="B260" s="12"/>
      <c r="C260" s="926"/>
    </row>
    <row r="261" ht="152.25" customHeight="1">
      <c r="A261" s="767"/>
      <c r="B261" s="12"/>
      <c r="C261" s="926"/>
    </row>
    <row r="262" ht="152.25" customHeight="1">
      <c r="A262" s="767"/>
      <c r="B262" s="12"/>
      <c r="C262" s="926"/>
    </row>
    <row r="263" ht="152.25" customHeight="1">
      <c r="A263" s="767"/>
      <c r="B263" s="12"/>
      <c r="C263" s="926"/>
    </row>
    <row r="264" ht="152.25" customHeight="1">
      <c r="A264" s="767"/>
      <c r="B264" s="12"/>
      <c r="C264" s="926"/>
    </row>
    <row r="265" ht="152.25" customHeight="1">
      <c r="A265" s="767"/>
      <c r="B265" s="12"/>
      <c r="C265" s="926"/>
    </row>
    <row r="266" ht="152.25" customHeight="1">
      <c r="A266" s="767"/>
      <c r="B266" s="12"/>
      <c r="C266" s="926"/>
    </row>
    <row r="267" ht="152.25" customHeight="1">
      <c r="A267" s="767"/>
      <c r="B267" s="12"/>
      <c r="C267" s="926"/>
    </row>
    <row r="268" ht="152.25" customHeight="1">
      <c r="A268" s="767"/>
      <c r="B268" s="12"/>
      <c r="C268" s="926"/>
    </row>
    <row r="269" ht="152.25" customHeight="1">
      <c r="A269" s="767"/>
      <c r="B269" s="12"/>
      <c r="C269" s="926"/>
    </row>
    <row r="270" ht="152.25" customHeight="1">
      <c r="A270" s="767"/>
      <c r="B270" s="12"/>
      <c r="C270" s="926"/>
    </row>
    <row r="271" ht="152.25" customHeight="1">
      <c r="A271" s="767"/>
      <c r="B271" s="12"/>
      <c r="C271" s="926"/>
    </row>
    <row r="272" ht="152.25" customHeight="1">
      <c r="A272" s="767"/>
      <c r="B272" s="12"/>
      <c r="C272" s="926"/>
    </row>
    <row r="273" ht="152.25" customHeight="1">
      <c r="A273" s="767"/>
      <c r="B273" s="12"/>
      <c r="C273" s="926"/>
    </row>
    <row r="274" ht="152.25" customHeight="1">
      <c r="A274" s="767"/>
      <c r="B274" s="12"/>
      <c r="C274" s="926"/>
    </row>
    <row r="275" ht="152.25" customHeight="1">
      <c r="A275" s="767"/>
      <c r="B275" s="12"/>
      <c r="C275" s="926"/>
    </row>
    <row r="276" ht="152.25" customHeight="1">
      <c r="A276" s="767"/>
      <c r="B276" s="12"/>
      <c r="C276" s="926"/>
    </row>
    <row r="277" ht="152.25" customHeight="1">
      <c r="A277" s="767"/>
      <c r="B277" s="12"/>
      <c r="C277" s="926"/>
    </row>
    <row r="278" ht="152.25" customHeight="1">
      <c r="A278" s="767"/>
      <c r="B278" s="12"/>
      <c r="C278" s="926"/>
    </row>
    <row r="279" ht="152.25" customHeight="1">
      <c r="A279" s="767"/>
      <c r="B279" s="12"/>
      <c r="C279" s="926"/>
    </row>
    <row r="280" ht="152.25" customHeight="1">
      <c r="A280" s="767"/>
      <c r="B280" s="12"/>
      <c r="C280" s="926"/>
    </row>
    <row r="281" ht="152.25" customHeight="1">
      <c r="A281" s="767"/>
      <c r="B281" s="12"/>
      <c r="C281" s="926"/>
    </row>
    <row r="282" ht="152.25" customHeight="1">
      <c r="A282" s="767"/>
      <c r="B282" s="12"/>
      <c r="C282" s="926"/>
    </row>
    <row r="283" ht="152.25" customHeight="1">
      <c r="A283" s="767"/>
      <c r="B283" s="12"/>
      <c r="C283" s="926"/>
    </row>
    <row r="284" ht="152.25" customHeight="1">
      <c r="A284" s="767"/>
      <c r="B284" s="12"/>
      <c r="C284" s="926"/>
    </row>
    <row r="285" ht="152.25" customHeight="1">
      <c r="A285" s="767"/>
      <c r="B285" s="12"/>
      <c r="C285" s="926"/>
    </row>
    <row r="286" ht="152.25" customHeight="1">
      <c r="A286" s="767"/>
      <c r="B286" s="12"/>
      <c r="C286" s="926"/>
    </row>
    <row r="287" ht="152.25" customHeight="1">
      <c r="A287" s="767"/>
      <c r="B287" s="12"/>
      <c r="C287" s="926"/>
    </row>
    <row r="288" ht="152.25" customHeight="1">
      <c r="A288" s="767"/>
      <c r="B288" s="12"/>
      <c r="C288" s="926"/>
    </row>
    <row r="289" ht="152.25" customHeight="1">
      <c r="A289" s="767"/>
      <c r="B289" s="12"/>
      <c r="C289" s="926"/>
    </row>
    <row r="290" ht="152.25" customHeight="1">
      <c r="A290" s="767"/>
      <c r="B290" s="12"/>
      <c r="C290" s="926"/>
    </row>
    <row r="291" ht="152.25" customHeight="1">
      <c r="A291" s="767"/>
      <c r="B291" s="12"/>
      <c r="C291" s="926"/>
    </row>
    <row r="292" ht="152.25" customHeight="1">
      <c r="A292" s="767"/>
      <c r="B292" s="12"/>
      <c r="C292" s="926"/>
    </row>
    <row r="293" ht="152.25" customHeight="1">
      <c r="A293" s="767"/>
      <c r="B293" s="12"/>
      <c r="C293" s="926"/>
    </row>
    <row r="294" ht="152.25" customHeight="1">
      <c r="A294" s="767"/>
      <c r="B294" s="12"/>
      <c r="C294" s="926"/>
    </row>
    <row r="295" ht="152.25" customHeight="1">
      <c r="A295" s="767"/>
      <c r="B295" s="12"/>
      <c r="C295" s="926"/>
    </row>
    <row r="296" ht="152.25" customHeight="1">
      <c r="A296" s="767"/>
      <c r="B296" s="12"/>
      <c r="C296" s="926"/>
    </row>
    <row r="297" ht="152.25" customHeight="1">
      <c r="A297" s="767"/>
      <c r="B297" s="12"/>
      <c r="C297" s="926"/>
    </row>
    <row r="298" ht="152.25" customHeight="1">
      <c r="A298" s="767"/>
      <c r="B298" s="12"/>
      <c r="C298" s="926"/>
    </row>
    <row r="299" ht="152.25" customHeight="1">
      <c r="A299" s="767"/>
      <c r="B299" s="12"/>
      <c r="C299" s="926"/>
    </row>
    <row r="300" ht="152.25" customHeight="1">
      <c r="A300" s="767"/>
      <c r="B300" s="12"/>
      <c r="C300" s="926"/>
    </row>
    <row r="301" ht="152.25" customHeight="1">
      <c r="A301" s="767"/>
      <c r="B301" s="12"/>
      <c r="C301" s="926"/>
    </row>
    <row r="302" ht="152.25" customHeight="1">
      <c r="A302" s="767"/>
      <c r="B302" s="925"/>
      <c r="C302" s="926"/>
    </row>
    <row r="303" ht="152.25" customHeight="1">
      <c r="A303" s="767"/>
      <c r="B303" s="925"/>
      <c r="C303" s="926"/>
    </row>
    <row r="304" ht="152.25" customHeight="1">
      <c r="A304" s="767"/>
      <c r="B304" s="925"/>
      <c r="C304" s="926"/>
    </row>
    <row r="305" ht="152.25" customHeight="1">
      <c r="A305" s="767"/>
      <c r="B305" s="925"/>
      <c r="C305" s="926"/>
    </row>
    <row r="306" ht="152.25" customHeight="1">
      <c r="A306" s="767"/>
      <c r="B306" s="925"/>
      <c r="C306" s="926"/>
    </row>
    <row r="307" ht="152.25" customHeight="1">
      <c r="A307" s="767"/>
      <c r="B307" s="925"/>
      <c r="C307" s="926"/>
    </row>
    <row r="308" ht="152.25" customHeight="1">
      <c r="A308" s="767"/>
      <c r="B308" s="925"/>
      <c r="C308" s="926"/>
    </row>
    <row r="309" ht="152.25" customHeight="1">
      <c r="A309" s="767"/>
      <c r="B309" s="925"/>
      <c r="C309" s="926"/>
    </row>
    <row r="310" ht="152.25" customHeight="1">
      <c r="A310" s="767"/>
      <c r="B310" s="925"/>
      <c r="C310" s="926"/>
    </row>
    <row r="311" ht="152.25" customHeight="1">
      <c r="A311" s="767"/>
      <c r="B311" s="925"/>
      <c r="C311" s="926"/>
    </row>
    <row r="312" ht="152.25" customHeight="1">
      <c r="A312" s="767"/>
      <c r="B312" s="925"/>
      <c r="C312" s="926"/>
    </row>
    <row r="313" ht="152.25" customHeight="1">
      <c r="A313" s="767"/>
      <c r="B313" s="925"/>
      <c r="C313" s="926"/>
    </row>
    <row r="314" ht="152.25" customHeight="1">
      <c r="A314" s="767"/>
      <c r="B314" s="925"/>
      <c r="C314" s="926"/>
    </row>
    <row r="315" ht="152.25" customHeight="1">
      <c r="A315" s="767"/>
      <c r="B315" s="925"/>
      <c r="C315" s="926"/>
    </row>
    <row r="316" ht="152.25" customHeight="1">
      <c r="A316" s="767"/>
      <c r="B316" s="925"/>
      <c r="C316" s="926"/>
    </row>
    <row r="317" ht="152.25" customHeight="1">
      <c r="A317" s="767"/>
      <c r="B317" s="925"/>
      <c r="C317" s="926"/>
    </row>
    <row r="318" ht="152.25" customHeight="1">
      <c r="A318" s="767"/>
      <c r="B318" s="925"/>
      <c r="C318" s="926"/>
    </row>
    <row r="319" ht="152.25" customHeight="1">
      <c r="A319" s="767"/>
      <c r="B319" s="925"/>
      <c r="C319" s="926"/>
    </row>
    <row r="320" ht="152.25" customHeight="1">
      <c r="A320" s="767"/>
      <c r="B320" s="925"/>
      <c r="C320" s="926"/>
    </row>
    <row r="321" ht="152.25" customHeight="1">
      <c r="A321" s="767"/>
      <c r="B321" s="925"/>
      <c r="C321" s="926"/>
    </row>
    <row r="322" ht="152.25" customHeight="1">
      <c r="A322" s="767"/>
      <c r="B322" s="925"/>
      <c r="C322" s="926"/>
    </row>
    <row r="323" ht="152.25" customHeight="1">
      <c r="A323" s="767"/>
      <c r="B323" s="925"/>
      <c r="C323" s="926"/>
    </row>
    <row r="324" ht="152.25" customHeight="1">
      <c r="A324" s="767"/>
      <c r="B324" s="925"/>
      <c r="C324" s="926"/>
    </row>
    <row r="325" ht="152.25" customHeight="1">
      <c r="A325" s="767"/>
      <c r="B325" s="925"/>
      <c r="C325" s="926"/>
    </row>
    <row r="326" ht="152.25" customHeight="1">
      <c r="A326" s="767"/>
      <c r="B326" s="925"/>
      <c r="C326" s="926"/>
    </row>
    <row r="327" ht="152.25" customHeight="1">
      <c r="A327" s="767"/>
      <c r="B327" s="925"/>
      <c r="C327" s="926"/>
    </row>
    <row r="328" ht="152.25" customHeight="1">
      <c r="A328" s="767"/>
      <c r="B328" s="925"/>
      <c r="C328" s="926"/>
    </row>
    <row r="329" ht="152.25" customHeight="1">
      <c r="A329" s="767"/>
      <c r="B329" s="925"/>
      <c r="C329" s="926"/>
    </row>
    <row r="330" ht="152.25" customHeight="1">
      <c r="A330" s="767"/>
      <c r="B330" s="925"/>
      <c r="C330" s="926"/>
    </row>
    <row r="331" ht="152.25" customHeight="1">
      <c r="A331" s="767"/>
      <c r="B331" s="925"/>
      <c r="C331" s="926"/>
    </row>
    <row r="332" ht="152.25" customHeight="1">
      <c r="A332" s="767"/>
      <c r="B332" s="925"/>
      <c r="C332" s="926"/>
    </row>
    <row r="333" ht="152.25" customHeight="1">
      <c r="A333" s="767"/>
      <c r="B333" s="925"/>
      <c r="C333" s="926"/>
    </row>
    <row r="334" ht="152.25" customHeight="1">
      <c r="A334" s="767"/>
      <c r="B334" s="925"/>
      <c r="C334" s="926"/>
    </row>
    <row r="335" ht="152.25" customHeight="1">
      <c r="A335" s="767"/>
      <c r="B335" s="925"/>
      <c r="C335" s="926"/>
    </row>
    <row r="336" ht="152.25" customHeight="1">
      <c r="A336" s="767"/>
      <c r="B336" s="925"/>
      <c r="C336" s="926"/>
    </row>
    <row r="337" ht="152.25" customHeight="1">
      <c r="A337" s="767"/>
      <c r="B337" s="925"/>
      <c r="C337" s="926"/>
    </row>
    <row r="338" ht="152.25" customHeight="1">
      <c r="A338" s="767"/>
      <c r="B338" s="925"/>
      <c r="C338" s="926"/>
    </row>
    <row r="339" ht="152.25" customHeight="1">
      <c r="A339" s="767"/>
      <c r="B339" s="925"/>
      <c r="C339" s="926"/>
    </row>
    <row r="340" ht="152.25" customHeight="1">
      <c r="A340" s="767"/>
      <c r="B340" s="925"/>
      <c r="C340" s="926"/>
    </row>
    <row r="341" ht="152.25" customHeight="1">
      <c r="A341" s="767"/>
      <c r="B341" s="925"/>
      <c r="C341" s="926"/>
    </row>
    <row r="342" ht="152.25" customHeight="1">
      <c r="A342" s="767"/>
      <c r="B342" s="925"/>
      <c r="C342" s="926"/>
    </row>
    <row r="343" ht="152.25" customHeight="1">
      <c r="A343" s="767"/>
      <c r="B343" s="925"/>
      <c r="C343" s="926"/>
    </row>
    <row r="344" ht="152.25" customHeight="1">
      <c r="A344" s="767"/>
      <c r="B344" s="925"/>
      <c r="C344" s="926"/>
    </row>
    <row r="345" ht="152.25" customHeight="1">
      <c r="A345" s="767"/>
      <c r="B345" s="925"/>
      <c r="C345" s="926"/>
    </row>
    <row r="346" ht="152.25" customHeight="1">
      <c r="A346" s="767"/>
      <c r="B346" s="925"/>
      <c r="C346" s="926"/>
    </row>
    <row r="347" ht="152.25" customHeight="1">
      <c r="A347" s="767"/>
      <c r="B347" s="925"/>
      <c r="C347" s="926"/>
    </row>
    <row r="348" ht="152.25" customHeight="1">
      <c r="A348" s="767"/>
      <c r="B348" s="925"/>
      <c r="C348" s="926"/>
    </row>
    <row r="349" ht="152.25" customHeight="1">
      <c r="A349" s="767"/>
      <c r="B349" s="925"/>
      <c r="C349" s="926"/>
    </row>
    <row r="350" ht="152.25" customHeight="1">
      <c r="A350" s="767"/>
      <c r="B350" s="925"/>
      <c r="C350" s="926"/>
    </row>
    <row r="351" ht="152.25" customHeight="1">
      <c r="A351" s="767"/>
      <c r="B351" s="925"/>
      <c r="C351" s="926"/>
    </row>
    <row r="352" ht="152.25" customHeight="1">
      <c r="A352" s="767"/>
      <c r="B352" s="925"/>
      <c r="C352" s="926"/>
    </row>
    <row r="353" ht="152.25" customHeight="1">
      <c r="A353" s="767"/>
      <c r="B353" s="925"/>
      <c r="C353" s="926"/>
    </row>
    <row r="354" ht="152.25" customHeight="1">
      <c r="A354" s="767"/>
      <c r="B354" s="925"/>
      <c r="C354" s="926"/>
    </row>
    <row r="355" ht="152.25" customHeight="1">
      <c r="A355" s="767"/>
      <c r="B355" s="925"/>
      <c r="C355" s="926"/>
    </row>
    <row r="356" ht="152.25" customHeight="1">
      <c r="A356" s="767"/>
      <c r="B356" s="925"/>
      <c r="C356" s="926"/>
    </row>
    <row r="357" ht="152.25" customHeight="1">
      <c r="A357" s="767"/>
      <c r="B357" s="925"/>
      <c r="C357" s="926"/>
    </row>
    <row r="358" ht="152.25" customHeight="1">
      <c r="A358" s="767"/>
      <c r="B358" s="925"/>
      <c r="C358" s="926"/>
    </row>
    <row r="359" ht="152.25" customHeight="1">
      <c r="A359" s="767"/>
      <c r="B359" s="925"/>
      <c r="C359" s="926"/>
    </row>
    <row r="360" ht="152.25" customHeight="1">
      <c r="A360" s="767"/>
      <c r="B360" s="925"/>
      <c r="C360" s="926"/>
    </row>
    <row r="361" ht="152.25" customHeight="1">
      <c r="A361" s="767"/>
      <c r="B361" s="925"/>
      <c r="C361" s="926"/>
    </row>
    <row r="362" ht="152.25" customHeight="1">
      <c r="A362" s="767"/>
      <c r="B362" s="925"/>
      <c r="C362" s="926"/>
    </row>
    <row r="363" ht="152.25" customHeight="1">
      <c r="A363" s="767"/>
      <c r="B363" s="925"/>
      <c r="C363" s="926"/>
    </row>
    <row r="364" ht="152.25" customHeight="1">
      <c r="A364" s="767"/>
      <c r="B364" s="925"/>
      <c r="C364" s="926"/>
    </row>
    <row r="365" ht="152.25" customHeight="1">
      <c r="A365" s="767"/>
      <c r="B365" s="925"/>
      <c r="C365" s="926"/>
    </row>
    <row r="366" ht="152.25" customHeight="1">
      <c r="A366" s="767"/>
      <c r="B366" s="925"/>
      <c r="C366" s="926"/>
    </row>
    <row r="367" ht="152.25" customHeight="1">
      <c r="A367" s="767"/>
      <c r="B367" s="925"/>
      <c r="C367" s="926"/>
    </row>
    <row r="368" ht="152.25" customHeight="1">
      <c r="A368" s="767"/>
      <c r="B368" s="925"/>
      <c r="C368" s="926"/>
    </row>
    <row r="369" ht="152.25" customHeight="1">
      <c r="A369" s="767"/>
      <c r="B369" s="925"/>
      <c r="C369" s="926"/>
    </row>
    <row r="370" ht="152.25" customHeight="1">
      <c r="A370" s="767"/>
      <c r="B370" s="925"/>
      <c r="C370" s="926"/>
    </row>
    <row r="371" ht="152.25" customHeight="1">
      <c r="A371" s="767"/>
      <c r="B371" s="925"/>
      <c r="C371" s="926"/>
    </row>
    <row r="372" ht="152.25" customHeight="1">
      <c r="A372" s="767"/>
      <c r="B372" s="925"/>
      <c r="C372" s="926"/>
    </row>
    <row r="373" ht="152.25" customHeight="1">
      <c r="A373" s="767"/>
      <c r="B373" s="925"/>
      <c r="C373" s="926"/>
    </row>
    <row r="374" ht="152.25" customHeight="1">
      <c r="A374" s="767"/>
      <c r="B374" s="925"/>
      <c r="C374" s="926"/>
    </row>
    <row r="375" ht="152.25" customHeight="1">
      <c r="A375" s="767"/>
      <c r="B375" s="925"/>
      <c r="C375" s="926"/>
    </row>
    <row r="376" ht="152.25" customHeight="1">
      <c r="A376" s="767"/>
      <c r="B376" s="925"/>
      <c r="C376" s="926"/>
    </row>
    <row r="377" ht="152.25" customHeight="1">
      <c r="A377" s="767"/>
      <c r="B377" s="925"/>
      <c r="C377" s="926"/>
    </row>
    <row r="378" ht="152.25" customHeight="1">
      <c r="A378" s="767"/>
      <c r="B378" s="925"/>
      <c r="C378" s="926"/>
    </row>
    <row r="379" ht="152.25" customHeight="1">
      <c r="A379" s="767"/>
      <c r="B379" s="925"/>
      <c r="C379" s="926"/>
    </row>
    <row r="380" ht="152.25" customHeight="1">
      <c r="A380" s="767"/>
      <c r="B380" s="925"/>
      <c r="C380" s="926"/>
    </row>
    <row r="381" ht="152.25" customHeight="1">
      <c r="A381" s="767"/>
      <c r="B381" s="925"/>
      <c r="C381" s="926"/>
    </row>
    <row r="382" ht="152.25" customHeight="1">
      <c r="A382" s="767"/>
      <c r="B382" s="925"/>
      <c r="C382" s="926"/>
    </row>
    <row r="383" ht="152.25" customHeight="1">
      <c r="A383" s="767"/>
      <c r="B383" s="925"/>
      <c r="C383" s="926"/>
    </row>
    <row r="384" ht="152.25" customHeight="1">
      <c r="A384" s="767"/>
      <c r="B384" s="925"/>
      <c r="C384" s="926"/>
    </row>
    <row r="385" ht="152.25" customHeight="1">
      <c r="A385" s="767"/>
      <c r="B385" s="925"/>
      <c r="C385" s="926"/>
    </row>
    <row r="386" ht="152.25" customHeight="1">
      <c r="A386" s="767"/>
      <c r="B386" s="925"/>
      <c r="C386" s="926"/>
    </row>
    <row r="387" ht="152.25" customHeight="1">
      <c r="A387" s="767"/>
      <c r="B387" s="925"/>
      <c r="C387" s="926"/>
    </row>
    <row r="388" ht="152.25" customHeight="1">
      <c r="A388" s="767"/>
      <c r="B388" s="925"/>
      <c r="C388" s="926"/>
    </row>
    <row r="389" ht="152.25" customHeight="1">
      <c r="A389" s="767"/>
      <c r="B389" s="925"/>
      <c r="C389" s="926"/>
    </row>
    <row r="390" ht="152.25" customHeight="1">
      <c r="A390" s="767"/>
      <c r="B390" s="925"/>
      <c r="C390" s="926"/>
    </row>
    <row r="391" ht="152.25" customHeight="1">
      <c r="A391" s="767"/>
      <c r="B391" s="925"/>
      <c r="C391" s="926"/>
    </row>
    <row r="392" ht="152.25" customHeight="1">
      <c r="A392" s="767"/>
      <c r="B392" s="925"/>
      <c r="C392" s="926"/>
    </row>
    <row r="393" ht="152.25" customHeight="1">
      <c r="A393" s="767"/>
      <c r="B393" s="925"/>
      <c r="C393" s="926"/>
    </row>
    <row r="394" ht="152.25" customHeight="1">
      <c r="A394" s="767"/>
      <c r="B394" s="925"/>
      <c r="C394" s="926"/>
    </row>
    <row r="395" ht="152.25" customHeight="1">
      <c r="A395" s="767"/>
      <c r="B395" s="925"/>
      <c r="C395" s="926"/>
    </row>
    <row r="396" ht="152.25" customHeight="1">
      <c r="A396" s="767"/>
      <c r="B396" s="925"/>
      <c r="C396" s="926"/>
    </row>
    <row r="397" ht="152.25" customHeight="1">
      <c r="A397" s="767"/>
      <c r="B397" s="925"/>
      <c r="C397" s="926"/>
    </row>
    <row r="398" ht="152.25" customHeight="1">
      <c r="A398" s="767"/>
      <c r="B398" s="925"/>
      <c r="C398" s="926"/>
    </row>
    <row r="399" ht="152.25" customHeight="1">
      <c r="A399" s="767"/>
      <c r="B399" s="925"/>
      <c r="C399" s="926"/>
    </row>
    <row r="400" ht="152.25" customHeight="1">
      <c r="A400" s="767"/>
      <c r="B400" s="925"/>
      <c r="C400" s="926"/>
    </row>
    <row r="401" ht="152.25" customHeight="1">
      <c r="A401" s="767"/>
      <c r="B401" s="925"/>
      <c r="C401" s="926"/>
    </row>
    <row r="402" ht="152.25" customHeight="1">
      <c r="A402" s="767"/>
      <c r="B402" s="925"/>
      <c r="C402" s="926"/>
    </row>
    <row r="403" ht="152.25" customHeight="1">
      <c r="A403" s="767"/>
      <c r="B403" s="925"/>
      <c r="C403" s="926"/>
    </row>
    <row r="404" ht="152.25" customHeight="1">
      <c r="A404" s="767"/>
      <c r="B404" s="925"/>
      <c r="C404" s="926"/>
    </row>
    <row r="405" ht="152.25" customHeight="1">
      <c r="A405" s="767"/>
      <c r="B405" s="925"/>
      <c r="C405" s="926"/>
    </row>
    <row r="406" ht="152.25" customHeight="1">
      <c r="A406" s="767"/>
      <c r="B406" s="925"/>
      <c r="C406" s="926"/>
    </row>
    <row r="407" ht="152.25" customHeight="1">
      <c r="A407" s="767"/>
      <c r="B407" s="925"/>
      <c r="C407" s="926"/>
    </row>
    <row r="408" ht="152.25" customHeight="1">
      <c r="A408" s="767"/>
      <c r="B408" s="925"/>
      <c r="C408" s="926"/>
    </row>
    <row r="409" ht="152.25" customHeight="1">
      <c r="A409" s="767"/>
      <c r="B409" s="925"/>
      <c r="C409" s="926"/>
    </row>
    <row r="410" ht="152.25" customHeight="1">
      <c r="A410" s="767"/>
      <c r="B410" s="925"/>
      <c r="C410" s="926"/>
    </row>
    <row r="411" ht="152.25" customHeight="1">
      <c r="A411" s="767"/>
      <c r="B411" s="925"/>
      <c r="C411" s="926"/>
    </row>
    <row r="412" ht="152.25" customHeight="1">
      <c r="A412" s="767"/>
      <c r="B412" s="925"/>
      <c r="C412" s="926"/>
    </row>
    <row r="413" ht="152.25" customHeight="1">
      <c r="A413" s="767"/>
      <c r="B413" s="925"/>
      <c r="C413" s="926"/>
    </row>
    <row r="414" ht="152.25" customHeight="1">
      <c r="A414" s="767"/>
      <c r="B414" s="925"/>
      <c r="C414" s="926"/>
    </row>
    <row r="415" ht="152.25" customHeight="1">
      <c r="A415" s="767"/>
      <c r="B415" s="925"/>
      <c r="C415" s="926"/>
    </row>
    <row r="416" ht="152.25" customHeight="1">
      <c r="A416" s="767"/>
      <c r="B416" s="925"/>
      <c r="C416" s="926"/>
    </row>
    <row r="417" ht="152.25" customHeight="1">
      <c r="A417" s="767"/>
      <c r="B417" s="925"/>
      <c r="C417" s="926"/>
    </row>
    <row r="418" ht="152.25" customHeight="1">
      <c r="A418" s="767"/>
      <c r="B418" s="925"/>
      <c r="C418" s="926"/>
    </row>
    <row r="419" ht="152.25" customHeight="1">
      <c r="A419" s="767"/>
      <c r="B419" s="925"/>
      <c r="C419" s="926"/>
    </row>
    <row r="420" ht="152.25" customHeight="1">
      <c r="A420" s="767"/>
      <c r="B420" s="925"/>
      <c r="C420" s="926"/>
    </row>
    <row r="421" ht="152.25" customHeight="1">
      <c r="A421" s="767"/>
      <c r="B421" s="925"/>
      <c r="C421" s="926"/>
    </row>
    <row r="422" ht="152.25" customHeight="1">
      <c r="A422" s="767"/>
      <c r="B422" s="925"/>
      <c r="C422" s="926"/>
    </row>
    <row r="423" ht="152.25" customHeight="1">
      <c r="A423" s="767"/>
      <c r="B423" s="925"/>
      <c r="C423" s="926"/>
    </row>
    <row r="424" ht="152.25" customHeight="1">
      <c r="A424" s="767"/>
      <c r="B424" s="925"/>
      <c r="C424" s="926"/>
    </row>
    <row r="425" ht="152.25" customHeight="1">
      <c r="A425" s="767"/>
      <c r="B425" s="925"/>
      <c r="C425" s="926"/>
    </row>
    <row r="426" ht="152.25" customHeight="1">
      <c r="A426" s="767"/>
      <c r="B426" s="925"/>
      <c r="C426" s="926"/>
    </row>
    <row r="427" ht="152.25" customHeight="1">
      <c r="A427" s="767"/>
      <c r="B427" s="925"/>
      <c r="C427" s="926"/>
    </row>
    <row r="428" ht="152.25" customHeight="1">
      <c r="A428" s="767"/>
      <c r="B428" s="925"/>
      <c r="C428" s="926"/>
    </row>
    <row r="429" ht="152.25" customHeight="1">
      <c r="A429" s="767"/>
      <c r="B429" s="925"/>
      <c r="C429" s="926"/>
    </row>
    <row r="430" ht="152.25" customHeight="1">
      <c r="A430" s="767"/>
      <c r="B430" s="925"/>
      <c r="C430" s="926"/>
    </row>
    <row r="431" ht="152.25" customHeight="1">
      <c r="A431" s="767"/>
      <c r="B431" s="925"/>
      <c r="C431" s="926"/>
    </row>
    <row r="432" ht="152.25" customHeight="1">
      <c r="A432" s="767"/>
      <c r="B432" s="925"/>
      <c r="C432" s="926"/>
    </row>
    <row r="433" ht="152.25" customHeight="1">
      <c r="A433" s="767"/>
      <c r="B433" s="925"/>
      <c r="C433" s="926"/>
    </row>
    <row r="434" ht="152.25" customHeight="1">
      <c r="A434" s="767"/>
      <c r="B434" s="925"/>
      <c r="C434" s="926"/>
    </row>
    <row r="435" ht="152.25" customHeight="1">
      <c r="A435" s="767"/>
      <c r="B435" s="925"/>
      <c r="C435" s="926"/>
    </row>
    <row r="436" ht="152.25" customHeight="1">
      <c r="A436" s="767"/>
      <c r="B436" s="925"/>
      <c r="C436" s="926"/>
    </row>
    <row r="437" ht="152.25" customHeight="1">
      <c r="A437" s="767"/>
      <c r="B437" s="925"/>
      <c r="C437" s="926"/>
    </row>
    <row r="438" ht="152.25" customHeight="1">
      <c r="A438" s="767"/>
      <c r="B438" s="925"/>
      <c r="C438" s="926"/>
    </row>
    <row r="439" ht="152.25" customHeight="1">
      <c r="A439" s="767"/>
      <c r="B439" s="925"/>
      <c r="C439" s="926"/>
    </row>
    <row r="440" ht="152.25" customHeight="1">
      <c r="A440" s="767"/>
      <c r="B440" s="925"/>
      <c r="C440" s="926"/>
    </row>
    <row r="441" ht="152.25" customHeight="1">
      <c r="A441" s="767"/>
      <c r="B441" s="925"/>
      <c r="C441" s="926"/>
    </row>
    <row r="442" ht="152.25" customHeight="1">
      <c r="A442" s="767"/>
      <c r="B442" s="925"/>
      <c r="C442" s="926"/>
    </row>
    <row r="443" ht="152.25" customHeight="1">
      <c r="A443" s="767"/>
      <c r="B443" s="925"/>
      <c r="C443" s="926"/>
    </row>
    <row r="444" ht="152.25" customHeight="1">
      <c r="A444" s="767"/>
      <c r="B444" s="925"/>
      <c r="C444" s="926"/>
    </row>
    <row r="445" ht="152.25" customHeight="1">
      <c r="A445" s="767"/>
      <c r="B445" s="925"/>
      <c r="C445" s="926"/>
    </row>
    <row r="446" ht="152.25" customHeight="1">
      <c r="A446" s="767"/>
      <c r="B446" s="925"/>
      <c r="C446" s="926"/>
    </row>
    <row r="447" ht="152.25" customHeight="1">
      <c r="A447" s="767"/>
      <c r="B447" s="925"/>
      <c r="C447" s="926"/>
    </row>
    <row r="448" ht="152.25" customHeight="1">
      <c r="A448" s="767"/>
      <c r="B448" s="925"/>
      <c r="C448" s="926"/>
    </row>
    <row r="449" ht="152.25" customHeight="1">
      <c r="A449" s="767"/>
      <c r="B449" s="925"/>
      <c r="C449" s="926"/>
    </row>
    <row r="450" ht="152.25" customHeight="1">
      <c r="A450" s="767"/>
      <c r="B450" s="925"/>
      <c r="C450" s="926"/>
    </row>
    <row r="451" ht="152.25" customHeight="1">
      <c r="A451" s="767"/>
      <c r="B451" s="925"/>
      <c r="C451" s="926"/>
    </row>
    <row r="452" ht="152.25" customHeight="1">
      <c r="A452" s="767"/>
      <c r="B452" s="925"/>
      <c r="C452" s="926"/>
    </row>
    <row r="453" ht="152.25" customHeight="1">
      <c r="A453" s="767"/>
      <c r="B453" s="925"/>
      <c r="C453" s="926"/>
    </row>
    <row r="454" ht="152.25" customHeight="1">
      <c r="A454" s="767"/>
      <c r="B454" s="925"/>
      <c r="C454" s="926"/>
    </row>
    <row r="455" ht="152.25" customHeight="1">
      <c r="A455" s="767"/>
      <c r="B455" s="925"/>
      <c r="C455" s="926"/>
    </row>
    <row r="456" ht="152.25" customHeight="1">
      <c r="A456" s="767"/>
      <c r="B456" s="925"/>
      <c r="C456" s="926"/>
    </row>
    <row r="457" ht="152.25" customHeight="1">
      <c r="A457" s="767"/>
      <c r="B457" s="925"/>
      <c r="C457" s="926"/>
    </row>
    <row r="458" ht="152.25" customHeight="1">
      <c r="A458" s="767"/>
      <c r="B458" s="925"/>
      <c r="C458" s="926"/>
    </row>
    <row r="459" ht="152.25" customHeight="1">
      <c r="A459" s="767"/>
      <c r="B459" s="925"/>
      <c r="C459" s="926"/>
    </row>
    <row r="460" ht="152.25" customHeight="1">
      <c r="A460" s="767"/>
      <c r="B460" s="925"/>
      <c r="C460" s="926"/>
    </row>
    <row r="461" ht="152.25" customHeight="1">
      <c r="A461" s="767"/>
      <c r="B461" s="925"/>
      <c r="C461" s="926"/>
    </row>
    <row r="462" ht="152.25" customHeight="1">
      <c r="A462" s="767"/>
      <c r="B462" s="925"/>
      <c r="C462" s="926"/>
    </row>
    <row r="463" ht="152.25" customHeight="1">
      <c r="A463" s="767"/>
      <c r="B463" s="925"/>
      <c r="C463" s="926"/>
    </row>
    <row r="464" ht="152.25" customHeight="1">
      <c r="A464" s="767"/>
      <c r="B464" s="925"/>
      <c r="C464" s="926"/>
    </row>
    <row r="465" ht="152.25" customHeight="1">
      <c r="A465" s="767"/>
      <c r="B465" s="925"/>
      <c r="C465" s="926"/>
    </row>
    <row r="466" ht="152.25" customHeight="1">
      <c r="A466" s="767"/>
      <c r="B466" s="925"/>
      <c r="C466" s="926"/>
    </row>
    <row r="467" ht="152.25" customHeight="1">
      <c r="A467" s="767"/>
      <c r="B467" s="925"/>
      <c r="C467" s="926"/>
    </row>
    <row r="468" ht="152.25" customHeight="1">
      <c r="A468" s="767"/>
      <c r="B468" s="925"/>
      <c r="C468" s="926"/>
    </row>
    <row r="469" ht="152.25" customHeight="1">
      <c r="A469" s="767"/>
      <c r="B469" s="925"/>
      <c r="C469" s="926"/>
    </row>
    <row r="470" ht="152.25" customHeight="1">
      <c r="A470" s="767"/>
      <c r="B470" s="925"/>
      <c r="C470" s="926"/>
    </row>
    <row r="471" ht="152.25" customHeight="1">
      <c r="A471" s="767"/>
      <c r="B471" s="925"/>
      <c r="C471" s="926"/>
    </row>
    <row r="472" ht="152.25" customHeight="1">
      <c r="A472" s="767"/>
      <c r="B472" s="925"/>
      <c r="C472" s="926"/>
    </row>
    <row r="473" ht="152.25" customHeight="1">
      <c r="A473" s="767"/>
      <c r="B473" s="925"/>
      <c r="C473" s="926"/>
    </row>
    <row r="474" ht="152.25" customHeight="1">
      <c r="A474" s="767"/>
      <c r="B474" s="925"/>
      <c r="C474" s="926"/>
    </row>
    <row r="475" ht="152.25" customHeight="1">
      <c r="A475" s="767"/>
      <c r="B475" s="925"/>
      <c r="C475" s="926"/>
    </row>
    <row r="476" ht="152.25" customHeight="1">
      <c r="A476" s="767"/>
      <c r="B476" s="925"/>
      <c r="C476" s="926"/>
    </row>
    <row r="477" ht="152.25" customHeight="1">
      <c r="A477" s="767"/>
      <c r="B477" s="925"/>
      <c r="C477" s="926"/>
    </row>
    <row r="478" ht="152.25" customHeight="1">
      <c r="A478" s="767"/>
      <c r="B478" s="925"/>
      <c r="C478" s="926"/>
    </row>
    <row r="479" ht="152.25" customHeight="1">
      <c r="A479" s="767"/>
      <c r="B479" s="925"/>
      <c r="C479" s="926"/>
    </row>
    <row r="480" ht="152.25" customHeight="1">
      <c r="A480" s="767"/>
      <c r="B480" s="925"/>
      <c r="C480" s="926"/>
    </row>
    <row r="481" ht="152.25" customHeight="1">
      <c r="A481" s="767"/>
      <c r="B481" s="925"/>
      <c r="C481" s="926"/>
    </row>
    <row r="482" ht="152.25" customHeight="1">
      <c r="A482" s="767"/>
      <c r="B482" s="925"/>
      <c r="C482" s="926"/>
    </row>
    <row r="483" ht="152.25" customHeight="1">
      <c r="A483" s="767"/>
      <c r="B483" s="925"/>
      <c r="C483" s="926"/>
    </row>
    <row r="484" ht="152.25" customHeight="1">
      <c r="A484" s="767"/>
      <c r="B484" s="925"/>
      <c r="C484" s="926"/>
    </row>
    <row r="485" ht="152.25" customHeight="1">
      <c r="A485" s="767"/>
      <c r="B485" s="925"/>
      <c r="C485" s="926"/>
    </row>
    <row r="486" ht="152.25" customHeight="1">
      <c r="A486" s="767"/>
      <c r="B486" s="925"/>
      <c r="C486" s="926"/>
    </row>
    <row r="487" ht="152.25" customHeight="1">
      <c r="A487" s="767"/>
      <c r="B487" s="925"/>
      <c r="C487" s="926"/>
    </row>
    <row r="488" ht="152.25" customHeight="1">
      <c r="A488" s="767"/>
      <c r="B488" s="925"/>
      <c r="C488" s="926"/>
    </row>
    <row r="489" ht="152.25" customHeight="1">
      <c r="A489" s="767"/>
      <c r="B489" s="925"/>
      <c r="C489" s="926"/>
    </row>
    <row r="490" ht="152.25" customHeight="1">
      <c r="A490" s="767"/>
      <c r="B490" s="925"/>
      <c r="C490" s="926"/>
    </row>
    <row r="491" ht="152.25" customHeight="1">
      <c r="A491" s="767"/>
      <c r="B491" s="925"/>
      <c r="C491" s="926"/>
    </row>
    <row r="492" ht="152.25" customHeight="1">
      <c r="A492" s="767"/>
      <c r="B492" s="925"/>
      <c r="C492" s="926"/>
    </row>
    <row r="493" ht="152.25" customHeight="1">
      <c r="A493" s="767"/>
      <c r="B493" s="925"/>
      <c r="C493" s="926"/>
    </row>
    <row r="494" ht="152.25" customHeight="1">
      <c r="A494" s="767"/>
      <c r="B494" s="925"/>
      <c r="C494" s="926"/>
    </row>
    <row r="495" ht="152.25" customHeight="1">
      <c r="A495" s="767"/>
      <c r="B495" s="925"/>
      <c r="C495" s="926"/>
    </row>
    <row r="496" ht="152.25" customHeight="1">
      <c r="A496" s="767"/>
      <c r="B496" s="925"/>
      <c r="C496" s="926"/>
    </row>
    <row r="497" ht="152.25" customHeight="1">
      <c r="A497" s="767"/>
      <c r="B497" s="925"/>
      <c r="C497" s="926"/>
    </row>
    <row r="498" ht="152.25" customHeight="1">
      <c r="A498" s="767"/>
      <c r="B498" s="925"/>
      <c r="C498" s="926"/>
    </row>
    <row r="499" ht="152.25" customHeight="1">
      <c r="A499" s="767"/>
      <c r="B499" s="925"/>
      <c r="C499" s="926"/>
    </row>
    <row r="500" ht="152.25" customHeight="1">
      <c r="A500" s="767"/>
      <c r="B500" s="925"/>
      <c r="C500" s="926"/>
    </row>
    <row r="501" ht="152.25" customHeight="1">
      <c r="A501" s="767"/>
      <c r="B501" s="925"/>
      <c r="C501" s="926"/>
    </row>
    <row r="502" ht="152.25" customHeight="1">
      <c r="A502" s="767"/>
      <c r="B502" s="925"/>
      <c r="C502" s="926"/>
    </row>
    <row r="503" ht="152.25" customHeight="1">
      <c r="A503" s="767"/>
      <c r="B503" s="925"/>
      <c r="C503" s="926"/>
    </row>
    <row r="504" ht="152.25" customHeight="1">
      <c r="A504" s="767"/>
      <c r="B504" s="925"/>
      <c r="C504" s="926"/>
    </row>
    <row r="505" ht="152.25" customHeight="1">
      <c r="A505" s="767"/>
      <c r="B505" s="925"/>
      <c r="C505" s="926"/>
    </row>
    <row r="506" ht="152.25" customHeight="1">
      <c r="A506" s="767"/>
      <c r="B506" s="925"/>
      <c r="C506" s="926"/>
    </row>
    <row r="507" ht="152.25" customHeight="1">
      <c r="A507" s="767"/>
      <c r="B507" s="925"/>
      <c r="C507" s="926"/>
    </row>
    <row r="508" ht="152.25" customHeight="1">
      <c r="A508" s="767"/>
      <c r="B508" s="925"/>
      <c r="C508" s="926"/>
    </row>
    <row r="509" ht="152.25" customHeight="1">
      <c r="A509" s="767"/>
      <c r="B509" s="925"/>
      <c r="C509" s="926"/>
    </row>
    <row r="510" ht="152.25" customHeight="1">
      <c r="A510" s="767"/>
      <c r="B510" s="925"/>
      <c r="C510" s="926"/>
    </row>
    <row r="511" ht="152.25" customHeight="1">
      <c r="A511" s="767"/>
      <c r="B511" s="925"/>
      <c r="C511" s="926"/>
    </row>
    <row r="512" ht="152.25" customHeight="1">
      <c r="A512" s="767"/>
      <c r="B512" s="925"/>
      <c r="C512" s="926"/>
    </row>
    <row r="513" ht="152.25" customHeight="1">
      <c r="A513" s="767"/>
      <c r="B513" s="925"/>
      <c r="C513" s="926"/>
    </row>
    <row r="514" ht="152.25" customHeight="1">
      <c r="A514" s="767"/>
      <c r="B514" s="925"/>
      <c r="C514" s="926"/>
    </row>
    <row r="515" ht="152.25" customHeight="1">
      <c r="A515" s="767"/>
      <c r="B515" s="925"/>
      <c r="C515" s="926"/>
    </row>
    <row r="516" ht="152.25" customHeight="1">
      <c r="A516" s="767"/>
      <c r="B516" s="925"/>
      <c r="C516" s="926"/>
    </row>
    <row r="517" ht="152.25" customHeight="1">
      <c r="A517" s="767"/>
      <c r="B517" s="925"/>
      <c r="C517" s="926"/>
    </row>
    <row r="518" ht="152.25" customHeight="1">
      <c r="A518" s="767"/>
      <c r="B518" s="925"/>
      <c r="C518" s="926"/>
    </row>
    <row r="519" ht="152.25" customHeight="1">
      <c r="A519" s="767"/>
      <c r="B519" s="925"/>
      <c r="C519" s="926"/>
    </row>
    <row r="520" ht="152.25" customHeight="1">
      <c r="A520" s="767"/>
      <c r="B520" s="925"/>
      <c r="C520" s="926"/>
    </row>
    <row r="521" ht="152.25" customHeight="1">
      <c r="A521" s="767"/>
      <c r="B521" s="925"/>
      <c r="C521" s="926"/>
    </row>
    <row r="522" ht="152.25" customHeight="1">
      <c r="A522" s="767"/>
      <c r="B522" s="925"/>
      <c r="C522" s="926"/>
    </row>
    <row r="523" ht="152.25" customHeight="1">
      <c r="A523" s="767"/>
      <c r="B523" s="925"/>
      <c r="C523" s="926"/>
    </row>
    <row r="524" ht="152.25" customHeight="1">
      <c r="A524" s="767"/>
      <c r="B524" s="925"/>
      <c r="C524" s="926"/>
    </row>
    <row r="525" ht="152.25" customHeight="1">
      <c r="A525" s="767"/>
      <c r="B525" s="925"/>
      <c r="C525" s="926"/>
    </row>
    <row r="526" ht="152.25" customHeight="1">
      <c r="A526" s="767"/>
      <c r="B526" s="925"/>
      <c r="C526" s="926"/>
    </row>
    <row r="527" ht="152.25" customHeight="1">
      <c r="A527" s="767"/>
      <c r="B527" s="925"/>
      <c r="C527" s="926"/>
    </row>
    <row r="528" ht="152.25" customHeight="1">
      <c r="A528" s="767"/>
      <c r="B528" s="925"/>
      <c r="C528" s="926"/>
    </row>
    <row r="529" ht="152.25" customHeight="1">
      <c r="A529" s="767"/>
      <c r="B529" s="925"/>
      <c r="C529" s="926"/>
    </row>
    <row r="530" ht="152.25" customHeight="1">
      <c r="A530" s="767"/>
      <c r="B530" s="925"/>
      <c r="C530" s="926"/>
    </row>
    <row r="531" ht="152.25" customHeight="1">
      <c r="A531" s="767"/>
      <c r="B531" s="925"/>
      <c r="C531" s="926"/>
    </row>
    <row r="532" ht="152.25" customHeight="1">
      <c r="A532" s="767"/>
      <c r="B532" s="925"/>
      <c r="C532" s="926"/>
    </row>
    <row r="533" ht="152.25" customHeight="1">
      <c r="A533" s="767"/>
      <c r="B533" s="925"/>
      <c r="C533" s="926"/>
    </row>
    <row r="534" ht="152.25" customHeight="1">
      <c r="A534" s="767"/>
      <c r="B534" s="925"/>
      <c r="C534" s="926"/>
    </row>
    <row r="535" ht="152.25" customHeight="1">
      <c r="A535" s="767"/>
      <c r="B535" s="925"/>
      <c r="C535" s="926"/>
    </row>
    <row r="536" ht="152.25" customHeight="1">
      <c r="A536" s="767"/>
      <c r="B536" s="925"/>
      <c r="C536" s="926"/>
    </row>
    <row r="537" ht="152.25" customHeight="1">
      <c r="A537" s="767"/>
      <c r="B537" s="925"/>
      <c r="C537" s="926"/>
    </row>
    <row r="538" ht="152.25" customHeight="1">
      <c r="A538" s="767"/>
      <c r="B538" s="925"/>
      <c r="C538" s="926"/>
    </row>
    <row r="539" ht="152.25" customHeight="1">
      <c r="A539" s="767"/>
      <c r="B539" s="925"/>
      <c r="C539" s="926"/>
    </row>
    <row r="540" ht="152.25" customHeight="1">
      <c r="A540" s="767"/>
      <c r="B540" s="925"/>
      <c r="C540" s="926"/>
    </row>
    <row r="541" ht="152.25" customHeight="1">
      <c r="A541" s="767"/>
      <c r="B541" s="925"/>
      <c r="C541" s="926"/>
    </row>
    <row r="542" ht="152.25" customHeight="1">
      <c r="A542" s="767"/>
      <c r="B542" s="925"/>
      <c r="C542" s="926"/>
    </row>
    <row r="543" ht="152.25" customHeight="1">
      <c r="A543" s="767"/>
      <c r="B543" s="925"/>
      <c r="C543" s="926"/>
    </row>
    <row r="544" ht="152.25" customHeight="1">
      <c r="A544" s="767"/>
      <c r="B544" s="925"/>
      <c r="C544" s="926"/>
    </row>
    <row r="545" ht="152.25" customHeight="1">
      <c r="A545" s="767"/>
      <c r="B545" s="925"/>
      <c r="C545" s="926"/>
    </row>
    <row r="546" ht="152.25" customHeight="1">
      <c r="A546" s="767"/>
      <c r="B546" s="925"/>
      <c r="C546" s="926"/>
    </row>
    <row r="547" ht="152.25" customHeight="1">
      <c r="A547" s="767"/>
      <c r="B547" s="925"/>
      <c r="C547" s="926"/>
    </row>
    <row r="548" ht="152.25" customHeight="1">
      <c r="A548" s="767"/>
      <c r="B548" s="925"/>
      <c r="C548" s="926"/>
    </row>
    <row r="549" ht="152.25" customHeight="1">
      <c r="A549" s="767"/>
      <c r="B549" s="925"/>
      <c r="C549" s="926"/>
    </row>
    <row r="550" ht="152.25" customHeight="1">
      <c r="A550" s="767"/>
      <c r="B550" s="925"/>
      <c r="C550" s="926"/>
    </row>
    <row r="551" ht="152.25" customHeight="1">
      <c r="A551" s="767"/>
      <c r="B551" s="925"/>
      <c r="C551" s="926"/>
    </row>
    <row r="552" ht="152.25" customHeight="1">
      <c r="A552" s="767"/>
      <c r="B552" s="925"/>
      <c r="C552" s="926"/>
    </row>
    <row r="553" ht="152.25" customHeight="1">
      <c r="A553" s="767"/>
      <c r="B553" s="925"/>
      <c r="C553" s="926"/>
    </row>
    <row r="554" ht="152.25" customHeight="1">
      <c r="A554" s="767"/>
      <c r="B554" s="925"/>
      <c r="C554" s="926"/>
    </row>
    <row r="555" ht="152.25" customHeight="1">
      <c r="A555" s="767"/>
      <c r="B555" s="925"/>
      <c r="C555" s="926"/>
    </row>
    <row r="556" ht="152.25" customHeight="1">
      <c r="A556" s="767"/>
      <c r="B556" s="925"/>
      <c r="C556" s="926"/>
    </row>
    <row r="557" ht="152.25" customHeight="1">
      <c r="A557" s="767"/>
      <c r="B557" s="925"/>
      <c r="C557" s="926"/>
    </row>
    <row r="558" ht="152.25" customHeight="1">
      <c r="A558" s="767"/>
      <c r="B558" s="925"/>
      <c r="C558" s="926"/>
    </row>
    <row r="559" ht="152.25" customHeight="1">
      <c r="A559" s="767"/>
      <c r="B559" s="925"/>
      <c r="C559" s="926"/>
    </row>
    <row r="560" ht="152.25" customHeight="1">
      <c r="A560" s="767"/>
      <c r="B560" s="925"/>
      <c r="C560" s="926"/>
    </row>
    <row r="561" ht="152.25" customHeight="1">
      <c r="A561" s="767"/>
      <c r="B561" s="925"/>
      <c r="C561" s="926"/>
    </row>
    <row r="562" ht="152.25" customHeight="1">
      <c r="A562" s="767"/>
      <c r="B562" s="925"/>
      <c r="C562" s="926"/>
    </row>
    <row r="563" ht="152.25" customHeight="1">
      <c r="A563" s="767"/>
      <c r="B563" s="925"/>
      <c r="C563" s="926"/>
    </row>
    <row r="564" ht="152.25" customHeight="1">
      <c r="A564" s="767"/>
      <c r="B564" s="925"/>
      <c r="C564" s="926"/>
    </row>
    <row r="565" ht="152.25" customHeight="1">
      <c r="A565" s="767"/>
      <c r="B565" s="925"/>
      <c r="C565" s="926"/>
    </row>
    <row r="566" ht="152.25" customHeight="1">
      <c r="A566" s="767"/>
      <c r="B566" s="925"/>
      <c r="C566" s="926"/>
    </row>
    <row r="567" ht="152.25" customHeight="1">
      <c r="A567" s="767"/>
      <c r="B567" s="925"/>
      <c r="C567" s="926"/>
    </row>
    <row r="568" ht="152.25" customHeight="1">
      <c r="A568" s="767"/>
      <c r="B568" s="925"/>
      <c r="C568" s="926"/>
    </row>
    <row r="569" ht="152.25" customHeight="1">
      <c r="A569" s="767"/>
      <c r="B569" s="925"/>
      <c r="C569" s="926"/>
    </row>
    <row r="570" ht="152.25" customHeight="1">
      <c r="A570" s="767"/>
      <c r="B570" s="925"/>
      <c r="C570" s="926"/>
    </row>
    <row r="571" ht="152.25" customHeight="1">
      <c r="A571" s="767"/>
      <c r="B571" s="925"/>
      <c r="C571" s="926"/>
    </row>
    <row r="572" ht="152.25" customHeight="1">
      <c r="A572" s="767"/>
      <c r="B572" s="925"/>
      <c r="C572" s="926"/>
    </row>
    <row r="573" ht="152.25" customHeight="1">
      <c r="A573" s="767"/>
      <c r="B573" s="925"/>
      <c r="C573" s="926"/>
    </row>
    <row r="574" ht="152.25" customHeight="1">
      <c r="A574" s="767"/>
      <c r="B574" s="925"/>
      <c r="C574" s="926"/>
    </row>
    <row r="575" ht="152.25" customHeight="1">
      <c r="A575" s="767"/>
      <c r="B575" s="925"/>
      <c r="C575" s="926"/>
    </row>
    <row r="576" ht="152.25" customHeight="1">
      <c r="A576" s="767"/>
      <c r="B576" s="925"/>
      <c r="C576" s="926"/>
    </row>
    <row r="577" ht="152.25" customHeight="1">
      <c r="A577" s="767"/>
      <c r="B577" s="925"/>
      <c r="C577" s="926"/>
    </row>
    <row r="578" ht="152.25" customHeight="1">
      <c r="A578" s="767"/>
      <c r="B578" s="925"/>
      <c r="C578" s="926"/>
    </row>
    <row r="579" ht="152.25" customHeight="1">
      <c r="A579" s="767"/>
      <c r="B579" s="925"/>
      <c r="C579" s="926"/>
    </row>
    <row r="580" ht="152.25" customHeight="1">
      <c r="A580" s="767"/>
      <c r="B580" s="925"/>
      <c r="C580" s="926"/>
    </row>
    <row r="581" ht="152.25" customHeight="1">
      <c r="A581" s="767"/>
      <c r="B581" s="925"/>
      <c r="C581" s="926"/>
    </row>
    <row r="582" ht="152.25" customHeight="1">
      <c r="A582" s="767"/>
      <c r="B582" s="925"/>
      <c r="C582" s="926"/>
    </row>
    <row r="583" ht="152.25" customHeight="1">
      <c r="A583" s="767"/>
      <c r="B583" s="925"/>
      <c r="C583" s="926"/>
    </row>
    <row r="584" ht="152.25" customHeight="1">
      <c r="A584" s="767"/>
      <c r="B584" s="925"/>
      <c r="C584" s="926"/>
    </row>
    <row r="585" ht="152.25" customHeight="1">
      <c r="A585" s="767"/>
      <c r="B585" s="925"/>
      <c r="C585" s="926"/>
    </row>
    <row r="586" ht="152.25" customHeight="1">
      <c r="A586" s="767"/>
      <c r="B586" s="925"/>
      <c r="C586" s="926"/>
    </row>
    <row r="587" ht="152.25" customHeight="1">
      <c r="A587" s="767"/>
      <c r="B587" s="925"/>
      <c r="C587" s="926"/>
    </row>
    <row r="588" ht="152.25" customHeight="1">
      <c r="A588" s="767"/>
      <c r="B588" s="925"/>
      <c r="C588" s="926"/>
    </row>
    <row r="589" ht="152.25" customHeight="1">
      <c r="A589" s="767"/>
      <c r="B589" s="925"/>
      <c r="C589" s="926"/>
    </row>
    <row r="590" ht="152.25" customHeight="1">
      <c r="A590" s="767"/>
      <c r="B590" s="925"/>
      <c r="C590" s="926"/>
    </row>
    <row r="591" ht="152.25" customHeight="1">
      <c r="A591" s="767"/>
      <c r="B591" s="925"/>
      <c r="C591" s="926"/>
    </row>
    <row r="592" ht="152.25" customHeight="1">
      <c r="A592" s="767"/>
      <c r="B592" s="925"/>
      <c r="C592" s="926"/>
    </row>
    <row r="593" ht="152.25" customHeight="1">
      <c r="A593" s="767"/>
      <c r="B593" s="925"/>
      <c r="C593" s="926"/>
    </row>
    <row r="594" ht="152.25" customHeight="1">
      <c r="A594" s="767"/>
      <c r="B594" s="925"/>
      <c r="C594" s="926"/>
    </row>
    <row r="595" ht="152.25" customHeight="1">
      <c r="A595" s="767"/>
      <c r="B595" s="925"/>
      <c r="C595" s="926"/>
    </row>
    <row r="596" ht="152.25" customHeight="1">
      <c r="A596" s="767"/>
      <c r="B596" s="925"/>
      <c r="C596" s="926"/>
    </row>
    <row r="597" ht="152.25" customHeight="1">
      <c r="A597" s="767"/>
      <c r="B597" s="925"/>
      <c r="C597" s="926"/>
    </row>
    <row r="598" ht="152.25" customHeight="1">
      <c r="A598" s="767"/>
      <c r="B598" s="925"/>
      <c r="C598" s="926"/>
    </row>
    <row r="599" ht="152.25" customHeight="1">
      <c r="A599" s="767"/>
      <c r="B599" s="925"/>
      <c r="C599" s="926"/>
    </row>
    <row r="600" ht="152.25" customHeight="1">
      <c r="A600" s="767"/>
      <c r="B600" s="925"/>
      <c r="C600" s="926"/>
    </row>
    <row r="601" ht="152.25" customHeight="1">
      <c r="A601" s="767"/>
      <c r="B601" s="925"/>
      <c r="C601" s="926"/>
    </row>
    <row r="602" ht="152.25" customHeight="1">
      <c r="A602" s="767"/>
      <c r="B602" s="925"/>
      <c r="C602" s="926"/>
    </row>
    <row r="603" ht="152.25" customHeight="1">
      <c r="A603" s="767"/>
      <c r="B603" s="925"/>
      <c r="C603" s="926"/>
    </row>
    <row r="604" ht="152.25" customHeight="1">
      <c r="A604" s="767"/>
      <c r="B604" s="925"/>
      <c r="C604" s="926"/>
    </row>
    <row r="605" ht="152.25" customHeight="1">
      <c r="A605" s="767"/>
      <c r="B605" s="925"/>
      <c r="C605" s="926"/>
    </row>
    <row r="606" ht="152.25" customHeight="1">
      <c r="A606" s="767"/>
      <c r="B606" s="925"/>
      <c r="C606" s="926"/>
    </row>
    <row r="607" ht="152.25" customHeight="1">
      <c r="A607" s="767"/>
      <c r="B607" s="925"/>
      <c r="C607" s="926"/>
    </row>
    <row r="608" ht="152.25" customHeight="1">
      <c r="A608" s="767"/>
      <c r="B608" s="925"/>
      <c r="C608" s="926"/>
    </row>
    <row r="609" ht="152.25" customHeight="1">
      <c r="A609" s="767"/>
      <c r="B609" s="925"/>
      <c r="C609" s="926"/>
    </row>
    <row r="610" ht="152.25" customHeight="1">
      <c r="A610" s="767"/>
      <c r="B610" s="925"/>
      <c r="C610" s="926"/>
    </row>
    <row r="611" ht="152.25" customHeight="1">
      <c r="A611" s="767"/>
      <c r="B611" s="925"/>
      <c r="C611" s="926"/>
    </row>
    <row r="612" ht="152.25" customHeight="1">
      <c r="A612" s="767"/>
      <c r="B612" s="925"/>
      <c r="C612" s="926"/>
    </row>
    <row r="613" ht="152.25" customHeight="1">
      <c r="A613" s="767"/>
      <c r="B613" s="925"/>
      <c r="C613" s="926"/>
    </row>
    <row r="614" ht="152.25" customHeight="1">
      <c r="A614" s="767"/>
      <c r="B614" s="925"/>
      <c r="C614" s="926"/>
    </row>
    <row r="615" ht="152.25" customHeight="1">
      <c r="A615" s="767"/>
      <c r="B615" s="925"/>
      <c r="C615" s="926"/>
    </row>
    <row r="616" ht="152.25" customHeight="1">
      <c r="A616" s="767"/>
      <c r="B616" s="925"/>
      <c r="C616" s="926"/>
    </row>
    <row r="617" ht="152.25" customHeight="1">
      <c r="A617" s="767"/>
      <c r="B617" s="925"/>
      <c r="C617" s="926"/>
    </row>
    <row r="618" ht="152.25" customHeight="1">
      <c r="A618" s="767"/>
      <c r="B618" s="925"/>
      <c r="C618" s="926"/>
    </row>
    <row r="619" ht="152.25" customHeight="1">
      <c r="A619" s="767"/>
      <c r="B619" s="925"/>
      <c r="C619" s="926"/>
    </row>
    <row r="620" ht="152.25" customHeight="1">
      <c r="A620" s="767"/>
      <c r="B620" s="925"/>
      <c r="C620" s="926"/>
    </row>
    <row r="621" ht="152.25" customHeight="1">
      <c r="A621" s="767"/>
      <c r="B621" s="925"/>
      <c r="C621" s="926"/>
    </row>
    <row r="622" ht="152.25" customHeight="1">
      <c r="A622" s="767"/>
      <c r="B622" s="925"/>
      <c r="C622" s="926"/>
    </row>
    <row r="623" ht="152.25" customHeight="1">
      <c r="A623" s="767"/>
      <c r="B623" s="925"/>
      <c r="C623" s="926"/>
    </row>
    <row r="624" ht="152.25" customHeight="1">
      <c r="A624" s="767"/>
      <c r="B624" s="925"/>
      <c r="C624" s="926"/>
    </row>
    <row r="625" ht="152.25" customHeight="1">
      <c r="A625" s="767"/>
      <c r="B625" s="925"/>
      <c r="C625" s="926"/>
    </row>
    <row r="626" ht="152.25" customHeight="1">
      <c r="A626" s="767"/>
      <c r="B626" s="925"/>
      <c r="C626" s="926"/>
    </row>
    <row r="627" ht="152.25" customHeight="1">
      <c r="A627" s="767"/>
      <c r="B627" s="925"/>
      <c r="C627" s="926"/>
    </row>
    <row r="628" ht="152.25" customHeight="1">
      <c r="A628" s="767"/>
      <c r="B628" s="925"/>
      <c r="C628" s="926"/>
    </row>
    <row r="629" ht="152.25" customHeight="1">
      <c r="A629" s="767"/>
      <c r="B629" s="925"/>
      <c r="C629" s="926"/>
    </row>
    <row r="630" ht="152.25" customHeight="1">
      <c r="A630" s="767"/>
      <c r="B630" s="925"/>
      <c r="C630" s="926"/>
    </row>
    <row r="631" ht="152.25" customHeight="1">
      <c r="A631" s="767"/>
      <c r="B631" s="925"/>
      <c r="C631" s="926"/>
    </row>
    <row r="632" ht="152.25" customHeight="1">
      <c r="A632" s="767"/>
      <c r="B632" s="925"/>
      <c r="C632" s="926"/>
    </row>
    <row r="633" ht="152.25" customHeight="1">
      <c r="A633" s="767"/>
      <c r="B633" s="925"/>
      <c r="C633" s="926"/>
    </row>
    <row r="634" ht="152.25" customHeight="1">
      <c r="A634" s="767"/>
      <c r="B634" s="925"/>
      <c r="C634" s="926"/>
    </row>
    <row r="635" ht="152.25" customHeight="1">
      <c r="A635" s="767"/>
      <c r="B635" s="925"/>
      <c r="C635" s="926"/>
    </row>
    <row r="636" ht="152.25" customHeight="1">
      <c r="A636" s="767"/>
      <c r="B636" s="925"/>
      <c r="C636" s="926"/>
    </row>
    <row r="637" ht="152.25" customHeight="1">
      <c r="A637" s="767"/>
      <c r="B637" s="925"/>
      <c r="C637" s="926"/>
    </row>
    <row r="638" ht="152.25" customHeight="1">
      <c r="A638" s="767"/>
      <c r="B638" s="925"/>
      <c r="C638" s="926"/>
    </row>
    <row r="639" ht="152.25" customHeight="1">
      <c r="A639" s="767"/>
      <c r="B639" s="925"/>
      <c r="C639" s="926"/>
    </row>
    <row r="640" ht="152.25" customHeight="1">
      <c r="A640" s="767"/>
      <c r="B640" s="925"/>
      <c r="C640" s="926"/>
    </row>
    <row r="641" ht="152.25" customHeight="1">
      <c r="A641" s="767"/>
      <c r="B641" s="925"/>
      <c r="C641" s="926"/>
    </row>
    <row r="642" ht="152.25" customHeight="1">
      <c r="A642" s="767"/>
      <c r="B642" s="925"/>
      <c r="C642" s="926"/>
    </row>
    <row r="643" ht="152.25" customHeight="1">
      <c r="A643" s="767"/>
      <c r="B643" s="925"/>
      <c r="C643" s="926"/>
    </row>
    <row r="644" ht="152.25" customHeight="1">
      <c r="A644" s="767"/>
      <c r="B644" s="925"/>
      <c r="C644" s="926"/>
    </row>
    <row r="645" ht="152.25" customHeight="1">
      <c r="A645" s="767"/>
      <c r="B645" s="925"/>
      <c r="C645" s="926"/>
    </row>
    <row r="646" ht="152.25" customHeight="1">
      <c r="A646" s="767"/>
      <c r="B646" s="925"/>
      <c r="C646" s="926"/>
    </row>
    <row r="647" ht="152.25" customHeight="1">
      <c r="A647" s="767"/>
      <c r="B647" s="925"/>
      <c r="C647" s="926"/>
    </row>
    <row r="648" ht="152.25" customHeight="1">
      <c r="A648" s="767"/>
      <c r="B648" s="925"/>
      <c r="C648" s="926"/>
    </row>
    <row r="649" ht="152.25" customHeight="1">
      <c r="A649" s="767"/>
      <c r="B649" s="925"/>
      <c r="C649" s="926"/>
    </row>
    <row r="650" ht="152.25" customHeight="1">
      <c r="A650" s="767"/>
      <c r="B650" s="925"/>
      <c r="C650" s="926"/>
    </row>
    <row r="651" ht="152.25" customHeight="1">
      <c r="A651" s="767"/>
      <c r="B651" s="925"/>
      <c r="C651" s="926"/>
    </row>
    <row r="652" ht="152.25" customHeight="1">
      <c r="A652" s="767"/>
      <c r="B652" s="925"/>
      <c r="C652" s="926"/>
    </row>
    <row r="653" ht="152.25" customHeight="1">
      <c r="A653" s="767"/>
      <c r="B653" s="925"/>
      <c r="C653" s="926"/>
    </row>
    <row r="654" ht="152.25" customHeight="1">
      <c r="A654" s="767"/>
      <c r="B654" s="925"/>
      <c r="C654" s="926"/>
    </row>
    <row r="655" ht="152.25" customHeight="1">
      <c r="A655" s="767"/>
      <c r="B655" s="925"/>
      <c r="C655" s="926"/>
    </row>
    <row r="656" ht="152.25" customHeight="1">
      <c r="A656" s="767"/>
      <c r="B656" s="925"/>
      <c r="C656" s="926"/>
    </row>
    <row r="657" ht="152.25" customHeight="1">
      <c r="A657" s="767"/>
      <c r="B657" s="925"/>
      <c r="C657" s="926"/>
    </row>
    <row r="658" ht="152.25" customHeight="1">
      <c r="A658" s="767"/>
      <c r="B658" s="925"/>
      <c r="C658" s="926"/>
    </row>
    <row r="659" ht="152.25" customHeight="1">
      <c r="A659" s="767"/>
      <c r="B659" s="925"/>
      <c r="C659" s="926"/>
    </row>
    <row r="660" ht="152.25" customHeight="1">
      <c r="A660" s="767"/>
      <c r="B660" s="925"/>
      <c r="C660" s="926"/>
    </row>
    <row r="661" ht="152.25" customHeight="1">
      <c r="A661" s="767"/>
      <c r="B661" s="925"/>
      <c r="C661" s="926"/>
    </row>
    <row r="662" ht="152.25" customHeight="1">
      <c r="A662" s="767"/>
      <c r="B662" s="925"/>
      <c r="C662" s="926"/>
    </row>
    <row r="663" ht="152.25" customHeight="1">
      <c r="A663" s="767"/>
      <c r="B663" s="925"/>
      <c r="C663" s="926"/>
    </row>
    <row r="664" ht="152.25" customHeight="1">
      <c r="A664" s="767"/>
      <c r="B664" s="925"/>
      <c r="C664" s="926"/>
    </row>
    <row r="665" ht="152.25" customHeight="1">
      <c r="A665" s="767"/>
      <c r="B665" s="925"/>
      <c r="C665" s="926"/>
    </row>
    <row r="666" ht="152.25" customHeight="1">
      <c r="A666" s="767"/>
      <c r="B666" s="925"/>
      <c r="C666" s="926"/>
    </row>
    <row r="667" ht="152.25" customHeight="1">
      <c r="A667" s="767"/>
      <c r="B667" s="925"/>
      <c r="C667" s="926"/>
    </row>
    <row r="668" ht="152.25" customHeight="1">
      <c r="A668" s="767"/>
      <c r="B668" s="925"/>
      <c r="C668" s="926"/>
    </row>
    <row r="669" ht="152.25" customHeight="1">
      <c r="A669" s="767"/>
      <c r="B669" s="925"/>
      <c r="C669" s="926"/>
    </row>
    <row r="670" ht="152.25" customHeight="1">
      <c r="A670" s="767"/>
      <c r="B670" s="925"/>
      <c r="C670" s="926"/>
    </row>
    <row r="671" ht="152.25" customHeight="1">
      <c r="A671" s="767"/>
      <c r="B671" s="925"/>
      <c r="C671" s="926"/>
    </row>
    <row r="672" ht="152.25" customHeight="1">
      <c r="A672" s="767"/>
      <c r="B672" s="925"/>
      <c r="C672" s="926"/>
    </row>
    <row r="673" ht="152.25" customHeight="1">
      <c r="A673" s="767"/>
      <c r="B673" s="925"/>
      <c r="C673" s="926"/>
    </row>
    <row r="674" ht="152.25" customHeight="1">
      <c r="A674" s="767"/>
      <c r="B674" s="925"/>
      <c r="C674" s="926"/>
    </row>
    <row r="675" ht="152.25" customHeight="1">
      <c r="A675" s="767"/>
      <c r="B675" s="925"/>
      <c r="C675" s="926"/>
    </row>
    <row r="676" ht="152.25" customHeight="1">
      <c r="A676" s="767"/>
      <c r="B676" s="925"/>
      <c r="C676" s="926"/>
    </row>
    <row r="677" ht="152.25" customHeight="1">
      <c r="A677" s="767"/>
      <c r="B677" s="925"/>
      <c r="C677" s="926"/>
    </row>
    <row r="678" ht="152.25" customHeight="1">
      <c r="A678" s="767"/>
      <c r="B678" s="925"/>
      <c r="C678" s="926"/>
    </row>
    <row r="679" ht="152.25" customHeight="1">
      <c r="A679" s="767"/>
      <c r="B679" s="925"/>
      <c r="C679" s="926"/>
    </row>
    <row r="680" ht="152.25" customHeight="1">
      <c r="A680" s="767"/>
      <c r="B680" s="925"/>
      <c r="C680" s="926"/>
    </row>
    <row r="681" ht="152.25" customHeight="1">
      <c r="A681" s="767"/>
      <c r="B681" s="925"/>
      <c r="C681" s="926"/>
    </row>
    <row r="682" ht="152.25" customHeight="1">
      <c r="A682" s="767"/>
      <c r="B682" s="925"/>
      <c r="C682" s="926"/>
    </row>
    <row r="683" ht="152.25" customHeight="1">
      <c r="A683" s="767"/>
      <c r="B683" s="925"/>
      <c r="C683" s="926"/>
    </row>
    <row r="684" ht="152.25" customHeight="1">
      <c r="A684" s="767"/>
      <c r="B684" s="925"/>
      <c r="C684" s="926"/>
    </row>
    <row r="685" ht="152.25" customHeight="1">
      <c r="A685" s="767"/>
      <c r="B685" s="925"/>
      <c r="C685" s="926"/>
    </row>
    <row r="686" ht="152.25" customHeight="1">
      <c r="A686" s="767"/>
      <c r="B686" s="925"/>
      <c r="C686" s="926"/>
    </row>
    <row r="687" ht="152.25" customHeight="1">
      <c r="A687" s="767"/>
      <c r="B687" s="925"/>
      <c r="C687" s="926"/>
    </row>
    <row r="688" ht="152.25" customHeight="1">
      <c r="A688" s="767"/>
      <c r="B688" s="925"/>
      <c r="C688" s="926"/>
    </row>
    <row r="689" ht="152.25" customHeight="1">
      <c r="A689" s="767"/>
      <c r="B689" s="925"/>
      <c r="C689" s="926"/>
    </row>
    <row r="690" ht="152.25" customHeight="1">
      <c r="A690" s="767"/>
      <c r="B690" s="925"/>
      <c r="C690" s="926"/>
    </row>
    <row r="691" ht="152.25" customHeight="1">
      <c r="A691" s="767"/>
      <c r="B691" s="925"/>
      <c r="C691" s="926"/>
    </row>
    <row r="692" ht="152.25" customHeight="1">
      <c r="A692" s="767"/>
      <c r="B692" s="925"/>
      <c r="C692" s="926"/>
    </row>
    <row r="693" ht="152.25" customHeight="1">
      <c r="A693" s="767"/>
      <c r="B693" s="925"/>
      <c r="C693" s="926"/>
    </row>
    <row r="694" ht="152.25" customHeight="1">
      <c r="A694" s="767"/>
      <c r="B694" s="925"/>
      <c r="C694" s="926"/>
    </row>
    <row r="695" ht="152.25" customHeight="1">
      <c r="A695" s="767"/>
      <c r="B695" s="925"/>
      <c r="C695" s="926"/>
    </row>
    <row r="696" ht="152.25" customHeight="1">
      <c r="A696" s="767"/>
      <c r="B696" s="925"/>
      <c r="C696" s="926"/>
    </row>
    <row r="697" ht="152.25" customHeight="1">
      <c r="A697" s="767"/>
      <c r="B697" s="925"/>
      <c r="C697" s="926"/>
    </row>
    <row r="698" ht="152.25" customHeight="1">
      <c r="A698" s="767"/>
      <c r="B698" s="925"/>
      <c r="C698" s="926"/>
    </row>
    <row r="699" ht="152.25" customHeight="1">
      <c r="A699" s="767"/>
      <c r="B699" s="925"/>
      <c r="C699" s="926"/>
    </row>
    <row r="700" ht="152.25" customHeight="1">
      <c r="A700" s="767"/>
      <c r="B700" s="925"/>
      <c r="C700" s="926"/>
    </row>
    <row r="701" ht="152.25" customHeight="1">
      <c r="A701" s="767"/>
      <c r="B701" s="925"/>
      <c r="C701" s="926"/>
    </row>
    <row r="702" ht="152.25" customHeight="1">
      <c r="A702" s="767"/>
      <c r="B702" s="925"/>
      <c r="C702" s="926"/>
    </row>
    <row r="703" ht="152.25" customHeight="1">
      <c r="A703" s="767"/>
      <c r="B703" s="925"/>
      <c r="C703" s="926"/>
    </row>
    <row r="704" ht="152.25" customHeight="1">
      <c r="A704" s="767"/>
      <c r="B704" s="925"/>
      <c r="C704" s="926"/>
    </row>
    <row r="705" ht="152.25" customHeight="1">
      <c r="A705" s="767"/>
      <c r="B705" s="925"/>
      <c r="C705" s="926"/>
    </row>
    <row r="706" ht="152.25" customHeight="1">
      <c r="A706" s="767"/>
      <c r="B706" s="925"/>
      <c r="C706" s="926"/>
    </row>
    <row r="707" ht="152.25" customHeight="1">
      <c r="A707" s="767"/>
      <c r="B707" s="925"/>
      <c r="C707" s="926"/>
    </row>
    <row r="708" ht="152.25" customHeight="1">
      <c r="A708" s="767"/>
      <c r="B708" s="925"/>
      <c r="C708" s="926"/>
    </row>
    <row r="709" ht="152.25" customHeight="1">
      <c r="A709" s="767"/>
      <c r="B709" s="925"/>
      <c r="C709" s="926"/>
    </row>
    <row r="710" ht="152.25" customHeight="1">
      <c r="A710" s="767"/>
      <c r="B710" s="925"/>
      <c r="C710" s="926"/>
    </row>
    <row r="711" ht="152.25" customHeight="1">
      <c r="A711" s="767"/>
      <c r="B711" s="925"/>
      <c r="C711" s="926"/>
    </row>
    <row r="712" ht="152.25" customHeight="1">
      <c r="A712" s="767"/>
      <c r="B712" s="925"/>
      <c r="C712" s="926"/>
    </row>
    <row r="713" ht="152.25" customHeight="1">
      <c r="A713" s="767"/>
      <c r="B713" s="925"/>
      <c r="C713" s="926"/>
    </row>
    <row r="714" ht="152.25" customHeight="1">
      <c r="A714" s="767"/>
      <c r="B714" s="925"/>
      <c r="C714" s="926"/>
    </row>
    <row r="715" ht="152.25" customHeight="1">
      <c r="A715" s="767"/>
      <c r="B715" s="925"/>
      <c r="C715" s="926"/>
    </row>
    <row r="716" ht="152.25" customHeight="1">
      <c r="A716" s="767"/>
      <c r="B716" s="925"/>
      <c r="C716" s="926"/>
    </row>
    <row r="717" ht="152.25" customHeight="1">
      <c r="A717" s="767"/>
      <c r="B717" s="925"/>
      <c r="C717" s="926"/>
    </row>
    <row r="718" ht="152.25" customHeight="1">
      <c r="A718" s="767"/>
      <c r="B718" s="925"/>
      <c r="C718" s="926"/>
    </row>
    <row r="719" ht="152.25" customHeight="1">
      <c r="A719" s="767"/>
      <c r="B719" s="925"/>
      <c r="C719" s="926"/>
    </row>
    <row r="720" ht="152.25" customHeight="1">
      <c r="A720" s="767"/>
      <c r="B720" s="925"/>
      <c r="C720" s="926"/>
    </row>
    <row r="721" ht="152.25" customHeight="1">
      <c r="A721" s="767"/>
      <c r="B721" s="925"/>
      <c r="C721" s="926"/>
    </row>
    <row r="722" ht="152.25" customHeight="1">
      <c r="A722" s="767"/>
      <c r="B722" s="925"/>
      <c r="C722" s="926"/>
    </row>
    <row r="723" ht="152.25" customHeight="1">
      <c r="A723" s="767"/>
      <c r="B723" s="925"/>
      <c r="C723" s="926"/>
    </row>
    <row r="724" ht="152.25" customHeight="1">
      <c r="A724" s="767"/>
      <c r="B724" s="925"/>
      <c r="C724" s="926"/>
    </row>
    <row r="725" ht="152.25" customHeight="1">
      <c r="A725" s="767"/>
      <c r="B725" s="925"/>
      <c r="C725" s="926"/>
    </row>
    <row r="726" ht="152.25" customHeight="1">
      <c r="A726" s="767"/>
      <c r="B726" s="925"/>
      <c r="C726" s="926"/>
    </row>
    <row r="727" ht="152.25" customHeight="1">
      <c r="A727" s="767"/>
      <c r="B727" s="925"/>
      <c r="C727" s="926"/>
    </row>
    <row r="728" ht="152.25" customHeight="1">
      <c r="A728" s="767"/>
      <c r="B728" s="925"/>
      <c r="C728" s="926"/>
    </row>
    <row r="729" ht="152.25" customHeight="1">
      <c r="A729" s="767"/>
      <c r="B729" s="925"/>
      <c r="C729" s="926"/>
    </row>
    <row r="730" ht="152.25" customHeight="1">
      <c r="A730" s="767"/>
      <c r="B730" s="925"/>
      <c r="C730" s="926"/>
    </row>
    <row r="731" ht="152.25" customHeight="1">
      <c r="A731" s="767"/>
      <c r="B731" s="925"/>
      <c r="C731" s="926"/>
    </row>
    <row r="732" ht="152.25" customHeight="1">
      <c r="A732" s="767"/>
      <c r="B732" s="925"/>
      <c r="C732" s="926"/>
    </row>
    <row r="733" ht="152.25" customHeight="1">
      <c r="A733" s="767"/>
      <c r="B733" s="925"/>
      <c r="C733" s="926"/>
    </row>
    <row r="734" ht="152.25" customHeight="1">
      <c r="A734" s="767"/>
      <c r="B734" s="925"/>
      <c r="C734" s="926"/>
    </row>
    <row r="735" ht="152.25" customHeight="1">
      <c r="A735" s="767"/>
      <c r="B735" s="925"/>
      <c r="C735" s="926"/>
    </row>
    <row r="736" ht="152.25" customHeight="1">
      <c r="A736" s="767"/>
      <c r="B736" s="925"/>
      <c r="C736" s="926"/>
    </row>
    <row r="737" ht="152.25" customHeight="1">
      <c r="A737" s="767"/>
      <c r="B737" s="925"/>
      <c r="C737" s="926"/>
    </row>
    <row r="738" ht="152.25" customHeight="1">
      <c r="A738" s="767"/>
      <c r="B738" s="925"/>
      <c r="C738" s="926"/>
    </row>
    <row r="739" ht="152.25" customHeight="1">
      <c r="A739" s="767"/>
      <c r="B739" s="925"/>
      <c r="C739" s="926"/>
    </row>
    <row r="740" ht="152.25" customHeight="1">
      <c r="A740" s="767"/>
      <c r="B740" s="925"/>
      <c r="C740" s="926"/>
    </row>
    <row r="741" ht="152.25" customHeight="1">
      <c r="A741" s="767"/>
      <c r="B741" s="925"/>
      <c r="C741" s="926"/>
    </row>
    <row r="742" ht="152.25" customHeight="1">
      <c r="A742" s="767"/>
      <c r="B742" s="925"/>
      <c r="C742" s="926"/>
    </row>
    <row r="743" ht="152.25" customHeight="1">
      <c r="A743" s="767"/>
      <c r="B743" s="925"/>
      <c r="C743" s="926"/>
    </row>
    <row r="744" ht="152.25" customHeight="1">
      <c r="A744" s="767"/>
      <c r="B744" s="925"/>
      <c r="C744" s="926"/>
    </row>
    <row r="745" ht="152.25" customHeight="1">
      <c r="A745" s="767"/>
      <c r="B745" s="925"/>
      <c r="C745" s="926"/>
    </row>
    <row r="746" ht="152.25" customHeight="1">
      <c r="A746" s="767"/>
      <c r="B746" s="925"/>
      <c r="C746" s="926"/>
    </row>
    <row r="747" ht="152.25" customHeight="1">
      <c r="A747" s="767"/>
      <c r="B747" s="925"/>
      <c r="C747" s="926"/>
    </row>
    <row r="748" ht="152.25" customHeight="1">
      <c r="A748" s="767"/>
      <c r="B748" s="925"/>
      <c r="C748" s="926"/>
    </row>
    <row r="749" ht="152.25" customHeight="1">
      <c r="A749" s="767"/>
      <c r="B749" s="925"/>
      <c r="C749" s="926"/>
    </row>
    <row r="750" ht="152.25" customHeight="1">
      <c r="A750" s="767"/>
      <c r="B750" s="925"/>
      <c r="C750" s="926"/>
    </row>
    <row r="751" ht="152.25" customHeight="1">
      <c r="A751" s="767"/>
      <c r="B751" s="925"/>
      <c r="C751" s="926"/>
    </row>
    <row r="752" ht="152.25" customHeight="1">
      <c r="A752" s="767"/>
      <c r="B752" s="925"/>
      <c r="C752" s="926"/>
    </row>
    <row r="753" ht="152.25" customHeight="1">
      <c r="A753" s="767"/>
      <c r="B753" s="925"/>
      <c r="C753" s="926"/>
    </row>
    <row r="754" ht="152.25" customHeight="1">
      <c r="A754" s="767"/>
      <c r="B754" s="925"/>
      <c r="C754" s="926"/>
    </row>
    <row r="755" ht="152.25" customHeight="1">
      <c r="A755" s="767"/>
      <c r="B755" s="925"/>
      <c r="C755" s="926"/>
    </row>
    <row r="756" ht="152.25" customHeight="1">
      <c r="A756" s="767"/>
      <c r="B756" s="925"/>
      <c r="C756" s="926"/>
    </row>
    <row r="757" ht="152.25" customHeight="1">
      <c r="A757" s="767"/>
      <c r="B757" s="925"/>
      <c r="C757" s="926"/>
    </row>
    <row r="758" ht="152.25" customHeight="1">
      <c r="A758" s="767"/>
      <c r="B758" s="925"/>
      <c r="C758" s="926"/>
    </row>
    <row r="759" ht="152.25" customHeight="1">
      <c r="A759" s="767"/>
      <c r="B759" s="925"/>
      <c r="C759" s="926"/>
    </row>
    <row r="760" ht="152.25" customHeight="1">
      <c r="A760" s="767"/>
      <c r="B760" s="925"/>
      <c r="C760" s="926"/>
    </row>
    <row r="761" ht="152.25" customHeight="1">
      <c r="A761" s="767"/>
      <c r="B761" s="925"/>
      <c r="C761" s="926"/>
    </row>
    <row r="762" ht="152.25" customHeight="1">
      <c r="A762" s="767"/>
      <c r="B762" s="925"/>
      <c r="C762" s="926"/>
    </row>
    <row r="763" ht="152.25" customHeight="1">
      <c r="A763" s="767"/>
      <c r="B763" s="925"/>
      <c r="C763" s="926"/>
    </row>
    <row r="764" ht="152.25" customHeight="1">
      <c r="A764" s="767"/>
      <c r="B764" s="925"/>
      <c r="C764" s="926"/>
    </row>
    <row r="765" ht="152.25" customHeight="1">
      <c r="A765" s="767"/>
      <c r="B765" s="925"/>
      <c r="C765" s="926"/>
    </row>
    <row r="766" ht="152.25" customHeight="1">
      <c r="A766" s="767"/>
      <c r="B766" s="925"/>
      <c r="C766" s="926"/>
    </row>
    <row r="767" ht="152.25" customHeight="1">
      <c r="A767" s="767"/>
      <c r="B767" s="925"/>
      <c r="C767" s="926"/>
    </row>
    <row r="768" ht="152.25" customHeight="1">
      <c r="A768" s="767"/>
      <c r="B768" s="925"/>
      <c r="C768" s="926"/>
    </row>
    <row r="769" ht="152.25" customHeight="1">
      <c r="A769" s="767"/>
      <c r="B769" s="925"/>
      <c r="C769" s="926"/>
    </row>
    <row r="770" ht="152.25" customHeight="1">
      <c r="A770" s="767"/>
      <c r="B770" s="925"/>
      <c r="C770" s="926"/>
    </row>
    <row r="771" ht="152.25" customHeight="1">
      <c r="A771" s="767"/>
      <c r="B771" s="925"/>
      <c r="C771" s="926"/>
    </row>
    <row r="772" ht="152.25" customHeight="1">
      <c r="A772" s="767"/>
      <c r="B772" s="925"/>
      <c r="C772" s="926"/>
    </row>
    <row r="773" ht="152.25" customHeight="1">
      <c r="A773" s="767"/>
      <c r="B773" s="925"/>
      <c r="C773" s="926"/>
    </row>
    <row r="774" ht="152.25" customHeight="1">
      <c r="A774" s="767"/>
      <c r="B774" s="925"/>
      <c r="C774" s="926"/>
    </row>
    <row r="775" ht="152.25" customHeight="1">
      <c r="A775" s="767"/>
      <c r="B775" s="925"/>
      <c r="C775" s="926"/>
    </row>
    <row r="776" ht="152.25" customHeight="1">
      <c r="A776" s="767"/>
      <c r="B776" s="925"/>
      <c r="C776" s="926"/>
    </row>
    <row r="777" ht="152.25" customHeight="1">
      <c r="A777" s="767"/>
      <c r="B777" s="925"/>
      <c r="C777" s="926"/>
    </row>
    <row r="778" ht="152.25" customHeight="1">
      <c r="A778" s="767"/>
      <c r="B778" s="925"/>
      <c r="C778" s="926"/>
    </row>
    <row r="779" ht="152.25" customHeight="1">
      <c r="A779" s="767"/>
      <c r="B779" s="925"/>
      <c r="C779" s="926"/>
    </row>
    <row r="780" ht="152.25" customHeight="1">
      <c r="A780" s="767"/>
      <c r="B780" s="925"/>
      <c r="C780" s="926"/>
    </row>
    <row r="781" ht="152.25" customHeight="1">
      <c r="A781" s="767"/>
      <c r="B781" s="925"/>
      <c r="C781" s="926"/>
    </row>
    <row r="782" ht="152.25" customHeight="1">
      <c r="A782" s="767"/>
      <c r="B782" s="925"/>
      <c r="C782" s="926"/>
    </row>
    <row r="783" ht="152.25" customHeight="1">
      <c r="A783" s="767"/>
      <c r="B783" s="925"/>
      <c r="C783" s="926"/>
    </row>
    <row r="784" ht="152.25" customHeight="1">
      <c r="A784" s="767"/>
      <c r="B784" s="925"/>
      <c r="C784" s="926"/>
    </row>
    <row r="785" ht="152.25" customHeight="1">
      <c r="A785" s="767"/>
      <c r="B785" s="925"/>
      <c r="C785" s="926"/>
    </row>
    <row r="786" ht="152.25" customHeight="1">
      <c r="A786" s="767"/>
      <c r="B786" s="925"/>
      <c r="C786" s="926"/>
    </row>
    <row r="787" ht="152.25" customHeight="1">
      <c r="A787" s="767"/>
      <c r="B787" s="925"/>
      <c r="C787" s="926"/>
    </row>
    <row r="788" ht="152.25" customHeight="1">
      <c r="A788" s="767"/>
      <c r="B788" s="925"/>
      <c r="C788" s="926"/>
    </row>
    <row r="789" ht="152.25" customHeight="1">
      <c r="A789" s="767"/>
      <c r="B789" s="925"/>
      <c r="C789" s="926"/>
    </row>
    <row r="790" ht="152.25" customHeight="1">
      <c r="A790" s="767"/>
      <c r="B790" s="925"/>
      <c r="C790" s="926"/>
    </row>
    <row r="791" ht="152.25" customHeight="1">
      <c r="A791" s="767"/>
      <c r="B791" s="925"/>
      <c r="C791" s="926"/>
    </row>
    <row r="792" ht="152.25" customHeight="1">
      <c r="A792" s="767"/>
      <c r="B792" s="925"/>
      <c r="C792" s="926"/>
    </row>
    <row r="793" ht="152.25" customHeight="1">
      <c r="A793" s="767"/>
      <c r="B793" s="925"/>
      <c r="C793" s="926"/>
    </row>
    <row r="794" ht="152.25" customHeight="1">
      <c r="A794" s="767"/>
      <c r="B794" s="925"/>
      <c r="C794" s="926"/>
    </row>
    <row r="795" ht="152.25" customHeight="1">
      <c r="A795" s="767"/>
      <c r="B795" s="925"/>
      <c r="C795" s="926"/>
    </row>
    <row r="796" ht="152.25" customHeight="1">
      <c r="A796" s="767"/>
      <c r="B796" s="925"/>
      <c r="C796" s="926"/>
    </row>
    <row r="797" ht="152.25" customHeight="1">
      <c r="A797" s="767"/>
      <c r="B797" s="925"/>
      <c r="C797" s="926"/>
    </row>
    <row r="798" ht="152.25" customHeight="1">
      <c r="A798" s="767"/>
      <c r="B798" s="925"/>
      <c r="C798" s="926"/>
    </row>
    <row r="799" ht="152.25" customHeight="1">
      <c r="A799" s="767"/>
      <c r="B799" s="925"/>
      <c r="C799" s="926"/>
    </row>
    <row r="800" ht="152.25" customHeight="1">
      <c r="A800" s="767"/>
      <c r="B800" s="925"/>
      <c r="C800" s="926"/>
    </row>
    <row r="801" ht="152.25" customHeight="1">
      <c r="A801" s="767"/>
      <c r="B801" s="925"/>
      <c r="C801" s="926"/>
    </row>
    <row r="802" ht="152.25" customHeight="1">
      <c r="A802" s="767"/>
      <c r="B802" s="925"/>
      <c r="C802" s="926"/>
    </row>
    <row r="803" ht="152.25" customHeight="1">
      <c r="A803" s="767"/>
      <c r="B803" s="925"/>
      <c r="C803" s="926"/>
    </row>
    <row r="804" ht="152.25" customHeight="1">
      <c r="A804" s="767"/>
      <c r="B804" s="925"/>
      <c r="C804" s="926"/>
    </row>
    <row r="805" ht="152.25" customHeight="1">
      <c r="A805" s="767"/>
      <c r="B805" s="925"/>
      <c r="C805" s="926"/>
    </row>
    <row r="806" ht="152.25" customHeight="1">
      <c r="A806" s="767"/>
      <c r="B806" s="925"/>
      <c r="C806" s="926"/>
    </row>
    <row r="807" ht="152.25" customHeight="1">
      <c r="A807" s="767"/>
      <c r="B807" s="925"/>
      <c r="C807" s="926"/>
    </row>
    <row r="808" ht="152.25" customHeight="1">
      <c r="A808" s="767"/>
      <c r="B808" s="925"/>
      <c r="C808" s="926"/>
    </row>
    <row r="809" ht="152.25" customHeight="1">
      <c r="A809" s="767"/>
      <c r="B809" s="925"/>
      <c r="C809" s="926"/>
    </row>
    <row r="810" ht="152.25" customHeight="1">
      <c r="A810" s="767"/>
      <c r="B810" s="925"/>
      <c r="C810" s="926"/>
    </row>
    <row r="811" ht="152.25" customHeight="1">
      <c r="A811" s="767"/>
      <c r="B811" s="925"/>
      <c r="C811" s="926"/>
    </row>
    <row r="812" ht="152.25" customHeight="1">
      <c r="A812" s="767"/>
      <c r="B812" s="925"/>
      <c r="C812" s="926"/>
    </row>
    <row r="813" ht="152.25" customHeight="1">
      <c r="A813" s="767"/>
      <c r="B813" s="925"/>
      <c r="C813" s="926"/>
    </row>
    <row r="814" ht="152.25" customHeight="1">
      <c r="A814" s="767"/>
      <c r="B814" s="925"/>
      <c r="C814" s="926"/>
    </row>
    <row r="815" ht="152.25" customHeight="1">
      <c r="A815" s="767"/>
      <c r="B815" s="925"/>
      <c r="C815" s="926"/>
    </row>
    <row r="816" ht="152.25" customHeight="1">
      <c r="A816" s="767"/>
      <c r="B816" s="925"/>
      <c r="C816" s="926"/>
    </row>
    <row r="817" ht="152.25" customHeight="1">
      <c r="A817" s="767"/>
      <c r="B817" s="925"/>
      <c r="C817" s="926"/>
    </row>
    <row r="818" ht="152.25" customHeight="1">
      <c r="A818" s="767"/>
      <c r="B818" s="925"/>
      <c r="C818" s="926"/>
    </row>
    <row r="819" ht="152.25" customHeight="1">
      <c r="A819" s="767"/>
      <c r="B819" s="925"/>
      <c r="C819" s="926"/>
    </row>
    <row r="820" ht="152.25" customHeight="1">
      <c r="A820" s="767"/>
      <c r="B820" s="925"/>
      <c r="C820" s="926"/>
    </row>
    <row r="821" ht="152.25" customHeight="1">
      <c r="A821" s="767"/>
      <c r="B821" s="925"/>
      <c r="C821" s="926"/>
    </row>
    <row r="822" ht="152.25" customHeight="1">
      <c r="A822" s="767"/>
      <c r="B822" s="925"/>
      <c r="C822" s="926"/>
    </row>
    <row r="823" ht="152.25" customHeight="1">
      <c r="A823" s="767"/>
      <c r="B823" s="925"/>
      <c r="C823" s="926"/>
    </row>
    <row r="824" ht="152.25" customHeight="1">
      <c r="A824" s="767"/>
      <c r="B824" s="925"/>
      <c r="C824" s="926"/>
    </row>
    <row r="825" ht="152.25" customHeight="1">
      <c r="A825" s="767"/>
      <c r="B825" s="925"/>
      <c r="C825" s="926"/>
    </row>
    <row r="826" ht="152.25" customHeight="1">
      <c r="A826" s="767"/>
      <c r="B826" s="925"/>
      <c r="C826" s="926"/>
    </row>
    <row r="827" ht="152.25" customHeight="1">
      <c r="A827" s="767"/>
      <c r="B827" s="925"/>
      <c r="C827" s="926"/>
    </row>
    <row r="828" ht="152.25" customHeight="1">
      <c r="A828" s="767"/>
      <c r="B828" s="925"/>
      <c r="C828" s="926"/>
    </row>
    <row r="829" ht="152.25" customHeight="1">
      <c r="A829" s="767"/>
      <c r="B829" s="925"/>
      <c r="C829" s="926"/>
    </row>
    <row r="830" ht="152.25" customHeight="1">
      <c r="A830" s="767"/>
      <c r="B830" s="925"/>
      <c r="C830" s="926"/>
    </row>
    <row r="831" ht="152.25" customHeight="1">
      <c r="A831" s="767"/>
      <c r="B831" s="925"/>
      <c r="C831" s="926"/>
    </row>
    <row r="832" ht="152.25" customHeight="1">
      <c r="A832" s="767"/>
      <c r="B832" s="925"/>
      <c r="C832" s="926"/>
    </row>
    <row r="833" ht="152.25" customHeight="1">
      <c r="A833" s="767"/>
      <c r="B833" s="925"/>
      <c r="C833" s="926"/>
    </row>
    <row r="834" ht="152.25" customHeight="1">
      <c r="A834" s="767"/>
      <c r="B834" s="925"/>
      <c r="C834" s="926"/>
    </row>
    <row r="835" ht="152.25" customHeight="1">
      <c r="A835" s="767"/>
      <c r="B835" s="925"/>
      <c r="C835" s="926"/>
    </row>
    <row r="836" ht="152.25" customHeight="1">
      <c r="A836" s="767"/>
      <c r="B836" s="925"/>
      <c r="C836" s="926"/>
    </row>
    <row r="837" ht="152.25" customHeight="1">
      <c r="A837" s="767"/>
      <c r="B837" s="925"/>
      <c r="C837" s="926"/>
    </row>
    <row r="838" ht="152.25" customHeight="1">
      <c r="A838" s="767"/>
      <c r="B838" s="925"/>
      <c r="C838" s="926"/>
    </row>
    <row r="839" ht="152.25" customHeight="1">
      <c r="A839" s="767"/>
      <c r="B839" s="925"/>
      <c r="C839" s="926"/>
    </row>
    <row r="840" ht="152.25" customHeight="1">
      <c r="A840" s="767"/>
      <c r="B840" s="925"/>
      <c r="C840" s="926"/>
    </row>
    <row r="841" ht="152.25" customHeight="1">
      <c r="A841" s="767"/>
      <c r="B841" s="925"/>
      <c r="C841" s="926"/>
    </row>
    <row r="842" ht="152.25" customHeight="1">
      <c r="A842" s="767"/>
      <c r="B842" s="925"/>
      <c r="C842" s="926"/>
    </row>
    <row r="843" ht="152.25" customHeight="1">
      <c r="A843" s="767"/>
      <c r="B843" s="925"/>
      <c r="C843" s="926"/>
    </row>
    <row r="844" ht="152.25" customHeight="1">
      <c r="A844" s="767"/>
      <c r="B844" s="925"/>
      <c r="C844" s="926"/>
    </row>
    <row r="845" ht="152.25" customHeight="1">
      <c r="A845" s="767"/>
      <c r="B845" s="925"/>
      <c r="C845" s="926"/>
    </row>
    <row r="846" ht="152.25" customHeight="1">
      <c r="A846" s="767"/>
      <c r="B846" s="925"/>
      <c r="C846" s="926"/>
    </row>
    <row r="847" ht="152.25" customHeight="1">
      <c r="A847" s="767"/>
      <c r="B847" s="925"/>
      <c r="C847" s="926"/>
    </row>
    <row r="848" ht="152.25" customHeight="1">
      <c r="A848" s="767"/>
      <c r="B848" s="925"/>
      <c r="C848" s="926"/>
    </row>
    <row r="849" ht="152.25" customHeight="1">
      <c r="A849" s="767"/>
      <c r="B849" s="925"/>
      <c r="C849" s="926"/>
    </row>
    <row r="850" ht="152.25" customHeight="1">
      <c r="A850" s="767"/>
      <c r="B850" s="925"/>
      <c r="C850" s="926"/>
    </row>
    <row r="851" ht="152.25" customHeight="1">
      <c r="A851" s="767"/>
      <c r="B851" s="925"/>
      <c r="C851" s="926"/>
    </row>
    <row r="852" ht="152.25" customHeight="1">
      <c r="A852" s="767"/>
      <c r="B852" s="925"/>
      <c r="C852" s="926"/>
    </row>
    <row r="853" ht="152.25" customHeight="1">
      <c r="A853" s="767"/>
      <c r="B853" s="925"/>
      <c r="C853" s="926"/>
    </row>
    <row r="854" ht="152.25" customHeight="1">
      <c r="A854" s="767"/>
      <c r="B854" s="925"/>
      <c r="C854" s="926"/>
    </row>
    <row r="855" ht="152.25" customHeight="1">
      <c r="A855" s="767"/>
      <c r="B855" s="925"/>
      <c r="C855" s="926"/>
    </row>
    <row r="856" ht="152.25" customHeight="1">
      <c r="A856" s="767"/>
      <c r="B856" s="925"/>
      <c r="C856" s="926"/>
    </row>
    <row r="857" ht="152.25" customHeight="1">
      <c r="A857" s="767"/>
      <c r="B857" s="925"/>
      <c r="C857" s="926"/>
    </row>
    <row r="858" ht="152.25" customHeight="1">
      <c r="A858" s="767"/>
      <c r="B858" s="925"/>
      <c r="C858" s="926"/>
    </row>
    <row r="859" ht="152.25" customHeight="1">
      <c r="A859" s="767"/>
      <c r="B859" s="925"/>
      <c r="C859" s="926"/>
    </row>
    <row r="860" ht="152.25" customHeight="1">
      <c r="A860" s="767"/>
      <c r="B860" s="925"/>
      <c r="C860" s="926"/>
    </row>
    <row r="861" ht="152.25" customHeight="1">
      <c r="A861" s="767"/>
      <c r="B861" s="925"/>
      <c r="C861" s="926"/>
    </row>
    <row r="862" ht="152.25" customHeight="1">
      <c r="A862" s="767"/>
      <c r="B862" s="925"/>
      <c r="C862" s="926"/>
    </row>
    <row r="863" ht="152.25" customHeight="1">
      <c r="A863" s="767"/>
      <c r="B863" s="925"/>
      <c r="C863" s="926"/>
    </row>
    <row r="864" ht="152.25" customHeight="1">
      <c r="A864" s="767"/>
      <c r="B864" s="925"/>
      <c r="C864" s="926"/>
    </row>
    <row r="865" ht="152.25" customHeight="1">
      <c r="A865" s="767"/>
      <c r="B865" s="925"/>
      <c r="C865" s="926"/>
    </row>
    <row r="866" ht="152.25" customHeight="1">
      <c r="A866" s="767"/>
      <c r="B866" s="925"/>
      <c r="C866" s="926"/>
    </row>
    <row r="867" ht="152.25" customHeight="1">
      <c r="A867" s="767"/>
      <c r="B867" s="925"/>
      <c r="C867" s="926"/>
    </row>
    <row r="868" ht="152.25" customHeight="1">
      <c r="A868" s="767"/>
      <c r="B868" s="925"/>
      <c r="C868" s="926"/>
    </row>
    <row r="869" ht="152.25" customHeight="1">
      <c r="A869" s="767"/>
      <c r="B869" s="925"/>
      <c r="C869" s="926"/>
    </row>
    <row r="870" ht="152.25" customHeight="1">
      <c r="A870" s="767"/>
      <c r="B870" s="925"/>
      <c r="C870" s="926"/>
    </row>
    <row r="871" ht="152.25" customHeight="1">
      <c r="A871" s="767"/>
      <c r="B871" s="925"/>
      <c r="C871" s="926"/>
    </row>
    <row r="872" ht="152.25" customHeight="1">
      <c r="A872" s="767"/>
      <c r="B872" s="925"/>
      <c r="C872" s="926"/>
    </row>
    <row r="873" ht="152.25" customHeight="1">
      <c r="A873" s="767"/>
      <c r="B873" s="925"/>
      <c r="C873" s="926"/>
    </row>
    <row r="874" ht="152.25" customHeight="1">
      <c r="A874" s="767"/>
      <c r="B874" s="925"/>
      <c r="C874" s="926"/>
    </row>
    <row r="875" ht="152.25" customHeight="1">
      <c r="A875" s="767"/>
      <c r="B875" s="925"/>
      <c r="C875" s="926"/>
    </row>
    <row r="876" ht="152.25" customHeight="1">
      <c r="A876" s="767"/>
      <c r="B876" s="925"/>
      <c r="C876" s="926"/>
    </row>
    <row r="877" ht="152.25" customHeight="1">
      <c r="A877" s="767"/>
      <c r="B877" s="925"/>
      <c r="C877" s="926"/>
    </row>
    <row r="878" ht="152.25" customHeight="1">
      <c r="A878" s="767"/>
      <c r="B878" s="925"/>
      <c r="C878" s="926"/>
    </row>
    <row r="879" ht="152.25" customHeight="1">
      <c r="A879" s="767"/>
      <c r="B879" s="925"/>
      <c r="C879" s="926"/>
    </row>
    <row r="880" ht="152.25" customHeight="1">
      <c r="A880" s="767"/>
      <c r="B880" s="925"/>
      <c r="C880" s="926"/>
    </row>
    <row r="881" ht="152.25" customHeight="1">
      <c r="A881" s="767"/>
      <c r="B881" s="925"/>
      <c r="C881" s="926"/>
    </row>
    <row r="882" ht="152.25" customHeight="1">
      <c r="A882" s="767"/>
      <c r="B882" s="925"/>
      <c r="C882" s="926"/>
    </row>
    <row r="883" ht="152.25" customHeight="1">
      <c r="A883" s="767"/>
      <c r="B883" s="925"/>
      <c r="C883" s="926"/>
    </row>
    <row r="884" ht="152.25" customHeight="1">
      <c r="A884" s="767"/>
      <c r="B884" s="925"/>
      <c r="C884" s="926"/>
    </row>
    <row r="885" ht="152.25" customHeight="1">
      <c r="A885" s="767"/>
      <c r="B885" s="925"/>
      <c r="C885" s="926"/>
    </row>
    <row r="886" ht="152.25" customHeight="1">
      <c r="A886" s="767"/>
      <c r="B886" s="925"/>
      <c r="C886" s="926"/>
    </row>
    <row r="887" ht="152.25" customHeight="1">
      <c r="A887" s="767"/>
      <c r="B887" s="925"/>
      <c r="C887" s="926"/>
    </row>
    <row r="888" ht="152.25" customHeight="1">
      <c r="A888" s="767"/>
      <c r="B888" s="925"/>
      <c r="C888" s="926"/>
    </row>
    <row r="889" ht="152.25" customHeight="1">
      <c r="A889" s="767"/>
      <c r="B889" s="925"/>
      <c r="C889" s="926"/>
    </row>
    <row r="890" ht="152.25" customHeight="1">
      <c r="A890" s="767"/>
      <c r="B890" s="925"/>
      <c r="C890" s="926"/>
    </row>
    <row r="891" ht="152.25" customHeight="1">
      <c r="A891" s="767"/>
      <c r="B891" s="925"/>
      <c r="C891" s="926"/>
    </row>
    <row r="892" ht="152.25" customHeight="1">
      <c r="A892" s="767"/>
      <c r="B892" s="925"/>
      <c r="C892" s="926"/>
    </row>
    <row r="893" ht="152.25" customHeight="1">
      <c r="A893" s="767"/>
      <c r="B893" s="925"/>
      <c r="C893" s="926"/>
    </row>
    <row r="894" ht="152.25" customHeight="1">
      <c r="A894" s="767"/>
      <c r="B894" s="925"/>
      <c r="C894" s="926"/>
    </row>
    <row r="895" ht="152.25" customHeight="1">
      <c r="A895" s="767"/>
      <c r="B895" s="925"/>
      <c r="C895" s="926"/>
    </row>
    <row r="896" ht="152.25" customHeight="1">
      <c r="A896" s="767"/>
      <c r="B896" s="925"/>
      <c r="C896" s="926"/>
    </row>
    <row r="897" ht="152.25" customHeight="1">
      <c r="A897" s="767"/>
      <c r="B897" s="925"/>
      <c r="C897" s="926"/>
    </row>
    <row r="898" ht="152.25" customHeight="1">
      <c r="A898" s="767"/>
      <c r="B898" s="925"/>
      <c r="C898" s="926"/>
    </row>
    <row r="899" ht="152.25" customHeight="1">
      <c r="A899" s="767"/>
      <c r="B899" s="925"/>
      <c r="C899" s="926"/>
    </row>
    <row r="900" ht="152.25" customHeight="1">
      <c r="A900" s="767"/>
      <c r="B900" s="925"/>
      <c r="C900" s="926"/>
    </row>
    <row r="901" ht="152.25" customHeight="1">
      <c r="A901" s="767"/>
      <c r="B901" s="925"/>
      <c r="C901" s="926"/>
    </row>
    <row r="902" ht="152.25" customHeight="1">
      <c r="A902" s="767"/>
      <c r="B902" s="925"/>
      <c r="C902" s="926"/>
    </row>
    <row r="903" ht="152.25" customHeight="1">
      <c r="A903" s="767"/>
      <c r="B903" s="925"/>
      <c r="C903" s="926"/>
    </row>
    <row r="904" ht="152.25" customHeight="1">
      <c r="A904" s="767"/>
      <c r="B904" s="925"/>
      <c r="C904" s="926"/>
    </row>
    <row r="905" ht="152.25" customHeight="1">
      <c r="A905" s="767"/>
      <c r="B905" s="925"/>
      <c r="C905" s="926"/>
    </row>
    <row r="906" ht="152.25" customHeight="1">
      <c r="A906" s="767"/>
      <c r="B906" s="925"/>
      <c r="C906" s="926"/>
    </row>
    <row r="907" ht="152.25" customHeight="1">
      <c r="A907" s="767"/>
      <c r="B907" s="925"/>
      <c r="C907" s="926"/>
    </row>
    <row r="908" ht="152.25" customHeight="1">
      <c r="A908" s="767"/>
      <c r="B908" s="925"/>
      <c r="C908" s="926"/>
    </row>
    <row r="909" ht="152.25" customHeight="1">
      <c r="A909" s="767"/>
      <c r="B909" s="925"/>
      <c r="C909" s="926"/>
    </row>
    <row r="910" ht="152.25" customHeight="1">
      <c r="A910" s="767"/>
      <c r="B910" s="925"/>
      <c r="C910" s="926"/>
    </row>
    <row r="911" ht="152.25" customHeight="1">
      <c r="A911" s="767"/>
      <c r="B911" s="925"/>
      <c r="C911" s="926"/>
    </row>
    <row r="912" ht="152.25" customHeight="1">
      <c r="A912" s="767"/>
      <c r="B912" s="925"/>
      <c r="C912" s="926"/>
    </row>
    <row r="913" ht="152.25" customHeight="1">
      <c r="A913" s="767"/>
      <c r="B913" s="925"/>
      <c r="C913" s="926"/>
    </row>
    <row r="914" ht="152.25" customHeight="1">
      <c r="A914" s="767"/>
      <c r="B914" s="925"/>
      <c r="C914" s="926"/>
    </row>
    <row r="915" ht="152.25" customHeight="1">
      <c r="A915" s="767"/>
      <c r="B915" s="925"/>
      <c r="C915" s="926"/>
    </row>
    <row r="916" ht="152.25" customHeight="1">
      <c r="A916" s="767"/>
      <c r="B916" s="925"/>
      <c r="C916" s="926"/>
    </row>
    <row r="917" ht="152.25" customHeight="1">
      <c r="A917" s="767"/>
      <c r="B917" s="925"/>
      <c r="C917" s="926"/>
    </row>
    <row r="918" ht="152.25" customHeight="1">
      <c r="A918" s="767"/>
      <c r="B918" s="925"/>
      <c r="C918" s="926"/>
    </row>
    <row r="919" ht="152.25" customHeight="1">
      <c r="A919" s="767"/>
      <c r="B919" s="925"/>
      <c r="C919" s="926"/>
    </row>
    <row r="920" ht="152.25" customHeight="1">
      <c r="A920" s="767"/>
      <c r="B920" s="925"/>
      <c r="C920" s="926"/>
    </row>
    <row r="921" ht="152.25" customHeight="1">
      <c r="A921" s="767"/>
      <c r="B921" s="925"/>
      <c r="C921" s="926"/>
    </row>
    <row r="922" ht="152.25" customHeight="1">
      <c r="A922" s="767"/>
      <c r="B922" s="925"/>
      <c r="C922" s="926"/>
    </row>
    <row r="923" ht="152.25" customHeight="1">
      <c r="A923" s="767"/>
      <c r="B923" s="925"/>
      <c r="C923" s="926"/>
    </row>
    <row r="924" ht="152.25" customHeight="1">
      <c r="A924" s="767"/>
      <c r="B924" s="925"/>
      <c r="C924" s="926"/>
    </row>
    <row r="925" ht="152.25" customHeight="1">
      <c r="A925" s="767"/>
      <c r="B925" s="925"/>
      <c r="C925" s="926"/>
    </row>
    <row r="926" ht="152.25" customHeight="1">
      <c r="A926" s="767"/>
      <c r="B926" s="925"/>
      <c r="C926" s="926"/>
    </row>
    <row r="927" ht="152.25" customHeight="1">
      <c r="A927" s="767"/>
      <c r="B927" s="925"/>
      <c r="C927" s="926"/>
    </row>
    <row r="928" ht="152.25" customHeight="1">
      <c r="A928" s="767"/>
      <c r="B928" s="925"/>
      <c r="C928" s="926"/>
    </row>
    <row r="929" ht="152.25" customHeight="1">
      <c r="A929" s="767"/>
      <c r="B929" s="925"/>
      <c r="C929" s="926"/>
    </row>
    <row r="930" ht="152.25" customHeight="1">
      <c r="A930" s="767"/>
      <c r="B930" s="925"/>
      <c r="C930" s="926"/>
    </row>
    <row r="931" ht="152.25" customHeight="1">
      <c r="A931" s="767"/>
      <c r="B931" s="925"/>
      <c r="C931" s="926"/>
    </row>
    <row r="932" ht="152.25" customHeight="1">
      <c r="A932" s="767"/>
      <c r="B932" s="925"/>
      <c r="C932" s="926"/>
    </row>
    <row r="933" ht="152.25" customHeight="1">
      <c r="A933" s="767"/>
      <c r="B933" s="925"/>
      <c r="C933" s="926"/>
    </row>
    <row r="934" ht="152.25" customHeight="1">
      <c r="A934" s="767"/>
      <c r="B934" s="925"/>
      <c r="C934" s="926"/>
    </row>
    <row r="935" ht="152.25" customHeight="1">
      <c r="A935" s="767"/>
      <c r="B935" s="925"/>
      <c r="C935" s="926"/>
    </row>
    <row r="936" ht="152.25" customHeight="1">
      <c r="A936" s="767"/>
      <c r="B936" s="925"/>
      <c r="C936" s="926"/>
    </row>
    <row r="937" ht="152.25" customHeight="1">
      <c r="A937" s="767"/>
      <c r="B937" s="925"/>
      <c r="C937" s="926"/>
    </row>
    <row r="938" ht="152.25" customHeight="1">
      <c r="A938" s="767"/>
      <c r="B938" s="925"/>
      <c r="C938" s="926"/>
    </row>
    <row r="939" ht="152.25" customHeight="1">
      <c r="A939" s="767"/>
      <c r="B939" s="925"/>
      <c r="C939" s="926"/>
    </row>
    <row r="940" ht="152.25" customHeight="1">
      <c r="A940" s="767"/>
      <c r="B940" s="925"/>
      <c r="C940" s="926"/>
    </row>
    <row r="941" ht="152.25" customHeight="1">
      <c r="A941" s="767"/>
      <c r="B941" s="925"/>
      <c r="C941" s="926"/>
    </row>
    <row r="942" ht="152.25" customHeight="1">
      <c r="A942" s="767"/>
      <c r="B942" s="925"/>
      <c r="C942" s="926"/>
    </row>
    <row r="943" ht="152.25" customHeight="1">
      <c r="A943" s="767"/>
      <c r="B943" s="925"/>
      <c r="C943" s="926"/>
    </row>
    <row r="944" ht="152.25" customHeight="1">
      <c r="A944" s="767"/>
      <c r="B944" s="925"/>
      <c r="C944" s="926"/>
    </row>
    <row r="945" ht="152.25" customHeight="1">
      <c r="A945" s="767"/>
      <c r="B945" s="925"/>
      <c r="C945" s="926"/>
    </row>
    <row r="946" ht="152.25" customHeight="1">
      <c r="A946" s="767"/>
      <c r="B946" s="925"/>
      <c r="C946" s="926"/>
    </row>
    <row r="947" ht="152.25" customHeight="1">
      <c r="A947" s="767"/>
      <c r="B947" s="925"/>
      <c r="C947" s="926"/>
    </row>
    <row r="948" ht="152.25" customHeight="1">
      <c r="A948" s="767"/>
      <c r="B948" s="925"/>
      <c r="C948" s="926"/>
    </row>
    <row r="949" ht="152.25" customHeight="1">
      <c r="A949" s="767"/>
      <c r="B949" s="925"/>
      <c r="C949" s="926"/>
    </row>
    <row r="950" ht="152.25" customHeight="1">
      <c r="A950" s="767"/>
      <c r="B950" s="925"/>
      <c r="C950" s="926"/>
    </row>
    <row r="951" ht="152.25" customHeight="1">
      <c r="A951" s="767"/>
      <c r="B951" s="925"/>
      <c r="C951" s="926"/>
    </row>
    <row r="952" ht="152.25" customHeight="1">
      <c r="A952" s="767"/>
      <c r="B952" s="925"/>
      <c r="C952" s="926"/>
    </row>
    <row r="953" ht="152.25" customHeight="1">
      <c r="A953" s="767"/>
      <c r="B953" s="925"/>
      <c r="C953" s="926"/>
    </row>
    <row r="954" ht="152.25" customHeight="1">
      <c r="A954" s="767"/>
      <c r="B954" s="925"/>
      <c r="C954" s="926"/>
    </row>
    <row r="955" ht="152.25" customHeight="1">
      <c r="A955" s="767"/>
      <c r="B955" s="925"/>
      <c r="C955" s="926"/>
    </row>
    <row r="956" ht="152.25" customHeight="1">
      <c r="A956" s="767"/>
      <c r="B956" s="925"/>
      <c r="C956" s="926"/>
    </row>
    <row r="957" ht="152.25" customHeight="1">
      <c r="A957" s="767"/>
      <c r="B957" s="925"/>
      <c r="C957" s="926"/>
    </row>
    <row r="958" ht="152.25" customHeight="1">
      <c r="A958" s="767"/>
      <c r="B958" s="925"/>
      <c r="C958" s="926"/>
    </row>
    <row r="959" ht="152.25" customHeight="1">
      <c r="A959" s="767"/>
      <c r="B959" s="925"/>
      <c r="C959" s="926"/>
    </row>
    <row r="960" ht="152.25" customHeight="1">
      <c r="A960" s="767"/>
      <c r="B960" s="925"/>
      <c r="C960" s="926"/>
    </row>
    <row r="961" ht="152.25" customHeight="1">
      <c r="A961" s="767"/>
      <c r="B961" s="925"/>
      <c r="C961" s="926"/>
    </row>
    <row r="962" ht="152.25" customHeight="1">
      <c r="A962" s="767"/>
      <c r="B962" s="925"/>
      <c r="C962" s="926"/>
    </row>
    <row r="963" ht="152.25" customHeight="1">
      <c r="A963" s="767"/>
      <c r="B963" s="925"/>
      <c r="C963" s="926"/>
    </row>
    <row r="964" ht="152.25" customHeight="1">
      <c r="A964" s="767"/>
      <c r="B964" s="925"/>
      <c r="C964" s="926"/>
    </row>
    <row r="965" ht="152.25" customHeight="1">
      <c r="A965" s="767"/>
      <c r="B965" s="925"/>
      <c r="C965" s="926"/>
    </row>
    <row r="966" ht="152.25" customHeight="1">
      <c r="A966" s="767"/>
      <c r="B966" s="925"/>
      <c r="C966" s="926"/>
    </row>
    <row r="967" ht="152.25" customHeight="1">
      <c r="A967" s="767"/>
      <c r="B967" s="925"/>
      <c r="C967" s="926"/>
    </row>
    <row r="968" ht="152.25" customHeight="1">
      <c r="A968" s="767"/>
      <c r="B968" s="925"/>
      <c r="C968" s="926"/>
    </row>
    <row r="969" ht="152.25" customHeight="1">
      <c r="A969" s="767"/>
      <c r="B969" s="925"/>
      <c r="C969" s="926"/>
    </row>
    <row r="970" ht="152.25" customHeight="1">
      <c r="A970" s="767"/>
      <c r="B970" s="925"/>
      <c r="C970" s="926"/>
    </row>
    <row r="971" ht="152.25" customHeight="1">
      <c r="A971" s="767"/>
      <c r="B971" s="925"/>
      <c r="C971" s="926"/>
    </row>
    <row r="972" ht="152.25" customHeight="1">
      <c r="A972" s="767"/>
      <c r="B972" s="925"/>
      <c r="C972" s="926"/>
    </row>
    <row r="973" ht="152.25" customHeight="1">
      <c r="A973" s="767"/>
      <c r="B973" s="925"/>
      <c r="C973" s="926"/>
    </row>
    <row r="974" ht="152.25" customHeight="1">
      <c r="A974" s="767"/>
      <c r="B974" s="925"/>
      <c r="C974" s="926"/>
    </row>
    <row r="975" ht="152.25" customHeight="1">
      <c r="A975" s="767"/>
      <c r="B975" s="925"/>
      <c r="C975" s="926"/>
    </row>
    <row r="976" ht="152.25" customHeight="1">
      <c r="A976" s="767"/>
      <c r="B976" s="925"/>
      <c r="C976" s="926"/>
    </row>
    <row r="977" ht="152.25" customHeight="1">
      <c r="A977" s="767"/>
      <c r="B977" s="925"/>
      <c r="C977" s="926"/>
    </row>
    <row r="978" ht="152.25" customHeight="1">
      <c r="A978" s="767"/>
      <c r="B978" s="925"/>
      <c r="C978" s="926"/>
    </row>
    <row r="979" ht="152.25" customHeight="1">
      <c r="A979" s="767"/>
      <c r="B979" s="925"/>
      <c r="C979" s="926"/>
    </row>
    <row r="980" ht="152.25" customHeight="1">
      <c r="A980" s="767"/>
      <c r="B980" s="925"/>
      <c r="C980" s="926"/>
    </row>
    <row r="981" ht="152.25" customHeight="1">
      <c r="A981" s="767"/>
      <c r="B981" s="925"/>
      <c r="C981" s="926"/>
    </row>
    <row r="982" ht="152.25" customHeight="1">
      <c r="A982" s="767"/>
      <c r="B982" s="925"/>
      <c r="C982" s="926"/>
    </row>
    <row r="983" ht="152.25" customHeight="1">
      <c r="A983" s="767"/>
      <c r="B983" s="925"/>
      <c r="C983" s="926"/>
    </row>
    <row r="984" ht="152.25" customHeight="1">
      <c r="A984" s="767"/>
      <c r="B984" s="925"/>
      <c r="C984" s="926"/>
    </row>
    <row r="985" ht="152.25" customHeight="1">
      <c r="A985" s="767"/>
      <c r="B985" s="925"/>
      <c r="C985" s="926"/>
    </row>
    <row r="986" ht="152.25" customHeight="1">
      <c r="A986" s="767"/>
      <c r="B986" s="925"/>
      <c r="C986" s="926"/>
    </row>
    <row r="987" ht="152.25" customHeight="1">
      <c r="A987" s="767"/>
      <c r="B987" s="925"/>
      <c r="C987" s="926"/>
    </row>
    <row r="988" ht="152.25" customHeight="1">
      <c r="A988" s="767"/>
      <c r="B988" s="925"/>
      <c r="C988" s="926"/>
    </row>
    <row r="989" ht="152.25" customHeight="1">
      <c r="A989" s="767"/>
      <c r="B989" s="925"/>
      <c r="C989" s="926"/>
    </row>
    <row r="990" ht="152.25" customHeight="1">
      <c r="A990" s="767"/>
      <c r="B990" s="925"/>
      <c r="C990" s="926"/>
    </row>
    <row r="991" ht="152.25" customHeight="1">
      <c r="A991" s="767"/>
      <c r="B991" s="925"/>
      <c r="C991" s="926"/>
    </row>
    <row r="992" ht="152.25" customHeight="1">
      <c r="A992" s="767"/>
      <c r="B992" s="925"/>
      <c r="C992" s="926"/>
    </row>
    <row r="993" ht="152.25" customHeight="1">
      <c r="A993" s="767"/>
      <c r="B993" s="925"/>
      <c r="C993" s="926"/>
    </row>
    <row r="994" ht="152.25" customHeight="1">
      <c r="A994" s="767"/>
      <c r="B994" s="925"/>
      <c r="C994" s="926"/>
    </row>
    <row r="995" ht="152.25" customHeight="1">
      <c r="A995" s="767"/>
      <c r="B995" s="925"/>
      <c r="C995" s="926"/>
    </row>
    <row r="996" ht="152.25" customHeight="1">
      <c r="A996" s="767"/>
      <c r="B996" s="925"/>
      <c r="C996" s="926"/>
    </row>
    <row r="997" ht="152.25" customHeight="1">
      <c r="A997" s="767"/>
      <c r="B997" s="925"/>
      <c r="C997" s="926"/>
    </row>
    <row r="998" ht="152.25" customHeight="1">
      <c r="A998" s="767"/>
      <c r="B998" s="925"/>
      <c r="C998" s="926"/>
    </row>
    <row r="999" ht="152.25" customHeight="1">
      <c r="A999" s="767"/>
      <c r="B999" s="925"/>
      <c r="C999" s="926"/>
    </row>
    <row r="1000" ht="152.25" customHeight="1">
      <c r="A1000" s="767"/>
      <c r="B1000" s="925"/>
      <c r="C1000" s="926"/>
    </row>
  </sheetData>
  <conditionalFormatting sqref="B1:B101 E1:E100 H1:H99 K1:K98">
    <cfRule type="containsBlanks" dxfId="0" priority="1">
      <formula>LEN(TRIM(B1))=0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1.29"/>
    <col customWidth="1" min="3" max="3" width="42.57"/>
    <col customWidth="1" min="4" max="4" width="21.71"/>
    <col customWidth="1" min="5" max="6" width="9.71"/>
    <col customWidth="1" min="7" max="26" width="8.71"/>
  </cols>
  <sheetData>
    <row r="1">
      <c r="A1" s="1" t="s">
        <v>0</v>
      </c>
      <c r="B1" s="1" t="s">
        <v>1</v>
      </c>
      <c r="C1" s="927" t="s">
        <v>2</v>
      </c>
      <c r="D1" s="1" t="s">
        <v>3</v>
      </c>
      <c r="E1" s="1" t="s">
        <v>3703</v>
      </c>
      <c r="F1" s="1" t="s">
        <v>3704</v>
      </c>
      <c r="G1" s="4" t="s">
        <v>13</v>
      </c>
      <c r="H1" s="771"/>
      <c r="I1" s="771"/>
      <c r="J1" s="771"/>
      <c r="K1" s="771"/>
      <c r="L1" s="771"/>
      <c r="M1" s="771"/>
      <c r="N1" s="771"/>
      <c r="O1" s="771"/>
      <c r="P1" s="771"/>
      <c r="Q1" s="771"/>
      <c r="R1" s="771"/>
      <c r="S1" s="771"/>
      <c r="T1" s="771"/>
      <c r="U1" s="771"/>
      <c r="V1" s="771"/>
      <c r="W1" s="771"/>
      <c r="X1" s="771"/>
      <c r="Y1" s="771"/>
      <c r="Z1" s="771"/>
    </row>
    <row r="2" ht="45.0" customHeight="1">
      <c r="A2" s="13">
        <v>1.0</v>
      </c>
      <c r="B2" s="13" t="s">
        <v>17</v>
      </c>
      <c r="C2" s="928" t="s">
        <v>18</v>
      </c>
      <c r="D2" s="215" t="s">
        <v>19</v>
      </c>
      <c r="E2" s="929">
        <v>6.0</v>
      </c>
      <c r="F2" s="884">
        <f t="shared" ref="F2:F78" si="1">E2*43</f>
        <v>258</v>
      </c>
      <c r="G2" s="13" t="e">
        <v>#VALUE!</v>
      </c>
    </row>
    <row r="3" ht="45.0" customHeight="1">
      <c r="A3" s="13">
        <v>2.0</v>
      </c>
      <c r="B3" s="13" t="s">
        <v>26</v>
      </c>
      <c r="C3" s="930" t="s">
        <v>27</v>
      </c>
      <c r="D3" s="215" t="s">
        <v>19</v>
      </c>
      <c r="E3" s="929">
        <v>2.0</v>
      </c>
      <c r="F3" s="884">
        <f t="shared" si="1"/>
        <v>86</v>
      </c>
      <c r="G3" s="13" t="e">
        <v>#VALUE!</v>
      </c>
    </row>
    <row r="4" ht="45.0" customHeight="1">
      <c r="A4" s="13">
        <v>3.0</v>
      </c>
      <c r="B4" s="13" t="s">
        <v>30</v>
      </c>
      <c r="C4" s="928" t="s">
        <v>31</v>
      </c>
      <c r="D4" s="215" t="s">
        <v>19</v>
      </c>
      <c r="E4" s="929">
        <v>6.0</v>
      </c>
      <c r="F4" s="884">
        <f t="shared" si="1"/>
        <v>258</v>
      </c>
      <c r="G4" s="13" t="e">
        <v>#VALUE!</v>
      </c>
    </row>
    <row r="5" ht="45.0" customHeight="1">
      <c r="A5" s="13">
        <v>4.0</v>
      </c>
      <c r="B5" s="13" t="s">
        <v>34</v>
      </c>
      <c r="C5" s="928" t="s">
        <v>35</v>
      </c>
      <c r="D5" s="215" t="s">
        <v>19</v>
      </c>
      <c r="E5" s="929">
        <v>6.0</v>
      </c>
      <c r="F5" s="884">
        <f t="shared" si="1"/>
        <v>258</v>
      </c>
      <c r="G5" s="13" t="e">
        <v>#VALUE!</v>
      </c>
    </row>
    <row r="6" ht="45.0" customHeight="1">
      <c r="A6" s="13">
        <v>5.0</v>
      </c>
      <c r="B6" s="13" t="s">
        <v>37</v>
      </c>
      <c r="C6" s="928" t="s">
        <v>38</v>
      </c>
      <c r="D6" s="215" t="s">
        <v>19</v>
      </c>
      <c r="E6" s="929">
        <v>6.0</v>
      </c>
      <c r="F6" s="884">
        <f t="shared" si="1"/>
        <v>258</v>
      </c>
      <c r="G6" s="13" t="e">
        <v>#VALUE!</v>
      </c>
    </row>
    <row r="7" ht="45.0" customHeight="1">
      <c r="A7" s="13">
        <v>6.0</v>
      </c>
      <c r="B7" s="13" t="s">
        <v>41</v>
      </c>
      <c r="C7" s="930" t="s">
        <v>42</v>
      </c>
      <c r="D7" s="215" t="s">
        <v>19</v>
      </c>
      <c r="E7" s="929">
        <v>6.0</v>
      </c>
      <c r="F7" s="884">
        <f t="shared" si="1"/>
        <v>258</v>
      </c>
      <c r="G7" s="13" t="e">
        <v>#VALUE!</v>
      </c>
    </row>
    <row r="8" ht="45.0" customHeight="1">
      <c r="A8" s="13">
        <v>7.0</v>
      </c>
      <c r="B8" s="13" t="s">
        <v>45</v>
      </c>
      <c r="C8" s="930" t="s">
        <v>46</v>
      </c>
      <c r="D8" s="215" t="s">
        <v>19</v>
      </c>
      <c r="E8" s="13">
        <v>10.0</v>
      </c>
      <c r="F8" s="884">
        <f t="shared" si="1"/>
        <v>430</v>
      </c>
      <c r="G8" s="13" t="e">
        <v>#VALUE!</v>
      </c>
    </row>
    <row r="9" ht="45.0" customHeight="1">
      <c r="A9" s="13">
        <v>8.0</v>
      </c>
      <c r="B9" s="13" t="s">
        <v>50</v>
      </c>
      <c r="C9" s="930" t="s">
        <v>51</v>
      </c>
      <c r="D9" s="215" t="s">
        <v>19</v>
      </c>
      <c r="E9" s="929">
        <v>5.0</v>
      </c>
      <c r="F9" s="884">
        <f t="shared" si="1"/>
        <v>215</v>
      </c>
      <c r="G9" s="13" t="e">
        <v>#VALUE!</v>
      </c>
    </row>
    <row r="10" ht="45.0" customHeight="1">
      <c r="A10" s="13">
        <v>9.0</v>
      </c>
      <c r="B10" s="13" t="s">
        <v>54</v>
      </c>
      <c r="C10" s="928" t="s">
        <v>55</v>
      </c>
      <c r="D10" s="215" t="s">
        <v>19</v>
      </c>
      <c r="E10" s="929">
        <v>10.0</v>
      </c>
      <c r="F10" s="884">
        <f t="shared" si="1"/>
        <v>430</v>
      </c>
      <c r="G10" s="13" t="e">
        <v>#VALUE!</v>
      </c>
    </row>
    <row r="11" ht="45.0" customHeight="1">
      <c r="A11" s="13">
        <v>10.0</v>
      </c>
      <c r="B11" s="13" t="s">
        <v>58</v>
      </c>
      <c r="C11" s="930" t="s">
        <v>59</v>
      </c>
      <c r="D11" s="215" t="s">
        <v>19</v>
      </c>
      <c r="E11" s="929">
        <v>10.0</v>
      </c>
      <c r="F11" s="884">
        <f t="shared" si="1"/>
        <v>430</v>
      </c>
      <c r="G11" s="13" t="e">
        <v>#VALUE!</v>
      </c>
    </row>
    <row r="12" ht="45.0" customHeight="1">
      <c r="A12" s="13">
        <v>11.0</v>
      </c>
      <c r="B12" s="13" t="s">
        <v>62</v>
      </c>
      <c r="C12" s="930" t="s">
        <v>63</v>
      </c>
      <c r="D12" s="215" t="s">
        <v>64</v>
      </c>
      <c r="E12" s="929">
        <v>60.0</v>
      </c>
      <c r="F12" s="884">
        <f t="shared" si="1"/>
        <v>2580</v>
      </c>
      <c r="G12" s="13" t="e">
        <v>#VALUE!</v>
      </c>
    </row>
    <row r="13" ht="45.0" customHeight="1">
      <c r="A13" s="13">
        <v>12.0</v>
      </c>
      <c r="B13" s="13" t="s">
        <v>70</v>
      </c>
      <c r="C13" s="928" t="s">
        <v>71</v>
      </c>
      <c r="D13" s="215" t="s">
        <v>64</v>
      </c>
      <c r="E13" s="929">
        <v>25.0</v>
      </c>
      <c r="F13" s="884">
        <f t="shared" si="1"/>
        <v>1075</v>
      </c>
      <c r="G13" s="13" t="e">
        <v>#VALUE!</v>
      </c>
    </row>
    <row r="14" ht="45.0" customHeight="1">
      <c r="A14" s="13">
        <v>13.0</v>
      </c>
      <c r="B14" s="13" t="s">
        <v>75</v>
      </c>
      <c r="C14" s="930" t="s">
        <v>1891</v>
      </c>
      <c r="D14" s="215" t="s">
        <v>64</v>
      </c>
      <c r="E14" s="13">
        <v>10.0</v>
      </c>
      <c r="F14" s="884">
        <f t="shared" si="1"/>
        <v>430</v>
      </c>
      <c r="G14" s="13" t="e">
        <v>#VALUE!</v>
      </c>
    </row>
    <row r="15" ht="45.0" customHeight="1">
      <c r="A15" s="13">
        <v>14.0</v>
      </c>
      <c r="B15" s="13" t="s">
        <v>80</v>
      </c>
      <c r="C15" s="930" t="s">
        <v>81</v>
      </c>
      <c r="D15" s="215" t="s">
        <v>64</v>
      </c>
      <c r="E15" s="929">
        <v>5.0</v>
      </c>
      <c r="F15" s="884">
        <f t="shared" si="1"/>
        <v>215</v>
      </c>
      <c r="G15" s="13" t="e">
        <v>#VALUE!</v>
      </c>
    </row>
    <row r="16" ht="45.0" customHeight="1">
      <c r="A16" s="13">
        <v>15.0</v>
      </c>
      <c r="B16" s="13" t="s">
        <v>86</v>
      </c>
      <c r="C16" s="928" t="s">
        <v>87</v>
      </c>
      <c r="D16" s="215" t="s">
        <v>64</v>
      </c>
      <c r="E16" s="929">
        <v>5.0</v>
      </c>
      <c r="F16" s="884">
        <f t="shared" si="1"/>
        <v>215</v>
      </c>
      <c r="G16" s="13" t="e">
        <v>#VALUE!</v>
      </c>
    </row>
    <row r="17" ht="45.0" customHeight="1">
      <c r="A17" s="13">
        <v>16.0</v>
      </c>
      <c r="B17" s="13" t="s">
        <v>90</v>
      </c>
      <c r="C17" s="930" t="s">
        <v>91</v>
      </c>
      <c r="D17" s="215" t="s">
        <v>64</v>
      </c>
      <c r="E17" s="929">
        <v>20.0</v>
      </c>
      <c r="F17" s="884">
        <f t="shared" si="1"/>
        <v>860</v>
      </c>
      <c r="G17" s="13" t="e">
        <v>#VALUE!</v>
      </c>
    </row>
    <row r="18" ht="45.0" customHeight="1">
      <c r="A18" s="13">
        <v>17.0</v>
      </c>
      <c r="B18" s="13" t="s">
        <v>94</v>
      </c>
      <c r="C18" s="928" t="s">
        <v>95</v>
      </c>
      <c r="D18" s="215" t="s">
        <v>64</v>
      </c>
      <c r="E18" s="929">
        <v>10.0</v>
      </c>
      <c r="F18" s="884">
        <f t="shared" si="1"/>
        <v>430</v>
      </c>
      <c r="G18" s="13" t="e">
        <v>#VALUE!</v>
      </c>
    </row>
    <row r="19" ht="45.0" customHeight="1">
      <c r="A19" s="13">
        <v>18.0</v>
      </c>
      <c r="B19" s="13" t="s">
        <v>97</v>
      </c>
      <c r="C19" s="928" t="s">
        <v>98</v>
      </c>
      <c r="D19" s="215" t="s">
        <v>64</v>
      </c>
      <c r="E19" s="929">
        <v>10.0</v>
      </c>
      <c r="F19" s="884">
        <f t="shared" si="1"/>
        <v>430</v>
      </c>
      <c r="G19" s="13" t="e">
        <v>#VALUE!</v>
      </c>
    </row>
    <row r="20" ht="45.0" customHeight="1">
      <c r="A20" s="13">
        <v>19.0</v>
      </c>
      <c r="B20" s="13" t="s">
        <v>100</v>
      </c>
      <c r="C20" s="928" t="s">
        <v>3705</v>
      </c>
      <c r="D20" s="215" t="s">
        <v>64</v>
      </c>
      <c r="E20" s="929">
        <v>10.0</v>
      </c>
      <c r="F20" s="884">
        <f t="shared" si="1"/>
        <v>430</v>
      </c>
      <c r="G20" s="13" t="e">
        <v>#VALUE!</v>
      </c>
    </row>
    <row r="21" ht="45.0" customHeight="1">
      <c r="A21" s="13">
        <v>20.0</v>
      </c>
      <c r="B21" s="13" t="s">
        <v>104</v>
      </c>
      <c r="C21" s="930" t="s">
        <v>105</v>
      </c>
      <c r="D21" s="215" t="s">
        <v>64</v>
      </c>
      <c r="E21" s="929">
        <v>5.0</v>
      </c>
      <c r="F21" s="884">
        <f t="shared" si="1"/>
        <v>215</v>
      </c>
      <c r="G21" s="13" t="e">
        <v>#VALUE!</v>
      </c>
    </row>
    <row r="22" ht="45.0" customHeight="1">
      <c r="A22" s="13">
        <v>21.0</v>
      </c>
      <c r="B22" s="13" t="s">
        <v>108</v>
      </c>
      <c r="C22" s="928" t="s">
        <v>3706</v>
      </c>
      <c r="D22" s="215" t="s">
        <v>64</v>
      </c>
      <c r="E22" s="929">
        <v>1.0</v>
      </c>
      <c r="F22" s="884">
        <f t="shared" si="1"/>
        <v>43</v>
      </c>
      <c r="G22" s="13" t="e">
        <v>#VALUE!</v>
      </c>
    </row>
    <row r="23" ht="45.0" customHeight="1">
      <c r="A23" s="13">
        <v>22.0</v>
      </c>
      <c r="B23" s="13" t="s">
        <v>114</v>
      </c>
      <c r="C23" s="930" t="s">
        <v>115</v>
      </c>
      <c r="D23" s="215" t="s">
        <v>64</v>
      </c>
      <c r="E23" s="929">
        <v>10.0</v>
      </c>
      <c r="F23" s="884">
        <f t="shared" si="1"/>
        <v>430</v>
      </c>
      <c r="G23" s="13" t="e">
        <v>#VALUE!</v>
      </c>
    </row>
    <row r="24" ht="45.0" customHeight="1">
      <c r="A24" s="13">
        <v>23.0</v>
      </c>
      <c r="B24" s="13" t="s">
        <v>118</v>
      </c>
      <c r="C24" s="930" t="s">
        <v>119</v>
      </c>
      <c r="D24" s="215" t="s">
        <v>64</v>
      </c>
      <c r="E24" s="929">
        <v>10.0</v>
      </c>
      <c r="F24" s="884">
        <f t="shared" si="1"/>
        <v>430</v>
      </c>
      <c r="G24" s="13" t="e">
        <v>#VALUE!</v>
      </c>
    </row>
    <row r="25" ht="45.0" customHeight="1">
      <c r="A25" s="13">
        <v>24.0</v>
      </c>
      <c r="B25" s="13" t="s">
        <v>122</v>
      </c>
      <c r="C25" s="928" t="s">
        <v>123</v>
      </c>
      <c r="D25" s="215" t="s">
        <v>64</v>
      </c>
      <c r="E25" s="929">
        <v>10.0</v>
      </c>
      <c r="F25" s="884">
        <f t="shared" si="1"/>
        <v>430</v>
      </c>
      <c r="G25" s="13" t="e">
        <v>#VALUE!</v>
      </c>
    </row>
    <row r="26" ht="45.0" customHeight="1">
      <c r="A26" s="13">
        <v>25.0</v>
      </c>
      <c r="B26" s="13" t="s">
        <v>126</v>
      </c>
      <c r="C26" s="931" t="s">
        <v>127</v>
      </c>
      <c r="D26" s="215" t="s">
        <v>64</v>
      </c>
      <c r="E26" s="929">
        <v>5.0</v>
      </c>
      <c r="F26" s="884">
        <f t="shared" si="1"/>
        <v>215</v>
      </c>
      <c r="G26" s="13" t="e">
        <v>#VALUE!</v>
      </c>
    </row>
    <row r="27" ht="45.0" customHeight="1">
      <c r="A27" s="13">
        <v>26.0</v>
      </c>
      <c r="B27" s="13" t="s">
        <v>130</v>
      </c>
      <c r="C27" s="928" t="s">
        <v>131</v>
      </c>
      <c r="D27" s="215" t="s">
        <v>64</v>
      </c>
      <c r="E27" s="929">
        <v>10.0</v>
      </c>
      <c r="F27" s="884">
        <f t="shared" si="1"/>
        <v>430</v>
      </c>
      <c r="G27" s="13" t="e">
        <v>#VALUE!</v>
      </c>
    </row>
    <row r="28" ht="45.0" customHeight="1">
      <c r="A28" s="13">
        <v>27.0</v>
      </c>
      <c r="B28" s="13" t="s">
        <v>134</v>
      </c>
      <c r="C28" s="219" t="s">
        <v>135</v>
      </c>
      <c r="D28" s="215" t="s">
        <v>64</v>
      </c>
      <c r="E28" s="929">
        <v>10.0</v>
      </c>
      <c r="F28" s="884">
        <f t="shared" si="1"/>
        <v>430</v>
      </c>
      <c r="G28" s="13" t="e">
        <v>#VALUE!</v>
      </c>
    </row>
    <row r="29" ht="45.0" customHeight="1">
      <c r="A29" s="13">
        <v>28.0</v>
      </c>
      <c r="B29" s="13" t="s">
        <v>323</v>
      </c>
      <c r="C29" s="930" t="s">
        <v>324</v>
      </c>
      <c r="D29" s="215" t="s">
        <v>325</v>
      </c>
      <c r="E29" s="13">
        <v>1.0</v>
      </c>
      <c r="F29" s="884">
        <f t="shared" si="1"/>
        <v>43</v>
      </c>
      <c r="G29" s="13" t="e">
        <v>#VALUE!</v>
      </c>
    </row>
    <row r="30" ht="45.0" customHeight="1">
      <c r="A30" s="13">
        <v>29.0</v>
      </c>
      <c r="B30" s="13" t="s">
        <v>328</v>
      </c>
      <c r="C30" s="930" t="s">
        <v>329</v>
      </c>
      <c r="D30" s="215" t="s">
        <v>325</v>
      </c>
      <c r="E30" s="13">
        <v>1.0</v>
      </c>
      <c r="F30" s="884">
        <f t="shared" si="1"/>
        <v>43</v>
      </c>
      <c r="G30" s="13" t="e">
        <v>#VALUE!</v>
      </c>
    </row>
    <row r="31" ht="45.0" customHeight="1">
      <c r="A31" s="13">
        <v>30.0</v>
      </c>
      <c r="B31" s="13" t="s">
        <v>332</v>
      </c>
      <c r="C31" s="930" t="s">
        <v>3707</v>
      </c>
      <c r="D31" s="215" t="s">
        <v>325</v>
      </c>
      <c r="E31" s="13">
        <v>5.0</v>
      </c>
      <c r="F31" s="884">
        <f t="shared" si="1"/>
        <v>215</v>
      </c>
      <c r="G31" s="13" t="e">
        <v>#VALUE!</v>
      </c>
    </row>
    <row r="32" ht="45.0" customHeight="1">
      <c r="A32" s="13">
        <v>31.0</v>
      </c>
      <c r="B32" s="13" t="s">
        <v>336</v>
      </c>
      <c r="C32" s="930" t="s">
        <v>3298</v>
      </c>
      <c r="D32" s="215" t="s">
        <v>325</v>
      </c>
      <c r="E32" s="13">
        <v>1.0</v>
      </c>
      <c r="F32" s="884">
        <f t="shared" si="1"/>
        <v>43</v>
      </c>
      <c r="G32" s="13" t="e">
        <v>#VALUE!</v>
      </c>
    </row>
    <row r="33" ht="45.0" customHeight="1">
      <c r="A33" s="13">
        <v>32.0</v>
      </c>
      <c r="B33" s="13" t="s">
        <v>340</v>
      </c>
      <c r="C33" s="930" t="s">
        <v>341</v>
      </c>
      <c r="D33" s="215" t="s">
        <v>325</v>
      </c>
      <c r="E33" s="13">
        <v>3.0</v>
      </c>
      <c r="F33" s="884">
        <f t="shared" si="1"/>
        <v>129</v>
      </c>
      <c r="G33" s="13" t="e">
        <v>#VALUE!</v>
      </c>
    </row>
    <row r="34" ht="45.0" customHeight="1">
      <c r="A34" s="13">
        <v>33.0</v>
      </c>
      <c r="B34" s="13" t="s">
        <v>388</v>
      </c>
      <c r="C34" s="930" t="s">
        <v>3708</v>
      </c>
      <c r="D34" s="215" t="s">
        <v>346</v>
      </c>
      <c r="E34" s="929">
        <v>5.0</v>
      </c>
      <c r="F34" s="884">
        <f t="shared" si="1"/>
        <v>215</v>
      </c>
      <c r="G34" s="13" t="e">
        <v>#VALUE!</v>
      </c>
    </row>
    <row r="35" ht="45.0" customHeight="1">
      <c r="A35" s="13">
        <v>34.0</v>
      </c>
      <c r="B35" s="13" t="s">
        <v>392</v>
      </c>
      <c r="C35" s="928" t="s">
        <v>3709</v>
      </c>
      <c r="D35" s="215" t="s">
        <v>346</v>
      </c>
      <c r="E35" s="929">
        <v>5.0</v>
      </c>
      <c r="F35" s="884">
        <f t="shared" si="1"/>
        <v>215</v>
      </c>
      <c r="G35" s="13" t="e">
        <v>#VALUE!</v>
      </c>
    </row>
    <row r="36" ht="45.0" customHeight="1">
      <c r="A36" s="13">
        <v>35.0</v>
      </c>
      <c r="B36" s="13" t="s">
        <v>396</v>
      </c>
      <c r="C36" s="930" t="s">
        <v>3288</v>
      </c>
      <c r="D36" s="215" t="s">
        <v>346</v>
      </c>
      <c r="E36" s="929">
        <v>5.0</v>
      </c>
      <c r="F36" s="884">
        <f t="shared" si="1"/>
        <v>215</v>
      </c>
      <c r="G36" s="13" t="e">
        <v>#VALUE!</v>
      </c>
    </row>
    <row r="37" ht="45.0" customHeight="1">
      <c r="A37" s="13">
        <v>36.0</v>
      </c>
      <c r="B37" s="13" t="s">
        <v>400</v>
      </c>
      <c r="C37" s="930" t="s">
        <v>3710</v>
      </c>
      <c r="D37" s="215" t="s">
        <v>346</v>
      </c>
      <c r="E37" s="929">
        <v>10.0</v>
      </c>
      <c r="F37" s="884">
        <f t="shared" si="1"/>
        <v>430</v>
      </c>
      <c r="G37" s="13" t="e">
        <v>#VALUE!</v>
      </c>
    </row>
    <row r="38" ht="45.0" customHeight="1">
      <c r="A38" s="13">
        <v>37.0</v>
      </c>
      <c r="B38" s="13" t="s">
        <v>404</v>
      </c>
      <c r="C38" s="928" t="s">
        <v>3711</v>
      </c>
      <c r="D38" s="215" t="s">
        <v>346</v>
      </c>
      <c r="E38" s="929">
        <v>10.0</v>
      </c>
      <c r="F38" s="884">
        <f t="shared" si="1"/>
        <v>430</v>
      </c>
      <c r="G38" s="13" t="e">
        <v>#VALUE!</v>
      </c>
    </row>
    <row r="39" ht="45.0" customHeight="1">
      <c r="A39" s="13">
        <v>38.0</v>
      </c>
      <c r="B39" s="13" t="s">
        <v>407</v>
      </c>
      <c r="C39" s="930" t="s">
        <v>3712</v>
      </c>
      <c r="D39" s="215" t="s">
        <v>346</v>
      </c>
      <c r="E39" s="929">
        <v>10.0</v>
      </c>
      <c r="F39" s="884">
        <f t="shared" si="1"/>
        <v>430</v>
      </c>
      <c r="G39" s="13" t="e">
        <v>#VALUE!</v>
      </c>
    </row>
    <row r="40" ht="45.0" customHeight="1">
      <c r="A40" s="13">
        <v>39.0</v>
      </c>
      <c r="B40" s="13" t="s">
        <v>979</v>
      </c>
      <c r="C40" s="930" t="s">
        <v>3713</v>
      </c>
      <c r="D40" s="215" t="s">
        <v>981</v>
      </c>
      <c r="E40" s="929">
        <v>5.0</v>
      </c>
      <c r="F40" s="884">
        <f t="shared" si="1"/>
        <v>215</v>
      </c>
      <c r="G40" s="13" t="e">
        <v>#VALUE!</v>
      </c>
    </row>
    <row r="41" ht="45.0" customHeight="1">
      <c r="A41" s="13">
        <v>40.0</v>
      </c>
      <c r="B41" s="13" t="s">
        <v>984</v>
      </c>
      <c r="C41" s="928" t="s">
        <v>3714</v>
      </c>
      <c r="D41" s="215" t="s">
        <v>981</v>
      </c>
      <c r="E41" s="929">
        <v>5.0</v>
      </c>
      <c r="F41" s="884">
        <f t="shared" si="1"/>
        <v>215</v>
      </c>
      <c r="G41" s="13" t="e">
        <v>#VALUE!</v>
      </c>
    </row>
    <row r="42" ht="45.0" customHeight="1">
      <c r="A42" s="13">
        <v>41.0</v>
      </c>
      <c r="B42" s="13" t="s">
        <v>988</v>
      </c>
      <c r="C42" s="930" t="s">
        <v>3715</v>
      </c>
      <c r="D42" s="215" t="s">
        <v>981</v>
      </c>
      <c r="E42" s="929">
        <v>2.0</v>
      </c>
      <c r="F42" s="884">
        <f t="shared" si="1"/>
        <v>86</v>
      </c>
      <c r="G42" s="13" t="e">
        <v>#VALUE!</v>
      </c>
    </row>
    <row r="43" ht="45.0" customHeight="1">
      <c r="A43" s="13">
        <v>42.0</v>
      </c>
      <c r="B43" s="13" t="s">
        <v>992</v>
      </c>
      <c r="C43" s="930" t="s">
        <v>993</v>
      </c>
      <c r="D43" s="215" t="s">
        <v>981</v>
      </c>
      <c r="E43" s="929">
        <v>5.0</v>
      </c>
      <c r="F43" s="884">
        <f t="shared" si="1"/>
        <v>215</v>
      </c>
      <c r="G43" s="13" t="e">
        <v>#VALUE!</v>
      </c>
    </row>
    <row r="44" ht="45.0" customHeight="1">
      <c r="A44" s="13">
        <v>43.0</v>
      </c>
      <c r="B44" s="13" t="s">
        <v>996</v>
      </c>
      <c r="C44" s="928" t="s">
        <v>997</v>
      </c>
      <c r="D44" s="215" t="s">
        <v>981</v>
      </c>
      <c r="E44" s="929">
        <v>5.0</v>
      </c>
      <c r="F44" s="884">
        <f t="shared" si="1"/>
        <v>215</v>
      </c>
      <c r="G44" s="13" t="e">
        <v>#VALUE!</v>
      </c>
    </row>
    <row r="45" ht="45.0" customHeight="1">
      <c r="A45" s="13">
        <v>44.0</v>
      </c>
      <c r="B45" s="13" t="s">
        <v>999</v>
      </c>
      <c r="C45" s="930" t="s">
        <v>1000</v>
      </c>
      <c r="D45" s="215" t="s">
        <v>981</v>
      </c>
      <c r="E45" s="929">
        <v>5.0</v>
      </c>
      <c r="F45" s="884">
        <f t="shared" si="1"/>
        <v>215</v>
      </c>
      <c r="G45" s="13" t="e">
        <v>#VALUE!</v>
      </c>
    </row>
    <row r="46" ht="45.0" customHeight="1">
      <c r="A46" s="13">
        <v>45.0</v>
      </c>
      <c r="B46" s="13" t="s">
        <v>1003</v>
      </c>
      <c r="C46" s="930" t="s">
        <v>1004</v>
      </c>
      <c r="D46" s="215" t="s">
        <v>981</v>
      </c>
      <c r="E46" s="929">
        <v>1.0</v>
      </c>
      <c r="F46" s="884">
        <f t="shared" si="1"/>
        <v>43</v>
      </c>
      <c r="G46" s="13" t="e">
        <v>#VALUE!</v>
      </c>
    </row>
    <row r="47" ht="45.0" customHeight="1">
      <c r="A47" s="13">
        <v>46.0</v>
      </c>
      <c r="B47" s="13" t="s">
        <v>1007</v>
      </c>
      <c r="C47" s="930" t="s">
        <v>3716</v>
      </c>
      <c r="D47" s="215" t="s">
        <v>981</v>
      </c>
      <c r="E47" s="929">
        <v>1.0</v>
      </c>
      <c r="F47" s="884">
        <f t="shared" si="1"/>
        <v>43</v>
      </c>
      <c r="G47" s="13" t="e">
        <v>#VALUE!</v>
      </c>
    </row>
    <row r="48" ht="45.0" customHeight="1">
      <c r="A48" s="13">
        <v>47.0</v>
      </c>
      <c r="B48" s="13" t="s">
        <v>1011</v>
      </c>
      <c r="C48" s="928" t="s">
        <v>3717</v>
      </c>
      <c r="D48" s="215" t="s">
        <v>981</v>
      </c>
      <c r="E48" s="929">
        <v>1.0</v>
      </c>
      <c r="F48" s="884">
        <f t="shared" si="1"/>
        <v>43</v>
      </c>
      <c r="G48" s="13" t="e">
        <v>#VALUE!</v>
      </c>
    </row>
    <row r="49" ht="45.0" customHeight="1">
      <c r="A49" s="13">
        <v>48.0</v>
      </c>
      <c r="B49" s="13" t="s">
        <v>1015</v>
      </c>
      <c r="C49" s="930" t="s">
        <v>3718</v>
      </c>
      <c r="D49" s="215" t="s">
        <v>981</v>
      </c>
      <c r="E49" s="929">
        <v>1.0</v>
      </c>
      <c r="F49" s="884">
        <f t="shared" si="1"/>
        <v>43</v>
      </c>
      <c r="G49" s="13" t="e">
        <v>#VALUE!</v>
      </c>
    </row>
    <row r="50" ht="45.0" customHeight="1">
      <c r="A50" s="13">
        <v>49.0</v>
      </c>
      <c r="B50" s="13" t="s">
        <v>1018</v>
      </c>
      <c r="C50" s="930" t="s">
        <v>3719</v>
      </c>
      <c r="D50" s="215" t="s">
        <v>981</v>
      </c>
      <c r="E50" s="929">
        <v>1.0</v>
      </c>
      <c r="F50" s="884">
        <f t="shared" si="1"/>
        <v>43</v>
      </c>
      <c r="G50" s="13" t="e">
        <v>#VALUE!</v>
      </c>
    </row>
    <row r="51" ht="45.0" customHeight="1">
      <c r="A51" s="13">
        <v>50.0</v>
      </c>
      <c r="B51" s="13" t="s">
        <v>1424</v>
      </c>
      <c r="C51" s="928" t="s">
        <v>1426</v>
      </c>
      <c r="D51" s="215" t="s">
        <v>1421</v>
      </c>
      <c r="E51" s="13">
        <v>5.0</v>
      </c>
      <c r="F51" s="884">
        <f t="shared" si="1"/>
        <v>215</v>
      </c>
      <c r="G51" s="13" t="e">
        <v>#VALUE!</v>
      </c>
    </row>
    <row r="52" ht="45.0" customHeight="1">
      <c r="A52" s="13">
        <v>51.0</v>
      </c>
      <c r="B52" s="13" t="s">
        <v>1433</v>
      </c>
      <c r="C52" s="928" t="s">
        <v>1434</v>
      </c>
      <c r="D52" s="215" t="s">
        <v>1421</v>
      </c>
      <c r="E52" s="929">
        <v>1.0</v>
      </c>
      <c r="F52" s="884">
        <f t="shared" si="1"/>
        <v>43</v>
      </c>
      <c r="G52" s="13" t="e">
        <v>#VALUE!</v>
      </c>
    </row>
    <row r="53" ht="45.0" customHeight="1">
      <c r="A53" s="13">
        <v>52.0</v>
      </c>
      <c r="B53" s="13" t="s">
        <v>1438</v>
      </c>
      <c r="C53" s="930" t="s">
        <v>3720</v>
      </c>
      <c r="D53" s="215" t="s">
        <v>1421</v>
      </c>
      <c r="E53" s="929">
        <v>5.0</v>
      </c>
      <c r="F53" s="884">
        <f t="shared" si="1"/>
        <v>215</v>
      </c>
      <c r="G53" s="13" t="e">
        <v>#VALUE!</v>
      </c>
    </row>
    <row r="54" ht="45.0" customHeight="1">
      <c r="A54" s="13">
        <v>53.0</v>
      </c>
      <c r="B54" s="13" t="s">
        <v>1442</v>
      </c>
      <c r="C54" s="930" t="s">
        <v>936</v>
      </c>
      <c r="D54" s="215" t="s">
        <v>1421</v>
      </c>
      <c r="E54" s="929">
        <v>4.0</v>
      </c>
      <c r="F54" s="884">
        <f t="shared" si="1"/>
        <v>172</v>
      </c>
      <c r="G54" s="13" t="e">
        <v>#VALUE!</v>
      </c>
    </row>
    <row r="55" ht="45.0" customHeight="1">
      <c r="A55" s="13">
        <v>54.0</v>
      </c>
      <c r="B55" s="13" t="s">
        <v>1453</v>
      </c>
      <c r="C55" s="930" t="s">
        <v>1454</v>
      </c>
      <c r="D55" s="215" t="s">
        <v>1421</v>
      </c>
      <c r="E55" s="929">
        <v>50.0</v>
      </c>
      <c r="F55" s="884">
        <f t="shared" si="1"/>
        <v>2150</v>
      </c>
      <c r="G55" s="13" t="e">
        <v>#VALUE!</v>
      </c>
    </row>
    <row r="56" ht="45.0" customHeight="1">
      <c r="A56" s="13">
        <v>55.0</v>
      </c>
      <c r="B56" s="13" t="s">
        <v>1457</v>
      </c>
      <c r="C56" s="928" t="s">
        <v>1458</v>
      </c>
      <c r="D56" s="215" t="s">
        <v>1421</v>
      </c>
      <c r="E56" s="929">
        <v>10.0</v>
      </c>
      <c r="F56" s="884">
        <f t="shared" si="1"/>
        <v>430</v>
      </c>
      <c r="G56" s="13" t="e">
        <v>#VALUE!</v>
      </c>
    </row>
    <row r="57" ht="45.0" customHeight="1">
      <c r="A57" s="13">
        <v>56.0</v>
      </c>
      <c r="B57" s="13" t="s">
        <v>1445</v>
      </c>
      <c r="C57" s="928" t="s">
        <v>3721</v>
      </c>
      <c r="D57" s="215" t="s">
        <v>1421</v>
      </c>
      <c r="E57" s="929">
        <v>5.0</v>
      </c>
      <c r="F57" s="884">
        <f t="shared" si="1"/>
        <v>215</v>
      </c>
      <c r="G57" s="13" t="e">
        <v>#VALUE!</v>
      </c>
    </row>
    <row r="58" ht="45.0" customHeight="1">
      <c r="A58" s="13">
        <v>57.0</v>
      </c>
      <c r="B58" s="13" t="s">
        <v>1449</v>
      </c>
      <c r="C58" s="930" t="s">
        <v>3722</v>
      </c>
      <c r="D58" s="215" t="s">
        <v>1421</v>
      </c>
      <c r="E58" s="929">
        <v>5.0</v>
      </c>
      <c r="F58" s="884">
        <f t="shared" si="1"/>
        <v>215</v>
      </c>
      <c r="G58" s="13" t="e">
        <v>#VALUE!</v>
      </c>
    </row>
    <row r="59" ht="45.0" customHeight="1">
      <c r="A59" s="13">
        <v>58.0</v>
      </c>
      <c r="B59" s="13" t="s">
        <v>1474</v>
      </c>
      <c r="C59" s="928" t="s">
        <v>3723</v>
      </c>
      <c r="D59" s="215" t="s">
        <v>1476</v>
      </c>
      <c r="E59" s="929">
        <v>1.0</v>
      </c>
      <c r="F59" s="884">
        <f t="shared" si="1"/>
        <v>43</v>
      </c>
      <c r="G59" s="13" t="e">
        <v>#VALUE!</v>
      </c>
    </row>
    <row r="60" ht="45.0" customHeight="1">
      <c r="A60" s="13">
        <v>59.0</v>
      </c>
      <c r="B60" s="13" t="s">
        <v>1480</v>
      </c>
      <c r="C60" s="930" t="s">
        <v>3724</v>
      </c>
      <c r="D60" s="215" t="s">
        <v>1476</v>
      </c>
      <c r="E60" s="929">
        <v>1.0</v>
      </c>
      <c r="F60" s="884">
        <f t="shared" si="1"/>
        <v>43</v>
      </c>
      <c r="G60" s="13" t="e">
        <v>#VALUE!</v>
      </c>
    </row>
    <row r="61" ht="45.0" customHeight="1">
      <c r="A61" s="13">
        <v>60.0</v>
      </c>
      <c r="B61" s="13" t="s">
        <v>1484</v>
      </c>
      <c r="C61" s="928" t="s">
        <v>1485</v>
      </c>
      <c r="D61" s="215" t="s">
        <v>1476</v>
      </c>
      <c r="E61" s="929">
        <v>1.0</v>
      </c>
      <c r="F61" s="884">
        <f t="shared" si="1"/>
        <v>43</v>
      </c>
      <c r="G61" s="13" t="e">
        <v>#VALUE!</v>
      </c>
    </row>
    <row r="62" ht="45.0" customHeight="1">
      <c r="A62" s="13">
        <v>61.0</v>
      </c>
      <c r="B62" s="13" t="s">
        <v>1500</v>
      </c>
      <c r="C62" s="930" t="s">
        <v>1501</v>
      </c>
      <c r="D62" s="215" t="s">
        <v>1476</v>
      </c>
      <c r="E62" s="929">
        <v>15.0</v>
      </c>
      <c r="F62" s="884">
        <f t="shared" si="1"/>
        <v>645</v>
      </c>
      <c r="G62" s="13" t="e">
        <v>#VALUE!</v>
      </c>
    </row>
    <row r="63" ht="45.0" customHeight="1">
      <c r="A63" s="13">
        <v>62.0</v>
      </c>
      <c r="B63" s="13" t="s">
        <v>1022</v>
      </c>
      <c r="C63" s="928" t="s">
        <v>1023</v>
      </c>
      <c r="D63" s="215" t="s">
        <v>981</v>
      </c>
      <c r="E63" s="929">
        <v>10.0</v>
      </c>
      <c r="F63" s="884">
        <f t="shared" si="1"/>
        <v>430</v>
      </c>
      <c r="G63" s="13" t="e">
        <v>#VALUE!</v>
      </c>
    </row>
    <row r="64" ht="45.0" customHeight="1">
      <c r="A64" s="13">
        <v>63.0</v>
      </c>
      <c r="B64" s="13" t="s">
        <v>1026</v>
      </c>
      <c r="C64" s="930" t="s">
        <v>3725</v>
      </c>
      <c r="D64" s="215" t="s">
        <v>981</v>
      </c>
      <c r="E64" s="929">
        <v>10.0</v>
      </c>
      <c r="F64" s="884">
        <f t="shared" si="1"/>
        <v>430</v>
      </c>
      <c r="G64" s="13" t="e">
        <v>#VALUE!</v>
      </c>
    </row>
    <row r="65" ht="45.0" customHeight="1">
      <c r="A65" s="13">
        <v>64.0</v>
      </c>
      <c r="B65" s="13" t="s">
        <v>1085</v>
      </c>
      <c r="C65" s="928" t="s">
        <v>3726</v>
      </c>
      <c r="D65" s="215" t="s">
        <v>1032</v>
      </c>
      <c r="E65" s="929">
        <v>2.0</v>
      </c>
      <c r="F65" s="884">
        <f t="shared" si="1"/>
        <v>86</v>
      </c>
      <c r="G65" s="13" t="e">
        <v>#VALUE!</v>
      </c>
    </row>
    <row r="66" ht="45.0" customHeight="1">
      <c r="A66" s="13">
        <v>65.0</v>
      </c>
      <c r="B66" s="13" t="s">
        <v>1139</v>
      </c>
      <c r="C66" s="15" t="s">
        <v>3727</v>
      </c>
      <c r="D66" s="215" t="s">
        <v>1032</v>
      </c>
      <c r="E66" s="13">
        <v>10.0</v>
      </c>
      <c r="F66" s="884">
        <f t="shared" si="1"/>
        <v>430</v>
      </c>
      <c r="G66" s="13" t="e">
        <v>#VALUE!</v>
      </c>
    </row>
    <row r="67" ht="45.0" customHeight="1">
      <c r="A67" s="13">
        <v>66.0</v>
      </c>
      <c r="B67" s="13" t="s">
        <v>1419</v>
      </c>
      <c r="C67" s="928" t="s">
        <v>3728</v>
      </c>
      <c r="D67" s="215" t="s">
        <v>1421</v>
      </c>
      <c r="E67" s="13">
        <v>10.0</v>
      </c>
      <c r="F67" s="884">
        <f t="shared" si="1"/>
        <v>430</v>
      </c>
      <c r="G67" s="13" t="e">
        <v>#VALUE!</v>
      </c>
    </row>
    <row r="68" ht="45.0" customHeight="1">
      <c r="A68" s="13">
        <v>67.0</v>
      </c>
      <c r="B68" s="13" t="s">
        <v>1429</v>
      </c>
      <c r="C68" s="930" t="s">
        <v>1431</v>
      </c>
      <c r="D68" s="215" t="s">
        <v>1421</v>
      </c>
      <c r="E68" s="13">
        <v>5.0</v>
      </c>
      <c r="F68" s="884">
        <f t="shared" si="1"/>
        <v>215</v>
      </c>
      <c r="G68" s="13" t="e">
        <v>#VALUE!</v>
      </c>
    </row>
    <row r="69" ht="45.0" customHeight="1">
      <c r="A69" s="13">
        <v>68.0</v>
      </c>
      <c r="B69" s="13" t="s">
        <v>1460</v>
      </c>
      <c r="C69" s="928" t="s">
        <v>1462</v>
      </c>
      <c r="D69" s="215" t="s">
        <v>1421</v>
      </c>
      <c r="E69" s="929">
        <v>1.0</v>
      </c>
      <c r="F69" s="884">
        <f t="shared" si="1"/>
        <v>43</v>
      </c>
      <c r="G69" s="13" t="e">
        <v>#VALUE!</v>
      </c>
    </row>
    <row r="70" ht="45.0" customHeight="1">
      <c r="A70" s="13">
        <v>69.0</v>
      </c>
      <c r="B70" s="13" t="s">
        <v>1465</v>
      </c>
      <c r="C70" s="928" t="s">
        <v>3729</v>
      </c>
      <c r="D70" s="215" t="s">
        <v>1421</v>
      </c>
      <c r="E70" s="929">
        <v>10.0</v>
      </c>
      <c r="F70" s="884">
        <f t="shared" si="1"/>
        <v>430</v>
      </c>
      <c r="G70" s="13" t="e">
        <v>#VALUE!</v>
      </c>
    </row>
    <row r="71" ht="45.0" customHeight="1">
      <c r="A71" s="13">
        <v>70.0</v>
      </c>
      <c r="B71" s="13" t="s">
        <v>1469</v>
      </c>
      <c r="C71" s="928" t="s">
        <v>3730</v>
      </c>
      <c r="D71" s="215" t="s">
        <v>1421</v>
      </c>
      <c r="E71" s="929">
        <v>1.0</v>
      </c>
      <c r="F71" s="884">
        <f t="shared" si="1"/>
        <v>43</v>
      </c>
      <c r="G71" s="13" t="e">
        <v>#VALUE!</v>
      </c>
    </row>
    <row r="72" ht="45.0" customHeight="1">
      <c r="A72" s="13">
        <v>71.0</v>
      </c>
      <c r="B72" s="13" t="s">
        <v>1488</v>
      </c>
      <c r="C72" s="928" t="s">
        <v>3731</v>
      </c>
      <c r="D72" s="215" t="s">
        <v>1476</v>
      </c>
      <c r="E72" s="13">
        <v>5.0</v>
      </c>
      <c r="F72" s="884">
        <f t="shared" si="1"/>
        <v>215</v>
      </c>
      <c r="G72" s="13" t="e">
        <v>#VALUE!</v>
      </c>
    </row>
    <row r="73" ht="45.0" customHeight="1">
      <c r="A73" s="13">
        <v>72.0</v>
      </c>
      <c r="B73" s="13" t="s">
        <v>1496</v>
      </c>
      <c r="C73" s="928" t="s">
        <v>3732</v>
      </c>
      <c r="D73" s="215" t="s">
        <v>1476</v>
      </c>
      <c r="E73" s="13">
        <v>5.0</v>
      </c>
      <c r="F73" s="884">
        <f t="shared" si="1"/>
        <v>215</v>
      </c>
      <c r="G73" s="13" t="e">
        <v>#VALUE!</v>
      </c>
    </row>
    <row r="74" ht="45.0" customHeight="1">
      <c r="A74" s="13">
        <v>73.0</v>
      </c>
      <c r="B74" s="13" t="s">
        <v>1599</v>
      </c>
      <c r="C74" s="930" t="s">
        <v>1600</v>
      </c>
      <c r="D74" s="215" t="s">
        <v>1601</v>
      </c>
      <c r="E74" s="13">
        <v>1.0</v>
      </c>
      <c r="F74" s="884">
        <f t="shared" si="1"/>
        <v>43</v>
      </c>
      <c r="G74" s="13" t="e">
        <v>#VALUE!</v>
      </c>
    </row>
    <row r="75" ht="45.0" customHeight="1">
      <c r="A75" s="13">
        <v>74.0</v>
      </c>
      <c r="B75" s="13" t="s">
        <v>1603</v>
      </c>
      <c r="C75" s="928" t="s">
        <v>3733</v>
      </c>
      <c r="D75" s="215" t="s">
        <v>1601</v>
      </c>
      <c r="E75" s="13">
        <v>1.0</v>
      </c>
      <c r="F75" s="884">
        <f t="shared" si="1"/>
        <v>43</v>
      </c>
      <c r="G75" s="13" t="e">
        <v>#VALUE!</v>
      </c>
    </row>
    <row r="76" ht="45.0" customHeight="1">
      <c r="A76" s="13">
        <v>75.0</v>
      </c>
      <c r="B76" s="13" t="s">
        <v>1607</v>
      </c>
      <c r="C76" s="928" t="s">
        <v>3734</v>
      </c>
      <c r="D76" s="215" t="s">
        <v>1601</v>
      </c>
      <c r="E76" s="13">
        <v>2.0</v>
      </c>
      <c r="F76" s="884">
        <f t="shared" si="1"/>
        <v>86</v>
      </c>
      <c r="G76" s="13" t="e">
        <v>#VALUE!</v>
      </c>
    </row>
    <row r="77" ht="45.0" customHeight="1">
      <c r="A77" s="13">
        <v>76.0</v>
      </c>
      <c r="B77" s="13" t="s">
        <v>1610</v>
      </c>
      <c r="C77" s="930" t="s">
        <v>3735</v>
      </c>
      <c r="D77" s="215" t="s">
        <v>1601</v>
      </c>
      <c r="E77" s="13">
        <v>5.0</v>
      </c>
      <c r="F77" s="884">
        <f t="shared" si="1"/>
        <v>215</v>
      </c>
      <c r="G77" s="13" t="e">
        <v>#VALUE!</v>
      </c>
    </row>
    <row r="78" ht="45.0" customHeight="1">
      <c r="A78" s="13">
        <v>77.0</v>
      </c>
      <c r="B78" s="13" t="s">
        <v>1614</v>
      </c>
      <c r="C78" s="930" t="s">
        <v>3736</v>
      </c>
      <c r="D78" s="215" t="s">
        <v>1601</v>
      </c>
      <c r="E78" s="13">
        <v>5.0</v>
      </c>
      <c r="F78" s="884">
        <f t="shared" si="1"/>
        <v>215</v>
      </c>
      <c r="G78" s="13" t="e">
        <v>#VALUE!</v>
      </c>
    </row>
    <row r="79" ht="15.75" customHeight="1">
      <c r="C79" s="932"/>
      <c r="F79" s="875"/>
    </row>
    <row r="80" ht="15.75" customHeight="1">
      <c r="C80" s="932"/>
      <c r="F80" s="875"/>
    </row>
    <row r="81" ht="15.75" customHeight="1">
      <c r="C81" s="932"/>
      <c r="F81" s="875"/>
    </row>
    <row r="82" ht="15.75" customHeight="1">
      <c r="C82" s="932"/>
      <c r="F82" s="875"/>
    </row>
    <row r="83" ht="15.75" customHeight="1">
      <c r="C83" s="932"/>
      <c r="F83" s="875"/>
    </row>
    <row r="84" ht="15.75" customHeight="1">
      <c r="C84" s="932"/>
      <c r="F84" s="875"/>
    </row>
    <row r="85" ht="15.75" customHeight="1">
      <c r="C85" s="932"/>
      <c r="F85" s="875"/>
    </row>
    <row r="86" ht="15.75" customHeight="1">
      <c r="C86" s="932"/>
      <c r="F86" s="875"/>
    </row>
    <row r="87" ht="15.75" customHeight="1">
      <c r="C87" s="932"/>
      <c r="F87" s="875"/>
    </row>
    <row r="88" ht="15.75" customHeight="1">
      <c r="C88" s="932"/>
      <c r="F88" s="875"/>
    </row>
    <row r="89" ht="15.75" customHeight="1">
      <c r="C89" s="932"/>
      <c r="F89" s="875"/>
    </row>
    <row r="90" ht="15.75" customHeight="1">
      <c r="C90" s="932"/>
      <c r="F90" s="875"/>
    </row>
    <row r="91" ht="15.75" customHeight="1">
      <c r="C91" s="932"/>
      <c r="F91" s="875"/>
    </row>
    <row r="92" ht="15.75" customHeight="1">
      <c r="C92" s="932"/>
      <c r="F92" s="875"/>
    </row>
    <row r="93" ht="15.75" customHeight="1">
      <c r="C93" s="932"/>
      <c r="F93" s="875"/>
    </row>
    <row r="94" ht="15.75" customHeight="1">
      <c r="C94" s="932"/>
      <c r="F94" s="875"/>
    </row>
    <row r="95" ht="15.75" customHeight="1">
      <c r="C95" s="932"/>
      <c r="F95" s="875"/>
    </row>
    <row r="96" ht="15.75" customHeight="1">
      <c r="C96" s="932"/>
      <c r="F96" s="875"/>
    </row>
    <row r="97" ht="15.75" customHeight="1">
      <c r="C97" s="932"/>
      <c r="F97" s="875"/>
    </row>
    <row r="98" ht="15.75" customHeight="1">
      <c r="C98" s="932"/>
      <c r="F98" s="875"/>
    </row>
    <row r="99" ht="15.75" customHeight="1">
      <c r="C99" s="932"/>
      <c r="F99" s="875"/>
    </row>
    <row r="100" ht="15.75" customHeight="1">
      <c r="C100" s="932"/>
      <c r="F100" s="875"/>
    </row>
    <row r="101" ht="15.75" customHeight="1">
      <c r="C101" s="932"/>
      <c r="F101" s="875"/>
    </row>
    <row r="102" ht="15.75" customHeight="1">
      <c r="C102" s="932"/>
      <c r="F102" s="875"/>
    </row>
    <row r="103" ht="15.75" customHeight="1">
      <c r="C103" s="932"/>
      <c r="F103" s="875"/>
    </row>
    <row r="104" ht="15.75" customHeight="1">
      <c r="C104" s="932"/>
      <c r="F104" s="875"/>
    </row>
    <row r="105" ht="15.75" customHeight="1">
      <c r="C105" s="932"/>
      <c r="F105" s="875"/>
    </row>
    <row r="106" ht="15.75" customHeight="1">
      <c r="C106" s="932"/>
      <c r="F106" s="875"/>
    </row>
    <row r="107" ht="15.75" customHeight="1">
      <c r="C107" s="932"/>
      <c r="F107" s="875"/>
    </row>
    <row r="108" ht="15.75" customHeight="1">
      <c r="C108" s="932"/>
      <c r="F108" s="875"/>
    </row>
    <row r="109" ht="15.75" customHeight="1">
      <c r="C109" s="932"/>
      <c r="F109" s="875"/>
    </row>
    <row r="110" ht="15.75" customHeight="1">
      <c r="C110" s="932"/>
      <c r="F110" s="875"/>
    </row>
    <row r="111" ht="15.75" customHeight="1">
      <c r="C111" s="932"/>
      <c r="F111" s="875"/>
    </row>
    <row r="112" ht="15.75" customHeight="1">
      <c r="C112" s="932"/>
      <c r="F112" s="875"/>
    </row>
    <row r="113" ht="15.75" customHeight="1">
      <c r="C113" s="932"/>
      <c r="F113" s="875"/>
    </row>
    <row r="114" ht="15.75" customHeight="1">
      <c r="C114" s="932"/>
      <c r="F114" s="875"/>
    </row>
    <row r="115" ht="15.75" customHeight="1">
      <c r="C115" s="932"/>
      <c r="F115" s="875"/>
    </row>
    <row r="116" ht="15.75" customHeight="1">
      <c r="C116" s="932"/>
      <c r="F116" s="875"/>
    </row>
    <row r="117" ht="15.75" customHeight="1">
      <c r="C117" s="932"/>
      <c r="F117" s="875"/>
    </row>
    <row r="118" ht="15.75" customHeight="1">
      <c r="C118" s="932"/>
      <c r="F118" s="875"/>
    </row>
    <row r="119" ht="15.75" customHeight="1">
      <c r="C119" s="932"/>
      <c r="F119" s="875"/>
    </row>
    <row r="120" ht="15.75" customHeight="1">
      <c r="C120" s="932"/>
      <c r="F120" s="875"/>
    </row>
    <row r="121" ht="15.75" customHeight="1">
      <c r="C121" s="932"/>
      <c r="F121" s="875"/>
    </row>
    <row r="122" ht="15.75" customHeight="1">
      <c r="C122" s="932"/>
      <c r="F122" s="875"/>
    </row>
    <row r="123" ht="15.75" customHeight="1">
      <c r="C123" s="932"/>
      <c r="F123" s="875"/>
    </row>
    <row r="124" ht="15.75" customHeight="1">
      <c r="C124" s="932"/>
      <c r="F124" s="875"/>
    </row>
    <row r="125" ht="15.75" customHeight="1">
      <c r="C125" s="932"/>
      <c r="F125" s="875"/>
    </row>
    <row r="126" ht="15.75" customHeight="1">
      <c r="C126" s="932"/>
      <c r="F126" s="875"/>
    </row>
    <row r="127" ht="15.75" customHeight="1">
      <c r="C127" s="932"/>
      <c r="F127" s="875"/>
    </row>
    <row r="128" ht="15.75" customHeight="1">
      <c r="C128" s="932"/>
      <c r="F128" s="875"/>
    </row>
    <row r="129" ht="15.75" customHeight="1">
      <c r="C129" s="932"/>
      <c r="F129" s="875"/>
    </row>
    <row r="130" ht="15.75" customHeight="1">
      <c r="C130" s="932"/>
      <c r="F130" s="875"/>
    </row>
    <row r="131" ht="15.75" customHeight="1">
      <c r="C131" s="932"/>
      <c r="F131" s="875"/>
    </row>
    <row r="132" ht="15.75" customHeight="1">
      <c r="C132" s="932"/>
      <c r="F132" s="875"/>
    </row>
    <row r="133" ht="15.75" customHeight="1">
      <c r="C133" s="932"/>
      <c r="F133" s="875"/>
    </row>
    <row r="134" ht="15.75" customHeight="1">
      <c r="C134" s="932"/>
      <c r="F134" s="875"/>
    </row>
    <row r="135" ht="15.75" customHeight="1">
      <c r="C135" s="932"/>
      <c r="F135" s="875"/>
    </row>
    <row r="136" ht="15.75" customHeight="1">
      <c r="C136" s="932"/>
      <c r="F136" s="875"/>
    </row>
    <row r="137" ht="15.75" customHeight="1">
      <c r="C137" s="932"/>
      <c r="F137" s="875"/>
    </row>
    <row r="138" ht="15.75" customHeight="1">
      <c r="C138" s="932"/>
      <c r="F138" s="875"/>
    </row>
    <row r="139" ht="15.75" customHeight="1">
      <c r="C139" s="932"/>
      <c r="F139" s="875"/>
    </row>
    <row r="140" ht="15.75" customHeight="1">
      <c r="C140" s="932"/>
      <c r="F140" s="875"/>
    </row>
    <row r="141" ht="15.75" customHeight="1">
      <c r="C141" s="932"/>
      <c r="F141" s="875"/>
    </row>
    <row r="142" ht="15.75" customHeight="1">
      <c r="C142" s="932"/>
      <c r="F142" s="875"/>
    </row>
    <row r="143" ht="15.75" customHeight="1">
      <c r="C143" s="932"/>
      <c r="F143" s="875"/>
    </row>
    <row r="144" ht="15.75" customHeight="1">
      <c r="C144" s="932"/>
      <c r="F144" s="875"/>
    </row>
    <row r="145" ht="15.75" customHeight="1">
      <c r="C145" s="932"/>
      <c r="F145" s="875"/>
    </row>
    <row r="146" ht="15.75" customHeight="1">
      <c r="C146" s="932"/>
      <c r="F146" s="875"/>
    </row>
    <row r="147" ht="15.75" customHeight="1">
      <c r="C147" s="932"/>
      <c r="F147" s="875"/>
    </row>
    <row r="148" ht="15.75" customHeight="1">
      <c r="C148" s="932"/>
      <c r="F148" s="875"/>
    </row>
    <row r="149" ht="15.75" customHeight="1">
      <c r="C149" s="932"/>
      <c r="F149" s="875"/>
    </row>
    <row r="150" ht="15.75" customHeight="1">
      <c r="C150" s="932"/>
      <c r="F150" s="875"/>
    </row>
    <row r="151" ht="15.75" customHeight="1">
      <c r="C151" s="932"/>
      <c r="F151" s="875"/>
    </row>
    <row r="152" ht="15.75" customHeight="1">
      <c r="C152" s="932"/>
      <c r="F152" s="875"/>
    </row>
    <row r="153" ht="15.75" customHeight="1">
      <c r="C153" s="932"/>
      <c r="F153" s="875"/>
    </row>
    <row r="154" ht="15.75" customHeight="1">
      <c r="C154" s="932"/>
      <c r="F154" s="875"/>
    </row>
    <row r="155" ht="15.75" customHeight="1">
      <c r="C155" s="932"/>
      <c r="F155" s="875"/>
    </row>
    <row r="156" ht="15.75" customHeight="1">
      <c r="C156" s="932"/>
      <c r="F156" s="875"/>
    </row>
    <row r="157" ht="15.75" customHeight="1">
      <c r="C157" s="932"/>
      <c r="F157" s="875"/>
    </row>
    <row r="158" ht="15.75" customHeight="1">
      <c r="C158" s="932"/>
      <c r="F158" s="875"/>
    </row>
    <row r="159" ht="15.75" customHeight="1">
      <c r="C159" s="932"/>
      <c r="F159" s="875"/>
    </row>
    <row r="160" ht="15.75" customHeight="1">
      <c r="C160" s="932"/>
      <c r="F160" s="875"/>
    </row>
    <row r="161" ht="15.75" customHeight="1">
      <c r="C161" s="932"/>
      <c r="F161" s="875"/>
    </row>
    <row r="162" ht="15.75" customHeight="1">
      <c r="C162" s="932"/>
      <c r="F162" s="875"/>
    </row>
    <row r="163" ht="15.75" customHeight="1">
      <c r="C163" s="932"/>
      <c r="F163" s="875"/>
    </row>
    <row r="164" ht="15.75" customHeight="1">
      <c r="C164" s="932"/>
      <c r="F164" s="875"/>
    </row>
    <row r="165" ht="15.75" customHeight="1">
      <c r="C165" s="932"/>
      <c r="F165" s="875"/>
    </row>
    <row r="166" ht="15.75" customHeight="1">
      <c r="C166" s="932"/>
      <c r="F166" s="875"/>
    </row>
    <row r="167" ht="15.75" customHeight="1">
      <c r="C167" s="932"/>
      <c r="F167" s="875"/>
    </row>
    <row r="168" ht="15.75" customHeight="1">
      <c r="C168" s="932"/>
      <c r="F168" s="875"/>
    </row>
    <row r="169" ht="15.75" customHeight="1">
      <c r="C169" s="932"/>
      <c r="F169" s="875"/>
    </row>
    <row r="170" ht="15.75" customHeight="1">
      <c r="C170" s="932"/>
      <c r="F170" s="875"/>
    </row>
    <row r="171" ht="15.75" customHeight="1">
      <c r="C171" s="932"/>
      <c r="F171" s="875"/>
    </row>
    <row r="172" ht="15.75" customHeight="1">
      <c r="C172" s="932"/>
      <c r="F172" s="875"/>
    </row>
    <row r="173" ht="15.75" customHeight="1">
      <c r="C173" s="932"/>
      <c r="F173" s="875"/>
    </row>
    <row r="174" ht="15.75" customHeight="1">
      <c r="C174" s="932"/>
      <c r="F174" s="875"/>
    </row>
    <row r="175" ht="15.75" customHeight="1">
      <c r="C175" s="932"/>
      <c r="F175" s="875"/>
    </row>
    <row r="176" ht="15.75" customHeight="1">
      <c r="C176" s="932"/>
      <c r="F176" s="875"/>
    </row>
    <row r="177" ht="15.75" customHeight="1">
      <c r="C177" s="932"/>
      <c r="F177" s="875"/>
    </row>
    <row r="178" ht="15.75" customHeight="1">
      <c r="C178" s="932"/>
      <c r="F178" s="875"/>
    </row>
    <row r="179" ht="15.75" customHeight="1">
      <c r="C179" s="932"/>
      <c r="F179" s="875"/>
    </row>
    <row r="180" ht="15.75" customHeight="1">
      <c r="C180" s="932"/>
      <c r="F180" s="875"/>
    </row>
    <row r="181" ht="15.75" customHeight="1">
      <c r="C181" s="932"/>
      <c r="F181" s="875"/>
    </row>
    <row r="182" ht="15.75" customHeight="1">
      <c r="C182" s="932"/>
      <c r="F182" s="875"/>
    </row>
    <row r="183" ht="15.75" customHeight="1">
      <c r="C183" s="932"/>
      <c r="F183" s="875"/>
    </row>
    <row r="184" ht="15.75" customHeight="1">
      <c r="C184" s="932"/>
      <c r="F184" s="875"/>
    </row>
    <row r="185" ht="15.75" customHeight="1">
      <c r="C185" s="932"/>
      <c r="F185" s="875"/>
    </row>
    <row r="186" ht="15.75" customHeight="1">
      <c r="C186" s="932"/>
      <c r="F186" s="875"/>
    </row>
    <row r="187" ht="15.75" customHeight="1">
      <c r="C187" s="932"/>
      <c r="F187" s="875"/>
    </row>
    <row r="188" ht="15.75" customHeight="1">
      <c r="C188" s="932"/>
      <c r="F188" s="875"/>
    </row>
    <row r="189" ht="15.75" customHeight="1">
      <c r="C189" s="932"/>
      <c r="F189" s="875"/>
    </row>
    <row r="190" ht="15.75" customHeight="1">
      <c r="C190" s="932"/>
      <c r="F190" s="875"/>
    </row>
    <row r="191" ht="15.75" customHeight="1">
      <c r="C191" s="932"/>
      <c r="F191" s="875"/>
    </row>
    <row r="192" ht="15.75" customHeight="1">
      <c r="C192" s="932"/>
      <c r="F192" s="875"/>
    </row>
    <row r="193" ht="15.75" customHeight="1">
      <c r="C193" s="932"/>
      <c r="F193" s="875"/>
    </row>
    <row r="194" ht="15.75" customHeight="1">
      <c r="C194" s="932"/>
      <c r="F194" s="875"/>
    </row>
    <row r="195" ht="15.75" customHeight="1">
      <c r="C195" s="932"/>
      <c r="F195" s="875"/>
    </row>
    <row r="196" ht="15.75" customHeight="1">
      <c r="C196" s="932"/>
      <c r="F196" s="875"/>
    </row>
    <row r="197" ht="15.75" customHeight="1">
      <c r="C197" s="932"/>
      <c r="F197" s="875"/>
    </row>
    <row r="198" ht="15.75" customHeight="1">
      <c r="C198" s="932"/>
      <c r="F198" s="875"/>
    </row>
    <row r="199" ht="15.75" customHeight="1">
      <c r="C199" s="932"/>
      <c r="F199" s="875"/>
    </row>
    <row r="200" ht="15.75" customHeight="1">
      <c r="C200" s="932"/>
      <c r="F200" s="875"/>
    </row>
    <row r="201" ht="15.75" customHeight="1">
      <c r="C201" s="932"/>
      <c r="F201" s="875"/>
    </row>
    <row r="202" ht="15.75" customHeight="1">
      <c r="C202" s="932"/>
      <c r="F202" s="875"/>
    </row>
    <row r="203" ht="15.75" customHeight="1">
      <c r="C203" s="932"/>
      <c r="F203" s="875"/>
    </row>
    <row r="204" ht="15.75" customHeight="1">
      <c r="C204" s="932"/>
      <c r="F204" s="875"/>
    </row>
    <row r="205" ht="15.75" customHeight="1">
      <c r="C205" s="932"/>
      <c r="F205" s="875"/>
    </row>
    <row r="206" ht="15.75" customHeight="1">
      <c r="C206" s="932"/>
      <c r="F206" s="875"/>
    </row>
    <row r="207" ht="15.75" customHeight="1">
      <c r="C207" s="932"/>
      <c r="F207" s="875"/>
    </row>
    <row r="208" ht="15.75" customHeight="1">
      <c r="C208" s="932"/>
      <c r="F208" s="875"/>
    </row>
    <row r="209" ht="15.75" customHeight="1">
      <c r="C209" s="932"/>
      <c r="F209" s="875"/>
    </row>
    <row r="210" ht="15.75" customHeight="1">
      <c r="C210" s="932"/>
      <c r="F210" s="875"/>
    </row>
    <row r="211" ht="15.75" customHeight="1">
      <c r="C211" s="932"/>
      <c r="F211" s="875"/>
    </row>
    <row r="212" ht="15.75" customHeight="1">
      <c r="C212" s="932"/>
      <c r="F212" s="875"/>
    </row>
    <row r="213" ht="15.75" customHeight="1">
      <c r="C213" s="932"/>
      <c r="F213" s="875"/>
    </row>
    <row r="214" ht="15.75" customHeight="1">
      <c r="C214" s="932"/>
      <c r="F214" s="875"/>
    </row>
    <row r="215" ht="15.75" customHeight="1">
      <c r="C215" s="932"/>
      <c r="F215" s="875"/>
    </row>
    <row r="216" ht="15.75" customHeight="1">
      <c r="C216" s="932"/>
      <c r="F216" s="875"/>
    </row>
    <row r="217" ht="15.75" customHeight="1">
      <c r="C217" s="932"/>
      <c r="F217" s="875"/>
    </row>
    <row r="218" ht="15.75" customHeight="1">
      <c r="C218" s="932"/>
      <c r="F218" s="875"/>
    </row>
    <row r="219" ht="15.75" customHeight="1">
      <c r="C219" s="932"/>
      <c r="F219" s="875"/>
    </row>
    <row r="220" ht="15.75" customHeight="1">
      <c r="C220" s="932"/>
      <c r="F220" s="875"/>
    </row>
    <row r="221" ht="15.75" customHeight="1">
      <c r="C221" s="932"/>
      <c r="F221" s="875"/>
    </row>
    <row r="222" ht="15.75" customHeight="1">
      <c r="C222" s="932"/>
      <c r="F222" s="875"/>
    </row>
    <row r="223" ht="15.75" customHeight="1">
      <c r="C223" s="932"/>
      <c r="F223" s="875"/>
    </row>
    <row r="224" ht="15.75" customHeight="1">
      <c r="C224" s="932"/>
      <c r="F224" s="875"/>
    </row>
    <row r="225" ht="15.75" customHeight="1">
      <c r="C225" s="932"/>
      <c r="F225" s="875"/>
    </row>
    <row r="226" ht="15.75" customHeight="1">
      <c r="C226" s="932"/>
      <c r="F226" s="875"/>
    </row>
    <row r="227" ht="15.75" customHeight="1">
      <c r="C227" s="932"/>
      <c r="F227" s="875"/>
    </row>
    <row r="228" ht="15.75" customHeight="1">
      <c r="C228" s="932"/>
      <c r="F228" s="875"/>
    </row>
    <row r="229" ht="15.75" customHeight="1">
      <c r="C229" s="932"/>
      <c r="F229" s="875"/>
    </row>
    <row r="230" ht="15.75" customHeight="1">
      <c r="C230" s="932"/>
      <c r="F230" s="875"/>
    </row>
    <row r="231" ht="15.75" customHeight="1">
      <c r="C231" s="932"/>
      <c r="F231" s="875"/>
    </row>
    <row r="232" ht="15.75" customHeight="1">
      <c r="C232" s="932"/>
      <c r="F232" s="875"/>
    </row>
    <row r="233" ht="15.75" customHeight="1">
      <c r="C233" s="932"/>
      <c r="F233" s="875"/>
    </row>
    <row r="234" ht="15.75" customHeight="1">
      <c r="C234" s="932"/>
      <c r="F234" s="875"/>
    </row>
    <row r="235" ht="15.75" customHeight="1">
      <c r="C235" s="932"/>
      <c r="F235" s="875"/>
    </row>
    <row r="236" ht="15.75" customHeight="1">
      <c r="C236" s="932"/>
      <c r="F236" s="875"/>
    </row>
    <row r="237" ht="15.75" customHeight="1">
      <c r="C237" s="932"/>
      <c r="F237" s="875"/>
    </row>
    <row r="238" ht="15.75" customHeight="1">
      <c r="C238" s="932"/>
      <c r="F238" s="875"/>
    </row>
    <row r="239" ht="15.75" customHeight="1">
      <c r="C239" s="932"/>
      <c r="F239" s="875"/>
    </row>
    <row r="240" ht="15.75" customHeight="1">
      <c r="C240" s="932"/>
      <c r="F240" s="875"/>
    </row>
    <row r="241" ht="15.75" customHeight="1">
      <c r="C241" s="932"/>
      <c r="F241" s="875"/>
    </row>
    <row r="242" ht="15.75" customHeight="1">
      <c r="C242" s="932"/>
      <c r="F242" s="875"/>
    </row>
    <row r="243" ht="15.75" customHeight="1">
      <c r="C243" s="932"/>
      <c r="F243" s="875"/>
    </row>
    <row r="244" ht="15.75" customHeight="1">
      <c r="C244" s="932"/>
      <c r="F244" s="875"/>
    </row>
    <row r="245" ht="15.75" customHeight="1">
      <c r="C245" s="932"/>
      <c r="F245" s="875"/>
    </row>
    <row r="246" ht="15.75" customHeight="1">
      <c r="C246" s="932"/>
      <c r="F246" s="875"/>
    </row>
    <row r="247" ht="15.75" customHeight="1">
      <c r="C247" s="932"/>
      <c r="F247" s="875"/>
    </row>
    <row r="248" ht="15.75" customHeight="1">
      <c r="C248" s="932"/>
      <c r="F248" s="875"/>
    </row>
    <row r="249" ht="15.75" customHeight="1">
      <c r="C249" s="932"/>
      <c r="F249" s="875"/>
    </row>
    <row r="250" ht="15.75" customHeight="1">
      <c r="C250" s="932"/>
      <c r="F250" s="875"/>
    </row>
    <row r="251" ht="15.75" customHeight="1">
      <c r="C251" s="932"/>
      <c r="F251" s="875"/>
    </row>
    <row r="252" ht="15.75" customHeight="1">
      <c r="C252" s="932"/>
      <c r="F252" s="875"/>
    </row>
    <row r="253" ht="15.75" customHeight="1">
      <c r="C253" s="932"/>
      <c r="F253" s="875"/>
    </row>
    <row r="254" ht="15.75" customHeight="1">
      <c r="C254" s="932"/>
      <c r="F254" s="875"/>
    </row>
    <row r="255" ht="15.75" customHeight="1">
      <c r="C255" s="932"/>
      <c r="F255" s="875"/>
    </row>
    <row r="256" ht="15.75" customHeight="1">
      <c r="C256" s="932"/>
      <c r="F256" s="875"/>
    </row>
    <row r="257" ht="15.75" customHeight="1">
      <c r="C257" s="932"/>
      <c r="F257" s="875"/>
    </row>
    <row r="258" ht="15.75" customHeight="1">
      <c r="C258" s="932"/>
      <c r="F258" s="875"/>
    </row>
    <row r="259" ht="15.75" customHeight="1">
      <c r="C259" s="932"/>
      <c r="F259" s="875"/>
    </row>
    <row r="260" ht="15.75" customHeight="1">
      <c r="C260" s="932"/>
      <c r="F260" s="875"/>
    </row>
    <row r="261" ht="15.75" customHeight="1">
      <c r="C261" s="932"/>
      <c r="F261" s="875"/>
    </row>
    <row r="262" ht="15.75" customHeight="1">
      <c r="C262" s="932"/>
      <c r="F262" s="875"/>
    </row>
    <row r="263" ht="15.75" customHeight="1">
      <c r="C263" s="932"/>
      <c r="F263" s="875"/>
    </row>
    <row r="264" ht="15.75" customHeight="1">
      <c r="C264" s="932"/>
      <c r="F264" s="875"/>
    </row>
    <row r="265" ht="15.75" customHeight="1">
      <c r="C265" s="932"/>
      <c r="F265" s="875"/>
    </row>
    <row r="266" ht="15.75" customHeight="1">
      <c r="C266" s="932"/>
      <c r="F266" s="875"/>
    </row>
    <row r="267" ht="15.75" customHeight="1">
      <c r="C267" s="932"/>
      <c r="F267" s="875"/>
    </row>
    <row r="268" ht="15.75" customHeight="1">
      <c r="C268" s="932"/>
      <c r="F268" s="875"/>
    </row>
    <row r="269" ht="15.75" customHeight="1">
      <c r="C269" s="932"/>
      <c r="F269" s="875"/>
    </row>
    <row r="270" ht="15.75" customHeight="1">
      <c r="C270" s="932"/>
      <c r="F270" s="875"/>
    </row>
    <row r="271" ht="15.75" customHeight="1">
      <c r="C271" s="932"/>
      <c r="F271" s="875"/>
    </row>
    <row r="272" ht="15.75" customHeight="1">
      <c r="C272" s="932"/>
      <c r="F272" s="875"/>
    </row>
    <row r="273" ht="15.75" customHeight="1">
      <c r="C273" s="932"/>
      <c r="F273" s="875"/>
    </row>
    <row r="274" ht="15.75" customHeight="1">
      <c r="C274" s="932"/>
      <c r="F274" s="875"/>
    </row>
    <row r="275" ht="15.75" customHeight="1">
      <c r="C275" s="932"/>
      <c r="F275" s="875"/>
    </row>
    <row r="276" ht="15.75" customHeight="1">
      <c r="C276" s="932"/>
      <c r="F276" s="875"/>
    </row>
    <row r="277" ht="15.75" customHeight="1">
      <c r="C277" s="932"/>
      <c r="F277" s="875"/>
    </row>
    <row r="278" ht="15.75" customHeight="1">
      <c r="C278" s="932"/>
      <c r="F278" s="875"/>
    </row>
    <row r="279" ht="15.75" customHeight="1">
      <c r="C279" s="932"/>
      <c r="F279" s="875"/>
    </row>
    <row r="280" ht="15.75" customHeight="1">
      <c r="C280" s="932"/>
      <c r="F280" s="875"/>
    </row>
    <row r="281" ht="15.75" customHeight="1">
      <c r="C281" s="932"/>
      <c r="F281" s="875"/>
    </row>
    <row r="282" ht="15.75" customHeight="1">
      <c r="C282" s="932"/>
      <c r="F282" s="875"/>
    </row>
    <row r="283" ht="15.75" customHeight="1">
      <c r="C283" s="932"/>
      <c r="F283" s="875"/>
    </row>
    <row r="284" ht="15.75" customHeight="1">
      <c r="C284" s="932"/>
      <c r="F284" s="875"/>
    </row>
    <row r="285" ht="15.75" customHeight="1">
      <c r="C285" s="932"/>
      <c r="F285" s="875"/>
    </row>
    <row r="286" ht="15.75" customHeight="1">
      <c r="C286" s="932"/>
      <c r="F286" s="875"/>
    </row>
    <row r="287" ht="15.75" customHeight="1">
      <c r="C287" s="932"/>
      <c r="F287" s="875"/>
    </row>
    <row r="288" ht="15.75" customHeight="1">
      <c r="C288" s="932"/>
      <c r="F288" s="875"/>
    </row>
    <row r="289" ht="15.75" customHeight="1">
      <c r="C289" s="932"/>
      <c r="F289" s="875"/>
    </row>
    <row r="290" ht="15.75" customHeight="1">
      <c r="C290" s="932"/>
      <c r="F290" s="875"/>
    </row>
    <row r="291" ht="15.75" customHeight="1">
      <c r="C291" s="932"/>
      <c r="F291" s="875"/>
    </row>
    <row r="292" ht="15.75" customHeight="1">
      <c r="C292" s="932"/>
      <c r="F292" s="875"/>
    </row>
    <row r="293" ht="15.75" customHeight="1">
      <c r="C293" s="932"/>
      <c r="F293" s="875"/>
    </row>
    <row r="294" ht="15.75" customHeight="1">
      <c r="C294" s="932"/>
      <c r="F294" s="875"/>
    </row>
    <row r="295" ht="15.75" customHeight="1">
      <c r="C295" s="932"/>
      <c r="F295" s="875"/>
    </row>
    <row r="296" ht="15.75" customHeight="1">
      <c r="C296" s="932"/>
      <c r="F296" s="875"/>
    </row>
    <row r="297" ht="15.75" customHeight="1">
      <c r="C297" s="932"/>
      <c r="F297" s="875"/>
    </row>
    <row r="298" ht="15.75" customHeight="1">
      <c r="C298" s="932"/>
      <c r="F298" s="875"/>
    </row>
    <row r="299" ht="15.75" customHeight="1">
      <c r="C299" s="932"/>
      <c r="F299" s="875"/>
    </row>
    <row r="300" ht="15.75" customHeight="1">
      <c r="C300" s="932"/>
      <c r="F300" s="875"/>
    </row>
    <row r="301" ht="15.75" customHeight="1">
      <c r="C301" s="932"/>
      <c r="F301" s="875"/>
    </row>
    <row r="302" ht="15.75" customHeight="1">
      <c r="C302" s="932"/>
      <c r="F302" s="875"/>
    </row>
    <row r="303" ht="15.75" customHeight="1">
      <c r="C303" s="932"/>
      <c r="F303" s="875"/>
    </row>
    <row r="304" ht="15.75" customHeight="1">
      <c r="C304" s="932"/>
      <c r="F304" s="875"/>
    </row>
    <row r="305" ht="15.75" customHeight="1">
      <c r="C305" s="932"/>
      <c r="F305" s="875"/>
    </row>
    <row r="306" ht="15.75" customHeight="1">
      <c r="C306" s="932"/>
      <c r="F306" s="875"/>
    </row>
    <row r="307" ht="15.75" customHeight="1">
      <c r="C307" s="932"/>
      <c r="F307" s="875"/>
    </row>
    <row r="308" ht="15.75" customHeight="1">
      <c r="C308" s="932"/>
      <c r="F308" s="875"/>
    </row>
    <row r="309" ht="15.75" customHeight="1">
      <c r="C309" s="932"/>
      <c r="F309" s="875"/>
    </row>
    <row r="310" ht="15.75" customHeight="1">
      <c r="C310" s="932"/>
      <c r="F310" s="875"/>
    </row>
    <row r="311" ht="15.75" customHeight="1">
      <c r="C311" s="932"/>
      <c r="F311" s="875"/>
    </row>
    <row r="312" ht="15.75" customHeight="1">
      <c r="C312" s="932"/>
      <c r="F312" s="875"/>
    </row>
    <row r="313" ht="15.75" customHeight="1">
      <c r="C313" s="932"/>
      <c r="F313" s="875"/>
    </row>
    <row r="314" ht="15.75" customHeight="1">
      <c r="C314" s="932"/>
      <c r="F314" s="875"/>
    </row>
    <row r="315" ht="15.75" customHeight="1">
      <c r="C315" s="932"/>
      <c r="F315" s="875"/>
    </row>
    <row r="316" ht="15.75" customHeight="1">
      <c r="C316" s="932"/>
      <c r="F316" s="875"/>
    </row>
    <row r="317" ht="15.75" customHeight="1">
      <c r="C317" s="932"/>
      <c r="F317" s="875"/>
    </row>
    <row r="318" ht="15.75" customHeight="1">
      <c r="C318" s="932"/>
      <c r="F318" s="875"/>
    </row>
    <row r="319" ht="15.75" customHeight="1">
      <c r="C319" s="932"/>
      <c r="F319" s="875"/>
    </row>
    <row r="320" ht="15.75" customHeight="1">
      <c r="C320" s="932"/>
      <c r="F320" s="875"/>
    </row>
    <row r="321" ht="15.75" customHeight="1">
      <c r="C321" s="932"/>
      <c r="F321" s="875"/>
    </row>
    <row r="322" ht="15.75" customHeight="1">
      <c r="C322" s="932"/>
      <c r="F322" s="875"/>
    </row>
    <row r="323" ht="15.75" customHeight="1">
      <c r="C323" s="932"/>
      <c r="F323" s="875"/>
    </row>
    <row r="324" ht="15.75" customHeight="1">
      <c r="C324" s="932"/>
      <c r="F324" s="875"/>
    </row>
    <row r="325" ht="15.75" customHeight="1">
      <c r="C325" s="932"/>
      <c r="F325" s="875"/>
    </row>
    <row r="326" ht="15.75" customHeight="1">
      <c r="C326" s="932"/>
      <c r="F326" s="875"/>
    </row>
    <row r="327" ht="15.75" customHeight="1">
      <c r="C327" s="932"/>
      <c r="F327" s="875"/>
    </row>
    <row r="328" ht="15.75" customHeight="1">
      <c r="C328" s="932"/>
      <c r="F328" s="875"/>
    </row>
    <row r="329" ht="15.75" customHeight="1">
      <c r="C329" s="932"/>
      <c r="F329" s="875"/>
    </row>
    <row r="330" ht="15.75" customHeight="1">
      <c r="C330" s="932"/>
      <c r="F330" s="875"/>
    </row>
    <row r="331" ht="15.75" customHeight="1">
      <c r="C331" s="932"/>
      <c r="F331" s="875"/>
    </row>
    <row r="332" ht="15.75" customHeight="1">
      <c r="C332" s="932"/>
      <c r="F332" s="875"/>
    </row>
    <row r="333" ht="15.75" customHeight="1">
      <c r="C333" s="932"/>
      <c r="F333" s="875"/>
    </row>
    <row r="334" ht="15.75" customHeight="1">
      <c r="C334" s="932"/>
      <c r="F334" s="875"/>
    </row>
    <row r="335" ht="15.75" customHeight="1">
      <c r="C335" s="932"/>
      <c r="F335" s="875"/>
    </row>
    <row r="336" ht="15.75" customHeight="1">
      <c r="C336" s="932"/>
      <c r="F336" s="875"/>
    </row>
    <row r="337" ht="15.75" customHeight="1">
      <c r="C337" s="932"/>
      <c r="F337" s="875"/>
    </row>
    <row r="338" ht="15.75" customHeight="1">
      <c r="C338" s="932"/>
      <c r="F338" s="875"/>
    </row>
    <row r="339" ht="15.75" customHeight="1">
      <c r="C339" s="932"/>
      <c r="F339" s="875"/>
    </row>
    <row r="340" ht="15.75" customHeight="1">
      <c r="C340" s="932"/>
      <c r="F340" s="875"/>
    </row>
    <row r="341" ht="15.75" customHeight="1">
      <c r="C341" s="932"/>
      <c r="F341" s="875"/>
    </row>
    <row r="342" ht="15.75" customHeight="1">
      <c r="C342" s="932"/>
      <c r="F342" s="875"/>
    </row>
    <row r="343" ht="15.75" customHeight="1">
      <c r="C343" s="932"/>
      <c r="F343" s="875"/>
    </row>
    <row r="344" ht="15.75" customHeight="1">
      <c r="C344" s="932"/>
      <c r="F344" s="875"/>
    </row>
    <row r="345" ht="15.75" customHeight="1">
      <c r="C345" s="932"/>
      <c r="F345" s="875"/>
    </row>
    <row r="346" ht="15.75" customHeight="1">
      <c r="C346" s="932"/>
      <c r="F346" s="875"/>
    </row>
    <row r="347" ht="15.75" customHeight="1">
      <c r="C347" s="932"/>
      <c r="F347" s="875"/>
    </row>
    <row r="348" ht="15.75" customHeight="1">
      <c r="C348" s="932"/>
      <c r="F348" s="875"/>
    </row>
    <row r="349" ht="15.75" customHeight="1">
      <c r="C349" s="932"/>
      <c r="F349" s="875"/>
    </row>
    <row r="350" ht="15.75" customHeight="1">
      <c r="C350" s="932"/>
      <c r="F350" s="875"/>
    </row>
    <row r="351" ht="15.75" customHeight="1">
      <c r="C351" s="932"/>
      <c r="F351" s="875"/>
    </row>
    <row r="352" ht="15.75" customHeight="1">
      <c r="C352" s="932"/>
      <c r="F352" s="875"/>
    </row>
    <row r="353" ht="15.75" customHeight="1">
      <c r="C353" s="932"/>
      <c r="F353" s="875"/>
    </row>
    <row r="354" ht="15.75" customHeight="1">
      <c r="C354" s="932"/>
      <c r="F354" s="875"/>
    </row>
    <row r="355" ht="15.75" customHeight="1">
      <c r="C355" s="932"/>
      <c r="F355" s="875"/>
    </row>
    <row r="356" ht="15.75" customHeight="1">
      <c r="C356" s="932"/>
      <c r="F356" s="875"/>
    </row>
    <row r="357" ht="15.75" customHeight="1">
      <c r="C357" s="932"/>
      <c r="F357" s="875"/>
    </row>
    <row r="358" ht="15.75" customHeight="1">
      <c r="C358" s="932"/>
      <c r="F358" s="875"/>
    </row>
    <row r="359" ht="15.75" customHeight="1">
      <c r="C359" s="932"/>
      <c r="F359" s="875"/>
    </row>
    <row r="360" ht="15.75" customHeight="1">
      <c r="C360" s="932"/>
      <c r="F360" s="875"/>
    </row>
    <row r="361" ht="15.75" customHeight="1">
      <c r="C361" s="932"/>
      <c r="F361" s="875"/>
    </row>
    <row r="362" ht="15.75" customHeight="1">
      <c r="C362" s="932"/>
      <c r="F362" s="875"/>
    </row>
    <row r="363" ht="15.75" customHeight="1">
      <c r="C363" s="932"/>
      <c r="F363" s="875"/>
    </row>
    <row r="364" ht="15.75" customHeight="1">
      <c r="C364" s="932"/>
      <c r="F364" s="875"/>
    </row>
    <row r="365" ht="15.75" customHeight="1">
      <c r="C365" s="932"/>
      <c r="F365" s="875"/>
    </row>
    <row r="366" ht="15.75" customHeight="1">
      <c r="C366" s="932"/>
      <c r="F366" s="875"/>
    </row>
    <row r="367" ht="15.75" customHeight="1">
      <c r="C367" s="932"/>
      <c r="F367" s="875"/>
    </row>
    <row r="368" ht="15.75" customHeight="1">
      <c r="C368" s="932"/>
      <c r="F368" s="875"/>
    </row>
    <row r="369" ht="15.75" customHeight="1">
      <c r="C369" s="932"/>
      <c r="F369" s="875"/>
    </row>
    <row r="370" ht="15.75" customHeight="1">
      <c r="C370" s="932"/>
      <c r="F370" s="875"/>
    </row>
    <row r="371" ht="15.75" customHeight="1">
      <c r="C371" s="932"/>
      <c r="F371" s="875"/>
    </row>
    <row r="372" ht="15.75" customHeight="1">
      <c r="C372" s="932"/>
      <c r="F372" s="875"/>
    </row>
    <row r="373" ht="15.75" customHeight="1">
      <c r="C373" s="932"/>
      <c r="F373" s="875"/>
    </row>
    <row r="374" ht="15.75" customHeight="1">
      <c r="C374" s="932"/>
      <c r="F374" s="875"/>
    </row>
    <row r="375" ht="15.75" customHeight="1">
      <c r="C375" s="932"/>
      <c r="F375" s="875"/>
    </row>
    <row r="376" ht="15.75" customHeight="1">
      <c r="C376" s="932"/>
      <c r="F376" s="875"/>
    </row>
    <row r="377" ht="15.75" customHeight="1">
      <c r="C377" s="932"/>
      <c r="F377" s="875"/>
    </row>
    <row r="378" ht="15.75" customHeight="1">
      <c r="C378" s="932"/>
      <c r="F378" s="875"/>
    </row>
    <row r="379" ht="15.75" customHeight="1">
      <c r="C379" s="932"/>
      <c r="F379" s="875"/>
    </row>
    <row r="380" ht="15.75" customHeight="1">
      <c r="C380" s="932"/>
      <c r="F380" s="875"/>
    </row>
    <row r="381" ht="15.75" customHeight="1">
      <c r="C381" s="932"/>
      <c r="F381" s="875"/>
    </row>
    <row r="382" ht="15.75" customHeight="1">
      <c r="C382" s="932"/>
      <c r="F382" s="875"/>
    </row>
    <row r="383" ht="15.75" customHeight="1">
      <c r="C383" s="932"/>
      <c r="F383" s="875"/>
    </row>
    <row r="384" ht="15.75" customHeight="1">
      <c r="C384" s="932"/>
      <c r="F384" s="875"/>
    </row>
    <row r="385" ht="15.75" customHeight="1">
      <c r="C385" s="932"/>
      <c r="F385" s="875"/>
    </row>
    <row r="386" ht="15.75" customHeight="1">
      <c r="C386" s="932"/>
      <c r="F386" s="875"/>
    </row>
    <row r="387" ht="15.75" customHeight="1">
      <c r="C387" s="932"/>
      <c r="F387" s="875"/>
    </row>
    <row r="388" ht="15.75" customHeight="1">
      <c r="C388" s="932"/>
      <c r="F388" s="875"/>
    </row>
    <row r="389" ht="15.75" customHeight="1">
      <c r="C389" s="932"/>
      <c r="F389" s="875"/>
    </row>
    <row r="390" ht="15.75" customHeight="1">
      <c r="C390" s="932"/>
      <c r="F390" s="875"/>
    </row>
    <row r="391" ht="15.75" customHeight="1">
      <c r="C391" s="932"/>
      <c r="F391" s="875"/>
    </row>
    <row r="392" ht="15.75" customHeight="1">
      <c r="C392" s="932"/>
      <c r="F392" s="875"/>
    </row>
    <row r="393" ht="15.75" customHeight="1">
      <c r="C393" s="932"/>
      <c r="F393" s="875"/>
    </row>
    <row r="394" ht="15.75" customHeight="1">
      <c r="C394" s="932"/>
      <c r="F394" s="875"/>
    </row>
    <row r="395" ht="15.75" customHeight="1">
      <c r="C395" s="932"/>
      <c r="F395" s="875"/>
    </row>
    <row r="396" ht="15.75" customHeight="1">
      <c r="C396" s="932"/>
      <c r="F396" s="875"/>
    </row>
    <row r="397" ht="15.75" customHeight="1">
      <c r="C397" s="932"/>
      <c r="F397" s="875"/>
    </row>
    <row r="398" ht="15.75" customHeight="1">
      <c r="C398" s="932"/>
      <c r="F398" s="875"/>
    </row>
    <row r="399" ht="15.75" customHeight="1">
      <c r="C399" s="932"/>
      <c r="F399" s="875"/>
    </row>
    <row r="400" ht="15.75" customHeight="1">
      <c r="C400" s="932"/>
      <c r="F400" s="875"/>
    </row>
    <row r="401" ht="15.75" customHeight="1">
      <c r="C401" s="932"/>
      <c r="F401" s="875"/>
    </row>
    <row r="402" ht="15.75" customHeight="1">
      <c r="C402" s="932"/>
      <c r="F402" s="875"/>
    </row>
    <row r="403" ht="15.75" customHeight="1">
      <c r="C403" s="932"/>
      <c r="F403" s="875"/>
    </row>
    <row r="404" ht="15.75" customHeight="1">
      <c r="C404" s="932"/>
      <c r="F404" s="875"/>
    </row>
    <row r="405" ht="15.75" customHeight="1">
      <c r="C405" s="932"/>
      <c r="F405" s="875"/>
    </row>
    <row r="406" ht="15.75" customHeight="1">
      <c r="C406" s="932"/>
      <c r="F406" s="875"/>
    </row>
    <row r="407" ht="15.75" customHeight="1">
      <c r="C407" s="932"/>
      <c r="F407" s="875"/>
    </row>
    <row r="408" ht="15.75" customHeight="1">
      <c r="C408" s="932"/>
      <c r="F408" s="875"/>
    </row>
    <row r="409" ht="15.75" customHeight="1">
      <c r="C409" s="932"/>
      <c r="F409" s="875"/>
    </row>
    <row r="410" ht="15.75" customHeight="1">
      <c r="C410" s="932"/>
      <c r="F410" s="875"/>
    </row>
    <row r="411" ht="15.75" customHeight="1">
      <c r="C411" s="932"/>
      <c r="F411" s="875"/>
    </row>
    <row r="412" ht="15.75" customHeight="1">
      <c r="C412" s="932"/>
      <c r="F412" s="875"/>
    </row>
    <row r="413" ht="15.75" customHeight="1">
      <c r="C413" s="932"/>
      <c r="F413" s="875"/>
    </row>
    <row r="414" ht="15.75" customHeight="1">
      <c r="C414" s="932"/>
      <c r="F414" s="875"/>
    </row>
    <row r="415" ht="15.75" customHeight="1">
      <c r="C415" s="932"/>
      <c r="F415" s="875"/>
    </row>
    <row r="416" ht="15.75" customHeight="1">
      <c r="C416" s="932"/>
      <c r="F416" s="875"/>
    </row>
    <row r="417" ht="15.75" customHeight="1">
      <c r="C417" s="932"/>
      <c r="F417" s="875"/>
    </row>
    <row r="418" ht="15.75" customHeight="1">
      <c r="C418" s="932"/>
      <c r="F418" s="875"/>
    </row>
    <row r="419" ht="15.75" customHeight="1">
      <c r="C419" s="932"/>
      <c r="F419" s="875"/>
    </row>
    <row r="420" ht="15.75" customHeight="1">
      <c r="C420" s="932"/>
      <c r="F420" s="875"/>
    </row>
    <row r="421" ht="15.75" customHeight="1">
      <c r="C421" s="932"/>
      <c r="F421" s="875"/>
    </row>
    <row r="422" ht="15.75" customHeight="1">
      <c r="C422" s="932"/>
      <c r="F422" s="875"/>
    </row>
    <row r="423" ht="15.75" customHeight="1">
      <c r="C423" s="932"/>
      <c r="F423" s="875"/>
    </row>
    <row r="424" ht="15.75" customHeight="1">
      <c r="C424" s="932"/>
      <c r="F424" s="875"/>
    </row>
    <row r="425" ht="15.75" customHeight="1">
      <c r="C425" s="932"/>
      <c r="F425" s="875"/>
    </row>
    <row r="426" ht="15.75" customHeight="1">
      <c r="C426" s="932"/>
      <c r="F426" s="875"/>
    </row>
    <row r="427" ht="15.75" customHeight="1">
      <c r="C427" s="932"/>
      <c r="F427" s="875"/>
    </row>
    <row r="428" ht="15.75" customHeight="1">
      <c r="C428" s="932"/>
      <c r="F428" s="875"/>
    </row>
    <row r="429" ht="15.75" customHeight="1">
      <c r="C429" s="932"/>
      <c r="F429" s="875"/>
    </row>
    <row r="430" ht="15.75" customHeight="1">
      <c r="C430" s="932"/>
      <c r="F430" s="875"/>
    </row>
    <row r="431" ht="15.75" customHeight="1">
      <c r="C431" s="932"/>
      <c r="F431" s="875"/>
    </row>
    <row r="432" ht="15.75" customHeight="1">
      <c r="C432" s="932"/>
      <c r="F432" s="875"/>
    </row>
    <row r="433" ht="15.75" customHeight="1">
      <c r="C433" s="932"/>
      <c r="F433" s="875"/>
    </row>
    <row r="434" ht="15.75" customHeight="1">
      <c r="C434" s="932"/>
      <c r="F434" s="875"/>
    </row>
    <row r="435" ht="15.75" customHeight="1">
      <c r="C435" s="932"/>
      <c r="F435" s="875"/>
    </row>
    <row r="436" ht="15.75" customHeight="1">
      <c r="C436" s="932"/>
      <c r="F436" s="875"/>
    </row>
    <row r="437" ht="15.75" customHeight="1">
      <c r="C437" s="932"/>
      <c r="F437" s="875"/>
    </row>
    <row r="438" ht="15.75" customHeight="1">
      <c r="C438" s="932"/>
      <c r="F438" s="875"/>
    </row>
    <row r="439" ht="15.75" customHeight="1">
      <c r="C439" s="932"/>
      <c r="F439" s="875"/>
    </row>
    <row r="440" ht="15.75" customHeight="1">
      <c r="C440" s="932"/>
      <c r="F440" s="875"/>
    </row>
    <row r="441" ht="15.75" customHeight="1">
      <c r="C441" s="932"/>
      <c r="F441" s="875"/>
    </row>
    <row r="442" ht="15.75" customHeight="1">
      <c r="C442" s="932"/>
      <c r="F442" s="875"/>
    </row>
    <row r="443" ht="15.75" customHeight="1">
      <c r="C443" s="932"/>
      <c r="F443" s="875"/>
    </row>
    <row r="444" ht="15.75" customHeight="1">
      <c r="C444" s="932"/>
      <c r="F444" s="875"/>
    </row>
    <row r="445" ht="15.75" customHeight="1">
      <c r="C445" s="932"/>
      <c r="F445" s="875"/>
    </row>
    <row r="446" ht="15.75" customHeight="1">
      <c r="C446" s="932"/>
      <c r="F446" s="875"/>
    </row>
    <row r="447" ht="15.75" customHeight="1">
      <c r="C447" s="932"/>
      <c r="F447" s="875"/>
    </row>
    <row r="448" ht="15.75" customHeight="1">
      <c r="C448" s="932"/>
      <c r="F448" s="875"/>
    </row>
    <row r="449" ht="15.75" customHeight="1">
      <c r="C449" s="932"/>
      <c r="F449" s="875"/>
    </row>
    <row r="450" ht="15.75" customHeight="1">
      <c r="C450" s="932"/>
      <c r="F450" s="875"/>
    </row>
    <row r="451" ht="15.75" customHeight="1">
      <c r="C451" s="932"/>
      <c r="F451" s="875"/>
    </row>
    <row r="452" ht="15.75" customHeight="1">
      <c r="C452" s="932"/>
      <c r="F452" s="875"/>
    </row>
    <row r="453" ht="15.75" customHeight="1">
      <c r="C453" s="932"/>
      <c r="F453" s="875"/>
    </row>
    <row r="454" ht="15.75" customHeight="1">
      <c r="C454" s="932"/>
      <c r="F454" s="875"/>
    </row>
    <row r="455" ht="15.75" customHeight="1">
      <c r="C455" s="932"/>
      <c r="F455" s="875"/>
    </row>
    <row r="456" ht="15.75" customHeight="1">
      <c r="C456" s="932"/>
      <c r="F456" s="875"/>
    </row>
    <row r="457" ht="15.75" customHeight="1">
      <c r="C457" s="932"/>
      <c r="F457" s="875"/>
    </row>
    <row r="458" ht="15.75" customHeight="1">
      <c r="C458" s="932"/>
      <c r="F458" s="875"/>
    </row>
    <row r="459" ht="15.75" customHeight="1">
      <c r="C459" s="932"/>
      <c r="F459" s="875"/>
    </row>
    <row r="460" ht="15.75" customHeight="1">
      <c r="C460" s="932"/>
      <c r="F460" s="875"/>
    </row>
    <row r="461" ht="15.75" customHeight="1">
      <c r="C461" s="932"/>
      <c r="F461" s="875"/>
    </row>
    <row r="462" ht="15.75" customHeight="1">
      <c r="C462" s="932"/>
      <c r="F462" s="875"/>
    </row>
    <row r="463" ht="15.75" customHeight="1">
      <c r="C463" s="932"/>
      <c r="F463" s="875"/>
    </row>
    <row r="464" ht="15.75" customHeight="1">
      <c r="C464" s="932"/>
      <c r="F464" s="875"/>
    </row>
    <row r="465" ht="15.75" customHeight="1">
      <c r="C465" s="932"/>
      <c r="F465" s="875"/>
    </row>
    <row r="466" ht="15.75" customHeight="1">
      <c r="C466" s="932"/>
      <c r="F466" s="875"/>
    </row>
    <row r="467" ht="15.75" customHeight="1">
      <c r="C467" s="932"/>
      <c r="F467" s="875"/>
    </row>
    <row r="468" ht="15.75" customHeight="1">
      <c r="C468" s="932"/>
      <c r="F468" s="875"/>
    </row>
    <row r="469" ht="15.75" customHeight="1">
      <c r="C469" s="932"/>
      <c r="F469" s="875"/>
    </row>
    <row r="470" ht="15.75" customHeight="1">
      <c r="C470" s="932"/>
      <c r="F470" s="875"/>
    </row>
    <row r="471" ht="15.75" customHeight="1">
      <c r="C471" s="932"/>
      <c r="F471" s="875"/>
    </row>
    <row r="472" ht="15.75" customHeight="1">
      <c r="C472" s="932"/>
      <c r="F472" s="875"/>
    </row>
    <row r="473" ht="15.75" customHeight="1">
      <c r="C473" s="932"/>
      <c r="F473" s="875"/>
    </row>
    <row r="474" ht="15.75" customHeight="1">
      <c r="C474" s="932"/>
      <c r="F474" s="875"/>
    </row>
    <row r="475" ht="15.75" customHeight="1">
      <c r="C475" s="932"/>
      <c r="F475" s="875"/>
    </row>
    <row r="476" ht="15.75" customHeight="1">
      <c r="C476" s="932"/>
      <c r="F476" s="875"/>
    </row>
    <row r="477" ht="15.75" customHeight="1">
      <c r="C477" s="932"/>
      <c r="F477" s="875"/>
    </row>
    <row r="478" ht="15.75" customHeight="1">
      <c r="C478" s="932"/>
      <c r="F478" s="875"/>
    </row>
    <row r="479" ht="15.75" customHeight="1">
      <c r="C479" s="932"/>
      <c r="F479" s="875"/>
    </row>
    <row r="480" ht="15.75" customHeight="1">
      <c r="C480" s="932"/>
      <c r="F480" s="875"/>
    </row>
    <row r="481" ht="15.75" customHeight="1">
      <c r="C481" s="932"/>
      <c r="F481" s="875"/>
    </row>
    <row r="482" ht="15.75" customHeight="1">
      <c r="C482" s="932"/>
      <c r="F482" s="875"/>
    </row>
    <row r="483" ht="15.75" customHeight="1">
      <c r="C483" s="932"/>
      <c r="F483" s="875"/>
    </row>
    <row r="484" ht="15.75" customHeight="1">
      <c r="C484" s="932"/>
      <c r="F484" s="875"/>
    </row>
    <row r="485" ht="15.75" customHeight="1">
      <c r="C485" s="932"/>
      <c r="F485" s="875"/>
    </row>
    <row r="486" ht="15.75" customHeight="1">
      <c r="C486" s="932"/>
      <c r="F486" s="875"/>
    </row>
    <row r="487" ht="15.75" customHeight="1">
      <c r="C487" s="932"/>
      <c r="F487" s="875"/>
    </row>
    <row r="488" ht="15.75" customHeight="1">
      <c r="C488" s="932"/>
      <c r="F488" s="875"/>
    </row>
    <row r="489" ht="15.75" customHeight="1">
      <c r="C489" s="932"/>
      <c r="F489" s="875"/>
    </row>
    <row r="490" ht="15.75" customHeight="1">
      <c r="C490" s="932"/>
      <c r="F490" s="875"/>
    </row>
    <row r="491" ht="15.75" customHeight="1">
      <c r="C491" s="932"/>
      <c r="F491" s="875"/>
    </row>
    <row r="492" ht="15.75" customHeight="1">
      <c r="C492" s="932"/>
      <c r="F492" s="875"/>
    </row>
    <row r="493" ht="15.75" customHeight="1">
      <c r="C493" s="932"/>
      <c r="F493" s="875"/>
    </row>
    <row r="494" ht="15.75" customHeight="1">
      <c r="C494" s="932"/>
      <c r="F494" s="875"/>
    </row>
    <row r="495" ht="15.75" customHeight="1">
      <c r="C495" s="932"/>
      <c r="F495" s="875"/>
    </row>
    <row r="496" ht="15.75" customHeight="1">
      <c r="C496" s="932"/>
      <c r="F496" s="875"/>
    </row>
    <row r="497" ht="15.75" customHeight="1">
      <c r="C497" s="932"/>
      <c r="F497" s="875"/>
    </row>
    <row r="498" ht="15.75" customHeight="1">
      <c r="C498" s="932"/>
      <c r="F498" s="875"/>
    </row>
    <row r="499" ht="15.75" customHeight="1">
      <c r="C499" s="932"/>
      <c r="F499" s="875"/>
    </row>
    <row r="500" ht="15.75" customHeight="1">
      <c r="C500" s="932"/>
      <c r="F500" s="875"/>
    </row>
    <row r="501" ht="15.75" customHeight="1">
      <c r="C501" s="932"/>
      <c r="F501" s="875"/>
    </row>
    <row r="502" ht="15.75" customHeight="1">
      <c r="C502" s="932"/>
      <c r="F502" s="875"/>
    </row>
    <row r="503" ht="15.75" customHeight="1">
      <c r="C503" s="932"/>
      <c r="F503" s="875"/>
    </row>
    <row r="504" ht="15.75" customHeight="1">
      <c r="C504" s="932"/>
      <c r="F504" s="875"/>
    </row>
    <row r="505" ht="15.75" customHeight="1">
      <c r="C505" s="932"/>
      <c r="F505" s="875"/>
    </row>
    <row r="506" ht="15.75" customHeight="1">
      <c r="C506" s="932"/>
      <c r="F506" s="875"/>
    </row>
    <row r="507" ht="15.75" customHeight="1">
      <c r="C507" s="932"/>
      <c r="F507" s="875"/>
    </row>
    <row r="508" ht="15.75" customHeight="1">
      <c r="C508" s="932"/>
      <c r="F508" s="875"/>
    </row>
    <row r="509" ht="15.75" customHeight="1">
      <c r="C509" s="932"/>
      <c r="F509" s="875"/>
    </row>
    <row r="510" ht="15.75" customHeight="1">
      <c r="C510" s="932"/>
      <c r="F510" s="875"/>
    </row>
    <row r="511" ht="15.75" customHeight="1">
      <c r="C511" s="932"/>
      <c r="F511" s="875"/>
    </row>
    <row r="512" ht="15.75" customHeight="1">
      <c r="C512" s="932"/>
      <c r="F512" s="875"/>
    </row>
    <row r="513" ht="15.75" customHeight="1">
      <c r="C513" s="932"/>
      <c r="F513" s="875"/>
    </row>
    <row r="514" ht="15.75" customHeight="1">
      <c r="C514" s="932"/>
      <c r="F514" s="875"/>
    </row>
    <row r="515" ht="15.75" customHeight="1">
      <c r="C515" s="932"/>
      <c r="F515" s="875"/>
    </row>
    <row r="516" ht="15.75" customHeight="1">
      <c r="C516" s="932"/>
      <c r="F516" s="875"/>
    </row>
    <row r="517" ht="15.75" customHeight="1">
      <c r="C517" s="932"/>
      <c r="F517" s="875"/>
    </row>
    <row r="518" ht="15.75" customHeight="1">
      <c r="C518" s="932"/>
      <c r="F518" s="875"/>
    </row>
    <row r="519" ht="15.75" customHeight="1">
      <c r="C519" s="932"/>
      <c r="F519" s="875"/>
    </row>
    <row r="520" ht="15.75" customHeight="1">
      <c r="C520" s="932"/>
      <c r="F520" s="875"/>
    </row>
    <row r="521" ht="15.75" customHeight="1">
      <c r="C521" s="932"/>
      <c r="F521" s="875"/>
    </row>
    <row r="522" ht="15.75" customHeight="1">
      <c r="C522" s="932"/>
      <c r="F522" s="875"/>
    </row>
    <row r="523" ht="15.75" customHeight="1">
      <c r="C523" s="932"/>
      <c r="F523" s="875"/>
    </row>
    <row r="524" ht="15.75" customHeight="1">
      <c r="C524" s="932"/>
      <c r="F524" s="875"/>
    </row>
    <row r="525" ht="15.75" customHeight="1">
      <c r="C525" s="932"/>
      <c r="F525" s="875"/>
    </row>
    <row r="526" ht="15.75" customHeight="1">
      <c r="C526" s="932"/>
      <c r="F526" s="875"/>
    </row>
    <row r="527" ht="15.75" customHeight="1">
      <c r="C527" s="932"/>
      <c r="F527" s="875"/>
    </row>
    <row r="528" ht="15.75" customHeight="1">
      <c r="C528" s="932"/>
      <c r="F528" s="875"/>
    </row>
    <row r="529" ht="15.75" customHeight="1">
      <c r="C529" s="932"/>
      <c r="F529" s="875"/>
    </row>
    <row r="530" ht="15.75" customHeight="1">
      <c r="C530" s="932"/>
      <c r="F530" s="875"/>
    </row>
    <row r="531" ht="15.75" customHeight="1">
      <c r="C531" s="932"/>
      <c r="F531" s="875"/>
    </row>
    <row r="532" ht="15.75" customHeight="1">
      <c r="C532" s="932"/>
      <c r="F532" s="875"/>
    </row>
    <row r="533" ht="15.75" customHeight="1">
      <c r="C533" s="932"/>
      <c r="F533" s="875"/>
    </row>
    <row r="534" ht="15.75" customHeight="1">
      <c r="C534" s="932"/>
      <c r="F534" s="875"/>
    </row>
    <row r="535" ht="15.75" customHeight="1">
      <c r="C535" s="932"/>
      <c r="F535" s="875"/>
    </row>
    <row r="536" ht="15.75" customHeight="1">
      <c r="C536" s="932"/>
      <c r="F536" s="875"/>
    </row>
    <row r="537" ht="15.75" customHeight="1">
      <c r="C537" s="932"/>
      <c r="F537" s="875"/>
    </row>
    <row r="538" ht="15.75" customHeight="1">
      <c r="C538" s="932"/>
      <c r="F538" s="875"/>
    </row>
    <row r="539" ht="15.75" customHeight="1">
      <c r="C539" s="932"/>
      <c r="F539" s="875"/>
    </row>
    <row r="540" ht="15.75" customHeight="1">
      <c r="C540" s="932"/>
      <c r="F540" s="875"/>
    </row>
    <row r="541" ht="15.75" customHeight="1">
      <c r="C541" s="932"/>
      <c r="F541" s="875"/>
    </row>
    <row r="542" ht="15.75" customHeight="1">
      <c r="C542" s="932"/>
      <c r="F542" s="875"/>
    </row>
    <row r="543" ht="15.75" customHeight="1">
      <c r="C543" s="932"/>
      <c r="F543" s="875"/>
    </row>
    <row r="544" ht="15.75" customHeight="1">
      <c r="C544" s="932"/>
      <c r="F544" s="875"/>
    </row>
    <row r="545" ht="15.75" customHeight="1">
      <c r="C545" s="932"/>
      <c r="F545" s="875"/>
    </row>
    <row r="546" ht="15.75" customHeight="1">
      <c r="C546" s="932"/>
      <c r="F546" s="875"/>
    </row>
    <row r="547" ht="15.75" customHeight="1">
      <c r="C547" s="932"/>
      <c r="F547" s="875"/>
    </row>
    <row r="548" ht="15.75" customHeight="1">
      <c r="C548" s="932"/>
      <c r="F548" s="875"/>
    </row>
    <row r="549" ht="15.75" customHeight="1">
      <c r="C549" s="932"/>
      <c r="F549" s="875"/>
    </row>
    <row r="550" ht="15.75" customHeight="1">
      <c r="C550" s="932"/>
      <c r="F550" s="875"/>
    </row>
    <row r="551" ht="15.75" customHeight="1">
      <c r="C551" s="932"/>
      <c r="F551" s="875"/>
    </row>
    <row r="552" ht="15.75" customHeight="1">
      <c r="C552" s="932"/>
      <c r="F552" s="875"/>
    </row>
    <row r="553" ht="15.75" customHeight="1">
      <c r="C553" s="932"/>
      <c r="F553" s="875"/>
    </row>
    <row r="554" ht="15.75" customHeight="1">
      <c r="C554" s="932"/>
      <c r="F554" s="875"/>
    </row>
    <row r="555" ht="15.75" customHeight="1">
      <c r="C555" s="932"/>
      <c r="F555" s="875"/>
    </row>
    <row r="556" ht="15.75" customHeight="1">
      <c r="C556" s="932"/>
      <c r="F556" s="875"/>
    </row>
    <row r="557" ht="15.75" customHeight="1">
      <c r="C557" s="932"/>
      <c r="F557" s="875"/>
    </row>
    <row r="558" ht="15.75" customHeight="1">
      <c r="C558" s="932"/>
      <c r="F558" s="875"/>
    </row>
    <row r="559" ht="15.75" customHeight="1">
      <c r="C559" s="932"/>
      <c r="F559" s="875"/>
    </row>
    <row r="560" ht="15.75" customHeight="1">
      <c r="C560" s="932"/>
      <c r="F560" s="875"/>
    </row>
    <row r="561" ht="15.75" customHeight="1">
      <c r="C561" s="932"/>
      <c r="F561" s="875"/>
    </row>
    <row r="562" ht="15.75" customHeight="1">
      <c r="C562" s="932"/>
      <c r="F562" s="875"/>
    </row>
    <row r="563" ht="15.75" customHeight="1">
      <c r="C563" s="932"/>
      <c r="F563" s="875"/>
    </row>
    <row r="564" ht="15.75" customHeight="1">
      <c r="C564" s="932"/>
      <c r="F564" s="875"/>
    </row>
    <row r="565" ht="15.75" customHeight="1">
      <c r="C565" s="932"/>
      <c r="F565" s="875"/>
    </row>
    <row r="566" ht="15.75" customHeight="1">
      <c r="C566" s="932"/>
      <c r="F566" s="875"/>
    </row>
    <row r="567" ht="15.75" customHeight="1">
      <c r="C567" s="932"/>
      <c r="F567" s="875"/>
    </row>
    <row r="568" ht="15.75" customHeight="1">
      <c r="C568" s="932"/>
      <c r="F568" s="875"/>
    </row>
    <row r="569" ht="15.75" customHeight="1">
      <c r="C569" s="932"/>
      <c r="F569" s="875"/>
    </row>
    <row r="570" ht="15.75" customHeight="1">
      <c r="C570" s="932"/>
      <c r="F570" s="875"/>
    </row>
    <row r="571" ht="15.75" customHeight="1">
      <c r="C571" s="932"/>
      <c r="F571" s="875"/>
    </row>
    <row r="572" ht="15.75" customHeight="1">
      <c r="C572" s="932"/>
      <c r="F572" s="875"/>
    </row>
    <row r="573" ht="15.75" customHeight="1">
      <c r="C573" s="932"/>
      <c r="F573" s="875"/>
    </row>
    <row r="574" ht="15.75" customHeight="1">
      <c r="C574" s="932"/>
      <c r="F574" s="875"/>
    </row>
    <row r="575" ht="15.75" customHeight="1">
      <c r="C575" s="932"/>
      <c r="F575" s="875"/>
    </row>
    <row r="576" ht="15.75" customHeight="1">
      <c r="C576" s="932"/>
      <c r="F576" s="875"/>
    </row>
    <row r="577" ht="15.75" customHeight="1">
      <c r="C577" s="932"/>
      <c r="F577" s="875"/>
    </row>
    <row r="578" ht="15.75" customHeight="1">
      <c r="C578" s="932"/>
      <c r="F578" s="875"/>
    </row>
    <row r="579" ht="15.75" customHeight="1">
      <c r="C579" s="932"/>
      <c r="F579" s="875"/>
    </row>
    <row r="580" ht="15.75" customHeight="1">
      <c r="C580" s="932"/>
      <c r="F580" s="875"/>
    </row>
    <row r="581" ht="15.75" customHeight="1">
      <c r="C581" s="932"/>
      <c r="F581" s="875"/>
    </row>
    <row r="582" ht="15.75" customHeight="1">
      <c r="C582" s="932"/>
      <c r="F582" s="875"/>
    </row>
    <row r="583" ht="15.75" customHeight="1">
      <c r="C583" s="932"/>
      <c r="F583" s="875"/>
    </row>
    <row r="584" ht="15.75" customHeight="1">
      <c r="C584" s="932"/>
      <c r="F584" s="875"/>
    </row>
    <row r="585" ht="15.75" customHeight="1">
      <c r="C585" s="932"/>
      <c r="F585" s="875"/>
    </row>
    <row r="586" ht="15.75" customHeight="1">
      <c r="C586" s="932"/>
      <c r="F586" s="875"/>
    </row>
    <row r="587" ht="15.75" customHeight="1">
      <c r="C587" s="932"/>
      <c r="F587" s="875"/>
    </row>
    <row r="588" ht="15.75" customHeight="1">
      <c r="C588" s="932"/>
      <c r="F588" s="875"/>
    </row>
    <row r="589" ht="15.75" customHeight="1">
      <c r="C589" s="932"/>
      <c r="F589" s="875"/>
    </row>
    <row r="590" ht="15.75" customHeight="1">
      <c r="C590" s="932"/>
      <c r="F590" s="875"/>
    </row>
    <row r="591" ht="15.75" customHeight="1">
      <c r="C591" s="932"/>
      <c r="F591" s="875"/>
    </row>
    <row r="592" ht="15.75" customHeight="1">
      <c r="C592" s="932"/>
      <c r="F592" s="875"/>
    </row>
    <row r="593" ht="15.75" customHeight="1">
      <c r="C593" s="932"/>
      <c r="F593" s="875"/>
    </row>
    <row r="594" ht="15.75" customHeight="1">
      <c r="C594" s="932"/>
      <c r="F594" s="875"/>
    </row>
    <row r="595" ht="15.75" customHeight="1">
      <c r="C595" s="932"/>
      <c r="F595" s="875"/>
    </row>
    <row r="596" ht="15.75" customHeight="1">
      <c r="C596" s="932"/>
      <c r="F596" s="875"/>
    </row>
    <row r="597" ht="15.75" customHeight="1">
      <c r="C597" s="932"/>
      <c r="F597" s="875"/>
    </row>
    <row r="598" ht="15.75" customHeight="1">
      <c r="C598" s="932"/>
      <c r="F598" s="875"/>
    </row>
    <row r="599" ht="15.75" customHeight="1">
      <c r="C599" s="932"/>
      <c r="F599" s="875"/>
    </row>
    <row r="600" ht="15.75" customHeight="1">
      <c r="C600" s="932"/>
      <c r="F600" s="875"/>
    </row>
    <row r="601" ht="15.75" customHeight="1">
      <c r="C601" s="932"/>
      <c r="F601" s="875"/>
    </row>
    <row r="602" ht="15.75" customHeight="1">
      <c r="C602" s="932"/>
      <c r="F602" s="875"/>
    </row>
    <row r="603" ht="15.75" customHeight="1">
      <c r="C603" s="932"/>
      <c r="F603" s="875"/>
    </row>
    <row r="604" ht="15.75" customHeight="1">
      <c r="C604" s="932"/>
      <c r="F604" s="875"/>
    </row>
    <row r="605" ht="15.75" customHeight="1">
      <c r="C605" s="932"/>
      <c r="F605" s="875"/>
    </row>
    <row r="606" ht="15.75" customHeight="1">
      <c r="C606" s="932"/>
      <c r="F606" s="875"/>
    </row>
    <row r="607" ht="15.75" customHeight="1">
      <c r="C607" s="932"/>
      <c r="F607" s="875"/>
    </row>
    <row r="608" ht="15.75" customHeight="1">
      <c r="C608" s="932"/>
      <c r="F608" s="875"/>
    </row>
    <row r="609" ht="15.75" customHeight="1">
      <c r="C609" s="932"/>
      <c r="F609" s="875"/>
    </row>
    <row r="610" ht="15.75" customHeight="1">
      <c r="C610" s="932"/>
      <c r="F610" s="875"/>
    </row>
    <row r="611" ht="15.75" customHeight="1">
      <c r="C611" s="932"/>
      <c r="F611" s="875"/>
    </row>
    <row r="612" ht="15.75" customHeight="1">
      <c r="C612" s="932"/>
      <c r="F612" s="875"/>
    </row>
    <row r="613" ht="15.75" customHeight="1">
      <c r="C613" s="932"/>
      <c r="F613" s="875"/>
    </row>
    <row r="614" ht="15.75" customHeight="1">
      <c r="C614" s="932"/>
      <c r="F614" s="875"/>
    </row>
    <row r="615" ht="15.75" customHeight="1">
      <c r="C615" s="932"/>
      <c r="F615" s="875"/>
    </row>
    <row r="616" ht="15.75" customHeight="1">
      <c r="C616" s="932"/>
      <c r="F616" s="875"/>
    </row>
    <row r="617" ht="15.75" customHeight="1">
      <c r="C617" s="932"/>
      <c r="F617" s="875"/>
    </row>
    <row r="618" ht="15.75" customHeight="1">
      <c r="C618" s="932"/>
      <c r="F618" s="875"/>
    </row>
    <row r="619" ht="15.75" customHeight="1">
      <c r="C619" s="932"/>
      <c r="F619" s="875"/>
    </row>
    <row r="620" ht="15.75" customHeight="1">
      <c r="C620" s="932"/>
      <c r="F620" s="875"/>
    </row>
    <row r="621" ht="15.75" customHeight="1">
      <c r="C621" s="932"/>
      <c r="F621" s="875"/>
    </row>
    <row r="622" ht="15.75" customHeight="1">
      <c r="C622" s="932"/>
      <c r="F622" s="875"/>
    </row>
    <row r="623" ht="15.75" customHeight="1">
      <c r="C623" s="932"/>
      <c r="F623" s="875"/>
    </row>
    <row r="624" ht="15.75" customHeight="1">
      <c r="C624" s="932"/>
      <c r="F624" s="875"/>
    </row>
    <row r="625" ht="15.75" customHeight="1">
      <c r="C625" s="932"/>
      <c r="F625" s="875"/>
    </row>
    <row r="626" ht="15.75" customHeight="1">
      <c r="C626" s="932"/>
      <c r="F626" s="875"/>
    </row>
    <row r="627" ht="15.75" customHeight="1">
      <c r="C627" s="932"/>
      <c r="F627" s="875"/>
    </row>
    <row r="628" ht="15.75" customHeight="1">
      <c r="C628" s="932"/>
      <c r="F628" s="875"/>
    </row>
    <row r="629" ht="15.75" customHeight="1">
      <c r="C629" s="932"/>
      <c r="F629" s="875"/>
    </row>
    <row r="630" ht="15.75" customHeight="1">
      <c r="C630" s="932"/>
      <c r="F630" s="875"/>
    </row>
    <row r="631" ht="15.75" customHeight="1">
      <c r="C631" s="932"/>
      <c r="F631" s="875"/>
    </row>
    <row r="632" ht="15.75" customHeight="1">
      <c r="C632" s="932"/>
      <c r="F632" s="875"/>
    </row>
    <row r="633" ht="15.75" customHeight="1">
      <c r="C633" s="932"/>
      <c r="F633" s="875"/>
    </row>
    <row r="634" ht="15.75" customHeight="1">
      <c r="C634" s="932"/>
      <c r="F634" s="875"/>
    </row>
    <row r="635" ht="15.75" customHeight="1">
      <c r="C635" s="932"/>
      <c r="F635" s="875"/>
    </row>
    <row r="636" ht="15.75" customHeight="1">
      <c r="C636" s="932"/>
      <c r="F636" s="875"/>
    </row>
    <row r="637" ht="15.75" customHeight="1">
      <c r="C637" s="932"/>
      <c r="F637" s="875"/>
    </row>
    <row r="638" ht="15.75" customHeight="1">
      <c r="C638" s="932"/>
      <c r="F638" s="875"/>
    </row>
    <row r="639" ht="15.75" customHeight="1">
      <c r="C639" s="932"/>
      <c r="F639" s="875"/>
    </row>
    <row r="640" ht="15.75" customHeight="1">
      <c r="C640" s="932"/>
      <c r="F640" s="875"/>
    </row>
    <row r="641" ht="15.75" customHeight="1">
      <c r="C641" s="932"/>
      <c r="F641" s="875"/>
    </row>
    <row r="642" ht="15.75" customHeight="1">
      <c r="C642" s="932"/>
      <c r="F642" s="875"/>
    </row>
    <row r="643" ht="15.75" customHeight="1">
      <c r="C643" s="932"/>
      <c r="F643" s="875"/>
    </row>
    <row r="644" ht="15.75" customHeight="1">
      <c r="C644" s="932"/>
      <c r="F644" s="875"/>
    </row>
    <row r="645" ht="15.75" customHeight="1">
      <c r="C645" s="932"/>
      <c r="F645" s="875"/>
    </row>
    <row r="646" ht="15.75" customHeight="1">
      <c r="C646" s="932"/>
      <c r="F646" s="875"/>
    </row>
    <row r="647" ht="15.75" customHeight="1">
      <c r="C647" s="932"/>
      <c r="F647" s="875"/>
    </row>
    <row r="648" ht="15.75" customHeight="1">
      <c r="C648" s="932"/>
      <c r="F648" s="875"/>
    </row>
    <row r="649" ht="15.75" customHeight="1">
      <c r="C649" s="932"/>
      <c r="F649" s="875"/>
    </row>
    <row r="650" ht="15.75" customHeight="1">
      <c r="C650" s="932"/>
      <c r="F650" s="875"/>
    </row>
    <row r="651" ht="15.75" customHeight="1">
      <c r="C651" s="932"/>
      <c r="F651" s="875"/>
    </row>
    <row r="652" ht="15.75" customHeight="1">
      <c r="C652" s="932"/>
      <c r="F652" s="875"/>
    </row>
    <row r="653" ht="15.75" customHeight="1">
      <c r="C653" s="932"/>
      <c r="F653" s="875"/>
    </row>
    <row r="654" ht="15.75" customHeight="1">
      <c r="C654" s="932"/>
      <c r="F654" s="875"/>
    </row>
    <row r="655" ht="15.75" customHeight="1">
      <c r="C655" s="932"/>
      <c r="F655" s="875"/>
    </row>
    <row r="656" ht="15.75" customHeight="1">
      <c r="C656" s="932"/>
      <c r="F656" s="875"/>
    </row>
    <row r="657" ht="15.75" customHeight="1">
      <c r="C657" s="932"/>
      <c r="F657" s="875"/>
    </row>
    <row r="658" ht="15.75" customHeight="1">
      <c r="C658" s="932"/>
      <c r="F658" s="875"/>
    </row>
    <row r="659" ht="15.75" customHeight="1">
      <c r="C659" s="932"/>
      <c r="F659" s="875"/>
    </row>
    <row r="660" ht="15.75" customHeight="1">
      <c r="C660" s="932"/>
      <c r="F660" s="875"/>
    </row>
    <row r="661" ht="15.75" customHeight="1">
      <c r="C661" s="932"/>
      <c r="F661" s="875"/>
    </row>
    <row r="662" ht="15.75" customHeight="1">
      <c r="C662" s="932"/>
      <c r="F662" s="875"/>
    </row>
    <row r="663" ht="15.75" customHeight="1">
      <c r="C663" s="932"/>
      <c r="F663" s="875"/>
    </row>
    <row r="664" ht="15.75" customHeight="1">
      <c r="C664" s="932"/>
      <c r="F664" s="875"/>
    </row>
    <row r="665" ht="15.75" customHeight="1">
      <c r="C665" s="932"/>
      <c r="F665" s="875"/>
    </row>
    <row r="666" ht="15.75" customHeight="1">
      <c r="C666" s="932"/>
      <c r="F666" s="875"/>
    </row>
    <row r="667" ht="15.75" customHeight="1">
      <c r="C667" s="932"/>
      <c r="F667" s="875"/>
    </row>
    <row r="668" ht="15.75" customHeight="1">
      <c r="C668" s="932"/>
      <c r="F668" s="875"/>
    </row>
    <row r="669" ht="15.75" customHeight="1">
      <c r="C669" s="932"/>
      <c r="F669" s="875"/>
    </row>
    <row r="670" ht="15.75" customHeight="1">
      <c r="C670" s="932"/>
      <c r="F670" s="875"/>
    </row>
    <row r="671" ht="15.75" customHeight="1">
      <c r="C671" s="932"/>
      <c r="F671" s="875"/>
    </row>
    <row r="672" ht="15.75" customHeight="1">
      <c r="C672" s="932"/>
      <c r="F672" s="875"/>
    </row>
    <row r="673" ht="15.75" customHeight="1">
      <c r="C673" s="932"/>
      <c r="F673" s="875"/>
    </row>
    <row r="674" ht="15.75" customHeight="1">
      <c r="C674" s="932"/>
      <c r="F674" s="875"/>
    </row>
    <row r="675" ht="15.75" customHeight="1">
      <c r="C675" s="932"/>
      <c r="F675" s="875"/>
    </row>
    <row r="676" ht="15.75" customHeight="1">
      <c r="C676" s="932"/>
      <c r="F676" s="875"/>
    </row>
    <row r="677" ht="15.75" customHeight="1">
      <c r="C677" s="932"/>
      <c r="F677" s="875"/>
    </row>
    <row r="678" ht="15.75" customHeight="1">
      <c r="C678" s="932"/>
      <c r="F678" s="875"/>
    </row>
    <row r="679" ht="15.75" customHeight="1">
      <c r="C679" s="932"/>
      <c r="F679" s="875"/>
    </row>
    <row r="680" ht="15.75" customHeight="1">
      <c r="C680" s="932"/>
      <c r="F680" s="875"/>
    </row>
    <row r="681" ht="15.75" customHeight="1">
      <c r="C681" s="932"/>
      <c r="F681" s="875"/>
    </row>
    <row r="682" ht="15.75" customHeight="1">
      <c r="C682" s="932"/>
      <c r="F682" s="875"/>
    </row>
    <row r="683" ht="15.75" customHeight="1">
      <c r="C683" s="932"/>
      <c r="F683" s="875"/>
    </row>
    <row r="684" ht="15.75" customHeight="1">
      <c r="C684" s="932"/>
      <c r="F684" s="875"/>
    </row>
    <row r="685" ht="15.75" customHeight="1">
      <c r="C685" s="932"/>
      <c r="F685" s="875"/>
    </row>
    <row r="686" ht="15.75" customHeight="1">
      <c r="C686" s="932"/>
      <c r="F686" s="875"/>
    </row>
    <row r="687" ht="15.75" customHeight="1">
      <c r="C687" s="932"/>
      <c r="F687" s="875"/>
    </row>
    <row r="688" ht="15.75" customHeight="1">
      <c r="C688" s="932"/>
      <c r="F688" s="875"/>
    </row>
    <row r="689" ht="15.75" customHeight="1">
      <c r="C689" s="932"/>
      <c r="F689" s="875"/>
    </row>
    <row r="690" ht="15.75" customHeight="1">
      <c r="C690" s="932"/>
      <c r="F690" s="875"/>
    </row>
    <row r="691" ht="15.75" customHeight="1">
      <c r="C691" s="932"/>
      <c r="F691" s="875"/>
    </row>
    <row r="692" ht="15.75" customHeight="1">
      <c r="C692" s="932"/>
      <c r="F692" s="875"/>
    </row>
    <row r="693" ht="15.75" customHeight="1">
      <c r="C693" s="932"/>
      <c r="F693" s="875"/>
    </row>
    <row r="694" ht="15.75" customHeight="1">
      <c r="C694" s="932"/>
      <c r="F694" s="875"/>
    </row>
    <row r="695" ht="15.75" customHeight="1">
      <c r="C695" s="932"/>
      <c r="F695" s="875"/>
    </row>
    <row r="696" ht="15.75" customHeight="1">
      <c r="C696" s="932"/>
      <c r="F696" s="875"/>
    </row>
    <row r="697" ht="15.75" customHeight="1">
      <c r="C697" s="932"/>
      <c r="F697" s="875"/>
    </row>
    <row r="698" ht="15.75" customHeight="1">
      <c r="C698" s="932"/>
      <c r="F698" s="875"/>
    </row>
    <row r="699" ht="15.75" customHeight="1">
      <c r="C699" s="932"/>
      <c r="F699" s="875"/>
    </row>
    <row r="700" ht="15.75" customHeight="1">
      <c r="C700" s="932"/>
      <c r="F700" s="875"/>
    </row>
    <row r="701" ht="15.75" customHeight="1">
      <c r="C701" s="932"/>
      <c r="F701" s="875"/>
    </row>
    <row r="702" ht="15.75" customHeight="1">
      <c r="C702" s="932"/>
      <c r="F702" s="875"/>
    </row>
    <row r="703" ht="15.75" customHeight="1">
      <c r="C703" s="932"/>
      <c r="F703" s="875"/>
    </row>
    <row r="704" ht="15.75" customHeight="1">
      <c r="C704" s="932"/>
      <c r="F704" s="875"/>
    </row>
    <row r="705" ht="15.75" customHeight="1">
      <c r="C705" s="932"/>
      <c r="F705" s="875"/>
    </row>
    <row r="706" ht="15.75" customHeight="1">
      <c r="C706" s="932"/>
      <c r="F706" s="875"/>
    </row>
    <row r="707" ht="15.75" customHeight="1">
      <c r="C707" s="932"/>
      <c r="F707" s="875"/>
    </row>
    <row r="708" ht="15.75" customHeight="1">
      <c r="C708" s="932"/>
      <c r="F708" s="875"/>
    </row>
    <row r="709" ht="15.75" customHeight="1">
      <c r="C709" s="932"/>
      <c r="F709" s="875"/>
    </row>
    <row r="710" ht="15.75" customHeight="1">
      <c r="C710" s="932"/>
      <c r="F710" s="875"/>
    </row>
    <row r="711" ht="15.75" customHeight="1">
      <c r="C711" s="932"/>
      <c r="F711" s="875"/>
    </row>
    <row r="712" ht="15.75" customHeight="1">
      <c r="C712" s="932"/>
      <c r="F712" s="875"/>
    </row>
    <row r="713" ht="15.75" customHeight="1">
      <c r="C713" s="932"/>
      <c r="F713" s="875"/>
    </row>
    <row r="714" ht="15.75" customHeight="1">
      <c r="C714" s="932"/>
      <c r="F714" s="875"/>
    </row>
    <row r="715" ht="15.75" customHeight="1">
      <c r="C715" s="932"/>
      <c r="F715" s="875"/>
    </row>
    <row r="716" ht="15.75" customHeight="1">
      <c r="C716" s="932"/>
      <c r="F716" s="875"/>
    </row>
    <row r="717" ht="15.75" customHeight="1">
      <c r="C717" s="932"/>
      <c r="F717" s="875"/>
    </row>
    <row r="718" ht="15.75" customHeight="1">
      <c r="C718" s="932"/>
      <c r="F718" s="875"/>
    </row>
    <row r="719" ht="15.75" customHeight="1">
      <c r="C719" s="932"/>
      <c r="F719" s="875"/>
    </row>
    <row r="720" ht="15.75" customHeight="1">
      <c r="C720" s="932"/>
      <c r="F720" s="875"/>
    </row>
    <row r="721" ht="15.75" customHeight="1">
      <c r="C721" s="932"/>
      <c r="F721" s="875"/>
    </row>
    <row r="722" ht="15.75" customHeight="1">
      <c r="C722" s="932"/>
      <c r="F722" s="875"/>
    </row>
    <row r="723" ht="15.75" customHeight="1">
      <c r="C723" s="932"/>
      <c r="F723" s="875"/>
    </row>
    <row r="724" ht="15.75" customHeight="1">
      <c r="C724" s="932"/>
      <c r="F724" s="875"/>
    </row>
    <row r="725" ht="15.75" customHeight="1">
      <c r="C725" s="932"/>
      <c r="F725" s="875"/>
    </row>
    <row r="726" ht="15.75" customHeight="1">
      <c r="C726" s="932"/>
      <c r="F726" s="875"/>
    </row>
    <row r="727" ht="15.75" customHeight="1">
      <c r="C727" s="932"/>
      <c r="F727" s="875"/>
    </row>
    <row r="728" ht="15.75" customHeight="1">
      <c r="C728" s="932"/>
      <c r="F728" s="875"/>
    </row>
    <row r="729" ht="15.75" customHeight="1">
      <c r="C729" s="932"/>
      <c r="F729" s="875"/>
    </row>
    <row r="730" ht="15.75" customHeight="1">
      <c r="C730" s="932"/>
      <c r="F730" s="875"/>
    </row>
    <row r="731" ht="15.75" customHeight="1">
      <c r="C731" s="932"/>
      <c r="F731" s="875"/>
    </row>
    <row r="732" ht="15.75" customHeight="1">
      <c r="C732" s="932"/>
      <c r="F732" s="875"/>
    </row>
    <row r="733" ht="15.75" customHeight="1">
      <c r="C733" s="932"/>
      <c r="F733" s="875"/>
    </row>
    <row r="734" ht="15.75" customHeight="1">
      <c r="C734" s="932"/>
      <c r="F734" s="875"/>
    </row>
    <row r="735" ht="15.75" customHeight="1">
      <c r="C735" s="932"/>
      <c r="F735" s="875"/>
    </row>
    <row r="736" ht="15.75" customHeight="1">
      <c r="C736" s="932"/>
      <c r="F736" s="875"/>
    </row>
    <row r="737" ht="15.75" customHeight="1">
      <c r="C737" s="932"/>
      <c r="F737" s="875"/>
    </row>
    <row r="738" ht="15.75" customHeight="1">
      <c r="C738" s="932"/>
      <c r="F738" s="875"/>
    </row>
    <row r="739" ht="15.75" customHeight="1">
      <c r="C739" s="932"/>
      <c r="F739" s="875"/>
    </row>
    <row r="740" ht="15.75" customHeight="1">
      <c r="C740" s="932"/>
      <c r="F740" s="875"/>
    </row>
    <row r="741" ht="15.75" customHeight="1">
      <c r="C741" s="932"/>
      <c r="F741" s="875"/>
    </row>
    <row r="742" ht="15.75" customHeight="1">
      <c r="C742" s="932"/>
      <c r="F742" s="875"/>
    </row>
    <row r="743" ht="15.75" customHeight="1">
      <c r="C743" s="932"/>
      <c r="F743" s="875"/>
    </row>
    <row r="744" ht="15.75" customHeight="1">
      <c r="C744" s="932"/>
      <c r="F744" s="875"/>
    </row>
    <row r="745" ht="15.75" customHeight="1">
      <c r="C745" s="932"/>
      <c r="F745" s="875"/>
    </row>
    <row r="746" ht="15.75" customHeight="1">
      <c r="C746" s="932"/>
      <c r="F746" s="875"/>
    </row>
    <row r="747" ht="15.75" customHeight="1">
      <c r="C747" s="932"/>
      <c r="F747" s="875"/>
    </row>
    <row r="748" ht="15.75" customHeight="1">
      <c r="C748" s="932"/>
      <c r="F748" s="875"/>
    </row>
    <row r="749" ht="15.75" customHeight="1">
      <c r="C749" s="932"/>
      <c r="F749" s="875"/>
    </row>
    <row r="750" ht="15.75" customHeight="1">
      <c r="C750" s="932"/>
      <c r="F750" s="875"/>
    </row>
    <row r="751" ht="15.75" customHeight="1">
      <c r="C751" s="932"/>
      <c r="F751" s="875"/>
    </row>
    <row r="752" ht="15.75" customHeight="1">
      <c r="C752" s="932"/>
      <c r="F752" s="875"/>
    </row>
    <row r="753" ht="15.75" customHeight="1">
      <c r="C753" s="932"/>
      <c r="F753" s="875"/>
    </row>
    <row r="754" ht="15.75" customHeight="1">
      <c r="C754" s="932"/>
      <c r="F754" s="875"/>
    </row>
    <row r="755" ht="15.75" customHeight="1">
      <c r="C755" s="932"/>
      <c r="F755" s="875"/>
    </row>
    <row r="756" ht="15.75" customHeight="1">
      <c r="C756" s="932"/>
      <c r="F756" s="875"/>
    </row>
    <row r="757" ht="15.75" customHeight="1">
      <c r="C757" s="932"/>
      <c r="F757" s="875"/>
    </row>
    <row r="758" ht="15.75" customHeight="1">
      <c r="C758" s="932"/>
      <c r="F758" s="875"/>
    </row>
    <row r="759" ht="15.75" customHeight="1">
      <c r="C759" s="932"/>
      <c r="F759" s="875"/>
    </row>
    <row r="760" ht="15.75" customHeight="1">
      <c r="C760" s="932"/>
      <c r="F760" s="875"/>
    </row>
    <row r="761" ht="15.75" customHeight="1">
      <c r="C761" s="932"/>
      <c r="F761" s="875"/>
    </row>
    <row r="762" ht="15.75" customHeight="1">
      <c r="C762" s="932"/>
      <c r="F762" s="875"/>
    </row>
    <row r="763" ht="15.75" customHeight="1">
      <c r="C763" s="932"/>
      <c r="F763" s="875"/>
    </row>
    <row r="764" ht="15.75" customHeight="1">
      <c r="C764" s="932"/>
      <c r="F764" s="875"/>
    </row>
    <row r="765" ht="15.75" customHeight="1">
      <c r="C765" s="932"/>
      <c r="F765" s="875"/>
    </row>
    <row r="766" ht="15.75" customHeight="1">
      <c r="C766" s="932"/>
      <c r="F766" s="875"/>
    </row>
    <row r="767" ht="15.75" customHeight="1">
      <c r="C767" s="932"/>
      <c r="F767" s="875"/>
    </row>
    <row r="768" ht="15.75" customHeight="1">
      <c r="C768" s="932"/>
      <c r="F768" s="875"/>
    </row>
    <row r="769" ht="15.75" customHeight="1">
      <c r="C769" s="932"/>
      <c r="F769" s="875"/>
    </row>
    <row r="770" ht="15.75" customHeight="1">
      <c r="C770" s="932"/>
      <c r="F770" s="875"/>
    </row>
    <row r="771" ht="15.75" customHeight="1">
      <c r="C771" s="932"/>
      <c r="F771" s="875"/>
    </row>
    <row r="772" ht="15.75" customHeight="1">
      <c r="C772" s="932"/>
      <c r="F772" s="875"/>
    </row>
    <row r="773" ht="15.75" customHeight="1">
      <c r="C773" s="932"/>
      <c r="F773" s="875"/>
    </row>
    <row r="774" ht="15.75" customHeight="1">
      <c r="C774" s="932"/>
      <c r="F774" s="875"/>
    </row>
    <row r="775" ht="15.75" customHeight="1">
      <c r="C775" s="932"/>
      <c r="F775" s="875"/>
    </row>
    <row r="776" ht="15.75" customHeight="1">
      <c r="C776" s="932"/>
      <c r="F776" s="875"/>
    </row>
    <row r="777" ht="15.75" customHeight="1">
      <c r="C777" s="932"/>
      <c r="F777" s="875"/>
    </row>
    <row r="778" ht="15.75" customHeight="1">
      <c r="C778" s="932"/>
      <c r="F778" s="875"/>
    </row>
    <row r="779" ht="15.75" customHeight="1">
      <c r="C779" s="932"/>
      <c r="F779" s="875"/>
    </row>
    <row r="780" ht="15.75" customHeight="1">
      <c r="C780" s="932"/>
      <c r="F780" s="875"/>
    </row>
    <row r="781" ht="15.75" customHeight="1">
      <c r="C781" s="932"/>
      <c r="F781" s="875"/>
    </row>
    <row r="782" ht="15.75" customHeight="1">
      <c r="C782" s="932"/>
      <c r="F782" s="875"/>
    </row>
    <row r="783" ht="15.75" customHeight="1">
      <c r="C783" s="932"/>
      <c r="F783" s="875"/>
    </row>
    <row r="784" ht="15.75" customHeight="1">
      <c r="C784" s="932"/>
      <c r="F784" s="875"/>
    </row>
    <row r="785" ht="15.75" customHeight="1">
      <c r="C785" s="932"/>
      <c r="F785" s="875"/>
    </row>
    <row r="786" ht="15.75" customHeight="1">
      <c r="C786" s="932"/>
      <c r="F786" s="875"/>
    </row>
    <row r="787" ht="15.75" customHeight="1">
      <c r="C787" s="932"/>
      <c r="F787" s="875"/>
    </row>
    <row r="788" ht="15.75" customHeight="1">
      <c r="C788" s="932"/>
      <c r="F788" s="875"/>
    </row>
    <row r="789" ht="15.75" customHeight="1">
      <c r="C789" s="932"/>
      <c r="F789" s="875"/>
    </row>
    <row r="790" ht="15.75" customHeight="1">
      <c r="C790" s="932"/>
      <c r="F790" s="875"/>
    </row>
    <row r="791" ht="15.75" customHeight="1">
      <c r="C791" s="932"/>
      <c r="F791" s="875"/>
    </row>
    <row r="792" ht="15.75" customHeight="1">
      <c r="C792" s="932"/>
      <c r="F792" s="875"/>
    </row>
    <row r="793" ht="15.75" customHeight="1">
      <c r="C793" s="932"/>
      <c r="F793" s="875"/>
    </row>
    <row r="794" ht="15.75" customHeight="1">
      <c r="C794" s="932"/>
      <c r="F794" s="875"/>
    </row>
    <row r="795" ht="15.75" customHeight="1">
      <c r="C795" s="932"/>
      <c r="F795" s="875"/>
    </row>
    <row r="796" ht="15.75" customHeight="1">
      <c r="C796" s="932"/>
      <c r="F796" s="875"/>
    </row>
    <row r="797" ht="15.75" customHeight="1">
      <c r="C797" s="932"/>
      <c r="F797" s="875"/>
    </row>
    <row r="798" ht="15.75" customHeight="1">
      <c r="C798" s="932"/>
      <c r="F798" s="875"/>
    </row>
    <row r="799" ht="15.75" customHeight="1">
      <c r="C799" s="932"/>
      <c r="F799" s="875"/>
    </row>
    <row r="800" ht="15.75" customHeight="1">
      <c r="C800" s="932"/>
      <c r="F800" s="875"/>
    </row>
    <row r="801" ht="15.75" customHeight="1">
      <c r="C801" s="932"/>
      <c r="F801" s="875"/>
    </row>
    <row r="802" ht="15.75" customHeight="1">
      <c r="C802" s="932"/>
      <c r="F802" s="875"/>
    </row>
    <row r="803" ht="15.75" customHeight="1">
      <c r="C803" s="932"/>
      <c r="F803" s="875"/>
    </row>
    <row r="804" ht="15.75" customHeight="1">
      <c r="C804" s="932"/>
      <c r="F804" s="875"/>
    </row>
    <row r="805" ht="15.75" customHeight="1">
      <c r="C805" s="932"/>
      <c r="F805" s="875"/>
    </row>
    <row r="806" ht="15.75" customHeight="1">
      <c r="C806" s="932"/>
      <c r="F806" s="875"/>
    </row>
    <row r="807" ht="15.75" customHeight="1">
      <c r="C807" s="932"/>
      <c r="F807" s="875"/>
    </row>
    <row r="808" ht="15.75" customHeight="1">
      <c r="C808" s="932"/>
      <c r="F808" s="875"/>
    </row>
    <row r="809" ht="15.75" customHeight="1">
      <c r="C809" s="932"/>
      <c r="F809" s="875"/>
    </row>
    <row r="810" ht="15.75" customHeight="1">
      <c r="C810" s="932"/>
      <c r="F810" s="875"/>
    </row>
    <row r="811" ht="15.75" customHeight="1">
      <c r="C811" s="932"/>
      <c r="F811" s="875"/>
    </row>
    <row r="812" ht="15.75" customHeight="1">
      <c r="C812" s="932"/>
      <c r="F812" s="875"/>
    </row>
    <row r="813" ht="15.75" customHeight="1">
      <c r="C813" s="932"/>
      <c r="F813" s="875"/>
    </row>
    <row r="814" ht="15.75" customHeight="1">
      <c r="C814" s="932"/>
      <c r="F814" s="875"/>
    </row>
    <row r="815" ht="15.75" customHeight="1">
      <c r="C815" s="932"/>
      <c r="F815" s="875"/>
    </row>
    <row r="816" ht="15.75" customHeight="1">
      <c r="C816" s="932"/>
      <c r="F816" s="875"/>
    </row>
    <row r="817" ht="15.75" customHeight="1">
      <c r="C817" s="932"/>
      <c r="F817" s="875"/>
    </row>
    <row r="818" ht="15.75" customHeight="1">
      <c r="C818" s="932"/>
      <c r="F818" s="875"/>
    </row>
    <row r="819" ht="15.75" customHeight="1">
      <c r="C819" s="932"/>
      <c r="F819" s="875"/>
    </row>
    <row r="820" ht="15.75" customHeight="1">
      <c r="C820" s="932"/>
      <c r="F820" s="875"/>
    </row>
    <row r="821" ht="15.75" customHeight="1">
      <c r="C821" s="932"/>
      <c r="F821" s="875"/>
    </row>
    <row r="822" ht="15.75" customHeight="1">
      <c r="C822" s="932"/>
      <c r="F822" s="875"/>
    </row>
    <row r="823" ht="15.75" customHeight="1">
      <c r="C823" s="932"/>
      <c r="F823" s="875"/>
    </row>
    <row r="824" ht="15.75" customHeight="1">
      <c r="C824" s="932"/>
      <c r="F824" s="875"/>
    </row>
    <row r="825" ht="15.75" customHeight="1">
      <c r="C825" s="932"/>
      <c r="F825" s="875"/>
    </row>
    <row r="826" ht="15.75" customHeight="1">
      <c r="C826" s="932"/>
      <c r="F826" s="875"/>
    </row>
    <row r="827" ht="15.75" customHeight="1">
      <c r="C827" s="932"/>
      <c r="F827" s="875"/>
    </row>
    <row r="828" ht="15.75" customHeight="1">
      <c r="C828" s="932"/>
      <c r="F828" s="875"/>
    </row>
    <row r="829" ht="15.75" customHeight="1">
      <c r="C829" s="932"/>
      <c r="F829" s="875"/>
    </row>
    <row r="830" ht="15.75" customHeight="1">
      <c r="C830" s="932"/>
      <c r="F830" s="875"/>
    </row>
    <row r="831" ht="15.75" customHeight="1">
      <c r="C831" s="932"/>
      <c r="F831" s="875"/>
    </row>
    <row r="832" ht="15.75" customHeight="1">
      <c r="C832" s="932"/>
      <c r="F832" s="875"/>
    </row>
    <row r="833" ht="15.75" customHeight="1">
      <c r="C833" s="932"/>
      <c r="F833" s="875"/>
    </row>
    <row r="834" ht="15.75" customHeight="1">
      <c r="C834" s="932"/>
      <c r="F834" s="875"/>
    </row>
    <row r="835" ht="15.75" customHeight="1">
      <c r="C835" s="932"/>
      <c r="F835" s="875"/>
    </row>
    <row r="836" ht="15.75" customHeight="1">
      <c r="C836" s="932"/>
      <c r="F836" s="875"/>
    </row>
    <row r="837" ht="15.75" customHeight="1">
      <c r="C837" s="932"/>
      <c r="F837" s="875"/>
    </row>
    <row r="838" ht="15.75" customHeight="1">
      <c r="C838" s="932"/>
      <c r="F838" s="875"/>
    </row>
    <row r="839" ht="15.75" customHeight="1">
      <c r="C839" s="932"/>
      <c r="F839" s="875"/>
    </row>
    <row r="840" ht="15.75" customHeight="1">
      <c r="C840" s="932"/>
      <c r="F840" s="875"/>
    </row>
    <row r="841" ht="15.75" customHeight="1">
      <c r="C841" s="932"/>
      <c r="F841" s="875"/>
    </row>
    <row r="842" ht="15.75" customHeight="1">
      <c r="C842" s="932"/>
      <c r="F842" s="875"/>
    </row>
    <row r="843" ht="15.75" customHeight="1">
      <c r="C843" s="932"/>
      <c r="F843" s="875"/>
    </row>
    <row r="844" ht="15.75" customHeight="1">
      <c r="C844" s="932"/>
      <c r="F844" s="875"/>
    </row>
    <row r="845" ht="15.75" customHeight="1">
      <c r="C845" s="932"/>
      <c r="F845" s="875"/>
    </row>
    <row r="846" ht="15.75" customHeight="1">
      <c r="C846" s="932"/>
      <c r="F846" s="875"/>
    </row>
    <row r="847" ht="15.75" customHeight="1">
      <c r="C847" s="932"/>
      <c r="F847" s="875"/>
    </row>
    <row r="848" ht="15.75" customHeight="1">
      <c r="C848" s="932"/>
      <c r="F848" s="875"/>
    </row>
    <row r="849" ht="15.75" customHeight="1">
      <c r="C849" s="932"/>
      <c r="F849" s="875"/>
    </row>
    <row r="850" ht="15.75" customHeight="1">
      <c r="C850" s="932"/>
      <c r="F850" s="875"/>
    </row>
    <row r="851" ht="15.75" customHeight="1">
      <c r="C851" s="932"/>
      <c r="F851" s="875"/>
    </row>
    <row r="852" ht="15.75" customHeight="1">
      <c r="C852" s="932"/>
      <c r="F852" s="875"/>
    </row>
    <row r="853" ht="15.75" customHeight="1">
      <c r="C853" s="932"/>
      <c r="F853" s="875"/>
    </row>
    <row r="854" ht="15.75" customHeight="1">
      <c r="C854" s="932"/>
      <c r="F854" s="875"/>
    </row>
    <row r="855" ht="15.75" customHeight="1">
      <c r="C855" s="932"/>
      <c r="F855" s="875"/>
    </row>
    <row r="856" ht="15.75" customHeight="1">
      <c r="C856" s="932"/>
      <c r="F856" s="875"/>
    </row>
    <row r="857" ht="15.75" customHeight="1">
      <c r="C857" s="932"/>
      <c r="F857" s="875"/>
    </row>
    <row r="858" ht="15.75" customHeight="1">
      <c r="C858" s="932"/>
      <c r="F858" s="875"/>
    </row>
    <row r="859" ht="15.75" customHeight="1">
      <c r="C859" s="932"/>
      <c r="F859" s="875"/>
    </row>
    <row r="860" ht="15.75" customHeight="1">
      <c r="C860" s="932"/>
      <c r="F860" s="875"/>
    </row>
    <row r="861" ht="15.75" customHeight="1">
      <c r="C861" s="932"/>
      <c r="F861" s="875"/>
    </row>
    <row r="862" ht="15.75" customHeight="1">
      <c r="C862" s="932"/>
      <c r="F862" s="875"/>
    </row>
    <row r="863" ht="15.75" customHeight="1">
      <c r="C863" s="932"/>
      <c r="F863" s="875"/>
    </row>
    <row r="864" ht="15.75" customHeight="1">
      <c r="C864" s="932"/>
      <c r="F864" s="875"/>
    </row>
    <row r="865" ht="15.75" customHeight="1">
      <c r="C865" s="932"/>
      <c r="F865" s="875"/>
    </row>
    <row r="866" ht="15.75" customHeight="1">
      <c r="C866" s="932"/>
      <c r="F866" s="875"/>
    </row>
    <row r="867" ht="15.75" customHeight="1">
      <c r="C867" s="932"/>
      <c r="F867" s="875"/>
    </row>
    <row r="868" ht="15.75" customHeight="1">
      <c r="C868" s="932"/>
      <c r="F868" s="875"/>
    </row>
    <row r="869" ht="15.75" customHeight="1">
      <c r="C869" s="932"/>
      <c r="F869" s="875"/>
    </row>
    <row r="870" ht="15.75" customHeight="1">
      <c r="C870" s="932"/>
      <c r="F870" s="875"/>
    </row>
    <row r="871" ht="15.75" customHeight="1">
      <c r="C871" s="932"/>
      <c r="F871" s="875"/>
    </row>
    <row r="872" ht="15.75" customHeight="1">
      <c r="C872" s="932"/>
      <c r="F872" s="875"/>
    </row>
    <row r="873" ht="15.75" customHeight="1">
      <c r="C873" s="932"/>
      <c r="F873" s="875"/>
    </row>
    <row r="874" ht="15.75" customHeight="1">
      <c r="C874" s="932"/>
      <c r="F874" s="875"/>
    </row>
    <row r="875" ht="15.75" customHeight="1">
      <c r="C875" s="932"/>
      <c r="F875" s="875"/>
    </row>
    <row r="876" ht="15.75" customHeight="1">
      <c r="C876" s="932"/>
      <c r="F876" s="875"/>
    </row>
    <row r="877" ht="15.75" customHeight="1">
      <c r="C877" s="932"/>
      <c r="F877" s="875"/>
    </row>
    <row r="878" ht="15.75" customHeight="1">
      <c r="C878" s="932"/>
      <c r="F878" s="875"/>
    </row>
    <row r="879" ht="15.75" customHeight="1">
      <c r="C879" s="932"/>
      <c r="F879" s="875"/>
    </row>
    <row r="880" ht="15.75" customHeight="1">
      <c r="C880" s="932"/>
      <c r="F880" s="875"/>
    </row>
    <row r="881" ht="15.75" customHeight="1">
      <c r="C881" s="932"/>
      <c r="F881" s="875"/>
    </row>
    <row r="882" ht="15.75" customHeight="1">
      <c r="C882" s="932"/>
      <c r="F882" s="875"/>
    </row>
    <row r="883" ht="15.75" customHeight="1">
      <c r="C883" s="932"/>
      <c r="F883" s="875"/>
    </row>
    <row r="884" ht="15.75" customHeight="1">
      <c r="C884" s="932"/>
      <c r="F884" s="875"/>
    </row>
    <row r="885" ht="15.75" customHeight="1">
      <c r="C885" s="932"/>
      <c r="F885" s="875"/>
    </row>
    <row r="886" ht="15.75" customHeight="1">
      <c r="C886" s="932"/>
      <c r="F886" s="875"/>
    </row>
    <row r="887" ht="15.75" customHeight="1">
      <c r="C887" s="932"/>
      <c r="F887" s="875"/>
    </row>
    <row r="888" ht="15.75" customHeight="1">
      <c r="C888" s="932"/>
      <c r="F888" s="875"/>
    </row>
    <row r="889" ht="15.75" customHeight="1">
      <c r="C889" s="932"/>
      <c r="F889" s="875"/>
    </row>
    <row r="890" ht="15.75" customHeight="1">
      <c r="C890" s="932"/>
      <c r="F890" s="875"/>
    </row>
    <row r="891" ht="15.75" customHeight="1">
      <c r="C891" s="932"/>
      <c r="F891" s="875"/>
    </row>
    <row r="892" ht="15.75" customHeight="1">
      <c r="C892" s="932"/>
      <c r="F892" s="875"/>
    </row>
    <row r="893" ht="15.75" customHeight="1">
      <c r="C893" s="932"/>
      <c r="F893" s="875"/>
    </row>
    <row r="894" ht="15.75" customHeight="1">
      <c r="C894" s="932"/>
      <c r="F894" s="875"/>
    </row>
    <row r="895" ht="15.75" customHeight="1">
      <c r="C895" s="932"/>
      <c r="F895" s="875"/>
    </row>
    <row r="896" ht="15.75" customHeight="1">
      <c r="C896" s="932"/>
      <c r="F896" s="875"/>
    </row>
    <row r="897" ht="15.75" customHeight="1">
      <c r="C897" s="932"/>
      <c r="F897" s="875"/>
    </row>
    <row r="898" ht="15.75" customHeight="1">
      <c r="C898" s="932"/>
      <c r="F898" s="875"/>
    </row>
    <row r="899" ht="15.75" customHeight="1">
      <c r="C899" s="932"/>
      <c r="F899" s="875"/>
    </row>
    <row r="900" ht="15.75" customHeight="1">
      <c r="C900" s="932"/>
      <c r="F900" s="875"/>
    </row>
    <row r="901" ht="15.75" customHeight="1">
      <c r="C901" s="932"/>
      <c r="F901" s="875"/>
    </row>
    <row r="902" ht="15.75" customHeight="1">
      <c r="C902" s="932"/>
      <c r="F902" s="875"/>
    </row>
    <row r="903" ht="15.75" customHeight="1">
      <c r="C903" s="932"/>
      <c r="F903" s="875"/>
    </row>
    <row r="904" ht="15.75" customHeight="1">
      <c r="C904" s="932"/>
      <c r="F904" s="875"/>
    </row>
    <row r="905" ht="15.75" customHeight="1">
      <c r="C905" s="932"/>
      <c r="F905" s="875"/>
    </row>
    <row r="906" ht="15.75" customHeight="1">
      <c r="C906" s="932"/>
      <c r="F906" s="875"/>
    </row>
    <row r="907" ht="15.75" customHeight="1">
      <c r="C907" s="932"/>
      <c r="F907" s="875"/>
    </row>
    <row r="908" ht="15.75" customHeight="1">
      <c r="C908" s="932"/>
      <c r="F908" s="875"/>
    </row>
    <row r="909" ht="15.75" customHeight="1">
      <c r="C909" s="932"/>
      <c r="F909" s="875"/>
    </row>
    <row r="910" ht="15.75" customHeight="1">
      <c r="C910" s="932"/>
      <c r="F910" s="875"/>
    </row>
    <row r="911" ht="15.75" customHeight="1">
      <c r="C911" s="932"/>
      <c r="F911" s="875"/>
    </row>
    <row r="912" ht="15.75" customHeight="1">
      <c r="C912" s="932"/>
      <c r="F912" s="875"/>
    </row>
    <row r="913" ht="15.75" customHeight="1">
      <c r="C913" s="932"/>
      <c r="F913" s="875"/>
    </row>
    <row r="914" ht="15.75" customHeight="1">
      <c r="C914" s="932"/>
      <c r="F914" s="875"/>
    </row>
    <row r="915" ht="15.75" customHeight="1">
      <c r="C915" s="932"/>
      <c r="F915" s="875"/>
    </row>
    <row r="916" ht="15.75" customHeight="1">
      <c r="C916" s="932"/>
      <c r="F916" s="875"/>
    </row>
    <row r="917" ht="15.75" customHeight="1">
      <c r="C917" s="932"/>
      <c r="F917" s="875"/>
    </row>
    <row r="918" ht="15.75" customHeight="1">
      <c r="C918" s="932"/>
      <c r="F918" s="875"/>
    </row>
    <row r="919" ht="15.75" customHeight="1">
      <c r="C919" s="932"/>
      <c r="F919" s="875"/>
    </row>
    <row r="920" ht="15.75" customHeight="1">
      <c r="C920" s="932"/>
      <c r="F920" s="875"/>
    </row>
    <row r="921" ht="15.75" customHeight="1">
      <c r="C921" s="932"/>
      <c r="F921" s="875"/>
    </row>
    <row r="922" ht="15.75" customHeight="1">
      <c r="C922" s="932"/>
      <c r="F922" s="875"/>
    </row>
    <row r="923" ht="15.75" customHeight="1">
      <c r="C923" s="932"/>
      <c r="F923" s="875"/>
    </row>
    <row r="924" ht="15.75" customHeight="1">
      <c r="C924" s="932"/>
      <c r="F924" s="875"/>
    </row>
    <row r="925" ht="15.75" customHeight="1">
      <c r="C925" s="932"/>
      <c r="F925" s="875"/>
    </row>
    <row r="926" ht="15.75" customHeight="1">
      <c r="C926" s="932"/>
      <c r="F926" s="875"/>
    </row>
    <row r="927" ht="15.75" customHeight="1">
      <c r="C927" s="932"/>
      <c r="F927" s="875"/>
    </row>
    <row r="928" ht="15.75" customHeight="1">
      <c r="C928" s="932"/>
      <c r="F928" s="875"/>
    </row>
    <row r="929" ht="15.75" customHeight="1">
      <c r="C929" s="932"/>
      <c r="F929" s="875"/>
    </row>
    <row r="930" ht="15.75" customHeight="1">
      <c r="C930" s="932"/>
      <c r="F930" s="875"/>
    </row>
    <row r="931" ht="15.75" customHeight="1">
      <c r="C931" s="932"/>
      <c r="F931" s="875"/>
    </row>
    <row r="932" ht="15.75" customHeight="1">
      <c r="C932" s="932"/>
      <c r="F932" s="875"/>
    </row>
    <row r="933" ht="15.75" customHeight="1">
      <c r="C933" s="932"/>
      <c r="F933" s="875"/>
    </row>
    <row r="934" ht="15.75" customHeight="1">
      <c r="C934" s="932"/>
      <c r="F934" s="875"/>
    </row>
    <row r="935" ht="15.75" customHeight="1">
      <c r="C935" s="932"/>
      <c r="F935" s="875"/>
    </row>
    <row r="936" ht="15.75" customHeight="1">
      <c r="C936" s="932"/>
      <c r="F936" s="875"/>
    </row>
    <row r="937" ht="15.75" customHeight="1">
      <c r="C937" s="932"/>
      <c r="F937" s="875"/>
    </row>
    <row r="938" ht="15.75" customHeight="1">
      <c r="C938" s="932"/>
      <c r="F938" s="875"/>
    </row>
    <row r="939" ht="15.75" customHeight="1">
      <c r="C939" s="932"/>
      <c r="F939" s="875"/>
    </row>
    <row r="940" ht="15.75" customHeight="1">
      <c r="C940" s="932"/>
      <c r="F940" s="875"/>
    </row>
    <row r="941" ht="15.75" customHeight="1">
      <c r="C941" s="932"/>
      <c r="F941" s="875"/>
    </row>
    <row r="942" ht="15.75" customHeight="1">
      <c r="C942" s="932"/>
      <c r="F942" s="875"/>
    </row>
    <row r="943" ht="15.75" customHeight="1">
      <c r="C943" s="932"/>
      <c r="F943" s="875"/>
    </row>
    <row r="944" ht="15.75" customHeight="1">
      <c r="C944" s="932"/>
      <c r="F944" s="875"/>
    </row>
    <row r="945" ht="15.75" customHeight="1">
      <c r="C945" s="932"/>
      <c r="F945" s="875"/>
    </row>
    <row r="946" ht="15.75" customHeight="1">
      <c r="C946" s="932"/>
      <c r="F946" s="875"/>
    </row>
    <row r="947" ht="15.75" customHeight="1">
      <c r="C947" s="932"/>
      <c r="F947" s="875"/>
    </row>
    <row r="948" ht="15.75" customHeight="1">
      <c r="C948" s="932"/>
      <c r="F948" s="875"/>
    </row>
    <row r="949" ht="15.75" customHeight="1">
      <c r="C949" s="932"/>
      <c r="F949" s="875"/>
    </row>
    <row r="950" ht="15.75" customHeight="1">
      <c r="C950" s="932"/>
      <c r="F950" s="875"/>
    </row>
    <row r="951" ht="15.75" customHeight="1">
      <c r="C951" s="932"/>
      <c r="F951" s="875"/>
    </row>
    <row r="952" ht="15.75" customHeight="1">
      <c r="C952" s="932"/>
      <c r="F952" s="875"/>
    </row>
    <row r="953" ht="15.75" customHeight="1">
      <c r="C953" s="932"/>
      <c r="F953" s="875"/>
    </row>
    <row r="954" ht="15.75" customHeight="1">
      <c r="C954" s="932"/>
      <c r="F954" s="875"/>
    </row>
    <row r="955" ht="15.75" customHeight="1">
      <c r="C955" s="932"/>
      <c r="F955" s="875"/>
    </row>
    <row r="956" ht="15.75" customHeight="1">
      <c r="C956" s="932"/>
      <c r="F956" s="875"/>
    </row>
    <row r="957" ht="15.75" customHeight="1">
      <c r="C957" s="932"/>
      <c r="F957" s="875"/>
    </row>
    <row r="958" ht="15.75" customHeight="1">
      <c r="C958" s="932"/>
      <c r="F958" s="875"/>
    </row>
    <row r="959" ht="15.75" customHeight="1">
      <c r="C959" s="932"/>
      <c r="F959" s="875"/>
    </row>
    <row r="960" ht="15.75" customHeight="1">
      <c r="C960" s="932"/>
      <c r="F960" s="875"/>
    </row>
    <row r="961" ht="15.75" customHeight="1">
      <c r="C961" s="932"/>
      <c r="F961" s="875"/>
    </row>
    <row r="962" ht="15.75" customHeight="1">
      <c r="C962" s="932"/>
      <c r="F962" s="875"/>
    </row>
    <row r="963" ht="15.75" customHeight="1">
      <c r="C963" s="932"/>
      <c r="F963" s="875"/>
    </row>
    <row r="964" ht="15.75" customHeight="1">
      <c r="C964" s="932"/>
      <c r="F964" s="875"/>
    </row>
    <row r="965" ht="15.75" customHeight="1">
      <c r="C965" s="932"/>
      <c r="F965" s="875"/>
    </row>
    <row r="966" ht="15.75" customHeight="1">
      <c r="C966" s="932"/>
      <c r="F966" s="875"/>
    </row>
    <row r="967" ht="15.75" customHeight="1">
      <c r="C967" s="932"/>
      <c r="F967" s="875"/>
    </row>
    <row r="968" ht="15.75" customHeight="1">
      <c r="C968" s="932"/>
      <c r="F968" s="875"/>
    </row>
    <row r="969" ht="15.75" customHeight="1">
      <c r="C969" s="932"/>
      <c r="F969" s="875"/>
    </row>
    <row r="970" ht="15.75" customHeight="1">
      <c r="C970" s="932"/>
      <c r="F970" s="875"/>
    </row>
    <row r="971" ht="15.75" customHeight="1">
      <c r="C971" s="932"/>
      <c r="F971" s="875"/>
    </row>
    <row r="972" ht="15.75" customHeight="1">
      <c r="C972" s="932"/>
      <c r="F972" s="875"/>
    </row>
    <row r="973" ht="15.75" customHeight="1">
      <c r="C973" s="932"/>
      <c r="F973" s="875"/>
    </row>
    <row r="974" ht="15.75" customHeight="1">
      <c r="C974" s="932"/>
      <c r="F974" s="875"/>
    </row>
    <row r="975" ht="15.75" customHeight="1">
      <c r="C975" s="932"/>
      <c r="F975" s="875"/>
    </row>
    <row r="976" ht="15.75" customHeight="1">
      <c r="C976" s="932"/>
      <c r="F976" s="875"/>
    </row>
    <row r="977" ht="15.75" customHeight="1">
      <c r="C977" s="932"/>
      <c r="F977" s="875"/>
    </row>
    <row r="978" ht="15.75" customHeight="1">
      <c r="C978" s="932"/>
      <c r="F978" s="875"/>
    </row>
    <row r="979" ht="15.75" customHeight="1">
      <c r="C979" s="932"/>
      <c r="F979" s="875"/>
    </row>
    <row r="980" ht="15.75" customHeight="1">
      <c r="C980" s="932"/>
      <c r="F980" s="875"/>
    </row>
    <row r="981" ht="15.75" customHeight="1">
      <c r="C981" s="932"/>
      <c r="F981" s="875"/>
    </row>
    <row r="982" ht="15.75" customHeight="1">
      <c r="C982" s="932"/>
      <c r="F982" s="875"/>
    </row>
    <row r="983" ht="15.75" customHeight="1">
      <c r="C983" s="932"/>
      <c r="F983" s="875"/>
    </row>
    <row r="984" ht="15.75" customHeight="1">
      <c r="C984" s="932"/>
      <c r="F984" s="875"/>
    </row>
    <row r="985" ht="15.75" customHeight="1">
      <c r="C985" s="932"/>
      <c r="F985" s="875"/>
    </row>
    <row r="986" ht="15.75" customHeight="1">
      <c r="C986" s="932"/>
      <c r="F986" s="875"/>
    </row>
    <row r="987" ht="15.75" customHeight="1">
      <c r="C987" s="932"/>
      <c r="F987" s="875"/>
    </row>
    <row r="988" ht="15.75" customHeight="1">
      <c r="C988" s="932"/>
      <c r="F988" s="875"/>
    </row>
    <row r="989" ht="15.75" customHeight="1">
      <c r="C989" s="932"/>
      <c r="F989" s="875"/>
    </row>
    <row r="990" ht="15.75" customHeight="1">
      <c r="C990" s="932"/>
      <c r="F990" s="875"/>
    </row>
    <row r="991" ht="15.75" customHeight="1">
      <c r="C991" s="932"/>
      <c r="F991" s="875"/>
    </row>
    <row r="992" ht="15.75" customHeight="1">
      <c r="C992" s="932"/>
      <c r="F992" s="875"/>
    </row>
    <row r="993" ht="15.75" customHeight="1">
      <c r="C993" s="932"/>
      <c r="F993" s="875"/>
    </row>
    <row r="994" ht="15.75" customHeight="1">
      <c r="C994" s="932"/>
      <c r="F994" s="875"/>
    </row>
    <row r="995" ht="15.75" customHeight="1">
      <c r="C995" s="932"/>
      <c r="F995" s="875"/>
    </row>
    <row r="996" ht="15.75" customHeight="1">
      <c r="C996" s="932"/>
      <c r="F996" s="875"/>
    </row>
    <row r="997" ht="15.75" customHeight="1">
      <c r="C997" s="932"/>
      <c r="F997" s="875"/>
    </row>
    <row r="998" ht="15.75" customHeight="1">
      <c r="C998" s="932"/>
      <c r="F998" s="875"/>
    </row>
    <row r="999" ht="15.75" customHeight="1">
      <c r="C999" s="932"/>
      <c r="F999" s="875"/>
    </row>
    <row r="1000" ht="15.75" customHeight="1">
      <c r="C1000" s="932"/>
      <c r="F1000" s="875"/>
    </row>
  </sheetData>
  <conditionalFormatting sqref="A2:A78 B1:B73 E1:E55 E60 E71:E78 G1:G55 G60:G78">
    <cfRule type="containsBlanks" dxfId="0" priority="1">
      <formula>LEN(TRIM(A2))=0</formula>
    </cfRule>
  </conditionalFormatting>
  <dataValidations>
    <dataValidation type="list" allowBlank="1" showErrorMessage="1" sqref="D1:D78">
      <formula1>Sheet1!$A$1:$A$24</formula1>
    </dataValidation>
  </dataValidations>
  <printOptions/>
  <pageMargins bottom="0.75" footer="0.0" header="0.0" left="0.7" right="0.7" top="0.75"/>
  <pageSetup fitToHeight="0"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41.71"/>
    <col customWidth="1" hidden="1" min="3" max="3" width="19.43"/>
    <col customWidth="1" hidden="1" min="4" max="4" width="4.29"/>
    <col customWidth="1" min="5" max="5" width="8.86"/>
    <col customWidth="1" hidden="1" min="6" max="6" width="31.29"/>
    <col customWidth="1" min="7" max="26" width="8.86"/>
  </cols>
  <sheetData>
    <row r="1" ht="15.75" customHeight="1">
      <c r="A1" s="1" t="s">
        <v>0</v>
      </c>
      <c r="B1" s="927" t="s">
        <v>2</v>
      </c>
      <c r="C1" s="927" t="s">
        <v>3</v>
      </c>
      <c r="D1" s="927" t="s">
        <v>4</v>
      </c>
      <c r="E1" s="927" t="s">
        <v>4</v>
      </c>
      <c r="F1" s="927" t="s">
        <v>8</v>
      </c>
      <c r="G1" s="4" t="s">
        <v>13</v>
      </c>
      <c r="H1" s="933"/>
      <c r="I1" s="934"/>
      <c r="J1" s="934"/>
      <c r="K1" s="934"/>
      <c r="L1" s="934"/>
      <c r="M1" s="934"/>
      <c r="N1" s="934"/>
      <c r="O1" s="934"/>
      <c r="P1" s="934"/>
      <c r="Q1" s="934"/>
      <c r="R1" s="934"/>
      <c r="S1" s="934"/>
      <c r="T1" s="934"/>
      <c r="U1" s="934"/>
      <c r="V1" s="934"/>
      <c r="W1" s="934"/>
      <c r="X1" s="934"/>
      <c r="Y1" s="934"/>
      <c r="Z1" s="934"/>
    </row>
    <row r="2" ht="34.5" customHeight="1">
      <c r="A2" s="6">
        <v>1.0</v>
      </c>
      <c r="B2" s="935" t="s">
        <v>3737</v>
      </c>
      <c r="C2" s="936" t="s">
        <v>1156</v>
      </c>
      <c r="D2" s="10">
        <v>10.0</v>
      </c>
      <c r="E2" s="10">
        <v>500.0</v>
      </c>
      <c r="F2" s="937" t="s">
        <v>1157</v>
      </c>
      <c r="G2" s="6" t="e">
        <v>#VALUE!</v>
      </c>
      <c r="H2" s="591"/>
      <c r="I2" s="934"/>
      <c r="J2" s="934"/>
      <c r="K2" s="934"/>
      <c r="L2" s="934"/>
      <c r="M2" s="934"/>
      <c r="N2" s="934"/>
      <c r="O2" s="934"/>
      <c r="P2" s="934"/>
      <c r="Q2" s="934"/>
      <c r="R2" s="934"/>
      <c r="S2" s="934"/>
      <c r="T2" s="934"/>
      <c r="U2" s="934"/>
      <c r="V2" s="934"/>
      <c r="W2" s="934"/>
      <c r="X2" s="934"/>
      <c r="Y2" s="934"/>
      <c r="Z2" s="934"/>
    </row>
    <row r="3" ht="34.5" customHeight="1">
      <c r="A3" s="6">
        <v>2.0</v>
      </c>
      <c r="B3" s="938" t="s">
        <v>3738</v>
      </c>
      <c r="C3" s="936" t="s">
        <v>1156</v>
      </c>
      <c r="D3" s="937">
        <v>5.0</v>
      </c>
      <c r="E3" s="10">
        <v>250.0</v>
      </c>
      <c r="F3" s="937" t="s">
        <v>1157</v>
      </c>
      <c r="G3" s="6" t="e">
        <v>#VALUE!</v>
      </c>
      <c r="H3" s="591"/>
      <c r="I3" s="934"/>
      <c r="J3" s="934"/>
      <c r="K3" s="934"/>
      <c r="L3" s="934"/>
      <c r="M3" s="934"/>
      <c r="N3" s="934"/>
      <c r="O3" s="934"/>
      <c r="P3" s="934"/>
      <c r="Q3" s="934"/>
      <c r="R3" s="934"/>
      <c r="S3" s="934"/>
      <c r="T3" s="934"/>
      <c r="U3" s="934"/>
      <c r="V3" s="934"/>
      <c r="W3" s="934"/>
      <c r="X3" s="934"/>
      <c r="Y3" s="934"/>
      <c r="Z3" s="934"/>
    </row>
    <row r="4" ht="34.5" customHeight="1">
      <c r="A4" s="6">
        <v>3.0</v>
      </c>
      <c r="B4" s="938" t="s">
        <v>3739</v>
      </c>
      <c r="C4" s="936" t="s">
        <v>1156</v>
      </c>
      <c r="D4" s="10">
        <v>10.0</v>
      </c>
      <c r="E4" s="10">
        <v>500.0</v>
      </c>
      <c r="F4" s="937" t="s">
        <v>1157</v>
      </c>
      <c r="G4" s="6" t="e">
        <v>#VALUE!</v>
      </c>
      <c r="H4" s="591"/>
      <c r="I4" s="934"/>
      <c r="J4" s="934"/>
      <c r="K4" s="934"/>
      <c r="L4" s="934"/>
      <c r="M4" s="934"/>
      <c r="N4" s="934"/>
      <c r="O4" s="934"/>
      <c r="P4" s="934"/>
      <c r="Q4" s="934"/>
      <c r="R4" s="934"/>
      <c r="S4" s="934"/>
      <c r="T4" s="934"/>
      <c r="U4" s="934"/>
      <c r="V4" s="934"/>
      <c r="W4" s="934"/>
      <c r="X4" s="934"/>
      <c r="Y4" s="934"/>
      <c r="Z4" s="934"/>
    </row>
    <row r="5" ht="34.5" customHeight="1">
      <c r="A5" s="6">
        <v>4.0</v>
      </c>
      <c r="B5" s="935" t="s">
        <v>1168</v>
      </c>
      <c r="C5" s="936" t="s">
        <v>1156</v>
      </c>
      <c r="D5" s="937">
        <v>2.0</v>
      </c>
      <c r="E5" s="10">
        <v>100.0</v>
      </c>
      <c r="F5" s="937" t="s">
        <v>1157</v>
      </c>
      <c r="G5" s="6" t="e">
        <v>#VALUE!</v>
      </c>
      <c r="H5" s="591"/>
      <c r="I5" s="934"/>
      <c r="J5" s="934"/>
      <c r="K5" s="934"/>
      <c r="L5" s="934"/>
      <c r="M5" s="934"/>
      <c r="N5" s="934"/>
      <c r="O5" s="934"/>
      <c r="P5" s="934"/>
      <c r="Q5" s="934"/>
      <c r="R5" s="934"/>
      <c r="S5" s="934"/>
      <c r="T5" s="934"/>
      <c r="U5" s="934"/>
      <c r="V5" s="934"/>
      <c r="W5" s="934"/>
      <c r="X5" s="934"/>
      <c r="Y5" s="934"/>
      <c r="Z5" s="934"/>
    </row>
    <row r="6" ht="34.5" customHeight="1">
      <c r="A6" s="6">
        <v>5.0</v>
      </c>
      <c r="B6" s="935" t="s">
        <v>3740</v>
      </c>
      <c r="C6" s="936" t="s">
        <v>1156</v>
      </c>
      <c r="D6" s="17">
        <v>2.0</v>
      </c>
      <c r="E6" s="10">
        <v>100.0</v>
      </c>
      <c r="F6" s="937" t="s">
        <v>1157</v>
      </c>
      <c r="G6" s="6" t="e">
        <v>#VALUE!</v>
      </c>
      <c r="H6" s="591"/>
      <c r="I6" s="934"/>
      <c r="J6" s="934"/>
      <c r="K6" s="934"/>
      <c r="L6" s="934"/>
      <c r="M6" s="934"/>
      <c r="N6" s="934"/>
      <c r="O6" s="934"/>
      <c r="P6" s="934"/>
      <c r="Q6" s="934"/>
      <c r="R6" s="934"/>
      <c r="S6" s="934"/>
      <c r="T6" s="934"/>
      <c r="U6" s="934"/>
      <c r="V6" s="934"/>
      <c r="W6" s="934"/>
      <c r="X6" s="934"/>
      <c r="Y6" s="934"/>
      <c r="Z6" s="934"/>
    </row>
    <row r="7" ht="34.5" customHeight="1">
      <c r="A7" s="6">
        <v>6.0</v>
      </c>
      <c r="B7" s="935" t="s">
        <v>1176</v>
      </c>
      <c r="C7" s="936" t="s">
        <v>1156</v>
      </c>
      <c r="D7" s="10">
        <v>5.0</v>
      </c>
      <c r="E7" s="10">
        <f>D7*45</f>
        <v>225</v>
      </c>
      <c r="F7" s="937" t="s">
        <v>1157</v>
      </c>
      <c r="G7" s="6" t="e">
        <v>#VALUE!</v>
      </c>
      <c r="H7" s="591"/>
      <c r="I7" s="934"/>
      <c r="J7" s="934"/>
      <c r="K7" s="934"/>
      <c r="L7" s="934"/>
      <c r="M7" s="934"/>
      <c r="N7" s="934"/>
      <c r="O7" s="934"/>
      <c r="P7" s="934"/>
      <c r="Q7" s="934"/>
      <c r="R7" s="934"/>
      <c r="S7" s="934"/>
      <c r="T7" s="934"/>
      <c r="U7" s="934"/>
      <c r="V7" s="934"/>
      <c r="W7" s="934"/>
      <c r="X7" s="934"/>
      <c r="Y7" s="934"/>
      <c r="Z7" s="934"/>
    </row>
    <row r="8" ht="34.5" customHeight="1">
      <c r="A8" s="6">
        <v>7.0</v>
      </c>
      <c r="B8" s="935" t="s">
        <v>1184</v>
      </c>
      <c r="C8" s="936" t="s">
        <v>1156</v>
      </c>
      <c r="D8" s="937">
        <v>1.0</v>
      </c>
      <c r="E8" s="10">
        <v>50.0</v>
      </c>
      <c r="F8" s="937" t="s">
        <v>1157</v>
      </c>
      <c r="G8" s="6" t="e">
        <v>#VALUE!</v>
      </c>
      <c r="H8" s="591"/>
      <c r="I8" s="934"/>
      <c r="J8" s="934"/>
      <c r="K8" s="934"/>
      <c r="L8" s="934"/>
      <c r="M8" s="934"/>
      <c r="N8" s="934"/>
      <c r="O8" s="934"/>
      <c r="P8" s="934"/>
      <c r="Q8" s="934"/>
      <c r="R8" s="934"/>
      <c r="S8" s="934"/>
      <c r="T8" s="934"/>
      <c r="U8" s="934"/>
      <c r="V8" s="934"/>
      <c r="W8" s="934"/>
      <c r="X8" s="934"/>
      <c r="Y8" s="934"/>
      <c r="Z8" s="934"/>
    </row>
    <row r="9" ht="34.5" customHeight="1">
      <c r="A9" s="6">
        <v>8.0</v>
      </c>
      <c r="B9" s="935" t="s">
        <v>3741</v>
      </c>
      <c r="C9" s="936" t="s">
        <v>1156</v>
      </c>
      <c r="D9" s="10">
        <v>1.0</v>
      </c>
      <c r="E9" s="10">
        <f t="shared" ref="E9:E10" si="1">D9*45</f>
        <v>45</v>
      </c>
      <c r="F9" s="937" t="s">
        <v>1157</v>
      </c>
      <c r="G9" s="6" t="e">
        <v>#VALUE!</v>
      </c>
      <c r="H9" s="591"/>
      <c r="I9" s="934"/>
      <c r="J9" s="934"/>
      <c r="K9" s="934"/>
      <c r="L9" s="934"/>
      <c r="M9" s="934"/>
      <c r="N9" s="934"/>
      <c r="O9" s="934"/>
      <c r="P9" s="934"/>
      <c r="Q9" s="934"/>
      <c r="R9" s="934"/>
      <c r="S9" s="934"/>
      <c r="T9" s="934"/>
      <c r="U9" s="934"/>
      <c r="V9" s="934"/>
      <c r="W9" s="934"/>
      <c r="X9" s="934"/>
      <c r="Y9" s="934"/>
      <c r="Z9" s="934"/>
    </row>
    <row r="10" ht="34.5" customHeight="1">
      <c r="A10" s="6">
        <v>9.0</v>
      </c>
      <c r="B10" s="935" t="s">
        <v>1192</v>
      </c>
      <c r="C10" s="936" t="s">
        <v>1156</v>
      </c>
      <c r="D10" s="937">
        <v>1.0</v>
      </c>
      <c r="E10" s="10">
        <f t="shared" si="1"/>
        <v>45</v>
      </c>
      <c r="F10" s="937" t="s">
        <v>1157</v>
      </c>
      <c r="G10" s="6" t="e">
        <v>#VALUE!</v>
      </c>
      <c r="H10" s="591"/>
      <c r="I10" s="934"/>
      <c r="J10" s="934"/>
      <c r="K10" s="934"/>
      <c r="L10" s="934"/>
      <c r="M10" s="934"/>
      <c r="N10" s="934"/>
      <c r="O10" s="934"/>
      <c r="P10" s="934"/>
      <c r="Q10" s="934"/>
      <c r="R10" s="934"/>
      <c r="S10" s="934"/>
      <c r="T10" s="934"/>
      <c r="U10" s="934"/>
      <c r="V10" s="934"/>
      <c r="W10" s="934"/>
      <c r="X10" s="934"/>
      <c r="Y10" s="934"/>
      <c r="Z10" s="934"/>
    </row>
    <row r="11" ht="34.5" customHeight="1">
      <c r="A11" s="6">
        <v>10.0</v>
      </c>
      <c r="B11" s="935" t="s">
        <v>3742</v>
      </c>
      <c r="C11" s="936" t="s">
        <v>1156</v>
      </c>
      <c r="D11" s="10">
        <v>2.0</v>
      </c>
      <c r="E11" s="10">
        <v>100.0</v>
      </c>
      <c r="F11" s="937" t="s">
        <v>1157</v>
      </c>
      <c r="G11" s="6" t="e">
        <v>#VALUE!</v>
      </c>
      <c r="H11" s="591"/>
      <c r="I11" s="934"/>
      <c r="J11" s="934"/>
      <c r="K11" s="934"/>
      <c r="L11" s="934"/>
      <c r="M11" s="934"/>
      <c r="N11" s="934"/>
      <c r="O11" s="934"/>
      <c r="P11" s="934"/>
      <c r="Q11" s="934"/>
      <c r="R11" s="934"/>
      <c r="S11" s="934"/>
      <c r="T11" s="934"/>
      <c r="U11" s="934"/>
      <c r="V11" s="934"/>
      <c r="W11" s="934"/>
      <c r="X11" s="934"/>
      <c r="Y11" s="934"/>
      <c r="Z11" s="934"/>
    </row>
    <row r="12" ht="34.5" customHeight="1">
      <c r="A12" s="6">
        <v>11.0</v>
      </c>
      <c r="B12" s="938" t="s">
        <v>3743</v>
      </c>
      <c r="C12" s="936" t="s">
        <v>1156</v>
      </c>
      <c r="D12" s="10">
        <v>2.0</v>
      </c>
      <c r="E12" s="10">
        <v>100.0</v>
      </c>
      <c r="F12" s="937" t="s">
        <v>1157</v>
      </c>
      <c r="G12" s="6" t="e">
        <v>#VALUE!</v>
      </c>
      <c r="H12" s="591"/>
      <c r="I12" s="934"/>
      <c r="J12" s="934"/>
      <c r="K12" s="934"/>
      <c r="L12" s="934"/>
      <c r="M12" s="934"/>
      <c r="N12" s="934"/>
      <c r="O12" s="934"/>
      <c r="P12" s="934"/>
      <c r="Q12" s="934"/>
      <c r="R12" s="934"/>
      <c r="S12" s="934"/>
      <c r="T12" s="934"/>
      <c r="U12" s="934"/>
      <c r="V12" s="934"/>
      <c r="W12" s="934"/>
      <c r="X12" s="934"/>
      <c r="Y12" s="934"/>
      <c r="Z12" s="934"/>
    </row>
    <row r="13" ht="34.5" customHeight="1">
      <c r="A13" s="6">
        <v>12.0</v>
      </c>
      <c r="B13" s="938" t="s">
        <v>3744</v>
      </c>
      <c r="C13" s="936" t="s">
        <v>1156</v>
      </c>
      <c r="D13" s="10">
        <v>30.0</v>
      </c>
      <c r="E13" s="10">
        <v>1200.0</v>
      </c>
      <c r="F13" s="937" t="s">
        <v>1157</v>
      </c>
      <c r="G13" s="6" t="e">
        <v>#VALUE!</v>
      </c>
      <c r="H13" s="591"/>
      <c r="I13" s="934"/>
      <c r="J13" s="934"/>
      <c r="K13" s="934"/>
      <c r="L13" s="934"/>
      <c r="M13" s="934"/>
      <c r="N13" s="934"/>
      <c r="O13" s="934"/>
      <c r="P13" s="934"/>
      <c r="Q13" s="934"/>
      <c r="R13" s="934"/>
      <c r="S13" s="934"/>
      <c r="T13" s="934"/>
      <c r="U13" s="934"/>
      <c r="V13" s="934"/>
      <c r="W13" s="934"/>
      <c r="X13" s="934"/>
      <c r="Y13" s="934"/>
      <c r="Z13" s="934"/>
    </row>
    <row r="14" ht="34.5" customHeight="1">
      <c r="A14" s="6">
        <v>13.0</v>
      </c>
      <c r="B14" s="935" t="s">
        <v>1209</v>
      </c>
      <c r="C14" s="936" t="s">
        <v>1156</v>
      </c>
      <c r="D14" s="937">
        <v>2.0</v>
      </c>
      <c r="E14" s="10">
        <v>100.0</v>
      </c>
      <c r="F14" s="937" t="s">
        <v>1157</v>
      </c>
      <c r="G14" s="6" t="e">
        <v>#VALUE!</v>
      </c>
      <c r="H14" s="591"/>
      <c r="I14" s="934"/>
      <c r="J14" s="934"/>
      <c r="K14" s="934"/>
      <c r="L14" s="934"/>
      <c r="M14" s="934"/>
      <c r="N14" s="934"/>
      <c r="O14" s="934"/>
      <c r="P14" s="934"/>
      <c r="Q14" s="934"/>
      <c r="R14" s="934"/>
      <c r="S14" s="934"/>
      <c r="T14" s="934"/>
      <c r="U14" s="934"/>
      <c r="V14" s="934"/>
      <c r="W14" s="934"/>
      <c r="X14" s="934"/>
      <c r="Y14" s="934"/>
      <c r="Z14" s="934"/>
    </row>
    <row r="15" ht="34.5" customHeight="1">
      <c r="A15" s="6">
        <v>14.0</v>
      </c>
      <c r="B15" s="935" t="s">
        <v>1213</v>
      </c>
      <c r="C15" s="936" t="s">
        <v>1156</v>
      </c>
      <c r="D15" s="10">
        <v>10.0</v>
      </c>
      <c r="E15" s="10">
        <f t="shared" ref="E15:E18" si="2">D15*45</f>
        <v>450</v>
      </c>
      <c r="F15" s="937" t="s">
        <v>1157</v>
      </c>
      <c r="G15" s="6" t="e">
        <v>#VALUE!</v>
      </c>
      <c r="H15" s="591"/>
      <c r="I15" s="934"/>
      <c r="J15" s="934"/>
      <c r="K15" s="934"/>
      <c r="L15" s="934"/>
      <c r="M15" s="934"/>
      <c r="N15" s="934"/>
      <c r="O15" s="934"/>
      <c r="P15" s="934"/>
      <c r="Q15" s="934"/>
      <c r="R15" s="934"/>
      <c r="S15" s="934"/>
      <c r="T15" s="934"/>
      <c r="U15" s="934"/>
      <c r="V15" s="934"/>
      <c r="W15" s="934"/>
      <c r="X15" s="934"/>
      <c r="Y15" s="934"/>
      <c r="Z15" s="934"/>
    </row>
    <row r="16" ht="34.5" customHeight="1">
      <c r="A16" s="6">
        <v>15.0</v>
      </c>
      <c r="B16" s="938" t="s">
        <v>3745</v>
      </c>
      <c r="C16" s="936" t="s">
        <v>1156</v>
      </c>
      <c r="D16" s="10">
        <v>10.0</v>
      </c>
      <c r="E16" s="10">
        <f t="shared" si="2"/>
        <v>450</v>
      </c>
      <c r="F16" s="937" t="s">
        <v>1157</v>
      </c>
      <c r="G16" s="6" t="e">
        <v>#VALUE!</v>
      </c>
      <c r="H16" s="591"/>
      <c r="I16" s="934"/>
      <c r="J16" s="934"/>
      <c r="K16" s="934"/>
      <c r="L16" s="934"/>
      <c r="M16" s="934"/>
      <c r="N16" s="934"/>
      <c r="O16" s="934"/>
      <c r="P16" s="934"/>
      <c r="Q16" s="934"/>
      <c r="R16" s="934"/>
      <c r="S16" s="934"/>
      <c r="T16" s="934"/>
      <c r="U16" s="934"/>
      <c r="V16" s="934"/>
      <c r="W16" s="934"/>
      <c r="X16" s="934"/>
      <c r="Y16" s="934"/>
      <c r="Z16" s="934"/>
    </row>
    <row r="17" ht="34.5" customHeight="1">
      <c r="A17" s="6">
        <v>16.0</v>
      </c>
      <c r="B17" s="938" t="s">
        <v>1225</v>
      </c>
      <c r="C17" s="936" t="s">
        <v>1156</v>
      </c>
      <c r="D17" s="10">
        <v>50.0</v>
      </c>
      <c r="E17" s="10">
        <f t="shared" si="2"/>
        <v>2250</v>
      </c>
      <c r="F17" s="937" t="s">
        <v>1157</v>
      </c>
      <c r="G17" s="6" t="e">
        <v>#VALUE!</v>
      </c>
      <c r="H17" s="591"/>
      <c r="I17" s="934"/>
      <c r="J17" s="934"/>
      <c r="K17" s="934"/>
      <c r="L17" s="934"/>
      <c r="M17" s="934"/>
      <c r="N17" s="934"/>
      <c r="O17" s="934"/>
      <c r="P17" s="934"/>
      <c r="Q17" s="934"/>
      <c r="R17" s="934"/>
      <c r="S17" s="934"/>
      <c r="T17" s="934"/>
      <c r="U17" s="934"/>
      <c r="V17" s="934"/>
      <c r="W17" s="934"/>
      <c r="X17" s="934"/>
      <c r="Y17" s="934"/>
      <c r="Z17" s="934"/>
    </row>
    <row r="18" ht="34.5" customHeight="1">
      <c r="A18" s="6">
        <v>17.0</v>
      </c>
      <c r="B18" s="935" t="s">
        <v>1229</v>
      </c>
      <c r="C18" s="936" t="s">
        <v>1156</v>
      </c>
      <c r="D18" s="937">
        <v>1.0</v>
      </c>
      <c r="E18" s="10">
        <f t="shared" si="2"/>
        <v>45</v>
      </c>
      <c r="F18" s="937" t="s">
        <v>1157</v>
      </c>
      <c r="G18" s="6" t="e">
        <v>#VALUE!</v>
      </c>
      <c r="H18" s="591"/>
      <c r="I18" s="934"/>
      <c r="J18" s="934"/>
      <c r="K18" s="934"/>
      <c r="L18" s="934"/>
      <c r="M18" s="934"/>
      <c r="N18" s="934"/>
      <c r="O18" s="934"/>
      <c r="P18" s="934"/>
      <c r="Q18" s="934"/>
      <c r="R18" s="934"/>
      <c r="S18" s="934"/>
      <c r="T18" s="934"/>
      <c r="U18" s="934"/>
      <c r="V18" s="934"/>
      <c r="W18" s="934"/>
      <c r="X18" s="934"/>
      <c r="Y18" s="934"/>
      <c r="Z18" s="934"/>
    </row>
    <row r="19" ht="34.5" customHeight="1">
      <c r="A19" s="6">
        <v>18.0</v>
      </c>
      <c r="B19" s="938" t="s">
        <v>3746</v>
      </c>
      <c r="C19" s="936" t="s">
        <v>1156</v>
      </c>
      <c r="D19" s="10">
        <v>10.0</v>
      </c>
      <c r="E19" s="10">
        <v>500.0</v>
      </c>
      <c r="F19" s="937" t="s">
        <v>1157</v>
      </c>
      <c r="G19" s="6" t="e">
        <v>#VALUE!</v>
      </c>
      <c r="H19" s="591"/>
      <c r="I19" s="934"/>
      <c r="J19" s="934"/>
      <c r="K19" s="934"/>
      <c r="L19" s="934"/>
      <c r="M19" s="934"/>
      <c r="N19" s="934"/>
      <c r="O19" s="934"/>
      <c r="P19" s="934"/>
      <c r="Q19" s="934"/>
      <c r="R19" s="934"/>
      <c r="S19" s="934"/>
      <c r="T19" s="934"/>
      <c r="U19" s="934"/>
      <c r="V19" s="934"/>
      <c r="W19" s="934"/>
      <c r="X19" s="934"/>
      <c r="Y19" s="934"/>
      <c r="Z19" s="934"/>
    </row>
    <row r="20" ht="34.5" customHeight="1">
      <c r="A20" s="6">
        <v>19.0</v>
      </c>
      <c r="B20" s="935" t="s">
        <v>1237</v>
      </c>
      <c r="C20" s="936" t="s">
        <v>1156</v>
      </c>
      <c r="D20" s="10">
        <v>1.0</v>
      </c>
      <c r="E20" s="10">
        <v>50.0</v>
      </c>
      <c r="F20" s="937" t="s">
        <v>1157</v>
      </c>
      <c r="G20" s="6" t="e">
        <v>#VALUE!</v>
      </c>
      <c r="H20" s="591"/>
      <c r="I20" s="934"/>
      <c r="J20" s="934"/>
      <c r="K20" s="934"/>
      <c r="L20" s="934"/>
      <c r="M20" s="934"/>
      <c r="N20" s="934"/>
      <c r="O20" s="934"/>
      <c r="P20" s="934"/>
      <c r="Q20" s="934"/>
      <c r="R20" s="934"/>
      <c r="S20" s="934"/>
      <c r="T20" s="934"/>
      <c r="U20" s="934"/>
      <c r="V20" s="934"/>
      <c r="W20" s="934"/>
      <c r="X20" s="934"/>
      <c r="Y20" s="934"/>
      <c r="Z20" s="934"/>
    </row>
    <row r="21" ht="34.5" customHeight="1">
      <c r="A21" s="6">
        <v>20.0</v>
      </c>
      <c r="B21" s="938" t="s">
        <v>1241</v>
      </c>
      <c r="C21" s="936" t="s">
        <v>1156</v>
      </c>
      <c r="D21" s="10">
        <v>2.0</v>
      </c>
      <c r="E21" s="10">
        <v>100.0</v>
      </c>
      <c r="F21" s="937" t="s">
        <v>1157</v>
      </c>
      <c r="G21" s="6" t="e">
        <v>#VALUE!</v>
      </c>
      <c r="H21" s="591"/>
      <c r="I21" s="934"/>
      <c r="J21" s="934"/>
      <c r="K21" s="934"/>
      <c r="L21" s="934"/>
      <c r="M21" s="934"/>
      <c r="N21" s="934"/>
      <c r="O21" s="934"/>
      <c r="P21" s="934"/>
      <c r="Q21" s="934"/>
      <c r="R21" s="934"/>
      <c r="S21" s="934"/>
      <c r="T21" s="934"/>
      <c r="U21" s="934"/>
      <c r="V21" s="934"/>
      <c r="W21" s="934"/>
      <c r="X21" s="934"/>
      <c r="Y21" s="934"/>
      <c r="Z21" s="934"/>
    </row>
    <row r="22" ht="34.5" customHeight="1">
      <c r="A22" s="6">
        <v>21.0</v>
      </c>
      <c r="B22" s="217" t="s">
        <v>1245</v>
      </c>
      <c r="C22" s="936" t="s">
        <v>1156</v>
      </c>
      <c r="D22" s="937">
        <v>10.0</v>
      </c>
      <c r="E22" s="10">
        <f t="shared" ref="E22:E31" si="3">D22*45</f>
        <v>450</v>
      </c>
      <c r="F22" s="937" t="s">
        <v>1157</v>
      </c>
      <c r="G22" s="6" t="e">
        <v>#VALUE!</v>
      </c>
      <c r="H22" s="591"/>
      <c r="I22" s="934"/>
      <c r="J22" s="934"/>
      <c r="K22" s="934"/>
      <c r="L22" s="934"/>
      <c r="M22" s="934"/>
      <c r="N22" s="934"/>
      <c r="O22" s="934"/>
      <c r="P22" s="934"/>
      <c r="Q22" s="934"/>
      <c r="R22" s="934"/>
      <c r="S22" s="934"/>
      <c r="T22" s="934"/>
      <c r="U22" s="934"/>
      <c r="V22" s="934"/>
      <c r="W22" s="934"/>
      <c r="X22" s="934"/>
      <c r="Y22" s="934"/>
      <c r="Z22" s="934"/>
    </row>
    <row r="23" ht="34.5" customHeight="1">
      <c r="A23" s="6">
        <v>22.0</v>
      </c>
      <c r="B23" s="935" t="s">
        <v>1270</v>
      </c>
      <c r="C23" s="936" t="s">
        <v>1250</v>
      </c>
      <c r="D23" s="937">
        <v>1.0</v>
      </c>
      <c r="E23" s="10">
        <f t="shared" si="3"/>
        <v>45</v>
      </c>
      <c r="F23" s="937" t="s">
        <v>1157</v>
      </c>
      <c r="G23" s="6" t="e">
        <v>#VALUE!</v>
      </c>
      <c r="H23" s="591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4"/>
      <c r="W23" s="934"/>
      <c r="X23" s="934"/>
      <c r="Y23" s="934"/>
      <c r="Z23" s="934"/>
    </row>
    <row r="24" ht="34.5" customHeight="1">
      <c r="A24" s="6">
        <v>23.0</v>
      </c>
      <c r="B24" s="938" t="s">
        <v>1285</v>
      </c>
      <c r="C24" s="936" t="s">
        <v>1250</v>
      </c>
      <c r="D24" s="937">
        <v>1.0</v>
      </c>
      <c r="E24" s="10">
        <f t="shared" si="3"/>
        <v>45</v>
      </c>
      <c r="F24" s="937" t="s">
        <v>1157</v>
      </c>
      <c r="G24" s="6" t="e">
        <v>#VALUE!</v>
      </c>
      <c r="H24" s="591"/>
      <c r="I24" s="934"/>
      <c r="J24" s="934"/>
      <c r="K24" s="934"/>
      <c r="L24" s="934"/>
      <c r="M24" s="934"/>
      <c r="N24" s="934"/>
      <c r="O24" s="934"/>
      <c r="P24" s="934"/>
      <c r="Q24" s="934"/>
      <c r="R24" s="934"/>
      <c r="S24" s="934"/>
      <c r="T24" s="934"/>
      <c r="U24" s="934"/>
      <c r="V24" s="934"/>
      <c r="W24" s="934"/>
      <c r="X24" s="934"/>
      <c r="Y24" s="934"/>
      <c r="Z24" s="934"/>
    </row>
    <row r="25" ht="34.5" customHeight="1">
      <c r="A25" s="6">
        <v>24.0</v>
      </c>
      <c r="B25" s="938" t="s">
        <v>1302</v>
      </c>
      <c r="C25" s="936" t="s">
        <v>1250</v>
      </c>
      <c r="D25" s="10">
        <v>1.0</v>
      </c>
      <c r="E25" s="10">
        <f t="shared" si="3"/>
        <v>45</v>
      </c>
      <c r="F25" s="937" t="s">
        <v>1157</v>
      </c>
      <c r="G25" s="6" t="e">
        <v>#VALUE!</v>
      </c>
      <c r="H25" s="591"/>
      <c r="I25" s="934"/>
      <c r="J25" s="934"/>
      <c r="K25" s="934"/>
      <c r="L25" s="934"/>
      <c r="M25" s="934"/>
      <c r="N25" s="934"/>
      <c r="O25" s="934"/>
      <c r="P25" s="934"/>
      <c r="Q25" s="934"/>
      <c r="R25" s="934"/>
      <c r="S25" s="934"/>
      <c r="T25" s="934"/>
      <c r="U25" s="934"/>
      <c r="V25" s="934"/>
      <c r="W25" s="934"/>
      <c r="X25" s="934"/>
      <c r="Y25" s="934"/>
      <c r="Z25" s="934"/>
    </row>
    <row r="26" ht="34.5" customHeight="1">
      <c r="A26" s="6">
        <v>25.0</v>
      </c>
      <c r="B26" s="938" t="s">
        <v>1306</v>
      </c>
      <c r="C26" s="936" t="s">
        <v>1250</v>
      </c>
      <c r="D26" s="10">
        <v>1.0</v>
      </c>
      <c r="E26" s="10">
        <f t="shared" si="3"/>
        <v>45</v>
      </c>
      <c r="F26" s="937" t="s">
        <v>1157</v>
      </c>
      <c r="G26" s="6" t="e">
        <v>#VALUE!</v>
      </c>
      <c r="H26" s="591"/>
      <c r="I26" s="934"/>
      <c r="J26" s="934"/>
      <c r="K26" s="934"/>
      <c r="L26" s="934"/>
      <c r="M26" s="934"/>
      <c r="N26" s="934"/>
      <c r="O26" s="934"/>
      <c r="P26" s="934"/>
      <c r="Q26" s="934"/>
      <c r="R26" s="934"/>
      <c r="S26" s="934"/>
      <c r="T26" s="934"/>
      <c r="U26" s="934"/>
      <c r="V26" s="934"/>
      <c r="W26" s="934"/>
      <c r="X26" s="934"/>
      <c r="Y26" s="934"/>
      <c r="Z26" s="934"/>
    </row>
    <row r="27" ht="34.5" customHeight="1">
      <c r="A27" s="6">
        <v>26.0</v>
      </c>
      <c r="B27" s="938" t="s">
        <v>3747</v>
      </c>
      <c r="C27" s="936" t="s">
        <v>1250</v>
      </c>
      <c r="D27" s="937">
        <v>1.0</v>
      </c>
      <c r="E27" s="10">
        <f t="shared" si="3"/>
        <v>45</v>
      </c>
      <c r="F27" s="937" t="s">
        <v>1157</v>
      </c>
      <c r="G27" s="6" t="e">
        <v>#VALUE!</v>
      </c>
      <c r="H27" s="591"/>
      <c r="I27" s="934"/>
      <c r="J27" s="934"/>
      <c r="K27" s="934"/>
      <c r="L27" s="934"/>
      <c r="M27" s="934"/>
      <c r="N27" s="934"/>
      <c r="O27" s="934"/>
      <c r="P27" s="934"/>
      <c r="Q27" s="934"/>
      <c r="R27" s="934"/>
      <c r="S27" s="934"/>
      <c r="T27" s="934"/>
      <c r="U27" s="934"/>
      <c r="V27" s="934"/>
      <c r="W27" s="934"/>
      <c r="X27" s="934"/>
      <c r="Y27" s="934"/>
      <c r="Z27" s="934"/>
    </row>
    <row r="28" ht="34.5" customHeight="1">
      <c r="A28" s="6">
        <v>27.0</v>
      </c>
      <c r="B28" s="935" t="s">
        <v>1318</v>
      </c>
      <c r="C28" s="936" t="s">
        <v>1250</v>
      </c>
      <c r="D28" s="10">
        <v>2.0</v>
      </c>
      <c r="E28" s="10">
        <f t="shared" si="3"/>
        <v>90</v>
      </c>
      <c r="F28" s="937" t="s">
        <v>1157</v>
      </c>
      <c r="G28" s="6" t="e">
        <v>#VALUE!</v>
      </c>
      <c r="H28" s="591"/>
      <c r="I28" s="934"/>
      <c r="J28" s="934"/>
      <c r="K28" s="934"/>
      <c r="L28" s="934"/>
      <c r="M28" s="934"/>
      <c r="N28" s="934"/>
      <c r="O28" s="934"/>
      <c r="P28" s="934"/>
      <c r="Q28" s="934"/>
      <c r="R28" s="934"/>
      <c r="S28" s="934"/>
      <c r="T28" s="934"/>
      <c r="U28" s="934"/>
      <c r="V28" s="934"/>
      <c r="W28" s="934"/>
      <c r="X28" s="934"/>
      <c r="Y28" s="934"/>
      <c r="Z28" s="934"/>
    </row>
    <row r="29" ht="34.5" customHeight="1">
      <c r="A29" s="6">
        <v>28.0</v>
      </c>
      <c r="B29" s="938" t="s">
        <v>1325</v>
      </c>
      <c r="C29" s="936" t="s">
        <v>1250</v>
      </c>
      <c r="D29" s="10">
        <v>1.0</v>
      </c>
      <c r="E29" s="10">
        <f t="shared" si="3"/>
        <v>45</v>
      </c>
      <c r="F29" s="937" t="s">
        <v>347</v>
      </c>
      <c r="G29" s="6" t="e">
        <v>#VALUE!</v>
      </c>
      <c r="H29" s="591"/>
      <c r="I29" s="934"/>
      <c r="J29" s="934"/>
      <c r="K29" s="934"/>
      <c r="L29" s="934"/>
      <c r="M29" s="934"/>
      <c r="N29" s="934"/>
      <c r="O29" s="934"/>
      <c r="P29" s="934"/>
      <c r="Q29" s="934"/>
      <c r="R29" s="934"/>
      <c r="S29" s="934"/>
      <c r="T29" s="934"/>
      <c r="U29" s="934"/>
      <c r="V29" s="934"/>
      <c r="W29" s="934"/>
      <c r="X29" s="934"/>
      <c r="Y29" s="934"/>
      <c r="Z29" s="934"/>
    </row>
    <row r="30" ht="34.5" customHeight="1">
      <c r="A30" s="6">
        <v>29.0</v>
      </c>
      <c r="B30" s="938" t="s">
        <v>1489</v>
      </c>
      <c r="C30" s="936" t="s">
        <v>1476</v>
      </c>
      <c r="D30" s="937">
        <v>5.0</v>
      </c>
      <c r="E30" s="10">
        <f t="shared" si="3"/>
        <v>225</v>
      </c>
      <c r="F30" s="937" t="s">
        <v>1477</v>
      </c>
      <c r="G30" s="6" t="e">
        <v>#VALUE!</v>
      </c>
      <c r="H30" s="934"/>
      <c r="I30" s="934"/>
      <c r="J30" s="934"/>
      <c r="K30" s="934"/>
      <c r="L30" s="934"/>
      <c r="M30" s="934"/>
      <c r="N30" s="934"/>
      <c r="O30" s="934"/>
      <c r="P30" s="934"/>
      <c r="Q30" s="934"/>
      <c r="R30" s="934"/>
      <c r="S30" s="934"/>
      <c r="T30" s="934"/>
      <c r="U30" s="934"/>
      <c r="V30" s="934"/>
      <c r="W30" s="934"/>
      <c r="X30" s="934"/>
      <c r="Y30" s="934"/>
      <c r="Z30" s="934"/>
    </row>
    <row r="31" ht="34.5" customHeight="1">
      <c r="A31" s="6">
        <v>30.0</v>
      </c>
      <c r="B31" s="938" t="s">
        <v>2490</v>
      </c>
      <c r="C31" s="936" t="s">
        <v>1476</v>
      </c>
      <c r="D31" s="937">
        <v>5.0</v>
      </c>
      <c r="E31" s="10">
        <f t="shared" si="3"/>
        <v>225</v>
      </c>
      <c r="F31" s="937" t="s">
        <v>1477</v>
      </c>
      <c r="G31" s="6" t="e">
        <v>#VALUE!</v>
      </c>
      <c r="H31" s="934"/>
      <c r="I31" s="934"/>
      <c r="J31" s="934"/>
      <c r="K31" s="934"/>
      <c r="L31" s="934"/>
      <c r="M31" s="934"/>
      <c r="N31" s="934"/>
      <c r="O31" s="934"/>
      <c r="P31" s="934"/>
      <c r="Q31" s="934"/>
      <c r="R31" s="934"/>
      <c r="S31" s="934"/>
      <c r="T31" s="934"/>
      <c r="U31" s="934"/>
      <c r="V31" s="934"/>
      <c r="W31" s="934"/>
      <c r="X31" s="934"/>
      <c r="Y31" s="934"/>
      <c r="Z31" s="934"/>
    </row>
    <row r="32" ht="15.75" customHeight="1">
      <c r="A32" s="571"/>
      <c r="B32" s="934"/>
      <c r="C32" s="934"/>
      <c r="D32" s="934"/>
      <c r="E32" s="934"/>
      <c r="F32" s="934"/>
      <c r="G32" s="571"/>
      <c r="H32" s="934"/>
      <c r="I32" s="934"/>
      <c r="J32" s="934"/>
      <c r="K32" s="934"/>
      <c r="L32" s="934"/>
      <c r="M32" s="934"/>
      <c r="N32" s="934"/>
      <c r="O32" s="934"/>
      <c r="P32" s="934"/>
      <c r="Q32" s="934"/>
      <c r="R32" s="934"/>
      <c r="S32" s="934"/>
      <c r="T32" s="934"/>
      <c r="U32" s="934"/>
      <c r="V32" s="934"/>
      <c r="W32" s="934"/>
      <c r="X32" s="934"/>
      <c r="Y32" s="934"/>
      <c r="Z32" s="934"/>
    </row>
    <row r="33" ht="15.75" customHeight="1">
      <c r="A33" s="571"/>
      <c r="B33" s="934"/>
      <c r="C33" s="934"/>
      <c r="D33" s="934"/>
      <c r="E33" s="934"/>
      <c r="F33" s="934"/>
      <c r="G33" s="571"/>
      <c r="H33" s="934"/>
      <c r="I33" s="934"/>
      <c r="J33" s="934"/>
      <c r="K33" s="934"/>
      <c r="L33" s="934"/>
      <c r="M33" s="934"/>
      <c r="N33" s="934"/>
      <c r="O33" s="934"/>
      <c r="P33" s="934"/>
      <c r="Q33" s="934"/>
      <c r="R33" s="934"/>
      <c r="S33" s="934"/>
      <c r="T33" s="934"/>
      <c r="U33" s="934"/>
      <c r="V33" s="934"/>
      <c r="W33" s="934"/>
      <c r="X33" s="934"/>
      <c r="Y33" s="934"/>
      <c r="Z33" s="934"/>
    </row>
    <row r="34" ht="15.75" customHeight="1">
      <c r="A34" s="571"/>
      <c r="B34" s="934"/>
      <c r="C34" s="934"/>
      <c r="D34" s="934"/>
      <c r="E34" s="934"/>
      <c r="F34" s="934"/>
      <c r="G34" s="571"/>
      <c r="H34" s="934"/>
      <c r="I34" s="934"/>
      <c r="J34" s="934"/>
      <c r="K34" s="934"/>
      <c r="L34" s="934"/>
      <c r="M34" s="934"/>
      <c r="N34" s="934"/>
      <c r="O34" s="934"/>
      <c r="P34" s="934"/>
      <c r="Q34" s="934"/>
      <c r="R34" s="934"/>
      <c r="S34" s="934"/>
      <c r="T34" s="934"/>
      <c r="U34" s="934"/>
      <c r="V34" s="934"/>
      <c r="W34" s="934"/>
      <c r="X34" s="934"/>
      <c r="Y34" s="934"/>
      <c r="Z34" s="934"/>
    </row>
    <row r="35" ht="15.75" customHeight="1">
      <c r="A35" s="571"/>
      <c r="B35" s="934"/>
      <c r="C35" s="934"/>
      <c r="D35" s="934"/>
      <c r="E35" s="934"/>
      <c r="F35" s="934"/>
      <c r="G35" s="571"/>
      <c r="H35" s="934"/>
      <c r="I35" s="934"/>
      <c r="J35" s="934"/>
      <c r="K35" s="934"/>
      <c r="L35" s="934"/>
      <c r="M35" s="934"/>
      <c r="N35" s="934"/>
      <c r="O35" s="934"/>
      <c r="P35" s="934"/>
      <c r="Q35" s="934"/>
      <c r="R35" s="934"/>
      <c r="S35" s="934"/>
      <c r="T35" s="934"/>
      <c r="U35" s="934"/>
      <c r="V35" s="934"/>
      <c r="W35" s="934"/>
      <c r="X35" s="934"/>
      <c r="Y35" s="934"/>
      <c r="Z35" s="934"/>
    </row>
    <row r="36" ht="15.75" customHeight="1">
      <c r="A36" s="571"/>
      <c r="B36" s="934"/>
      <c r="C36" s="934"/>
      <c r="D36" s="934"/>
      <c r="E36" s="934"/>
      <c r="F36" s="934"/>
      <c r="G36" s="571"/>
      <c r="H36" s="934"/>
      <c r="I36" s="934"/>
      <c r="J36" s="934"/>
      <c r="K36" s="934"/>
      <c r="L36" s="934"/>
      <c r="M36" s="934"/>
      <c r="N36" s="934"/>
      <c r="O36" s="934"/>
      <c r="P36" s="934"/>
      <c r="Q36" s="934"/>
      <c r="R36" s="934"/>
      <c r="S36" s="934"/>
      <c r="T36" s="934"/>
      <c r="U36" s="934"/>
      <c r="V36" s="934"/>
      <c r="W36" s="934"/>
      <c r="X36" s="934"/>
      <c r="Y36" s="934"/>
      <c r="Z36" s="934"/>
    </row>
    <row r="37" ht="15.75" customHeight="1">
      <c r="A37" s="571"/>
      <c r="B37" s="934"/>
      <c r="C37" s="934"/>
      <c r="D37" s="934"/>
      <c r="E37" s="934"/>
      <c r="F37" s="934"/>
      <c r="G37" s="571"/>
      <c r="H37" s="934"/>
      <c r="I37" s="934"/>
      <c r="J37" s="934"/>
      <c r="K37" s="934"/>
      <c r="L37" s="934"/>
      <c r="M37" s="934"/>
      <c r="N37" s="934"/>
      <c r="P37" s="934"/>
      <c r="Q37" s="934"/>
      <c r="R37" s="934"/>
      <c r="S37" s="934"/>
      <c r="T37" s="934"/>
      <c r="U37" s="934"/>
      <c r="V37" s="934"/>
      <c r="W37" s="934"/>
      <c r="X37" s="934"/>
      <c r="Y37" s="934"/>
      <c r="Z37" s="934"/>
    </row>
    <row r="38" ht="15.75" customHeight="1">
      <c r="A38" s="571"/>
      <c r="B38" s="934"/>
      <c r="C38" s="934"/>
      <c r="D38" s="934"/>
      <c r="E38" s="934"/>
      <c r="F38" s="934"/>
      <c r="G38" s="571"/>
      <c r="H38" s="934"/>
      <c r="I38" s="934"/>
      <c r="J38" s="934"/>
      <c r="K38" s="934"/>
      <c r="L38" s="934"/>
      <c r="M38" s="934"/>
      <c r="N38" s="934"/>
      <c r="O38" s="934"/>
      <c r="P38" s="934"/>
      <c r="Q38" s="934"/>
      <c r="R38" s="934"/>
      <c r="S38" s="934"/>
      <c r="T38" s="934"/>
      <c r="U38" s="934"/>
      <c r="V38" s="934"/>
      <c r="W38" s="934"/>
      <c r="X38" s="934"/>
      <c r="Y38" s="934"/>
      <c r="Z38" s="934"/>
    </row>
    <row r="39" ht="15.75" customHeight="1">
      <c r="A39" s="571"/>
      <c r="B39" s="934"/>
      <c r="C39" s="934"/>
      <c r="D39" s="934"/>
      <c r="E39" s="934"/>
      <c r="F39" s="934"/>
      <c r="G39" s="571"/>
      <c r="H39" s="934"/>
      <c r="I39" s="934"/>
      <c r="J39" s="934"/>
      <c r="K39" s="934"/>
      <c r="L39" s="934"/>
      <c r="M39" s="934"/>
      <c r="N39" s="934"/>
      <c r="O39" s="934"/>
      <c r="P39" s="934"/>
      <c r="Q39" s="934"/>
      <c r="R39" s="934"/>
      <c r="S39" s="934"/>
      <c r="T39" s="934"/>
      <c r="U39" s="934"/>
      <c r="V39" s="934"/>
      <c r="W39" s="934"/>
      <c r="X39" s="934"/>
      <c r="Y39" s="934"/>
      <c r="Z39" s="934"/>
    </row>
    <row r="40" ht="15.75" customHeight="1">
      <c r="A40" s="571"/>
      <c r="B40" s="934"/>
      <c r="C40" s="934"/>
      <c r="D40" s="934"/>
      <c r="E40" s="934"/>
      <c r="F40" s="934"/>
      <c r="G40" s="571"/>
      <c r="H40" s="934"/>
      <c r="I40" s="934"/>
      <c r="J40" s="934"/>
      <c r="K40" s="934"/>
      <c r="L40" s="934"/>
      <c r="M40" s="934"/>
      <c r="N40" s="934"/>
      <c r="O40" s="934"/>
      <c r="P40" s="934"/>
      <c r="Q40" s="934"/>
      <c r="R40" s="934"/>
      <c r="S40" s="934"/>
      <c r="T40" s="934"/>
      <c r="U40" s="934"/>
      <c r="V40" s="934"/>
      <c r="W40" s="934"/>
      <c r="X40" s="934"/>
      <c r="Y40" s="934"/>
      <c r="Z40" s="934"/>
    </row>
    <row r="41" ht="15.75" customHeight="1">
      <c r="A41" s="571"/>
      <c r="B41" s="934"/>
      <c r="C41" s="934"/>
      <c r="D41" s="934"/>
      <c r="E41" s="934"/>
      <c r="F41" s="934"/>
      <c r="G41" s="571"/>
      <c r="H41" s="934"/>
      <c r="I41" s="934"/>
      <c r="J41" s="934"/>
      <c r="K41" s="934"/>
      <c r="L41" s="934"/>
      <c r="M41" s="934"/>
      <c r="N41" s="934"/>
      <c r="O41" s="934"/>
      <c r="P41" s="934"/>
      <c r="Q41" s="934"/>
      <c r="R41" s="934"/>
      <c r="S41" s="934"/>
      <c r="T41" s="934"/>
      <c r="U41" s="934"/>
      <c r="V41" s="934"/>
      <c r="W41" s="934"/>
      <c r="X41" s="934"/>
      <c r="Y41" s="934"/>
      <c r="Z41" s="934"/>
    </row>
    <row r="42" ht="15.75" customHeight="1">
      <c r="A42" s="571"/>
      <c r="B42" s="934"/>
      <c r="C42" s="934"/>
      <c r="D42" s="934"/>
      <c r="E42" s="934"/>
      <c r="F42" s="934"/>
      <c r="G42" s="571"/>
      <c r="H42" s="934"/>
      <c r="I42" s="934"/>
      <c r="J42" s="934"/>
      <c r="K42" s="934"/>
      <c r="L42" s="934"/>
      <c r="M42" s="934"/>
      <c r="N42" s="934"/>
      <c r="O42" s="934"/>
      <c r="P42" s="934"/>
      <c r="Q42" s="934"/>
      <c r="R42" s="934"/>
      <c r="S42" s="934"/>
      <c r="T42" s="934"/>
      <c r="U42" s="934"/>
      <c r="V42" s="934"/>
      <c r="W42" s="934"/>
      <c r="X42" s="934"/>
      <c r="Y42" s="934"/>
      <c r="Z42" s="934"/>
    </row>
    <row r="43" ht="15.75" customHeight="1">
      <c r="A43" s="571"/>
      <c r="B43" s="934"/>
      <c r="C43" s="934"/>
      <c r="D43" s="934"/>
      <c r="E43" s="934"/>
      <c r="F43" s="934"/>
      <c r="G43" s="571"/>
      <c r="H43" s="934"/>
      <c r="I43" s="934"/>
      <c r="J43" s="934"/>
      <c r="K43" s="934"/>
      <c r="L43" s="934"/>
      <c r="M43" s="934"/>
      <c r="N43" s="934"/>
      <c r="O43" s="934"/>
      <c r="P43" s="934"/>
      <c r="Q43" s="934"/>
      <c r="R43" s="934"/>
      <c r="S43" s="934"/>
      <c r="T43" s="934"/>
      <c r="U43" s="934"/>
      <c r="V43" s="934"/>
      <c r="W43" s="934"/>
      <c r="X43" s="934"/>
      <c r="Y43" s="934"/>
      <c r="Z43" s="934"/>
    </row>
    <row r="44" ht="15.75" customHeight="1">
      <c r="A44" s="571"/>
      <c r="B44" s="934"/>
      <c r="C44" s="934"/>
      <c r="D44" s="934"/>
      <c r="E44" s="934"/>
      <c r="F44" s="934"/>
      <c r="G44" s="571"/>
      <c r="H44" s="934"/>
      <c r="I44" s="934"/>
      <c r="J44" s="934"/>
      <c r="K44" s="934"/>
      <c r="L44" s="934"/>
      <c r="M44" s="934"/>
      <c r="N44" s="934"/>
      <c r="O44" s="934"/>
      <c r="P44" s="934"/>
      <c r="Q44" s="934"/>
      <c r="R44" s="934"/>
      <c r="S44" s="934"/>
      <c r="T44" s="934"/>
      <c r="U44" s="934"/>
      <c r="V44" s="934"/>
      <c r="W44" s="934"/>
      <c r="X44" s="934"/>
      <c r="Y44" s="934"/>
      <c r="Z44" s="934"/>
    </row>
    <row r="45" ht="15.75" customHeight="1">
      <c r="A45" s="571"/>
      <c r="B45" s="934"/>
      <c r="C45" s="934"/>
      <c r="D45" s="934"/>
      <c r="E45" s="934"/>
      <c r="F45" s="934"/>
      <c r="G45" s="571"/>
      <c r="H45" s="934"/>
      <c r="I45" s="934"/>
      <c r="J45" s="934"/>
      <c r="K45" s="934"/>
      <c r="L45" s="934"/>
      <c r="M45" s="934"/>
      <c r="N45" s="934"/>
      <c r="O45" s="934"/>
      <c r="P45" s="934"/>
      <c r="Q45" s="934"/>
      <c r="R45" s="934"/>
      <c r="S45" s="934"/>
      <c r="T45" s="934"/>
      <c r="U45" s="934"/>
      <c r="V45" s="934"/>
      <c r="W45" s="934"/>
      <c r="X45" s="934"/>
      <c r="Y45" s="934"/>
      <c r="Z45" s="934"/>
    </row>
    <row r="46" ht="15.75" customHeight="1">
      <c r="A46" s="571"/>
      <c r="B46" s="934"/>
      <c r="C46" s="934"/>
      <c r="D46" s="934"/>
      <c r="E46" s="934"/>
      <c r="F46" s="934"/>
      <c r="G46" s="571"/>
      <c r="H46" s="934"/>
      <c r="I46" s="934"/>
      <c r="J46" s="934"/>
      <c r="K46" s="934"/>
      <c r="L46" s="934"/>
      <c r="M46" s="934"/>
      <c r="N46" s="934"/>
      <c r="O46" s="934"/>
      <c r="P46" s="934"/>
      <c r="Q46" s="934"/>
      <c r="R46" s="934"/>
      <c r="S46" s="934"/>
      <c r="T46" s="934"/>
      <c r="U46" s="934"/>
      <c r="V46" s="934"/>
      <c r="W46" s="934"/>
      <c r="X46" s="934"/>
      <c r="Y46" s="934"/>
      <c r="Z46" s="934"/>
    </row>
    <row r="47" ht="15.75" customHeight="1">
      <c r="A47" s="571"/>
      <c r="B47" s="934"/>
      <c r="C47" s="934"/>
      <c r="D47" s="934"/>
      <c r="E47" s="934"/>
      <c r="F47" s="934"/>
      <c r="G47" s="571"/>
      <c r="H47" s="934"/>
      <c r="I47" s="934"/>
      <c r="J47" s="934"/>
      <c r="K47" s="934"/>
      <c r="L47" s="934"/>
      <c r="M47" s="934"/>
      <c r="N47" s="934"/>
      <c r="O47" s="934"/>
      <c r="P47" s="934"/>
      <c r="Q47" s="934"/>
      <c r="R47" s="934"/>
      <c r="S47" s="934"/>
      <c r="T47" s="934"/>
      <c r="U47" s="934"/>
      <c r="V47" s="934"/>
      <c r="W47" s="934"/>
      <c r="X47" s="934"/>
      <c r="Y47" s="934"/>
      <c r="Z47" s="934"/>
    </row>
    <row r="48" ht="15.75" customHeight="1">
      <c r="A48" s="571"/>
      <c r="B48" s="934"/>
      <c r="C48" s="934"/>
      <c r="D48" s="934"/>
      <c r="E48" s="934"/>
      <c r="F48" s="934"/>
      <c r="G48" s="571"/>
      <c r="H48" s="934"/>
      <c r="I48" s="934"/>
      <c r="J48" s="934"/>
      <c r="K48" s="934"/>
      <c r="L48" s="934"/>
      <c r="M48" s="934"/>
      <c r="N48" s="934"/>
      <c r="O48" s="934"/>
      <c r="P48" s="934"/>
      <c r="Q48" s="934"/>
      <c r="R48" s="934"/>
      <c r="S48" s="934"/>
      <c r="T48" s="934"/>
      <c r="U48" s="934"/>
      <c r="V48" s="934"/>
      <c r="W48" s="934"/>
      <c r="X48" s="934"/>
      <c r="Y48" s="934"/>
      <c r="Z48" s="934"/>
    </row>
    <row r="49" ht="15.75" customHeight="1">
      <c r="A49" s="571"/>
      <c r="B49" s="934"/>
      <c r="C49" s="934"/>
      <c r="D49" s="934"/>
      <c r="E49" s="934"/>
      <c r="F49" s="934"/>
      <c r="G49" s="571"/>
      <c r="H49" s="934"/>
      <c r="I49" s="934"/>
      <c r="J49" s="934"/>
      <c r="K49" s="934"/>
      <c r="L49" s="934"/>
      <c r="M49" s="934"/>
      <c r="N49" s="934"/>
      <c r="O49" s="934"/>
      <c r="P49" s="934"/>
      <c r="Q49" s="934"/>
      <c r="R49" s="934"/>
      <c r="S49" s="934"/>
      <c r="T49" s="934"/>
      <c r="U49" s="934"/>
      <c r="V49" s="934"/>
      <c r="W49" s="934"/>
      <c r="X49" s="934"/>
      <c r="Y49" s="934"/>
      <c r="Z49" s="934"/>
    </row>
    <row r="50" ht="15.75" customHeight="1">
      <c r="A50" s="571"/>
      <c r="B50" s="934"/>
      <c r="C50" s="934"/>
      <c r="D50" s="934"/>
      <c r="E50" s="934"/>
      <c r="F50" s="934"/>
      <c r="G50" s="571"/>
      <c r="H50" s="934"/>
      <c r="I50" s="934"/>
      <c r="J50" s="934"/>
      <c r="K50" s="934"/>
      <c r="L50" s="934"/>
      <c r="M50" s="934"/>
      <c r="N50" s="934"/>
      <c r="O50" s="934"/>
      <c r="P50" s="934"/>
      <c r="Q50" s="934"/>
      <c r="R50" s="934"/>
      <c r="S50" s="934"/>
      <c r="T50" s="934"/>
      <c r="U50" s="934"/>
      <c r="V50" s="934"/>
      <c r="W50" s="934"/>
      <c r="X50" s="934"/>
      <c r="Y50" s="934"/>
      <c r="Z50" s="934"/>
    </row>
    <row r="51" ht="15.75" customHeight="1">
      <c r="A51" s="571"/>
      <c r="B51" s="934"/>
      <c r="C51" s="934"/>
      <c r="D51" s="934"/>
      <c r="E51" s="934"/>
      <c r="F51" s="934"/>
      <c r="G51" s="571"/>
      <c r="H51" s="934"/>
      <c r="I51" s="934"/>
      <c r="J51" s="934"/>
      <c r="K51" s="934"/>
      <c r="L51" s="934"/>
      <c r="M51" s="934"/>
      <c r="N51" s="934"/>
      <c r="O51" s="934"/>
      <c r="P51" s="934"/>
      <c r="Q51" s="934"/>
      <c r="R51" s="934"/>
      <c r="S51" s="934"/>
      <c r="T51" s="934"/>
      <c r="U51" s="934"/>
      <c r="V51" s="934"/>
      <c r="W51" s="934"/>
      <c r="X51" s="934"/>
      <c r="Y51" s="934"/>
      <c r="Z51" s="934"/>
    </row>
    <row r="52" ht="15.75" customHeight="1">
      <c r="A52" s="571"/>
      <c r="B52" s="934"/>
      <c r="C52" s="934"/>
      <c r="D52" s="934"/>
      <c r="E52" s="934"/>
      <c r="F52" s="934"/>
      <c r="G52" s="571"/>
      <c r="H52" s="934"/>
      <c r="I52" s="934"/>
      <c r="J52" s="934"/>
      <c r="K52" s="934"/>
      <c r="L52" s="934"/>
      <c r="M52" s="934"/>
      <c r="N52" s="934"/>
      <c r="O52" s="934"/>
      <c r="P52" s="934"/>
      <c r="Q52" s="934"/>
      <c r="R52" s="934"/>
      <c r="S52" s="934"/>
      <c r="T52" s="934"/>
      <c r="U52" s="934"/>
      <c r="V52" s="934"/>
      <c r="W52" s="934"/>
      <c r="X52" s="934"/>
      <c r="Y52" s="934"/>
      <c r="Z52" s="934"/>
    </row>
    <row r="53" ht="15.75" customHeight="1">
      <c r="A53" s="571"/>
      <c r="B53" s="934"/>
      <c r="C53" s="934"/>
      <c r="D53" s="934"/>
      <c r="E53" s="934"/>
      <c r="F53" s="934"/>
      <c r="G53" s="571"/>
      <c r="H53" s="934"/>
      <c r="I53" s="934"/>
      <c r="J53" s="934"/>
      <c r="K53" s="934"/>
      <c r="L53" s="934"/>
      <c r="M53" s="934"/>
      <c r="N53" s="934"/>
      <c r="O53" s="934"/>
      <c r="P53" s="934"/>
      <c r="Q53" s="934"/>
      <c r="R53" s="934"/>
      <c r="S53" s="934"/>
      <c r="T53" s="934"/>
      <c r="U53" s="934"/>
      <c r="V53" s="934"/>
      <c r="W53" s="934"/>
      <c r="X53" s="934"/>
      <c r="Y53" s="934"/>
      <c r="Z53" s="934"/>
    </row>
    <row r="54" ht="15.75" customHeight="1">
      <c r="A54" s="571"/>
      <c r="B54" s="934"/>
      <c r="C54" s="934"/>
      <c r="D54" s="934"/>
      <c r="E54" s="934"/>
      <c r="F54" s="934"/>
      <c r="G54" s="571"/>
      <c r="H54" s="934"/>
      <c r="I54" s="934"/>
      <c r="J54" s="934"/>
      <c r="K54" s="934"/>
      <c r="L54" s="934"/>
      <c r="M54" s="934"/>
      <c r="N54" s="934"/>
      <c r="O54" s="934"/>
      <c r="P54" s="934"/>
      <c r="Q54" s="934"/>
      <c r="R54" s="934"/>
      <c r="S54" s="934"/>
      <c r="T54" s="934"/>
      <c r="U54" s="934"/>
      <c r="V54" s="934"/>
      <c r="W54" s="934"/>
      <c r="X54" s="934"/>
      <c r="Y54" s="934"/>
      <c r="Z54" s="934"/>
    </row>
    <row r="55" ht="15.75" customHeight="1">
      <c r="A55" s="571"/>
      <c r="B55" s="934"/>
      <c r="C55" s="934"/>
      <c r="D55" s="934"/>
      <c r="E55" s="934"/>
      <c r="F55" s="934"/>
      <c r="G55" s="571"/>
      <c r="H55" s="934"/>
      <c r="I55" s="934"/>
      <c r="J55" s="934"/>
      <c r="K55" s="934"/>
      <c r="L55" s="934"/>
      <c r="M55" s="934"/>
      <c r="N55" s="934"/>
      <c r="O55" s="934"/>
      <c r="P55" s="934"/>
      <c r="Q55" s="934"/>
      <c r="R55" s="934"/>
      <c r="S55" s="934"/>
      <c r="T55" s="934"/>
      <c r="U55" s="934"/>
      <c r="V55" s="934"/>
      <c r="W55" s="934"/>
      <c r="X55" s="934"/>
      <c r="Y55" s="934"/>
      <c r="Z55" s="934"/>
    </row>
    <row r="56" ht="15.75" customHeight="1">
      <c r="A56" s="571"/>
      <c r="B56" s="934"/>
      <c r="C56" s="934"/>
      <c r="D56" s="934"/>
      <c r="E56" s="934"/>
      <c r="F56" s="934"/>
      <c r="G56" s="571"/>
      <c r="H56" s="934"/>
      <c r="I56" s="934"/>
      <c r="J56" s="934"/>
      <c r="K56" s="934"/>
      <c r="L56" s="934"/>
      <c r="M56" s="934"/>
      <c r="N56" s="934"/>
      <c r="O56" s="934"/>
      <c r="P56" s="934"/>
      <c r="Q56" s="934"/>
      <c r="R56" s="934"/>
      <c r="S56" s="934"/>
      <c r="T56" s="934"/>
      <c r="U56" s="934"/>
      <c r="V56" s="934"/>
      <c r="W56" s="934"/>
      <c r="X56" s="934"/>
      <c r="Y56" s="934"/>
      <c r="Z56" s="934"/>
    </row>
    <row r="57" ht="15.75" customHeight="1">
      <c r="A57" s="571"/>
      <c r="B57" s="934"/>
      <c r="C57" s="934"/>
      <c r="D57" s="934"/>
      <c r="E57" s="934"/>
      <c r="F57" s="934"/>
      <c r="G57" s="571"/>
      <c r="H57" s="934"/>
      <c r="I57" s="934"/>
      <c r="J57" s="934"/>
      <c r="K57" s="934"/>
      <c r="L57" s="934"/>
      <c r="M57" s="934"/>
      <c r="N57" s="934"/>
      <c r="O57" s="934"/>
      <c r="P57" s="934"/>
      <c r="Q57" s="934"/>
      <c r="R57" s="934"/>
      <c r="S57" s="934"/>
      <c r="T57" s="934"/>
      <c r="U57" s="934"/>
      <c r="V57" s="934"/>
      <c r="W57" s="934"/>
      <c r="X57" s="934"/>
      <c r="Y57" s="934"/>
      <c r="Z57" s="934"/>
    </row>
    <row r="58" ht="15.75" customHeight="1">
      <c r="A58" s="571"/>
      <c r="B58" s="934"/>
      <c r="C58" s="934"/>
      <c r="D58" s="934"/>
      <c r="E58" s="934"/>
      <c r="F58" s="934"/>
      <c r="G58" s="571"/>
      <c r="H58" s="934"/>
      <c r="I58" s="934"/>
      <c r="J58" s="934"/>
      <c r="K58" s="934"/>
      <c r="L58" s="934"/>
      <c r="M58" s="934"/>
      <c r="N58" s="934"/>
      <c r="O58" s="934"/>
      <c r="P58" s="934"/>
      <c r="Q58" s="934"/>
      <c r="R58" s="934"/>
      <c r="S58" s="934"/>
      <c r="T58" s="934"/>
      <c r="U58" s="934"/>
      <c r="V58" s="934"/>
      <c r="W58" s="934"/>
      <c r="X58" s="934"/>
      <c r="Y58" s="934"/>
      <c r="Z58" s="934"/>
    </row>
    <row r="59" ht="15.75" customHeight="1">
      <c r="A59" s="571"/>
      <c r="B59" s="934"/>
      <c r="C59" s="934"/>
      <c r="D59" s="934"/>
      <c r="E59" s="934"/>
      <c r="F59" s="934"/>
      <c r="G59" s="571"/>
      <c r="H59" s="934"/>
      <c r="I59" s="934"/>
      <c r="J59" s="934"/>
      <c r="K59" s="934"/>
      <c r="L59" s="934"/>
      <c r="M59" s="934"/>
      <c r="N59" s="934"/>
      <c r="O59" s="934"/>
      <c r="P59" s="934"/>
      <c r="Q59" s="934"/>
      <c r="R59" s="934"/>
      <c r="S59" s="934"/>
      <c r="T59" s="934"/>
      <c r="U59" s="934"/>
      <c r="V59" s="934"/>
      <c r="W59" s="934"/>
      <c r="X59" s="934"/>
      <c r="Y59" s="934"/>
      <c r="Z59" s="934"/>
    </row>
    <row r="60" ht="15.75" customHeight="1">
      <c r="A60" s="571"/>
      <c r="B60" s="934"/>
      <c r="C60" s="934"/>
      <c r="D60" s="934"/>
      <c r="E60" s="934"/>
      <c r="F60" s="934"/>
      <c r="G60" s="571"/>
      <c r="H60" s="934"/>
      <c r="I60" s="934"/>
      <c r="J60" s="934"/>
      <c r="K60" s="934"/>
      <c r="L60" s="934"/>
      <c r="M60" s="934"/>
      <c r="N60" s="934"/>
      <c r="O60" s="934"/>
      <c r="P60" s="934"/>
      <c r="Q60" s="934"/>
      <c r="R60" s="934"/>
      <c r="S60" s="934"/>
      <c r="T60" s="934"/>
      <c r="U60" s="934"/>
      <c r="V60" s="934"/>
      <c r="W60" s="934"/>
      <c r="X60" s="934"/>
      <c r="Y60" s="934"/>
      <c r="Z60" s="934"/>
    </row>
    <row r="61" ht="15.75" customHeight="1">
      <c r="A61" s="571"/>
      <c r="B61" s="934"/>
      <c r="C61" s="934"/>
      <c r="D61" s="934"/>
      <c r="E61" s="934"/>
      <c r="F61" s="934"/>
      <c r="G61" s="571"/>
      <c r="H61" s="934"/>
      <c r="I61" s="934"/>
      <c r="J61" s="934"/>
      <c r="K61" s="934"/>
      <c r="L61" s="934"/>
      <c r="M61" s="934"/>
      <c r="N61" s="934"/>
      <c r="O61" s="934"/>
      <c r="P61" s="934"/>
      <c r="Q61" s="934"/>
      <c r="R61" s="934"/>
      <c r="S61" s="934"/>
      <c r="T61" s="934"/>
      <c r="U61" s="934"/>
      <c r="V61" s="934"/>
      <c r="W61" s="934"/>
      <c r="X61" s="934"/>
      <c r="Y61" s="934"/>
      <c r="Z61" s="934"/>
    </row>
    <row r="62" ht="15.75" customHeight="1">
      <c r="A62" s="571"/>
      <c r="B62" s="934"/>
      <c r="C62" s="934"/>
      <c r="D62" s="934"/>
      <c r="E62" s="934"/>
      <c r="F62" s="934"/>
      <c r="G62" s="571"/>
      <c r="H62" s="934"/>
      <c r="I62" s="934"/>
      <c r="J62" s="934"/>
      <c r="K62" s="934"/>
      <c r="L62" s="934"/>
      <c r="M62" s="934"/>
      <c r="N62" s="934"/>
      <c r="O62" s="934"/>
      <c r="P62" s="934"/>
      <c r="Q62" s="934"/>
      <c r="R62" s="934"/>
      <c r="S62" s="934"/>
      <c r="T62" s="934"/>
      <c r="U62" s="934"/>
      <c r="V62" s="934"/>
      <c r="W62" s="934"/>
      <c r="X62" s="934"/>
      <c r="Y62" s="934"/>
      <c r="Z62" s="934"/>
    </row>
    <row r="63" ht="15.75" customHeight="1">
      <c r="A63" s="571"/>
      <c r="B63" s="934"/>
      <c r="C63" s="934"/>
      <c r="D63" s="934"/>
      <c r="E63" s="934"/>
      <c r="F63" s="934"/>
      <c r="G63" s="571"/>
      <c r="H63" s="934"/>
      <c r="I63" s="934"/>
      <c r="J63" s="934"/>
      <c r="K63" s="934"/>
      <c r="L63" s="934"/>
      <c r="M63" s="934"/>
      <c r="N63" s="934"/>
      <c r="O63" s="934"/>
      <c r="P63" s="934"/>
      <c r="Q63" s="934"/>
      <c r="R63" s="934"/>
      <c r="S63" s="934"/>
      <c r="T63" s="934"/>
      <c r="U63" s="934"/>
      <c r="V63" s="934"/>
      <c r="W63" s="934"/>
      <c r="X63" s="934"/>
      <c r="Y63" s="934"/>
      <c r="Z63" s="934"/>
    </row>
    <row r="64" ht="15.75" customHeight="1">
      <c r="A64" s="571"/>
      <c r="B64" s="934"/>
      <c r="C64" s="934"/>
      <c r="D64" s="934"/>
      <c r="E64" s="934"/>
      <c r="F64" s="934"/>
      <c r="G64" s="571"/>
      <c r="H64" s="934"/>
      <c r="I64" s="934"/>
      <c r="J64" s="934"/>
      <c r="K64" s="934"/>
      <c r="L64" s="934"/>
      <c r="M64" s="934"/>
      <c r="N64" s="934"/>
      <c r="O64" s="934"/>
      <c r="P64" s="934"/>
      <c r="Q64" s="934"/>
      <c r="R64" s="934"/>
      <c r="S64" s="934"/>
      <c r="T64" s="934"/>
      <c r="U64" s="934"/>
      <c r="V64" s="934"/>
      <c r="W64" s="934"/>
      <c r="X64" s="934"/>
      <c r="Y64" s="934"/>
      <c r="Z64" s="934"/>
    </row>
    <row r="65" ht="15.75" customHeight="1">
      <c r="A65" s="571"/>
      <c r="B65" s="934"/>
      <c r="C65" s="934"/>
      <c r="D65" s="934"/>
      <c r="E65" s="934"/>
      <c r="F65" s="934"/>
      <c r="G65" s="571"/>
      <c r="H65" s="934"/>
      <c r="I65" s="934"/>
      <c r="J65" s="934"/>
      <c r="K65" s="934"/>
      <c r="L65" s="934"/>
      <c r="M65" s="934"/>
      <c r="N65" s="934"/>
      <c r="O65" s="934"/>
      <c r="P65" s="934"/>
      <c r="Q65" s="934"/>
      <c r="R65" s="934"/>
      <c r="S65" s="934"/>
      <c r="T65" s="934"/>
      <c r="U65" s="934"/>
      <c r="V65" s="934"/>
      <c r="W65" s="934"/>
      <c r="X65" s="934"/>
      <c r="Y65" s="934"/>
      <c r="Z65" s="934"/>
    </row>
    <row r="66" ht="15.75" customHeight="1">
      <c r="A66" s="571"/>
      <c r="B66" s="934"/>
      <c r="C66" s="934"/>
      <c r="D66" s="934"/>
      <c r="E66" s="934"/>
      <c r="F66" s="934"/>
      <c r="G66" s="571"/>
      <c r="H66" s="934"/>
      <c r="I66" s="934"/>
      <c r="J66" s="934"/>
      <c r="K66" s="934"/>
      <c r="L66" s="934"/>
      <c r="M66" s="934"/>
      <c r="N66" s="934"/>
      <c r="O66" s="934"/>
      <c r="P66" s="934"/>
      <c r="Q66" s="934"/>
      <c r="R66" s="934"/>
      <c r="S66" s="934"/>
      <c r="T66" s="934"/>
      <c r="U66" s="934"/>
      <c r="V66" s="934"/>
      <c r="W66" s="934"/>
      <c r="X66" s="934"/>
      <c r="Y66" s="934"/>
      <c r="Z66" s="934"/>
    </row>
    <row r="67" ht="15.75" customHeight="1">
      <c r="A67" s="571"/>
      <c r="B67" s="934"/>
      <c r="C67" s="934"/>
      <c r="D67" s="934"/>
      <c r="E67" s="934"/>
      <c r="F67" s="934"/>
      <c r="G67" s="571"/>
      <c r="H67" s="934"/>
      <c r="I67" s="934"/>
      <c r="J67" s="934"/>
      <c r="K67" s="934"/>
      <c r="L67" s="934"/>
      <c r="M67" s="934"/>
      <c r="N67" s="934"/>
      <c r="O67" s="934"/>
      <c r="P67" s="934"/>
      <c r="Q67" s="934"/>
      <c r="R67" s="934"/>
      <c r="S67" s="934"/>
      <c r="T67" s="934"/>
      <c r="U67" s="934"/>
      <c r="V67" s="934"/>
      <c r="W67" s="934"/>
      <c r="X67" s="934"/>
      <c r="Y67" s="934"/>
      <c r="Z67" s="934"/>
    </row>
    <row r="68" ht="15.75" customHeight="1">
      <c r="A68" s="571"/>
      <c r="B68" s="934"/>
      <c r="C68" s="934"/>
      <c r="D68" s="934"/>
      <c r="E68" s="934"/>
      <c r="F68" s="934"/>
      <c r="G68" s="571"/>
      <c r="H68" s="934"/>
      <c r="I68" s="934"/>
      <c r="J68" s="934"/>
      <c r="K68" s="934"/>
      <c r="L68" s="934"/>
      <c r="M68" s="934"/>
      <c r="N68" s="934"/>
      <c r="O68" s="934"/>
      <c r="P68" s="934"/>
      <c r="Q68" s="934"/>
      <c r="R68" s="934"/>
      <c r="S68" s="934"/>
      <c r="T68" s="934"/>
      <c r="U68" s="934"/>
      <c r="V68" s="934"/>
      <c r="W68" s="934"/>
      <c r="X68" s="934"/>
      <c r="Y68" s="934"/>
      <c r="Z68" s="934"/>
    </row>
    <row r="69" ht="15.75" customHeight="1">
      <c r="A69" s="571"/>
      <c r="B69" s="934"/>
      <c r="C69" s="934"/>
      <c r="D69" s="934"/>
      <c r="E69" s="934"/>
      <c r="F69" s="934"/>
      <c r="G69" s="571"/>
      <c r="H69" s="934"/>
      <c r="I69" s="934"/>
      <c r="J69" s="934"/>
      <c r="K69" s="934"/>
      <c r="L69" s="934"/>
      <c r="M69" s="934"/>
      <c r="N69" s="934"/>
      <c r="O69" s="934"/>
      <c r="P69" s="934"/>
      <c r="Q69" s="934"/>
      <c r="R69" s="934"/>
      <c r="S69" s="934"/>
      <c r="T69" s="934"/>
      <c r="U69" s="934"/>
      <c r="V69" s="934"/>
      <c r="W69" s="934"/>
      <c r="X69" s="934"/>
      <c r="Y69" s="934"/>
      <c r="Z69" s="934"/>
    </row>
    <row r="70" ht="15.75" customHeight="1">
      <c r="A70" s="571"/>
      <c r="B70" s="934"/>
      <c r="C70" s="934"/>
      <c r="D70" s="934"/>
      <c r="E70" s="934"/>
      <c r="F70" s="934"/>
      <c r="G70" s="571"/>
      <c r="H70" s="934"/>
      <c r="I70" s="934"/>
      <c r="J70" s="934"/>
      <c r="K70" s="934"/>
      <c r="L70" s="934"/>
      <c r="M70" s="934"/>
      <c r="N70" s="934"/>
      <c r="O70" s="934"/>
      <c r="P70" s="934"/>
      <c r="Q70" s="934"/>
      <c r="R70" s="934"/>
      <c r="S70" s="934"/>
      <c r="T70" s="934"/>
      <c r="U70" s="934"/>
      <c r="V70" s="934"/>
      <c r="W70" s="934"/>
      <c r="X70" s="934"/>
      <c r="Y70" s="934"/>
      <c r="Z70" s="934"/>
    </row>
    <row r="71" ht="15.75" customHeight="1">
      <c r="A71" s="571"/>
      <c r="B71" s="934"/>
      <c r="C71" s="934"/>
      <c r="D71" s="934"/>
      <c r="E71" s="934"/>
      <c r="F71" s="934"/>
      <c r="G71" s="571"/>
      <c r="H71" s="934"/>
      <c r="I71" s="934"/>
      <c r="J71" s="934"/>
      <c r="K71" s="934"/>
      <c r="L71" s="934"/>
      <c r="M71" s="934"/>
      <c r="N71" s="934"/>
      <c r="O71" s="934"/>
      <c r="P71" s="934"/>
      <c r="Q71" s="934"/>
      <c r="R71" s="934"/>
      <c r="S71" s="934"/>
      <c r="T71" s="934"/>
      <c r="U71" s="934"/>
      <c r="V71" s="934"/>
      <c r="W71" s="934"/>
      <c r="X71" s="934"/>
      <c r="Y71" s="934"/>
      <c r="Z71" s="934"/>
    </row>
    <row r="72" ht="15.75" customHeight="1">
      <c r="A72" s="571"/>
      <c r="B72" s="934"/>
      <c r="C72" s="934"/>
      <c r="D72" s="934"/>
      <c r="E72" s="934"/>
      <c r="F72" s="934"/>
      <c r="G72" s="571"/>
      <c r="H72" s="934"/>
      <c r="I72" s="934"/>
      <c r="J72" s="934"/>
      <c r="K72" s="934"/>
      <c r="L72" s="934"/>
      <c r="M72" s="934"/>
      <c r="N72" s="934"/>
      <c r="O72" s="934"/>
      <c r="P72" s="934"/>
      <c r="Q72" s="934"/>
      <c r="R72" s="934"/>
      <c r="S72" s="934"/>
      <c r="T72" s="934"/>
      <c r="U72" s="934"/>
      <c r="V72" s="934"/>
      <c r="W72" s="934"/>
      <c r="X72" s="934"/>
      <c r="Y72" s="934"/>
      <c r="Z72" s="934"/>
    </row>
    <row r="73" ht="15.75" customHeight="1">
      <c r="A73" s="571"/>
      <c r="B73" s="934"/>
      <c r="C73" s="934"/>
      <c r="D73" s="934"/>
      <c r="E73" s="934"/>
      <c r="F73" s="934"/>
      <c r="G73" s="571"/>
      <c r="H73" s="934"/>
      <c r="I73" s="934"/>
      <c r="J73" s="934"/>
      <c r="K73" s="934"/>
      <c r="L73" s="934"/>
      <c r="M73" s="934"/>
      <c r="N73" s="934"/>
      <c r="O73" s="934"/>
      <c r="P73" s="934"/>
      <c r="Q73" s="934"/>
      <c r="R73" s="934"/>
      <c r="S73" s="934"/>
      <c r="T73" s="934"/>
      <c r="U73" s="934"/>
      <c r="V73" s="934"/>
      <c r="W73" s="934"/>
      <c r="X73" s="934"/>
      <c r="Y73" s="934"/>
      <c r="Z73" s="934"/>
    </row>
    <row r="74" ht="15.75" customHeight="1">
      <c r="A74" s="571"/>
      <c r="B74" s="934"/>
      <c r="C74" s="934"/>
      <c r="D74" s="934"/>
      <c r="E74" s="934"/>
      <c r="F74" s="934"/>
      <c r="G74" s="571"/>
      <c r="H74" s="934"/>
      <c r="I74" s="934"/>
      <c r="J74" s="934"/>
      <c r="K74" s="934"/>
      <c r="L74" s="934"/>
      <c r="M74" s="934"/>
      <c r="N74" s="934"/>
      <c r="O74" s="934"/>
      <c r="P74" s="934"/>
      <c r="Q74" s="934"/>
      <c r="R74" s="934"/>
      <c r="S74" s="934"/>
      <c r="T74" s="934"/>
      <c r="U74" s="934"/>
      <c r="V74" s="934"/>
      <c r="W74" s="934"/>
      <c r="X74" s="934"/>
      <c r="Y74" s="934"/>
      <c r="Z74" s="934"/>
    </row>
    <row r="75" ht="15.75" customHeight="1">
      <c r="A75" s="571"/>
      <c r="B75" s="934"/>
      <c r="C75" s="934"/>
      <c r="D75" s="934"/>
      <c r="E75" s="934"/>
      <c r="F75" s="934"/>
      <c r="G75" s="571"/>
      <c r="H75" s="934"/>
      <c r="I75" s="934"/>
      <c r="J75" s="934"/>
      <c r="K75" s="934"/>
      <c r="L75" s="934"/>
      <c r="M75" s="934"/>
      <c r="N75" s="934"/>
      <c r="O75" s="934"/>
      <c r="P75" s="934"/>
      <c r="Q75" s="934"/>
      <c r="R75" s="934"/>
      <c r="S75" s="934"/>
      <c r="T75" s="934"/>
      <c r="U75" s="934"/>
      <c r="V75" s="934"/>
      <c r="W75" s="934"/>
      <c r="X75" s="934"/>
      <c r="Y75" s="934"/>
      <c r="Z75" s="934"/>
    </row>
    <row r="76" ht="15.75" customHeight="1">
      <c r="A76" s="571"/>
      <c r="B76" s="934"/>
      <c r="C76" s="934"/>
      <c r="D76" s="934"/>
      <c r="E76" s="934"/>
      <c r="F76" s="934"/>
      <c r="G76" s="571"/>
      <c r="H76" s="934"/>
      <c r="I76" s="934"/>
      <c r="J76" s="934"/>
      <c r="K76" s="934"/>
      <c r="L76" s="934"/>
      <c r="M76" s="934"/>
      <c r="N76" s="934"/>
      <c r="O76" s="934"/>
      <c r="P76" s="934"/>
      <c r="Q76" s="934"/>
      <c r="R76" s="934"/>
      <c r="S76" s="934"/>
      <c r="T76" s="934"/>
      <c r="U76" s="934"/>
      <c r="V76" s="934"/>
      <c r="W76" s="934"/>
      <c r="X76" s="934"/>
      <c r="Y76" s="934"/>
      <c r="Z76" s="934"/>
    </row>
    <row r="77" ht="15.75" customHeight="1">
      <c r="A77" s="571"/>
      <c r="B77" s="934"/>
      <c r="C77" s="934"/>
      <c r="D77" s="934"/>
      <c r="E77" s="934"/>
      <c r="F77" s="934"/>
      <c r="G77" s="571"/>
      <c r="H77" s="934"/>
      <c r="I77" s="934"/>
      <c r="J77" s="934"/>
      <c r="K77" s="934"/>
      <c r="L77" s="934"/>
      <c r="M77" s="934"/>
      <c r="N77" s="934"/>
      <c r="O77" s="934"/>
      <c r="P77" s="934"/>
      <c r="Q77" s="934"/>
      <c r="R77" s="934"/>
      <c r="S77" s="934"/>
      <c r="T77" s="934"/>
      <c r="U77" s="934"/>
      <c r="V77" s="934"/>
      <c r="W77" s="934"/>
      <c r="X77" s="934"/>
      <c r="Y77" s="934"/>
      <c r="Z77" s="934"/>
    </row>
    <row r="78" ht="15.75" customHeight="1">
      <c r="A78" s="571"/>
      <c r="B78" s="934"/>
      <c r="C78" s="934"/>
      <c r="D78" s="934"/>
      <c r="E78" s="934"/>
      <c r="F78" s="934"/>
      <c r="G78" s="571"/>
      <c r="H78" s="934"/>
      <c r="I78" s="934"/>
      <c r="J78" s="934"/>
      <c r="K78" s="934"/>
      <c r="L78" s="934"/>
      <c r="M78" s="934"/>
      <c r="N78" s="934"/>
      <c r="O78" s="934"/>
      <c r="P78" s="934"/>
      <c r="Q78" s="934"/>
      <c r="R78" s="934"/>
      <c r="S78" s="934"/>
      <c r="T78" s="934"/>
      <c r="U78" s="934"/>
      <c r="V78" s="934"/>
      <c r="W78" s="934"/>
      <c r="X78" s="934"/>
      <c r="Y78" s="934"/>
      <c r="Z78" s="934"/>
    </row>
    <row r="79" ht="15.75" customHeight="1">
      <c r="A79" s="571"/>
      <c r="B79" s="934"/>
      <c r="C79" s="934"/>
      <c r="D79" s="934"/>
      <c r="E79" s="934"/>
      <c r="F79" s="934"/>
      <c r="G79" s="571"/>
      <c r="H79" s="934"/>
      <c r="I79" s="934"/>
      <c r="J79" s="934"/>
      <c r="K79" s="934"/>
      <c r="L79" s="934"/>
      <c r="M79" s="934"/>
      <c r="N79" s="934"/>
      <c r="O79" s="934"/>
      <c r="P79" s="934"/>
      <c r="Q79" s="934"/>
      <c r="R79" s="934"/>
      <c r="S79" s="934"/>
      <c r="T79" s="934"/>
      <c r="U79" s="934"/>
      <c r="V79" s="934"/>
      <c r="W79" s="934"/>
      <c r="X79" s="934"/>
      <c r="Y79" s="934"/>
      <c r="Z79" s="934"/>
    </row>
    <row r="80" ht="15.75" customHeight="1">
      <c r="A80" s="571"/>
      <c r="B80" s="934"/>
      <c r="C80" s="934"/>
      <c r="D80" s="934"/>
      <c r="E80" s="934"/>
      <c r="F80" s="934"/>
      <c r="G80" s="571"/>
      <c r="H80" s="934"/>
      <c r="I80" s="934"/>
      <c r="J80" s="934"/>
      <c r="K80" s="934"/>
      <c r="L80" s="934"/>
      <c r="M80" s="934"/>
      <c r="N80" s="934"/>
      <c r="O80" s="934"/>
      <c r="P80" s="934"/>
      <c r="Q80" s="934"/>
      <c r="R80" s="934"/>
      <c r="S80" s="934"/>
      <c r="T80" s="934"/>
      <c r="U80" s="934"/>
      <c r="V80" s="934"/>
      <c r="W80" s="934"/>
      <c r="X80" s="934"/>
      <c r="Y80" s="934"/>
      <c r="Z80" s="934"/>
    </row>
    <row r="81" ht="15.75" customHeight="1">
      <c r="A81" s="571"/>
      <c r="B81" s="934"/>
      <c r="C81" s="934"/>
      <c r="D81" s="934"/>
      <c r="E81" s="934"/>
      <c r="F81" s="934"/>
      <c r="G81" s="571"/>
      <c r="H81" s="934"/>
      <c r="I81" s="934"/>
      <c r="J81" s="934"/>
      <c r="K81" s="934"/>
      <c r="L81" s="934"/>
      <c r="M81" s="934"/>
      <c r="N81" s="934"/>
      <c r="O81" s="934"/>
      <c r="P81" s="934"/>
      <c r="Q81" s="934"/>
      <c r="R81" s="934"/>
      <c r="S81" s="934"/>
      <c r="T81" s="934"/>
      <c r="U81" s="934"/>
      <c r="V81" s="934"/>
      <c r="W81" s="934"/>
      <c r="X81" s="934"/>
      <c r="Y81" s="934"/>
      <c r="Z81" s="934"/>
    </row>
    <row r="82" ht="15.75" customHeight="1">
      <c r="A82" s="571"/>
      <c r="B82" s="934"/>
      <c r="C82" s="934"/>
      <c r="D82" s="934"/>
      <c r="E82" s="934"/>
      <c r="F82" s="934"/>
      <c r="G82" s="571"/>
      <c r="H82" s="934"/>
      <c r="I82" s="934"/>
      <c r="J82" s="934"/>
      <c r="K82" s="934"/>
      <c r="L82" s="934"/>
      <c r="M82" s="934"/>
      <c r="N82" s="934"/>
      <c r="O82" s="934"/>
      <c r="P82" s="934"/>
      <c r="Q82" s="934"/>
      <c r="R82" s="934"/>
      <c r="S82" s="934"/>
      <c r="T82" s="934"/>
      <c r="U82" s="934"/>
      <c r="V82" s="934"/>
      <c r="W82" s="934"/>
      <c r="X82" s="934"/>
      <c r="Y82" s="934"/>
      <c r="Z82" s="934"/>
    </row>
    <row r="83" ht="15.75" customHeight="1">
      <c r="A83" s="571"/>
      <c r="B83" s="934"/>
      <c r="C83" s="934"/>
      <c r="D83" s="934"/>
      <c r="E83" s="934"/>
      <c r="F83" s="934"/>
      <c r="G83" s="571"/>
      <c r="H83" s="934"/>
      <c r="I83" s="934"/>
      <c r="J83" s="934"/>
      <c r="K83" s="934"/>
      <c r="L83" s="934"/>
      <c r="M83" s="934"/>
      <c r="N83" s="934"/>
      <c r="O83" s="934"/>
      <c r="P83" s="934"/>
      <c r="Q83" s="934"/>
      <c r="R83" s="934"/>
      <c r="S83" s="934"/>
      <c r="T83" s="934"/>
      <c r="U83" s="934"/>
      <c r="V83" s="934"/>
      <c r="W83" s="934"/>
      <c r="X83" s="934"/>
      <c r="Y83" s="934"/>
      <c r="Z83" s="934"/>
    </row>
    <row r="84" ht="15.75" customHeight="1">
      <c r="A84" s="571"/>
      <c r="B84" s="934"/>
      <c r="C84" s="934"/>
      <c r="D84" s="934"/>
      <c r="E84" s="934"/>
      <c r="F84" s="934"/>
      <c r="G84" s="571"/>
      <c r="H84" s="934"/>
      <c r="I84" s="934"/>
      <c r="J84" s="934"/>
      <c r="K84" s="934"/>
      <c r="L84" s="934"/>
      <c r="M84" s="934"/>
      <c r="N84" s="934"/>
      <c r="O84" s="934"/>
      <c r="P84" s="934"/>
      <c r="Q84" s="934"/>
      <c r="R84" s="934"/>
      <c r="S84" s="934"/>
      <c r="T84" s="934"/>
      <c r="U84" s="934"/>
      <c r="V84" s="934"/>
      <c r="W84" s="934"/>
      <c r="X84" s="934"/>
      <c r="Y84" s="934"/>
      <c r="Z84" s="934"/>
    </row>
    <row r="85" ht="15.75" customHeight="1">
      <c r="A85" s="571"/>
      <c r="B85" s="934"/>
      <c r="C85" s="934"/>
      <c r="D85" s="934"/>
      <c r="E85" s="934"/>
      <c r="F85" s="934"/>
      <c r="G85" s="571"/>
      <c r="H85" s="934"/>
      <c r="I85" s="934"/>
      <c r="J85" s="934"/>
      <c r="K85" s="934"/>
      <c r="L85" s="934"/>
      <c r="M85" s="934"/>
      <c r="N85" s="934"/>
      <c r="O85" s="934"/>
      <c r="P85" s="934"/>
      <c r="Q85" s="934"/>
      <c r="R85" s="934"/>
      <c r="S85" s="934"/>
      <c r="T85" s="934"/>
      <c r="U85" s="934"/>
      <c r="V85" s="934"/>
      <c r="W85" s="934"/>
      <c r="X85" s="934"/>
      <c r="Y85" s="934"/>
      <c r="Z85" s="934"/>
    </row>
    <row r="86" ht="15.75" customHeight="1">
      <c r="A86" s="571"/>
      <c r="B86" s="934"/>
      <c r="C86" s="934"/>
      <c r="D86" s="934"/>
      <c r="E86" s="934"/>
      <c r="F86" s="934"/>
      <c r="G86" s="571"/>
      <c r="H86" s="934"/>
      <c r="I86" s="934"/>
      <c r="J86" s="934"/>
      <c r="K86" s="934"/>
      <c r="L86" s="934"/>
      <c r="M86" s="934"/>
      <c r="N86" s="934"/>
      <c r="O86" s="934"/>
      <c r="P86" s="934"/>
      <c r="Q86" s="934"/>
      <c r="R86" s="934"/>
      <c r="S86" s="934"/>
      <c r="T86" s="934"/>
      <c r="U86" s="934"/>
      <c r="V86" s="934"/>
      <c r="W86" s="934"/>
      <c r="X86" s="934"/>
      <c r="Y86" s="934"/>
      <c r="Z86" s="934"/>
    </row>
    <row r="87" ht="15.75" customHeight="1">
      <c r="A87" s="571"/>
      <c r="B87" s="934"/>
      <c r="C87" s="934"/>
      <c r="D87" s="934"/>
      <c r="E87" s="934"/>
      <c r="F87" s="934"/>
      <c r="G87" s="571"/>
      <c r="H87" s="934"/>
      <c r="I87" s="934"/>
      <c r="J87" s="934"/>
      <c r="K87" s="934"/>
      <c r="L87" s="934"/>
      <c r="M87" s="934"/>
      <c r="N87" s="934"/>
      <c r="O87" s="934"/>
      <c r="P87" s="934"/>
      <c r="Q87" s="934"/>
      <c r="R87" s="934"/>
      <c r="S87" s="934"/>
      <c r="T87" s="934"/>
      <c r="U87" s="934"/>
      <c r="V87" s="934"/>
      <c r="W87" s="934"/>
      <c r="X87" s="934"/>
      <c r="Y87" s="934"/>
      <c r="Z87" s="934"/>
    </row>
    <row r="88" ht="15.75" customHeight="1">
      <c r="A88" s="571"/>
      <c r="B88" s="934"/>
      <c r="C88" s="934"/>
      <c r="D88" s="934"/>
      <c r="E88" s="934"/>
      <c r="F88" s="934"/>
      <c r="G88" s="571"/>
      <c r="H88" s="934"/>
      <c r="I88" s="934"/>
      <c r="J88" s="934"/>
      <c r="K88" s="934"/>
      <c r="L88" s="934"/>
      <c r="M88" s="934"/>
      <c r="N88" s="934"/>
      <c r="O88" s="934"/>
      <c r="P88" s="934"/>
      <c r="Q88" s="934"/>
      <c r="R88" s="934"/>
      <c r="S88" s="934"/>
      <c r="T88" s="934"/>
      <c r="U88" s="934"/>
      <c r="V88" s="934"/>
      <c r="W88" s="934"/>
      <c r="X88" s="934"/>
      <c r="Y88" s="934"/>
      <c r="Z88" s="934"/>
    </row>
    <row r="89" ht="15.75" customHeight="1">
      <c r="A89" s="571"/>
      <c r="B89" s="934"/>
      <c r="C89" s="934"/>
      <c r="D89" s="934"/>
      <c r="E89" s="934"/>
      <c r="F89" s="934"/>
      <c r="G89" s="571"/>
      <c r="H89" s="934"/>
      <c r="I89" s="934"/>
      <c r="J89" s="934"/>
      <c r="K89" s="934"/>
      <c r="L89" s="934"/>
      <c r="M89" s="934"/>
      <c r="N89" s="934"/>
      <c r="O89" s="934"/>
      <c r="P89" s="934"/>
      <c r="Q89" s="934"/>
      <c r="R89" s="934"/>
      <c r="S89" s="934"/>
      <c r="T89" s="934"/>
      <c r="U89" s="934"/>
      <c r="V89" s="934"/>
      <c r="W89" s="934"/>
      <c r="X89" s="934"/>
      <c r="Y89" s="934"/>
      <c r="Z89" s="934"/>
    </row>
    <row r="90" ht="15.75" customHeight="1">
      <c r="A90" s="571"/>
      <c r="B90" s="934"/>
      <c r="C90" s="934"/>
      <c r="D90" s="934"/>
      <c r="E90" s="934"/>
      <c r="F90" s="934"/>
      <c r="G90" s="571"/>
      <c r="H90" s="934"/>
      <c r="I90" s="934"/>
      <c r="J90" s="934"/>
      <c r="K90" s="934"/>
      <c r="L90" s="934"/>
      <c r="M90" s="934"/>
      <c r="N90" s="934"/>
      <c r="O90" s="934"/>
      <c r="P90" s="934"/>
      <c r="Q90" s="934"/>
      <c r="R90" s="934"/>
      <c r="S90" s="934"/>
      <c r="T90" s="934"/>
      <c r="U90" s="934"/>
      <c r="V90" s="934"/>
      <c r="W90" s="934"/>
      <c r="X90" s="934"/>
      <c r="Y90" s="934"/>
      <c r="Z90" s="934"/>
    </row>
    <row r="91" ht="15.75" customHeight="1">
      <c r="A91" s="571"/>
      <c r="B91" s="934"/>
      <c r="C91" s="934"/>
      <c r="D91" s="934"/>
      <c r="E91" s="934"/>
      <c r="F91" s="934"/>
      <c r="G91" s="571"/>
      <c r="H91" s="934"/>
      <c r="I91" s="934"/>
      <c r="J91" s="934"/>
      <c r="K91" s="934"/>
      <c r="L91" s="934"/>
      <c r="M91" s="934"/>
      <c r="N91" s="934"/>
      <c r="O91" s="934"/>
      <c r="P91" s="934"/>
      <c r="Q91" s="934"/>
      <c r="R91" s="934"/>
      <c r="S91" s="934"/>
      <c r="T91" s="934"/>
      <c r="U91" s="934"/>
      <c r="V91" s="934"/>
      <c r="W91" s="934"/>
      <c r="X91" s="934"/>
      <c r="Y91" s="934"/>
      <c r="Z91" s="934"/>
    </row>
    <row r="92" ht="15.75" customHeight="1">
      <c r="A92" s="571"/>
      <c r="B92" s="934"/>
      <c r="C92" s="934"/>
      <c r="D92" s="934"/>
      <c r="E92" s="934"/>
      <c r="F92" s="934"/>
      <c r="G92" s="571"/>
      <c r="H92" s="934"/>
      <c r="I92" s="934"/>
      <c r="J92" s="934"/>
      <c r="K92" s="934"/>
      <c r="L92" s="934"/>
      <c r="M92" s="934"/>
      <c r="N92" s="934"/>
      <c r="O92" s="934"/>
      <c r="P92" s="934"/>
      <c r="Q92" s="934"/>
      <c r="R92" s="934"/>
      <c r="S92" s="934"/>
      <c r="T92" s="934"/>
      <c r="U92" s="934"/>
      <c r="V92" s="934"/>
      <c r="W92" s="934"/>
      <c r="X92" s="934"/>
      <c r="Y92" s="934"/>
      <c r="Z92" s="934"/>
    </row>
    <row r="93" ht="15.75" customHeight="1">
      <c r="A93" s="571"/>
      <c r="B93" s="934"/>
      <c r="C93" s="934"/>
      <c r="D93" s="934"/>
      <c r="E93" s="934"/>
      <c r="F93" s="934"/>
      <c r="G93" s="571"/>
      <c r="H93" s="934"/>
      <c r="I93" s="934"/>
      <c r="J93" s="934"/>
      <c r="K93" s="934"/>
      <c r="L93" s="934"/>
      <c r="M93" s="934"/>
      <c r="N93" s="934"/>
      <c r="O93" s="934"/>
      <c r="P93" s="934"/>
      <c r="Q93" s="934"/>
      <c r="R93" s="934"/>
      <c r="S93" s="934"/>
      <c r="T93" s="934"/>
      <c r="U93" s="934"/>
      <c r="V93" s="934"/>
      <c r="W93" s="934"/>
      <c r="X93" s="934"/>
      <c r="Y93" s="934"/>
      <c r="Z93" s="934"/>
    </row>
    <row r="94" ht="15.75" customHeight="1">
      <c r="A94" s="571"/>
      <c r="B94" s="934"/>
      <c r="C94" s="934"/>
      <c r="D94" s="934"/>
      <c r="E94" s="934"/>
      <c r="F94" s="934"/>
      <c r="G94" s="571"/>
      <c r="H94" s="934"/>
      <c r="I94" s="934"/>
      <c r="J94" s="934"/>
      <c r="K94" s="934"/>
      <c r="L94" s="934"/>
      <c r="M94" s="934"/>
      <c r="N94" s="934"/>
      <c r="O94" s="934"/>
      <c r="P94" s="934"/>
      <c r="Q94" s="934"/>
      <c r="R94" s="934"/>
      <c r="S94" s="934"/>
      <c r="T94" s="934"/>
      <c r="U94" s="934"/>
      <c r="V94" s="934"/>
      <c r="W94" s="934"/>
      <c r="X94" s="934"/>
      <c r="Y94" s="934"/>
      <c r="Z94" s="934"/>
    </row>
    <row r="95" ht="15.75" customHeight="1">
      <c r="A95" s="571"/>
      <c r="B95" s="934"/>
      <c r="C95" s="934"/>
      <c r="D95" s="934"/>
      <c r="E95" s="934"/>
      <c r="F95" s="934"/>
      <c r="G95" s="571"/>
      <c r="H95" s="934"/>
      <c r="I95" s="934"/>
      <c r="J95" s="934"/>
      <c r="K95" s="934"/>
      <c r="L95" s="934"/>
      <c r="M95" s="934"/>
      <c r="N95" s="934"/>
      <c r="O95" s="934"/>
      <c r="P95" s="934"/>
      <c r="Q95" s="934"/>
      <c r="R95" s="934"/>
      <c r="S95" s="934"/>
      <c r="T95" s="934"/>
      <c r="U95" s="934"/>
      <c r="V95" s="934"/>
      <c r="W95" s="934"/>
      <c r="X95" s="934"/>
      <c r="Y95" s="934"/>
      <c r="Z95" s="934"/>
    </row>
    <row r="96" ht="15.75" customHeight="1">
      <c r="A96" s="571"/>
      <c r="B96" s="934"/>
      <c r="C96" s="934"/>
      <c r="D96" s="934"/>
      <c r="E96" s="934"/>
      <c r="F96" s="934"/>
      <c r="G96" s="571"/>
      <c r="H96" s="934"/>
      <c r="I96" s="934"/>
      <c r="J96" s="934"/>
      <c r="K96" s="934"/>
      <c r="L96" s="934"/>
      <c r="M96" s="934"/>
      <c r="N96" s="934"/>
      <c r="O96" s="934"/>
      <c r="P96" s="934"/>
      <c r="Q96" s="934"/>
      <c r="R96" s="934"/>
      <c r="S96" s="934"/>
      <c r="T96" s="934"/>
      <c r="U96" s="934"/>
      <c r="V96" s="934"/>
      <c r="W96" s="934"/>
      <c r="X96" s="934"/>
      <c r="Y96" s="934"/>
      <c r="Z96" s="934"/>
    </row>
    <row r="97" ht="15.75" customHeight="1">
      <c r="A97" s="571"/>
      <c r="B97" s="934"/>
      <c r="C97" s="934"/>
      <c r="D97" s="934"/>
      <c r="E97" s="934"/>
      <c r="F97" s="934"/>
      <c r="G97" s="571"/>
      <c r="H97" s="934"/>
      <c r="I97" s="934"/>
      <c r="J97" s="934"/>
      <c r="K97" s="934"/>
      <c r="L97" s="934"/>
      <c r="M97" s="934"/>
      <c r="N97" s="934"/>
      <c r="O97" s="934"/>
      <c r="P97" s="934"/>
      <c r="Q97" s="934"/>
      <c r="R97" s="934"/>
      <c r="S97" s="934"/>
      <c r="T97" s="934"/>
      <c r="U97" s="934"/>
      <c r="V97" s="934"/>
      <c r="W97" s="934"/>
      <c r="X97" s="934"/>
      <c r="Y97" s="934"/>
      <c r="Z97" s="934"/>
    </row>
    <row r="98" ht="15.75" customHeight="1">
      <c r="A98" s="571"/>
      <c r="B98" s="934"/>
      <c r="C98" s="934"/>
      <c r="D98" s="934"/>
      <c r="E98" s="934"/>
      <c r="F98" s="934"/>
      <c r="G98" s="571"/>
      <c r="H98" s="934"/>
      <c r="I98" s="934"/>
      <c r="J98" s="934"/>
      <c r="K98" s="934"/>
      <c r="L98" s="934"/>
      <c r="M98" s="934"/>
      <c r="N98" s="934"/>
      <c r="O98" s="934"/>
      <c r="P98" s="934"/>
      <c r="Q98" s="934"/>
      <c r="R98" s="934"/>
      <c r="S98" s="934"/>
      <c r="T98" s="934"/>
      <c r="U98" s="934"/>
      <c r="V98" s="934"/>
      <c r="W98" s="934"/>
      <c r="X98" s="934"/>
      <c r="Y98" s="934"/>
      <c r="Z98" s="934"/>
    </row>
    <row r="99" ht="15.75" customHeight="1">
      <c r="A99" s="571"/>
      <c r="B99" s="934"/>
      <c r="C99" s="934"/>
      <c r="D99" s="934"/>
      <c r="E99" s="934"/>
      <c r="F99" s="934"/>
      <c r="G99" s="571"/>
      <c r="H99" s="934"/>
      <c r="I99" s="934"/>
      <c r="J99" s="934"/>
      <c r="K99" s="934"/>
      <c r="L99" s="934"/>
      <c r="M99" s="934"/>
      <c r="N99" s="934"/>
      <c r="O99" s="934"/>
      <c r="P99" s="934"/>
      <c r="Q99" s="934"/>
      <c r="R99" s="934"/>
      <c r="S99" s="934"/>
      <c r="T99" s="934"/>
      <c r="U99" s="934"/>
      <c r="V99" s="934"/>
      <c r="W99" s="934"/>
      <c r="X99" s="934"/>
      <c r="Y99" s="934"/>
      <c r="Z99" s="934"/>
    </row>
    <row r="100" ht="15.75" customHeight="1">
      <c r="A100" s="571"/>
      <c r="B100" s="934"/>
      <c r="C100" s="934"/>
      <c r="D100" s="934"/>
      <c r="E100" s="934"/>
      <c r="F100" s="934"/>
      <c r="G100" s="571"/>
      <c r="H100" s="934"/>
      <c r="I100" s="934"/>
      <c r="J100" s="934"/>
      <c r="K100" s="934"/>
      <c r="L100" s="934"/>
      <c r="M100" s="934"/>
      <c r="N100" s="934"/>
      <c r="O100" s="934"/>
      <c r="P100" s="934"/>
      <c r="Q100" s="934"/>
      <c r="R100" s="934"/>
      <c r="S100" s="934"/>
      <c r="T100" s="934"/>
      <c r="U100" s="934"/>
      <c r="V100" s="934"/>
      <c r="W100" s="934"/>
      <c r="X100" s="934"/>
      <c r="Y100" s="934"/>
      <c r="Z100" s="934"/>
    </row>
    <row r="101" ht="15.75" customHeight="1">
      <c r="A101" s="571"/>
      <c r="B101" s="934"/>
      <c r="C101" s="934"/>
      <c r="D101" s="934"/>
      <c r="E101" s="934"/>
      <c r="F101" s="934"/>
      <c r="G101" s="571"/>
      <c r="H101" s="934"/>
      <c r="I101" s="934"/>
      <c r="J101" s="934"/>
      <c r="K101" s="934"/>
      <c r="L101" s="934"/>
      <c r="M101" s="934"/>
      <c r="N101" s="934"/>
      <c r="O101" s="934"/>
      <c r="P101" s="934"/>
      <c r="Q101" s="934"/>
      <c r="R101" s="934"/>
      <c r="S101" s="934"/>
      <c r="T101" s="934"/>
      <c r="U101" s="934"/>
      <c r="V101" s="934"/>
      <c r="W101" s="934"/>
      <c r="X101" s="934"/>
      <c r="Y101" s="934"/>
      <c r="Z101" s="934"/>
    </row>
    <row r="102" ht="15.75" customHeight="1">
      <c r="A102" s="571"/>
      <c r="B102" s="934"/>
      <c r="C102" s="934"/>
      <c r="D102" s="934"/>
      <c r="E102" s="934"/>
      <c r="F102" s="934"/>
      <c r="G102" s="571"/>
      <c r="H102" s="934"/>
      <c r="I102" s="934"/>
      <c r="J102" s="934"/>
      <c r="K102" s="934"/>
      <c r="L102" s="934"/>
      <c r="M102" s="934"/>
      <c r="N102" s="934"/>
      <c r="O102" s="934"/>
      <c r="P102" s="934"/>
      <c r="Q102" s="934"/>
      <c r="R102" s="934"/>
      <c r="S102" s="934"/>
      <c r="T102" s="934"/>
      <c r="U102" s="934"/>
      <c r="V102" s="934"/>
      <c r="W102" s="934"/>
      <c r="X102" s="934"/>
      <c r="Y102" s="934"/>
      <c r="Z102" s="934"/>
    </row>
    <row r="103" ht="15.75" customHeight="1">
      <c r="A103" s="571"/>
      <c r="B103" s="934"/>
      <c r="C103" s="934"/>
      <c r="D103" s="934"/>
      <c r="E103" s="934"/>
      <c r="F103" s="934"/>
      <c r="G103" s="571"/>
      <c r="H103" s="934"/>
      <c r="I103" s="934"/>
      <c r="J103" s="934"/>
      <c r="K103" s="934"/>
      <c r="L103" s="934"/>
      <c r="M103" s="934"/>
      <c r="N103" s="934"/>
      <c r="O103" s="934"/>
      <c r="P103" s="934"/>
      <c r="Q103" s="934"/>
      <c r="R103" s="934"/>
      <c r="S103" s="934"/>
      <c r="T103" s="934"/>
      <c r="U103" s="934"/>
      <c r="V103" s="934"/>
      <c r="W103" s="934"/>
      <c r="X103" s="934"/>
      <c r="Y103" s="934"/>
      <c r="Z103" s="934"/>
    </row>
    <row r="104" ht="15.75" customHeight="1">
      <c r="A104" s="571"/>
      <c r="B104" s="934"/>
      <c r="C104" s="934"/>
      <c r="D104" s="934"/>
      <c r="E104" s="934"/>
      <c r="F104" s="934"/>
      <c r="G104" s="571"/>
      <c r="H104" s="934"/>
      <c r="I104" s="934"/>
      <c r="J104" s="934"/>
      <c r="K104" s="934"/>
      <c r="L104" s="934"/>
      <c r="M104" s="934"/>
      <c r="N104" s="934"/>
      <c r="O104" s="934"/>
      <c r="P104" s="934"/>
      <c r="Q104" s="934"/>
      <c r="R104" s="934"/>
      <c r="S104" s="934"/>
      <c r="T104" s="934"/>
      <c r="U104" s="934"/>
      <c r="V104" s="934"/>
      <c r="W104" s="934"/>
      <c r="X104" s="934"/>
      <c r="Y104" s="934"/>
      <c r="Z104" s="934"/>
    </row>
    <row r="105" ht="15.75" customHeight="1">
      <c r="A105" s="571"/>
      <c r="B105" s="934"/>
      <c r="C105" s="934"/>
      <c r="D105" s="934"/>
      <c r="E105" s="934"/>
      <c r="F105" s="934"/>
      <c r="G105" s="571"/>
      <c r="H105" s="934"/>
      <c r="I105" s="934"/>
      <c r="J105" s="934"/>
      <c r="K105" s="934"/>
      <c r="L105" s="934"/>
      <c r="M105" s="934"/>
      <c r="N105" s="934"/>
      <c r="O105" s="934"/>
      <c r="P105" s="934"/>
      <c r="Q105" s="934"/>
      <c r="R105" s="934"/>
      <c r="S105" s="934"/>
      <c r="T105" s="934"/>
      <c r="U105" s="934"/>
      <c r="V105" s="934"/>
      <c r="W105" s="934"/>
      <c r="X105" s="934"/>
      <c r="Y105" s="934"/>
      <c r="Z105" s="934"/>
    </row>
    <row r="106" ht="15.75" customHeight="1">
      <c r="A106" s="571"/>
      <c r="B106" s="934"/>
      <c r="C106" s="934"/>
      <c r="D106" s="934"/>
      <c r="E106" s="934"/>
      <c r="F106" s="934"/>
      <c r="G106" s="571"/>
      <c r="H106" s="934"/>
      <c r="I106" s="934"/>
      <c r="J106" s="934"/>
      <c r="K106" s="934"/>
      <c r="L106" s="934"/>
      <c r="M106" s="934"/>
      <c r="N106" s="934"/>
      <c r="O106" s="934"/>
      <c r="P106" s="934"/>
      <c r="Q106" s="934"/>
      <c r="R106" s="934"/>
      <c r="S106" s="934"/>
      <c r="T106" s="934"/>
      <c r="U106" s="934"/>
      <c r="V106" s="934"/>
      <c r="W106" s="934"/>
      <c r="X106" s="934"/>
      <c r="Y106" s="934"/>
      <c r="Z106" s="934"/>
    </row>
    <row r="107" ht="15.75" customHeight="1">
      <c r="A107" s="571"/>
      <c r="B107" s="934"/>
      <c r="C107" s="934"/>
      <c r="D107" s="934"/>
      <c r="E107" s="934"/>
      <c r="F107" s="934"/>
      <c r="G107" s="571"/>
      <c r="H107" s="934"/>
      <c r="I107" s="934"/>
      <c r="J107" s="934"/>
      <c r="K107" s="934"/>
      <c r="L107" s="934"/>
      <c r="M107" s="934"/>
      <c r="N107" s="934"/>
      <c r="O107" s="934"/>
      <c r="P107" s="934"/>
      <c r="Q107" s="934"/>
      <c r="R107" s="934"/>
      <c r="S107" s="934"/>
      <c r="T107" s="934"/>
      <c r="U107" s="934"/>
      <c r="V107" s="934"/>
      <c r="W107" s="934"/>
      <c r="X107" s="934"/>
      <c r="Y107" s="934"/>
      <c r="Z107" s="934"/>
    </row>
    <row r="108" ht="15.75" customHeight="1">
      <c r="A108" s="571"/>
      <c r="B108" s="934"/>
      <c r="C108" s="934"/>
      <c r="D108" s="934"/>
      <c r="E108" s="934"/>
      <c r="F108" s="934"/>
      <c r="G108" s="571"/>
      <c r="H108" s="934"/>
      <c r="I108" s="934"/>
      <c r="J108" s="934"/>
      <c r="K108" s="934"/>
      <c r="L108" s="934"/>
      <c r="M108" s="934"/>
      <c r="N108" s="934"/>
      <c r="O108" s="934"/>
      <c r="P108" s="934"/>
      <c r="Q108" s="934"/>
      <c r="R108" s="934"/>
      <c r="S108" s="934"/>
      <c r="T108" s="934"/>
      <c r="U108" s="934"/>
      <c r="V108" s="934"/>
      <c r="W108" s="934"/>
      <c r="X108" s="934"/>
      <c r="Y108" s="934"/>
      <c r="Z108" s="934"/>
    </row>
    <row r="109" ht="15.75" customHeight="1">
      <c r="A109" s="571"/>
      <c r="B109" s="934"/>
      <c r="C109" s="934"/>
      <c r="D109" s="934"/>
      <c r="E109" s="934"/>
      <c r="F109" s="934"/>
      <c r="G109" s="571"/>
      <c r="H109" s="934"/>
      <c r="I109" s="934"/>
      <c r="J109" s="934"/>
      <c r="K109" s="934"/>
      <c r="L109" s="934"/>
      <c r="M109" s="934"/>
      <c r="N109" s="934"/>
      <c r="O109" s="934"/>
      <c r="P109" s="934"/>
      <c r="Q109" s="934"/>
      <c r="R109" s="934"/>
      <c r="S109" s="934"/>
      <c r="T109" s="934"/>
      <c r="U109" s="934"/>
      <c r="V109" s="934"/>
      <c r="W109" s="934"/>
      <c r="X109" s="934"/>
      <c r="Y109" s="934"/>
      <c r="Z109" s="934"/>
    </row>
    <row r="110" ht="15.75" customHeight="1">
      <c r="A110" s="571"/>
      <c r="B110" s="934"/>
      <c r="C110" s="934"/>
      <c r="D110" s="934"/>
      <c r="E110" s="934"/>
      <c r="F110" s="934"/>
      <c r="G110" s="571"/>
      <c r="H110" s="934"/>
      <c r="I110" s="934"/>
      <c r="J110" s="934"/>
      <c r="K110" s="934"/>
      <c r="L110" s="934"/>
      <c r="M110" s="934"/>
      <c r="N110" s="934"/>
      <c r="O110" s="934"/>
      <c r="P110" s="934"/>
      <c r="Q110" s="934"/>
      <c r="R110" s="934"/>
      <c r="S110" s="934"/>
      <c r="T110" s="934"/>
      <c r="U110" s="934"/>
      <c r="V110" s="934"/>
      <c r="W110" s="934"/>
      <c r="X110" s="934"/>
      <c r="Y110" s="934"/>
      <c r="Z110" s="934"/>
    </row>
    <row r="111" ht="15.75" customHeight="1">
      <c r="A111" s="571"/>
      <c r="B111" s="934"/>
      <c r="C111" s="934"/>
      <c r="D111" s="934"/>
      <c r="E111" s="934"/>
      <c r="F111" s="934"/>
      <c r="G111" s="571"/>
      <c r="H111" s="934"/>
      <c r="I111" s="934"/>
      <c r="J111" s="934"/>
      <c r="K111" s="934"/>
      <c r="L111" s="934"/>
      <c r="M111" s="934"/>
      <c r="N111" s="934"/>
      <c r="O111" s="934"/>
      <c r="P111" s="934"/>
      <c r="Q111" s="934"/>
      <c r="R111" s="934"/>
      <c r="S111" s="934"/>
      <c r="T111" s="934"/>
      <c r="U111" s="934"/>
      <c r="V111" s="934"/>
      <c r="W111" s="934"/>
      <c r="X111" s="934"/>
      <c r="Y111" s="934"/>
      <c r="Z111" s="934"/>
    </row>
    <row r="112" ht="15.75" customHeight="1">
      <c r="A112" s="571"/>
      <c r="B112" s="934"/>
      <c r="C112" s="934"/>
      <c r="D112" s="934"/>
      <c r="E112" s="934"/>
      <c r="F112" s="934"/>
      <c r="G112" s="571"/>
      <c r="H112" s="934"/>
      <c r="I112" s="934"/>
      <c r="J112" s="934"/>
      <c r="K112" s="934"/>
      <c r="L112" s="934"/>
      <c r="M112" s="934"/>
      <c r="N112" s="934"/>
      <c r="O112" s="934"/>
      <c r="P112" s="934"/>
      <c r="Q112" s="934"/>
      <c r="R112" s="934"/>
      <c r="S112" s="934"/>
      <c r="T112" s="934"/>
      <c r="U112" s="934"/>
      <c r="V112" s="934"/>
      <c r="W112" s="934"/>
      <c r="X112" s="934"/>
      <c r="Y112" s="934"/>
      <c r="Z112" s="934"/>
    </row>
    <row r="113" ht="15.75" customHeight="1">
      <c r="A113" s="571"/>
      <c r="B113" s="934"/>
      <c r="C113" s="934"/>
      <c r="D113" s="934"/>
      <c r="E113" s="934"/>
      <c r="F113" s="934"/>
      <c r="G113" s="571"/>
      <c r="H113" s="934"/>
      <c r="I113" s="934"/>
      <c r="J113" s="934"/>
      <c r="K113" s="934"/>
      <c r="L113" s="934"/>
      <c r="M113" s="934"/>
      <c r="N113" s="934"/>
      <c r="O113" s="934"/>
      <c r="P113" s="934"/>
      <c r="Q113" s="934"/>
      <c r="R113" s="934"/>
      <c r="S113" s="934"/>
      <c r="T113" s="934"/>
      <c r="U113" s="934"/>
      <c r="V113" s="934"/>
      <c r="W113" s="934"/>
      <c r="X113" s="934"/>
      <c r="Y113" s="934"/>
      <c r="Z113" s="934"/>
    </row>
    <row r="114" ht="15.75" customHeight="1">
      <c r="A114" s="571"/>
      <c r="B114" s="934"/>
      <c r="C114" s="934"/>
      <c r="D114" s="934"/>
      <c r="E114" s="934"/>
      <c r="F114" s="934"/>
      <c r="G114" s="571"/>
      <c r="H114" s="934"/>
      <c r="I114" s="934"/>
      <c r="J114" s="934"/>
      <c r="K114" s="934"/>
      <c r="L114" s="934"/>
      <c r="M114" s="934"/>
      <c r="N114" s="934"/>
      <c r="O114" s="934"/>
      <c r="P114" s="934"/>
      <c r="Q114" s="934"/>
      <c r="R114" s="934"/>
      <c r="S114" s="934"/>
      <c r="T114" s="934"/>
      <c r="U114" s="934"/>
      <c r="V114" s="934"/>
      <c r="W114" s="934"/>
      <c r="X114" s="934"/>
      <c r="Y114" s="934"/>
      <c r="Z114" s="934"/>
    </row>
    <row r="115" ht="15.75" customHeight="1">
      <c r="A115" s="571"/>
      <c r="B115" s="934"/>
      <c r="C115" s="934"/>
      <c r="D115" s="934"/>
      <c r="E115" s="934"/>
      <c r="F115" s="934"/>
      <c r="G115" s="571"/>
      <c r="H115" s="934"/>
      <c r="I115" s="934"/>
      <c r="J115" s="934"/>
      <c r="K115" s="934"/>
      <c r="L115" s="934"/>
      <c r="M115" s="934"/>
      <c r="N115" s="934"/>
      <c r="O115" s="934"/>
      <c r="P115" s="934"/>
      <c r="Q115" s="934"/>
      <c r="R115" s="934"/>
      <c r="S115" s="934"/>
      <c r="T115" s="934"/>
      <c r="U115" s="934"/>
      <c r="V115" s="934"/>
      <c r="W115" s="934"/>
      <c r="X115" s="934"/>
      <c r="Y115" s="934"/>
      <c r="Z115" s="934"/>
    </row>
    <row r="116" ht="15.75" customHeight="1">
      <c r="A116" s="571"/>
      <c r="B116" s="934"/>
      <c r="C116" s="934"/>
      <c r="D116" s="934"/>
      <c r="E116" s="934"/>
      <c r="F116" s="934"/>
      <c r="G116" s="571"/>
      <c r="H116" s="934"/>
      <c r="I116" s="934"/>
      <c r="J116" s="934"/>
      <c r="K116" s="934"/>
      <c r="L116" s="934"/>
      <c r="M116" s="934"/>
      <c r="N116" s="934"/>
      <c r="O116" s="934"/>
      <c r="P116" s="934"/>
      <c r="Q116" s="934"/>
      <c r="R116" s="934"/>
      <c r="S116" s="934"/>
      <c r="T116" s="934"/>
      <c r="U116" s="934"/>
      <c r="V116" s="934"/>
      <c r="W116" s="934"/>
      <c r="X116" s="934"/>
      <c r="Y116" s="934"/>
      <c r="Z116" s="934"/>
    </row>
    <row r="117" ht="15.75" customHeight="1">
      <c r="A117" s="571"/>
      <c r="B117" s="934"/>
      <c r="C117" s="934"/>
      <c r="D117" s="934"/>
      <c r="E117" s="934"/>
      <c r="F117" s="934"/>
      <c r="G117" s="571"/>
      <c r="H117" s="934"/>
      <c r="I117" s="934"/>
      <c r="J117" s="934"/>
      <c r="K117" s="934"/>
      <c r="L117" s="934"/>
      <c r="M117" s="934"/>
      <c r="N117" s="934"/>
      <c r="O117" s="934"/>
      <c r="P117" s="934"/>
      <c r="Q117" s="934"/>
      <c r="R117" s="934"/>
      <c r="S117" s="934"/>
      <c r="T117" s="934"/>
      <c r="U117" s="934"/>
      <c r="V117" s="934"/>
      <c r="W117" s="934"/>
      <c r="X117" s="934"/>
      <c r="Y117" s="934"/>
      <c r="Z117" s="934"/>
    </row>
    <row r="118" ht="15.75" customHeight="1">
      <c r="A118" s="571"/>
      <c r="B118" s="934"/>
      <c r="C118" s="934"/>
      <c r="D118" s="934"/>
      <c r="E118" s="934"/>
      <c r="F118" s="934"/>
      <c r="G118" s="571"/>
      <c r="H118" s="934"/>
      <c r="I118" s="934"/>
      <c r="J118" s="934"/>
      <c r="K118" s="934"/>
      <c r="L118" s="934"/>
      <c r="M118" s="934"/>
      <c r="N118" s="934"/>
      <c r="O118" s="934"/>
      <c r="P118" s="934"/>
      <c r="Q118" s="934"/>
      <c r="R118" s="934"/>
      <c r="S118" s="934"/>
      <c r="T118" s="934"/>
      <c r="U118" s="934"/>
      <c r="V118" s="934"/>
      <c r="W118" s="934"/>
      <c r="X118" s="934"/>
      <c r="Y118" s="934"/>
      <c r="Z118" s="934"/>
    </row>
    <row r="119" ht="15.75" customHeight="1">
      <c r="A119" s="571"/>
      <c r="B119" s="934"/>
      <c r="C119" s="934"/>
      <c r="D119" s="934"/>
      <c r="E119" s="934"/>
      <c r="F119" s="934"/>
      <c r="G119" s="571"/>
      <c r="H119" s="934"/>
      <c r="I119" s="934"/>
      <c r="J119" s="934"/>
      <c r="K119" s="934"/>
      <c r="L119" s="934"/>
      <c r="M119" s="934"/>
      <c r="N119" s="934"/>
      <c r="O119" s="934"/>
      <c r="P119" s="934"/>
      <c r="Q119" s="934"/>
      <c r="R119" s="934"/>
      <c r="S119" s="934"/>
      <c r="T119" s="934"/>
      <c r="U119" s="934"/>
      <c r="V119" s="934"/>
      <c r="W119" s="934"/>
      <c r="X119" s="934"/>
      <c r="Y119" s="934"/>
      <c r="Z119" s="934"/>
    </row>
    <row r="120" ht="15.75" customHeight="1">
      <c r="A120" s="571"/>
      <c r="B120" s="934"/>
      <c r="C120" s="934"/>
      <c r="D120" s="934"/>
      <c r="E120" s="934"/>
      <c r="F120" s="934"/>
      <c r="G120" s="571"/>
      <c r="H120" s="934"/>
      <c r="I120" s="934"/>
      <c r="J120" s="934"/>
      <c r="K120" s="934"/>
      <c r="L120" s="934"/>
      <c r="M120" s="934"/>
      <c r="N120" s="934"/>
      <c r="O120" s="934"/>
      <c r="P120" s="934"/>
      <c r="Q120" s="934"/>
      <c r="R120" s="934"/>
      <c r="S120" s="934"/>
      <c r="T120" s="934"/>
      <c r="U120" s="934"/>
      <c r="V120" s="934"/>
      <c r="W120" s="934"/>
      <c r="X120" s="934"/>
      <c r="Y120" s="934"/>
      <c r="Z120" s="934"/>
    </row>
    <row r="121" ht="15.75" customHeight="1">
      <c r="A121" s="571"/>
      <c r="B121" s="934"/>
      <c r="C121" s="934"/>
      <c r="D121" s="934"/>
      <c r="E121" s="934"/>
      <c r="F121" s="934"/>
      <c r="G121" s="571"/>
      <c r="H121" s="934"/>
      <c r="I121" s="934"/>
      <c r="J121" s="934"/>
      <c r="K121" s="934"/>
      <c r="L121" s="934"/>
      <c r="M121" s="934"/>
      <c r="N121" s="934"/>
      <c r="O121" s="934"/>
      <c r="P121" s="934"/>
      <c r="Q121" s="934"/>
      <c r="R121" s="934"/>
      <c r="S121" s="934"/>
      <c r="T121" s="934"/>
      <c r="U121" s="934"/>
      <c r="V121" s="934"/>
      <c r="W121" s="934"/>
      <c r="X121" s="934"/>
      <c r="Y121" s="934"/>
      <c r="Z121" s="934"/>
    </row>
    <row r="122" ht="15.75" customHeight="1">
      <c r="A122" s="571"/>
      <c r="B122" s="934"/>
      <c r="C122" s="934"/>
      <c r="D122" s="934"/>
      <c r="E122" s="934"/>
      <c r="F122" s="934"/>
      <c r="G122" s="571"/>
      <c r="H122" s="934"/>
      <c r="I122" s="934"/>
      <c r="J122" s="934"/>
      <c r="K122" s="934"/>
      <c r="L122" s="934"/>
      <c r="M122" s="934"/>
      <c r="N122" s="934"/>
      <c r="O122" s="934"/>
      <c r="P122" s="934"/>
      <c r="Q122" s="934"/>
      <c r="R122" s="934"/>
      <c r="S122" s="934"/>
      <c r="T122" s="934"/>
      <c r="U122" s="934"/>
      <c r="V122" s="934"/>
      <c r="W122" s="934"/>
      <c r="X122" s="934"/>
      <c r="Y122" s="934"/>
      <c r="Z122" s="934"/>
    </row>
    <row r="123" ht="15.75" customHeight="1">
      <c r="A123" s="571"/>
      <c r="B123" s="934"/>
      <c r="C123" s="934"/>
      <c r="D123" s="934"/>
      <c r="E123" s="934"/>
      <c r="F123" s="934"/>
      <c r="G123" s="571"/>
      <c r="H123" s="934"/>
      <c r="I123" s="934"/>
      <c r="J123" s="934"/>
      <c r="K123" s="934"/>
      <c r="L123" s="934"/>
      <c r="M123" s="934"/>
      <c r="N123" s="934"/>
      <c r="O123" s="934"/>
      <c r="P123" s="934"/>
      <c r="Q123" s="934"/>
      <c r="R123" s="934"/>
      <c r="S123" s="934"/>
      <c r="T123" s="934"/>
      <c r="U123" s="934"/>
      <c r="V123" s="934"/>
      <c r="W123" s="934"/>
      <c r="X123" s="934"/>
      <c r="Y123" s="934"/>
      <c r="Z123" s="934"/>
    </row>
    <row r="124" ht="15.75" customHeight="1">
      <c r="A124" s="571"/>
      <c r="B124" s="934"/>
      <c r="C124" s="934"/>
      <c r="D124" s="934"/>
      <c r="E124" s="934"/>
      <c r="F124" s="934"/>
      <c r="G124" s="571"/>
      <c r="H124" s="934"/>
      <c r="I124" s="934"/>
      <c r="J124" s="934"/>
      <c r="K124" s="934"/>
      <c r="L124" s="934"/>
      <c r="M124" s="934"/>
      <c r="N124" s="934"/>
      <c r="O124" s="934"/>
      <c r="P124" s="934"/>
      <c r="Q124" s="934"/>
      <c r="R124" s="934"/>
      <c r="S124" s="934"/>
      <c r="T124" s="934"/>
      <c r="U124" s="934"/>
      <c r="V124" s="934"/>
      <c r="W124" s="934"/>
      <c r="X124" s="934"/>
      <c r="Y124" s="934"/>
      <c r="Z124" s="934"/>
    </row>
    <row r="125" ht="15.75" customHeight="1">
      <c r="A125" s="571"/>
      <c r="B125" s="934"/>
      <c r="C125" s="934"/>
      <c r="D125" s="934"/>
      <c r="E125" s="934"/>
      <c r="F125" s="934"/>
      <c r="G125" s="571"/>
      <c r="H125" s="934"/>
      <c r="I125" s="934"/>
      <c r="J125" s="934"/>
      <c r="K125" s="934"/>
      <c r="L125" s="934"/>
      <c r="M125" s="934"/>
      <c r="N125" s="934"/>
      <c r="O125" s="934"/>
      <c r="P125" s="934"/>
      <c r="Q125" s="934"/>
      <c r="R125" s="934"/>
      <c r="S125" s="934"/>
      <c r="T125" s="934"/>
      <c r="U125" s="934"/>
      <c r="V125" s="934"/>
      <c r="W125" s="934"/>
      <c r="X125" s="934"/>
      <c r="Y125" s="934"/>
      <c r="Z125" s="934"/>
    </row>
    <row r="126" ht="15.75" customHeight="1">
      <c r="A126" s="571"/>
      <c r="B126" s="934"/>
      <c r="C126" s="934"/>
      <c r="D126" s="934"/>
      <c r="E126" s="934"/>
      <c r="F126" s="934"/>
      <c r="G126" s="571"/>
      <c r="H126" s="934"/>
      <c r="I126" s="934"/>
      <c r="J126" s="934"/>
      <c r="K126" s="934"/>
      <c r="L126" s="934"/>
      <c r="M126" s="934"/>
      <c r="N126" s="934"/>
      <c r="O126" s="934"/>
      <c r="P126" s="934"/>
      <c r="Q126" s="934"/>
      <c r="R126" s="934"/>
      <c r="S126" s="934"/>
      <c r="T126" s="934"/>
      <c r="U126" s="934"/>
      <c r="V126" s="934"/>
      <c r="W126" s="934"/>
      <c r="X126" s="934"/>
      <c r="Y126" s="934"/>
      <c r="Z126" s="934"/>
    </row>
    <row r="127" ht="15.75" customHeight="1">
      <c r="A127" s="571"/>
      <c r="B127" s="934"/>
      <c r="C127" s="934"/>
      <c r="D127" s="934"/>
      <c r="E127" s="934"/>
      <c r="F127" s="934"/>
      <c r="G127" s="571"/>
      <c r="H127" s="934"/>
      <c r="I127" s="934"/>
      <c r="J127" s="934"/>
      <c r="K127" s="934"/>
      <c r="L127" s="934"/>
      <c r="M127" s="934"/>
      <c r="N127" s="934"/>
      <c r="O127" s="934"/>
      <c r="P127" s="934"/>
      <c r="Q127" s="934"/>
      <c r="R127" s="934"/>
      <c r="S127" s="934"/>
      <c r="T127" s="934"/>
      <c r="U127" s="934"/>
      <c r="V127" s="934"/>
      <c r="W127" s="934"/>
      <c r="X127" s="934"/>
      <c r="Y127" s="934"/>
      <c r="Z127" s="934"/>
    </row>
    <row r="128" ht="15.75" customHeight="1">
      <c r="A128" s="571"/>
      <c r="B128" s="934"/>
      <c r="C128" s="934"/>
      <c r="D128" s="934"/>
      <c r="E128" s="934"/>
      <c r="F128" s="934"/>
      <c r="G128" s="571"/>
      <c r="H128" s="934"/>
      <c r="I128" s="934"/>
      <c r="J128" s="934"/>
      <c r="K128" s="934"/>
      <c r="L128" s="934"/>
      <c r="M128" s="934"/>
      <c r="N128" s="934"/>
      <c r="O128" s="934"/>
      <c r="P128" s="934"/>
      <c r="Q128" s="934"/>
      <c r="R128" s="934"/>
      <c r="S128" s="934"/>
      <c r="T128" s="934"/>
      <c r="U128" s="934"/>
      <c r="V128" s="934"/>
      <c r="W128" s="934"/>
      <c r="X128" s="934"/>
      <c r="Y128" s="934"/>
      <c r="Z128" s="934"/>
    </row>
    <row r="129" ht="15.75" customHeight="1">
      <c r="A129" s="571"/>
      <c r="B129" s="934"/>
      <c r="C129" s="934"/>
      <c r="D129" s="934"/>
      <c r="E129" s="934"/>
      <c r="F129" s="934"/>
      <c r="G129" s="571"/>
      <c r="H129" s="934"/>
      <c r="I129" s="934"/>
      <c r="J129" s="934"/>
      <c r="K129" s="934"/>
      <c r="L129" s="934"/>
      <c r="M129" s="934"/>
      <c r="N129" s="934"/>
      <c r="O129" s="934"/>
      <c r="P129" s="934"/>
      <c r="Q129" s="934"/>
      <c r="R129" s="934"/>
      <c r="S129" s="934"/>
      <c r="T129" s="934"/>
      <c r="U129" s="934"/>
      <c r="V129" s="934"/>
      <c r="W129" s="934"/>
      <c r="X129" s="934"/>
      <c r="Y129" s="934"/>
      <c r="Z129" s="934"/>
    </row>
    <row r="130" ht="15.75" customHeight="1">
      <c r="A130" s="571"/>
      <c r="B130" s="934"/>
      <c r="C130" s="934"/>
      <c r="D130" s="934"/>
      <c r="E130" s="934"/>
      <c r="F130" s="934"/>
      <c r="G130" s="571"/>
      <c r="H130" s="934"/>
      <c r="I130" s="934"/>
      <c r="J130" s="934"/>
      <c r="K130" s="934"/>
      <c r="L130" s="934"/>
      <c r="M130" s="934"/>
      <c r="N130" s="934"/>
      <c r="O130" s="934"/>
      <c r="P130" s="934"/>
      <c r="Q130" s="934"/>
      <c r="R130" s="934"/>
      <c r="S130" s="934"/>
      <c r="T130" s="934"/>
      <c r="U130" s="934"/>
      <c r="V130" s="934"/>
      <c r="W130" s="934"/>
      <c r="X130" s="934"/>
      <c r="Y130" s="934"/>
      <c r="Z130" s="934"/>
    </row>
    <row r="131" ht="15.75" customHeight="1">
      <c r="A131" s="571"/>
      <c r="B131" s="934"/>
      <c r="C131" s="934"/>
      <c r="D131" s="934"/>
      <c r="E131" s="934"/>
      <c r="F131" s="934"/>
      <c r="G131" s="571"/>
      <c r="H131" s="934"/>
      <c r="I131" s="934"/>
      <c r="J131" s="934"/>
      <c r="K131" s="934"/>
      <c r="L131" s="934"/>
      <c r="M131" s="934"/>
      <c r="N131" s="934"/>
      <c r="O131" s="934"/>
      <c r="P131" s="934"/>
      <c r="Q131" s="934"/>
      <c r="R131" s="934"/>
      <c r="S131" s="934"/>
      <c r="T131" s="934"/>
      <c r="U131" s="934"/>
      <c r="V131" s="934"/>
      <c r="W131" s="934"/>
      <c r="X131" s="934"/>
      <c r="Y131" s="934"/>
      <c r="Z131" s="934"/>
    </row>
    <row r="132" ht="15.75" customHeight="1">
      <c r="A132" s="571"/>
      <c r="B132" s="934"/>
      <c r="C132" s="934"/>
      <c r="D132" s="934"/>
      <c r="E132" s="934"/>
      <c r="F132" s="934"/>
      <c r="G132" s="571"/>
      <c r="H132" s="934"/>
      <c r="I132" s="934"/>
      <c r="J132" s="934"/>
      <c r="K132" s="934"/>
      <c r="L132" s="934"/>
      <c r="M132" s="934"/>
      <c r="N132" s="934"/>
      <c r="O132" s="934"/>
      <c r="P132" s="934"/>
      <c r="Q132" s="934"/>
      <c r="R132" s="934"/>
      <c r="S132" s="934"/>
      <c r="T132" s="934"/>
      <c r="U132" s="934"/>
      <c r="V132" s="934"/>
      <c r="W132" s="934"/>
      <c r="X132" s="934"/>
      <c r="Y132" s="934"/>
      <c r="Z132" s="934"/>
    </row>
    <row r="133" ht="15.75" customHeight="1">
      <c r="A133" s="571"/>
      <c r="B133" s="934"/>
      <c r="C133" s="934"/>
      <c r="D133" s="934"/>
      <c r="E133" s="934"/>
      <c r="F133" s="934"/>
      <c r="G133" s="571"/>
      <c r="H133" s="934"/>
      <c r="I133" s="934"/>
      <c r="J133" s="934"/>
      <c r="K133" s="934"/>
      <c r="L133" s="934"/>
      <c r="M133" s="934"/>
      <c r="N133" s="934"/>
      <c r="O133" s="934"/>
      <c r="P133" s="934"/>
      <c r="Q133" s="934"/>
      <c r="R133" s="934"/>
      <c r="S133" s="934"/>
      <c r="T133" s="934"/>
      <c r="U133" s="934"/>
      <c r="V133" s="934"/>
      <c r="W133" s="934"/>
      <c r="X133" s="934"/>
      <c r="Y133" s="934"/>
      <c r="Z133" s="934"/>
    </row>
    <row r="134" ht="15.75" customHeight="1">
      <c r="A134" s="571"/>
      <c r="B134" s="934"/>
      <c r="C134" s="934"/>
      <c r="D134" s="934"/>
      <c r="E134" s="934"/>
      <c r="F134" s="934"/>
      <c r="G134" s="571"/>
      <c r="H134" s="934"/>
      <c r="I134" s="934"/>
      <c r="J134" s="934"/>
      <c r="K134" s="934"/>
      <c r="L134" s="934"/>
      <c r="M134" s="934"/>
      <c r="N134" s="934"/>
      <c r="O134" s="934"/>
      <c r="P134" s="934"/>
      <c r="Q134" s="934"/>
      <c r="R134" s="934"/>
      <c r="S134" s="934"/>
      <c r="T134" s="934"/>
      <c r="U134" s="934"/>
      <c r="V134" s="934"/>
      <c r="W134" s="934"/>
      <c r="X134" s="934"/>
      <c r="Y134" s="934"/>
      <c r="Z134" s="934"/>
    </row>
    <row r="135" ht="15.75" customHeight="1">
      <c r="A135" s="571"/>
      <c r="B135" s="934"/>
      <c r="C135" s="934"/>
      <c r="D135" s="934"/>
      <c r="E135" s="934"/>
      <c r="F135" s="934"/>
      <c r="G135" s="571"/>
      <c r="H135" s="934"/>
      <c r="I135" s="934"/>
      <c r="J135" s="934"/>
      <c r="K135" s="934"/>
      <c r="L135" s="934"/>
      <c r="M135" s="934"/>
      <c r="N135" s="934"/>
      <c r="O135" s="934"/>
      <c r="P135" s="934"/>
      <c r="Q135" s="934"/>
      <c r="R135" s="934"/>
      <c r="S135" s="934"/>
      <c r="T135" s="934"/>
      <c r="U135" s="934"/>
      <c r="V135" s="934"/>
      <c r="W135" s="934"/>
      <c r="X135" s="934"/>
      <c r="Y135" s="934"/>
      <c r="Z135" s="934"/>
    </row>
    <row r="136" ht="15.75" customHeight="1">
      <c r="A136" s="571"/>
      <c r="B136" s="934"/>
      <c r="C136" s="934"/>
      <c r="D136" s="934"/>
      <c r="E136" s="934"/>
      <c r="F136" s="934"/>
      <c r="G136" s="571"/>
      <c r="H136" s="934"/>
      <c r="I136" s="934"/>
      <c r="J136" s="934"/>
      <c r="K136" s="934"/>
      <c r="L136" s="934"/>
      <c r="M136" s="934"/>
      <c r="N136" s="934"/>
      <c r="O136" s="934"/>
      <c r="P136" s="934"/>
      <c r="Q136" s="934"/>
      <c r="R136" s="934"/>
      <c r="S136" s="934"/>
      <c r="T136" s="934"/>
      <c r="U136" s="934"/>
      <c r="V136" s="934"/>
      <c r="W136" s="934"/>
      <c r="X136" s="934"/>
      <c r="Y136" s="934"/>
      <c r="Z136" s="934"/>
    </row>
    <row r="137" ht="15.75" customHeight="1">
      <c r="A137" s="571"/>
      <c r="B137" s="934"/>
      <c r="C137" s="934"/>
      <c r="D137" s="934"/>
      <c r="E137" s="934"/>
      <c r="F137" s="934"/>
      <c r="G137" s="571"/>
      <c r="H137" s="934"/>
      <c r="I137" s="934"/>
      <c r="J137" s="934"/>
      <c r="K137" s="934"/>
      <c r="L137" s="934"/>
      <c r="M137" s="934"/>
      <c r="N137" s="934"/>
      <c r="O137" s="934"/>
      <c r="P137" s="934"/>
      <c r="Q137" s="934"/>
      <c r="R137" s="934"/>
      <c r="S137" s="934"/>
      <c r="T137" s="934"/>
      <c r="U137" s="934"/>
      <c r="V137" s="934"/>
      <c r="W137" s="934"/>
      <c r="X137" s="934"/>
      <c r="Y137" s="934"/>
      <c r="Z137" s="934"/>
    </row>
    <row r="138" ht="15.75" customHeight="1">
      <c r="A138" s="571"/>
      <c r="B138" s="934"/>
      <c r="C138" s="934"/>
      <c r="D138" s="934"/>
      <c r="E138" s="934"/>
      <c r="F138" s="934"/>
      <c r="G138" s="571"/>
      <c r="H138" s="934"/>
      <c r="I138" s="934"/>
      <c r="J138" s="934"/>
      <c r="K138" s="934"/>
      <c r="L138" s="934"/>
      <c r="M138" s="934"/>
      <c r="N138" s="934"/>
      <c r="O138" s="934"/>
      <c r="P138" s="934"/>
      <c r="Q138" s="934"/>
      <c r="R138" s="934"/>
      <c r="S138" s="934"/>
      <c r="T138" s="934"/>
      <c r="U138" s="934"/>
      <c r="V138" s="934"/>
      <c r="W138" s="934"/>
      <c r="X138" s="934"/>
      <c r="Y138" s="934"/>
      <c r="Z138" s="934"/>
    </row>
    <row r="139" ht="15.75" customHeight="1">
      <c r="A139" s="571"/>
      <c r="B139" s="934"/>
      <c r="C139" s="934"/>
      <c r="D139" s="934"/>
      <c r="E139" s="934"/>
      <c r="F139" s="934"/>
      <c r="G139" s="571"/>
      <c r="H139" s="934"/>
      <c r="I139" s="934"/>
      <c r="J139" s="934"/>
      <c r="K139" s="934"/>
      <c r="L139" s="934"/>
      <c r="M139" s="934"/>
      <c r="N139" s="934"/>
      <c r="O139" s="934"/>
      <c r="P139" s="934"/>
      <c r="Q139" s="934"/>
      <c r="R139" s="934"/>
      <c r="S139" s="934"/>
      <c r="T139" s="934"/>
      <c r="U139" s="934"/>
      <c r="V139" s="934"/>
      <c r="W139" s="934"/>
      <c r="X139" s="934"/>
      <c r="Y139" s="934"/>
      <c r="Z139" s="934"/>
    </row>
    <row r="140" ht="15.75" customHeight="1">
      <c r="A140" s="571"/>
      <c r="B140" s="934"/>
      <c r="C140" s="934"/>
      <c r="D140" s="934"/>
      <c r="E140" s="934"/>
      <c r="F140" s="934"/>
      <c r="G140" s="571"/>
      <c r="H140" s="934"/>
      <c r="I140" s="934"/>
      <c r="J140" s="934"/>
      <c r="K140" s="934"/>
      <c r="L140" s="934"/>
      <c r="M140" s="934"/>
      <c r="N140" s="934"/>
      <c r="O140" s="934"/>
      <c r="P140" s="934"/>
      <c r="Q140" s="934"/>
      <c r="R140" s="934"/>
      <c r="S140" s="934"/>
      <c r="T140" s="934"/>
      <c r="U140" s="934"/>
      <c r="V140" s="934"/>
      <c r="W140" s="934"/>
      <c r="X140" s="934"/>
      <c r="Y140" s="934"/>
      <c r="Z140" s="934"/>
    </row>
    <row r="141" ht="15.75" customHeight="1">
      <c r="A141" s="571"/>
      <c r="B141" s="934"/>
      <c r="C141" s="934"/>
      <c r="D141" s="934"/>
      <c r="E141" s="934"/>
      <c r="F141" s="934"/>
      <c r="G141" s="571"/>
      <c r="H141" s="934"/>
      <c r="I141" s="934"/>
      <c r="J141" s="934"/>
      <c r="K141" s="934"/>
      <c r="L141" s="934"/>
      <c r="M141" s="934"/>
      <c r="N141" s="934"/>
      <c r="O141" s="934"/>
      <c r="P141" s="934"/>
      <c r="Q141" s="934"/>
      <c r="R141" s="934"/>
      <c r="S141" s="934"/>
      <c r="T141" s="934"/>
      <c r="U141" s="934"/>
      <c r="V141" s="934"/>
      <c r="W141" s="934"/>
      <c r="X141" s="934"/>
      <c r="Y141" s="934"/>
      <c r="Z141" s="934"/>
    </row>
    <row r="142" ht="15.75" customHeight="1">
      <c r="A142" s="571"/>
      <c r="B142" s="934"/>
      <c r="C142" s="934"/>
      <c r="D142" s="934"/>
      <c r="E142" s="934"/>
      <c r="F142" s="934"/>
      <c r="G142" s="571"/>
      <c r="H142" s="934"/>
      <c r="I142" s="934"/>
      <c r="J142" s="934"/>
      <c r="K142" s="934"/>
      <c r="L142" s="934"/>
      <c r="M142" s="934"/>
      <c r="N142" s="934"/>
      <c r="O142" s="934"/>
      <c r="P142" s="934"/>
      <c r="Q142" s="934"/>
      <c r="R142" s="934"/>
      <c r="S142" s="934"/>
      <c r="T142" s="934"/>
      <c r="U142" s="934"/>
      <c r="V142" s="934"/>
      <c r="W142" s="934"/>
      <c r="X142" s="934"/>
      <c r="Y142" s="934"/>
      <c r="Z142" s="934"/>
    </row>
    <row r="143" ht="15.75" customHeight="1">
      <c r="A143" s="571"/>
      <c r="B143" s="934"/>
      <c r="C143" s="934"/>
      <c r="D143" s="934"/>
      <c r="E143" s="934"/>
      <c r="F143" s="934"/>
      <c r="G143" s="571"/>
      <c r="H143" s="934"/>
      <c r="I143" s="934"/>
      <c r="J143" s="934"/>
      <c r="K143" s="934"/>
      <c r="L143" s="934"/>
      <c r="M143" s="934"/>
      <c r="N143" s="934"/>
      <c r="O143" s="934"/>
      <c r="P143" s="934"/>
      <c r="Q143" s="934"/>
      <c r="R143" s="934"/>
      <c r="S143" s="934"/>
      <c r="T143" s="934"/>
      <c r="U143" s="934"/>
      <c r="V143" s="934"/>
      <c r="W143" s="934"/>
      <c r="X143" s="934"/>
      <c r="Y143" s="934"/>
      <c r="Z143" s="934"/>
    </row>
    <row r="144" ht="15.75" customHeight="1">
      <c r="A144" s="571"/>
      <c r="B144" s="934"/>
      <c r="C144" s="934"/>
      <c r="D144" s="934"/>
      <c r="E144" s="934"/>
      <c r="F144" s="934"/>
      <c r="G144" s="571"/>
      <c r="H144" s="934"/>
      <c r="I144" s="934"/>
      <c r="J144" s="934"/>
      <c r="K144" s="934"/>
      <c r="L144" s="934"/>
      <c r="M144" s="934"/>
      <c r="N144" s="934"/>
      <c r="O144" s="934"/>
      <c r="P144" s="934"/>
      <c r="Q144" s="934"/>
      <c r="R144" s="934"/>
      <c r="S144" s="934"/>
      <c r="T144" s="934"/>
      <c r="U144" s="934"/>
      <c r="V144" s="934"/>
      <c r="W144" s="934"/>
      <c r="X144" s="934"/>
      <c r="Y144" s="934"/>
      <c r="Z144" s="934"/>
    </row>
    <row r="145" ht="15.75" customHeight="1">
      <c r="A145" s="571"/>
      <c r="B145" s="934"/>
      <c r="C145" s="934"/>
      <c r="D145" s="934"/>
      <c r="E145" s="934"/>
      <c r="F145" s="934"/>
      <c r="G145" s="571"/>
      <c r="H145" s="934"/>
      <c r="I145" s="934"/>
      <c r="J145" s="934"/>
      <c r="K145" s="934"/>
      <c r="L145" s="934"/>
      <c r="M145" s="934"/>
      <c r="N145" s="934"/>
      <c r="O145" s="934"/>
      <c r="P145" s="934"/>
      <c r="Q145" s="934"/>
      <c r="R145" s="934"/>
      <c r="S145" s="934"/>
      <c r="T145" s="934"/>
      <c r="U145" s="934"/>
      <c r="V145" s="934"/>
      <c r="W145" s="934"/>
      <c r="X145" s="934"/>
      <c r="Y145" s="934"/>
      <c r="Z145" s="934"/>
    </row>
    <row r="146" ht="15.75" customHeight="1">
      <c r="A146" s="571"/>
      <c r="B146" s="934"/>
      <c r="C146" s="934"/>
      <c r="D146" s="934"/>
      <c r="E146" s="934"/>
      <c r="F146" s="934"/>
      <c r="G146" s="571"/>
      <c r="H146" s="934"/>
      <c r="I146" s="934"/>
      <c r="J146" s="934"/>
      <c r="K146" s="934"/>
      <c r="L146" s="934"/>
      <c r="M146" s="934"/>
      <c r="N146" s="934"/>
      <c r="O146" s="934"/>
      <c r="P146" s="934"/>
      <c r="Q146" s="934"/>
      <c r="R146" s="934"/>
      <c r="S146" s="934"/>
      <c r="T146" s="934"/>
      <c r="U146" s="934"/>
      <c r="V146" s="934"/>
      <c r="W146" s="934"/>
      <c r="X146" s="934"/>
      <c r="Y146" s="934"/>
      <c r="Z146" s="934"/>
    </row>
    <row r="147" ht="15.75" customHeight="1">
      <c r="A147" s="571"/>
      <c r="B147" s="934"/>
      <c r="C147" s="934"/>
      <c r="D147" s="934"/>
      <c r="E147" s="934"/>
      <c r="F147" s="934"/>
      <c r="G147" s="571"/>
      <c r="H147" s="934"/>
      <c r="I147" s="934"/>
      <c r="J147" s="934"/>
      <c r="K147" s="934"/>
      <c r="L147" s="934"/>
      <c r="M147" s="934"/>
      <c r="N147" s="934"/>
      <c r="O147" s="934"/>
      <c r="P147" s="934"/>
      <c r="Q147" s="934"/>
      <c r="R147" s="934"/>
      <c r="S147" s="934"/>
      <c r="T147" s="934"/>
      <c r="U147" s="934"/>
      <c r="V147" s="934"/>
      <c r="W147" s="934"/>
      <c r="X147" s="934"/>
      <c r="Y147" s="934"/>
      <c r="Z147" s="934"/>
    </row>
    <row r="148" ht="15.75" customHeight="1">
      <c r="A148" s="571"/>
      <c r="B148" s="934"/>
      <c r="C148" s="934"/>
      <c r="D148" s="934"/>
      <c r="E148" s="934"/>
      <c r="F148" s="934"/>
      <c r="G148" s="571"/>
      <c r="H148" s="934"/>
      <c r="I148" s="934"/>
      <c r="J148" s="934"/>
      <c r="K148" s="934"/>
      <c r="L148" s="934"/>
      <c r="M148" s="934"/>
      <c r="N148" s="934"/>
      <c r="O148" s="934"/>
      <c r="P148" s="934"/>
      <c r="Q148" s="934"/>
      <c r="R148" s="934"/>
      <c r="S148" s="934"/>
      <c r="T148" s="934"/>
      <c r="U148" s="934"/>
      <c r="V148" s="934"/>
      <c r="W148" s="934"/>
      <c r="X148" s="934"/>
      <c r="Y148" s="934"/>
      <c r="Z148" s="934"/>
    </row>
    <row r="149" ht="15.75" customHeight="1">
      <c r="A149" s="571"/>
      <c r="B149" s="934"/>
      <c r="C149" s="934"/>
      <c r="D149" s="934"/>
      <c r="E149" s="934"/>
      <c r="F149" s="934"/>
      <c r="G149" s="571"/>
      <c r="H149" s="934"/>
      <c r="I149" s="934"/>
      <c r="J149" s="934"/>
      <c r="K149" s="934"/>
      <c r="L149" s="934"/>
      <c r="M149" s="934"/>
      <c r="N149" s="934"/>
      <c r="O149" s="934"/>
      <c r="P149" s="934"/>
      <c r="Q149" s="934"/>
      <c r="R149" s="934"/>
      <c r="S149" s="934"/>
      <c r="T149" s="934"/>
      <c r="U149" s="934"/>
      <c r="V149" s="934"/>
      <c r="W149" s="934"/>
      <c r="X149" s="934"/>
      <c r="Y149" s="934"/>
      <c r="Z149" s="934"/>
    </row>
    <row r="150" ht="15.75" customHeight="1">
      <c r="A150" s="571"/>
      <c r="B150" s="934"/>
      <c r="C150" s="934"/>
      <c r="D150" s="934"/>
      <c r="E150" s="934"/>
      <c r="F150" s="934"/>
      <c r="G150" s="571"/>
      <c r="H150" s="934"/>
      <c r="I150" s="934"/>
      <c r="J150" s="934"/>
      <c r="K150" s="934"/>
      <c r="L150" s="934"/>
      <c r="M150" s="934"/>
      <c r="N150" s="934"/>
      <c r="O150" s="934"/>
      <c r="P150" s="934"/>
      <c r="Q150" s="934"/>
      <c r="R150" s="934"/>
      <c r="S150" s="934"/>
      <c r="T150" s="934"/>
      <c r="U150" s="934"/>
      <c r="V150" s="934"/>
      <c r="W150" s="934"/>
      <c r="X150" s="934"/>
      <c r="Y150" s="934"/>
      <c r="Z150" s="934"/>
    </row>
    <row r="151" ht="15.75" customHeight="1">
      <c r="A151" s="571"/>
      <c r="B151" s="934"/>
      <c r="C151" s="934"/>
      <c r="D151" s="934"/>
      <c r="E151" s="934"/>
      <c r="F151" s="934"/>
      <c r="G151" s="571"/>
      <c r="H151" s="934"/>
      <c r="I151" s="934"/>
      <c r="J151" s="934"/>
      <c r="K151" s="934"/>
      <c r="L151" s="934"/>
      <c r="M151" s="934"/>
      <c r="N151" s="934"/>
      <c r="O151" s="934"/>
      <c r="P151" s="934"/>
      <c r="Q151" s="934"/>
      <c r="R151" s="934"/>
      <c r="S151" s="934"/>
      <c r="T151" s="934"/>
      <c r="U151" s="934"/>
      <c r="V151" s="934"/>
      <c r="W151" s="934"/>
      <c r="X151" s="934"/>
      <c r="Y151" s="934"/>
      <c r="Z151" s="934"/>
    </row>
    <row r="152" ht="15.75" customHeight="1">
      <c r="A152" s="571"/>
      <c r="B152" s="934"/>
      <c r="C152" s="934"/>
      <c r="D152" s="934"/>
      <c r="E152" s="934"/>
      <c r="F152" s="934"/>
      <c r="G152" s="571"/>
      <c r="H152" s="934"/>
      <c r="I152" s="934"/>
      <c r="J152" s="934"/>
      <c r="K152" s="934"/>
      <c r="L152" s="934"/>
      <c r="M152" s="934"/>
      <c r="N152" s="934"/>
      <c r="O152" s="934"/>
      <c r="P152" s="934"/>
      <c r="Q152" s="934"/>
      <c r="R152" s="934"/>
      <c r="S152" s="934"/>
      <c r="T152" s="934"/>
      <c r="U152" s="934"/>
      <c r="V152" s="934"/>
      <c r="W152" s="934"/>
      <c r="X152" s="934"/>
      <c r="Y152" s="934"/>
      <c r="Z152" s="934"/>
    </row>
    <row r="153" ht="15.75" customHeight="1">
      <c r="A153" s="571"/>
      <c r="B153" s="934"/>
      <c r="C153" s="934"/>
      <c r="D153" s="934"/>
      <c r="E153" s="934"/>
      <c r="F153" s="934"/>
      <c r="G153" s="571"/>
      <c r="H153" s="934"/>
      <c r="I153" s="934"/>
      <c r="J153" s="934"/>
      <c r="K153" s="934"/>
      <c r="L153" s="934"/>
      <c r="M153" s="934"/>
      <c r="N153" s="934"/>
      <c r="O153" s="934"/>
      <c r="P153" s="934"/>
      <c r="Q153" s="934"/>
      <c r="R153" s="934"/>
      <c r="S153" s="934"/>
      <c r="T153" s="934"/>
      <c r="U153" s="934"/>
      <c r="V153" s="934"/>
      <c r="W153" s="934"/>
      <c r="X153" s="934"/>
      <c r="Y153" s="934"/>
      <c r="Z153" s="934"/>
    </row>
    <row r="154" ht="15.75" customHeight="1">
      <c r="A154" s="571"/>
      <c r="B154" s="934"/>
      <c r="C154" s="934"/>
      <c r="D154" s="934"/>
      <c r="E154" s="934"/>
      <c r="F154" s="934"/>
      <c r="G154" s="571"/>
      <c r="H154" s="934"/>
      <c r="I154" s="934"/>
      <c r="J154" s="934"/>
      <c r="K154" s="934"/>
      <c r="L154" s="934"/>
      <c r="M154" s="934"/>
      <c r="N154" s="934"/>
      <c r="O154" s="934"/>
      <c r="P154" s="934"/>
      <c r="Q154" s="934"/>
      <c r="R154" s="934"/>
      <c r="S154" s="934"/>
      <c r="T154" s="934"/>
      <c r="U154" s="934"/>
      <c r="V154" s="934"/>
      <c r="W154" s="934"/>
      <c r="X154" s="934"/>
      <c r="Y154" s="934"/>
      <c r="Z154" s="934"/>
    </row>
    <row r="155" ht="15.75" customHeight="1">
      <c r="A155" s="571"/>
      <c r="B155" s="934"/>
      <c r="C155" s="934"/>
      <c r="D155" s="934"/>
      <c r="E155" s="934"/>
      <c r="F155" s="934"/>
      <c r="G155" s="571"/>
      <c r="H155" s="934"/>
      <c r="I155" s="934"/>
      <c r="J155" s="934"/>
      <c r="K155" s="934"/>
      <c r="L155" s="934"/>
      <c r="M155" s="934"/>
      <c r="N155" s="934"/>
      <c r="O155" s="934"/>
      <c r="P155" s="934"/>
      <c r="Q155" s="934"/>
      <c r="R155" s="934"/>
      <c r="S155" s="934"/>
      <c r="T155" s="934"/>
      <c r="U155" s="934"/>
      <c r="V155" s="934"/>
      <c r="W155" s="934"/>
      <c r="X155" s="934"/>
      <c r="Y155" s="934"/>
      <c r="Z155" s="934"/>
    </row>
    <row r="156" ht="15.75" customHeight="1">
      <c r="A156" s="571"/>
      <c r="B156" s="934"/>
      <c r="C156" s="934"/>
      <c r="D156" s="934"/>
      <c r="E156" s="934"/>
      <c r="F156" s="934"/>
      <c r="G156" s="571"/>
      <c r="H156" s="934"/>
      <c r="I156" s="934"/>
      <c r="J156" s="934"/>
      <c r="K156" s="934"/>
      <c r="L156" s="934"/>
      <c r="M156" s="934"/>
      <c r="N156" s="934"/>
      <c r="O156" s="934"/>
      <c r="P156" s="934"/>
      <c r="Q156" s="934"/>
      <c r="R156" s="934"/>
      <c r="S156" s="934"/>
      <c r="T156" s="934"/>
      <c r="U156" s="934"/>
      <c r="V156" s="934"/>
      <c r="W156" s="934"/>
      <c r="X156" s="934"/>
      <c r="Y156" s="934"/>
      <c r="Z156" s="934"/>
    </row>
    <row r="157" ht="15.75" customHeight="1">
      <c r="A157" s="571"/>
      <c r="B157" s="934"/>
      <c r="C157" s="934"/>
      <c r="D157" s="934"/>
      <c r="E157" s="934"/>
      <c r="F157" s="934"/>
      <c r="G157" s="571"/>
      <c r="H157" s="934"/>
      <c r="I157" s="934"/>
      <c r="J157" s="934"/>
      <c r="K157" s="934"/>
      <c r="L157" s="934"/>
      <c r="M157" s="934"/>
      <c r="N157" s="934"/>
      <c r="O157" s="934"/>
      <c r="P157" s="934"/>
      <c r="Q157" s="934"/>
      <c r="R157" s="934"/>
      <c r="S157" s="934"/>
      <c r="T157" s="934"/>
      <c r="U157" s="934"/>
      <c r="V157" s="934"/>
      <c r="W157" s="934"/>
      <c r="X157" s="934"/>
      <c r="Y157" s="934"/>
      <c r="Z157" s="934"/>
    </row>
    <row r="158" ht="15.75" customHeight="1">
      <c r="A158" s="571"/>
      <c r="B158" s="934"/>
      <c r="C158" s="934"/>
      <c r="D158" s="934"/>
      <c r="E158" s="934"/>
      <c r="F158" s="934"/>
      <c r="G158" s="571"/>
      <c r="H158" s="934"/>
      <c r="I158" s="934"/>
      <c r="J158" s="934"/>
      <c r="K158" s="934"/>
      <c r="L158" s="934"/>
      <c r="M158" s="934"/>
      <c r="N158" s="934"/>
      <c r="O158" s="934"/>
      <c r="P158" s="934"/>
      <c r="Q158" s="934"/>
      <c r="R158" s="934"/>
      <c r="S158" s="934"/>
      <c r="T158" s="934"/>
      <c r="U158" s="934"/>
      <c r="V158" s="934"/>
      <c r="W158" s="934"/>
      <c r="X158" s="934"/>
      <c r="Y158" s="934"/>
      <c r="Z158" s="934"/>
    </row>
    <row r="159" ht="15.75" customHeight="1">
      <c r="A159" s="571"/>
      <c r="B159" s="934"/>
      <c r="C159" s="934"/>
      <c r="D159" s="934"/>
      <c r="E159" s="934"/>
      <c r="F159" s="934"/>
      <c r="G159" s="571"/>
      <c r="H159" s="934"/>
      <c r="I159" s="934"/>
      <c r="J159" s="934"/>
      <c r="K159" s="934"/>
      <c r="L159" s="934"/>
      <c r="M159" s="934"/>
      <c r="N159" s="934"/>
      <c r="O159" s="934"/>
      <c r="P159" s="934"/>
      <c r="Q159" s="934"/>
      <c r="R159" s="934"/>
      <c r="S159" s="934"/>
      <c r="T159" s="934"/>
      <c r="U159" s="934"/>
      <c r="V159" s="934"/>
      <c r="W159" s="934"/>
      <c r="X159" s="934"/>
      <c r="Y159" s="934"/>
      <c r="Z159" s="934"/>
    </row>
    <row r="160" ht="15.75" customHeight="1">
      <c r="A160" s="571"/>
      <c r="B160" s="934"/>
      <c r="C160" s="934"/>
      <c r="D160" s="934"/>
      <c r="E160" s="934"/>
      <c r="F160" s="934"/>
      <c r="G160" s="571"/>
      <c r="H160" s="934"/>
      <c r="I160" s="934"/>
      <c r="J160" s="934"/>
      <c r="K160" s="934"/>
      <c r="L160" s="934"/>
      <c r="M160" s="934"/>
      <c r="N160" s="934"/>
      <c r="O160" s="934"/>
      <c r="P160" s="934"/>
      <c r="Q160" s="934"/>
      <c r="R160" s="934"/>
      <c r="S160" s="934"/>
      <c r="T160" s="934"/>
      <c r="U160" s="934"/>
      <c r="V160" s="934"/>
      <c r="W160" s="934"/>
      <c r="X160" s="934"/>
      <c r="Y160" s="934"/>
      <c r="Z160" s="934"/>
    </row>
    <row r="161" ht="15.75" customHeight="1">
      <c r="A161" s="571"/>
      <c r="B161" s="934"/>
      <c r="C161" s="934"/>
      <c r="D161" s="934"/>
      <c r="E161" s="934"/>
      <c r="F161" s="934"/>
      <c r="G161" s="571"/>
      <c r="H161" s="934"/>
      <c r="I161" s="934"/>
      <c r="J161" s="934"/>
      <c r="K161" s="934"/>
      <c r="L161" s="934"/>
      <c r="M161" s="934"/>
      <c r="N161" s="934"/>
      <c r="O161" s="934"/>
      <c r="P161" s="934"/>
      <c r="Q161" s="934"/>
      <c r="R161" s="934"/>
      <c r="S161" s="934"/>
      <c r="T161" s="934"/>
      <c r="U161" s="934"/>
      <c r="V161" s="934"/>
      <c r="W161" s="934"/>
      <c r="X161" s="934"/>
      <c r="Y161" s="934"/>
      <c r="Z161" s="934"/>
    </row>
    <row r="162" ht="15.75" customHeight="1">
      <c r="A162" s="571"/>
      <c r="B162" s="934"/>
      <c r="C162" s="934"/>
      <c r="D162" s="934"/>
      <c r="E162" s="934"/>
      <c r="F162" s="934"/>
      <c r="G162" s="571"/>
      <c r="H162" s="934"/>
      <c r="I162" s="934"/>
      <c r="J162" s="934"/>
      <c r="K162" s="934"/>
      <c r="L162" s="934"/>
      <c r="M162" s="934"/>
      <c r="N162" s="934"/>
      <c r="O162" s="934"/>
      <c r="P162" s="934"/>
      <c r="Q162" s="934"/>
      <c r="R162" s="934"/>
      <c r="S162" s="934"/>
      <c r="T162" s="934"/>
      <c r="U162" s="934"/>
      <c r="V162" s="934"/>
      <c r="W162" s="934"/>
      <c r="X162" s="934"/>
      <c r="Y162" s="934"/>
      <c r="Z162" s="934"/>
    </row>
    <row r="163" ht="15.75" customHeight="1">
      <c r="A163" s="571"/>
      <c r="B163" s="934"/>
      <c r="C163" s="934"/>
      <c r="D163" s="934"/>
      <c r="E163" s="934"/>
      <c r="F163" s="934"/>
      <c r="G163" s="571"/>
      <c r="H163" s="934"/>
      <c r="I163" s="934"/>
      <c r="J163" s="934"/>
      <c r="K163" s="934"/>
      <c r="L163" s="934"/>
      <c r="M163" s="934"/>
      <c r="N163" s="934"/>
      <c r="O163" s="934"/>
      <c r="P163" s="934"/>
      <c r="Q163" s="934"/>
      <c r="R163" s="934"/>
      <c r="S163" s="934"/>
      <c r="T163" s="934"/>
      <c r="U163" s="934"/>
      <c r="V163" s="934"/>
      <c r="W163" s="934"/>
      <c r="X163" s="934"/>
      <c r="Y163" s="934"/>
      <c r="Z163" s="934"/>
    </row>
    <row r="164" ht="15.75" customHeight="1">
      <c r="A164" s="571"/>
      <c r="B164" s="934"/>
      <c r="C164" s="934"/>
      <c r="D164" s="934"/>
      <c r="E164" s="934"/>
      <c r="F164" s="934"/>
      <c r="G164" s="571"/>
      <c r="H164" s="934"/>
      <c r="I164" s="934"/>
      <c r="J164" s="934"/>
      <c r="K164" s="934"/>
      <c r="L164" s="934"/>
      <c r="M164" s="934"/>
      <c r="N164" s="934"/>
      <c r="O164" s="934"/>
      <c r="P164" s="934"/>
      <c r="Q164" s="934"/>
      <c r="R164" s="934"/>
      <c r="S164" s="934"/>
      <c r="T164" s="934"/>
      <c r="U164" s="934"/>
      <c r="V164" s="934"/>
      <c r="W164" s="934"/>
      <c r="X164" s="934"/>
      <c r="Y164" s="934"/>
      <c r="Z164" s="934"/>
    </row>
    <row r="165" ht="15.75" customHeight="1">
      <c r="A165" s="571"/>
      <c r="B165" s="934"/>
      <c r="C165" s="934"/>
      <c r="D165" s="934"/>
      <c r="E165" s="934"/>
      <c r="F165" s="934"/>
      <c r="G165" s="571"/>
      <c r="H165" s="934"/>
      <c r="I165" s="934"/>
      <c r="J165" s="934"/>
      <c r="K165" s="934"/>
      <c r="L165" s="934"/>
      <c r="M165" s="934"/>
      <c r="N165" s="934"/>
      <c r="O165" s="934"/>
      <c r="P165" s="934"/>
      <c r="Q165" s="934"/>
      <c r="R165" s="934"/>
      <c r="S165" s="934"/>
      <c r="T165" s="934"/>
      <c r="U165" s="934"/>
      <c r="V165" s="934"/>
      <c r="W165" s="934"/>
      <c r="X165" s="934"/>
      <c r="Y165" s="934"/>
      <c r="Z165" s="934"/>
    </row>
    <row r="166" ht="15.75" customHeight="1">
      <c r="A166" s="571"/>
      <c r="B166" s="934"/>
      <c r="C166" s="934"/>
      <c r="D166" s="934"/>
      <c r="E166" s="934"/>
      <c r="F166" s="934"/>
      <c r="G166" s="571"/>
      <c r="H166" s="934"/>
      <c r="I166" s="934"/>
      <c r="J166" s="934"/>
      <c r="K166" s="934"/>
      <c r="L166" s="934"/>
      <c r="M166" s="934"/>
      <c r="N166" s="934"/>
      <c r="O166" s="934"/>
      <c r="P166" s="934"/>
      <c r="Q166" s="934"/>
      <c r="R166" s="934"/>
      <c r="S166" s="934"/>
      <c r="T166" s="934"/>
      <c r="U166" s="934"/>
      <c r="V166" s="934"/>
      <c r="W166" s="934"/>
      <c r="X166" s="934"/>
      <c r="Y166" s="934"/>
      <c r="Z166" s="934"/>
    </row>
    <row r="167" ht="15.75" customHeight="1">
      <c r="A167" s="571"/>
      <c r="B167" s="934"/>
      <c r="C167" s="934"/>
      <c r="D167" s="934"/>
      <c r="E167" s="934"/>
      <c r="F167" s="934"/>
      <c r="G167" s="571"/>
      <c r="H167" s="934"/>
      <c r="I167" s="934"/>
      <c r="J167" s="934"/>
      <c r="K167" s="934"/>
      <c r="L167" s="934"/>
      <c r="M167" s="934"/>
      <c r="N167" s="934"/>
      <c r="O167" s="934"/>
      <c r="P167" s="934"/>
      <c r="Q167" s="934"/>
      <c r="R167" s="934"/>
      <c r="S167" s="934"/>
      <c r="T167" s="934"/>
      <c r="U167" s="934"/>
      <c r="V167" s="934"/>
      <c r="W167" s="934"/>
      <c r="X167" s="934"/>
      <c r="Y167" s="934"/>
      <c r="Z167" s="934"/>
    </row>
    <row r="168" ht="15.75" customHeight="1">
      <c r="A168" s="571"/>
      <c r="B168" s="934"/>
      <c r="C168" s="934"/>
      <c r="D168" s="934"/>
      <c r="E168" s="934"/>
      <c r="F168" s="934"/>
      <c r="G168" s="571"/>
      <c r="H168" s="934"/>
      <c r="I168" s="934"/>
      <c r="J168" s="934"/>
      <c r="K168" s="934"/>
      <c r="L168" s="934"/>
      <c r="M168" s="934"/>
      <c r="N168" s="934"/>
      <c r="O168" s="934"/>
      <c r="P168" s="934"/>
      <c r="Q168" s="934"/>
      <c r="R168" s="934"/>
      <c r="S168" s="934"/>
      <c r="T168" s="934"/>
      <c r="U168" s="934"/>
      <c r="V168" s="934"/>
      <c r="W168" s="934"/>
      <c r="X168" s="934"/>
      <c r="Y168" s="934"/>
      <c r="Z168" s="934"/>
    </row>
    <row r="169" ht="15.75" customHeight="1">
      <c r="A169" s="571"/>
      <c r="B169" s="934"/>
      <c r="C169" s="934"/>
      <c r="D169" s="934"/>
      <c r="E169" s="934"/>
      <c r="F169" s="934"/>
      <c r="G169" s="571"/>
      <c r="H169" s="934"/>
      <c r="I169" s="934"/>
      <c r="J169" s="934"/>
      <c r="K169" s="934"/>
      <c r="L169" s="934"/>
      <c r="M169" s="934"/>
      <c r="N169" s="934"/>
      <c r="O169" s="934"/>
      <c r="P169" s="934"/>
      <c r="Q169" s="934"/>
      <c r="R169" s="934"/>
      <c r="S169" s="934"/>
      <c r="T169" s="934"/>
      <c r="U169" s="934"/>
      <c r="V169" s="934"/>
      <c r="W169" s="934"/>
      <c r="X169" s="934"/>
      <c r="Y169" s="934"/>
      <c r="Z169" s="934"/>
    </row>
    <row r="170" ht="15.75" customHeight="1">
      <c r="A170" s="571"/>
      <c r="B170" s="934"/>
      <c r="C170" s="934"/>
      <c r="D170" s="934"/>
      <c r="E170" s="934"/>
      <c r="F170" s="934"/>
      <c r="G170" s="571"/>
      <c r="H170" s="934"/>
      <c r="I170" s="934"/>
      <c r="J170" s="934"/>
      <c r="K170" s="934"/>
      <c r="L170" s="934"/>
      <c r="M170" s="934"/>
      <c r="N170" s="934"/>
      <c r="O170" s="934"/>
      <c r="P170" s="934"/>
      <c r="Q170" s="934"/>
      <c r="R170" s="934"/>
      <c r="S170" s="934"/>
      <c r="T170" s="934"/>
      <c r="U170" s="934"/>
      <c r="V170" s="934"/>
      <c r="W170" s="934"/>
      <c r="X170" s="934"/>
      <c r="Y170" s="934"/>
      <c r="Z170" s="934"/>
    </row>
    <row r="171" ht="15.75" customHeight="1">
      <c r="A171" s="571"/>
      <c r="B171" s="934"/>
      <c r="C171" s="934"/>
      <c r="D171" s="934"/>
      <c r="E171" s="934"/>
      <c r="F171" s="934"/>
      <c r="G171" s="571"/>
      <c r="H171" s="934"/>
      <c r="I171" s="934"/>
      <c r="J171" s="934"/>
      <c r="K171" s="934"/>
      <c r="L171" s="934"/>
      <c r="M171" s="934"/>
      <c r="N171" s="934"/>
      <c r="O171" s="934"/>
      <c r="P171" s="934"/>
      <c r="Q171" s="934"/>
      <c r="R171" s="934"/>
      <c r="S171" s="934"/>
      <c r="T171" s="934"/>
      <c r="U171" s="934"/>
      <c r="V171" s="934"/>
      <c r="W171" s="934"/>
      <c r="X171" s="934"/>
      <c r="Y171" s="934"/>
      <c r="Z171" s="934"/>
    </row>
    <row r="172" ht="15.75" customHeight="1">
      <c r="A172" s="571"/>
      <c r="B172" s="934"/>
      <c r="C172" s="934"/>
      <c r="D172" s="934"/>
      <c r="E172" s="934"/>
      <c r="F172" s="934"/>
      <c r="G172" s="571"/>
      <c r="H172" s="934"/>
      <c r="I172" s="934"/>
      <c r="J172" s="934"/>
      <c r="K172" s="934"/>
      <c r="L172" s="934"/>
      <c r="M172" s="934"/>
      <c r="N172" s="934"/>
      <c r="O172" s="934"/>
      <c r="P172" s="934"/>
      <c r="Q172" s="934"/>
      <c r="R172" s="934"/>
      <c r="S172" s="934"/>
      <c r="T172" s="934"/>
      <c r="U172" s="934"/>
      <c r="V172" s="934"/>
      <c r="W172" s="934"/>
      <c r="X172" s="934"/>
      <c r="Y172" s="934"/>
      <c r="Z172" s="934"/>
    </row>
    <row r="173" ht="15.75" customHeight="1">
      <c r="A173" s="571"/>
      <c r="B173" s="934"/>
      <c r="C173" s="934"/>
      <c r="D173" s="934"/>
      <c r="E173" s="934"/>
      <c r="F173" s="934"/>
      <c r="G173" s="571"/>
      <c r="H173" s="934"/>
      <c r="I173" s="934"/>
      <c r="J173" s="934"/>
      <c r="K173" s="934"/>
      <c r="L173" s="934"/>
      <c r="M173" s="934"/>
      <c r="N173" s="934"/>
      <c r="O173" s="934"/>
      <c r="P173" s="934"/>
      <c r="Q173" s="934"/>
      <c r="R173" s="934"/>
      <c r="S173" s="934"/>
      <c r="T173" s="934"/>
      <c r="U173" s="934"/>
      <c r="V173" s="934"/>
      <c r="W173" s="934"/>
      <c r="X173" s="934"/>
      <c r="Y173" s="934"/>
      <c r="Z173" s="934"/>
    </row>
    <row r="174" ht="15.75" customHeight="1">
      <c r="A174" s="571"/>
      <c r="B174" s="934"/>
      <c r="C174" s="934"/>
      <c r="D174" s="934"/>
      <c r="E174" s="934"/>
      <c r="F174" s="934"/>
      <c r="G174" s="571"/>
      <c r="H174" s="934"/>
      <c r="I174" s="934"/>
      <c r="J174" s="934"/>
      <c r="K174" s="934"/>
      <c r="L174" s="934"/>
      <c r="M174" s="934"/>
      <c r="N174" s="934"/>
      <c r="O174" s="934"/>
      <c r="P174" s="934"/>
      <c r="Q174" s="934"/>
      <c r="R174" s="934"/>
      <c r="S174" s="934"/>
      <c r="T174" s="934"/>
      <c r="U174" s="934"/>
      <c r="V174" s="934"/>
      <c r="W174" s="934"/>
      <c r="X174" s="934"/>
      <c r="Y174" s="934"/>
      <c r="Z174" s="934"/>
    </row>
    <row r="175" ht="15.75" customHeight="1">
      <c r="A175" s="571"/>
      <c r="B175" s="934"/>
      <c r="C175" s="934"/>
      <c r="D175" s="934"/>
      <c r="E175" s="934"/>
      <c r="F175" s="934"/>
      <c r="G175" s="571"/>
      <c r="H175" s="934"/>
      <c r="I175" s="934"/>
      <c r="J175" s="934"/>
      <c r="K175" s="934"/>
      <c r="L175" s="934"/>
      <c r="M175" s="934"/>
      <c r="N175" s="934"/>
      <c r="O175" s="934"/>
      <c r="P175" s="934"/>
      <c r="Q175" s="934"/>
      <c r="R175" s="934"/>
      <c r="S175" s="934"/>
      <c r="T175" s="934"/>
      <c r="U175" s="934"/>
      <c r="V175" s="934"/>
      <c r="W175" s="934"/>
      <c r="X175" s="934"/>
      <c r="Y175" s="934"/>
      <c r="Z175" s="934"/>
    </row>
    <row r="176" ht="15.75" customHeight="1">
      <c r="A176" s="571"/>
      <c r="B176" s="934"/>
      <c r="C176" s="934"/>
      <c r="D176" s="934"/>
      <c r="E176" s="934"/>
      <c r="F176" s="934"/>
      <c r="G176" s="571"/>
      <c r="H176" s="934"/>
      <c r="I176" s="934"/>
      <c r="J176" s="934"/>
      <c r="K176" s="934"/>
      <c r="L176" s="934"/>
      <c r="M176" s="934"/>
      <c r="N176" s="934"/>
      <c r="O176" s="934"/>
      <c r="P176" s="934"/>
      <c r="Q176" s="934"/>
      <c r="R176" s="934"/>
      <c r="S176" s="934"/>
      <c r="T176" s="934"/>
      <c r="U176" s="934"/>
      <c r="V176" s="934"/>
      <c r="W176" s="934"/>
      <c r="X176" s="934"/>
      <c r="Y176" s="934"/>
      <c r="Z176" s="934"/>
    </row>
    <row r="177" ht="15.75" customHeight="1">
      <c r="A177" s="571"/>
      <c r="B177" s="934"/>
      <c r="C177" s="934"/>
      <c r="D177" s="934"/>
      <c r="E177" s="934"/>
      <c r="F177" s="934"/>
      <c r="G177" s="571"/>
      <c r="H177" s="934"/>
      <c r="I177" s="934"/>
      <c r="J177" s="934"/>
      <c r="K177" s="934"/>
      <c r="L177" s="934"/>
      <c r="M177" s="934"/>
      <c r="N177" s="934"/>
      <c r="O177" s="934"/>
      <c r="P177" s="934"/>
      <c r="Q177" s="934"/>
      <c r="R177" s="934"/>
      <c r="S177" s="934"/>
      <c r="T177" s="934"/>
      <c r="U177" s="934"/>
      <c r="V177" s="934"/>
      <c r="W177" s="934"/>
      <c r="X177" s="934"/>
      <c r="Y177" s="934"/>
      <c r="Z177" s="934"/>
    </row>
    <row r="178" ht="15.75" customHeight="1">
      <c r="A178" s="571"/>
      <c r="B178" s="934"/>
      <c r="C178" s="934"/>
      <c r="D178" s="934"/>
      <c r="E178" s="934"/>
      <c r="F178" s="934"/>
      <c r="G178" s="571"/>
      <c r="H178" s="934"/>
      <c r="I178" s="934"/>
      <c r="J178" s="934"/>
      <c r="K178" s="934"/>
      <c r="L178" s="934"/>
      <c r="M178" s="934"/>
      <c r="N178" s="934"/>
      <c r="O178" s="934"/>
      <c r="P178" s="934"/>
      <c r="Q178" s="934"/>
      <c r="R178" s="934"/>
      <c r="S178" s="934"/>
      <c r="T178" s="934"/>
      <c r="U178" s="934"/>
      <c r="V178" s="934"/>
      <c r="W178" s="934"/>
      <c r="X178" s="934"/>
      <c r="Y178" s="934"/>
      <c r="Z178" s="934"/>
    </row>
    <row r="179" ht="15.75" customHeight="1">
      <c r="A179" s="571"/>
      <c r="B179" s="934"/>
      <c r="C179" s="934"/>
      <c r="D179" s="934"/>
      <c r="E179" s="934"/>
      <c r="F179" s="934"/>
      <c r="G179" s="571"/>
      <c r="H179" s="934"/>
      <c r="I179" s="934"/>
      <c r="J179" s="934"/>
      <c r="K179" s="934"/>
      <c r="L179" s="934"/>
      <c r="M179" s="934"/>
      <c r="N179" s="934"/>
      <c r="O179" s="934"/>
      <c r="P179" s="934"/>
      <c r="Q179" s="934"/>
      <c r="R179" s="934"/>
      <c r="S179" s="934"/>
      <c r="T179" s="934"/>
      <c r="U179" s="934"/>
      <c r="V179" s="934"/>
      <c r="W179" s="934"/>
      <c r="X179" s="934"/>
      <c r="Y179" s="934"/>
      <c r="Z179" s="934"/>
    </row>
    <row r="180" ht="15.75" customHeight="1">
      <c r="A180" s="571"/>
      <c r="B180" s="934"/>
      <c r="C180" s="934"/>
      <c r="D180" s="934"/>
      <c r="E180" s="934"/>
      <c r="F180" s="934"/>
      <c r="G180" s="571"/>
      <c r="H180" s="934"/>
      <c r="I180" s="934"/>
      <c r="J180" s="934"/>
      <c r="K180" s="934"/>
      <c r="L180" s="934"/>
      <c r="M180" s="934"/>
      <c r="N180" s="934"/>
      <c r="O180" s="934"/>
      <c r="P180" s="934"/>
      <c r="Q180" s="934"/>
      <c r="R180" s="934"/>
      <c r="S180" s="934"/>
      <c r="T180" s="934"/>
      <c r="U180" s="934"/>
      <c r="V180" s="934"/>
      <c r="W180" s="934"/>
      <c r="X180" s="934"/>
      <c r="Y180" s="934"/>
      <c r="Z180" s="934"/>
    </row>
    <row r="181" ht="15.75" customHeight="1">
      <c r="A181" s="571"/>
      <c r="B181" s="934"/>
      <c r="C181" s="934"/>
      <c r="D181" s="934"/>
      <c r="E181" s="934"/>
      <c r="F181" s="934"/>
      <c r="G181" s="571"/>
      <c r="H181" s="934"/>
      <c r="I181" s="934"/>
      <c r="J181" s="934"/>
      <c r="K181" s="934"/>
      <c r="L181" s="934"/>
      <c r="M181" s="934"/>
      <c r="N181" s="934"/>
      <c r="O181" s="934"/>
      <c r="P181" s="934"/>
      <c r="Q181" s="934"/>
      <c r="R181" s="934"/>
      <c r="S181" s="934"/>
      <c r="T181" s="934"/>
      <c r="U181" s="934"/>
      <c r="V181" s="934"/>
      <c r="W181" s="934"/>
      <c r="X181" s="934"/>
      <c r="Y181" s="934"/>
      <c r="Z181" s="934"/>
    </row>
    <row r="182" ht="15.75" customHeight="1">
      <c r="A182" s="571"/>
      <c r="B182" s="934"/>
      <c r="C182" s="934"/>
      <c r="D182" s="934"/>
      <c r="E182" s="934"/>
      <c r="F182" s="934"/>
      <c r="G182" s="571"/>
      <c r="H182" s="934"/>
      <c r="I182" s="934"/>
      <c r="J182" s="934"/>
      <c r="K182" s="934"/>
      <c r="L182" s="934"/>
      <c r="M182" s="934"/>
      <c r="N182" s="934"/>
      <c r="O182" s="934"/>
      <c r="P182" s="934"/>
      <c r="Q182" s="934"/>
      <c r="R182" s="934"/>
      <c r="S182" s="934"/>
      <c r="T182" s="934"/>
      <c r="U182" s="934"/>
      <c r="V182" s="934"/>
      <c r="W182" s="934"/>
      <c r="X182" s="934"/>
      <c r="Y182" s="934"/>
      <c r="Z182" s="934"/>
    </row>
    <row r="183" ht="15.75" customHeight="1">
      <c r="A183" s="571"/>
      <c r="B183" s="934"/>
      <c r="C183" s="934"/>
      <c r="D183" s="934"/>
      <c r="E183" s="934"/>
      <c r="F183" s="934"/>
      <c r="G183" s="571"/>
      <c r="H183" s="934"/>
      <c r="I183" s="934"/>
      <c r="J183" s="934"/>
      <c r="K183" s="934"/>
      <c r="L183" s="934"/>
      <c r="M183" s="934"/>
      <c r="N183" s="934"/>
      <c r="O183" s="934"/>
      <c r="P183" s="934"/>
      <c r="Q183" s="934"/>
      <c r="R183" s="934"/>
      <c r="S183" s="934"/>
      <c r="T183" s="934"/>
      <c r="U183" s="934"/>
      <c r="V183" s="934"/>
      <c r="W183" s="934"/>
      <c r="X183" s="934"/>
      <c r="Y183" s="934"/>
      <c r="Z183" s="934"/>
    </row>
    <row r="184" ht="15.75" customHeight="1">
      <c r="A184" s="571"/>
      <c r="B184" s="934"/>
      <c r="C184" s="934"/>
      <c r="D184" s="934"/>
      <c r="E184" s="934"/>
      <c r="F184" s="934"/>
      <c r="G184" s="571"/>
      <c r="H184" s="934"/>
      <c r="I184" s="934"/>
      <c r="J184" s="934"/>
      <c r="K184" s="934"/>
      <c r="L184" s="934"/>
      <c r="M184" s="934"/>
      <c r="N184" s="934"/>
      <c r="O184" s="934"/>
      <c r="P184" s="934"/>
      <c r="Q184" s="934"/>
      <c r="R184" s="934"/>
      <c r="S184" s="934"/>
      <c r="T184" s="934"/>
      <c r="U184" s="934"/>
      <c r="V184" s="934"/>
      <c r="W184" s="934"/>
      <c r="X184" s="934"/>
      <c r="Y184" s="934"/>
      <c r="Z184" s="934"/>
    </row>
    <row r="185" ht="15.75" customHeight="1">
      <c r="A185" s="571"/>
      <c r="B185" s="934"/>
      <c r="C185" s="934"/>
      <c r="D185" s="934"/>
      <c r="E185" s="934"/>
      <c r="F185" s="934"/>
      <c r="G185" s="571"/>
      <c r="H185" s="934"/>
      <c r="I185" s="934"/>
      <c r="J185" s="934"/>
      <c r="K185" s="934"/>
      <c r="L185" s="934"/>
      <c r="M185" s="934"/>
      <c r="N185" s="934"/>
      <c r="O185" s="934"/>
      <c r="P185" s="934"/>
      <c r="Q185" s="934"/>
      <c r="R185" s="934"/>
      <c r="S185" s="934"/>
      <c r="T185" s="934"/>
      <c r="U185" s="934"/>
      <c r="V185" s="934"/>
      <c r="W185" s="934"/>
      <c r="X185" s="934"/>
      <c r="Y185" s="934"/>
      <c r="Z185" s="934"/>
    </row>
    <row r="186" ht="15.75" customHeight="1">
      <c r="A186" s="571"/>
      <c r="B186" s="934"/>
      <c r="C186" s="934"/>
      <c r="D186" s="934"/>
      <c r="E186" s="934"/>
      <c r="F186" s="934"/>
      <c r="G186" s="571"/>
      <c r="H186" s="934"/>
      <c r="I186" s="934"/>
      <c r="J186" s="934"/>
      <c r="K186" s="934"/>
      <c r="L186" s="934"/>
      <c r="M186" s="934"/>
      <c r="N186" s="934"/>
      <c r="O186" s="934"/>
      <c r="P186" s="934"/>
      <c r="Q186" s="934"/>
      <c r="R186" s="934"/>
      <c r="S186" s="934"/>
      <c r="T186" s="934"/>
      <c r="U186" s="934"/>
      <c r="V186" s="934"/>
      <c r="W186" s="934"/>
      <c r="X186" s="934"/>
      <c r="Y186" s="934"/>
      <c r="Z186" s="934"/>
    </row>
    <row r="187" ht="15.75" customHeight="1">
      <c r="A187" s="571"/>
      <c r="B187" s="934"/>
      <c r="C187" s="934"/>
      <c r="D187" s="934"/>
      <c r="E187" s="934"/>
      <c r="F187" s="934"/>
      <c r="G187" s="571"/>
      <c r="H187" s="934"/>
      <c r="I187" s="934"/>
      <c r="J187" s="934"/>
      <c r="K187" s="934"/>
      <c r="L187" s="934"/>
      <c r="M187" s="934"/>
      <c r="N187" s="934"/>
      <c r="O187" s="934"/>
      <c r="P187" s="934"/>
      <c r="Q187" s="934"/>
      <c r="R187" s="934"/>
      <c r="S187" s="934"/>
      <c r="T187" s="934"/>
      <c r="U187" s="934"/>
      <c r="V187" s="934"/>
      <c r="W187" s="934"/>
      <c r="X187" s="934"/>
      <c r="Y187" s="934"/>
      <c r="Z187" s="934"/>
    </row>
    <row r="188" ht="15.75" customHeight="1">
      <c r="A188" s="571"/>
      <c r="B188" s="934"/>
      <c r="C188" s="934"/>
      <c r="D188" s="934"/>
      <c r="E188" s="934"/>
      <c r="F188" s="934"/>
      <c r="G188" s="571"/>
      <c r="H188" s="934"/>
      <c r="I188" s="934"/>
      <c r="J188" s="934"/>
      <c r="K188" s="934"/>
      <c r="L188" s="934"/>
      <c r="M188" s="934"/>
      <c r="N188" s="934"/>
      <c r="O188" s="934"/>
      <c r="P188" s="934"/>
      <c r="Q188" s="934"/>
      <c r="R188" s="934"/>
      <c r="S188" s="934"/>
      <c r="T188" s="934"/>
      <c r="U188" s="934"/>
      <c r="V188" s="934"/>
      <c r="W188" s="934"/>
      <c r="X188" s="934"/>
      <c r="Y188" s="934"/>
      <c r="Z188" s="934"/>
    </row>
    <row r="189" ht="15.75" customHeight="1">
      <c r="A189" s="571"/>
      <c r="B189" s="934"/>
      <c r="C189" s="934"/>
      <c r="D189" s="934"/>
      <c r="E189" s="934"/>
      <c r="F189" s="934"/>
      <c r="G189" s="571"/>
      <c r="H189" s="934"/>
      <c r="I189" s="934"/>
      <c r="J189" s="934"/>
      <c r="K189" s="934"/>
      <c r="L189" s="934"/>
      <c r="M189" s="934"/>
      <c r="N189" s="934"/>
      <c r="O189" s="934"/>
      <c r="P189" s="934"/>
      <c r="Q189" s="934"/>
      <c r="R189" s="934"/>
      <c r="S189" s="934"/>
      <c r="T189" s="934"/>
      <c r="U189" s="934"/>
      <c r="V189" s="934"/>
      <c r="W189" s="934"/>
      <c r="X189" s="934"/>
      <c r="Y189" s="934"/>
      <c r="Z189" s="934"/>
    </row>
    <row r="190" ht="15.75" customHeight="1">
      <c r="A190" s="571"/>
      <c r="B190" s="934"/>
      <c r="C190" s="934"/>
      <c r="D190" s="934"/>
      <c r="E190" s="934"/>
      <c r="F190" s="934"/>
      <c r="G190" s="571"/>
      <c r="H190" s="934"/>
      <c r="I190" s="934"/>
      <c r="J190" s="934"/>
      <c r="K190" s="934"/>
      <c r="L190" s="934"/>
      <c r="M190" s="934"/>
      <c r="N190" s="934"/>
      <c r="O190" s="934"/>
      <c r="P190" s="934"/>
      <c r="Q190" s="934"/>
      <c r="R190" s="934"/>
      <c r="S190" s="934"/>
      <c r="T190" s="934"/>
      <c r="U190" s="934"/>
      <c r="V190" s="934"/>
      <c r="W190" s="934"/>
      <c r="X190" s="934"/>
      <c r="Y190" s="934"/>
      <c r="Z190" s="934"/>
    </row>
    <row r="191" ht="15.75" customHeight="1">
      <c r="A191" s="571"/>
      <c r="B191" s="934"/>
      <c r="C191" s="934"/>
      <c r="D191" s="934"/>
      <c r="E191" s="934"/>
      <c r="F191" s="934"/>
      <c r="G191" s="571"/>
      <c r="H191" s="934"/>
      <c r="I191" s="934"/>
      <c r="J191" s="934"/>
      <c r="K191" s="934"/>
      <c r="L191" s="934"/>
      <c r="M191" s="934"/>
      <c r="N191" s="934"/>
      <c r="O191" s="934"/>
      <c r="P191" s="934"/>
      <c r="Q191" s="934"/>
      <c r="R191" s="934"/>
      <c r="S191" s="934"/>
      <c r="T191" s="934"/>
      <c r="U191" s="934"/>
      <c r="V191" s="934"/>
      <c r="W191" s="934"/>
      <c r="X191" s="934"/>
      <c r="Y191" s="934"/>
      <c r="Z191" s="934"/>
    </row>
    <row r="192" ht="15.75" customHeight="1">
      <c r="A192" s="571"/>
      <c r="B192" s="934"/>
      <c r="C192" s="934"/>
      <c r="D192" s="934"/>
      <c r="E192" s="934"/>
      <c r="F192" s="934"/>
      <c r="G192" s="571"/>
      <c r="H192" s="934"/>
      <c r="I192" s="934"/>
      <c r="J192" s="934"/>
      <c r="K192" s="934"/>
      <c r="L192" s="934"/>
      <c r="M192" s="934"/>
      <c r="N192" s="934"/>
      <c r="O192" s="934"/>
      <c r="P192" s="934"/>
      <c r="Q192" s="934"/>
      <c r="R192" s="934"/>
      <c r="S192" s="934"/>
      <c r="T192" s="934"/>
      <c r="U192" s="934"/>
      <c r="V192" s="934"/>
      <c r="W192" s="934"/>
      <c r="X192" s="934"/>
      <c r="Y192" s="934"/>
      <c r="Z192" s="934"/>
    </row>
    <row r="193" ht="15.75" customHeight="1">
      <c r="A193" s="571"/>
      <c r="B193" s="934"/>
      <c r="C193" s="934"/>
      <c r="D193" s="934"/>
      <c r="E193" s="934"/>
      <c r="F193" s="934"/>
      <c r="G193" s="571"/>
      <c r="H193" s="934"/>
      <c r="I193" s="934"/>
      <c r="J193" s="934"/>
      <c r="K193" s="934"/>
      <c r="L193" s="934"/>
      <c r="M193" s="934"/>
      <c r="N193" s="934"/>
      <c r="O193" s="934"/>
      <c r="P193" s="934"/>
      <c r="Q193" s="934"/>
      <c r="R193" s="934"/>
      <c r="S193" s="934"/>
      <c r="T193" s="934"/>
      <c r="U193" s="934"/>
      <c r="V193" s="934"/>
      <c r="W193" s="934"/>
      <c r="X193" s="934"/>
      <c r="Y193" s="934"/>
      <c r="Z193" s="934"/>
    </row>
    <row r="194" ht="15.75" customHeight="1">
      <c r="A194" s="571"/>
      <c r="B194" s="934"/>
      <c r="C194" s="934"/>
      <c r="D194" s="934"/>
      <c r="E194" s="934"/>
      <c r="F194" s="934"/>
      <c r="G194" s="571"/>
      <c r="H194" s="934"/>
      <c r="I194" s="934"/>
      <c r="J194" s="934"/>
      <c r="K194" s="934"/>
      <c r="L194" s="934"/>
      <c r="M194" s="934"/>
      <c r="N194" s="934"/>
      <c r="O194" s="934"/>
      <c r="P194" s="934"/>
      <c r="Q194" s="934"/>
      <c r="R194" s="934"/>
      <c r="S194" s="934"/>
      <c r="T194" s="934"/>
      <c r="U194" s="934"/>
      <c r="V194" s="934"/>
      <c r="W194" s="934"/>
      <c r="X194" s="934"/>
      <c r="Y194" s="934"/>
      <c r="Z194" s="934"/>
    </row>
    <row r="195" ht="15.75" customHeight="1">
      <c r="A195" s="571"/>
      <c r="B195" s="934"/>
      <c r="C195" s="934"/>
      <c r="D195" s="934"/>
      <c r="E195" s="934"/>
      <c r="F195" s="934"/>
      <c r="G195" s="571"/>
      <c r="H195" s="934"/>
      <c r="I195" s="934"/>
      <c r="J195" s="934"/>
      <c r="K195" s="934"/>
      <c r="L195" s="934"/>
      <c r="M195" s="934"/>
      <c r="N195" s="934"/>
      <c r="O195" s="934"/>
      <c r="P195" s="934"/>
      <c r="Q195" s="934"/>
      <c r="R195" s="934"/>
      <c r="S195" s="934"/>
      <c r="T195" s="934"/>
      <c r="U195" s="934"/>
      <c r="V195" s="934"/>
      <c r="W195" s="934"/>
      <c r="X195" s="934"/>
      <c r="Y195" s="934"/>
      <c r="Z195" s="934"/>
    </row>
    <row r="196" ht="15.75" customHeight="1">
      <c r="A196" s="571"/>
      <c r="B196" s="934"/>
      <c r="C196" s="934"/>
      <c r="D196" s="934"/>
      <c r="E196" s="934"/>
      <c r="F196" s="934"/>
      <c r="G196" s="571"/>
      <c r="H196" s="934"/>
      <c r="I196" s="934"/>
      <c r="J196" s="934"/>
      <c r="K196" s="934"/>
      <c r="L196" s="934"/>
      <c r="M196" s="934"/>
      <c r="N196" s="934"/>
      <c r="O196" s="934"/>
      <c r="P196" s="934"/>
      <c r="Q196" s="934"/>
      <c r="R196" s="934"/>
      <c r="S196" s="934"/>
      <c r="T196" s="934"/>
      <c r="U196" s="934"/>
      <c r="V196" s="934"/>
      <c r="W196" s="934"/>
      <c r="X196" s="934"/>
      <c r="Y196" s="934"/>
      <c r="Z196" s="934"/>
    </row>
    <row r="197" ht="15.75" customHeight="1">
      <c r="A197" s="571"/>
      <c r="B197" s="934"/>
      <c r="C197" s="934"/>
      <c r="D197" s="934"/>
      <c r="E197" s="934"/>
      <c r="F197" s="934"/>
      <c r="G197" s="571"/>
      <c r="H197" s="934"/>
      <c r="I197" s="934"/>
      <c r="J197" s="934"/>
      <c r="K197" s="934"/>
      <c r="L197" s="934"/>
      <c r="M197" s="934"/>
      <c r="N197" s="934"/>
      <c r="O197" s="934"/>
      <c r="P197" s="934"/>
      <c r="Q197" s="934"/>
      <c r="R197" s="934"/>
      <c r="S197" s="934"/>
      <c r="T197" s="934"/>
      <c r="U197" s="934"/>
      <c r="V197" s="934"/>
      <c r="W197" s="934"/>
      <c r="X197" s="934"/>
      <c r="Y197" s="934"/>
      <c r="Z197" s="934"/>
    </row>
    <row r="198" ht="15.75" customHeight="1">
      <c r="A198" s="571"/>
      <c r="B198" s="934"/>
      <c r="C198" s="934"/>
      <c r="D198" s="934"/>
      <c r="E198" s="934"/>
      <c r="F198" s="934"/>
      <c r="G198" s="571"/>
      <c r="H198" s="934"/>
      <c r="I198" s="934"/>
      <c r="J198" s="934"/>
      <c r="K198" s="934"/>
      <c r="L198" s="934"/>
      <c r="M198" s="934"/>
      <c r="N198" s="934"/>
      <c r="O198" s="934"/>
      <c r="P198" s="934"/>
      <c r="Q198" s="934"/>
      <c r="R198" s="934"/>
      <c r="S198" s="934"/>
      <c r="T198" s="934"/>
      <c r="U198" s="934"/>
      <c r="V198" s="934"/>
      <c r="W198" s="934"/>
      <c r="X198" s="934"/>
      <c r="Y198" s="934"/>
      <c r="Z198" s="934"/>
    </row>
    <row r="199" ht="15.75" customHeight="1">
      <c r="A199" s="571"/>
      <c r="B199" s="934"/>
      <c r="C199" s="934"/>
      <c r="D199" s="934"/>
      <c r="E199" s="934"/>
      <c r="F199" s="934"/>
      <c r="G199" s="571"/>
      <c r="H199" s="934"/>
      <c r="I199" s="934"/>
      <c r="J199" s="934"/>
      <c r="K199" s="934"/>
      <c r="L199" s="934"/>
      <c r="M199" s="934"/>
      <c r="N199" s="934"/>
      <c r="O199" s="934"/>
      <c r="P199" s="934"/>
      <c r="Q199" s="934"/>
      <c r="R199" s="934"/>
      <c r="S199" s="934"/>
      <c r="T199" s="934"/>
      <c r="U199" s="934"/>
      <c r="V199" s="934"/>
      <c r="W199" s="934"/>
      <c r="X199" s="934"/>
      <c r="Y199" s="934"/>
      <c r="Z199" s="934"/>
    </row>
    <row r="200" ht="15.75" customHeight="1">
      <c r="A200" s="571"/>
      <c r="B200" s="934"/>
      <c r="C200" s="934"/>
      <c r="D200" s="934"/>
      <c r="E200" s="934"/>
      <c r="F200" s="934"/>
      <c r="G200" s="571"/>
      <c r="H200" s="934"/>
      <c r="I200" s="934"/>
      <c r="J200" s="934"/>
      <c r="K200" s="934"/>
      <c r="L200" s="934"/>
      <c r="M200" s="934"/>
      <c r="N200" s="934"/>
      <c r="O200" s="934"/>
      <c r="P200" s="934"/>
      <c r="Q200" s="934"/>
      <c r="R200" s="934"/>
      <c r="S200" s="934"/>
      <c r="T200" s="934"/>
      <c r="U200" s="934"/>
      <c r="V200" s="934"/>
      <c r="W200" s="934"/>
      <c r="X200" s="934"/>
      <c r="Y200" s="934"/>
      <c r="Z200" s="934"/>
    </row>
    <row r="201" ht="15.75" customHeight="1">
      <c r="A201" s="571"/>
      <c r="B201" s="934"/>
      <c r="C201" s="934"/>
      <c r="D201" s="934"/>
      <c r="E201" s="934"/>
      <c r="F201" s="934"/>
      <c r="G201" s="571"/>
      <c r="H201" s="934"/>
      <c r="I201" s="934"/>
      <c r="J201" s="934"/>
      <c r="K201" s="934"/>
      <c r="L201" s="934"/>
      <c r="M201" s="934"/>
      <c r="N201" s="934"/>
      <c r="O201" s="934"/>
      <c r="P201" s="934"/>
      <c r="Q201" s="934"/>
      <c r="R201" s="934"/>
      <c r="S201" s="934"/>
      <c r="T201" s="934"/>
      <c r="U201" s="934"/>
      <c r="V201" s="934"/>
      <c r="W201" s="934"/>
      <c r="X201" s="934"/>
      <c r="Y201" s="934"/>
      <c r="Z201" s="934"/>
    </row>
    <row r="202" ht="15.75" customHeight="1">
      <c r="A202" s="571"/>
      <c r="B202" s="934"/>
      <c r="C202" s="934"/>
      <c r="D202" s="934"/>
      <c r="E202" s="934"/>
      <c r="F202" s="934"/>
      <c r="G202" s="571"/>
      <c r="H202" s="934"/>
      <c r="I202" s="934"/>
      <c r="J202" s="934"/>
      <c r="K202" s="934"/>
      <c r="L202" s="934"/>
      <c r="M202" s="934"/>
      <c r="N202" s="934"/>
      <c r="O202" s="934"/>
      <c r="P202" s="934"/>
      <c r="Q202" s="934"/>
      <c r="R202" s="934"/>
      <c r="S202" s="934"/>
      <c r="T202" s="934"/>
      <c r="U202" s="934"/>
      <c r="V202" s="934"/>
      <c r="W202" s="934"/>
      <c r="X202" s="934"/>
      <c r="Y202" s="934"/>
      <c r="Z202" s="934"/>
    </row>
    <row r="203" ht="15.75" customHeight="1">
      <c r="A203" s="571"/>
      <c r="B203" s="934"/>
      <c r="C203" s="934"/>
      <c r="D203" s="934"/>
      <c r="E203" s="934"/>
      <c r="F203" s="934"/>
      <c r="G203" s="571"/>
      <c r="H203" s="934"/>
      <c r="I203" s="934"/>
      <c r="J203" s="934"/>
      <c r="K203" s="934"/>
      <c r="L203" s="934"/>
      <c r="M203" s="934"/>
      <c r="N203" s="934"/>
      <c r="O203" s="934"/>
      <c r="P203" s="934"/>
      <c r="Q203" s="934"/>
      <c r="R203" s="934"/>
      <c r="S203" s="934"/>
      <c r="T203" s="934"/>
      <c r="U203" s="934"/>
      <c r="V203" s="934"/>
      <c r="W203" s="934"/>
      <c r="X203" s="934"/>
      <c r="Y203" s="934"/>
      <c r="Z203" s="934"/>
    </row>
    <row r="204" ht="15.75" customHeight="1">
      <c r="A204" s="571"/>
      <c r="B204" s="934"/>
      <c r="C204" s="934"/>
      <c r="D204" s="934"/>
      <c r="E204" s="934"/>
      <c r="F204" s="934"/>
      <c r="G204" s="571"/>
      <c r="H204" s="934"/>
      <c r="I204" s="934"/>
      <c r="J204" s="934"/>
      <c r="K204" s="934"/>
      <c r="L204" s="934"/>
      <c r="M204" s="934"/>
      <c r="N204" s="934"/>
      <c r="O204" s="934"/>
      <c r="P204" s="934"/>
      <c r="Q204" s="934"/>
      <c r="R204" s="934"/>
      <c r="S204" s="934"/>
      <c r="T204" s="934"/>
      <c r="U204" s="934"/>
      <c r="V204" s="934"/>
      <c r="W204" s="934"/>
      <c r="X204" s="934"/>
      <c r="Y204" s="934"/>
      <c r="Z204" s="934"/>
    </row>
    <row r="205" ht="15.75" customHeight="1">
      <c r="A205" s="571"/>
      <c r="B205" s="934"/>
      <c r="C205" s="934"/>
      <c r="D205" s="934"/>
      <c r="E205" s="934"/>
      <c r="F205" s="934"/>
      <c r="G205" s="571"/>
      <c r="H205" s="934"/>
      <c r="I205" s="934"/>
      <c r="J205" s="934"/>
      <c r="K205" s="934"/>
      <c r="L205" s="934"/>
      <c r="M205" s="934"/>
      <c r="N205" s="934"/>
      <c r="O205" s="934"/>
      <c r="P205" s="934"/>
      <c r="Q205" s="934"/>
      <c r="R205" s="934"/>
      <c r="S205" s="934"/>
      <c r="T205" s="934"/>
      <c r="U205" s="934"/>
      <c r="V205" s="934"/>
      <c r="W205" s="934"/>
      <c r="X205" s="934"/>
      <c r="Y205" s="934"/>
      <c r="Z205" s="934"/>
    </row>
    <row r="206" ht="15.75" customHeight="1">
      <c r="A206" s="571"/>
      <c r="B206" s="934"/>
      <c r="C206" s="934"/>
      <c r="D206" s="934"/>
      <c r="E206" s="934"/>
      <c r="F206" s="934"/>
      <c r="G206" s="571"/>
      <c r="H206" s="934"/>
      <c r="I206" s="934"/>
      <c r="J206" s="934"/>
      <c r="K206" s="934"/>
      <c r="L206" s="934"/>
      <c r="M206" s="934"/>
      <c r="N206" s="934"/>
      <c r="O206" s="934"/>
      <c r="P206" s="934"/>
      <c r="Q206" s="934"/>
      <c r="R206" s="934"/>
      <c r="S206" s="934"/>
      <c r="T206" s="934"/>
      <c r="U206" s="934"/>
      <c r="V206" s="934"/>
      <c r="W206" s="934"/>
      <c r="X206" s="934"/>
      <c r="Y206" s="934"/>
      <c r="Z206" s="934"/>
    </row>
    <row r="207" ht="15.75" customHeight="1">
      <c r="A207" s="571"/>
      <c r="B207" s="934"/>
      <c r="C207" s="934"/>
      <c r="D207" s="934"/>
      <c r="E207" s="934"/>
      <c r="F207" s="934"/>
      <c r="G207" s="571"/>
      <c r="H207" s="934"/>
      <c r="I207" s="934"/>
      <c r="J207" s="934"/>
      <c r="K207" s="934"/>
      <c r="L207" s="934"/>
      <c r="M207" s="934"/>
      <c r="N207" s="934"/>
      <c r="O207" s="934"/>
      <c r="P207" s="934"/>
      <c r="Q207" s="934"/>
      <c r="R207" s="934"/>
      <c r="S207" s="934"/>
      <c r="T207" s="934"/>
      <c r="U207" s="934"/>
      <c r="V207" s="934"/>
      <c r="W207" s="934"/>
      <c r="X207" s="934"/>
      <c r="Y207" s="934"/>
      <c r="Z207" s="934"/>
    </row>
    <row r="208" ht="15.75" customHeight="1">
      <c r="A208" s="571"/>
      <c r="B208" s="934"/>
      <c r="C208" s="934"/>
      <c r="D208" s="934"/>
      <c r="E208" s="934"/>
      <c r="F208" s="934"/>
      <c r="G208" s="571"/>
      <c r="H208" s="934"/>
      <c r="I208" s="934"/>
      <c r="J208" s="934"/>
      <c r="K208" s="934"/>
      <c r="L208" s="934"/>
      <c r="M208" s="934"/>
      <c r="N208" s="934"/>
      <c r="O208" s="934"/>
      <c r="P208" s="934"/>
      <c r="Q208" s="934"/>
      <c r="R208" s="934"/>
      <c r="S208" s="934"/>
      <c r="T208" s="934"/>
      <c r="U208" s="934"/>
      <c r="V208" s="934"/>
      <c r="W208" s="934"/>
      <c r="X208" s="934"/>
      <c r="Y208" s="934"/>
      <c r="Z208" s="934"/>
    </row>
    <row r="209" ht="15.75" customHeight="1">
      <c r="A209" s="571"/>
      <c r="B209" s="934"/>
      <c r="C209" s="934"/>
      <c r="D209" s="934"/>
      <c r="E209" s="934"/>
      <c r="F209" s="934"/>
      <c r="G209" s="571"/>
      <c r="H209" s="934"/>
      <c r="I209" s="934"/>
      <c r="J209" s="934"/>
      <c r="K209" s="934"/>
      <c r="L209" s="934"/>
      <c r="M209" s="934"/>
      <c r="N209" s="934"/>
      <c r="O209" s="934"/>
      <c r="P209" s="934"/>
      <c r="Q209" s="934"/>
      <c r="R209" s="934"/>
      <c r="S209" s="934"/>
      <c r="T209" s="934"/>
      <c r="U209" s="934"/>
      <c r="V209" s="934"/>
      <c r="W209" s="934"/>
      <c r="X209" s="934"/>
      <c r="Y209" s="934"/>
      <c r="Z209" s="934"/>
    </row>
    <row r="210" ht="15.75" customHeight="1">
      <c r="A210" s="571"/>
      <c r="B210" s="934"/>
      <c r="C210" s="934"/>
      <c r="D210" s="934"/>
      <c r="E210" s="934"/>
      <c r="F210" s="934"/>
      <c r="G210" s="571"/>
      <c r="H210" s="934"/>
      <c r="I210" s="934"/>
      <c r="J210" s="934"/>
      <c r="K210" s="934"/>
      <c r="L210" s="934"/>
      <c r="M210" s="934"/>
      <c r="N210" s="934"/>
      <c r="O210" s="934"/>
      <c r="P210" s="934"/>
      <c r="Q210" s="934"/>
      <c r="R210" s="934"/>
      <c r="S210" s="934"/>
      <c r="T210" s="934"/>
      <c r="U210" s="934"/>
      <c r="V210" s="934"/>
      <c r="W210" s="934"/>
      <c r="X210" s="934"/>
      <c r="Y210" s="934"/>
      <c r="Z210" s="934"/>
    </row>
    <row r="211" ht="15.75" customHeight="1">
      <c r="A211" s="571"/>
      <c r="B211" s="934"/>
      <c r="C211" s="934"/>
      <c r="D211" s="934"/>
      <c r="E211" s="934"/>
      <c r="F211" s="934"/>
      <c r="G211" s="571"/>
      <c r="H211" s="934"/>
      <c r="I211" s="934"/>
      <c r="J211" s="934"/>
      <c r="K211" s="934"/>
      <c r="L211" s="934"/>
      <c r="M211" s="934"/>
      <c r="N211" s="934"/>
      <c r="O211" s="934"/>
      <c r="P211" s="934"/>
      <c r="Q211" s="934"/>
      <c r="R211" s="934"/>
      <c r="S211" s="934"/>
      <c r="T211" s="934"/>
      <c r="U211" s="934"/>
      <c r="V211" s="934"/>
      <c r="W211" s="934"/>
      <c r="X211" s="934"/>
      <c r="Y211" s="934"/>
      <c r="Z211" s="934"/>
    </row>
    <row r="212" ht="15.75" customHeight="1">
      <c r="A212" s="571"/>
      <c r="B212" s="934"/>
      <c r="C212" s="934"/>
      <c r="D212" s="934"/>
      <c r="E212" s="934"/>
      <c r="F212" s="934"/>
      <c r="G212" s="571"/>
      <c r="H212" s="934"/>
      <c r="I212" s="934"/>
      <c r="J212" s="934"/>
      <c r="K212" s="934"/>
      <c r="L212" s="934"/>
      <c r="M212" s="934"/>
      <c r="N212" s="934"/>
      <c r="O212" s="934"/>
      <c r="P212" s="934"/>
      <c r="Q212" s="934"/>
      <c r="R212" s="934"/>
      <c r="S212" s="934"/>
      <c r="T212" s="934"/>
      <c r="U212" s="934"/>
      <c r="V212" s="934"/>
      <c r="W212" s="934"/>
      <c r="X212" s="934"/>
      <c r="Y212" s="934"/>
      <c r="Z212" s="934"/>
    </row>
    <row r="213" ht="15.75" customHeight="1">
      <c r="A213" s="571"/>
      <c r="B213" s="934"/>
      <c r="C213" s="934"/>
      <c r="D213" s="934"/>
      <c r="E213" s="934"/>
      <c r="F213" s="934"/>
      <c r="G213" s="571"/>
      <c r="H213" s="934"/>
      <c r="I213" s="934"/>
      <c r="J213" s="934"/>
      <c r="K213" s="934"/>
      <c r="L213" s="934"/>
      <c r="M213" s="934"/>
      <c r="N213" s="934"/>
      <c r="O213" s="934"/>
      <c r="P213" s="934"/>
      <c r="Q213" s="934"/>
      <c r="R213" s="934"/>
      <c r="S213" s="934"/>
      <c r="T213" s="934"/>
      <c r="U213" s="934"/>
      <c r="V213" s="934"/>
      <c r="W213" s="934"/>
      <c r="X213" s="934"/>
      <c r="Y213" s="934"/>
      <c r="Z213" s="934"/>
    </row>
    <row r="214" ht="15.75" customHeight="1">
      <c r="A214" s="571"/>
      <c r="B214" s="934"/>
      <c r="C214" s="934"/>
      <c r="D214" s="934"/>
      <c r="E214" s="934"/>
      <c r="F214" s="934"/>
      <c r="G214" s="571"/>
      <c r="H214" s="934"/>
      <c r="I214" s="934"/>
      <c r="J214" s="934"/>
      <c r="K214" s="934"/>
      <c r="L214" s="934"/>
      <c r="M214" s="934"/>
      <c r="N214" s="934"/>
      <c r="O214" s="934"/>
      <c r="P214" s="934"/>
      <c r="Q214" s="934"/>
      <c r="R214" s="934"/>
      <c r="S214" s="934"/>
      <c r="T214" s="934"/>
      <c r="U214" s="934"/>
      <c r="V214" s="934"/>
      <c r="W214" s="934"/>
      <c r="X214" s="934"/>
      <c r="Y214" s="934"/>
      <c r="Z214" s="934"/>
    </row>
    <row r="215" ht="15.75" customHeight="1">
      <c r="A215" s="571"/>
      <c r="B215" s="934"/>
      <c r="C215" s="934"/>
      <c r="D215" s="934"/>
      <c r="E215" s="934"/>
      <c r="F215" s="934"/>
      <c r="G215" s="571"/>
      <c r="H215" s="934"/>
      <c r="I215" s="934"/>
      <c r="J215" s="934"/>
      <c r="K215" s="934"/>
      <c r="L215" s="934"/>
      <c r="M215" s="934"/>
      <c r="N215" s="934"/>
      <c r="O215" s="934"/>
      <c r="P215" s="934"/>
      <c r="Q215" s="934"/>
      <c r="R215" s="934"/>
      <c r="S215" s="934"/>
      <c r="T215" s="934"/>
      <c r="U215" s="934"/>
      <c r="V215" s="934"/>
      <c r="W215" s="934"/>
      <c r="X215" s="934"/>
      <c r="Y215" s="934"/>
      <c r="Z215" s="934"/>
    </row>
    <row r="216" ht="15.75" customHeight="1">
      <c r="A216" s="571"/>
      <c r="B216" s="934"/>
      <c r="C216" s="934"/>
      <c r="D216" s="934"/>
      <c r="E216" s="934"/>
      <c r="F216" s="934"/>
      <c r="G216" s="571"/>
      <c r="H216" s="934"/>
      <c r="I216" s="934"/>
      <c r="J216" s="934"/>
      <c r="K216" s="934"/>
      <c r="L216" s="934"/>
      <c r="M216" s="934"/>
      <c r="N216" s="934"/>
      <c r="O216" s="934"/>
      <c r="P216" s="934"/>
      <c r="Q216" s="934"/>
      <c r="R216" s="934"/>
      <c r="S216" s="934"/>
      <c r="T216" s="934"/>
      <c r="U216" s="934"/>
      <c r="V216" s="934"/>
      <c r="W216" s="934"/>
      <c r="X216" s="934"/>
      <c r="Y216" s="934"/>
      <c r="Z216" s="934"/>
    </row>
    <row r="217" ht="15.75" customHeight="1">
      <c r="A217" s="571"/>
      <c r="B217" s="934"/>
      <c r="C217" s="934"/>
      <c r="D217" s="934"/>
      <c r="E217" s="934"/>
      <c r="F217" s="934"/>
      <c r="G217" s="571"/>
      <c r="H217" s="934"/>
      <c r="I217" s="934"/>
      <c r="J217" s="934"/>
      <c r="K217" s="934"/>
      <c r="L217" s="934"/>
      <c r="M217" s="934"/>
      <c r="N217" s="934"/>
      <c r="O217" s="934"/>
      <c r="P217" s="934"/>
      <c r="Q217" s="934"/>
      <c r="R217" s="934"/>
      <c r="S217" s="934"/>
      <c r="T217" s="934"/>
      <c r="U217" s="934"/>
      <c r="V217" s="934"/>
      <c r="W217" s="934"/>
      <c r="X217" s="934"/>
      <c r="Y217" s="934"/>
      <c r="Z217" s="934"/>
    </row>
    <row r="218" ht="15.75" customHeight="1">
      <c r="A218" s="571"/>
      <c r="B218" s="934"/>
      <c r="C218" s="934"/>
      <c r="D218" s="934"/>
      <c r="E218" s="934"/>
      <c r="F218" s="934"/>
      <c r="G218" s="571"/>
      <c r="H218" s="934"/>
      <c r="I218" s="934"/>
      <c r="J218" s="934"/>
      <c r="K218" s="934"/>
      <c r="L218" s="934"/>
      <c r="M218" s="934"/>
      <c r="N218" s="934"/>
      <c r="O218" s="934"/>
      <c r="P218" s="934"/>
      <c r="Q218" s="934"/>
      <c r="R218" s="934"/>
      <c r="S218" s="934"/>
      <c r="T218" s="934"/>
      <c r="U218" s="934"/>
      <c r="V218" s="934"/>
      <c r="W218" s="934"/>
      <c r="X218" s="934"/>
      <c r="Y218" s="934"/>
      <c r="Z218" s="934"/>
    </row>
    <row r="219" ht="15.75" customHeight="1">
      <c r="A219" s="571"/>
      <c r="B219" s="934"/>
      <c r="C219" s="934"/>
      <c r="D219" s="934"/>
      <c r="E219" s="934"/>
      <c r="F219" s="934"/>
      <c r="G219" s="571"/>
      <c r="H219" s="934"/>
      <c r="I219" s="934"/>
      <c r="J219" s="934"/>
      <c r="K219" s="934"/>
      <c r="L219" s="934"/>
      <c r="M219" s="934"/>
      <c r="N219" s="934"/>
      <c r="O219" s="934"/>
      <c r="P219" s="934"/>
      <c r="Q219" s="934"/>
      <c r="R219" s="934"/>
      <c r="S219" s="934"/>
      <c r="T219" s="934"/>
      <c r="U219" s="934"/>
      <c r="V219" s="934"/>
      <c r="W219" s="934"/>
      <c r="X219" s="934"/>
      <c r="Y219" s="934"/>
      <c r="Z219" s="934"/>
    </row>
    <row r="220" ht="15.75" customHeight="1">
      <c r="A220" s="571"/>
      <c r="B220" s="934"/>
      <c r="C220" s="934"/>
      <c r="D220" s="934"/>
      <c r="E220" s="934"/>
      <c r="F220" s="934"/>
      <c r="G220" s="571"/>
      <c r="H220" s="934"/>
      <c r="I220" s="934"/>
      <c r="J220" s="934"/>
      <c r="K220" s="934"/>
      <c r="L220" s="934"/>
      <c r="M220" s="934"/>
      <c r="N220" s="934"/>
      <c r="O220" s="934"/>
      <c r="P220" s="934"/>
      <c r="Q220" s="934"/>
      <c r="R220" s="934"/>
      <c r="S220" s="934"/>
      <c r="T220" s="934"/>
      <c r="U220" s="934"/>
      <c r="V220" s="934"/>
      <c r="W220" s="934"/>
      <c r="X220" s="934"/>
      <c r="Y220" s="934"/>
      <c r="Z220" s="934"/>
    </row>
    <row r="221" ht="15.75" customHeight="1">
      <c r="A221" s="571"/>
      <c r="B221" s="934"/>
      <c r="C221" s="934"/>
      <c r="D221" s="934"/>
      <c r="E221" s="934"/>
      <c r="F221" s="934"/>
      <c r="G221" s="571"/>
      <c r="H221" s="934"/>
      <c r="I221" s="934"/>
      <c r="J221" s="934"/>
      <c r="K221" s="934"/>
      <c r="L221" s="934"/>
      <c r="M221" s="934"/>
      <c r="N221" s="934"/>
      <c r="O221" s="934"/>
      <c r="P221" s="934"/>
      <c r="Q221" s="934"/>
      <c r="R221" s="934"/>
      <c r="S221" s="934"/>
      <c r="T221" s="934"/>
      <c r="U221" s="934"/>
      <c r="V221" s="934"/>
      <c r="W221" s="934"/>
      <c r="X221" s="934"/>
      <c r="Y221" s="934"/>
      <c r="Z221" s="934"/>
    </row>
    <row r="222" ht="15.75" customHeight="1">
      <c r="A222" s="571"/>
      <c r="B222" s="934"/>
      <c r="C222" s="934"/>
      <c r="D222" s="934"/>
      <c r="E222" s="934"/>
      <c r="F222" s="934"/>
      <c r="G222" s="571"/>
      <c r="H222" s="934"/>
      <c r="I222" s="934"/>
      <c r="J222" s="934"/>
      <c r="K222" s="934"/>
      <c r="L222" s="934"/>
      <c r="M222" s="934"/>
      <c r="N222" s="934"/>
      <c r="O222" s="934"/>
      <c r="P222" s="934"/>
      <c r="Q222" s="934"/>
      <c r="R222" s="934"/>
      <c r="S222" s="934"/>
      <c r="T222" s="934"/>
      <c r="U222" s="934"/>
      <c r="V222" s="934"/>
      <c r="W222" s="934"/>
      <c r="X222" s="934"/>
      <c r="Y222" s="934"/>
      <c r="Z222" s="934"/>
    </row>
    <row r="223" ht="15.75" customHeight="1">
      <c r="A223" s="571"/>
      <c r="B223" s="934"/>
      <c r="C223" s="934"/>
      <c r="D223" s="934"/>
      <c r="E223" s="934"/>
      <c r="F223" s="934"/>
      <c r="G223" s="571"/>
      <c r="H223" s="934"/>
      <c r="I223" s="934"/>
      <c r="J223" s="934"/>
      <c r="K223" s="934"/>
      <c r="L223" s="934"/>
      <c r="M223" s="934"/>
      <c r="N223" s="934"/>
      <c r="O223" s="934"/>
      <c r="P223" s="934"/>
      <c r="Q223" s="934"/>
      <c r="R223" s="934"/>
      <c r="S223" s="934"/>
      <c r="T223" s="934"/>
      <c r="U223" s="934"/>
      <c r="V223" s="934"/>
      <c r="W223" s="934"/>
      <c r="X223" s="934"/>
      <c r="Y223" s="934"/>
      <c r="Z223" s="934"/>
    </row>
    <row r="224" ht="15.75" customHeight="1">
      <c r="A224" s="571"/>
      <c r="B224" s="934"/>
      <c r="C224" s="934"/>
      <c r="D224" s="934"/>
      <c r="E224" s="934"/>
      <c r="F224" s="934"/>
      <c r="G224" s="571"/>
      <c r="H224" s="934"/>
      <c r="I224" s="934"/>
      <c r="J224" s="934"/>
      <c r="K224" s="934"/>
      <c r="L224" s="934"/>
      <c r="M224" s="934"/>
      <c r="N224" s="934"/>
      <c r="O224" s="934"/>
      <c r="P224" s="934"/>
      <c r="Q224" s="934"/>
      <c r="R224" s="934"/>
      <c r="S224" s="934"/>
      <c r="T224" s="934"/>
      <c r="U224" s="934"/>
      <c r="V224" s="934"/>
      <c r="W224" s="934"/>
      <c r="X224" s="934"/>
      <c r="Y224" s="934"/>
      <c r="Z224" s="934"/>
    </row>
    <row r="225" ht="15.75" customHeight="1">
      <c r="A225" s="571"/>
      <c r="B225" s="934"/>
      <c r="C225" s="934"/>
      <c r="D225" s="934"/>
      <c r="E225" s="934"/>
      <c r="F225" s="934"/>
      <c r="G225" s="571"/>
      <c r="H225" s="934"/>
      <c r="I225" s="934"/>
      <c r="J225" s="934"/>
      <c r="K225" s="934"/>
      <c r="L225" s="934"/>
      <c r="M225" s="934"/>
      <c r="N225" s="934"/>
      <c r="O225" s="934"/>
      <c r="P225" s="934"/>
      <c r="Q225" s="934"/>
      <c r="R225" s="934"/>
      <c r="S225" s="934"/>
      <c r="T225" s="934"/>
      <c r="U225" s="934"/>
      <c r="V225" s="934"/>
      <c r="W225" s="934"/>
      <c r="X225" s="934"/>
      <c r="Y225" s="934"/>
      <c r="Z225" s="934"/>
    </row>
    <row r="226" ht="15.75" customHeight="1">
      <c r="A226" s="571"/>
      <c r="B226" s="934"/>
      <c r="C226" s="934"/>
      <c r="D226" s="934"/>
      <c r="E226" s="934"/>
      <c r="F226" s="934"/>
      <c r="G226" s="571"/>
      <c r="H226" s="934"/>
      <c r="I226" s="934"/>
      <c r="J226" s="934"/>
      <c r="K226" s="934"/>
      <c r="L226" s="934"/>
      <c r="M226" s="934"/>
      <c r="N226" s="934"/>
      <c r="O226" s="934"/>
      <c r="P226" s="934"/>
      <c r="Q226" s="934"/>
      <c r="R226" s="934"/>
      <c r="S226" s="934"/>
      <c r="T226" s="934"/>
      <c r="U226" s="934"/>
      <c r="V226" s="934"/>
      <c r="W226" s="934"/>
      <c r="X226" s="934"/>
      <c r="Y226" s="934"/>
      <c r="Z226" s="934"/>
    </row>
    <row r="227" ht="15.75" customHeight="1">
      <c r="A227" s="571"/>
      <c r="B227" s="934"/>
      <c r="C227" s="934"/>
      <c r="D227" s="934"/>
      <c r="E227" s="934"/>
      <c r="F227" s="934"/>
      <c r="G227" s="571"/>
      <c r="H227" s="934"/>
      <c r="I227" s="934"/>
      <c r="J227" s="934"/>
      <c r="K227" s="934"/>
      <c r="L227" s="934"/>
      <c r="M227" s="934"/>
      <c r="N227" s="934"/>
      <c r="O227" s="934"/>
      <c r="P227" s="934"/>
      <c r="Q227" s="934"/>
      <c r="R227" s="934"/>
      <c r="S227" s="934"/>
      <c r="T227" s="934"/>
      <c r="U227" s="934"/>
      <c r="V227" s="934"/>
      <c r="W227" s="934"/>
      <c r="X227" s="934"/>
      <c r="Y227" s="934"/>
      <c r="Z227" s="934"/>
    </row>
    <row r="228" ht="15.75" customHeight="1">
      <c r="A228" s="571"/>
      <c r="B228" s="934"/>
      <c r="C228" s="934"/>
      <c r="D228" s="934"/>
      <c r="E228" s="934"/>
      <c r="F228" s="934"/>
      <c r="G228" s="571"/>
      <c r="H228" s="934"/>
      <c r="I228" s="934"/>
      <c r="J228" s="934"/>
      <c r="K228" s="934"/>
      <c r="L228" s="934"/>
      <c r="M228" s="934"/>
      <c r="N228" s="934"/>
      <c r="O228" s="934"/>
      <c r="P228" s="934"/>
      <c r="Q228" s="934"/>
      <c r="R228" s="934"/>
      <c r="S228" s="934"/>
      <c r="T228" s="934"/>
      <c r="U228" s="934"/>
      <c r="V228" s="934"/>
      <c r="W228" s="934"/>
      <c r="X228" s="934"/>
      <c r="Y228" s="934"/>
      <c r="Z228" s="934"/>
    </row>
    <row r="229" ht="15.75" customHeight="1">
      <c r="A229" s="571"/>
      <c r="B229" s="934"/>
      <c r="C229" s="934"/>
      <c r="D229" s="934"/>
      <c r="E229" s="934"/>
      <c r="F229" s="934"/>
      <c r="G229" s="571"/>
      <c r="H229" s="934"/>
      <c r="I229" s="934"/>
      <c r="J229" s="934"/>
      <c r="K229" s="934"/>
      <c r="L229" s="934"/>
      <c r="M229" s="934"/>
      <c r="N229" s="934"/>
      <c r="O229" s="934"/>
      <c r="P229" s="934"/>
      <c r="Q229" s="934"/>
      <c r="R229" s="934"/>
      <c r="S229" s="934"/>
      <c r="T229" s="934"/>
      <c r="U229" s="934"/>
      <c r="V229" s="934"/>
      <c r="W229" s="934"/>
      <c r="X229" s="934"/>
      <c r="Y229" s="934"/>
      <c r="Z229" s="934"/>
    </row>
    <row r="230" ht="15.75" customHeight="1">
      <c r="A230" s="571"/>
      <c r="B230" s="934"/>
      <c r="C230" s="934"/>
      <c r="D230" s="934"/>
      <c r="E230" s="934"/>
      <c r="F230" s="934"/>
      <c r="G230" s="571"/>
      <c r="H230" s="934"/>
      <c r="I230" s="934"/>
      <c r="J230" s="934"/>
      <c r="K230" s="934"/>
      <c r="L230" s="934"/>
      <c r="M230" s="934"/>
      <c r="N230" s="934"/>
      <c r="O230" s="934"/>
      <c r="P230" s="934"/>
      <c r="Q230" s="934"/>
      <c r="R230" s="934"/>
      <c r="S230" s="934"/>
      <c r="T230" s="934"/>
      <c r="U230" s="934"/>
      <c r="V230" s="934"/>
      <c r="W230" s="934"/>
      <c r="X230" s="934"/>
      <c r="Y230" s="934"/>
      <c r="Z230" s="934"/>
    </row>
    <row r="231" ht="15.75" customHeight="1">
      <c r="A231" s="571"/>
      <c r="B231" s="934"/>
      <c r="C231" s="934"/>
      <c r="D231" s="934"/>
      <c r="E231" s="934"/>
      <c r="F231" s="934"/>
      <c r="G231" s="571"/>
      <c r="H231" s="934"/>
      <c r="I231" s="934"/>
      <c r="J231" s="934"/>
      <c r="K231" s="934"/>
      <c r="L231" s="934"/>
      <c r="M231" s="934"/>
      <c r="N231" s="934"/>
      <c r="O231" s="934"/>
      <c r="P231" s="934"/>
      <c r="Q231" s="934"/>
      <c r="R231" s="934"/>
      <c r="S231" s="934"/>
      <c r="T231" s="934"/>
      <c r="U231" s="934"/>
      <c r="V231" s="934"/>
      <c r="W231" s="934"/>
      <c r="X231" s="934"/>
      <c r="Y231" s="934"/>
      <c r="Z231" s="934"/>
    </row>
    <row r="232" ht="15.75" customHeight="1">
      <c r="A232" s="571"/>
      <c r="B232" s="934"/>
      <c r="C232" s="934"/>
      <c r="D232" s="934"/>
      <c r="E232" s="934"/>
      <c r="F232" s="934"/>
      <c r="G232" s="571"/>
      <c r="H232" s="934"/>
      <c r="I232" s="934"/>
      <c r="J232" s="934"/>
      <c r="K232" s="934"/>
      <c r="L232" s="934"/>
      <c r="M232" s="934"/>
      <c r="N232" s="934"/>
      <c r="O232" s="934"/>
      <c r="P232" s="934"/>
      <c r="Q232" s="934"/>
      <c r="R232" s="934"/>
      <c r="S232" s="934"/>
      <c r="T232" s="934"/>
      <c r="U232" s="934"/>
      <c r="V232" s="934"/>
      <c r="W232" s="934"/>
      <c r="X232" s="934"/>
      <c r="Y232" s="934"/>
      <c r="Z232" s="934"/>
    </row>
    <row r="233" ht="15.75" customHeight="1">
      <c r="A233" s="571"/>
      <c r="B233" s="934"/>
      <c r="C233" s="934"/>
      <c r="D233" s="934"/>
      <c r="E233" s="934"/>
      <c r="F233" s="934"/>
      <c r="G233" s="571"/>
      <c r="H233" s="934"/>
      <c r="I233" s="934"/>
      <c r="J233" s="934"/>
      <c r="K233" s="934"/>
      <c r="L233" s="934"/>
      <c r="M233" s="934"/>
      <c r="N233" s="934"/>
      <c r="O233" s="934"/>
      <c r="P233" s="934"/>
      <c r="Q233" s="934"/>
      <c r="R233" s="934"/>
      <c r="S233" s="934"/>
      <c r="T233" s="934"/>
      <c r="U233" s="934"/>
      <c r="V233" s="934"/>
      <c r="W233" s="934"/>
      <c r="X233" s="934"/>
      <c r="Y233" s="934"/>
      <c r="Z233" s="934"/>
    </row>
    <row r="234" ht="15.75" customHeight="1">
      <c r="A234" s="571"/>
      <c r="B234" s="934"/>
      <c r="C234" s="934"/>
      <c r="D234" s="934"/>
      <c r="E234" s="934"/>
      <c r="F234" s="934"/>
      <c r="G234" s="571"/>
      <c r="H234" s="934"/>
      <c r="I234" s="934"/>
      <c r="J234" s="934"/>
      <c r="K234" s="934"/>
      <c r="L234" s="934"/>
      <c r="M234" s="934"/>
      <c r="N234" s="934"/>
      <c r="O234" s="934"/>
      <c r="P234" s="934"/>
      <c r="Q234" s="934"/>
      <c r="R234" s="934"/>
      <c r="S234" s="934"/>
      <c r="T234" s="934"/>
      <c r="U234" s="934"/>
      <c r="V234" s="934"/>
      <c r="W234" s="934"/>
      <c r="X234" s="934"/>
      <c r="Y234" s="934"/>
      <c r="Z234" s="934"/>
    </row>
    <row r="235" ht="15.75" customHeight="1">
      <c r="A235" s="571"/>
      <c r="B235" s="934"/>
      <c r="C235" s="934"/>
      <c r="D235" s="934"/>
      <c r="E235" s="934"/>
      <c r="F235" s="934"/>
      <c r="G235" s="571"/>
      <c r="H235" s="934"/>
      <c r="I235" s="934"/>
      <c r="J235" s="934"/>
      <c r="K235" s="934"/>
      <c r="L235" s="934"/>
      <c r="M235" s="934"/>
      <c r="N235" s="934"/>
      <c r="O235" s="934"/>
      <c r="P235" s="934"/>
      <c r="Q235" s="934"/>
      <c r="R235" s="934"/>
      <c r="S235" s="934"/>
      <c r="T235" s="934"/>
      <c r="U235" s="934"/>
      <c r="V235" s="934"/>
      <c r="W235" s="934"/>
      <c r="X235" s="934"/>
      <c r="Y235" s="934"/>
      <c r="Z235" s="934"/>
    </row>
    <row r="236" ht="15.75" customHeight="1">
      <c r="A236" s="571"/>
      <c r="B236" s="934"/>
      <c r="C236" s="934"/>
      <c r="D236" s="934"/>
      <c r="E236" s="934"/>
      <c r="F236" s="934"/>
      <c r="G236" s="571"/>
      <c r="H236" s="934"/>
      <c r="I236" s="934"/>
      <c r="J236" s="934"/>
      <c r="K236" s="934"/>
      <c r="L236" s="934"/>
      <c r="M236" s="934"/>
      <c r="N236" s="934"/>
      <c r="O236" s="934"/>
      <c r="P236" s="934"/>
      <c r="Q236" s="934"/>
      <c r="R236" s="934"/>
      <c r="S236" s="934"/>
      <c r="T236" s="934"/>
      <c r="U236" s="934"/>
      <c r="V236" s="934"/>
      <c r="W236" s="934"/>
      <c r="X236" s="934"/>
      <c r="Y236" s="934"/>
      <c r="Z236" s="934"/>
    </row>
    <row r="237" ht="15.75" customHeight="1">
      <c r="A237" s="571"/>
      <c r="B237" s="934"/>
      <c r="C237" s="934"/>
      <c r="D237" s="934"/>
      <c r="E237" s="934"/>
      <c r="F237" s="934"/>
      <c r="G237" s="571"/>
      <c r="H237" s="934"/>
      <c r="I237" s="934"/>
      <c r="J237" s="934"/>
      <c r="K237" s="934"/>
      <c r="L237" s="934"/>
      <c r="M237" s="934"/>
      <c r="N237" s="934"/>
      <c r="O237" s="934"/>
      <c r="P237" s="934"/>
      <c r="Q237" s="934"/>
      <c r="R237" s="934"/>
      <c r="S237" s="934"/>
      <c r="T237" s="934"/>
      <c r="U237" s="934"/>
      <c r="V237" s="934"/>
      <c r="W237" s="934"/>
      <c r="X237" s="934"/>
      <c r="Y237" s="934"/>
      <c r="Z237" s="934"/>
    </row>
    <row r="238" ht="15.75" customHeight="1">
      <c r="A238" s="571"/>
      <c r="B238" s="934"/>
      <c r="C238" s="934"/>
      <c r="D238" s="934"/>
      <c r="E238" s="934"/>
      <c r="F238" s="934"/>
      <c r="G238" s="571"/>
      <c r="H238" s="934"/>
      <c r="I238" s="934"/>
      <c r="J238" s="934"/>
      <c r="K238" s="934"/>
      <c r="L238" s="934"/>
      <c r="M238" s="934"/>
      <c r="N238" s="934"/>
      <c r="O238" s="934"/>
      <c r="P238" s="934"/>
      <c r="Q238" s="934"/>
      <c r="R238" s="934"/>
      <c r="S238" s="934"/>
      <c r="T238" s="934"/>
      <c r="U238" s="934"/>
      <c r="V238" s="934"/>
      <c r="W238" s="934"/>
      <c r="X238" s="934"/>
      <c r="Y238" s="934"/>
      <c r="Z238" s="934"/>
    </row>
    <row r="239" ht="15.75" customHeight="1">
      <c r="A239" s="571"/>
      <c r="B239" s="934"/>
      <c r="C239" s="934"/>
      <c r="D239" s="934"/>
      <c r="E239" s="934"/>
      <c r="F239" s="934"/>
      <c r="G239" s="571"/>
      <c r="H239" s="934"/>
      <c r="I239" s="934"/>
      <c r="J239" s="934"/>
      <c r="K239" s="934"/>
      <c r="L239" s="934"/>
      <c r="M239" s="934"/>
      <c r="N239" s="934"/>
      <c r="O239" s="934"/>
      <c r="P239" s="934"/>
      <c r="Q239" s="934"/>
      <c r="R239" s="934"/>
      <c r="S239" s="934"/>
      <c r="T239" s="934"/>
      <c r="U239" s="934"/>
      <c r="V239" s="934"/>
      <c r="W239" s="934"/>
      <c r="X239" s="934"/>
      <c r="Y239" s="934"/>
      <c r="Z239" s="934"/>
    </row>
    <row r="240" ht="15.75" customHeight="1">
      <c r="A240" s="571"/>
      <c r="B240" s="934"/>
      <c r="C240" s="934"/>
      <c r="D240" s="934"/>
      <c r="E240" s="934"/>
      <c r="F240" s="934"/>
      <c r="G240" s="571"/>
      <c r="H240" s="934"/>
      <c r="I240" s="934"/>
      <c r="J240" s="934"/>
      <c r="K240" s="934"/>
      <c r="L240" s="934"/>
      <c r="M240" s="934"/>
      <c r="N240" s="934"/>
      <c r="O240" s="934"/>
      <c r="P240" s="934"/>
      <c r="Q240" s="934"/>
      <c r="R240" s="934"/>
      <c r="S240" s="934"/>
      <c r="T240" s="934"/>
      <c r="U240" s="934"/>
      <c r="V240" s="934"/>
      <c r="W240" s="934"/>
      <c r="X240" s="934"/>
      <c r="Y240" s="934"/>
      <c r="Z240" s="934"/>
    </row>
    <row r="241" ht="15.75" customHeight="1">
      <c r="A241" s="571"/>
      <c r="B241" s="934"/>
      <c r="C241" s="934"/>
      <c r="D241" s="934"/>
      <c r="E241" s="934"/>
      <c r="F241" s="934"/>
      <c r="G241" s="571"/>
      <c r="H241" s="934"/>
      <c r="I241" s="934"/>
      <c r="J241" s="934"/>
      <c r="K241" s="934"/>
      <c r="L241" s="934"/>
      <c r="M241" s="934"/>
      <c r="N241" s="934"/>
      <c r="O241" s="934"/>
      <c r="P241" s="934"/>
      <c r="Q241" s="934"/>
      <c r="R241" s="934"/>
      <c r="S241" s="934"/>
      <c r="T241" s="934"/>
      <c r="U241" s="934"/>
      <c r="V241" s="934"/>
      <c r="W241" s="934"/>
      <c r="X241" s="934"/>
      <c r="Y241" s="934"/>
      <c r="Z241" s="934"/>
    </row>
    <row r="242" ht="15.75" customHeight="1">
      <c r="A242" s="571"/>
      <c r="B242" s="934"/>
      <c r="C242" s="934"/>
      <c r="D242" s="934"/>
      <c r="E242" s="934"/>
      <c r="F242" s="934"/>
      <c r="G242" s="571"/>
      <c r="H242" s="934"/>
      <c r="I242" s="934"/>
      <c r="J242" s="934"/>
      <c r="K242" s="934"/>
      <c r="L242" s="934"/>
      <c r="M242" s="934"/>
      <c r="N242" s="934"/>
      <c r="O242" s="934"/>
      <c r="P242" s="934"/>
      <c r="Q242" s="934"/>
      <c r="R242" s="934"/>
      <c r="S242" s="934"/>
      <c r="T242" s="934"/>
      <c r="U242" s="934"/>
      <c r="V242" s="934"/>
      <c r="W242" s="934"/>
      <c r="X242" s="934"/>
      <c r="Y242" s="934"/>
      <c r="Z242" s="934"/>
    </row>
    <row r="243" ht="15.75" customHeight="1">
      <c r="A243" s="571"/>
      <c r="B243" s="934"/>
      <c r="C243" s="934"/>
      <c r="D243" s="934"/>
      <c r="E243" s="934"/>
      <c r="F243" s="934"/>
      <c r="G243" s="571"/>
      <c r="H243" s="934"/>
      <c r="I243" s="934"/>
      <c r="J243" s="934"/>
      <c r="K243" s="934"/>
      <c r="L243" s="934"/>
      <c r="M243" s="934"/>
      <c r="N243" s="934"/>
      <c r="O243" s="934"/>
      <c r="P243" s="934"/>
      <c r="Q243" s="934"/>
      <c r="R243" s="934"/>
      <c r="S243" s="934"/>
      <c r="T243" s="934"/>
      <c r="U243" s="934"/>
      <c r="V243" s="934"/>
      <c r="W243" s="934"/>
      <c r="X243" s="934"/>
      <c r="Y243" s="934"/>
      <c r="Z243" s="934"/>
    </row>
    <row r="244" ht="15.75" customHeight="1">
      <c r="A244" s="571"/>
      <c r="B244" s="934"/>
      <c r="C244" s="934"/>
      <c r="D244" s="934"/>
      <c r="E244" s="934"/>
      <c r="F244" s="934"/>
      <c r="G244" s="571"/>
      <c r="H244" s="934"/>
      <c r="I244" s="934"/>
      <c r="J244" s="934"/>
      <c r="K244" s="934"/>
      <c r="L244" s="934"/>
      <c r="M244" s="934"/>
      <c r="N244" s="934"/>
      <c r="O244" s="934"/>
      <c r="P244" s="934"/>
      <c r="Q244" s="934"/>
      <c r="R244" s="934"/>
      <c r="S244" s="934"/>
      <c r="T244" s="934"/>
      <c r="U244" s="934"/>
      <c r="V244" s="934"/>
      <c r="W244" s="934"/>
      <c r="X244" s="934"/>
      <c r="Y244" s="934"/>
      <c r="Z244" s="934"/>
    </row>
    <row r="245" ht="15.75" customHeight="1">
      <c r="A245" s="571"/>
      <c r="B245" s="934"/>
      <c r="C245" s="934"/>
      <c r="D245" s="934"/>
      <c r="E245" s="934"/>
      <c r="F245" s="934"/>
      <c r="G245" s="571"/>
      <c r="H245" s="934"/>
      <c r="I245" s="934"/>
      <c r="J245" s="934"/>
      <c r="K245" s="934"/>
      <c r="L245" s="934"/>
      <c r="M245" s="934"/>
      <c r="N245" s="934"/>
      <c r="O245" s="934"/>
      <c r="P245" s="934"/>
      <c r="Q245" s="934"/>
      <c r="R245" s="934"/>
      <c r="S245" s="934"/>
      <c r="T245" s="934"/>
      <c r="U245" s="934"/>
      <c r="V245" s="934"/>
      <c r="W245" s="934"/>
      <c r="X245" s="934"/>
      <c r="Y245" s="934"/>
      <c r="Z245" s="934"/>
    </row>
    <row r="246" ht="15.75" customHeight="1">
      <c r="A246" s="571"/>
      <c r="B246" s="934"/>
      <c r="C246" s="934"/>
      <c r="D246" s="934"/>
      <c r="E246" s="934"/>
      <c r="F246" s="934"/>
      <c r="G246" s="571"/>
      <c r="H246" s="934"/>
      <c r="I246" s="934"/>
      <c r="J246" s="934"/>
      <c r="K246" s="934"/>
      <c r="L246" s="934"/>
      <c r="M246" s="934"/>
      <c r="N246" s="934"/>
      <c r="O246" s="934"/>
      <c r="P246" s="934"/>
      <c r="Q246" s="934"/>
      <c r="R246" s="934"/>
      <c r="S246" s="934"/>
      <c r="T246" s="934"/>
      <c r="U246" s="934"/>
      <c r="V246" s="934"/>
      <c r="W246" s="934"/>
      <c r="X246" s="934"/>
      <c r="Y246" s="934"/>
      <c r="Z246" s="934"/>
    </row>
    <row r="247" ht="15.75" customHeight="1">
      <c r="A247" s="571"/>
      <c r="B247" s="934"/>
      <c r="C247" s="934"/>
      <c r="D247" s="934"/>
      <c r="E247" s="934"/>
      <c r="F247" s="934"/>
      <c r="G247" s="571"/>
      <c r="H247" s="934"/>
      <c r="I247" s="934"/>
      <c r="J247" s="934"/>
      <c r="K247" s="934"/>
      <c r="L247" s="934"/>
      <c r="M247" s="934"/>
      <c r="N247" s="934"/>
      <c r="O247" s="934"/>
      <c r="P247" s="934"/>
      <c r="Q247" s="934"/>
      <c r="R247" s="934"/>
      <c r="S247" s="934"/>
      <c r="T247" s="934"/>
      <c r="U247" s="934"/>
      <c r="V247" s="934"/>
      <c r="W247" s="934"/>
      <c r="X247" s="934"/>
      <c r="Y247" s="934"/>
      <c r="Z247" s="934"/>
    </row>
    <row r="248" ht="15.75" customHeight="1">
      <c r="A248" s="571"/>
      <c r="B248" s="934"/>
      <c r="C248" s="934"/>
      <c r="D248" s="934"/>
      <c r="E248" s="934"/>
      <c r="F248" s="934"/>
      <c r="G248" s="571"/>
      <c r="H248" s="934"/>
      <c r="I248" s="934"/>
      <c r="J248" s="934"/>
      <c r="K248" s="934"/>
      <c r="L248" s="934"/>
      <c r="M248" s="934"/>
      <c r="N248" s="934"/>
      <c r="O248" s="934"/>
      <c r="P248" s="934"/>
      <c r="Q248" s="934"/>
      <c r="R248" s="934"/>
      <c r="S248" s="934"/>
      <c r="T248" s="934"/>
      <c r="U248" s="934"/>
      <c r="V248" s="934"/>
      <c r="W248" s="934"/>
      <c r="X248" s="934"/>
      <c r="Y248" s="934"/>
      <c r="Z248" s="934"/>
    </row>
    <row r="249" ht="15.75" customHeight="1">
      <c r="A249" s="571"/>
      <c r="B249" s="934"/>
      <c r="C249" s="934"/>
      <c r="D249" s="934"/>
      <c r="E249" s="934"/>
      <c r="F249" s="934"/>
      <c r="G249" s="571"/>
      <c r="H249" s="934"/>
      <c r="I249" s="934"/>
      <c r="J249" s="934"/>
      <c r="K249" s="934"/>
      <c r="L249" s="934"/>
      <c r="M249" s="934"/>
      <c r="N249" s="934"/>
      <c r="O249" s="934"/>
      <c r="P249" s="934"/>
      <c r="Q249" s="934"/>
      <c r="R249" s="934"/>
      <c r="S249" s="934"/>
      <c r="T249" s="934"/>
      <c r="U249" s="934"/>
      <c r="V249" s="934"/>
      <c r="W249" s="934"/>
      <c r="X249" s="934"/>
      <c r="Y249" s="934"/>
      <c r="Z249" s="934"/>
    </row>
    <row r="250" ht="15.75" customHeight="1">
      <c r="A250" s="571"/>
      <c r="B250" s="934"/>
      <c r="C250" s="934"/>
      <c r="D250" s="934"/>
      <c r="E250" s="934"/>
      <c r="F250" s="934"/>
      <c r="G250" s="571"/>
      <c r="H250" s="934"/>
      <c r="I250" s="934"/>
      <c r="J250" s="934"/>
      <c r="K250" s="934"/>
      <c r="L250" s="934"/>
      <c r="M250" s="934"/>
      <c r="N250" s="934"/>
      <c r="O250" s="934"/>
      <c r="P250" s="934"/>
      <c r="Q250" s="934"/>
      <c r="R250" s="934"/>
      <c r="S250" s="934"/>
      <c r="T250" s="934"/>
      <c r="U250" s="934"/>
      <c r="V250" s="934"/>
      <c r="W250" s="934"/>
      <c r="X250" s="934"/>
      <c r="Y250" s="934"/>
      <c r="Z250" s="934"/>
    </row>
    <row r="251" ht="15.75" customHeight="1">
      <c r="A251" s="571"/>
      <c r="B251" s="934"/>
      <c r="C251" s="934"/>
      <c r="D251" s="934"/>
      <c r="E251" s="934"/>
      <c r="F251" s="934"/>
      <c r="G251" s="571"/>
      <c r="H251" s="934"/>
      <c r="I251" s="934"/>
      <c r="J251" s="934"/>
      <c r="K251" s="934"/>
      <c r="L251" s="934"/>
      <c r="M251" s="934"/>
      <c r="N251" s="934"/>
      <c r="O251" s="934"/>
      <c r="P251" s="934"/>
      <c r="Q251" s="934"/>
      <c r="R251" s="934"/>
      <c r="S251" s="934"/>
      <c r="T251" s="934"/>
      <c r="U251" s="934"/>
      <c r="V251" s="934"/>
      <c r="W251" s="934"/>
      <c r="X251" s="934"/>
      <c r="Y251" s="934"/>
      <c r="Z251" s="934"/>
    </row>
    <row r="252" ht="15.75" customHeight="1">
      <c r="A252" s="571"/>
      <c r="B252" s="934"/>
      <c r="C252" s="934"/>
      <c r="D252" s="934"/>
      <c r="E252" s="934"/>
      <c r="F252" s="934"/>
      <c r="G252" s="571"/>
      <c r="H252" s="934"/>
      <c r="I252" s="934"/>
      <c r="J252" s="934"/>
      <c r="K252" s="934"/>
      <c r="L252" s="934"/>
      <c r="M252" s="934"/>
      <c r="N252" s="934"/>
      <c r="O252" s="934"/>
      <c r="P252" s="934"/>
      <c r="Q252" s="934"/>
      <c r="R252" s="934"/>
      <c r="S252" s="934"/>
      <c r="T252" s="934"/>
      <c r="U252" s="934"/>
      <c r="V252" s="934"/>
      <c r="W252" s="934"/>
      <c r="X252" s="934"/>
      <c r="Y252" s="934"/>
      <c r="Z252" s="934"/>
    </row>
    <row r="253" ht="15.75" customHeight="1">
      <c r="A253" s="571"/>
      <c r="B253" s="934"/>
      <c r="C253" s="934"/>
      <c r="D253" s="934"/>
      <c r="E253" s="934"/>
      <c r="F253" s="934"/>
      <c r="G253" s="571"/>
      <c r="H253" s="934"/>
      <c r="I253" s="934"/>
      <c r="J253" s="934"/>
      <c r="K253" s="934"/>
      <c r="L253" s="934"/>
      <c r="M253" s="934"/>
      <c r="N253" s="934"/>
      <c r="O253" s="934"/>
      <c r="P253" s="934"/>
      <c r="Q253" s="934"/>
      <c r="R253" s="934"/>
      <c r="S253" s="934"/>
      <c r="T253" s="934"/>
      <c r="U253" s="934"/>
      <c r="V253" s="934"/>
      <c r="W253" s="934"/>
      <c r="X253" s="934"/>
      <c r="Y253" s="934"/>
      <c r="Z253" s="934"/>
    </row>
    <row r="254" ht="15.75" customHeight="1">
      <c r="A254" s="571"/>
      <c r="B254" s="934"/>
      <c r="C254" s="934"/>
      <c r="D254" s="934"/>
      <c r="E254" s="934"/>
      <c r="F254" s="934"/>
      <c r="G254" s="571"/>
      <c r="H254" s="934"/>
      <c r="I254" s="934"/>
      <c r="J254" s="934"/>
      <c r="K254" s="934"/>
      <c r="L254" s="934"/>
      <c r="M254" s="934"/>
      <c r="N254" s="934"/>
      <c r="O254" s="934"/>
      <c r="P254" s="934"/>
      <c r="Q254" s="934"/>
      <c r="R254" s="934"/>
      <c r="S254" s="934"/>
      <c r="T254" s="934"/>
      <c r="U254" s="934"/>
      <c r="V254" s="934"/>
      <c r="W254" s="934"/>
      <c r="X254" s="934"/>
      <c r="Y254" s="934"/>
      <c r="Z254" s="934"/>
    </row>
    <row r="255" ht="15.75" customHeight="1">
      <c r="A255" s="571"/>
      <c r="B255" s="934"/>
      <c r="C255" s="934"/>
      <c r="D255" s="934"/>
      <c r="E255" s="934"/>
      <c r="F255" s="934"/>
      <c r="G255" s="571"/>
      <c r="H255" s="934"/>
      <c r="I255" s="934"/>
      <c r="J255" s="934"/>
      <c r="K255" s="934"/>
      <c r="L255" s="934"/>
      <c r="M255" s="934"/>
      <c r="N255" s="934"/>
      <c r="O255" s="934"/>
      <c r="P255" s="934"/>
      <c r="Q255" s="934"/>
      <c r="R255" s="934"/>
      <c r="S255" s="934"/>
      <c r="T255" s="934"/>
      <c r="U255" s="934"/>
      <c r="V255" s="934"/>
      <c r="W255" s="934"/>
      <c r="X255" s="934"/>
      <c r="Y255" s="934"/>
      <c r="Z255" s="934"/>
    </row>
    <row r="256" ht="15.75" customHeight="1">
      <c r="A256" s="571"/>
      <c r="B256" s="934"/>
      <c r="C256" s="934"/>
      <c r="D256" s="934"/>
      <c r="E256" s="934"/>
      <c r="F256" s="934"/>
      <c r="G256" s="571"/>
      <c r="H256" s="934"/>
      <c r="I256" s="934"/>
      <c r="J256" s="934"/>
      <c r="K256" s="934"/>
      <c r="L256" s="934"/>
      <c r="M256" s="934"/>
      <c r="N256" s="934"/>
      <c r="O256" s="934"/>
      <c r="P256" s="934"/>
      <c r="Q256" s="934"/>
      <c r="R256" s="934"/>
      <c r="S256" s="934"/>
      <c r="T256" s="934"/>
      <c r="U256" s="934"/>
      <c r="V256" s="934"/>
      <c r="W256" s="934"/>
      <c r="X256" s="934"/>
      <c r="Y256" s="934"/>
      <c r="Z256" s="934"/>
    </row>
    <row r="257" ht="15.75" customHeight="1">
      <c r="A257" s="571"/>
      <c r="B257" s="934"/>
      <c r="C257" s="934"/>
      <c r="D257" s="934"/>
      <c r="E257" s="934"/>
      <c r="F257" s="934"/>
      <c r="G257" s="571"/>
      <c r="H257" s="934"/>
      <c r="I257" s="934"/>
      <c r="J257" s="934"/>
      <c r="K257" s="934"/>
      <c r="L257" s="934"/>
      <c r="M257" s="934"/>
      <c r="N257" s="934"/>
      <c r="O257" s="934"/>
      <c r="P257" s="934"/>
      <c r="Q257" s="934"/>
      <c r="R257" s="934"/>
      <c r="S257" s="934"/>
      <c r="T257" s="934"/>
      <c r="U257" s="934"/>
      <c r="V257" s="934"/>
      <c r="W257" s="934"/>
      <c r="X257" s="934"/>
      <c r="Y257" s="934"/>
      <c r="Z257" s="934"/>
    </row>
    <row r="258" ht="15.75" customHeight="1">
      <c r="A258" s="571"/>
      <c r="B258" s="934"/>
      <c r="C258" s="934"/>
      <c r="D258" s="934"/>
      <c r="E258" s="934"/>
      <c r="F258" s="934"/>
      <c r="G258" s="571"/>
      <c r="H258" s="934"/>
      <c r="I258" s="934"/>
      <c r="J258" s="934"/>
      <c r="K258" s="934"/>
      <c r="L258" s="934"/>
      <c r="M258" s="934"/>
      <c r="N258" s="934"/>
      <c r="O258" s="934"/>
      <c r="P258" s="934"/>
      <c r="Q258" s="934"/>
      <c r="R258" s="934"/>
      <c r="S258" s="934"/>
      <c r="T258" s="934"/>
      <c r="U258" s="934"/>
      <c r="V258" s="934"/>
      <c r="W258" s="934"/>
      <c r="X258" s="934"/>
      <c r="Y258" s="934"/>
      <c r="Z258" s="934"/>
    </row>
    <row r="259" ht="15.75" customHeight="1">
      <c r="A259" s="571"/>
      <c r="B259" s="934"/>
      <c r="C259" s="934"/>
      <c r="D259" s="934"/>
      <c r="E259" s="934"/>
      <c r="F259" s="934"/>
      <c r="G259" s="571"/>
      <c r="H259" s="934"/>
      <c r="I259" s="934"/>
      <c r="J259" s="934"/>
      <c r="K259" s="934"/>
      <c r="L259" s="934"/>
      <c r="M259" s="934"/>
      <c r="N259" s="934"/>
      <c r="O259" s="934"/>
      <c r="P259" s="934"/>
      <c r="Q259" s="934"/>
      <c r="R259" s="934"/>
      <c r="S259" s="934"/>
      <c r="T259" s="934"/>
      <c r="U259" s="934"/>
      <c r="V259" s="934"/>
      <c r="W259" s="934"/>
      <c r="X259" s="934"/>
      <c r="Y259" s="934"/>
      <c r="Z259" s="934"/>
    </row>
    <row r="260" ht="15.75" customHeight="1">
      <c r="A260" s="571"/>
      <c r="B260" s="934"/>
      <c r="C260" s="934"/>
      <c r="D260" s="934"/>
      <c r="E260" s="934"/>
      <c r="F260" s="934"/>
      <c r="G260" s="571"/>
      <c r="H260" s="934"/>
      <c r="I260" s="934"/>
      <c r="J260" s="934"/>
      <c r="K260" s="934"/>
      <c r="L260" s="934"/>
      <c r="M260" s="934"/>
      <c r="N260" s="934"/>
      <c r="O260" s="934"/>
      <c r="P260" s="934"/>
      <c r="Q260" s="934"/>
      <c r="R260" s="934"/>
      <c r="S260" s="934"/>
      <c r="T260" s="934"/>
      <c r="U260" s="934"/>
      <c r="V260" s="934"/>
      <c r="W260" s="934"/>
      <c r="X260" s="934"/>
      <c r="Y260" s="934"/>
      <c r="Z260" s="934"/>
    </row>
    <row r="261" ht="15.75" customHeight="1">
      <c r="A261" s="571"/>
      <c r="B261" s="934"/>
      <c r="C261" s="934"/>
      <c r="D261" s="934"/>
      <c r="E261" s="934"/>
      <c r="F261" s="934"/>
      <c r="G261" s="571"/>
      <c r="H261" s="934"/>
      <c r="I261" s="934"/>
      <c r="J261" s="934"/>
      <c r="K261" s="934"/>
      <c r="L261" s="934"/>
      <c r="M261" s="934"/>
      <c r="N261" s="934"/>
      <c r="O261" s="934"/>
      <c r="P261" s="934"/>
      <c r="Q261" s="934"/>
      <c r="R261" s="934"/>
      <c r="S261" s="934"/>
      <c r="T261" s="934"/>
      <c r="U261" s="934"/>
      <c r="V261" s="934"/>
      <c r="W261" s="934"/>
      <c r="X261" s="934"/>
      <c r="Y261" s="934"/>
      <c r="Z261" s="934"/>
    </row>
    <row r="262" ht="15.75" customHeight="1">
      <c r="A262" s="571"/>
      <c r="B262" s="934"/>
      <c r="C262" s="934"/>
      <c r="D262" s="934"/>
      <c r="E262" s="934"/>
      <c r="F262" s="934"/>
      <c r="G262" s="571"/>
      <c r="H262" s="934"/>
      <c r="I262" s="934"/>
      <c r="J262" s="934"/>
      <c r="K262" s="934"/>
      <c r="L262" s="934"/>
      <c r="M262" s="934"/>
      <c r="N262" s="934"/>
      <c r="O262" s="934"/>
      <c r="P262" s="934"/>
      <c r="Q262" s="934"/>
      <c r="R262" s="934"/>
      <c r="S262" s="934"/>
      <c r="T262" s="934"/>
      <c r="U262" s="934"/>
      <c r="V262" s="934"/>
      <c r="W262" s="934"/>
      <c r="X262" s="934"/>
      <c r="Y262" s="934"/>
      <c r="Z262" s="934"/>
    </row>
    <row r="263" ht="15.75" customHeight="1">
      <c r="A263" s="571"/>
      <c r="B263" s="934"/>
      <c r="C263" s="934"/>
      <c r="D263" s="934"/>
      <c r="E263" s="934"/>
      <c r="F263" s="934"/>
      <c r="G263" s="571"/>
      <c r="H263" s="934"/>
      <c r="I263" s="934"/>
      <c r="J263" s="934"/>
      <c r="K263" s="934"/>
      <c r="L263" s="934"/>
      <c r="M263" s="934"/>
      <c r="N263" s="934"/>
      <c r="O263" s="934"/>
      <c r="P263" s="934"/>
      <c r="Q263" s="934"/>
      <c r="R263" s="934"/>
      <c r="S263" s="934"/>
      <c r="T263" s="934"/>
      <c r="U263" s="934"/>
      <c r="V263" s="934"/>
      <c r="W263" s="934"/>
      <c r="X263" s="934"/>
      <c r="Y263" s="934"/>
      <c r="Z263" s="934"/>
    </row>
    <row r="264" ht="15.75" customHeight="1">
      <c r="A264" s="571"/>
      <c r="B264" s="934"/>
      <c r="C264" s="934"/>
      <c r="D264" s="934"/>
      <c r="E264" s="934"/>
      <c r="F264" s="934"/>
      <c r="G264" s="571"/>
      <c r="H264" s="934"/>
      <c r="I264" s="934"/>
      <c r="J264" s="934"/>
      <c r="K264" s="934"/>
      <c r="L264" s="934"/>
      <c r="M264" s="934"/>
      <c r="N264" s="934"/>
      <c r="O264" s="934"/>
      <c r="P264" s="934"/>
      <c r="Q264" s="934"/>
      <c r="R264" s="934"/>
      <c r="S264" s="934"/>
      <c r="T264" s="934"/>
      <c r="U264" s="934"/>
      <c r="V264" s="934"/>
      <c r="W264" s="934"/>
      <c r="X264" s="934"/>
      <c r="Y264" s="934"/>
      <c r="Z264" s="934"/>
    </row>
    <row r="265" ht="15.75" customHeight="1">
      <c r="A265" s="571"/>
      <c r="B265" s="934"/>
      <c r="C265" s="934"/>
      <c r="D265" s="934"/>
      <c r="E265" s="934"/>
      <c r="F265" s="934"/>
      <c r="G265" s="571"/>
      <c r="H265" s="934"/>
      <c r="I265" s="934"/>
      <c r="J265" s="934"/>
      <c r="K265" s="934"/>
      <c r="L265" s="934"/>
      <c r="M265" s="934"/>
      <c r="N265" s="934"/>
      <c r="O265" s="934"/>
      <c r="P265" s="934"/>
      <c r="Q265" s="934"/>
      <c r="R265" s="934"/>
      <c r="S265" s="934"/>
      <c r="T265" s="934"/>
      <c r="U265" s="934"/>
      <c r="V265" s="934"/>
      <c r="W265" s="934"/>
      <c r="X265" s="934"/>
      <c r="Y265" s="934"/>
      <c r="Z265" s="934"/>
    </row>
    <row r="266" ht="15.75" customHeight="1">
      <c r="A266" s="571"/>
      <c r="B266" s="934"/>
      <c r="C266" s="934"/>
      <c r="D266" s="934"/>
      <c r="E266" s="934"/>
      <c r="F266" s="934"/>
      <c r="G266" s="571"/>
      <c r="H266" s="934"/>
      <c r="I266" s="934"/>
      <c r="J266" s="934"/>
      <c r="K266" s="934"/>
      <c r="L266" s="934"/>
      <c r="M266" s="934"/>
      <c r="N266" s="934"/>
      <c r="O266" s="934"/>
      <c r="P266" s="934"/>
      <c r="Q266" s="934"/>
      <c r="R266" s="934"/>
      <c r="S266" s="934"/>
      <c r="T266" s="934"/>
      <c r="U266" s="934"/>
      <c r="V266" s="934"/>
      <c r="W266" s="934"/>
      <c r="X266" s="934"/>
      <c r="Y266" s="934"/>
      <c r="Z266" s="934"/>
    </row>
    <row r="267" ht="15.75" customHeight="1">
      <c r="A267" s="571"/>
      <c r="B267" s="934"/>
      <c r="C267" s="934"/>
      <c r="D267" s="934"/>
      <c r="E267" s="934"/>
      <c r="F267" s="934"/>
      <c r="G267" s="571"/>
      <c r="H267" s="934"/>
      <c r="I267" s="934"/>
      <c r="J267" s="934"/>
      <c r="K267" s="934"/>
      <c r="L267" s="934"/>
      <c r="M267" s="934"/>
      <c r="N267" s="934"/>
      <c r="O267" s="934"/>
      <c r="P267" s="934"/>
      <c r="Q267" s="934"/>
      <c r="R267" s="934"/>
      <c r="S267" s="934"/>
      <c r="T267" s="934"/>
      <c r="U267" s="934"/>
      <c r="V267" s="934"/>
      <c r="W267" s="934"/>
      <c r="X267" s="934"/>
      <c r="Y267" s="934"/>
      <c r="Z267" s="934"/>
    </row>
    <row r="268" ht="15.75" customHeight="1">
      <c r="A268" s="571"/>
      <c r="B268" s="934"/>
      <c r="C268" s="934"/>
      <c r="D268" s="934"/>
      <c r="E268" s="934"/>
      <c r="F268" s="934"/>
      <c r="G268" s="571"/>
      <c r="H268" s="934"/>
      <c r="I268" s="934"/>
      <c r="J268" s="934"/>
      <c r="K268" s="934"/>
      <c r="L268" s="934"/>
      <c r="M268" s="934"/>
      <c r="N268" s="934"/>
      <c r="O268" s="934"/>
      <c r="P268" s="934"/>
      <c r="Q268" s="934"/>
      <c r="R268" s="934"/>
      <c r="S268" s="934"/>
      <c r="T268" s="934"/>
      <c r="U268" s="934"/>
      <c r="V268" s="934"/>
      <c r="W268" s="934"/>
      <c r="X268" s="934"/>
      <c r="Y268" s="934"/>
      <c r="Z268" s="934"/>
    </row>
    <row r="269" ht="15.75" customHeight="1">
      <c r="A269" s="571"/>
      <c r="B269" s="934"/>
      <c r="C269" s="934"/>
      <c r="D269" s="934"/>
      <c r="E269" s="934"/>
      <c r="F269" s="934"/>
      <c r="G269" s="571"/>
      <c r="H269" s="934"/>
      <c r="I269" s="934"/>
      <c r="J269" s="934"/>
      <c r="K269" s="934"/>
      <c r="L269" s="934"/>
      <c r="M269" s="934"/>
      <c r="N269" s="934"/>
      <c r="O269" s="934"/>
      <c r="P269" s="934"/>
      <c r="Q269" s="934"/>
      <c r="R269" s="934"/>
      <c r="S269" s="934"/>
      <c r="T269" s="934"/>
      <c r="U269" s="934"/>
      <c r="V269" s="934"/>
      <c r="W269" s="934"/>
      <c r="X269" s="934"/>
      <c r="Y269" s="934"/>
      <c r="Z269" s="934"/>
    </row>
    <row r="270" ht="15.75" customHeight="1">
      <c r="A270" s="571"/>
      <c r="B270" s="934"/>
      <c r="C270" s="934"/>
      <c r="D270" s="934"/>
      <c r="E270" s="934"/>
      <c r="F270" s="934"/>
      <c r="G270" s="571"/>
      <c r="H270" s="934"/>
      <c r="I270" s="934"/>
      <c r="J270" s="934"/>
      <c r="K270" s="934"/>
      <c r="L270" s="934"/>
      <c r="M270" s="934"/>
      <c r="N270" s="934"/>
      <c r="O270" s="934"/>
      <c r="P270" s="934"/>
      <c r="Q270" s="934"/>
      <c r="R270" s="934"/>
      <c r="S270" s="934"/>
      <c r="T270" s="934"/>
      <c r="U270" s="934"/>
      <c r="V270" s="934"/>
      <c r="W270" s="934"/>
      <c r="X270" s="934"/>
      <c r="Y270" s="934"/>
      <c r="Z270" s="934"/>
    </row>
    <row r="271" ht="15.75" customHeight="1">
      <c r="A271" s="571"/>
      <c r="B271" s="934"/>
      <c r="C271" s="934"/>
      <c r="D271" s="934"/>
      <c r="E271" s="934"/>
      <c r="F271" s="934"/>
      <c r="G271" s="571"/>
      <c r="H271" s="934"/>
      <c r="I271" s="934"/>
      <c r="J271" s="934"/>
      <c r="K271" s="934"/>
      <c r="L271" s="934"/>
      <c r="M271" s="934"/>
      <c r="N271" s="934"/>
      <c r="O271" s="934"/>
      <c r="P271" s="934"/>
      <c r="Q271" s="934"/>
      <c r="R271" s="934"/>
      <c r="S271" s="934"/>
      <c r="T271" s="934"/>
      <c r="U271" s="934"/>
      <c r="V271" s="934"/>
      <c r="W271" s="934"/>
      <c r="X271" s="934"/>
      <c r="Y271" s="934"/>
      <c r="Z271" s="934"/>
    </row>
    <row r="272" ht="15.75" customHeight="1">
      <c r="A272" s="571"/>
      <c r="B272" s="934"/>
      <c r="C272" s="934"/>
      <c r="D272" s="934"/>
      <c r="E272" s="934"/>
      <c r="F272" s="934"/>
      <c r="G272" s="571"/>
      <c r="H272" s="934"/>
      <c r="I272" s="934"/>
      <c r="J272" s="934"/>
      <c r="K272" s="934"/>
      <c r="L272" s="934"/>
      <c r="M272" s="934"/>
      <c r="N272" s="934"/>
      <c r="O272" s="934"/>
      <c r="P272" s="934"/>
      <c r="Q272" s="934"/>
      <c r="R272" s="934"/>
      <c r="S272" s="934"/>
      <c r="T272" s="934"/>
      <c r="U272" s="934"/>
      <c r="V272" s="934"/>
      <c r="W272" s="934"/>
      <c r="X272" s="934"/>
      <c r="Y272" s="934"/>
      <c r="Z272" s="934"/>
    </row>
    <row r="273" ht="15.75" customHeight="1">
      <c r="A273" s="571"/>
      <c r="B273" s="934"/>
      <c r="C273" s="934"/>
      <c r="D273" s="934"/>
      <c r="E273" s="934"/>
      <c r="F273" s="934"/>
      <c r="G273" s="571"/>
      <c r="H273" s="934"/>
      <c r="I273" s="934"/>
      <c r="J273" s="934"/>
      <c r="K273" s="934"/>
      <c r="L273" s="934"/>
      <c r="M273" s="934"/>
      <c r="N273" s="934"/>
      <c r="O273" s="934"/>
      <c r="P273" s="934"/>
      <c r="Q273" s="934"/>
      <c r="R273" s="934"/>
      <c r="S273" s="934"/>
      <c r="T273" s="934"/>
      <c r="U273" s="934"/>
      <c r="V273" s="934"/>
      <c r="W273" s="934"/>
      <c r="X273" s="934"/>
      <c r="Y273" s="934"/>
      <c r="Z273" s="934"/>
    </row>
    <row r="274" ht="15.75" customHeight="1">
      <c r="A274" s="571"/>
      <c r="B274" s="934"/>
      <c r="C274" s="934"/>
      <c r="D274" s="934"/>
      <c r="E274" s="934"/>
      <c r="F274" s="934"/>
      <c r="G274" s="571"/>
      <c r="H274" s="934"/>
      <c r="I274" s="934"/>
      <c r="J274" s="934"/>
      <c r="K274" s="934"/>
      <c r="L274" s="934"/>
      <c r="M274" s="934"/>
      <c r="N274" s="934"/>
      <c r="O274" s="934"/>
      <c r="P274" s="934"/>
      <c r="Q274" s="934"/>
      <c r="R274" s="934"/>
      <c r="S274" s="934"/>
      <c r="T274" s="934"/>
      <c r="U274" s="934"/>
      <c r="V274" s="934"/>
      <c r="W274" s="934"/>
      <c r="X274" s="934"/>
      <c r="Y274" s="934"/>
      <c r="Z274" s="934"/>
    </row>
    <row r="275" ht="15.75" customHeight="1">
      <c r="A275" s="571"/>
      <c r="B275" s="934"/>
      <c r="C275" s="934"/>
      <c r="D275" s="934"/>
      <c r="E275" s="934"/>
      <c r="F275" s="934"/>
      <c r="G275" s="571"/>
      <c r="H275" s="934"/>
      <c r="I275" s="934"/>
      <c r="J275" s="934"/>
      <c r="K275" s="934"/>
      <c r="L275" s="934"/>
      <c r="M275" s="934"/>
      <c r="N275" s="934"/>
      <c r="O275" s="934"/>
      <c r="P275" s="934"/>
      <c r="Q275" s="934"/>
      <c r="R275" s="934"/>
      <c r="S275" s="934"/>
      <c r="T275" s="934"/>
      <c r="U275" s="934"/>
      <c r="V275" s="934"/>
      <c r="W275" s="934"/>
      <c r="X275" s="934"/>
      <c r="Y275" s="934"/>
      <c r="Z275" s="934"/>
    </row>
    <row r="276" ht="15.75" customHeight="1">
      <c r="A276" s="571"/>
      <c r="B276" s="934"/>
      <c r="C276" s="934"/>
      <c r="D276" s="934"/>
      <c r="E276" s="934"/>
      <c r="F276" s="934"/>
      <c r="G276" s="571"/>
      <c r="H276" s="934"/>
      <c r="I276" s="934"/>
      <c r="J276" s="934"/>
      <c r="K276" s="934"/>
      <c r="L276" s="934"/>
      <c r="M276" s="934"/>
      <c r="N276" s="934"/>
      <c r="O276" s="934"/>
      <c r="P276" s="934"/>
      <c r="Q276" s="934"/>
      <c r="R276" s="934"/>
      <c r="S276" s="934"/>
      <c r="T276" s="934"/>
      <c r="U276" s="934"/>
      <c r="V276" s="934"/>
      <c r="W276" s="934"/>
      <c r="X276" s="934"/>
      <c r="Y276" s="934"/>
      <c r="Z276" s="934"/>
    </row>
    <row r="277" ht="15.75" customHeight="1">
      <c r="A277" s="571"/>
      <c r="B277" s="934"/>
      <c r="C277" s="934"/>
      <c r="D277" s="934"/>
      <c r="E277" s="934"/>
      <c r="F277" s="934"/>
      <c r="G277" s="571"/>
      <c r="H277" s="934"/>
      <c r="I277" s="934"/>
      <c r="J277" s="934"/>
      <c r="K277" s="934"/>
      <c r="L277" s="934"/>
      <c r="M277" s="934"/>
      <c r="N277" s="934"/>
      <c r="O277" s="934"/>
      <c r="P277" s="934"/>
      <c r="Q277" s="934"/>
      <c r="R277" s="934"/>
      <c r="S277" s="934"/>
      <c r="T277" s="934"/>
      <c r="U277" s="934"/>
      <c r="V277" s="934"/>
      <c r="W277" s="934"/>
      <c r="X277" s="934"/>
      <c r="Y277" s="934"/>
      <c r="Z277" s="934"/>
    </row>
    <row r="278" ht="15.75" customHeight="1">
      <c r="A278" s="571"/>
      <c r="B278" s="934"/>
      <c r="C278" s="934"/>
      <c r="D278" s="934"/>
      <c r="E278" s="934"/>
      <c r="F278" s="934"/>
      <c r="G278" s="571"/>
      <c r="H278" s="934"/>
      <c r="I278" s="934"/>
      <c r="J278" s="934"/>
      <c r="K278" s="934"/>
      <c r="L278" s="934"/>
      <c r="M278" s="934"/>
      <c r="N278" s="934"/>
      <c r="O278" s="934"/>
      <c r="P278" s="934"/>
      <c r="Q278" s="934"/>
      <c r="R278" s="934"/>
      <c r="S278" s="934"/>
      <c r="T278" s="934"/>
      <c r="U278" s="934"/>
      <c r="V278" s="934"/>
      <c r="W278" s="934"/>
      <c r="X278" s="934"/>
      <c r="Y278" s="934"/>
      <c r="Z278" s="934"/>
    </row>
    <row r="279" ht="15.75" customHeight="1">
      <c r="A279" s="571"/>
      <c r="B279" s="934"/>
      <c r="C279" s="934"/>
      <c r="D279" s="934"/>
      <c r="E279" s="934"/>
      <c r="F279" s="934"/>
      <c r="G279" s="571"/>
      <c r="H279" s="934"/>
      <c r="I279" s="934"/>
      <c r="J279" s="934"/>
      <c r="K279" s="934"/>
      <c r="L279" s="934"/>
      <c r="M279" s="934"/>
      <c r="N279" s="934"/>
      <c r="O279" s="934"/>
      <c r="P279" s="934"/>
      <c r="Q279" s="934"/>
      <c r="R279" s="934"/>
      <c r="S279" s="934"/>
      <c r="T279" s="934"/>
      <c r="U279" s="934"/>
      <c r="V279" s="934"/>
      <c r="W279" s="934"/>
      <c r="X279" s="934"/>
      <c r="Y279" s="934"/>
      <c r="Z279" s="934"/>
    </row>
    <row r="280" ht="15.75" customHeight="1">
      <c r="A280" s="571"/>
      <c r="B280" s="934"/>
      <c r="C280" s="934"/>
      <c r="D280" s="934"/>
      <c r="E280" s="934"/>
      <c r="F280" s="934"/>
      <c r="G280" s="571"/>
      <c r="H280" s="934"/>
      <c r="I280" s="934"/>
      <c r="J280" s="934"/>
      <c r="K280" s="934"/>
      <c r="L280" s="934"/>
      <c r="M280" s="934"/>
      <c r="N280" s="934"/>
      <c r="O280" s="934"/>
      <c r="P280" s="934"/>
      <c r="Q280" s="934"/>
      <c r="R280" s="934"/>
      <c r="S280" s="934"/>
      <c r="T280" s="934"/>
      <c r="U280" s="934"/>
      <c r="V280" s="934"/>
      <c r="W280" s="934"/>
      <c r="X280" s="934"/>
      <c r="Y280" s="934"/>
      <c r="Z280" s="934"/>
    </row>
    <row r="281" ht="15.75" customHeight="1">
      <c r="A281" s="571"/>
      <c r="B281" s="934"/>
      <c r="C281" s="934"/>
      <c r="D281" s="934"/>
      <c r="E281" s="934"/>
      <c r="F281" s="934"/>
      <c r="G281" s="571"/>
      <c r="H281" s="934"/>
      <c r="I281" s="934"/>
      <c r="J281" s="934"/>
      <c r="K281" s="934"/>
      <c r="L281" s="934"/>
      <c r="M281" s="934"/>
      <c r="N281" s="934"/>
      <c r="O281" s="934"/>
      <c r="P281" s="934"/>
      <c r="Q281" s="934"/>
      <c r="R281" s="934"/>
      <c r="S281" s="934"/>
      <c r="T281" s="934"/>
      <c r="U281" s="934"/>
      <c r="V281" s="934"/>
      <c r="W281" s="934"/>
      <c r="X281" s="934"/>
      <c r="Y281" s="934"/>
      <c r="Z281" s="934"/>
    </row>
    <row r="282" ht="15.75" customHeight="1">
      <c r="A282" s="571"/>
      <c r="B282" s="934"/>
      <c r="C282" s="934"/>
      <c r="D282" s="934"/>
      <c r="E282" s="934"/>
      <c r="F282" s="934"/>
      <c r="G282" s="571"/>
      <c r="H282" s="934"/>
      <c r="I282" s="934"/>
      <c r="J282" s="934"/>
      <c r="K282" s="934"/>
      <c r="L282" s="934"/>
      <c r="M282" s="934"/>
      <c r="N282" s="934"/>
      <c r="O282" s="934"/>
      <c r="P282" s="934"/>
      <c r="Q282" s="934"/>
      <c r="R282" s="934"/>
      <c r="S282" s="934"/>
      <c r="T282" s="934"/>
      <c r="U282" s="934"/>
      <c r="V282" s="934"/>
      <c r="W282" s="934"/>
      <c r="X282" s="934"/>
      <c r="Y282" s="934"/>
      <c r="Z282" s="934"/>
    </row>
    <row r="283" ht="15.75" customHeight="1">
      <c r="A283" s="571"/>
      <c r="B283" s="934"/>
      <c r="C283" s="934"/>
      <c r="D283" s="934"/>
      <c r="E283" s="934"/>
      <c r="F283" s="934"/>
      <c r="G283" s="571"/>
      <c r="H283" s="934"/>
      <c r="I283" s="934"/>
      <c r="J283" s="934"/>
      <c r="K283" s="934"/>
      <c r="L283" s="934"/>
      <c r="M283" s="934"/>
      <c r="N283" s="934"/>
      <c r="O283" s="934"/>
      <c r="P283" s="934"/>
      <c r="Q283" s="934"/>
      <c r="R283" s="934"/>
      <c r="S283" s="934"/>
      <c r="T283" s="934"/>
      <c r="U283" s="934"/>
      <c r="V283" s="934"/>
      <c r="W283" s="934"/>
      <c r="X283" s="934"/>
      <c r="Y283" s="934"/>
      <c r="Z283" s="934"/>
    </row>
    <row r="284" ht="15.75" customHeight="1">
      <c r="A284" s="571"/>
      <c r="B284" s="934"/>
      <c r="C284" s="934"/>
      <c r="D284" s="934"/>
      <c r="E284" s="934"/>
      <c r="F284" s="934"/>
      <c r="G284" s="571"/>
      <c r="H284" s="934"/>
      <c r="I284" s="934"/>
      <c r="J284" s="934"/>
      <c r="K284" s="934"/>
      <c r="L284" s="934"/>
      <c r="M284" s="934"/>
      <c r="N284" s="934"/>
      <c r="O284" s="934"/>
      <c r="P284" s="934"/>
      <c r="Q284" s="934"/>
      <c r="R284" s="934"/>
      <c r="S284" s="934"/>
      <c r="T284" s="934"/>
      <c r="U284" s="934"/>
      <c r="V284" s="934"/>
      <c r="W284" s="934"/>
      <c r="X284" s="934"/>
      <c r="Y284" s="934"/>
      <c r="Z284" s="934"/>
    </row>
    <row r="285" ht="15.75" customHeight="1">
      <c r="A285" s="571"/>
      <c r="B285" s="934"/>
      <c r="C285" s="934"/>
      <c r="D285" s="934"/>
      <c r="E285" s="934"/>
      <c r="F285" s="934"/>
      <c r="G285" s="571"/>
      <c r="H285" s="934"/>
      <c r="I285" s="934"/>
      <c r="J285" s="934"/>
      <c r="K285" s="934"/>
      <c r="L285" s="934"/>
      <c r="M285" s="934"/>
      <c r="N285" s="934"/>
      <c r="O285" s="934"/>
      <c r="P285" s="934"/>
      <c r="Q285" s="934"/>
      <c r="R285" s="934"/>
      <c r="S285" s="934"/>
      <c r="T285" s="934"/>
      <c r="U285" s="934"/>
      <c r="V285" s="934"/>
      <c r="W285" s="934"/>
      <c r="X285" s="934"/>
      <c r="Y285" s="934"/>
      <c r="Z285" s="934"/>
    </row>
    <row r="286" ht="15.75" customHeight="1">
      <c r="A286" s="571"/>
      <c r="B286" s="934"/>
      <c r="C286" s="934"/>
      <c r="D286" s="934"/>
      <c r="E286" s="934"/>
      <c r="F286" s="934"/>
      <c r="G286" s="571"/>
      <c r="H286" s="934"/>
      <c r="I286" s="934"/>
      <c r="J286" s="934"/>
      <c r="K286" s="934"/>
      <c r="L286" s="934"/>
      <c r="M286" s="934"/>
      <c r="N286" s="934"/>
      <c r="O286" s="934"/>
      <c r="P286" s="934"/>
      <c r="Q286" s="934"/>
      <c r="R286" s="934"/>
      <c r="S286" s="934"/>
      <c r="T286" s="934"/>
      <c r="U286" s="934"/>
      <c r="V286" s="934"/>
      <c r="W286" s="934"/>
      <c r="X286" s="934"/>
      <c r="Y286" s="934"/>
      <c r="Z286" s="934"/>
    </row>
    <row r="287" ht="15.75" customHeight="1">
      <c r="A287" s="571"/>
      <c r="B287" s="934"/>
      <c r="C287" s="934"/>
      <c r="D287" s="934"/>
      <c r="E287" s="934"/>
      <c r="F287" s="934"/>
      <c r="G287" s="571"/>
      <c r="H287" s="934"/>
      <c r="I287" s="934"/>
      <c r="J287" s="934"/>
      <c r="K287" s="934"/>
      <c r="L287" s="934"/>
      <c r="M287" s="934"/>
      <c r="N287" s="934"/>
      <c r="O287" s="934"/>
      <c r="P287" s="934"/>
      <c r="Q287" s="934"/>
      <c r="R287" s="934"/>
      <c r="S287" s="934"/>
      <c r="T287" s="934"/>
      <c r="U287" s="934"/>
      <c r="V287" s="934"/>
      <c r="W287" s="934"/>
      <c r="X287" s="934"/>
      <c r="Y287" s="934"/>
      <c r="Z287" s="934"/>
    </row>
    <row r="288" ht="15.75" customHeight="1">
      <c r="A288" s="571"/>
      <c r="B288" s="934"/>
      <c r="C288" s="934"/>
      <c r="D288" s="934"/>
      <c r="E288" s="934"/>
      <c r="F288" s="934"/>
      <c r="G288" s="571"/>
      <c r="H288" s="934"/>
      <c r="I288" s="934"/>
      <c r="J288" s="934"/>
      <c r="K288" s="934"/>
      <c r="L288" s="934"/>
      <c r="M288" s="934"/>
      <c r="N288" s="934"/>
      <c r="O288" s="934"/>
      <c r="P288" s="934"/>
      <c r="Q288" s="934"/>
      <c r="R288" s="934"/>
      <c r="S288" s="934"/>
      <c r="T288" s="934"/>
      <c r="U288" s="934"/>
      <c r="V288" s="934"/>
      <c r="W288" s="934"/>
      <c r="X288" s="934"/>
      <c r="Y288" s="934"/>
      <c r="Z288" s="934"/>
    </row>
    <row r="289" ht="15.75" customHeight="1">
      <c r="A289" s="571"/>
      <c r="B289" s="934"/>
      <c r="C289" s="934"/>
      <c r="D289" s="934"/>
      <c r="E289" s="934"/>
      <c r="F289" s="934"/>
      <c r="G289" s="571"/>
      <c r="H289" s="934"/>
      <c r="I289" s="934"/>
      <c r="J289" s="934"/>
      <c r="K289" s="934"/>
      <c r="L289" s="934"/>
      <c r="M289" s="934"/>
      <c r="N289" s="934"/>
      <c r="O289" s="934"/>
      <c r="P289" s="934"/>
      <c r="Q289" s="934"/>
      <c r="R289" s="934"/>
      <c r="S289" s="934"/>
      <c r="T289" s="934"/>
      <c r="U289" s="934"/>
      <c r="V289" s="934"/>
      <c r="W289" s="934"/>
      <c r="X289" s="934"/>
      <c r="Y289" s="934"/>
      <c r="Z289" s="934"/>
    </row>
    <row r="290" ht="15.75" customHeight="1">
      <c r="A290" s="571"/>
      <c r="B290" s="934"/>
      <c r="C290" s="934"/>
      <c r="D290" s="934"/>
      <c r="E290" s="934"/>
      <c r="F290" s="934"/>
      <c r="G290" s="571"/>
      <c r="H290" s="934"/>
      <c r="I290" s="934"/>
      <c r="J290" s="934"/>
      <c r="K290" s="934"/>
      <c r="L290" s="934"/>
      <c r="M290" s="934"/>
      <c r="N290" s="934"/>
      <c r="O290" s="934"/>
      <c r="P290" s="934"/>
      <c r="Q290" s="934"/>
      <c r="R290" s="934"/>
      <c r="S290" s="934"/>
      <c r="T290" s="934"/>
      <c r="U290" s="934"/>
      <c r="V290" s="934"/>
      <c r="W290" s="934"/>
      <c r="X290" s="934"/>
      <c r="Y290" s="934"/>
      <c r="Z290" s="934"/>
    </row>
    <row r="291" ht="15.75" customHeight="1">
      <c r="A291" s="571"/>
      <c r="B291" s="934"/>
      <c r="C291" s="934"/>
      <c r="D291" s="934"/>
      <c r="E291" s="934"/>
      <c r="F291" s="934"/>
      <c r="G291" s="571"/>
      <c r="H291" s="934"/>
      <c r="I291" s="934"/>
      <c r="J291" s="934"/>
      <c r="K291" s="934"/>
      <c r="L291" s="934"/>
      <c r="M291" s="934"/>
      <c r="N291" s="934"/>
      <c r="O291" s="934"/>
      <c r="P291" s="934"/>
      <c r="Q291" s="934"/>
      <c r="R291" s="934"/>
      <c r="S291" s="934"/>
      <c r="T291" s="934"/>
      <c r="U291" s="934"/>
      <c r="V291" s="934"/>
      <c r="W291" s="934"/>
      <c r="X291" s="934"/>
      <c r="Y291" s="934"/>
      <c r="Z291" s="934"/>
    </row>
    <row r="292" ht="15.75" customHeight="1">
      <c r="A292" s="571"/>
      <c r="B292" s="934"/>
      <c r="C292" s="934"/>
      <c r="D292" s="934"/>
      <c r="E292" s="934"/>
      <c r="F292" s="934"/>
      <c r="G292" s="571"/>
      <c r="H292" s="934"/>
      <c r="I292" s="934"/>
      <c r="J292" s="934"/>
      <c r="K292" s="934"/>
      <c r="L292" s="934"/>
      <c r="M292" s="934"/>
      <c r="N292" s="934"/>
      <c r="O292" s="934"/>
      <c r="P292" s="934"/>
      <c r="Q292" s="934"/>
      <c r="R292" s="934"/>
      <c r="S292" s="934"/>
      <c r="T292" s="934"/>
      <c r="U292" s="934"/>
      <c r="V292" s="934"/>
      <c r="W292" s="934"/>
      <c r="X292" s="934"/>
      <c r="Y292" s="934"/>
      <c r="Z292" s="934"/>
    </row>
    <row r="293" ht="15.75" customHeight="1">
      <c r="A293" s="571"/>
      <c r="B293" s="934"/>
      <c r="C293" s="934"/>
      <c r="D293" s="934"/>
      <c r="E293" s="934"/>
      <c r="F293" s="934"/>
      <c r="G293" s="571"/>
      <c r="H293" s="934"/>
      <c r="I293" s="934"/>
      <c r="J293" s="934"/>
      <c r="K293" s="934"/>
      <c r="L293" s="934"/>
      <c r="M293" s="934"/>
      <c r="N293" s="934"/>
      <c r="O293" s="934"/>
      <c r="P293" s="934"/>
      <c r="Q293" s="934"/>
      <c r="R293" s="934"/>
      <c r="S293" s="934"/>
      <c r="T293" s="934"/>
      <c r="U293" s="934"/>
      <c r="V293" s="934"/>
      <c r="W293" s="934"/>
      <c r="X293" s="934"/>
      <c r="Y293" s="934"/>
      <c r="Z293" s="934"/>
    </row>
    <row r="294" ht="15.75" customHeight="1">
      <c r="A294" s="571"/>
      <c r="B294" s="934"/>
      <c r="C294" s="934"/>
      <c r="D294" s="934"/>
      <c r="E294" s="934"/>
      <c r="F294" s="934"/>
      <c r="G294" s="571"/>
      <c r="H294" s="934"/>
      <c r="I294" s="934"/>
      <c r="J294" s="934"/>
      <c r="K294" s="934"/>
      <c r="L294" s="934"/>
      <c r="M294" s="934"/>
      <c r="N294" s="934"/>
      <c r="O294" s="934"/>
      <c r="P294" s="934"/>
      <c r="Q294" s="934"/>
      <c r="R294" s="934"/>
      <c r="S294" s="934"/>
      <c r="T294" s="934"/>
      <c r="U294" s="934"/>
      <c r="V294" s="934"/>
      <c r="W294" s="934"/>
      <c r="X294" s="934"/>
      <c r="Y294" s="934"/>
      <c r="Z294" s="934"/>
    </row>
    <row r="295" ht="15.75" customHeight="1">
      <c r="A295" s="571"/>
      <c r="B295" s="934"/>
      <c r="C295" s="934"/>
      <c r="D295" s="934"/>
      <c r="E295" s="934"/>
      <c r="F295" s="934"/>
      <c r="G295" s="571"/>
      <c r="H295" s="934"/>
      <c r="I295" s="934"/>
      <c r="J295" s="934"/>
      <c r="K295" s="934"/>
      <c r="L295" s="934"/>
      <c r="M295" s="934"/>
      <c r="N295" s="934"/>
      <c r="O295" s="934"/>
      <c r="P295" s="934"/>
      <c r="Q295" s="934"/>
      <c r="R295" s="934"/>
      <c r="S295" s="934"/>
      <c r="T295" s="934"/>
      <c r="U295" s="934"/>
      <c r="V295" s="934"/>
      <c r="W295" s="934"/>
      <c r="X295" s="934"/>
      <c r="Y295" s="934"/>
      <c r="Z295" s="934"/>
    </row>
    <row r="296" ht="15.75" customHeight="1">
      <c r="A296" s="571"/>
      <c r="B296" s="934"/>
      <c r="C296" s="934"/>
      <c r="D296" s="934"/>
      <c r="E296" s="934"/>
      <c r="F296" s="934"/>
      <c r="G296" s="571"/>
      <c r="H296" s="934"/>
      <c r="I296" s="934"/>
      <c r="J296" s="934"/>
      <c r="K296" s="934"/>
      <c r="L296" s="934"/>
      <c r="M296" s="934"/>
      <c r="N296" s="934"/>
      <c r="O296" s="934"/>
      <c r="P296" s="934"/>
      <c r="Q296" s="934"/>
      <c r="R296" s="934"/>
      <c r="S296" s="934"/>
      <c r="T296" s="934"/>
      <c r="U296" s="934"/>
      <c r="V296" s="934"/>
      <c r="W296" s="934"/>
      <c r="X296" s="934"/>
      <c r="Y296" s="934"/>
      <c r="Z296" s="934"/>
    </row>
    <row r="297" ht="15.75" customHeight="1">
      <c r="A297" s="571"/>
      <c r="B297" s="934"/>
      <c r="C297" s="934"/>
      <c r="D297" s="934"/>
      <c r="E297" s="934"/>
      <c r="F297" s="934"/>
      <c r="G297" s="571"/>
      <c r="H297" s="934"/>
      <c r="I297" s="934"/>
      <c r="J297" s="934"/>
      <c r="K297" s="934"/>
      <c r="L297" s="934"/>
      <c r="M297" s="934"/>
      <c r="N297" s="934"/>
      <c r="O297" s="934"/>
      <c r="P297" s="934"/>
      <c r="Q297" s="934"/>
      <c r="R297" s="934"/>
      <c r="S297" s="934"/>
      <c r="T297" s="934"/>
      <c r="U297" s="934"/>
      <c r="V297" s="934"/>
      <c r="W297" s="934"/>
      <c r="X297" s="934"/>
      <c r="Y297" s="934"/>
      <c r="Z297" s="934"/>
    </row>
    <row r="298" ht="15.75" customHeight="1">
      <c r="A298" s="571"/>
      <c r="B298" s="934"/>
      <c r="C298" s="934"/>
      <c r="D298" s="934"/>
      <c r="E298" s="934"/>
      <c r="F298" s="934"/>
      <c r="G298" s="571"/>
      <c r="H298" s="934"/>
      <c r="I298" s="934"/>
      <c r="J298" s="934"/>
      <c r="K298" s="934"/>
      <c r="L298" s="934"/>
      <c r="M298" s="934"/>
      <c r="N298" s="934"/>
      <c r="O298" s="934"/>
      <c r="P298" s="934"/>
      <c r="Q298" s="934"/>
      <c r="R298" s="934"/>
      <c r="S298" s="934"/>
      <c r="T298" s="934"/>
      <c r="U298" s="934"/>
      <c r="V298" s="934"/>
      <c r="W298" s="934"/>
      <c r="X298" s="934"/>
      <c r="Y298" s="934"/>
      <c r="Z298" s="934"/>
    </row>
    <row r="299" ht="15.75" customHeight="1">
      <c r="A299" s="571"/>
      <c r="B299" s="934"/>
      <c r="C299" s="934"/>
      <c r="D299" s="934"/>
      <c r="E299" s="934"/>
      <c r="F299" s="934"/>
      <c r="G299" s="571"/>
      <c r="H299" s="934"/>
      <c r="I299" s="934"/>
      <c r="J299" s="934"/>
      <c r="K299" s="934"/>
      <c r="L299" s="934"/>
      <c r="M299" s="934"/>
      <c r="N299" s="934"/>
      <c r="O299" s="934"/>
      <c r="P299" s="934"/>
      <c r="Q299" s="934"/>
      <c r="R299" s="934"/>
      <c r="S299" s="934"/>
      <c r="T299" s="934"/>
      <c r="U299" s="934"/>
      <c r="V299" s="934"/>
      <c r="W299" s="934"/>
      <c r="X299" s="934"/>
      <c r="Y299" s="934"/>
      <c r="Z299" s="934"/>
    </row>
    <row r="300" ht="15.75" customHeight="1">
      <c r="A300" s="571"/>
      <c r="B300" s="934"/>
      <c r="C300" s="934"/>
      <c r="D300" s="934"/>
      <c r="E300" s="934"/>
      <c r="F300" s="934"/>
      <c r="G300" s="571"/>
      <c r="H300" s="934"/>
      <c r="I300" s="934"/>
      <c r="J300" s="934"/>
      <c r="K300" s="934"/>
      <c r="L300" s="934"/>
      <c r="M300" s="934"/>
      <c r="N300" s="934"/>
      <c r="O300" s="934"/>
      <c r="P300" s="934"/>
      <c r="Q300" s="934"/>
      <c r="R300" s="934"/>
      <c r="S300" s="934"/>
      <c r="T300" s="934"/>
      <c r="U300" s="934"/>
      <c r="V300" s="934"/>
      <c r="W300" s="934"/>
      <c r="X300" s="934"/>
      <c r="Y300" s="934"/>
      <c r="Z300" s="934"/>
    </row>
    <row r="301" ht="15.75" customHeight="1">
      <c r="A301" s="571"/>
      <c r="B301" s="934"/>
      <c r="C301" s="934"/>
      <c r="D301" s="934"/>
      <c r="E301" s="934"/>
      <c r="F301" s="934"/>
      <c r="G301" s="571"/>
      <c r="H301" s="934"/>
      <c r="I301" s="934"/>
      <c r="J301" s="934"/>
      <c r="K301" s="934"/>
      <c r="L301" s="934"/>
      <c r="M301" s="934"/>
      <c r="N301" s="934"/>
      <c r="O301" s="934"/>
      <c r="P301" s="934"/>
      <c r="Q301" s="934"/>
      <c r="R301" s="934"/>
      <c r="S301" s="934"/>
      <c r="T301" s="934"/>
      <c r="U301" s="934"/>
      <c r="V301" s="934"/>
      <c r="W301" s="934"/>
      <c r="X301" s="934"/>
      <c r="Y301" s="934"/>
      <c r="Z301" s="934"/>
    </row>
    <row r="302" ht="15.75" customHeight="1">
      <c r="A302" s="571"/>
      <c r="B302" s="934"/>
      <c r="C302" s="934"/>
      <c r="D302" s="934"/>
      <c r="E302" s="934"/>
      <c r="F302" s="934"/>
      <c r="G302" s="571"/>
      <c r="H302" s="934"/>
      <c r="I302" s="934"/>
      <c r="J302" s="934"/>
      <c r="K302" s="934"/>
      <c r="L302" s="934"/>
      <c r="M302" s="934"/>
      <c r="N302" s="934"/>
      <c r="O302" s="934"/>
      <c r="P302" s="934"/>
      <c r="Q302" s="934"/>
      <c r="R302" s="934"/>
      <c r="S302" s="934"/>
      <c r="T302" s="934"/>
      <c r="U302" s="934"/>
      <c r="V302" s="934"/>
      <c r="W302" s="934"/>
      <c r="X302" s="934"/>
      <c r="Y302" s="934"/>
      <c r="Z302" s="934"/>
    </row>
    <row r="303" ht="15.75" customHeight="1">
      <c r="A303" s="571"/>
      <c r="B303" s="934"/>
      <c r="C303" s="934"/>
      <c r="D303" s="934"/>
      <c r="E303" s="934"/>
      <c r="F303" s="934"/>
      <c r="G303" s="571"/>
      <c r="H303" s="934"/>
      <c r="I303" s="934"/>
      <c r="J303" s="934"/>
      <c r="K303" s="934"/>
      <c r="L303" s="934"/>
      <c r="M303" s="934"/>
      <c r="N303" s="934"/>
      <c r="O303" s="934"/>
      <c r="P303" s="934"/>
      <c r="Q303" s="934"/>
      <c r="R303" s="934"/>
      <c r="S303" s="934"/>
      <c r="T303" s="934"/>
      <c r="U303" s="934"/>
      <c r="V303" s="934"/>
      <c r="W303" s="934"/>
      <c r="X303" s="934"/>
      <c r="Y303" s="934"/>
      <c r="Z303" s="934"/>
    </row>
    <row r="304" ht="15.75" customHeight="1">
      <c r="A304" s="571"/>
      <c r="B304" s="934"/>
      <c r="C304" s="934"/>
      <c r="D304" s="934"/>
      <c r="E304" s="934"/>
      <c r="F304" s="934"/>
      <c r="G304" s="571"/>
      <c r="H304" s="934"/>
      <c r="I304" s="934"/>
      <c r="J304" s="934"/>
      <c r="K304" s="934"/>
      <c r="L304" s="934"/>
      <c r="M304" s="934"/>
      <c r="N304" s="934"/>
      <c r="O304" s="934"/>
      <c r="P304" s="934"/>
      <c r="Q304" s="934"/>
      <c r="R304" s="934"/>
      <c r="S304" s="934"/>
      <c r="T304" s="934"/>
      <c r="U304" s="934"/>
      <c r="V304" s="934"/>
      <c r="W304" s="934"/>
      <c r="X304" s="934"/>
      <c r="Y304" s="934"/>
      <c r="Z304" s="934"/>
    </row>
    <row r="305" ht="15.75" customHeight="1">
      <c r="A305" s="571"/>
      <c r="B305" s="934"/>
      <c r="C305" s="934"/>
      <c r="D305" s="934"/>
      <c r="E305" s="934"/>
      <c r="F305" s="934"/>
      <c r="G305" s="571"/>
      <c r="H305" s="934"/>
      <c r="I305" s="934"/>
      <c r="J305" s="934"/>
      <c r="K305" s="934"/>
      <c r="L305" s="934"/>
      <c r="M305" s="934"/>
      <c r="N305" s="934"/>
      <c r="O305" s="934"/>
      <c r="P305" s="934"/>
      <c r="Q305" s="934"/>
      <c r="R305" s="934"/>
      <c r="S305" s="934"/>
      <c r="T305" s="934"/>
      <c r="U305" s="934"/>
      <c r="V305" s="934"/>
      <c r="W305" s="934"/>
      <c r="X305" s="934"/>
      <c r="Y305" s="934"/>
      <c r="Z305" s="934"/>
    </row>
    <row r="306" ht="15.75" customHeight="1">
      <c r="A306" s="571"/>
      <c r="B306" s="934"/>
      <c r="C306" s="934"/>
      <c r="D306" s="934"/>
      <c r="E306" s="934"/>
      <c r="F306" s="934"/>
      <c r="G306" s="571"/>
      <c r="H306" s="934"/>
      <c r="I306" s="934"/>
      <c r="J306" s="934"/>
      <c r="K306" s="934"/>
      <c r="L306" s="934"/>
      <c r="M306" s="934"/>
      <c r="N306" s="934"/>
      <c r="O306" s="934"/>
      <c r="P306" s="934"/>
      <c r="Q306" s="934"/>
      <c r="R306" s="934"/>
      <c r="S306" s="934"/>
      <c r="T306" s="934"/>
      <c r="U306" s="934"/>
      <c r="V306" s="934"/>
      <c r="W306" s="934"/>
      <c r="X306" s="934"/>
      <c r="Y306" s="934"/>
      <c r="Z306" s="934"/>
    </row>
    <row r="307" ht="15.75" customHeight="1">
      <c r="A307" s="571"/>
      <c r="B307" s="934"/>
      <c r="C307" s="934"/>
      <c r="D307" s="934"/>
      <c r="E307" s="934"/>
      <c r="F307" s="934"/>
      <c r="G307" s="571"/>
      <c r="H307" s="934"/>
      <c r="I307" s="934"/>
      <c r="J307" s="934"/>
      <c r="K307" s="934"/>
      <c r="L307" s="934"/>
      <c r="M307" s="934"/>
      <c r="N307" s="934"/>
      <c r="O307" s="934"/>
      <c r="P307" s="934"/>
      <c r="Q307" s="934"/>
      <c r="R307" s="934"/>
      <c r="S307" s="934"/>
      <c r="T307" s="934"/>
      <c r="U307" s="934"/>
      <c r="V307" s="934"/>
      <c r="W307" s="934"/>
      <c r="X307" s="934"/>
      <c r="Y307" s="934"/>
      <c r="Z307" s="934"/>
    </row>
    <row r="308" ht="15.75" customHeight="1">
      <c r="A308" s="571"/>
      <c r="B308" s="934"/>
      <c r="C308" s="934"/>
      <c r="D308" s="934"/>
      <c r="E308" s="934"/>
      <c r="F308" s="934"/>
      <c r="G308" s="571"/>
      <c r="H308" s="934"/>
      <c r="I308" s="934"/>
      <c r="J308" s="934"/>
      <c r="K308" s="934"/>
      <c r="L308" s="934"/>
      <c r="M308" s="934"/>
      <c r="N308" s="934"/>
      <c r="O308" s="934"/>
      <c r="P308" s="934"/>
      <c r="Q308" s="934"/>
      <c r="R308" s="934"/>
      <c r="S308" s="934"/>
      <c r="T308" s="934"/>
      <c r="U308" s="934"/>
      <c r="V308" s="934"/>
      <c r="W308" s="934"/>
      <c r="X308" s="934"/>
      <c r="Y308" s="934"/>
      <c r="Z308" s="934"/>
    </row>
    <row r="309" ht="15.75" customHeight="1">
      <c r="A309" s="571"/>
      <c r="B309" s="934"/>
      <c r="C309" s="934"/>
      <c r="D309" s="934"/>
      <c r="E309" s="934"/>
      <c r="F309" s="934"/>
      <c r="G309" s="571"/>
      <c r="H309" s="934"/>
      <c r="I309" s="934"/>
      <c r="J309" s="934"/>
      <c r="K309" s="934"/>
      <c r="L309" s="934"/>
      <c r="M309" s="934"/>
      <c r="N309" s="934"/>
      <c r="O309" s="934"/>
      <c r="P309" s="934"/>
      <c r="Q309" s="934"/>
      <c r="R309" s="934"/>
      <c r="S309" s="934"/>
      <c r="T309" s="934"/>
      <c r="U309" s="934"/>
      <c r="V309" s="934"/>
      <c r="W309" s="934"/>
      <c r="X309" s="934"/>
      <c r="Y309" s="934"/>
      <c r="Z309" s="934"/>
    </row>
    <row r="310" ht="15.75" customHeight="1">
      <c r="A310" s="571"/>
      <c r="B310" s="934"/>
      <c r="C310" s="934"/>
      <c r="D310" s="934"/>
      <c r="E310" s="934"/>
      <c r="F310" s="934"/>
      <c r="G310" s="571"/>
      <c r="H310" s="934"/>
      <c r="I310" s="934"/>
      <c r="J310" s="934"/>
      <c r="K310" s="934"/>
      <c r="L310" s="934"/>
      <c r="M310" s="934"/>
      <c r="N310" s="934"/>
      <c r="O310" s="934"/>
      <c r="P310" s="934"/>
      <c r="Q310" s="934"/>
      <c r="R310" s="934"/>
      <c r="S310" s="934"/>
      <c r="T310" s="934"/>
      <c r="U310" s="934"/>
      <c r="V310" s="934"/>
      <c r="W310" s="934"/>
      <c r="X310" s="934"/>
      <c r="Y310" s="934"/>
      <c r="Z310" s="934"/>
    </row>
    <row r="311" ht="15.75" customHeight="1">
      <c r="A311" s="571"/>
      <c r="B311" s="934"/>
      <c r="C311" s="934"/>
      <c r="D311" s="934"/>
      <c r="E311" s="934"/>
      <c r="F311" s="934"/>
      <c r="G311" s="571"/>
      <c r="H311" s="934"/>
      <c r="I311" s="934"/>
      <c r="J311" s="934"/>
      <c r="K311" s="934"/>
      <c r="L311" s="934"/>
      <c r="M311" s="934"/>
      <c r="N311" s="934"/>
      <c r="O311" s="934"/>
      <c r="P311" s="934"/>
      <c r="Q311" s="934"/>
      <c r="R311" s="934"/>
      <c r="S311" s="934"/>
      <c r="T311" s="934"/>
      <c r="U311" s="934"/>
      <c r="V311" s="934"/>
      <c r="W311" s="934"/>
      <c r="X311" s="934"/>
      <c r="Y311" s="934"/>
      <c r="Z311" s="934"/>
    </row>
    <row r="312" ht="15.75" customHeight="1">
      <c r="A312" s="571"/>
      <c r="B312" s="934"/>
      <c r="C312" s="934"/>
      <c r="D312" s="934"/>
      <c r="E312" s="934"/>
      <c r="F312" s="934"/>
      <c r="G312" s="571"/>
      <c r="H312" s="934"/>
      <c r="I312" s="934"/>
      <c r="J312" s="934"/>
      <c r="K312" s="934"/>
      <c r="L312" s="934"/>
      <c r="M312" s="934"/>
      <c r="N312" s="934"/>
      <c r="O312" s="934"/>
      <c r="P312" s="934"/>
      <c r="Q312" s="934"/>
      <c r="R312" s="934"/>
      <c r="S312" s="934"/>
      <c r="T312" s="934"/>
      <c r="U312" s="934"/>
      <c r="V312" s="934"/>
      <c r="W312" s="934"/>
      <c r="X312" s="934"/>
      <c r="Y312" s="934"/>
      <c r="Z312" s="934"/>
    </row>
    <row r="313" ht="15.75" customHeight="1">
      <c r="A313" s="571"/>
      <c r="B313" s="934"/>
      <c r="C313" s="934"/>
      <c r="D313" s="934"/>
      <c r="E313" s="934"/>
      <c r="F313" s="934"/>
      <c r="G313" s="571"/>
      <c r="H313" s="934"/>
      <c r="I313" s="934"/>
      <c r="J313" s="934"/>
      <c r="K313" s="934"/>
      <c r="L313" s="934"/>
      <c r="M313" s="934"/>
      <c r="N313" s="934"/>
      <c r="O313" s="934"/>
      <c r="P313" s="934"/>
      <c r="Q313" s="934"/>
      <c r="R313" s="934"/>
      <c r="S313" s="934"/>
      <c r="T313" s="934"/>
      <c r="U313" s="934"/>
      <c r="V313" s="934"/>
      <c r="W313" s="934"/>
      <c r="X313" s="934"/>
      <c r="Y313" s="934"/>
      <c r="Z313" s="934"/>
    </row>
    <row r="314" ht="15.75" customHeight="1">
      <c r="A314" s="571"/>
      <c r="B314" s="934"/>
      <c r="C314" s="934"/>
      <c r="D314" s="934"/>
      <c r="E314" s="934"/>
      <c r="F314" s="934"/>
      <c r="G314" s="571"/>
      <c r="H314" s="934"/>
      <c r="I314" s="934"/>
      <c r="J314" s="934"/>
      <c r="K314" s="934"/>
      <c r="L314" s="934"/>
      <c r="M314" s="934"/>
      <c r="N314" s="934"/>
      <c r="O314" s="934"/>
      <c r="P314" s="934"/>
      <c r="Q314" s="934"/>
      <c r="R314" s="934"/>
      <c r="S314" s="934"/>
      <c r="T314" s="934"/>
      <c r="U314" s="934"/>
      <c r="V314" s="934"/>
      <c r="W314" s="934"/>
      <c r="X314" s="934"/>
      <c r="Y314" s="934"/>
      <c r="Z314" s="934"/>
    </row>
    <row r="315" ht="15.75" customHeight="1">
      <c r="A315" s="571"/>
      <c r="B315" s="934"/>
      <c r="C315" s="934"/>
      <c r="D315" s="934"/>
      <c r="E315" s="934"/>
      <c r="F315" s="934"/>
      <c r="G315" s="571"/>
      <c r="H315" s="934"/>
      <c r="I315" s="934"/>
      <c r="J315" s="934"/>
      <c r="K315" s="934"/>
      <c r="L315" s="934"/>
      <c r="M315" s="934"/>
      <c r="N315" s="934"/>
      <c r="O315" s="934"/>
      <c r="P315" s="934"/>
      <c r="Q315" s="934"/>
      <c r="R315" s="934"/>
      <c r="S315" s="934"/>
      <c r="T315" s="934"/>
      <c r="U315" s="934"/>
      <c r="V315" s="934"/>
      <c r="W315" s="934"/>
      <c r="X315" s="934"/>
      <c r="Y315" s="934"/>
      <c r="Z315" s="934"/>
    </row>
    <row r="316" ht="15.75" customHeight="1">
      <c r="A316" s="571"/>
      <c r="B316" s="934"/>
      <c r="C316" s="934"/>
      <c r="D316" s="934"/>
      <c r="E316" s="934"/>
      <c r="F316" s="934"/>
      <c r="G316" s="571"/>
      <c r="H316" s="934"/>
      <c r="I316" s="934"/>
      <c r="J316" s="934"/>
      <c r="K316" s="934"/>
      <c r="L316" s="934"/>
      <c r="M316" s="934"/>
      <c r="N316" s="934"/>
      <c r="O316" s="934"/>
      <c r="P316" s="934"/>
      <c r="Q316" s="934"/>
      <c r="R316" s="934"/>
      <c r="S316" s="934"/>
      <c r="T316" s="934"/>
      <c r="U316" s="934"/>
      <c r="V316" s="934"/>
      <c r="W316" s="934"/>
      <c r="X316" s="934"/>
      <c r="Y316" s="934"/>
      <c r="Z316" s="934"/>
    </row>
    <row r="317" ht="15.75" customHeight="1">
      <c r="A317" s="571"/>
      <c r="B317" s="934"/>
      <c r="C317" s="934"/>
      <c r="D317" s="934"/>
      <c r="E317" s="934"/>
      <c r="F317" s="934"/>
      <c r="G317" s="571"/>
      <c r="H317" s="934"/>
      <c r="I317" s="934"/>
      <c r="J317" s="934"/>
      <c r="K317" s="934"/>
      <c r="L317" s="934"/>
      <c r="M317" s="934"/>
      <c r="N317" s="934"/>
      <c r="O317" s="934"/>
      <c r="P317" s="934"/>
      <c r="Q317" s="934"/>
      <c r="R317" s="934"/>
      <c r="S317" s="934"/>
      <c r="T317" s="934"/>
      <c r="U317" s="934"/>
      <c r="V317" s="934"/>
      <c r="W317" s="934"/>
      <c r="X317" s="934"/>
      <c r="Y317" s="934"/>
      <c r="Z317" s="934"/>
    </row>
    <row r="318" ht="15.75" customHeight="1">
      <c r="A318" s="571"/>
      <c r="B318" s="934"/>
      <c r="C318" s="934"/>
      <c r="D318" s="934"/>
      <c r="E318" s="934"/>
      <c r="F318" s="934"/>
      <c r="G318" s="571"/>
      <c r="H318" s="934"/>
      <c r="I318" s="934"/>
      <c r="J318" s="934"/>
      <c r="K318" s="934"/>
      <c r="L318" s="934"/>
      <c r="M318" s="934"/>
      <c r="N318" s="934"/>
      <c r="O318" s="934"/>
      <c r="P318" s="934"/>
      <c r="Q318" s="934"/>
      <c r="R318" s="934"/>
      <c r="S318" s="934"/>
      <c r="T318" s="934"/>
      <c r="U318" s="934"/>
      <c r="V318" s="934"/>
      <c r="W318" s="934"/>
      <c r="X318" s="934"/>
      <c r="Y318" s="934"/>
      <c r="Z318" s="934"/>
    </row>
    <row r="319" ht="15.75" customHeight="1">
      <c r="A319" s="571"/>
      <c r="B319" s="934"/>
      <c r="C319" s="934"/>
      <c r="D319" s="934"/>
      <c r="E319" s="934"/>
      <c r="F319" s="934"/>
      <c r="G319" s="571"/>
      <c r="H319" s="934"/>
      <c r="I319" s="934"/>
      <c r="J319" s="934"/>
      <c r="K319" s="934"/>
      <c r="L319" s="934"/>
      <c r="M319" s="934"/>
      <c r="N319" s="934"/>
      <c r="O319" s="934"/>
      <c r="P319" s="934"/>
      <c r="Q319" s="934"/>
      <c r="R319" s="934"/>
      <c r="S319" s="934"/>
      <c r="T319" s="934"/>
      <c r="U319" s="934"/>
      <c r="V319" s="934"/>
      <c r="W319" s="934"/>
      <c r="X319" s="934"/>
      <c r="Y319" s="934"/>
      <c r="Z319" s="934"/>
    </row>
    <row r="320" ht="15.75" customHeight="1">
      <c r="A320" s="571"/>
      <c r="B320" s="934"/>
      <c r="C320" s="934"/>
      <c r="D320" s="934"/>
      <c r="E320" s="934"/>
      <c r="F320" s="934"/>
      <c r="G320" s="571"/>
      <c r="H320" s="934"/>
      <c r="I320" s="934"/>
      <c r="J320" s="934"/>
      <c r="K320" s="934"/>
      <c r="L320" s="934"/>
      <c r="M320" s="934"/>
      <c r="N320" s="934"/>
      <c r="O320" s="934"/>
      <c r="P320" s="934"/>
      <c r="Q320" s="934"/>
      <c r="R320" s="934"/>
      <c r="S320" s="934"/>
      <c r="T320" s="934"/>
      <c r="U320" s="934"/>
      <c r="V320" s="934"/>
      <c r="W320" s="934"/>
      <c r="X320" s="934"/>
      <c r="Y320" s="934"/>
      <c r="Z320" s="934"/>
    </row>
    <row r="321" ht="15.75" customHeight="1">
      <c r="A321" s="571"/>
      <c r="B321" s="934"/>
      <c r="C321" s="934"/>
      <c r="D321" s="934"/>
      <c r="E321" s="934"/>
      <c r="F321" s="934"/>
      <c r="G321" s="571"/>
      <c r="H321" s="934"/>
      <c r="I321" s="934"/>
      <c r="J321" s="934"/>
      <c r="K321" s="934"/>
      <c r="L321" s="934"/>
      <c r="M321" s="934"/>
      <c r="N321" s="934"/>
      <c r="O321" s="934"/>
      <c r="P321" s="934"/>
      <c r="Q321" s="934"/>
      <c r="R321" s="934"/>
      <c r="S321" s="934"/>
      <c r="T321" s="934"/>
      <c r="U321" s="934"/>
      <c r="V321" s="934"/>
      <c r="W321" s="934"/>
      <c r="X321" s="934"/>
      <c r="Y321" s="934"/>
      <c r="Z321" s="934"/>
    </row>
    <row r="322" ht="15.75" customHeight="1">
      <c r="A322" s="571"/>
      <c r="B322" s="934"/>
      <c r="C322" s="934"/>
      <c r="D322" s="934"/>
      <c r="E322" s="934"/>
      <c r="F322" s="934"/>
      <c r="G322" s="571"/>
      <c r="H322" s="934"/>
      <c r="I322" s="934"/>
      <c r="J322" s="934"/>
      <c r="K322" s="934"/>
      <c r="L322" s="934"/>
      <c r="M322" s="934"/>
      <c r="N322" s="934"/>
      <c r="O322" s="934"/>
      <c r="P322" s="934"/>
      <c r="Q322" s="934"/>
      <c r="R322" s="934"/>
      <c r="S322" s="934"/>
      <c r="T322" s="934"/>
      <c r="U322" s="934"/>
      <c r="V322" s="934"/>
      <c r="W322" s="934"/>
      <c r="X322" s="934"/>
      <c r="Y322" s="934"/>
      <c r="Z322" s="934"/>
    </row>
    <row r="323" ht="15.75" customHeight="1">
      <c r="A323" s="571"/>
      <c r="B323" s="934"/>
      <c r="C323" s="934"/>
      <c r="D323" s="934"/>
      <c r="E323" s="934"/>
      <c r="F323" s="934"/>
      <c r="G323" s="571"/>
      <c r="H323" s="934"/>
      <c r="I323" s="934"/>
      <c r="J323" s="934"/>
      <c r="K323" s="934"/>
      <c r="L323" s="934"/>
      <c r="M323" s="934"/>
      <c r="N323" s="934"/>
      <c r="O323" s="934"/>
      <c r="P323" s="934"/>
      <c r="Q323" s="934"/>
      <c r="R323" s="934"/>
      <c r="S323" s="934"/>
      <c r="T323" s="934"/>
      <c r="U323" s="934"/>
      <c r="V323" s="934"/>
      <c r="W323" s="934"/>
      <c r="X323" s="934"/>
      <c r="Y323" s="934"/>
      <c r="Z323" s="934"/>
    </row>
    <row r="324" ht="15.75" customHeight="1">
      <c r="A324" s="571"/>
      <c r="B324" s="934"/>
      <c r="C324" s="934"/>
      <c r="D324" s="934"/>
      <c r="E324" s="934"/>
      <c r="F324" s="934"/>
      <c r="G324" s="571"/>
      <c r="H324" s="934"/>
      <c r="I324" s="934"/>
      <c r="J324" s="934"/>
      <c r="K324" s="934"/>
      <c r="L324" s="934"/>
      <c r="M324" s="934"/>
      <c r="N324" s="934"/>
      <c r="O324" s="934"/>
      <c r="P324" s="934"/>
      <c r="Q324" s="934"/>
      <c r="R324" s="934"/>
      <c r="S324" s="934"/>
      <c r="T324" s="934"/>
      <c r="U324" s="934"/>
      <c r="V324" s="934"/>
      <c r="W324" s="934"/>
      <c r="X324" s="934"/>
      <c r="Y324" s="934"/>
      <c r="Z324" s="934"/>
    </row>
    <row r="325" ht="15.75" customHeight="1">
      <c r="A325" s="571"/>
      <c r="B325" s="934"/>
      <c r="C325" s="934"/>
      <c r="D325" s="934"/>
      <c r="E325" s="934"/>
      <c r="F325" s="934"/>
      <c r="G325" s="571"/>
      <c r="H325" s="934"/>
      <c r="I325" s="934"/>
      <c r="J325" s="934"/>
      <c r="K325" s="934"/>
      <c r="L325" s="934"/>
      <c r="M325" s="934"/>
      <c r="N325" s="934"/>
      <c r="O325" s="934"/>
      <c r="P325" s="934"/>
      <c r="Q325" s="934"/>
      <c r="R325" s="934"/>
      <c r="S325" s="934"/>
      <c r="T325" s="934"/>
      <c r="U325" s="934"/>
      <c r="V325" s="934"/>
      <c r="W325" s="934"/>
      <c r="X325" s="934"/>
      <c r="Y325" s="934"/>
      <c r="Z325" s="934"/>
    </row>
    <row r="326" ht="15.75" customHeight="1">
      <c r="A326" s="571"/>
      <c r="B326" s="934"/>
      <c r="C326" s="934"/>
      <c r="D326" s="934"/>
      <c r="E326" s="934"/>
      <c r="F326" s="934"/>
      <c r="G326" s="571"/>
      <c r="H326" s="934"/>
      <c r="I326" s="934"/>
      <c r="J326" s="934"/>
      <c r="K326" s="934"/>
      <c r="L326" s="934"/>
      <c r="M326" s="934"/>
      <c r="N326" s="934"/>
      <c r="O326" s="934"/>
      <c r="P326" s="934"/>
      <c r="Q326" s="934"/>
      <c r="R326" s="934"/>
      <c r="S326" s="934"/>
      <c r="T326" s="934"/>
      <c r="U326" s="934"/>
      <c r="V326" s="934"/>
      <c r="W326" s="934"/>
      <c r="X326" s="934"/>
      <c r="Y326" s="934"/>
      <c r="Z326" s="934"/>
    </row>
    <row r="327" ht="15.75" customHeight="1">
      <c r="A327" s="571"/>
      <c r="B327" s="934"/>
      <c r="C327" s="934"/>
      <c r="D327" s="934"/>
      <c r="E327" s="934"/>
      <c r="F327" s="934"/>
      <c r="G327" s="571"/>
      <c r="H327" s="934"/>
      <c r="I327" s="934"/>
      <c r="J327" s="934"/>
      <c r="K327" s="934"/>
      <c r="L327" s="934"/>
      <c r="M327" s="934"/>
      <c r="N327" s="934"/>
      <c r="O327" s="934"/>
      <c r="P327" s="934"/>
      <c r="Q327" s="934"/>
      <c r="R327" s="934"/>
      <c r="S327" s="934"/>
      <c r="T327" s="934"/>
      <c r="U327" s="934"/>
      <c r="V327" s="934"/>
      <c r="W327" s="934"/>
      <c r="X327" s="934"/>
      <c r="Y327" s="934"/>
      <c r="Z327" s="934"/>
    </row>
    <row r="328" ht="15.75" customHeight="1">
      <c r="A328" s="571"/>
      <c r="B328" s="934"/>
      <c r="C328" s="934"/>
      <c r="D328" s="934"/>
      <c r="E328" s="934"/>
      <c r="F328" s="934"/>
      <c r="G328" s="571"/>
      <c r="H328" s="934"/>
      <c r="I328" s="934"/>
      <c r="J328" s="934"/>
      <c r="K328" s="934"/>
      <c r="L328" s="934"/>
      <c r="M328" s="934"/>
      <c r="N328" s="934"/>
      <c r="O328" s="934"/>
      <c r="P328" s="934"/>
      <c r="Q328" s="934"/>
      <c r="R328" s="934"/>
      <c r="S328" s="934"/>
      <c r="T328" s="934"/>
      <c r="U328" s="934"/>
      <c r="V328" s="934"/>
      <c r="W328" s="934"/>
      <c r="X328" s="934"/>
      <c r="Y328" s="934"/>
      <c r="Z328" s="934"/>
    </row>
    <row r="329" ht="15.75" customHeight="1">
      <c r="A329" s="571"/>
      <c r="B329" s="934"/>
      <c r="C329" s="934"/>
      <c r="D329" s="934"/>
      <c r="E329" s="934"/>
      <c r="F329" s="934"/>
      <c r="G329" s="571"/>
      <c r="H329" s="934"/>
      <c r="I329" s="934"/>
      <c r="J329" s="934"/>
      <c r="K329" s="934"/>
      <c r="L329" s="934"/>
      <c r="M329" s="934"/>
      <c r="N329" s="934"/>
      <c r="O329" s="934"/>
      <c r="P329" s="934"/>
      <c r="Q329" s="934"/>
      <c r="R329" s="934"/>
      <c r="S329" s="934"/>
      <c r="T329" s="934"/>
      <c r="U329" s="934"/>
      <c r="V329" s="934"/>
      <c r="W329" s="934"/>
      <c r="X329" s="934"/>
      <c r="Y329" s="934"/>
      <c r="Z329" s="934"/>
    </row>
    <row r="330" ht="15.75" customHeight="1">
      <c r="A330" s="571"/>
      <c r="B330" s="934"/>
      <c r="C330" s="934"/>
      <c r="D330" s="934"/>
      <c r="E330" s="934"/>
      <c r="F330" s="934"/>
      <c r="G330" s="571"/>
      <c r="H330" s="934"/>
      <c r="I330" s="934"/>
      <c r="J330" s="934"/>
      <c r="K330" s="934"/>
      <c r="L330" s="934"/>
      <c r="M330" s="934"/>
      <c r="N330" s="934"/>
      <c r="O330" s="934"/>
      <c r="P330" s="934"/>
      <c r="Q330" s="934"/>
      <c r="R330" s="934"/>
      <c r="S330" s="934"/>
      <c r="T330" s="934"/>
      <c r="U330" s="934"/>
      <c r="V330" s="934"/>
      <c r="W330" s="934"/>
      <c r="X330" s="934"/>
      <c r="Y330" s="934"/>
      <c r="Z330" s="934"/>
    </row>
    <row r="331" ht="15.75" customHeight="1">
      <c r="A331" s="571"/>
      <c r="B331" s="934"/>
      <c r="C331" s="934"/>
      <c r="D331" s="934"/>
      <c r="E331" s="934"/>
      <c r="F331" s="934"/>
      <c r="G331" s="571"/>
      <c r="H331" s="934"/>
      <c r="I331" s="934"/>
      <c r="J331" s="934"/>
      <c r="K331" s="934"/>
      <c r="L331" s="934"/>
      <c r="M331" s="934"/>
      <c r="N331" s="934"/>
      <c r="O331" s="934"/>
      <c r="P331" s="934"/>
      <c r="Q331" s="934"/>
      <c r="R331" s="934"/>
      <c r="S331" s="934"/>
      <c r="T331" s="934"/>
      <c r="U331" s="934"/>
      <c r="V331" s="934"/>
      <c r="W331" s="934"/>
      <c r="X331" s="934"/>
      <c r="Y331" s="934"/>
      <c r="Z331" s="934"/>
    </row>
    <row r="332" ht="15.75" customHeight="1">
      <c r="A332" s="571"/>
      <c r="B332" s="934"/>
      <c r="C332" s="934"/>
      <c r="D332" s="934"/>
      <c r="E332" s="934"/>
      <c r="F332" s="934"/>
      <c r="G332" s="571"/>
      <c r="H332" s="934"/>
      <c r="I332" s="934"/>
      <c r="J332" s="934"/>
      <c r="K332" s="934"/>
      <c r="L332" s="934"/>
      <c r="M332" s="934"/>
      <c r="N332" s="934"/>
      <c r="O332" s="934"/>
      <c r="P332" s="934"/>
      <c r="Q332" s="934"/>
      <c r="R332" s="934"/>
      <c r="S332" s="934"/>
      <c r="T332" s="934"/>
      <c r="U332" s="934"/>
      <c r="V332" s="934"/>
      <c r="W332" s="934"/>
      <c r="X332" s="934"/>
      <c r="Y332" s="934"/>
      <c r="Z332" s="934"/>
    </row>
    <row r="333" ht="15.75" customHeight="1">
      <c r="A333" s="571"/>
      <c r="B333" s="934"/>
      <c r="C333" s="934"/>
      <c r="D333" s="934"/>
      <c r="E333" s="934"/>
      <c r="F333" s="934"/>
      <c r="G333" s="571"/>
      <c r="H333" s="934"/>
      <c r="I333" s="934"/>
      <c r="J333" s="934"/>
      <c r="K333" s="934"/>
      <c r="L333" s="934"/>
      <c r="M333" s="934"/>
      <c r="N333" s="934"/>
      <c r="O333" s="934"/>
      <c r="P333" s="934"/>
      <c r="Q333" s="934"/>
      <c r="R333" s="934"/>
      <c r="S333" s="934"/>
      <c r="T333" s="934"/>
      <c r="U333" s="934"/>
      <c r="V333" s="934"/>
      <c r="W333" s="934"/>
      <c r="X333" s="934"/>
      <c r="Y333" s="934"/>
      <c r="Z333" s="934"/>
    </row>
    <row r="334" ht="15.75" customHeight="1">
      <c r="A334" s="571"/>
      <c r="B334" s="934"/>
      <c r="C334" s="934"/>
      <c r="D334" s="934"/>
      <c r="E334" s="934"/>
      <c r="F334" s="934"/>
      <c r="G334" s="571"/>
      <c r="H334" s="934"/>
      <c r="I334" s="934"/>
      <c r="J334" s="934"/>
      <c r="K334" s="934"/>
      <c r="L334" s="934"/>
      <c r="M334" s="934"/>
      <c r="N334" s="934"/>
      <c r="O334" s="934"/>
      <c r="P334" s="934"/>
      <c r="Q334" s="934"/>
      <c r="R334" s="934"/>
      <c r="S334" s="934"/>
      <c r="T334" s="934"/>
      <c r="U334" s="934"/>
      <c r="V334" s="934"/>
      <c r="W334" s="934"/>
      <c r="X334" s="934"/>
      <c r="Y334" s="934"/>
      <c r="Z334" s="934"/>
    </row>
    <row r="335" ht="15.75" customHeight="1">
      <c r="A335" s="571"/>
      <c r="B335" s="934"/>
      <c r="C335" s="934"/>
      <c r="D335" s="934"/>
      <c r="E335" s="934"/>
      <c r="F335" s="934"/>
      <c r="G335" s="571"/>
      <c r="H335" s="934"/>
      <c r="I335" s="934"/>
      <c r="J335" s="934"/>
      <c r="K335" s="934"/>
      <c r="L335" s="934"/>
      <c r="M335" s="934"/>
      <c r="N335" s="934"/>
      <c r="O335" s="934"/>
      <c r="P335" s="934"/>
      <c r="Q335" s="934"/>
      <c r="R335" s="934"/>
      <c r="S335" s="934"/>
      <c r="T335" s="934"/>
      <c r="U335" s="934"/>
      <c r="V335" s="934"/>
      <c r="W335" s="934"/>
      <c r="X335" s="934"/>
      <c r="Y335" s="934"/>
      <c r="Z335" s="934"/>
    </row>
    <row r="336" ht="15.75" customHeight="1">
      <c r="A336" s="571"/>
      <c r="B336" s="934"/>
      <c r="C336" s="934"/>
      <c r="D336" s="934"/>
      <c r="E336" s="934"/>
      <c r="F336" s="934"/>
      <c r="G336" s="571"/>
      <c r="H336" s="934"/>
      <c r="I336" s="934"/>
      <c r="J336" s="934"/>
      <c r="K336" s="934"/>
      <c r="L336" s="934"/>
      <c r="M336" s="934"/>
      <c r="N336" s="934"/>
      <c r="O336" s="934"/>
      <c r="P336" s="934"/>
      <c r="Q336" s="934"/>
      <c r="R336" s="934"/>
      <c r="S336" s="934"/>
      <c r="T336" s="934"/>
      <c r="U336" s="934"/>
      <c r="V336" s="934"/>
      <c r="W336" s="934"/>
      <c r="X336" s="934"/>
      <c r="Y336" s="934"/>
      <c r="Z336" s="934"/>
    </row>
    <row r="337" ht="15.75" customHeight="1">
      <c r="A337" s="571"/>
      <c r="B337" s="934"/>
      <c r="C337" s="934"/>
      <c r="D337" s="934"/>
      <c r="E337" s="934"/>
      <c r="F337" s="934"/>
      <c r="G337" s="571"/>
      <c r="H337" s="934"/>
      <c r="I337" s="934"/>
      <c r="J337" s="934"/>
      <c r="K337" s="934"/>
      <c r="L337" s="934"/>
      <c r="M337" s="934"/>
      <c r="N337" s="934"/>
      <c r="O337" s="934"/>
      <c r="P337" s="934"/>
      <c r="Q337" s="934"/>
      <c r="R337" s="934"/>
      <c r="S337" s="934"/>
      <c r="T337" s="934"/>
      <c r="U337" s="934"/>
      <c r="V337" s="934"/>
      <c r="W337" s="934"/>
      <c r="X337" s="934"/>
      <c r="Y337" s="934"/>
      <c r="Z337" s="934"/>
    </row>
    <row r="338" ht="15.75" customHeight="1">
      <c r="A338" s="571"/>
      <c r="B338" s="934"/>
      <c r="C338" s="934"/>
      <c r="D338" s="934"/>
      <c r="E338" s="934"/>
      <c r="F338" s="934"/>
      <c r="G338" s="571"/>
      <c r="H338" s="934"/>
      <c r="I338" s="934"/>
      <c r="J338" s="934"/>
      <c r="K338" s="934"/>
      <c r="L338" s="934"/>
      <c r="M338" s="934"/>
      <c r="N338" s="934"/>
      <c r="O338" s="934"/>
      <c r="P338" s="934"/>
      <c r="Q338" s="934"/>
      <c r="R338" s="934"/>
      <c r="S338" s="934"/>
      <c r="T338" s="934"/>
      <c r="U338" s="934"/>
      <c r="V338" s="934"/>
      <c r="W338" s="934"/>
      <c r="X338" s="934"/>
      <c r="Y338" s="934"/>
      <c r="Z338" s="934"/>
    </row>
    <row r="339" ht="15.75" customHeight="1">
      <c r="A339" s="571"/>
      <c r="B339" s="934"/>
      <c r="C339" s="934"/>
      <c r="D339" s="934"/>
      <c r="E339" s="934"/>
      <c r="F339" s="934"/>
      <c r="G339" s="571"/>
      <c r="H339" s="934"/>
      <c r="I339" s="934"/>
      <c r="J339" s="934"/>
      <c r="K339" s="934"/>
      <c r="L339" s="934"/>
      <c r="M339" s="934"/>
      <c r="N339" s="934"/>
      <c r="O339" s="934"/>
      <c r="P339" s="934"/>
      <c r="Q339" s="934"/>
      <c r="R339" s="934"/>
      <c r="S339" s="934"/>
      <c r="T339" s="934"/>
      <c r="U339" s="934"/>
      <c r="V339" s="934"/>
      <c r="W339" s="934"/>
      <c r="X339" s="934"/>
      <c r="Y339" s="934"/>
      <c r="Z339" s="934"/>
    </row>
    <row r="340" ht="15.75" customHeight="1">
      <c r="A340" s="571"/>
      <c r="B340" s="934"/>
      <c r="C340" s="934"/>
      <c r="D340" s="934"/>
      <c r="E340" s="934"/>
      <c r="F340" s="934"/>
      <c r="G340" s="571"/>
      <c r="H340" s="934"/>
      <c r="I340" s="934"/>
      <c r="J340" s="934"/>
      <c r="K340" s="934"/>
      <c r="L340" s="934"/>
      <c r="M340" s="934"/>
      <c r="N340" s="934"/>
      <c r="O340" s="934"/>
      <c r="P340" s="934"/>
      <c r="Q340" s="934"/>
      <c r="R340" s="934"/>
      <c r="S340" s="934"/>
      <c r="T340" s="934"/>
      <c r="U340" s="934"/>
      <c r="V340" s="934"/>
      <c r="W340" s="934"/>
      <c r="X340" s="934"/>
      <c r="Y340" s="934"/>
      <c r="Z340" s="934"/>
    </row>
    <row r="341" ht="15.75" customHeight="1">
      <c r="A341" s="571"/>
      <c r="B341" s="934"/>
      <c r="C341" s="934"/>
      <c r="D341" s="934"/>
      <c r="E341" s="934"/>
      <c r="F341" s="934"/>
      <c r="G341" s="571"/>
      <c r="H341" s="934"/>
      <c r="I341" s="934"/>
      <c r="J341" s="934"/>
      <c r="K341" s="934"/>
      <c r="L341" s="934"/>
      <c r="M341" s="934"/>
      <c r="N341" s="934"/>
      <c r="O341" s="934"/>
      <c r="P341" s="934"/>
      <c r="Q341" s="934"/>
      <c r="R341" s="934"/>
      <c r="S341" s="934"/>
      <c r="T341" s="934"/>
      <c r="U341" s="934"/>
      <c r="V341" s="934"/>
      <c r="W341" s="934"/>
      <c r="X341" s="934"/>
      <c r="Y341" s="934"/>
      <c r="Z341" s="934"/>
    </row>
    <row r="342" ht="15.75" customHeight="1">
      <c r="A342" s="571"/>
      <c r="B342" s="934"/>
      <c r="C342" s="934"/>
      <c r="D342" s="934"/>
      <c r="E342" s="934"/>
      <c r="F342" s="934"/>
      <c r="G342" s="571"/>
      <c r="H342" s="934"/>
      <c r="I342" s="934"/>
      <c r="J342" s="934"/>
      <c r="K342" s="934"/>
      <c r="L342" s="934"/>
      <c r="M342" s="934"/>
      <c r="N342" s="934"/>
      <c r="O342" s="934"/>
      <c r="P342" s="934"/>
      <c r="Q342" s="934"/>
      <c r="R342" s="934"/>
      <c r="S342" s="934"/>
      <c r="T342" s="934"/>
      <c r="U342" s="934"/>
      <c r="V342" s="934"/>
      <c r="W342" s="934"/>
      <c r="X342" s="934"/>
      <c r="Y342" s="934"/>
      <c r="Z342" s="934"/>
    </row>
    <row r="343" ht="15.75" customHeight="1">
      <c r="A343" s="571"/>
      <c r="B343" s="934"/>
      <c r="C343" s="934"/>
      <c r="D343" s="934"/>
      <c r="E343" s="934"/>
      <c r="F343" s="934"/>
      <c r="G343" s="571"/>
      <c r="H343" s="934"/>
      <c r="I343" s="934"/>
      <c r="J343" s="934"/>
      <c r="K343" s="934"/>
      <c r="L343" s="934"/>
      <c r="M343" s="934"/>
      <c r="N343" s="934"/>
      <c r="O343" s="934"/>
      <c r="P343" s="934"/>
      <c r="Q343" s="934"/>
      <c r="R343" s="934"/>
      <c r="S343" s="934"/>
      <c r="T343" s="934"/>
      <c r="U343" s="934"/>
      <c r="V343" s="934"/>
      <c r="W343" s="934"/>
      <c r="X343" s="934"/>
      <c r="Y343" s="934"/>
      <c r="Z343" s="934"/>
    </row>
    <row r="344" ht="15.75" customHeight="1">
      <c r="A344" s="571"/>
      <c r="B344" s="934"/>
      <c r="C344" s="934"/>
      <c r="D344" s="934"/>
      <c r="E344" s="934"/>
      <c r="F344" s="934"/>
      <c r="G344" s="571"/>
      <c r="H344" s="934"/>
      <c r="I344" s="934"/>
      <c r="J344" s="934"/>
      <c r="K344" s="934"/>
      <c r="L344" s="934"/>
      <c r="M344" s="934"/>
      <c r="N344" s="934"/>
      <c r="O344" s="934"/>
      <c r="P344" s="934"/>
      <c r="Q344" s="934"/>
      <c r="R344" s="934"/>
      <c r="S344" s="934"/>
      <c r="T344" s="934"/>
      <c r="U344" s="934"/>
      <c r="V344" s="934"/>
      <c r="W344" s="934"/>
      <c r="X344" s="934"/>
      <c r="Y344" s="934"/>
      <c r="Z344" s="934"/>
    </row>
    <row r="345" ht="15.75" customHeight="1">
      <c r="A345" s="571"/>
      <c r="B345" s="934"/>
      <c r="C345" s="934"/>
      <c r="D345" s="934"/>
      <c r="E345" s="934"/>
      <c r="F345" s="934"/>
      <c r="G345" s="571"/>
      <c r="H345" s="934"/>
      <c r="I345" s="934"/>
      <c r="J345" s="934"/>
      <c r="K345" s="934"/>
      <c r="L345" s="934"/>
      <c r="M345" s="934"/>
      <c r="N345" s="934"/>
      <c r="O345" s="934"/>
      <c r="P345" s="934"/>
      <c r="Q345" s="934"/>
      <c r="R345" s="934"/>
      <c r="S345" s="934"/>
      <c r="T345" s="934"/>
      <c r="U345" s="934"/>
      <c r="V345" s="934"/>
      <c r="W345" s="934"/>
      <c r="X345" s="934"/>
      <c r="Y345" s="934"/>
      <c r="Z345" s="934"/>
    </row>
    <row r="346" ht="15.75" customHeight="1">
      <c r="A346" s="571"/>
      <c r="B346" s="934"/>
      <c r="C346" s="934"/>
      <c r="D346" s="934"/>
      <c r="E346" s="934"/>
      <c r="F346" s="934"/>
      <c r="G346" s="571"/>
      <c r="H346" s="934"/>
      <c r="I346" s="934"/>
      <c r="J346" s="934"/>
      <c r="K346" s="934"/>
      <c r="L346" s="934"/>
      <c r="M346" s="934"/>
      <c r="N346" s="934"/>
      <c r="O346" s="934"/>
      <c r="P346" s="934"/>
      <c r="Q346" s="934"/>
      <c r="R346" s="934"/>
      <c r="S346" s="934"/>
      <c r="T346" s="934"/>
      <c r="U346" s="934"/>
      <c r="V346" s="934"/>
      <c r="W346" s="934"/>
      <c r="X346" s="934"/>
      <c r="Y346" s="934"/>
      <c r="Z346" s="934"/>
    </row>
    <row r="347" ht="15.75" customHeight="1">
      <c r="A347" s="571"/>
      <c r="B347" s="934"/>
      <c r="C347" s="934"/>
      <c r="D347" s="934"/>
      <c r="E347" s="934"/>
      <c r="F347" s="934"/>
      <c r="G347" s="571"/>
      <c r="H347" s="934"/>
      <c r="I347" s="934"/>
      <c r="J347" s="934"/>
      <c r="K347" s="934"/>
      <c r="L347" s="934"/>
      <c r="M347" s="934"/>
      <c r="N347" s="934"/>
      <c r="O347" s="934"/>
      <c r="P347" s="934"/>
      <c r="Q347" s="934"/>
      <c r="R347" s="934"/>
      <c r="S347" s="934"/>
      <c r="T347" s="934"/>
      <c r="U347" s="934"/>
      <c r="V347" s="934"/>
      <c r="W347" s="934"/>
      <c r="X347" s="934"/>
      <c r="Y347" s="934"/>
      <c r="Z347" s="934"/>
    </row>
    <row r="348" ht="15.75" customHeight="1">
      <c r="A348" s="571"/>
      <c r="B348" s="934"/>
      <c r="C348" s="934"/>
      <c r="D348" s="934"/>
      <c r="E348" s="934"/>
      <c r="F348" s="934"/>
      <c r="G348" s="571"/>
      <c r="H348" s="934"/>
      <c r="I348" s="934"/>
      <c r="J348" s="934"/>
      <c r="K348" s="934"/>
      <c r="L348" s="934"/>
      <c r="M348" s="934"/>
      <c r="N348" s="934"/>
      <c r="O348" s="934"/>
      <c r="P348" s="934"/>
      <c r="Q348" s="934"/>
      <c r="R348" s="934"/>
      <c r="S348" s="934"/>
      <c r="T348" s="934"/>
      <c r="U348" s="934"/>
      <c r="V348" s="934"/>
      <c r="W348" s="934"/>
      <c r="X348" s="934"/>
      <c r="Y348" s="934"/>
      <c r="Z348" s="934"/>
    </row>
    <row r="349" ht="15.75" customHeight="1">
      <c r="A349" s="571"/>
      <c r="B349" s="934"/>
      <c r="C349" s="934"/>
      <c r="D349" s="934"/>
      <c r="E349" s="934"/>
      <c r="F349" s="934"/>
      <c r="G349" s="571"/>
      <c r="H349" s="934"/>
      <c r="I349" s="934"/>
      <c r="J349" s="934"/>
      <c r="K349" s="934"/>
      <c r="L349" s="934"/>
      <c r="M349" s="934"/>
      <c r="N349" s="934"/>
      <c r="O349" s="934"/>
      <c r="P349" s="934"/>
      <c r="Q349" s="934"/>
      <c r="R349" s="934"/>
      <c r="S349" s="934"/>
      <c r="T349" s="934"/>
      <c r="U349" s="934"/>
      <c r="V349" s="934"/>
      <c r="W349" s="934"/>
      <c r="X349" s="934"/>
      <c r="Y349" s="934"/>
      <c r="Z349" s="934"/>
    </row>
    <row r="350" ht="15.75" customHeight="1">
      <c r="A350" s="571"/>
      <c r="B350" s="934"/>
      <c r="C350" s="934"/>
      <c r="D350" s="934"/>
      <c r="E350" s="934"/>
      <c r="F350" s="934"/>
      <c r="G350" s="571"/>
      <c r="H350" s="934"/>
      <c r="I350" s="934"/>
      <c r="J350" s="934"/>
      <c r="K350" s="934"/>
      <c r="L350" s="934"/>
      <c r="M350" s="934"/>
      <c r="N350" s="934"/>
      <c r="O350" s="934"/>
      <c r="P350" s="934"/>
      <c r="Q350" s="934"/>
      <c r="R350" s="934"/>
      <c r="S350" s="934"/>
      <c r="T350" s="934"/>
      <c r="U350" s="934"/>
      <c r="V350" s="934"/>
      <c r="W350" s="934"/>
      <c r="X350" s="934"/>
      <c r="Y350" s="934"/>
      <c r="Z350" s="934"/>
    </row>
    <row r="351" ht="15.75" customHeight="1">
      <c r="A351" s="571"/>
      <c r="B351" s="934"/>
      <c r="C351" s="934"/>
      <c r="D351" s="934"/>
      <c r="E351" s="934"/>
      <c r="F351" s="934"/>
      <c r="G351" s="571"/>
      <c r="H351" s="934"/>
      <c r="I351" s="934"/>
      <c r="J351" s="934"/>
      <c r="K351" s="934"/>
      <c r="L351" s="934"/>
      <c r="M351" s="934"/>
      <c r="N351" s="934"/>
      <c r="O351" s="934"/>
      <c r="P351" s="934"/>
      <c r="Q351" s="934"/>
      <c r="R351" s="934"/>
      <c r="S351" s="934"/>
      <c r="T351" s="934"/>
      <c r="U351" s="934"/>
      <c r="V351" s="934"/>
      <c r="W351" s="934"/>
      <c r="X351" s="934"/>
      <c r="Y351" s="934"/>
      <c r="Z351" s="934"/>
    </row>
    <row r="352" ht="15.75" customHeight="1">
      <c r="A352" s="571"/>
      <c r="B352" s="934"/>
      <c r="C352" s="934"/>
      <c r="D352" s="934"/>
      <c r="E352" s="934"/>
      <c r="F352" s="934"/>
      <c r="G352" s="571"/>
      <c r="H352" s="934"/>
      <c r="I352" s="934"/>
      <c r="J352" s="934"/>
      <c r="K352" s="934"/>
      <c r="L352" s="934"/>
      <c r="M352" s="934"/>
      <c r="N352" s="934"/>
      <c r="O352" s="934"/>
      <c r="P352" s="934"/>
      <c r="Q352" s="934"/>
      <c r="R352" s="934"/>
      <c r="S352" s="934"/>
      <c r="T352" s="934"/>
      <c r="U352" s="934"/>
      <c r="V352" s="934"/>
      <c r="W352" s="934"/>
      <c r="X352" s="934"/>
      <c r="Y352" s="934"/>
      <c r="Z352" s="934"/>
    </row>
    <row r="353" ht="15.75" customHeight="1">
      <c r="A353" s="571"/>
      <c r="B353" s="934"/>
      <c r="C353" s="934"/>
      <c r="D353" s="934"/>
      <c r="E353" s="934"/>
      <c r="F353" s="934"/>
      <c r="G353" s="571"/>
      <c r="H353" s="934"/>
      <c r="I353" s="934"/>
      <c r="J353" s="934"/>
      <c r="K353" s="934"/>
      <c r="L353" s="934"/>
      <c r="M353" s="934"/>
      <c r="N353" s="934"/>
      <c r="O353" s="934"/>
      <c r="P353" s="934"/>
      <c r="Q353" s="934"/>
      <c r="R353" s="934"/>
      <c r="S353" s="934"/>
      <c r="T353" s="934"/>
      <c r="U353" s="934"/>
      <c r="V353" s="934"/>
      <c r="W353" s="934"/>
      <c r="X353" s="934"/>
      <c r="Y353" s="934"/>
      <c r="Z353" s="934"/>
    </row>
    <row r="354" ht="15.75" customHeight="1">
      <c r="A354" s="571"/>
      <c r="B354" s="934"/>
      <c r="C354" s="934"/>
      <c r="D354" s="934"/>
      <c r="E354" s="934"/>
      <c r="F354" s="934"/>
      <c r="G354" s="571"/>
      <c r="H354" s="934"/>
      <c r="I354" s="934"/>
      <c r="J354" s="934"/>
      <c r="K354" s="934"/>
      <c r="L354" s="934"/>
      <c r="M354" s="934"/>
      <c r="N354" s="934"/>
      <c r="O354" s="934"/>
      <c r="P354" s="934"/>
      <c r="Q354" s="934"/>
      <c r="R354" s="934"/>
      <c r="S354" s="934"/>
      <c r="T354" s="934"/>
      <c r="U354" s="934"/>
      <c r="V354" s="934"/>
      <c r="W354" s="934"/>
      <c r="X354" s="934"/>
      <c r="Y354" s="934"/>
      <c r="Z354" s="934"/>
    </row>
    <row r="355" ht="15.75" customHeight="1">
      <c r="A355" s="571"/>
      <c r="B355" s="934"/>
      <c r="C355" s="934"/>
      <c r="D355" s="934"/>
      <c r="E355" s="934"/>
      <c r="F355" s="934"/>
      <c r="G355" s="571"/>
      <c r="H355" s="934"/>
      <c r="I355" s="934"/>
      <c r="J355" s="934"/>
      <c r="K355" s="934"/>
      <c r="L355" s="934"/>
      <c r="M355" s="934"/>
      <c r="N355" s="934"/>
      <c r="O355" s="934"/>
      <c r="P355" s="934"/>
      <c r="Q355" s="934"/>
      <c r="R355" s="934"/>
      <c r="S355" s="934"/>
      <c r="T355" s="934"/>
      <c r="U355" s="934"/>
      <c r="V355" s="934"/>
      <c r="W355" s="934"/>
      <c r="X355" s="934"/>
      <c r="Y355" s="934"/>
      <c r="Z355" s="934"/>
    </row>
    <row r="356" ht="15.75" customHeight="1">
      <c r="A356" s="571"/>
      <c r="B356" s="934"/>
      <c r="C356" s="934"/>
      <c r="D356" s="934"/>
      <c r="E356" s="934"/>
      <c r="F356" s="934"/>
      <c r="G356" s="571"/>
      <c r="H356" s="934"/>
      <c r="I356" s="934"/>
      <c r="J356" s="934"/>
      <c r="K356" s="934"/>
      <c r="L356" s="934"/>
      <c r="M356" s="934"/>
      <c r="N356" s="934"/>
      <c r="O356" s="934"/>
      <c r="P356" s="934"/>
      <c r="Q356" s="934"/>
      <c r="R356" s="934"/>
      <c r="S356" s="934"/>
      <c r="T356" s="934"/>
      <c r="U356" s="934"/>
      <c r="V356" s="934"/>
      <c r="W356" s="934"/>
      <c r="X356" s="934"/>
      <c r="Y356" s="934"/>
      <c r="Z356" s="934"/>
    </row>
    <row r="357" ht="15.75" customHeight="1">
      <c r="A357" s="571"/>
      <c r="B357" s="934"/>
      <c r="C357" s="934"/>
      <c r="D357" s="934"/>
      <c r="E357" s="934"/>
      <c r="F357" s="934"/>
      <c r="G357" s="571"/>
      <c r="H357" s="934"/>
      <c r="I357" s="934"/>
      <c r="J357" s="934"/>
      <c r="K357" s="934"/>
      <c r="L357" s="934"/>
      <c r="M357" s="934"/>
      <c r="N357" s="934"/>
      <c r="O357" s="934"/>
      <c r="P357" s="934"/>
      <c r="Q357" s="934"/>
      <c r="R357" s="934"/>
      <c r="S357" s="934"/>
      <c r="T357" s="934"/>
      <c r="U357" s="934"/>
      <c r="V357" s="934"/>
      <c r="W357" s="934"/>
      <c r="X357" s="934"/>
      <c r="Y357" s="934"/>
      <c r="Z357" s="934"/>
    </row>
    <row r="358" ht="15.75" customHeight="1">
      <c r="A358" s="571"/>
      <c r="B358" s="934"/>
      <c r="C358" s="934"/>
      <c r="D358" s="934"/>
      <c r="E358" s="934"/>
      <c r="F358" s="934"/>
      <c r="G358" s="571"/>
      <c r="H358" s="934"/>
      <c r="I358" s="934"/>
      <c r="J358" s="934"/>
      <c r="K358" s="934"/>
      <c r="L358" s="934"/>
      <c r="M358" s="934"/>
      <c r="N358" s="934"/>
      <c r="O358" s="934"/>
      <c r="P358" s="934"/>
      <c r="Q358" s="934"/>
      <c r="R358" s="934"/>
      <c r="S358" s="934"/>
      <c r="T358" s="934"/>
      <c r="U358" s="934"/>
      <c r="V358" s="934"/>
      <c r="W358" s="934"/>
      <c r="X358" s="934"/>
      <c r="Y358" s="934"/>
      <c r="Z358" s="934"/>
    </row>
    <row r="359" ht="15.75" customHeight="1">
      <c r="A359" s="571"/>
      <c r="B359" s="934"/>
      <c r="C359" s="934"/>
      <c r="D359" s="934"/>
      <c r="E359" s="934"/>
      <c r="F359" s="934"/>
      <c r="G359" s="571"/>
      <c r="H359" s="934"/>
      <c r="I359" s="934"/>
      <c r="J359" s="934"/>
      <c r="K359" s="934"/>
      <c r="L359" s="934"/>
      <c r="M359" s="934"/>
      <c r="N359" s="934"/>
      <c r="O359" s="934"/>
      <c r="P359" s="934"/>
      <c r="Q359" s="934"/>
      <c r="R359" s="934"/>
      <c r="S359" s="934"/>
      <c r="T359" s="934"/>
      <c r="U359" s="934"/>
      <c r="V359" s="934"/>
      <c r="W359" s="934"/>
      <c r="X359" s="934"/>
      <c r="Y359" s="934"/>
      <c r="Z359" s="934"/>
    </row>
    <row r="360" ht="15.75" customHeight="1">
      <c r="A360" s="571"/>
      <c r="B360" s="934"/>
      <c r="C360" s="934"/>
      <c r="D360" s="934"/>
      <c r="E360" s="934"/>
      <c r="F360" s="934"/>
      <c r="G360" s="571"/>
      <c r="H360" s="934"/>
      <c r="I360" s="934"/>
      <c r="J360" s="934"/>
      <c r="K360" s="934"/>
      <c r="L360" s="934"/>
      <c r="M360" s="934"/>
      <c r="N360" s="934"/>
      <c r="O360" s="934"/>
      <c r="P360" s="934"/>
      <c r="Q360" s="934"/>
      <c r="R360" s="934"/>
      <c r="S360" s="934"/>
      <c r="T360" s="934"/>
      <c r="U360" s="934"/>
      <c r="V360" s="934"/>
      <c r="W360" s="934"/>
      <c r="X360" s="934"/>
      <c r="Y360" s="934"/>
      <c r="Z360" s="934"/>
    </row>
    <row r="361" ht="15.75" customHeight="1">
      <c r="A361" s="571"/>
      <c r="B361" s="934"/>
      <c r="C361" s="934"/>
      <c r="D361" s="934"/>
      <c r="E361" s="934"/>
      <c r="F361" s="934"/>
      <c r="G361" s="571"/>
      <c r="H361" s="934"/>
      <c r="I361" s="934"/>
      <c r="J361" s="934"/>
      <c r="K361" s="934"/>
      <c r="L361" s="934"/>
      <c r="M361" s="934"/>
      <c r="N361" s="934"/>
      <c r="O361" s="934"/>
      <c r="P361" s="934"/>
      <c r="Q361" s="934"/>
      <c r="R361" s="934"/>
      <c r="S361" s="934"/>
      <c r="T361" s="934"/>
      <c r="U361" s="934"/>
      <c r="V361" s="934"/>
      <c r="W361" s="934"/>
      <c r="X361" s="934"/>
      <c r="Y361" s="934"/>
      <c r="Z361" s="934"/>
    </row>
    <row r="362" ht="15.75" customHeight="1">
      <c r="A362" s="571"/>
      <c r="B362" s="934"/>
      <c r="C362" s="934"/>
      <c r="D362" s="934"/>
      <c r="E362" s="934"/>
      <c r="F362" s="934"/>
      <c r="G362" s="571"/>
      <c r="H362" s="934"/>
      <c r="I362" s="934"/>
      <c r="J362" s="934"/>
      <c r="K362" s="934"/>
      <c r="L362" s="934"/>
      <c r="M362" s="934"/>
      <c r="N362" s="934"/>
      <c r="O362" s="934"/>
      <c r="P362" s="934"/>
      <c r="Q362" s="934"/>
      <c r="R362" s="934"/>
      <c r="S362" s="934"/>
      <c r="T362" s="934"/>
      <c r="U362" s="934"/>
      <c r="V362" s="934"/>
      <c r="W362" s="934"/>
      <c r="X362" s="934"/>
      <c r="Y362" s="934"/>
      <c r="Z362" s="934"/>
    </row>
    <row r="363" ht="15.75" customHeight="1">
      <c r="A363" s="571"/>
      <c r="B363" s="934"/>
      <c r="C363" s="934"/>
      <c r="D363" s="934"/>
      <c r="E363" s="934"/>
      <c r="F363" s="934"/>
      <c r="G363" s="571"/>
      <c r="H363" s="934"/>
      <c r="I363" s="934"/>
      <c r="J363" s="934"/>
      <c r="K363" s="934"/>
      <c r="L363" s="934"/>
      <c r="M363" s="934"/>
      <c r="N363" s="934"/>
      <c r="O363" s="934"/>
      <c r="P363" s="934"/>
      <c r="Q363" s="934"/>
      <c r="R363" s="934"/>
      <c r="S363" s="934"/>
      <c r="T363" s="934"/>
      <c r="U363" s="934"/>
      <c r="V363" s="934"/>
      <c r="W363" s="934"/>
      <c r="X363" s="934"/>
      <c r="Y363" s="934"/>
      <c r="Z363" s="934"/>
    </row>
    <row r="364" ht="15.75" customHeight="1">
      <c r="A364" s="571"/>
      <c r="B364" s="934"/>
      <c r="C364" s="934"/>
      <c r="D364" s="934"/>
      <c r="E364" s="934"/>
      <c r="F364" s="934"/>
      <c r="G364" s="571"/>
      <c r="H364" s="934"/>
      <c r="I364" s="934"/>
      <c r="J364" s="934"/>
      <c r="K364" s="934"/>
      <c r="L364" s="934"/>
      <c r="M364" s="934"/>
      <c r="N364" s="934"/>
      <c r="O364" s="934"/>
      <c r="P364" s="934"/>
      <c r="Q364" s="934"/>
      <c r="R364" s="934"/>
      <c r="S364" s="934"/>
      <c r="T364" s="934"/>
      <c r="U364" s="934"/>
      <c r="V364" s="934"/>
      <c r="W364" s="934"/>
      <c r="X364" s="934"/>
      <c r="Y364" s="934"/>
      <c r="Z364" s="934"/>
    </row>
    <row r="365" ht="15.75" customHeight="1">
      <c r="A365" s="571"/>
      <c r="B365" s="934"/>
      <c r="C365" s="934"/>
      <c r="D365" s="934"/>
      <c r="E365" s="934"/>
      <c r="F365" s="934"/>
      <c r="G365" s="571"/>
      <c r="H365" s="934"/>
      <c r="I365" s="934"/>
      <c r="J365" s="934"/>
      <c r="K365" s="934"/>
      <c r="L365" s="934"/>
      <c r="M365" s="934"/>
      <c r="N365" s="934"/>
      <c r="O365" s="934"/>
      <c r="P365" s="934"/>
      <c r="Q365" s="934"/>
      <c r="R365" s="934"/>
      <c r="S365" s="934"/>
      <c r="T365" s="934"/>
      <c r="U365" s="934"/>
      <c r="V365" s="934"/>
      <c r="W365" s="934"/>
      <c r="X365" s="934"/>
      <c r="Y365" s="934"/>
      <c r="Z365" s="934"/>
    </row>
    <row r="366" ht="15.75" customHeight="1">
      <c r="A366" s="571"/>
      <c r="B366" s="934"/>
      <c r="C366" s="934"/>
      <c r="D366" s="934"/>
      <c r="E366" s="934"/>
      <c r="F366" s="934"/>
      <c r="G366" s="571"/>
      <c r="H366" s="934"/>
      <c r="I366" s="934"/>
      <c r="J366" s="934"/>
      <c r="K366" s="934"/>
      <c r="L366" s="934"/>
      <c r="M366" s="934"/>
      <c r="N366" s="934"/>
      <c r="O366" s="934"/>
      <c r="P366" s="934"/>
      <c r="Q366" s="934"/>
      <c r="R366" s="934"/>
      <c r="S366" s="934"/>
      <c r="T366" s="934"/>
      <c r="U366" s="934"/>
      <c r="V366" s="934"/>
      <c r="W366" s="934"/>
      <c r="X366" s="934"/>
      <c r="Y366" s="934"/>
      <c r="Z366" s="934"/>
    </row>
    <row r="367" ht="15.75" customHeight="1">
      <c r="A367" s="571"/>
      <c r="B367" s="934"/>
      <c r="C367" s="934"/>
      <c r="D367" s="934"/>
      <c r="E367" s="934"/>
      <c r="F367" s="934"/>
      <c r="G367" s="571"/>
      <c r="H367" s="934"/>
      <c r="I367" s="934"/>
      <c r="J367" s="934"/>
      <c r="K367" s="934"/>
      <c r="L367" s="934"/>
      <c r="M367" s="934"/>
      <c r="N367" s="934"/>
      <c r="O367" s="934"/>
      <c r="P367" s="934"/>
      <c r="Q367" s="934"/>
      <c r="R367" s="934"/>
      <c r="S367" s="934"/>
      <c r="T367" s="934"/>
      <c r="U367" s="934"/>
      <c r="V367" s="934"/>
      <c r="W367" s="934"/>
      <c r="X367" s="934"/>
      <c r="Y367" s="934"/>
      <c r="Z367" s="934"/>
    </row>
    <row r="368" ht="15.75" customHeight="1">
      <c r="A368" s="571"/>
      <c r="B368" s="934"/>
      <c r="C368" s="934"/>
      <c r="D368" s="934"/>
      <c r="E368" s="934"/>
      <c r="F368" s="934"/>
      <c r="G368" s="571"/>
      <c r="H368" s="934"/>
      <c r="I368" s="934"/>
      <c r="J368" s="934"/>
      <c r="K368" s="934"/>
      <c r="L368" s="934"/>
      <c r="M368" s="934"/>
      <c r="N368" s="934"/>
      <c r="O368" s="934"/>
      <c r="P368" s="934"/>
      <c r="Q368" s="934"/>
      <c r="R368" s="934"/>
      <c r="S368" s="934"/>
      <c r="T368" s="934"/>
      <c r="U368" s="934"/>
      <c r="V368" s="934"/>
      <c r="W368" s="934"/>
      <c r="X368" s="934"/>
      <c r="Y368" s="934"/>
      <c r="Z368" s="934"/>
    </row>
    <row r="369" ht="15.75" customHeight="1">
      <c r="A369" s="571"/>
      <c r="B369" s="934"/>
      <c r="C369" s="934"/>
      <c r="D369" s="934"/>
      <c r="E369" s="934"/>
      <c r="F369" s="934"/>
      <c r="G369" s="571"/>
      <c r="H369" s="934"/>
      <c r="I369" s="934"/>
      <c r="J369" s="934"/>
      <c r="K369" s="934"/>
      <c r="L369" s="934"/>
      <c r="M369" s="934"/>
      <c r="N369" s="934"/>
      <c r="O369" s="934"/>
      <c r="P369" s="934"/>
      <c r="Q369" s="934"/>
      <c r="R369" s="934"/>
      <c r="S369" s="934"/>
      <c r="T369" s="934"/>
      <c r="U369" s="934"/>
      <c r="V369" s="934"/>
      <c r="W369" s="934"/>
      <c r="X369" s="934"/>
      <c r="Y369" s="934"/>
      <c r="Z369" s="934"/>
    </row>
    <row r="370" ht="15.75" customHeight="1">
      <c r="A370" s="571"/>
      <c r="B370" s="934"/>
      <c r="C370" s="934"/>
      <c r="D370" s="934"/>
      <c r="E370" s="934"/>
      <c r="F370" s="934"/>
      <c r="G370" s="571"/>
      <c r="H370" s="934"/>
      <c r="I370" s="934"/>
      <c r="J370" s="934"/>
      <c r="K370" s="934"/>
      <c r="L370" s="934"/>
      <c r="M370" s="934"/>
      <c r="N370" s="934"/>
      <c r="O370" s="934"/>
      <c r="P370" s="934"/>
      <c r="Q370" s="934"/>
      <c r="R370" s="934"/>
      <c r="S370" s="934"/>
      <c r="T370" s="934"/>
      <c r="U370" s="934"/>
      <c r="V370" s="934"/>
      <c r="W370" s="934"/>
      <c r="X370" s="934"/>
      <c r="Y370" s="934"/>
      <c r="Z370" s="934"/>
    </row>
    <row r="371" ht="15.75" customHeight="1">
      <c r="A371" s="571"/>
      <c r="B371" s="934"/>
      <c r="C371" s="934"/>
      <c r="D371" s="934"/>
      <c r="E371" s="934"/>
      <c r="F371" s="934"/>
      <c r="G371" s="571"/>
      <c r="H371" s="934"/>
      <c r="I371" s="934"/>
      <c r="J371" s="934"/>
      <c r="K371" s="934"/>
      <c r="L371" s="934"/>
      <c r="M371" s="934"/>
      <c r="N371" s="934"/>
      <c r="O371" s="934"/>
      <c r="P371" s="934"/>
      <c r="Q371" s="934"/>
      <c r="R371" s="934"/>
      <c r="S371" s="934"/>
      <c r="T371" s="934"/>
      <c r="U371" s="934"/>
      <c r="V371" s="934"/>
      <c r="W371" s="934"/>
      <c r="X371" s="934"/>
      <c r="Y371" s="934"/>
      <c r="Z371" s="934"/>
    </row>
    <row r="372" ht="15.75" customHeight="1">
      <c r="A372" s="571"/>
      <c r="B372" s="934"/>
      <c r="C372" s="934"/>
      <c r="D372" s="934"/>
      <c r="E372" s="934"/>
      <c r="F372" s="934"/>
      <c r="G372" s="571"/>
      <c r="H372" s="934"/>
      <c r="I372" s="934"/>
      <c r="J372" s="934"/>
      <c r="K372" s="934"/>
      <c r="L372" s="934"/>
      <c r="M372" s="934"/>
      <c r="N372" s="934"/>
      <c r="O372" s="934"/>
      <c r="P372" s="934"/>
      <c r="Q372" s="934"/>
      <c r="R372" s="934"/>
      <c r="S372" s="934"/>
      <c r="T372" s="934"/>
      <c r="U372" s="934"/>
      <c r="V372" s="934"/>
      <c r="W372" s="934"/>
      <c r="X372" s="934"/>
      <c r="Y372" s="934"/>
      <c r="Z372" s="934"/>
    </row>
    <row r="373" ht="15.75" customHeight="1">
      <c r="A373" s="571"/>
      <c r="B373" s="934"/>
      <c r="C373" s="934"/>
      <c r="D373" s="934"/>
      <c r="E373" s="934"/>
      <c r="F373" s="934"/>
      <c r="G373" s="571"/>
      <c r="H373" s="934"/>
      <c r="I373" s="934"/>
      <c r="J373" s="934"/>
      <c r="K373" s="934"/>
      <c r="L373" s="934"/>
      <c r="M373" s="934"/>
      <c r="N373" s="934"/>
      <c r="O373" s="934"/>
      <c r="P373" s="934"/>
      <c r="Q373" s="934"/>
      <c r="R373" s="934"/>
      <c r="S373" s="934"/>
      <c r="T373" s="934"/>
      <c r="U373" s="934"/>
      <c r="V373" s="934"/>
      <c r="W373" s="934"/>
      <c r="X373" s="934"/>
      <c r="Y373" s="934"/>
      <c r="Z373" s="934"/>
    </row>
    <row r="374" ht="15.75" customHeight="1">
      <c r="A374" s="571"/>
      <c r="B374" s="934"/>
      <c r="C374" s="934"/>
      <c r="D374" s="934"/>
      <c r="E374" s="934"/>
      <c r="F374" s="934"/>
      <c r="G374" s="571"/>
      <c r="H374" s="934"/>
      <c r="I374" s="934"/>
      <c r="J374" s="934"/>
      <c r="K374" s="934"/>
      <c r="L374" s="934"/>
      <c r="M374" s="934"/>
      <c r="N374" s="934"/>
      <c r="O374" s="934"/>
      <c r="P374" s="934"/>
      <c r="Q374" s="934"/>
      <c r="R374" s="934"/>
      <c r="S374" s="934"/>
      <c r="T374" s="934"/>
      <c r="U374" s="934"/>
      <c r="V374" s="934"/>
      <c r="W374" s="934"/>
      <c r="X374" s="934"/>
      <c r="Y374" s="934"/>
      <c r="Z374" s="934"/>
    </row>
    <row r="375" ht="15.75" customHeight="1">
      <c r="A375" s="571"/>
      <c r="B375" s="934"/>
      <c r="C375" s="934"/>
      <c r="D375" s="934"/>
      <c r="E375" s="934"/>
      <c r="F375" s="934"/>
      <c r="G375" s="571"/>
      <c r="H375" s="934"/>
      <c r="I375" s="934"/>
      <c r="J375" s="934"/>
      <c r="K375" s="934"/>
      <c r="L375" s="934"/>
      <c r="M375" s="934"/>
      <c r="N375" s="934"/>
      <c r="O375" s="934"/>
      <c r="P375" s="934"/>
      <c r="Q375" s="934"/>
      <c r="R375" s="934"/>
      <c r="S375" s="934"/>
      <c r="T375" s="934"/>
      <c r="U375" s="934"/>
      <c r="V375" s="934"/>
      <c r="W375" s="934"/>
      <c r="X375" s="934"/>
      <c r="Y375" s="934"/>
      <c r="Z375" s="934"/>
    </row>
    <row r="376" ht="15.75" customHeight="1">
      <c r="A376" s="571"/>
      <c r="B376" s="934"/>
      <c r="C376" s="934"/>
      <c r="D376" s="934"/>
      <c r="E376" s="934"/>
      <c r="F376" s="934"/>
      <c r="G376" s="571"/>
      <c r="H376" s="934"/>
      <c r="I376" s="934"/>
      <c r="J376" s="934"/>
      <c r="K376" s="934"/>
      <c r="L376" s="934"/>
      <c r="M376" s="934"/>
      <c r="N376" s="934"/>
      <c r="O376" s="934"/>
      <c r="P376" s="934"/>
      <c r="Q376" s="934"/>
      <c r="R376" s="934"/>
      <c r="S376" s="934"/>
      <c r="T376" s="934"/>
      <c r="U376" s="934"/>
      <c r="V376" s="934"/>
      <c r="W376" s="934"/>
      <c r="X376" s="934"/>
      <c r="Y376" s="934"/>
      <c r="Z376" s="934"/>
    </row>
    <row r="377" ht="15.75" customHeight="1">
      <c r="A377" s="571"/>
      <c r="B377" s="934"/>
      <c r="C377" s="934"/>
      <c r="D377" s="934"/>
      <c r="E377" s="934"/>
      <c r="F377" s="934"/>
      <c r="G377" s="571"/>
      <c r="H377" s="934"/>
      <c r="I377" s="934"/>
      <c r="J377" s="934"/>
      <c r="K377" s="934"/>
      <c r="L377" s="934"/>
      <c r="M377" s="934"/>
      <c r="N377" s="934"/>
      <c r="O377" s="934"/>
      <c r="P377" s="934"/>
      <c r="Q377" s="934"/>
      <c r="R377" s="934"/>
      <c r="S377" s="934"/>
      <c r="T377" s="934"/>
      <c r="U377" s="934"/>
      <c r="V377" s="934"/>
      <c r="W377" s="934"/>
      <c r="X377" s="934"/>
      <c r="Y377" s="934"/>
      <c r="Z377" s="934"/>
    </row>
    <row r="378" ht="15.75" customHeight="1">
      <c r="A378" s="571"/>
      <c r="B378" s="934"/>
      <c r="C378" s="934"/>
      <c r="D378" s="934"/>
      <c r="E378" s="934"/>
      <c r="F378" s="934"/>
      <c r="G378" s="571"/>
      <c r="H378" s="934"/>
      <c r="I378" s="934"/>
      <c r="J378" s="934"/>
      <c r="K378" s="934"/>
      <c r="L378" s="934"/>
      <c r="M378" s="934"/>
      <c r="N378" s="934"/>
      <c r="O378" s="934"/>
      <c r="P378" s="934"/>
      <c r="Q378" s="934"/>
      <c r="R378" s="934"/>
      <c r="S378" s="934"/>
      <c r="T378" s="934"/>
      <c r="U378" s="934"/>
      <c r="V378" s="934"/>
      <c r="W378" s="934"/>
      <c r="X378" s="934"/>
      <c r="Y378" s="934"/>
      <c r="Z378" s="934"/>
    </row>
    <row r="379" ht="15.75" customHeight="1">
      <c r="A379" s="571"/>
      <c r="B379" s="934"/>
      <c r="C379" s="934"/>
      <c r="D379" s="934"/>
      <c r="E379" s="934"/>
      <c r="F379" s="934"/>
      <c r="G379" s="571"/>
      <c r="H379" s="934"/>
      <c r="I379" s="934"/>
      <c r="J379" s="934"/>
      <c r="K379" s="934"/>
      <c r="L379" s="934"/>
      <c r="M379" s="934"/>
      <c r="N379" s="934"/>
      <c r="O379" s="934"/>
      <c r="P379" s="934"/>
      <c r="Q379" s="934"/>
      <c r="R379" s="934"/>
      <c r="S379" s="934"/>
      <c r="T379" s="934"/>
      <c r="U379" s="934"/>
      <c r="V379" s="934"/>
      <c r="W379" s="934"/>
      <c r="X379" s="934"/>
      <c r="Y379" s="934"/>
      <c r="Z379" s="934"/>
    </row>
    <row r="380" ht="15.75" customHeight="1">
      <c r="A380" s="571"/>
      <c r="B380" s="934"/>
      <c r="C380" s="934"/>
      <c r="D380" s="934"/>
      <c r="E380" s="934"/>
      <c r="F380" s="934"/>
      <c r="G380" s="571"/>
      <c r="H380" s="934"/>
      <c r="I380" s="934"/>
      <c r="J380" s="934"/>
      <c r="K380" s="934"/>
      <c r="L380" s="934"/>
      <c r="M380" s="934"/>
      <c r="N380" s="934"/>
      <c r="O380" s="934"/>
      <c r="P380" s="934"/>
      <c r="Q380" s="934"/>
      <c r="R380" s="934"/>
      <c r="S380" s="934"/>
      <c r="T380" s="934"/>
      <c r="U380" s="934"/>
      <c r="V380" s="934"/>
      <c r="W380" s="934"/>
      <c r="X380" s="934"/>
      <c r="Y380" s="934"/>
      <c r="Z380" s="934"/>
    </row>
    <row r="381" ht="15.75" customHeight="1">
      <c r="A381" s="571"/>
      <c r="B381" s="934"/>
      <c r="C381" s="934"/>
      <c r="D381" s="934"/>
      <c r="E381" s="934"/>
      <c r="F381" s="934"/>
      <c r="G381" s="571"/>
      <c r="H381" s="934"/>
      <c r="I381" s="934"/>
      <c r="J381" s="934"/>
      <c r="K381" s="934"/>
      <c r="L381" s="934"/>
      <c r="M381" s="934"/>
      <c r="N381" s="934"/>
      <c r="O381" s="934"/>
      <c r="P381" s="934"/>
      <c r="Q381" s="934"/>
      <c r="R381" s="934"/>
      <c r="S381" s="934"/>
      <c r="T381" s="934"/>
      <c r="U381" s="934"/>
      <c r="V381" s="934"/>
      <c r="W381" s="934"/>
      <c r="X381" s="934"/>
      <c r="Y381" s="934"/>
      <c r="Z381" s="934"/>
    </row>
    <row r="382" ht="15.75" customHeight="1">
      <c r="A382" s="571"/>
      <c r="B382" s="934"/>
      <c r="C382" s="934"/>
      <c r="D382" s="934"/>
      <c r="E382" s="934"/>
      <c r="F382" s="934"/>
      <c r="G382" s="571"/>
      <c r="H382" s="934"/>
      <c r="I382" s="934"/>
      <c r="J382" s="934"/>
      <c r="K382" s="934"/>
      <c r="L382" s="934"/>
      <c r="M382" s="934"/>
      <c r="N382" s="934"/>
      <c r="O382" s="934"/>
      <c r="P382" s="934"/>
      <c r="Q382" s="934"/>
      <c r="R382" s="934"/>
      <c r="S382" s="934"/>
      <c r="T382" s="934"/>
      <c r="U382" s="934"/>
      <c r="V382" s="934"/>
      <c r="W382" s="934"/>
      <c r="X382" s="934"/>
      <c r="Y382" s="934"/>
      <c r="Z382" s="934"/>
    </row>
    <row r="383" ht="15.75" customHeight="1">
      <c r="A383" s="571"/>
      <c r="B383" s="934"/>
      <c r="C383" s="934"/>
      <c r="D383" s="934"/>
      <c r="E383" s="934"/>
      <c r="F383" s="934"/>
      <c r="G383" s="571"/>
      <c r="H383" s="934"/>
      <c r="I383" s="934"/>
      <c r="J383" s="934"/>
      <c r="K383" s="934"/>
      <c r="L383" s="934"/>
      <c r="M383" s="934"/>
      <c r="N383" s="934"/>
      <c r="O383" s="934"/>
      <c r="P383" s="934"/>
      <c r="Q383" s="934"/>
      <c r="R383" s="934"/>
      <c r="S383" s="934"/>
      <c r="T383" s="934"/>
      <c r="U383" s="934"/>
      <c r="V383" s="934"/>
      <c r="W383" s="934"/>
      <c r="X383" s="934"/>
      <c r="Y383" s="934"/>
      <c r="Z383" s="934"/>
    </row>
    <row r="384" ht="15.75" customHeight="1">
      <c r="A384" s="571"/>
      <c r="B384" s="934"/>
      <c r="C384" s="934"/>
      <c r="D384" s="934"/>
      <c r="E384" s="934"/>
      <c r="F384" s="934"/>
      <c r="G384" s="571"/>
      <c r="H384" s="934"/>
      <c r="I384" s="934"/>
      <c r="J384" s="934"/>
      <c r="K384" s="934"/>
      <c r="L384" s="934"/>
      <c r="M384" s="934"/>
      <c r="N384" s="934"/>
      <c r="O384" s="934"/>
      <c r="P384" s="934"/>
      <c r="Q384" s="934"/>
      <c r="R384" s="934"/>
      <c r="S384" s="934"/>
      <c r="T384" s="934"/>
      <c r="U384" s="934"/>
      <c r="V384" s="934"/>
      <c r="W384" s="934"/>
      <c r="X384" s="934"/>
      <c r="Y384" s="934"/>
      <c r="Z384" s="934"/>
    </row>
    <row r="385" ht="15.75" customHeight="1">
      <c r="A385" s="571"/>
      <c r="B385" s="934"/>
      <c r="C385" s="934"/>
      <c r="D385" s="934"/>
      <c r="E385" s="934"/>
      <c r="F385" s="934"/>
      <c r="G385" s="571"/>
      <c r="H385" s="934"/>
      <c r="I385" s="934"/>
      <c r="J385" s="934"/>
      <c r="K385" s="934"/>
      <c r="L385" s="934"/>
      <c r="M385" s="934"/>
      <c r="N385" s="934"/>
      <c r="O385" s="934"/>
      <c r="P385" s="934"/>
      <c r="Q385" s="934"/>
      <c r="R385" s="934"/>
      <c r="S385" s="934"/>
      <c r="T385" s="934"/>
      <c r="U385" s="934"/>
      <c r="V385" s="934"/>
      <c r="W385" s="934"/>
      <c r="X385" s="934"/>
      <c r="Y385" s="934"/>
      <c r="Z385" s="934"/>
    </row>
    <row r="386" ht="15.75" customHeight="1">
      <c r="A386" s="571"/>
      <c r="B386" s="934"/>
      <c r="C386" s="934"/>
      <c r="D386" s="934"/>
      <c r="E386" s="934"/>
      <c r="F386" s="934"/>
      <c r="G386" s="571"/>
      <c r="H386" s="934"/>
      <c r="I386" s="934"/>
      <c r="J386" s="934"/>
      <c r="K386" s="934"/>
      <c r="L386" s="934"/>
      <c r="M386" s="934"/>
      <c r="N386" s="934"/>
      <c r="O386" s="934"/>
      <c r="P386" s="934"/>
      <c r="Q386" s="934"/>
      <c r="R386" s="934"/>
      <c r="S386" s="934"/>
      <c r="T386" s="934"/>
      <c r="U386" s="934"/>
      <c r="V386" s="934"/>
      <c r="W386" s="934"/>
      <c r="X386" s="934"/>
      <c r="Y386" s="934"/>
      <c r="Z386" s="934"/>
    </row>
    <row r="387" ht="15.75" customHeight="1">
      <c r="A387" s="571"/>
      <c r="B387" s="934"/>
      <c r="C387" s="934"/>
      <c r="D387" s="934"/>
      <c r="E387" s="934"/>
      <c r="F387" s="934"/>
      <c r="G387" s="571"/>
      <c r="H387" s="934"/>
      <c r="I387" s="934"/>
      <c r="J387" s="934"/>
      <c r="K387" s="934"/>
      <c r="L387" s="934"/>
      <c r="M387" s="934"/>
      <c r="N387" s="934"/>
      <c r="O387" s="934"/>
      <c r="P387" s="934"/>
      <c r="Q387" s="934"/>
      <c r="R387" s="934"/>
      <c r="S387" s="934"/>
      <c r="T387" s="934"/>
      <c r="U387" s="934"/>
      <c r="V387" s="934"/>
      <c r="W387" s="934"/>
      <c r="X387" s="934"/>
      <c r="Y387" s="934"/>
      <c r="Z387" s="934"/>
    </row>
    <row r="388" ht="15.75" customHeight="1">
      <c r="A388" s="571"/>
      <c r="B388" s="934"/>
      <c r="C388" s="934"/>
      <c r="D388" s="934"/>
      <c r="E388" s="934"/>
      <c r="F388" s="934"/>
      <c r="G388" s="571"/>
      <c r="H388" s="934"/>
      <c r="I388" s="934"/>
      <c r="J388" s="934"/>
      <c r="K388" s="934"/>
      <c r="L388" s="934"/>
      <c r="M388" s="934"/>
      <c r="N388" s="934"/>
      <c r="O388" s="934"/>
      <c r="P388" s="934"/>
      <c r="Q388" s="934"/>
      <c r="R388" s="934"/>
      <c r="S388" s="934"/>
      <c r="T388" s="934"/>
      <c r="U388" s="934"/>
      <c r="V388" s="934"/>
      <c r="W388" s="934"/>
      <c r="X388" s="934"/>
      <c r="Y388" s="934"/>
      <c r="Z388" s="934"/>
    </row>
    <row r="389" ht="15.75" customHeight="1">
      <c r="A389" s="571"/>
      <c r="B389" s="934"/>
      <c r="C389" s="934"/>
      <c r="D389" s="934"/>
      <c r="E389" s="934"/>
      <c r="F389" s="934"/>
      <c r="G389" s="571"/>
      <c r="H389" s="934"/>
      <c r="I389" s="934"/>
      <c r="J389" s="934"/>
      <c r="K389" s="934"/>
      <c r="L389" s="934"/>
      <c r="M389" s="934"/>
      <c r="N389" s="934"/>
      <c r="O389" s="934"/>
      <c r="P389" s="934"/>
      <c r="Q389" s="934"/>
      <c r="R389" s="934"/>
      <c r="S389" s="934"/>
      <c r="T389" s="934"/>
      <c r="U389" s="934"/>
      <c r="V389" s="934"/>
      <c r="W389" s="934"/>
      <c r="X389" s="934"/>
      <c r="Y389" s="934"/>
      <c r="Z389" s="934"/>
    </row>
    <row r="390" ht="15.75" customHeight="1">
      <c r="A390" s="571"/>
      <c r="B390" s="934"/>
      <c r="C390" s="934"/>
      <c r="D390" s="934"/>
      <c r="E390" s="934"/>
      <c r="F390" s="934"/>
      <c r="G390" s="571"/>
      <c r="H390" s="934"/>
      <c r="I390" s="934"/>
      <c r="J390" s="934"/>
      <c r="K390" s="934"/>
      <c r="L390" s="934"/>
      <c r="M390" s="934"/>
      <c r="N390" s="934"/>
      <c r="O390" s="934"/>
      <c r="P390" s="934"/>
      <c r="Q390" s="934"/>
      <c r="R390" s="934"/>
      <c r="S390" s="934"/>
      <c r="T390" s="934"/>
      <c r="U390" s="934"/>
      <c r="V390" s="934"/>
      <c r="W390" s="934"/>
      <c r="X390" s="934"/>
      <c r="Y390" s="934"/>
      <c r="Z390" s="934"/>
    </row>
    <row r="391" ht="15.75" customHeight="1">
      <c r="A391" s="571"/>
      <c r="B391" s="934"/>
      <c r="C391" s="934"/>
      <c r="D391" s="934"/>
      <c r="E391" s="934"/>
      <c r="F391" s="934"/>
      <c r="G391" s="571"/>
      <c r="H391" s="934"/>
      <c r="I391" s="934"/>
      <c r="J391" s="934"/>
      <c r="K391" s="934"/>
      <c r="L391" s="934"/>
      <c r="M391" s="934"/>
      <c r="N391" s="934"/>
      <c r="O391" s="934"/>
      <c r="P391" s="934"/>
      <c r="Q391" s="934"/>
      <c r="R391" s="934"/>
      <c r="S391" s="934"/>
      <c r="T391" s="934"/>
      <c r="U391" s="934"/>
      <c r="V391" s="934"/>
      <c r="W391" s="934"/>
      <c r="X391" s="934"/>
      <c r="Y391" s="934"/>
      <c r="Z391" s="934"/>
    </row>
    <row r="392" ht="15.75" customHeight="1">
      <c r="A392" s="571"/>
      <c r="B392" s="934"/>
      <c r="C392" s="934"/>
      <c r="D392" s="934"/>
      <c r="E392" s="934"/>
      <c r="F392" s="934"/>
      <c r="G392" s="571"/>
      <c r="H392" s="934"/>
      <c r="I392" s="934"/>
      <c r="J392" s="934"/>
      <c r="K392" s="934"/>
      <c r="L392" s="934"/>
      <c r="M392" s="934"/>
      <c r="N392" s="934"/>
      <c r="O392" s="934"/>
      <c r="P392" s="934"/>
      <c r="Q392" s="934"/>
      <c r="R392" s="934"/>
      <c r="S392" s="934"/>
      <c r="T392" s="934"/>
      <c r="U392" s="934"/>
      <c r="V392" s="934"/>
      <c r="W392" s="934"/>
      <c r="X392" s="934"/>
      <c r="Y392" s="934"/>
      <c r="Z392" s="934"/>
    </row>
    <row r="393" ht="15.75" customHeight="1">
      <c r="A393" s="571"/>
      <c r="B393" s="934"/>
      <c r="C393" s="934"/>
      <c r="D393" s="934"/>
      <c r="E393" s="934"/>
      <c r="F393" s="934"/>
      <c r="G393" s="571"/>
      <c r="H393" s="934"/>
      <c r="I393" s="934"/>
      <c r="J393" s="934"/>
      <c r="K393" s="934"/>
      <c r="L393" s="934"/>
      <c r="M393" s="934"/>
      <c r="N393" s="934"/>
      <c r="O393" s="934"/>
      <c r="P393" s="934"/>
      <c r="Q393" s="934"/>
      <c r="R393" s="934"/>
      <c r="S393" s="934"/>
      <c r="T393" s="934"/>
      <c r="U393" s="934"/>
      <c r="V393" s="934"/>
      <c r="W393" s="934"/>
      <c r="X393" s="934"/>
      <c r="Y393" s="934"/>
      <c r="Z393" s="934"/>
    </row>
    <row r="394" ht="15.75" customHeight="1">
      <c r="A394" s="571"/>
      <c r="B394" s="934"/>
      <c r="C394" s="934"/>
      <c r="D394" s="934"/>
      <c r="E394" s="934"/>
      <c r="F394" s="934"/>
      <c r="G394" s="571"/>
      <c r="H394" s="934"/>
      <c r="I394" s="934"/>
      <c r="J394" s="934"/>
      <c r="K394" s="934"/>
      <c r="L394" s="934"/>
      <c r="M394" s="934"/>
      <c r="N394" s="934"/>
      <c r="O394" s="934"/>
      <c r="P394" s="934"/>
      <c r="Q394" s="934"/>
      <c r="R394" s="934"/>
      <c r="S394" s="934"/>
      <c r="T394" s="934"/>
      <c r="U394" s="934"/>
      <c r="V394" s="934"/>
      <c r="W394" s="934"/>
      <c r="X394" s="934"/>
      <c r="Y394" s="934"/>
      <c r="Z394" s="934"/>
    </row>
    <row r="395" ht="15.75" customHeight="1">
      <c r="A395" s="571"/>
      <c r="B395" s="934"/>
      <c r="C395" s="934"/>
      <c r="D395" s="934"/>
      <c r="E395" s="934"/>
      <c r="F395" s="934"/>
      <c r="G395" s="571"/>
      <c r="H395" s="934"/>
      <c r="I395" s="934"/>
      <c r="J395" s="934"/>
      <c r="K395" s="934"/>
      <c r="L395" s="934"/>
      <c r="M395" s="934"/>
      <c r="N395" s="934"/>
      <c r="O395" s="934"/>
      <c r="P395" s="934"/>
      <c r="Q395" s="934"/>
      <c r="R395" s="934"/>
      <c r="S395" s="934"/>
      <c r="T395" s="934"/>
      <c r="U395" s="934"/>
      <c r="V395" s="934"/>
      <c r="W395" s="934"/>
      <c r="X395" s="934"/>
      <c r="Y395" s="934"/>
      <c r="Z395" s="934"/>
    </row>
    <row r="396" ht="15.75" customHeight="1">
      <c r="A396" s="571"/>
      <c r="B396" s="934"/>
      <c r="C396" s="934"/>
      <c r="D396" s="934"/>
      <c r="E396" s="934"/>
      <c r="F396" s="934"/>
      <c r="G396" s="571"/>
      <c r="H396" s="934"/>
      <c r="I396" s="934"/>
      <c r="J396" s="934"/>
      <c r="K396" s="934"/>
      <c r="L396" s="934"/>
      <c r="M396" s="934"/>
      <c r="N396" s="934"/>
      <c r="O396" s="934"/>
      <c r="P396" s="934"/>
      <c r="Q396" s="934"/>
      <c r="R396" s="934"/>
      <c r="S396" s="934"/>
      <c r="T396" s="934"/>
      <c r="U396" s="934"/>
      <c r="V396" s="934"/>
      <c r="W396" s="934"/>
      <c r="X396" s="934"/>
      <c r="Y396" s="934"/>
      <c r="Z396" s="934"/>
    </row>
    <row r="397" ht="15.75" customHeight="1">
      <c r="A397" s="571"/>
      <c r="B397" s="934"/>
      <c r="C397" s="934"/>
      <c r="D397" s="934"/>
      <c r="E397" s="934"/>
      <c r="F397" s="934"/>
      <c r="G397" s="571"/>
      <c r="H397" s="934"/>
      <c r="I397" s="934"/>
      <c r="J397" s="934"/>
      <c r="K397" s="934"/>
      <c r="L397" s="934"/>
      <c r="M397" s="934"/>
      <c r="N397" s="934"/>
      <c r="O397" s="934"/>
      <c r="P397" s="934"/>
      <c r="Q397" s="934"/>
      <c r="R397" s="934"/>
      <c r="S397" s="934"/>
      <c r="T397" s="934"/>
      <c r="U397" s="934"/>
      <c r="V397" s="934"/>
      <c r="W397" s="934"/>
      <c r="X397" s="934"/>
      <c r="Y397" s="934"/>
      <c r="Z397" s="934"/>
    </row>
    <row r="398" ht="15.75" customHeight="1">
      <c r="A398" s="571"/>
      <c r="B398" s="934"/>
      <c r="C398" s="934"/>
      <c r="D398" s="934"/>
      <c r="E398" s="934"/>
      <c r="F398" s="934"/>
      <c r="G398" s="571"/>
      <c r="H398" s="934"/>
      <c r="I398" s="934"/>
      <c r="J398" s="934"/>
      <c r="K398" s="934"/>
      <c r="L398" s="934"/>
      <c r="M398" s="934"/>
      <c r="N398" s="934"/>
      <c r="O398" s="934"/>
      <c r="P398" s="934"/>
      <c r="Q398" s="934"/>
      <c r="R398" s="934"/>
      <c r="S398" s="934"/>
      <c r="T398" s="934"/>
      <c r="U398" s="934"/>
      <c r="V398" s="934"/>
      <c r="W398" s="934"/>
      <c r="X398" s="934"/>
      <c r="Y398" s="934"/>
      <c r="Z398" s="934"/>
    </row>
    <row r="399" ht="15.75" customHeight="1">
      <c r="A399" s="571"/>
      <c r="B399" s="934"/>
      <c r="C399" s="934"/>
      <c r="D399" s="934"/>
      <c r="E399" s="934"/>
      <c r="F399" s="934"/>
      <c r="G399" s="571"/>
      <c r="H399" s="934"/>
      <c r="I399" s="934"/>
      <c r="J399" s="934"/>
      <c r="K399" s="934"/>
      <c r="L399" s="934"/>
      <c r="M399" s="934"/>
      <c r="N399" s="934"/>
      <c r="O399" s="934"/>
      <c r="P399" s="934"/>
      <c r="Q399" s="934"/>
      <c r="R399" s="934"/>
      <c r="S399" s="934"/>
      <c r="T399" s="934"/>
      <c r="U399" s="934"/>
      <c r="V399" s="934"/>
      <c r="W399" s="934"/>
      <c r="X399" s="934"/>
      <c r="Y399" s="934"/>
      <c r="Z399" s="934"/>
    </row>
    <row r="400" ht="15.75" customHeight="1">
      <c r="A400" s="571"/>
      <c r="B400" s="934"/>
      <c r="C400" s="934"/>
      <c r="D400" s="934"/>
      <c r="E400" s="934"/>
      <c r="F400" s="934"/>
      <c r="G400" s="571"/>
      <c r="H400" s="934"/>
      <c r="I400" s="934"/>
      <c r="J400" s="934"/>
      <c r="K400" s="934"/>
      <c r="L400" s="934"/>
      <c r="M400" s="934"/>
      <c r="N400" s="934"/>
      <c r="O400" s="934"/>
      <c r="P400" s="934"/>
      <c r="Q400" s="934"/>
      <c r="R400" s="934"/>
      <c r="S400" s="934"/>
      <c r="T400" s="934"/>
      <c r="U400" s="934"/>
      <c r="V400" s="934"/>
      <c r="W400" s="934"/>
      <c r="X400" s="934"/>
      <c r="Y400" s="934"/>
      <c r="Z400" s="934"/>
    </row>
    <row r="401" ht="15.75" customHeight="1">
      <c r="A401" s="571"/>
      <c r="B401" s="934"/>
      <c r="C401" s="934"/>
      <c r="D401" s="934"/>
      <c r="E401" s="934"/>
      <c r="F401" s="934"/>
      <c r="G401" s="571"/>
      <c r="H401" s="934"/>
      <c r="I401" s="934"/>
      <c r="J401" s="934"/>
      <c r="K401" s="934"/>
      <c r="L401" s="934"/>
      <c r="M401" s="934"/>
      <c r="N401" s="934"/>
      <c r="O401" s="934"/>
      <c r="P401" s="934"/>
      <c r="Q401" s="934"/>
      <c r="R401" s="934"/>
      <c r="S401" s="934"/>
      <c r="T401" s="934"/>
      <c r="U401" s="934"/>
      <c r="V401" s="934"/>
      <c r="W401" s="934"/>
      <c r="X401" s="934"/>
      <c r="Y401" s="934"/>
      <c r="Z401" s="934"/>
    </row>
    <row r="402" ht="15.75" customHeight="1">
      <c r="A402" s="571"/>
      <c r="B402" s="934"/>
      <c r="C402" s="934"/>
      <c r="D402" s="934"/>
      <c r="E402" s="934"/>
      <c r="F402" s="934"/>
      <c r="G402" s="571"/>
      <c r="H402" s="934"/>
      <c r="I402" s="934"/>
      <c r="J402" s="934"/>
      <c r="K402" s="934"/>
      <c r="L402" s="934"/>
      <c r="M402" s="934"/>
      <c r="N402" s="934"/>
      <c r="O402" s="934"/>
      <c r="P402" s="934"/>
      <c r="Q402" s="934"/>
      <c r="R402" s="934"/>
      <c r="S402" s="934"/>
      <c r="T402" s="934"/>
      <c r="U402" s="934"/>
      <c r="V402" s="934"/>
      <c r="W402" s="934"/>
      <c r="X402" s="934"/>
      <c r="Y402" s="934"/>
      <c r="Z402" s="934"/>
    </row>
    <row r="403" ht="15.75" customHeight="1">
      <c r="A403" s="571"/>
      <c r="B403" s="934"/>
      <c r="C403" s="934"/>
      <c r="D403" s="934"/>
      <c r="E403" s="934"/>
      <c r="F403" s="934"/>
      <c r="G403" s="571"/>
      <c r="H403" s="934"/>
      <c r="I403" s="934"/>
      <c r="J403" s="934"/>
      <c r="K403" s="934"/>
      <c r="L403" s="934"/>
      <c r="M403" s="934"/>
      <c r="N403" s="934"/>
      <c r="O403" s="934"/>
      <c r="P403" s="934"/>
      <c r="Q403" s="934"/>
      <c r="R403" s="934"/>
      <c r="S403" s="934"/>
      <c r="T403" s="934"/>
      <c r="U403" s="934"/>
      <c r="V403" s="934"/>
      <c r="W403" s="934"/>
      <c r="X403" s="934"/>
      <c r="Y403" s="934"/>
      <c r="Z403" s="934"/>
    </row>
    <row r="404" ht="15.75" customHeight="1">
      <c r="A404" s="571"/>
      <c r="B404" s="934"/>
      <c r="C404" s="934"/>
      <c r="D404" s="934"/>
      <c r="E404" s="934"/>
      <c r="F404" s="934"/>
      <c r="G404" s="571"/>
      <c r="H404" s="934"/>
      <c r="I404" s="934"/>
      <c r="J404" s="934"/>
      <c r="K404" s="934"/>
      <c r="L404" s="934"/>
      <c r="M404" s="934"/>
      <c r="N404" s="934"/>
      <c r="O404" s="934"/>
      <c r="P404" s="934"/>
      <c r="Q404" s="934"/>
      <c r="R404" s="934"/>
      <c r="S404" s="934"/>
      <c r="T404" s="934"/>
      <c r="U404" s="934"/>
      <c r="V404" s="934"/>
      <c r="W404" s="934"/>
      <c r="X404" s="934"/>
      <c r="Y404" s="934"/>
      <c r="Z404" s="934"/>
    </row>
    <row r="405" ht="15.75" customHeight="1">
      <c r="A405" s="571"/>
      <c r="B405" s="934"/>
      <c r="C405" s="934"/>
      <c r="D405" s="934"/>
      <c r="E405" s="934"/>
      <c r="F405" s="934"/>
      <c r="G405" s="571"/>
      <c r="H405" s="934"/>
      <c r="I405" s="934"/>
      <c r="J405" s="934"/>
      <c r="K405" s="934"/>
      <c r="L405" s="934"/>
      <c r="M405" s="934"/>
      <c r="N405" s="934"/>
      <c r="O405" s="934"/>
      <c r="P405" s="934"/>
      <c r="Q405" s="934"/>
      <c r="R405" s="934"/>
      <c r="S405" s="934"/>
      <c r="T405" s="934"/>
      <c r="U405" s="934"/>
      <c r="V405" s="934"/>
      <c r="W405" s="934"/>
      <c r="X405" s="934"/>
      <c r="Y405" s="934"/>
      <c r="Z405" s="934"/>
    </row>
    <row r="406" ht="15.75" customHeight="1">
      <c r="A406" s="571"/>
      <c r="B406" s="934"/>
      <c r="C406" s="934"/>
      <c r="D406" s="934"/>
      <c r="E406" s="934"/>
      <c r="F406" s="934"/>
      <c r="G406" s="571"/>
      <c r="H406" s="934"/>
      <c r="I406" s="934"/>
      <c r="J406" s="934"/>
      <c r="K406" s="934"/>
      <c r="L406" s="934"/>
      <c r="M406" s="934"/>
      <c r="N406" s="934"/>
      <c r="O406" s="934"/>
      <c r="P406" s="934"/>
      <c r="Q406" s="934"/>
      <c r="R406" s="934"/>
      <c r="S406" s="934"/>
      <c r="T406" s="934"/>
      <c r="U406" s="934"/>
      <c r="V406" s="934"/>
      <c r="W406" s="934"/>
      <c r="X406" s="934"/>
      <c r="Y406" s="934"/>
      <c r="Z406" s="934"/>
    </row>
    <row r="407" ht="15.75" customHeight="1">
      <c r="A407" s="571"/>
      <c r="B407" s="934"/>
      <c r="C407" s="934"/>
      <c r="D407" s="934"/>
      <c r="E407" s="934"/>
      <c r="F407" s="934"/>
      <c r="G407" s="571"/>
      <c r="H407" s="934"/>
      <c r="I407" s="934"/>
      <c r="J407" s="934"/>
      <c r="K407" s="934"/>
      <c r="L407" s="934"/>
      <c r="M407" s="934"/>
      <c r="N407" s="934"/>
      <c r="O407" s="934"/>
      <c r="P407" s="934"/>
      <c r="Q407" s="934"/>
      <c r="R407" s="934"/>
      <c r="S407" s="934"/>
      <c r="T407" s="934"/>
      <c r="U407" s="934"/>
      <c r="V407" s="934"/>
      <c r="W407" s="934"/>
      <c r="X407" s="934"/>
      <c r="Y407" s="934"/>
      <c r="Z407" s="934"/>
    </row>
    <row r="408" ht="15.75" customHeight="1">
      <c r="A408" s="571"/>
      <c r="B408" s="934"/>
      <c r="C408" s="934"/>
      <c r="D408" s="934"/>
      <c r="E408" s="934"/>
      <c r="F408" s="934"/>
      <c r="G408" s="571"/>
      <c r="H408" s="934"/>
      <c r="I408" s="934"/>
      <c r="J408" s="934"/>
      <c r="K408" s="934"/>
      <c r="L408" s="934"/>
      <c r="M408" s="934"/>
      <c r="N408" s="934"/>
      <c r="O408" s="934"/>
      <c r="P408" s="934"/>
      <c r="Q408" s="934"/>
      <c r="R408" s="934"/>
      <c r="S408" s="934"/>
      <c r="T408" s="934"/>
      <c r="U408" s="934"/>
      <c r="V408" s="934"/>
      <c r="W408" s="934"/>
      <c r="X408" s="934"/>
      <c r="Y408" s="934"/>
      <c r="Z408" s="934"/>
    </row>
    <row r="409" ht="15.75" customHeight="1">
      <c r="A409" s="571"/>
      <c r="B409" s="934"/>
      <c r="C409" s="934"/>
      <c r="D409" s="934"/>
      <c r="E409" s="934"/>
      <c r="F409" s="934"/>
      <c r="G409" s="571"/>
      <c r="H409" s="934"/>
      <c r="I409" s="934"/>
      <c r="J409" s="934"/>
      <c r="K409" s="934"/>
      <c r="L409" s="934"/>
      <c r="M409" s="934"/>
      <c r="N409" s="934"/>
      <c r="O409" s="934"/>
      <c r="P409" s="934"/>
      <c r="Q409" s="934"/>
      <c r="R409" s="934"/>
      <c r="S409" s="934"/>
      <c r="T409" s="934"/>
      <c r="U409" s="934"/>
      <c r="V409" s="934"/>
      <c r="W409" s="934"/>
      <c r="X409" s="934"/>
      <c r="Y409" s="934"/>
      <c r="Z409" s="934"/>
    </row>
    <row r="410" ht="15.75" customHeight="1">
      <c r="A410" s="571"/>
      <c r="B410" s="934"/>
      <c r="C410" s="934"/>
      <c r="D410" s="934"/>
      <c r="E410" s="934"/>
      <c r="F410" s="934"/>
      <c r="G410" s="571"/>
      <c r="H410" s="934"/>
      <c r="I410" s="934"/>
      <c r="J410" s="934"/>
      <c r="K410" s="934"/>
      <c r="L410" s="934"/>
      <c r="M410" s="934"/>
      <c r="N410" s="934"/>
      <c r="O410" s="934"/>
      <c r="P410" s="934"/>
      <c r="Q410" s="934"/>
      <c r="R410" s="934"/>
      <c r="S410" s="934"/>
      <c r="T410" s="934"/>
      <c r="U410" s="934"/>
      <c r="V410" s="934"/>
      <c r="W410" s="934"/>
      <c r="X410" s="934"/>
      <c r="Y410" s="934"/>
      <c r="Z410" s="934"/>
    </row>
    <row r="411" ht="15.75" customHeight="1">
      <c r="A411" s="571"/>
      <c r="B411" s="934"/>
      <c r="C411" s="934"/>
      <c r="D411" s="934"/>
      <c r="E411" s="934"/>
      <c r="F411" s="934"/>
      <c r="G411" s="571"/>
      <c r="H411" s="934"/>
      <c r="I411" s="934"/>
      <c r="J411" s="934"/>
      <c r="K411" s="934"/>
      <c r="L411" s="934"/>
      <c r="M411" s="934"/>
      <c r="N411" s="934"/>
      <c r="O411" s="934"/>
      <c r="P411" s="934"/>
      <c r="Q411" s="934"/>
      <c r="R411" s="934"/>
      <c r="S411" s="934"/>
      <c r="T411" s="934"/>
      <c r="U411" s="934"/>
      <c r="V411" s="934"/>
      <c r="W411" s="934"/>
      <c r="X411" s="934"/>
      <c r="Y411" s="934"/>
      <c r="Z411" s="934"/>
    </row>
    <row r="412" ht="15.75" customHeight="1">
      <c r="A412" s="571"/>
      <c r="B412" s="934"/>
      <c r="C412" s="934"/>
      <c r="D412" s="934"/>
      <c r="E412" s="934"/>
      <c r="F412" s="934"/>
      <c r="G412" s="571"/>
      <c r="H412" s="934"/>
      <c r="I412" s="934"/>
      <c r="J412" s="934"/>
      <c r="K412" s="934"/>
      <c r="L412" s="934"/>
      <c r="M412" s="934"/>
      <c r="N412" s="934"/>
      <c r="O412" s="934"/>
      <c r="P412" s="934"/>
      <c r="Q412" s="934"/>
      <c r="R412" s="934"/>
      <c r="S412" s="934"/>
      <c r="T412" s="934"/>
      <c r="U412" s="934"/>
      <c r="V412" s="934"/>
      <c r="W412" s="934"/>
      <c r="X412" s="934"/>
      <c r="Y412" s="934"/>
      <c r="Z412" s="934"/>
    </row>
    <row r="413" ht="15.75" customHeight="1">
      <c r="A413" s="571"/>
      <c r="B413" s="934"/>
      <c r="C413" s="934"/>
      <c r="D413" s="934"/>
      <c r="E413" s="934"/>
      <c r="F413" s="934"/>
      <c r="G413" s="571"/>
      <c r="H413" s="934"/>
      <c r="I413" s="934"/>
      <c r="J413" s="934"/>
      <c r="K413" s="934"/>
      <c r="L413" s="934"/>
      <c r="M413" s="934"/>
      <c r="N413" s="934"/>
      <c r="O413" s="934"/>
      <c r="P413" s="934"/>
      <c r="Q413" s="934"/>
      <c r="R413" s="934"/>
      <c r="S413" s="934"/>
      <c r="T413" s="934"/>
      <c r="U413" s="934"/>
      <c r="V413" s="934"/>
      <c r="W413" s="934"/>
      <c r="X413" s="934"/>
      <c r="Y413" s="934"/>
      <c r="Z413" s="934"/>
    </row>
    <row r="414" ht="15.75" customHeight="1">
      <c r="A414" s="571"/>
      <c r="B414" s="934"/>
      <c r="C414" s="934"/>
      <c r="D414" s="934"/>
      <c r="E414" s="934"/>
      <c r="F414" s="934"/>
      <c r="G414" s="571"/>
      <c r="H414" s="934"/>
      <c r="I414" s="934"/>
      <c r="J414" s="934"/>
      <c r="K414" s="934"/>
      <c r="L414" s="934"/>
      <c r="M414" s="934"/>
      <c r="N414" s="934"/>
      <c r="O414" s="934"/>
      <c r="P414" s="934"/>
      <c r="Q414" s="934"/>
      <c r="R414" s="934"/>
      <c r="S414" s="934"/>
      <c r="T414" s="934"/>
      <c r="U414" s="934"/>
      <c r="V414" s="934"/>
      <c r="W414" s="934"/>
      <c r="X414" s="934"/>
      <c r="Y414" s="934"/>
      <c r="Z414" s="934"/>
    </row>
    <row r="415" ht="15.75" customHeight="1">
      <c r="A415" s="571"/>
      <c r="B415" s="934"/>
      <c r="C415" s="934"/>
      <c r="D415" s="934"/>
      <c r="E415" s="934"/>
      <c r="F415" s="934"/>
      <c r="G415" s="571"/>
      <c r="H415" s="934"/>
      <c r="I415" s="934"/>
      <c r="J415" s="934"/>
      <c r="K415" s="934"/>
      <c r="L415" s="934"/>
      <c r="M415" s="934"/>
      <c r="N415" s="934"/>
      <c r="O415" s="934"/>
      <c r="P415" s="934"/>
      <c r="Q415" s="934"/>
      <c r="R415" s="934"/>
      <c r="S415" s="934"/>
      <c r="T415" s="934"/>
      <c r="U415" s="934"/>
      <c r="V415" s="934"/>
      <c r="W415" s="934"/>
      <c r="X415" s="934"/>
      <c r="Y415" s="934"/>
      <c r="Z415" s="934"/>
    </row>
    <row r="416" ht="15.75" customHeight="1">
      <c r="A416" s="571"/>
      <c r="B416" s="934"/>
      <c r="C416" s="934"/>
      <c r="D416" s="934"/>
      <c r="E416" s="934"/>
      <c r="F416" s="934"/>
      <c r="G416" s="571"/>
      <c r="H416" s="934"/>
      <c r="I416" s="934"/>
      <c r="J416" s="934"/>
      <c r="K416" s="934"/>
      <c r="L416" s="934"/>
      <c r="M416" s="934"/>
      <c r="N416" s="934"/>
      <c r="O416" s="934"/>
      <c r="P416" s="934"/>
      <c r="Q416" s="934"/>
      <c r="R416" s="934"/>
      <c r="S416" s="934"/>
      <c r="T416" s="934"/>
      <c r="U416" s="934"/>
      <c r="V416" s="934"/>
      <c r="W416" s="934"/>
      <c r="X416" s="934"/>
      <c r="Y416" s="934"/>
      <c r="Z416" s="934"/>
    </row>
    <row r="417" ht="15.75" customHeight="1">
      <c r="A417" s="571"/>
      <c r="B417" s="934"/>
      <c r="C417" s="934"/>
      <c r="D417" s="934"/>
      <c r="E417" s="934"/>
      <c r="F417" s="934"/>
      <c r="G417" s="571"/>
      <c r="H417" s="934"/>
      <c r="I417" s="934"/>
      <c r="J417" s="934"/>
      <c r="K417" s="934"/>
      <c r="L417" s="934"/>
      <c r="M417" s="934"/>
      <c r="N417" s="934"/>
      <c r="O417" s="934"/>
      <c r="P417" s="934"/>
      <c r="Q417" s="934"/>
      <c r="R417" s="934"/>
      <c r="S417" s="934"/>
      <c r="T417" s="934"/>
      <c r="U417" s="934"/>
      <c r="V417" s="934"/>
      <c r="W417" s="934"/>
      <c r="X417" s="934"/>
      <c r="Y417" s="934"/>
      <c r="Z417" s="934"/>
    </row>
    <row r="418" ht="15.75" customHeight="1">
      <c r="A418" s="571"/>
      <c r="B418" s="934"/>
      <c r="C418" s="934"/>
      <c r="D418" s="934"/>
      <c r="E418" s="934"/>
      <c r="F418" s="934"/>
      <c r="G418" s="571"/>
      <c r="H418" s="934"/>
      <c r="I418" s="934"/>
      <c r="J418" s="934"/>
      <c r="K418" s="934"/>
      <c r="L418" s="934"/>
      <c r="M418" s="934"/>
      <c r="N418" s="934"/>
      <c r="O418" s="934"/>
      <c r="P418" s="934"/>
      <c r="Q418" s="934"/>
      <c r="R418" s="934"/>
      <c r="S418" s="934"/>
      <c r="T418" s="934"/>
      <c r="U418" s="934"/>
      <c r="V418" s="934"/>
      <c r="W418" s="934"/>
      <c r="X418" s="934"/>
      <c r="Y418" s="934"/>
      <c r="Z418" s="934"/>
    </row>
    <row r="419" ht="15.75" customHeight="1">
      <c r="A419" s="571"/>
      <c r="B419" s="934"/>
      <c r="C419" s="934"/>
      <c r="D419" s="934"/>
      <c r="E419" s="934"/>
      <c r="F419" s="934"/>
      <c r="G419" s="571"/>
      <c r="H419" s="934"/>
      <c r="I419" s="934"/>
      <c r="J419" s="934"/>
      <c r="K419" s="934"/>
      <c r="L419" s="934"/>
      <c r="M419" s="934"/>
      <c r="N419" s="934"/>
      <c r="O419" s="934"/>
      <c r="P419" s="934"/>
      <c r="Q419" s="934"/>
      <c r="R419" s="934"/>
      <c r="S419" s="934"/>
      <c r="T419" s="934"/>
      <c r="U419" s="934"/>
      <c r="V419" s="934"/>
      <c r="W419" s="934"/>
      <c r="X419" s="934"/>
      <c r="Y419" s="934"/>
      <c r="Z419" s="934"/>
    </row>
    <row r="420" ht="15.75" customHeight="1">
      <c r="A420" s="571"/>
      <c r="B420" s="934"/>
      <c r="C420" s="934"/>
      <c r="D420" s="934"/>
      <c r="E420" s="934"/>
      <c r="F420" s="934"/>
      <c r="G420" s="571"/>
      <c r="H420" s="934"/>
      <c r="I420" s="934"/>
      <c r="J420" s="934"/>
      <c r="K420" s="934"/>
      <c r="L420" s="934"/>
      <c r="M420" s="934"/>
      <c r="N420" s="934"/>
      <c r="O420" s="934"/>
      <c r="P420" s="934"/>
      <c r="Q420" s="934"/>
      <c r="R420" s="934"/>
      <c r="S420" s="934"/>
      <c r="T420" s="934"/>
      <c r="U420" s="934"/>
      <c r="V420" s="934"/>
      <c r="W420" s="934"/>
      <c r="X420" s="934"/>
      <c r="Y420" s="934"/>
      <c r="Z420" s="934"/>
    </row>
    <row r="421" ht="15.75" customHeight="1">
      <c r="A421" s="571"/>
      <c r="B421" s="934"/>
      <c r="C421" s="934"/>
      <c r="D421" s="934"/>
      <c r="E421" s="934"/>
      <c r="F421" s="934"/>
      <c r="G421" s="571"/>
      <c r="H421" s="934"/>
      <c r="I421" s="934"/>
      <c r="J421" s="934"/>
      <c r="K421" s="934"/>
      <c r="L421" s="934"/>
      <c r="M421" s="934"/>
      <c r="N421" s="934"/>
      <c r="O421" s="934"/>
      <c r="P421" s="934"/>
      <c r="Q421" s="934"/>
      <c r="R421" s="934"/>
      <c r="S421" s="934"/>
      <c r="T421" s="934"/>
      <c r="U421" s="934"/>
      <c r="V421" s="934"/>
      <c r="W421" s="934"/>
      <c r="X421" s="934"/>
      <c r="Y421" s="934"/>
      <c r="Z421" s="934"/>
    </row>
    <row r="422" ht="15.75" customHeight="1">
      <c r="A422" s="571"/>
      <c r="B422" s="934"/>
      <c r="C422" s="934"/>
      <c r="D422" s="934"/>
      <c r="E422" s="934"/>
      <c r="F422" s="934"/>
      <c r="G422" s="571"/>
      <c r="H422" s="934"/>
      <c r="I422" s="934"/>
      <c r="J422" s="934"/>
      <c r="K422" s="934"/>
      <c r="L422" s="934"/>
      <c r="M422" s="934"/>
      <c r="N422" s="934"/>
      <c r="O422" s="934"/>
      <c r="P422" s="934"/>
      <c r="Q422" s="934"/>
      <c r="R422" s="934"/>
      <c r="S422" s="934"/>
      <c r="T422" s="934"/>
      <c r="U422" s="934"/>
      <c r="V422" s="934"/>
      <c r="W422" s="934"/>
      <c r="X422" s="934"/>
      <c r="Y422" s="934"/>
      <c r="Z422" s="934"/>
    </row>
    <row r="423" ht="15.75" customHeight="1">
      <c r="A423" s="571"/>
      <c r="B423" s="934"/>
      <c r="C423" s="934"/>
      <c r="D423" s="934"/>
      <c r="E423" s="934"/>
      <c r="F423" s="934"/>
      <c r="G423" s="571"/>
      <c r="H423" s="934"/>
      <c r="I423" s="934"/>
      <c r="J423" s="934"/>
      <c r="K423" s="934"/>
      <c r="L423" s="934"/>
      <c r="M423" s="934"/>
      <c r="N423" s="934"/>
      <c r="O423" s="934"/>
      <c r="P423" s="934"/>
      <c r="Q423" s="934"/>
      <c r="R423" s="934"/>
      <c r="S423" s="934"/>
      <c r="T423" s="934"/>
      <c r="U423" s="934"/>
      <c r="V423" s="934"/>
      <c r="W423" s="934"/>
      <c r="X423" s="934"/>
      <c r="Y423" s="934"/>
      <c r="Z423" s="934"/>
    </row>
    <row r="424" ht="15.75" customHeight="1">
      <c r="A424" s="571"/>
      <c r="B424" s="934"/>
      <c r="C424" s="934"/>
      <c r="D424" s="934"/>
      <c r="E424" s="934"/>
      <c r="F424" s="934"/>
      <c r="G424" s="571"/>
      <c r="H424" s="934"/>
      <c r="I424" s="934"/>
      <c r="J424" s="934"/>
      <c r="K424" s="934"/>
      <c r="L424" s="934"/>
      <c r="M424" s="934"/>
      <c r="N424" s="934"/>
      <c r="O424" s="934"/>
      <c r="P424" s="934"/>
      <c r="Q424" s="934"/>
      <c r="R424" s="934"/>
      <c r="S424" s="934"/>
      <c r="T424" s="934"/>
      <c r="U424" s="934"/>
      <c r="V424" s="934"/>
      <c r="W424" s="934"/>
      <c r="X424" s="934"/>
      <c r="Y424" s="934"/>
      <c r="Z424" s="934"/>
    </row>
    <row r="425" ht="15.75" customHeight="1">
      <c r="A425" s="571"/>
      <c r="B425" s="934"/>
      <c r="C425" s="934"/>
      <c r="D425" s="934"/>
      <c r="E425" s="934"/>
      <c r="F425" s="934"/>
      <c r="G425" s="571"/>
      <c r="H425" s="934"/>
      <c r="I425" s="934"/>
      <c r="J425" s="934"/>
      <c r="K425" s="934"/>
      <c r="L425" s="934"/>
      <c r="M425" s="934"/>
      <c r="N425" s="934"/>
      <c r="O425" s="934"/>
      <c r="P425" s="934"/>
      <c r="Q425" s="934"/>
      <c r="R425" s="934"/>
      <c r="S425" s="934"/>
      <c r="T425" s="934"/>
      <c r="U425" s="934"/>
      <c r="V425" s="934"/>
      <c r="W425" s="934"/>
      <c r="X425" s="934"/>
      <c r="Y425" s="934"/>
      <c r="Z425" s="934"/>
    </row>
    <row r="426" ht="15.75" customHeight="1">
      <c r="A426" s="571"/>
      <c r="B426" s="934"/>
      <c r="C426" s="934"/>
      <c r="D426" s="934"/>
      <c r="E426" s="934"/>
      <c r="F426" s="934"/>
      <c r="G426" s="571"/>
      <c r="H426" s="934"/>
      <c r="I426" s="934"/>
      <c r="J426" s="934"/>
      <c r="K426" s="934"/>
      <c r="L426" s="934"/>
      <c r="M426" s="934"/>
      <c r="N426" s="934"/>
      <c r="O426" s="934"/>
      <c r="P426" s="934"/>
      <c r="Q426" s="934"/>
      <c r="R426" s="934"/>
      <c r="S426" s="934"/>
      <c r="T426" s="934"/>
      <c r="U426" s="934"/>
      <c r="V426" s="934"/>
      <c r="W426" s="934"/>
      <c r="X426" s="934"/>
      <c r="Y426" s="934"/>
      <c r="Z426" s="934"/>
    </row>
    <row r="427" ht="15.75" customHeight="1">
      <c r="A427" s="571"/>
      <c r="B427" s="934"/>
      <c r="C427" s="934"/>
      <c r="D427" s="934"/>
      <c r="E427" s="934"/>
      <c r="F427" s="934"/>
      <c r="G427" s="571"/>
      <c r="H427" s="934"/>
      <c r="I427" s="934"/>
      <c r="J427" s="934"/>
      <c r="K427" s="934"/>
      <c r="L427" s="934"/>
      <c r="M427" s="934"/>
      <c r="N427" s="934"/>
      <c r="O427" s="934"/>
      <c r="P427" s="934"/>
      <c r="Q427" s="934"/>
      <c r="R427" s="934"/>
      <c r="S427" s="934"/>
      <c r="T427" s="934"/>
      <c r="U427" s="934"/>
      <c r="V427" s="934"/>
      <c r="W427" s="934"/>
      <c r="X427" s="934"/>
      <c r="Y427" s="934"/>
      <c r="Z427" s="934"/>
    </row>
    <row r="428" ht="15.75" customHeight="1">
      <c r="A428" s="571"/>
      <c r="B428" s="934"/>
      <c r="C428" s="934"/>
      <c r="D428" s="934"/>
      <c r="E428" s="934"/>
      <c r="F428" s="934"/>
      <c r="G428" s="571"/>
      <c r="H428" s="934"/>
      <c r="I428" s="934"/>
      <c r="J428" s="934"/>
      <c r="K428" s="934"/>
      <c r="L428" s="934"/>
      <c r="M428" s="934"/>
      <c r="N428" s="934"/>
      <c r="O428" s="934"/>
      <c r="P428" s="934"/>
      <c r="Q428" s="934"/>
      <c r="R428" s="934"/>
      <c r="S428" s="934"/>
      <c r="T428" s="934"/>
      <c r="U428" s="934"/>
      <c r="V428" s="934"/>
      <c r="W428" s="934"/>
      <c r="X428" s="934"/>
      <c r="Y428" s="934"/>
      <c r="Z428" s="934"/>
    </row>
    <row r="429" ht="15.75" customHeight="1">
      <c r="A429" s="571"/>
      <c r="B429" s="934"/>
      <c r="C429" s="934"/>
      <c r="D429" s="934"/>
      <c r="E429" s="934"/>
      <c r="F429" s="934"/>
      <c r="G429" s="571"/>
      <c r="H429" s="934"/>
      <c r="I429" s="934"/>
      <c r="J429" s="934"/>
      <c r="K429" s="934"/>
      <c r="L429" s="934"/>
      <c r="M429" s="934"/>
      <c r="N429" s="934"/>
      <c r="O429" s="934"/>
      <c r="P429" s="934"/>
      <c r="Q429" s="934"/>
      <c r="R429" s="934"/>
      <c r="S429" s="934"/>
      <c r="T429" s="934"/>
      <c r="U429" s="934"/>
      <c r="V429" s="934"/>
      <c r="W429" s="934"/>
      <c r="X429" s="934"/>
      <c r="Y429" s="934"/>
      <c r="Z429" s="934"/>
    </row>
    <row r="430" ht="15.75" customHeight="1">
      <c r="A430" s="571"/>
      <c r="B430" s="934"/>
      <c r="C430" s="934"/>
      <c r="D430" s="934"/>
      <c r="E430" s="934"/>
      <c r="F430" s="934"/>
      <c r="G430" s="571"/>
      <c r="H430" s="934"/>
      <c r="I430" s="934"/>
      <c r="J430" s="934"/>
      <c r="K430" s="934"/>
      <c r="L430" s="934"/>
      <c r="M430" s="934"/>
      <c r="N430" s="934"/>
      <c r="O430" s="934"/>
      <c r="P430" s="934"/>
      <c r="Q430" s="934"/>
      <c r="R430" s="934"/>
      <c r="S430" s="934"/>
      <c r="T430" s="934"/>
      <c r="U430" s="934"/>
      <c r="V430" s="934"/>
      <c r="W430" s="934"/>
      <c r="X430" s="934"/>
      <c r="Y430" s="934"/>
      <c r="Z430" s="934"/>
    </row>
    <row r="431" ht="15.75" customHeight="1">
      <c r="A431" s="571"/>
      <c r="B431" s="934"/>
      <c r="C431" s="934"/>
      <c r="D431" s="934"/>
      <c r="E431" s="934"/>
      <c r="F431" s="934"/>
      <c r="G431" s="571"/>
      <c r="H431" s="934"/>
      <c r="I431" s="934"/>
      <c r="J431" s="934"/>
      <c r="K431" s="934"/>
      <c r="L431" s="934"/>
      <c r="M431" s="934"/>
      <c r="N431" s="934"/>
      <c r="O431" s="934"/>
      <c r="P431" s="934"/>
      <c r="Q431" s="934"/>
      <c r="R431" s="934"/>
      <c r="S431" s="934"/>
      <c r="T431" s="934"/>
      <c r="U431" s="934"/>
      <c r="V431" s="934"/>
      <c r="W431" s="934"/>
      <c r="X431" s="934"/>
      <c r="Y431" s="934"/>
      <c r="Z431" s="934"/>
    </row>
    <row r="432" ht="15.75" customHeight="1">
      <c r="A432" s="571"/>
      <c r="B432" s="934"/>
      <c r="C432" s="934"/>
      <c r="D432" s="934"/>
      <c r="E432" s="934"/>
      <c r="F432" s="934"/>
      <c r="G432" s="571"/>
      <c r="H432" s="934"/>
      <c r="I432" s="934"/>
      <c r="J432" s="934"/>
      <c r="K432" s="934"/>
      <c r="L432" s="934"/>
      <c r="M432" s="934"/>
      <c r="N432" s="934"/>
      <c r="O432" s="934"/>
      <c r="P432" s="934"/>
      <c r="Q432" s="934"/>
      <c r="R432" s="934"/>
      <c r="S432" s="934"/>
      <c r="T432" s="934"/>
      <c r="U432" s="934"/>
      <c r="V432" s="934"/>
      <c r="W432" s="934"/>
      <c r="X432" s="934"/>
      <c r="Y432" s="934"/>
      <c r="Z432" s="934"/>
    </row>
    <row r="433" ht="15.75" customHeight="1">
      <c r="A433" s="571"/>
      <c r="B433" s="934"/>
      <c r="C433" s="934"/>
      <c r="D433" s="934"/>
      <c r="E433" s="934"/>
      <c r="F433" s="934"/>
      <c r="G433" s="571"/>
      <c r="H433" s="934"/>
      <c r="I433" s="934"/>
      <c r="J433" s="934"/>
      <c r="K433" s="934"/>
      <c r="L433" s="934"/>
      <c r="M433" s="934"/>
      <c r="N433" s="934"/>
      <c r="O433" s="934"/>
      <c r="P433" s="934"/>
      <c r="Q433" s="934"/>
      <c r="R433" s="934"/>
      <c r="S433" s="934"/>
      <c r="T433" s="934"/>
      <c r="U433" s="934"/>
      <c r="V433" s="934"/>
      <c r="W433" s="934"/>
      <c r="X433" s="934"/>
      <c r="Y433" s="934"/>
      <c r="Z433" s="934"/>
    </row>
    <row r="434" ht="15.75" customHeight="1">
      <c r="A434" s="571"/>
      <c r="B434" s="934"/>
      <c r="C434" s="934"/>
      <c r="D434" s="934"/>
      <c r="E434" s="934"/>
      <c r="F434" s="934"/>
      <c r="G434" s="571"/>
      <c r="H434" s="934"/>
      <c r="I434" s="934"/>
      <c r="J434" s="934"/>
      <c r="K434" s="934"/>
      <c r="L434" s="934"/>
      <c r="M434" s="934"/>
      <c r="N434" s="934"/>
      <c r="O434" s="934"/>
      <c r="P434" s="934"/>
      <c r="Q434" s="934"/>
      <c r="R434" s="934"/>
      <c r="S434" s="934"/>
      <c r="T434" s="934"/>
      <c r="U434" s="934"/>
      <c r="V434" s="934"/>
      <c r="W434" s="934"/>
      <c r="X434" s="934"/>
      <c r="Y434" s="934"/>
      <c r="Z434" s="934"/>
    </row>
    <row r="435" ht="15.75" customHeight="1">
      <c r="A435" s="571"/>
      <c r="B435" s="934"/>
      <c r="C435" s="934"/>
      <c r="D435" s="934"/>
      <c r="E435" s="934"/>
      <c r="F435" s="934"/>
      <c r="G435" s="571"/>
      <c r="H435" s="934"/>
      <c r="I435" s="934"/>
      <c r="J435" s="934"/>
      <c r="K435" s="934"/>
      <c r="L435" s="934"/>
      <c r="M435" s="934"/>
      <c r="N435" s="934"/>
      <c r="O435" s="934"/>
      <c r="P435" s="934"/>
      <c r="Q435" s="934"/>
      <c r="R435" s="934"/>
      <c r="S435" s="934"/>
      <c r="T435" s="934"/>
      <c r="U435" s="934"/>
      <c r="V435" s="934"/>
      <c r="W435" s="934"/>
      <c r="X435" s="934"/>
      <c r="Y435" s="934"/>
      <c r="Z435" s="934"/>
    </row>
    <row r="436" ht="15.75" customHeight="1">
      <c r="A436" s="571"/>
      <c r="B436" s="934"/>
      <c r="C436" s="934"/>
      <c r="D436" s="934"/>
      <c r="E436" s="934"/>
      <c r="F436" s="934"/>
      <c r="G436" s="571"/>
      <c r="H436" s="934"/>
      <c r="I436" s="934"/>
      <c r="J436" s="934"/>
      <c r="K436" s="934"/>
      <c r="L436" s="934"/>
      <c r="M436" s="934"/>
      <c r="N436" s="934"/>
      <c r="O436" s="934"/>
      <c r="P436" s="934"/>
      <c r="Q436" s="934"/>
      <c r="R436" s="934"/>
      <c r="S436" s="934"/>
      <c r="T436" s="934"/>
      <c r="U436" s="934"/>
      <c r="V436" s="934"/>
      <c r="W436" s="934"/>
      <c r="X436" s="934"/>
      <c r="Y436" s="934"/>
      <c r="Z436" s="934"/>
    </row>
    <row r="437" ht="15.75" customHeight="1">
      <c r="A437" s="571"/>
      <c r="B437" s="934"/>
      <c r="C437" s="934"/>
      <c r="D437" s="934"/>
      <c r="E437" s="934"/>
      <c r="F437" s="934"/>
      <c r="G437" s="571"/>
      <c r="H437" s="934"/>
      <c r="I437" s="934"/>
      <c r="J437" s="934"/>
      <c r="K437" s="934"/>
      <c r="L437" s="934"/>
      <c r="M437" s="934"/>
      <c r="N437" s="934"/>
      <c r="O437" s="934"/>
      <c r="P437" s="934"/>
      <c r="Q437" s="934"/>
      <c r="R437" s="934"/>
      <c r="S437" s="934"/>
      <c r="T437" s="934"/>
      <c r="U437" s="934"/>
      <c r="V437" s="934"/>
      <c r="W437" s="934"/>
      <c r="X437" s="934"/>
      <c r="Y437" s="934"/>
      <c r="Z437" s="934"/>
    </row>
    <row r="438" ht="15.75" customHeight="1">
      <c r="A438" s="571"/>
      <c r="B438" s="934"/>
      <c r="C438" s="934"/>
      <c r="D438" s="934"/>
      <c r="E438" s="934"/>
      <c r="F438" s="934"/>
      <c r="G438" s="571"/>
      <c r="H438" s="934"/>
      <c r="I438" s="934"/>
      <c r="J438" s="934"/>
      <c r="K438" s="934"/>
      <c r="L438" s="934"/>
      <c r="M438" s="934"/>
      <c r="N438" s="934"/>
      <c r="O438" s="934"/>
      <c r="P438" s="934"/>
      <c r="Q438" s="934"/>
      <c r="R438" s="934"/>
      <c r="S438" s="934"/>
      <c r="T438" s="934"/>
      <c r="U438" s="934"/>
      <c r="V438" s="934"/>
      <c r="W438" s="934"/>
      <c r="X438" s="934"/>
      <c r="Y438" s="934"/>
      <c r="Z438" s="934"/>
    </row>
    <row r="439" ht="15.75" customHeight="1">
      <c r="A439" s="571"/>
      <c r="B439" s="934"/>
      <c r="C439" s="934"/>
      <c r="D439" s="934"/>
      <c r="E439" s="934"/>
      <c r="F439" s="934"/>
      <c r="G439" s="571"/>
      <c r="H439" s="934"/>
      <c r="I439" s="934"/>
      <c r="J439" s="934"/>
      <c r="K439" s="934"/>
      <c r="L439" s="934"/>
      <c r="M439" s="934"/>
      <c r="N439" s="934"/>
      <c r="O439" s="934"/>
      <c r="P439" s="934"/>
      <c r="Q439" s="934"/>
      <c r="R439" s="934"/>
      <c r="S439" s="934"/>
      <c r="T439" s="934"/>
      <c r="U439" s="934"/>
      <c r="V439" s="934"/>
      <c r="W439" s="934"/>
      <c r="X439" s="934"/>
      <c r="Y439" s="934"/>
      <c r="Z439" s="934"/>
    </row>
    <row r="440" ht="15.75" customHeight="1">
      <c r="A440" s="571"/>
      <c r="B440" s="934"/>
      <c r="C440" s="934"/>
      <c r="D440" s="934"/>
      <c r="E440" s="934"/>
      <c r="F440" s="934"/>
      <c r="G440" s="571"/>
      <c r="H440" s="934"/>
      <c r="I440" s="934"/>
      <c r="J440" s="934"/>
      <c r="K440" s="934"/>
      <c r="L440" s="934"/>
      <c r="M440" s="934"/>
      <c r="N440" s="934"/>
      <c r="O440" s="934"/>
      <c r="P440" s="934"/>
      <c r="Q440" s="934"/>
      <c r="R440" s="934"/>
      <c r="S440" s="934"/>
      <c r="T440" s="934"/>
      <c r="U440" s="934"/>
      <c r="V440" s="934"/>
      <c r="W440" s="934"/>
      <c r="X440" s="934"/>
      <c r="Y440" s="934"/>
      <c r="Z440" s="934"/>
    </row>
    <row r="441" ht="15.75" customHeight="1">
      <c r="A441" s="571"/>
      <c r="B441" s="934"/>
      <c r="C441" s="934"/>
      <c r="D441" s="934"/>
      <c r="E441" s="934"/>
      <c r="F441" s="934"/>
      <c r="G441" s="571"/>
      <c r="H441" s="934"/>
      <c r="I441" s="934"/>
      <c r="J441" s="934"/>
      <c r="K441" s="934"/>
      <c r="L441" s="934"/>
      <c r="M441" s="934"/>
      <c r="N441" s="934"/>
      <c r="O441" s="934"/>
      <c r="P441" s="934"/>
      <c r="Q441" s="934"/>
      <c r="R441" s="934"/>
      <c r="S441" s="934"/>
      <c r="T441" s="934"/>
      <c r="U441" s="934"/>
      <c r="V441" s="934"/>
      <c r="W441" s="934"/>
      <c r="X441" s="934"/>
      <c r="Y441" s="934"/>
      <c r="Z441" s="934"/>
    </row>
    <row r="442" ht="15.75" customHeight="1">
      <c r="A442" s="571"/>
      <c r="B442" s="934"/>
      <c r="C442" s="934"/>
      <c r="D442" s="934"/>
      <c r="E442" s="934"/>
      <c r="F442" s="934"/>
      <c r="G442" s="571"/>
      <c r="H442" s="934"/>
      <c r="I442" s="934"/>
      <c r="J442" s="934"/>
      <c r="K442" s="934"/>
      <c r="L442" s="934"/>
      <c r="M442" s="934"/>
      <c r="N442" s="934"/>
      <c r="O442" s="934"/>
      <c r="P442" s="934"/>
      <c r="Q442" s="934"/>
      <c r="R442" s="934"/>
      <c r="S442" s="934"/>
      <c r="T442" s="934"/>
      <c r="U442" s="934"/>
      <c r="V442" s="934"/>
      <c r="W442" s="934"/>
      <c r="X442" s="934"/>
      <c r="Y442" s="934"/>
      <c r="Z442" s="934"/>
    </row>
    <row r="443" ht="15.75" customHeight="1">
      <c r="A443" s="571"/>
      <c r="B443" s="934"/>
      <c r="C443" s="934"/>
      <c r="D443" s="934"/>
      <c r="E443" s="934"/>
      <c r="F443" s="934"/>
      <c r="G443" s="571"/>
      <c r="H443" s="934"/>
      <c r="I443" s="934"/>
      <c r="J443" s="934"/>
      <c r="K443" s="934"/>
      <c r="L443" s="934"/>
      <c r="M443" s="934"/>
      <c r="N443" s="934"/>
      <c r="O443" s="934"/>
      <c r="P443" s="934"/>
      <c r="Q443" s="934"/>
      <c r="R443" s="934"/>
      <c r="S443" s="934"/>
      <c r="T443" s="934"/>
      <c r="U443" s="934"/>
      <c r="V443" s="934"/>
      <c r="W443" s="934"/>
      <c r="X443" s="934"/>
      <c r="Y443" s="934"/>
      <c r="Z443" s="934"/>
    </row>
    <row r="444" ht="15.75" customHeight="1">
      <c r="A444" s="571"/>
      <c r="B444" s="934"/>
      <c r="C444" s="934"/>
      <c r="D444" s="934"/>
      <c r="E444" s="934"/>
      <c r="F444" s="934"/>
      <c r="G444" s="571"/>
      <c r="H444" s="934"/>
      <c r="I444" s="934"/>
      <c r="J444" s="934"/>
      <c r="K444" s="934"/>
      <c r="L444" s="934"/>
      <c r="M444" s="934"/>
      <c r="N444" s="934"/>
      <c r="O444" s="934"/>
      <c r="P444" s="934"/>
      <c r="Q444" s="934"/>
      <c r="R444" s="934"/>
      <c r="S444" s="934"/>
      <c r="T444" s="934"/>
      <c r="U444" s="934"/>
      <c r="V444" s="934"/>
      <c r="W444" s="934"/>
      <c r="X444" s="934"/>
      <c r="Y444" s="934"/>
      <c r="Z444" s="934"/>
    </row>
    <row r="445" ht="15.75" customHeight="1">
      <c r="A445" s="571"/>
      <c r="B445" s="934"/>
      <c r="C445" s="934"/>
      <c r="D445" s="934"/>
      <c r="E445" s="934"/>
      <c r="F445" s="934"/>
      <c r="G445" s="571"/>
      <c r="H445" s="934"/>
      <c r="I445" s="934"/>
      <c r="J445" s="934"/>
      <c r="K445" s="934"/>
      <c r="L445" s="934"/>
      <c r="M445" s="934"/>
      <c r="N445" s="934"/>
      <c r="O445" s="934"/>
      <c r="P445" s="934"/>
      <c r="Q445" s="934"/>
      <c r="R445" s="934"/>
      <c r="S445" s="934"/>
      <c r="T445" s="934"/>
      <c r="U445" s="934"/>
      <c r="V445" s="934"/>
      <c r="W445" s="934"/>
      <c r="X445" s="934"/>
      <c r="Y445" s="934"/>
      <c r="Z445" s="934"/>
    </row>
    <row r="446" ht="15.75" customHeight="1">
      <c r="A446" s="571"/>
      <c r="B446" s="934"/>
      <c r="C446" s="934"/>
      <c r="D446" s="934"/>
      <c r="E446" s="934"/>
      <c r="F446" s="934"/>
      <c r="G446" s="571"/>
      <c r="H446" s="934"/>
      <c r="I446" s="934"/>
      <c r="J446" s="934"/>
      <c r="K446" s="934"/>
      <c r="L446" s="934"/>
      <c r="M446" s="934"/>
      <c r="N446" s="934"/>
      <c r="O446" s="934"/>
      <c r="P446" s="934"/>
      <c r="Q446" s="934"/>
      <c r="R446" s="934"/>
      <c r="S446" s="934"/>
      <c r="T446" s="934"/>
      <c r="U446" s="934"/>
      <c r="V446" s="934"/>
      <c r="W446" s="934"/>
      <c r="X446" s="934"/>
      <c r="Y446" s="934"/>
      <c r="Z446" s="934"/>
    </row>
    <row r="447" ht="15.75" customHeight="1">
      <c r="A447" s="571"/>
      <c r="B447" s="934"/>
      <c r="C447" s="934"/>
      <c r="D447" s="934"/>
      <c r="E447" s="934"/>
      <c r="F447" s="934"/>
      <c r="G447" s="571"/>
      <c r="H447" s="934"/>
      <c r="I447" s="934"/>
      <c r="J447" s="934"/>
      <c r="K447" s="934"/>
      <c r="L447" s="934"/>
      <c r="M447" s="934"/>
      <c r="N447" s="934"/>
      <c r="O447" s="934"/>
      <c r="P447" s="934"/>
      <c r="Q447" s="934"/>
      <c r="R447" s="934"/>
      <c r="S447" s="934"/>
      <c r="T447" s="934"/>
      <c r="U447" s="934"/>
      <c r="V447" s="934"/>
      <c r="W447" s="934"/>
      <c r="X447" s="934"/>
      <c r="Y447" s="934"/>
      <c r="Z447" s="934"/>
    </row>
    <row r="448" ht="15.75" customHeight="1">
      <c r="A448" s="571"/>
      <c r="B448" s="934"/>
      <c r="C448" s="934"/>
      <c r="D448" s="934"/>
      <c r="E448" s="934"/>
      <c r="F448" s="934"/>
      <c r="G448" s="571"/>
      <c r="H448" s="934"/>
      <c r="I448" s="934"/>
      <c r="J448" s="934"/>
      <c r="K448" s="934"/>
      <c r="L448" s="934"/>
      <c r="M448" s="934"/>
      <c r="N448" s="934"/>
      <c r="O448" s="934"/>
      <c r="P448" s="934"/>
      <c r="Q448" s="934"/>
      <c r="R448" s="934"/>
      <c r="S448" s="934"/>
      <c r="T448" s="934"/>
      <c r="U448" s="934"/>
      <c r="V448" s="934"/>
      <c r="W448" s="934"/>
      <c r="X448" s="934"/>
      <c r="Y448" s="934"/>
      <c r="Z448" s="934"/>
    </row>
    <row r="449" ht="15.75" customHeight="1">
      <c r="A449" s="571"/>
      <c r="B449" s="934"/>
      <c r="C449" s="934"/>
      <c r="D449" s="934"/>
      <c r="E449" s="934"/>
      <c r="F449" s="934"/>
      <c r="G449" s="571"/>
      <c r="H449" s="934"/>
      <c r="I449" s="934"/>
      <c r="J449" s="934"/>
      <c r="K449" s="934"/>
      <c r="L449" s="934"/>
      <c r="M449" s="934"/>
      <c r="N449" s="934"/>
      <c r="O449" s="934"/>
      <c r="P449" s="934"/>
      <c r="Q449" s="934"/>
      <c r="R449" s="934"/>
      <c r="S449" s="934"/>
      <c r="T449" s="934"/>
      <c r="U449" s="934"/>
      <c r="V449" s="934"/>
      <c r="W449" s="934"/>
      <c r="X449" s="934"/>
      <c r="Y449" s="934"/>
      <c r="Z449" s="934"/>
    </row>
    <row r="450" ht="15.75" customHeight="1">
      <c r="A450" s="571"/>
      <c r="B450" s="934"/>
      <c r="C450" s="934"/>
      <c r="D450" s="934"/>
      <c r="E450" s="934"/>
      <c r="F450" s="934"/>
      <c r="G450" s="571"/>
      <c r="H450" s="934"/>
      <c r="I450" s="934"/>
      <c r="J450" s="934"/>
      <c r="K450" s="934"/>
      <c r="L450" s="934"/>
      <c r="M450" s="934"/>
      <c r="N450" s="934"/>
      <c r="O450" s="934"/>
      <c r="P450" s="934"/>
      <c r="Q450" s="934"/>
      <c r="R450" s="934"/>
      <c r="S450" s="934"/>
      <c r="T450" s="934"/>
      <c r="U450" s="934"/>
      <c r="V450" s="934"/>
      <c r="W450" s="934"/>
      <c r="X450" s="934"/>
      <c r="Y450" s="934"/>
      <c r="Z450" s="934"/>
    </row>
    <row r="451" ht="15.75" customHeight="1">
      <c r="A451" s="571"/>
      <c r="B451" s="934"/>
      <c r="C451" s="934"/>
      <c r="D451" s="934"/>
      <c r="E451" s="934"/>
      <c r="F451" s="934"/>
      <c r="G451" s="571"/>
      <c r="H451" s="934"/>
      <c r="I451" s="934"/>
      <c r="J451" s="934"/>
      <c r="K451" s="934"/>
      <c r="L451" s="934"/>
      <c r="M451" s="934"/>
      <c r="N451" s="934"/>
      <c r="O451" s="934"/>
      <c r="P451" s="934"/>
      <c r="Q451" s="934"/>
      <c r="R451" s="934"/>
      <c r="S451" s="934"/>
      <c r="T451" s="934"/>
      <c r="U451" s="934"/>
      <c r="V451" s="934"/>
      <c r="W451" s="934"/>
      <c r="X451" s="934"/>
      <c r="Y451" s="934"/>
      <c r="Z451" s="934"/>
    </row>
    <row r="452" ht="15.75" customHeight="1">
      <c r="A452" s="571"/>
      <c r="B452" s="934"/>
      <c r="C452" s="934"/>
      <c r="D452" s="934"/>
      <c r="E452" s="934"/>
      <c r="F452" s="934"/>
      <c r="G452" s="571"/>
      <c r="H452" s="934"/>
      <c r="I452" s="934"/>
      <c r="J452" s="934"/>
      <c r="K452" s="934"/>
      <c r="L452" s="934"/>
      <c r="M452" s="934"/>
      <c r="N452" s="934"/>
      <c r="O452" s="934"/>
      <c r="P452" s="934"/>
      <c r="Q452" s="934"/>
      <c r="R452" s="934"/>
      <c r="S452" s="934"/>
      <c r="T452" s="934"/>
      <c r="U452" s="934"/>
      <c r="V452" s="934"/>
      <c r="W452" s="934"/>
      <c r="X452" s="934"/>
      <c r="Y452" s="934"/>
      <c r="Z452" s="934"/>
    </row>
    <row r="453" ht="15.75" customHeight="1">
      <c r="A453" s="571"/>
      <c r="B453" s="934"/>
      <c r="C453" s="934"/>
      <c r="D453" s="934"/>
      <c r="E453" s="934"/>
      <c r="F453" s="934"/>
      <c r="G453" s="571"/>
      <c r="H453" s="934"/>
      <c r="I453" s="934"/>
      <c r="J453" s="934"/>
      <c r="K453" s="934"/>
      <c r="L453" s="934"/>
      <c r="M453" s="934"/>
      <c r="N453" s="934"/>
      <c r="O453" s="934"/>
      <c r="P453" s="934"/>
      <c r="Q453" s="934"/>
      <c r="R453" s="934"/>
      <c r="S453" s="934"/>
      <c r="T453" s="934"/>
      <c r="U453" s="934"/>
      <c r="V453" s="934"/>
      <c r="W453" s="934"/>
      <c r="X453" s="934"/>
      <c r="Y453" s="934"/>
      <c r="Z453" s="934"/>
    </row>
    <row r="454" ht="15.75" customHeight="1">
      <c r="A454" s="571"/>
      <c r="B454" s="934"/>
      <c r="C454" s="934"/>
      <c r="D454" s="934"/>
      <c r="E454" s="934"/>
      <c r="F454" s="934"/>
      <c r="G454" s="571"/>
      <c r="H454" s="934"/>
      <c r="I454" s="934"/>
      <c r="J454" s="934"/>
      <c r="K454" s="934"/>
      <c r="L454" s="934"/>
      <c r="M454" s="934"/>
      <c r="N454" s="934"/>
      <c r="O454" s="934"/>
      <c r="P454" s="934"/>
      <c r="Q454" s="934"/>
      <c r="R454" s="934"/>
      <c r="S454" s="934"/>
      <c r="T454" s="934"/>
      <c r="U454" s="934"/>
      <c r="V454" s="934"/>
      <c r="W454" s="934"/>
      <c r="X454" s="934"/>
      <c r="Y454" s="934"/>
      <c r="Z454" s="934"/>
    </row>
    <row r="455" ht="15.75" customHeight="1">
      <c r="A455" s="571"/>
      <c r="B455" s="934"/>
      <c r="C455" s="934"/>
      <c r="D455" s="934"/>
      <c r="E455" s="934"/>
      <c r="F455" s="934"/>
      <c r="G455" s="571"/>
      <c r="H455" s="934"/>
      <c r="I455" s="934"/>
      <c r="J455" s="934"/>
      <c r="K455" s="934"/>
      <c r="L455" s="934"/>
      <c r="M455" s="934"/>
      <c r="N455" s="934"/>
      <c r="O455" s="934"/>
      <c r="P455" s="934"/>
      <c r="Q455" s="934"/>
      <c r="R455" s="934"/>
      <c r="S455" s="934"/>
      <c r="T455" s="934"/>
      <c r="U455" s="934"/>
      <c r="V455" s="934"/>
      <c r="W455" s="934"/>
      <c r="X455" s="934"/>
      <c r="Y455" s="934"/>
      <c r="Z455" s="934"/>
    </row>
    <row r="456" ht="15.75" customHeight="1">
      <c r="A456" s="571"/>
      <c r="B456" s="934"/>
      <c r="C456" s="934"/>
      <c r="D456" s="934"/>
      <c r="E456" s="934"/>
      <c r="F456" s="934"/>
      <c r="G456" s="571"/>
      <c r="H456" s="934"/>
      <c r="I456" s="934"/>
      <c r="J456" s="934"/>
      <c r="K456" s="934"/>
      <c r="L456" s="934"/>
      <c r="M456" s="934"/>
      <c r="N456" s="934"/>
      <c r="O456" s="934"/>
      <c r="P456" s="934"/>
      <c r="Q456" s="934"/>
      <c r="R456" s="934"/>
      <c r="S456" s="934"/>
      <c r="T456" s="934"/>
      <c r="U456" s="934"/>
      <c r="V456" s="934"/>
      <c r="W456" s="934"/>
      <c r="X456" s="934"/>
      <c r="Y456" s="934"/>
      <c r="Z456" s="934"/>
    </row>
    <row r="457" ht="15.75" customHeight="1">
      <c r="A457" s="571"/>
      <c r="B457" s="934"/>
      <c r="C457" s="934"/>
      <c r="D457" s="934"/>
      <c r="E457" s="934"/>
      <c r="F457" s="934"/>
      <c r="G457" s="571"/>
      <c r="H457" s="934"/>
      <c r="I457" s="934"/>
      <c r="J457" s="934"/>
      <c r="K457" s="934"/>
      <c r="L457" s="934"/>
      <c r="M457" s="934"/>
      <c r="N457" s="934"/>
      <c r="O457" s="934"/>
      <c r="P457" s="934"/>
      <c r="Q457" s="934"/>
      <c r="R457" s="934"/>
      <c r="S457" s="934"/>
      <c r="T457" s="934"/>
      <c r="U457" s="934"/>
      <c r="V457" s="934"/>
      <c r="W457" s="934"/>
      <c r="X457" s="934"/>
      <c r="Y457" s="934"/>
      <c r="Z457" s="934"/>
    </row>
    <row r="458" ht="15.75" customHeight="1">
      <c r="A458" s="571"/>
      <c r="B458" s="934"/>
      <c r="C458" s="934"/>
      <c r="D458" s="934"/>
      <c r="E458" s="934"/>
      <c r="F458" s="934"/>
      <c r="G458" s="571"/>
      <c r="H458" s="934"/>
      <c r="I458" s="934"/>
      <c r="J458" s="934"/>
      <c r="K458" s="934"/>
      <c r="L458" s="934"/>
      <c r="M458" s="934"/>
      <c r="N458" s="934"/>
      <c r="O458" s="934"/>
      <c r="P458" s="934"/>
      <c r="Q458" s="934"/>
      <c r="R458" s="934"/>
      <c r="S458" s="934"/>
      <c r="T458" s="934"/>
      <c r="U458" s="934"/>
      <c r="V458" s="934"/>
      <c r="W458" s="934"/>
      <c r="X458" s="934"/>
      <c r="Y458" s="934"/>
      <c r="Z458" s="934"/>
    </row>
    <row r="459" ht="15.75" customHeight="1">
      <c r="A459" s="571"/>
      <c r="B459" s="934"/>
      <c r="C459" s="934"/>
      <c r="D459" s="934"/>
      <c r="E459" s="934"/>
      <c r="F459" s="934"/>
      <c r="G459" s="571"/>
      <c r="H459" s="934"/>
      <c r="I459" s="934"/>
      <c r="J459" s="934"/>
      <c r="K459" s="934"/>
      <c r="L459" s="934"/>
      <c r="M459" s="934"/>
      <c r="N459" s="934"/>
      <c r="O459" s="934"/>
      <c r="P459" s="934"/>
      <c r="Q459" s="934"/>
      <c r="R459" s="934"/>
      <c r="S459" s="934"/>
      <c r="T459" s="934"/>
      <c r="U459" s="934"/>
      <c r="V459" s="934"/>
      <c r="W459" s="934"/>
      <c r="X459" s="934"/>
      <c r="Y459" s="934"/>
      <c r="Z459" s="934"/>
    </row>
    <row r="460" ht="15.75" customHeight="1">
      <c r="A460" s="571"/>
      <c r="B460" s="934"/>
      <c r="C460" s="934"/>
      <c r="D460" s="934"/>
      <c r="E460" s="934"/>
      <c r="F460" s="934"/>
      <c r="G460" s="571"/>
      <c r="H460" s="934"/>
      <c r="I460" s="934"/>
      <c r="J460" s="934"/>
      <c r="K460" s="934"/>
      <c r="L460" s="934"/>
      <c r="M460" s="934"/>
      <c r="N460" s="934"/>
      <c r="O460" s="934"/>
      <c r="P460" s="934"/>
      <c r="Q460" s="934"/>
      <c r="R460" s="934"/>
      <c r="S460" s="934"/>
      <c r="T460" s="934"/>
      <c r="U460" s="934"/>
      <c r="V460" s="934"/>
      <c r="W460" s="934"/>
      <c r="X460" s="934"/>
      <c r="Y460" s="934"/>
      <c r="Z460" s="934"/>
    </row>
    <row r="461" ht="15.75" customHeight="1">
      <c r="A461" s="571"/>
      <c r="B461" s="934"/>
      <c r="C461" s="934"/>
      <c r="D461" s="934"/>
      <c r="E461" s="934"/>
      <c r="F461" s="934"/>
      <c r="G461" s="571"/>
      <c r="H461" s="934"/>
      <c r="I461" s="934"/>
      <c r="J461" s="934"/>
      <c r="K461" s="934"/>
      <c r="L461" s="934"/>
      <c r="M461" s="934"/>
      <c r="N461" s="934"/>
      <c r="O461" s="934"/>
      <c r="P461" s="934"/>
      <c r="Q461" s="934"/>
      <c r="R461" s="934"/>
      <c r="S461" s="934"/>
      <c r="T461" s="934"/>
      <c r="U461" s="934"/>
      <c r="V461" s="934"/>
      <c r="W461" s="934"/>
      <c r="X461" s="934"/>
      <c r="Y461" s="934"/>
      <c r="Z461" s="934"/>
    </row>
    <row r="462" ht="15.75" customHeight="1">
      <c r="A462" s="571"/>
      <c r="B462" s="934"/>
      <c r="C462" s="934"/>
      <c r="D462" s="934"/>
      <c r="E462" s="934"/>
      <c r="F462" s="934"/>
      <c r="G462" s="571"/>
      <c r="H462" s="934"/>
      <c r="I462" s="934"/>
      <c r="J462" s="934"/>
      <c r="K462" s="934"/>
      <c r="L462" s="934"/>
      <c r="M462" s="934"/>
      <c r="N462" s="934"/>
      <c r="O462" s="934"/>
      <c r="P462" s="934"/>
      <c r="Q462" s="934"/>
      <c r="R462" s="934"/>
      <c r="S462" s="934"/>
      <c r="T462" s="934"/>
      <c r="U462" s="934"/>
      <c r="V462" s="934"/>
      <c r="W462" s="934"/>
      <c r="X462" s="934"/>
      <c r="Y462" s="934"/>
      <c r="Z462" s="934"/>
    </row>
    <row r="463" ht="15.75" customHeight="1">
      <c r="A463" s="571"/>
      <c r="B463" s="934"/>
      <c r="C463" s="934"/>
      <c r="D463" s="934"/>
      <c r="E463" s="934"/>
      <c r="F463" s="934"/>
      <c r="G463" s="571"/>
      <c r="H463" s="934"/>
      <c r="I463" s="934"/>
      <c r="J463" s="934"/>
      <c r="K463" s="934"/>
      <c r="L463" s="934"/>
      <c r="M463" s="934"/>
      <c r="N463" s="934"/>
      <c r="O463" s="934"/>
      <c r="P463" s="934"/>
      <c r="Q463" s="934"/>
      <c r="R463" s="934"/>
      <c r="S463" s="934"/>
      <c r="T463" s="934"/>
      <c r="U463" s="934"/>
      <c r="V463" s="934"/>
      <c r="W463" s="934"/>
      <c r="X463" s="934"/>
      <c r="Y463" s="934"/>
      <c r="Z463" s="934"/>
    </row>
    <row r="464" ht="15.75" customHeight="1">
      <c r="A464" s="571"/>
      <c r="B464" s="934"/>
      <c r="C464" s="934"/>
      <c r="D464" s="934"/>
      <c r="E464" s="934"/>
      <c r="F464" s="934"/>
      <c r="G464" s="571"/>
      <c r="H464" s="934"/>
      <c r="I464" s="934"/>
      <c r="J464" s="934"/>
      <c r="K464" s="934"/>
      <c r="L464" s="934"/>
      <c r="M464" s="934"/>
      <c r="N464" s="934"/>
      <c r="O464" s="934"/>
      <c r="P464" s="934"/>
      <c r="Q464" s="934"/>
      <c r="R464" s="934"/>
      <c r="S464" s="934"/>
      <c r="T464" s="934"/>
      <c r="U464" s="934"/>
      <c r="V464" s="934"/>
      <c r="W464" s="934"/>
      <c r="X464" s="934"/>
      <c r="Y464" s="934"/>
      <c r="Z464" s="934"/>
    </row>
    <row r="465" ht="15.75" customHeight="1">
      <c r="A465" s="571"/>
      <c r="B465" s="934"/>
      <c r="C465" s="934"/>
      <c r="D465" s="934"/>
      <c r="E465" s="934"/>
      <c r="F465" s="934"/>
      <c r="G465" s="571"/>
      <c r="H465" s="934"/>
      <c r="I465" s="934"/>
      <c r="J465" s="934"/>
      <c r="K465" s="934"/>
      <c r="L465" s="934"/>
      <c r="M465" s="934"/>
      <c r="N465" s="934"/>
      <c r="O465" s="934"/>
      <c r="P465" s="934"/>
      <c r="Q465" s="934"/>
      <c r="R465" s="934"/>
      <c r="S465" s="934"/>
      <c r="T465" s="934"/>
      <c r="U465" s="934"/>
      <c r="V465" s="934"/>
      <c r="W465" s="934"/>
      <c r="X465" s="934"/>
      <c r="Y465" s="934"/>
      <c r="Z465" s="934"/>
    </row>
    <row r="466" ht="15.75" customHeight="1">
      <c r="A466" s="571"/>
      <c r="B466" s="934"/>
      <c r="C466" s="934"/>
      <c r="D466" s="934"/>
      <c r="E466" s="934"/>
      <c r="F466" s="934"/>
      <c r="G466" s="571"/>
      <c r="H466" s="934"/>
      <c r="I466" s="934"/>
      <c r="J466" s="934"/>
      <c r="K466" s="934"/>
      <c r="L466" s="934"/>
      <c r="M466" s="934"/>
      <c r="N466" s="934"/>
      <c r="O466" s="934"/>
      <c r="P466" s="934"/>
      <c r="Q466" s="934"/>
      <c r="R466" s="934"/>
      <c r="S466" s="934"/>
      <c r="T466" s="934"/>
      <c r="U466" s="934"/>
      <c r="V466" s="934"/>
      <c r="W466" s="934"/>
      <c r="X466" s="934"/>
      <c r="Y466" s="934"/>
      <c r="Z466" s="934"/>
    </row>
    <row r="467" ht="15.75" customHeight="1">
      <c r="A467" s="571"/>
      <c r="B467" s="934"/>
      <c r="C467" s="934"/>
      <c r="D467" s="934"/>
      <c r="E467" s="934"/>
      <c r="F467" s="934"/>
      <c r="G467" s="571"/>
      <c r="H467" s="934"/>
      <c r="I467" s="934"/>
      <c r="J467" s="934"/>
      <c r="K467" s="934"/>
      <c r="L467" s="934"/>
      <c r="M467" s="934"/>
      <c r="N467" s="934"/>
      <c r="O467" s="934"/>
      <c r="P467" s="934"/>
      <c r="Q467" s="934"/>
      <c r="R467" s="934"/>
      <c r="S467" s="934"/>
      <c r="T467" s="934"/>
      <c r="U467" s="934"/>
      <c r="V467" s="934"/>
      <c r="W467" s="934"/>
      <c r="X467" s="934"/>
      <c r="Y467" s="934"/>
      <c r="Z467" s="934"/>
    </row>
    <row r="468" ht="15.75" customHeight="1">
      <c r="A468" s="571"/>
      <c r="B468" s="934"/>
      <c r="C468" s="934"/>
      <c r="D468" s="934"/>
      <c r="E468" s="934"/>
      <c r="F468" s="934"/>
      <c r="G468" s="571"/>
      <c r="H468" s="934"/>
      <c r="I468" s="934"/>
      <c r="J468" s="934"/>
      <c r="K468" s="934"/>
      <c r="L468" s="934"/>
      <c r="M468" s="934"/>
      <c r="N468" s="934"/>
      <c r="O468" s="934"/>
      <c r="P468" s="934"/>
      <c r="Q468" s="934"/>
      <c r="R468" s="934"/>
      <c r="S468" s="934"/>
      <c r="T468" s="934"/>
      <c r="U468" s="934"/>
      <c r="V468" s="934"/>
      <c r="W468" s="934"/>
      <c r="X468" s="934"/>
      <c r="Y468" s="934"/>
      <c r="Z468" s="934"/>
    </row>
    <row r="469" ht="15.75" customHeight="1">
      <c r="A469" s="571"/>
      <c r="B469" s="934"/>
      <c r="C469" s="934"/>
      <c r="D469" s="934"/>
      <c r="E469" s="934"/>
      <c r="F469" s="934"/>
      <c r="G469" s="571"/>
      <c r="H469" s="934"/>
      <c r="I469" s="934"/>
      <c r="J469" s="934"/>
      <c r="K469" s="934"/>
      <c r="L469" s="934"/>
      <c r="M469" s="934"/>
      <c r="N469" s="934"/>
      <c r="O469" s="934"/>
      <c r="P469" s="934"/>
      <c r="Q469" s="934"/>
      <c r="R469" s="934"/>
      <c r="S469" s="934"/>
      <c r="T469" s="934"/>
      <c r="U469" s="934"/>
      <c r="V469" s="934"/>
      <c r="W469" s="934"/>
      <c r="X469" s="934"/>
      <c r="Y469" s="934"/>
      <c r="Z469" s="934"/>
    </row>
    <row r="470" ht="15.75" customHeight="1">
      <c r="A470" s="571"/>
      <c r="B470" s="934"/>
      <c r="C470" s="934"/>
      <c r="D470" s="934"/>
      <c r="E470" s="934"/>
      <c r="F470" s="934"/>
      <c r="G470" s="571"/>
      <c r="H470" s="934"/>
      <c r="I470" s="934"/>
      <c r="J470" s="934"/>
      <c r="K470" s="934"/>
      <c r="L470" s="934"/>
      <c r="M470" s="934"/>
      <c r="N470" s="934"/>
      <c r="O470" s="934"/>
      <c r="P470" s="934"/>
      <c r="Q470" s="934"/>
      <c r="R470" s="934"/>
      <c r="S470" s="934"/>
      <c r="T470" s="934"/>
      <c r="U470" s="934"/>
      <c r="V470" s="934"/>
      <c r="W470" s="934"/>
      <c r="X470" s="934"/>
      <c r="Y470" s="934"/>
      <c r="Z470" s="934"/>
    </row>
    <row r="471" ht="15.75" customHeight="1">
      <c r="A471" s="571"/>
      <c r="B471" s="934"/>
      <c r="C471" s="934"/>
      <c r="D471" s="934"/>
      <c r="E471" s="934"/>
      <c r="F471" s="934"/>
      <c r="G471" s="571"/>
      <c r="H471" s="934"/>
      <c r="I471" s="934"/>
      <c r="J471" s="934"/>
      <c r="K471" s="934"/>
      <c r="L471" s="934"/>
      <c r="M471" s="934"/>
      <c r="N471" s="934"/>
      <c r="O471" s="934"/>
      <c r="P471" s="934"/>
      <c r="Q471" s="934"/>
      <c r="R471" s="934"/>
      <c r="S471" s="934"/>
      <c r="T471" s="934"/>
      <c r="U471" s="934"/>
      <c r="V471" s="934"/>
      <c r="W471" s="934"/>
      <c r="X471" s="934"/>
      <c r="Y471" s="934"/>
      <c r="Z471" s="934"/>
    </row>
    <row r="472" ht="15.75" customHeight="1">
      <c r="A472" s="571"/>
      <c r="B472" s="934"/>
      <c r="C472" s="934"/>
      <c r="D472" s="934"/>
      <c r="E472" s="934"/>
      <c r="F472" s="934"/>
      <c r="G472" s="571"/>
      <c r="H472" s="934"/>
      <c r="I472" s="934"/>
      <c r="J472" s="934"/>
      <c r="K472" s="934"/>
      <c r="L472" s="934"/>
      <c r="M472" s="934"/>
      <c r="N472" s="934"/>
      <c r="O472" s="934"/>
      <c r="P472" s="934"/>
      <c r="Q472" s="934"/>
      <c r="R472" s="934"/>
      <c r="S472" s="934"/>
      <c r="T472" s="934"/>
      <c r="U472" s="934"/>
      <c r="V472" s="934"/>
      <c r="W472" s="934"/>
      <c r="X472" s="934"/>
      <c r="Y472" s="934"/>
      <c r="Z472" s="934"/>
    </row>
    <row r="473" ht="15.75" customHeight="1">
      <c r="A473" s="571"/>
      <c r="B473" s="934"/>
      <c r="C473" s="934"/>
      <c r="D473" s="934"/>
      <c r="E473" s="934"/>
      <c r="F473" s="934"/>
      <c r="G473" s="571"/>
      <c r="H473" s="934"/>
      <c r="I473" s="934"/>
      <c r="J473" s="934"/>
      <c r="K473" s="934"/>
      <c r="L473" s="934"/>
      <c r="M473" s="934"/>
      <c r="N473" s="934"/>
      <c r="O473" s="934"/>
      <c r="P473" s="934"/>
      <c r="Q473" s="934"/>
      <c r="R473" s="934"/>
      <c r="S473" s="934"/>
      <c r="T473" s="934"/>
      <c r="U473" s="934"/>
      <c r="V473" s="934"/>
      <c r="W473" s="934"/>
      <c r="X473" s="934"/>
      <c r="Y473" s="934"/>
      <c r="Z473" s="934"/>
    </row>
    <row r="474" ht="15.75" customHeight="1">
      <c r="A474" s="571"/>
      <c r="B474" s="934"/>
      <c r="C474" s="934"/>
      <c r="D474" s="934"/>
      <c r="E474" s="934"/>
      <c r="F474" s="934"/>
      <c r="G474" s="571"/>
      <c r="H474" s="934"/>
      <c r="I474" s="934"/>
      <c r="J474" s="934"/>
      <c r="K474" s="934"/>
      <c r="L474" s="934"/>
      <c r="M474" s="934"/>
      <c r="N474" s="934"/>
      <c r="O474" s="934"/>
      <c r="P474" s="934"/>
      <c r="Q474" s="934"/>
      <c r="R474" s="934"/>
      <c r="S474" s="934"/>
      <c r="T474" s="934"/>
      <c r="U474" s="934"/>
      <c r="V474" s="934"/>
      <c r="W474" s="934"/>
      <c r="X474" s="934"/>
      <c r="Y474" s="934"/>
      <c r="Z474" s="934"/>
    </row>
    <row r="475" ht="15.75" customHeight="1">
      <c r="A475" s="571"/>
      <c r="B475" s="934"/>
      <c r="C475" s="934"/>
      <c r="D475" s="934"/>
      <c r="E475" s="934"/>
      <c r="F475" s="934"/>
      <c r="G475" s="571"/>
      <c r="H475" s="934"/>
      <c r="I475" s="934"/>
      <c r="J475" s="934"/>
      <c r="K475" s="934"/>
      <c r="L475" s="934"/>
      <c r="M475" s="934"/>
      <c r="N475" s="934"/>
      <c r="O475" s="934"/>
      <c r="P475" s="934"/>
      <c r="Q475" s="934"/>
      <c r="R475" s="934"/>
      <c r="S475" s="934"/>
      <c r="T475" s="934"/>
      <c r="U475" s="934"/>
      <c r="V475" s="934"/>
      <c r="W475" s="934"/>
      <c r="X475" s="934"/>
      <c r="Y475" s="934"/>
      <c r="Z475" s="934"/>
    </row>
    <row r="476" ht="15.75" customHeight="1">
      <c r="A476" s="571"/>
      <c r="B476" s="934"/>
      <c r="C476" s="934"/>
      <c r="D476" s="934"/>
      <c r="E476" s="934"/>
      <c r="F476" s="934"/>
      <c r="G476" s="571"/>
      <c r="H476" s="934"/>
      <c r="I476" s="934"/>
      <c r="J476" s="934"/>
      <c r="K476" s="934"/>
      <c r="L476" s="934"/>
      <c r="M476" s="934"/>
      <c r="N476" s="934"/>
      <c r="O476" s="934"/>
      <c r="P476" s="934"/>
      <c r="Q476" s="934"/>
      <c r="R476" s="934"/>
      <c r="S476" s="934"/>
      <c r="T476" s="934"/>
      <c r="U476" s="934"/>
      <c r="V476" s="934"/>
      <c r="W476" s="934"/>
      <c r="X476" s="934"/>
      <c r="Y476" s="934"/>
      <c r="Z476" s="934"/>
    </row>
    <row r="477" ht="15.75" customHeight="1">
      <c r="A477" s="571"/>
      <c r="B477" s="934"/>
      <c r="C477" s="934"/>
      <c r="D477" s="934"/>
      <c r="E477" s="934"/>
      <c r="F477" s="934"/>
      <c r="G477" s="571"/>
      <c r="H477" s="934"/>
      <c r="I477" s="934"/>
      <c r="J477" s="934"/>
      <c r="K477" s="934"/>
      <c r="L477" s="934"/>
      <c r="M477" s="934"/>
      <c r="N477" s="934"/>
      <c r="O477" s="934"/>
      <c r="P477" s="934"/>
      <c r="Q477" s="934"/>
      <c r="R477" s="934"/>
      <c r="S477" s="934"/>
      <c r="T477" s="934"/>
      <c r="U477" s="934"/>
      <c r="V477" s="934"/>
      <c r="W477" s="934"/>
      <c r="X477" s="934"/>
      <c r="Y477" s="934"/>
      <c r="Z477" s="934"/>
    </row>
    <row r="478" ht="15.75" customHeight="1">
      <c r="A478" s="571"/>
      <c r="B478" s="934"/>
      <c r="C478" s="934"/>
      <c r="D478" s="934"/>
      <c r="E478" s="934"/>
      <c r="F478" s="934"/>
      <c r="G478" s="571"/>
      <c r="H478" s="934"/>
      <c r="I478" s="934"/>
      <c r="J478" s="934"/>
      <c r="K478" s="934"/>
      <c r="L478" s="934"/>
      <c r="M478" s="934"/>
      <c r="N478" s="934"/>
      <c r="O478" s="934"/>
      <c r="P478" s="934"/>
      <c r="Q478" s="934"/>
      <c r="R478" s="934"/>
      <c r="S478" s="934"/>
      <c r="T478" s="934"/>
      <c r="U478" s="934"/>
      <c r="V478" s="934"/>
      <c r="W478" s="934"/>
      <c r="X478" s="934"/>
      <c r="Y478" s="934"/>
      <c r="Z478" s="934"/>
    </row>
    <row r="479" ht="15.75" customHeight="1">
      <c r="A479" s="571"/>
      <c r="B479" s="934"/>
      <c r="C479" s="934"/>
      <c r="D479" s="934"/>
      <c r="E479" s="934"/>
      <c r="F479" s="934"/>
      <c r="G479" s="571"/>
      <c r="H479" s="934"/>
      <c r="I479" s="934"/>
      <c r="J479" s="934"/>
      <c r="K479" s="934"/>
      <c r="L479" s="934"/>
      <c r="M479" s="934"/>
      <c r="N479" s="934"/>
      <c r="O479" s="934"/>
      <c r="P479" s="934"/>
      <c r="Q479" s="934"/>
      <c r="R479" s="934"/>
      <c r="S479" s="934"/>
      <c r="T479" s="934"/>
      <c r="U479" s="934"/>
      <c r="V479" s="934"/>
      <c r="W479" s="934"/>
      <c r="X479" s="934"/>
      <c r="Y479" s="934"/>
      <c r="Z479" s="934"/>
    </row>
    <row r="480" ht="15.75" customHeight="1">
      <c r="A480" s="571"/>
      <c r="B480" s="934"/>
      <c r="C480" s="934"/>
      <c r="D480" s="934"/>
      <c r="E480" s="934"/>
      <c r="F480" s="934"/>
      <c r="G480" s="571"/>
      <c r="H480" s="934"/>
      <c r="I480" s="934"/>
      <c r="J480" s="934"/>
      <c r="K480" s="934"/>
      <c r="L480" s="934"/>
      <c r="M480" s="934"/>
      <c r="N480" s="934"/>
      <c r="O480" s="934"/>
      <c r="P480" s="934"/>
      <c r="Q480" s="934"/>
      <c r="R480" s="934"/>
      <c r="S480" s="934"/>
      <c r="T480" s="934"/>
      <c r="U480" s="934"/>
      <c r="V480" s="934"/>
      <c r="W480" s="934"/>
      <c r="X480" s="934"/>
      <c r="Y480" s="934"/>
      <c r="Z480" s="934"/>
    </row>
    <row r="481" ht="15.75" customHeight="1">
      <c r="A481" s="571"/>
      <c r="B481" s="934"/>
      <c r="C481" s="934"/>
      <c r="D481" s="934"/>
      <c r="E481" s="934"/>
      <c r="F481" s="934"/>
      <c r="G481" s="571"/>
      <c r="H481" s="934"/>
      <c r="I481" s="934"/>
      <c r="J481" s="934"/>
      <c r="K481" s="934"/>
      <c r="L481" s="934"/>
      <c r="M481" s="934"/>
      <c r="N481" s="934"/>
      <c r="O481" s="934"/>
      <c r="P481" s="934"/>
      <c r="Q481" s="934"/>
      <c r="R481" s="934"/>
      <c r="S481" s="934"/>
      <c r="T481" s="934"/>
      <c r="U481" s="934"/>
      <c r="V481" s="934"/>
      <c r="W481" s="934"/>
      <c r="X481" s="934"/>
      <c r="Y481" s="934"/>
      <c r="Z481" s="934"/>
    </row>
    <row r="482" ht="15.75" customHeight="1">
      <c r="A482" s="571"/>
      <c r="B482" s="934"/>
      <c r="C482" s="934"/>
      <c r="D482" s="934"/>
      <c r="E482" s="934"/>
      <c r="F482" s="934"/>
      <c r="G482" s="571"/>
      <c r="H482" s="934"/>
      <c r="I482" s="934"/>
      <c r="J482" s="934"/>
      <c r="K482" s="934"/>
      <c r="L482" s="934"/>
      <c r="M482" s="934"/>
      <c r="N482" s="934"/>
      <c r="O482" s="934"/>
      <c r="P482" s="934"/>
      <c r="Q482" s="934"/>
      <c r="R482" s="934"/>
      <c r="S482" s="934"/>
      <c r="T482" s="934"/>
      <c r="U482" s="934"/>
      <c r="V482" s="934"/>
      <c r="W482" s="934"/>
      <c r="X482" s="934"/>
      <c r="Y482" s="934"/>
      <c r="Z482" s="934"/>
    </row>
    <row r="483" ht="15.75" customHeight="1">
      <c r="A483" s="571"/>
      <c r="B483" s="934"/>
      <c r="C483" s="934"/>
      <c r="D483" s="934"/>
      <c r="E483" s="934"/>
      <c r="F483" s="934"/>
      <c r="G483" s="571"/>
      <c r="H483" s="934"/>
      <c r="I483" s="934"/>
      <c r="J483" s="934"/>
      <c r="K483" s="934"/>
      <c r="L483" s="934"/>
      <c r="M483" s="934"/>
      <c r="N483" s="934"/>
      <c r="O483" s="934"/>
      <c r="P483" s="934"/>
      <c r="Q483" s="934"/>
      <c r="R483" s="934"/>
      <c r="S483" s="934"/>
      <c r="T483" s="934"/>
      <c r="U483" s="934"/>
      <c r="V483" s="934"/>
      <c r="W483" s="934"/>
      <c r="X483" s="934"/>
      <c r="Y483" s="934"/>
      <c r="Z483" s="934"/>
    </row>
    <row r="484" ht="15.75" customHeight="1">
      <c r="A484" s="571"/>
      <c r="B484" s="934"/>
      <c r="C484" s="934"/>
      <c r="D484" s="934"/>
      <c r="E484" s="934"/>
      <c r="F484" s="934"/>
      <c r="G484" s="571"/>
      <c r="H484" s="934"/>
      <c r="I484" s="934"/>
      <c r="J484" s="934"/>
      <c r="K484" s="934"/>
      <c r="L484" s="934"/>
      <c r="M484" s="934"/>
      <c r="N484" s="934"/>
      <c r="O484" s="934"/>
      <c r="P484" s="934"/>
      <c r="Q484" s="934"/>
      <c r="R484" s="934"/>
      <c r="S484" s="934"/>
      <c r="T484" s="934"/>
      <c r="U484" s="934"/>
      <c r="V484" s="934"/>
      <c r="W484" s="934"/>
      <c r="X484" s="934"/>
      <c r="Y484" s="934"/>
      <c r="Z484" s="934"/>
    </row>
    <row r="485" ht="15.75" customHeight="1">
      <c r="A485" s="571"/>
      <c r="B485" s="934"/>
      <c r="C485" s="934"/>
      <c r="D485" s="934"/>
      <c r="E485" s="934"/>
      <c r="F485" s="934"/>
      <c r="G485" s="571"/>
      <c r="H485" s="934"/>
      <c r="I485" s="934"/>
      <c r="J485" s="934"/>
      <c r="K485" s="934"/>
      <c r="L485" s="934"/>
      <c r="M485" s="934"/>
      <c r="N485" s="934"/>
      <c r="O485" s="934"/>
      <c r="P485" s="934"/>
      <c r="Q485" s="934"/>
      <c r="R485" s="934"/>
      <c r="S485" s="934"/>
      <c r="T485" s="934"/>
      <c r="U485" s="934"/>
      <c r="V485" s="934"/>
      <c r="W485" s="934"/>
      <c r="X485" s="934"/>
      <c r="Y485" s="934"/>
      <c r="Z485" s="934"/>
    </row>
    <row r="486" ht="15.75" customHeight="1">
      <c r="A486" s="571"/>
      <c r="B486" s="934"/>
      <c r="C486" s="934"/>
      <c r="D486" s="934"/>
      <c r="E486" s="934"/>
      <c r="F486" s="934"/>
      <c r="G486" s="571"/>
      <c r="H486" s="934"/>
      <c r="I486" s="934"/>
      <c r="J486" s="934"/>
      <c r="K486" s="934"/>
      <c r="L486" s="934"/>
      <c r="M486" s="934"/>
      <c r="N486" s="934"/>
      <c r="O486" s="934"/>
      <c r="P486" s="934"/>
      <c r="Q486" s="934"/>
      <c r="R486" s="934"/>
      <c r="S486" s="934"/>
      <c r="T486" s="934"/>
      <c r="U486" s="934"/>
      <c r="V486" s="934"/>
      <c r="W486" s="934"/>
      <c r="X486" s="934"/>
      <c r="Y486" s="934"/>
      <c r="Z486" s="934"/>
    </row>
    <row r="487" ht="15.75" customHeight="1">
      <c r="A487" s="571"/>
      <c r="B487" s="934"/>
      <c r="C487" s="934"/>
      <c r="D487" s="934"/>
      <c r="E487" s="934"/>
      <c r="F487" s="934"/>
      <c r="G487" s="571"/>
      <c r="H487" s="934"/>
      <c r="I487" s="934"/>
      <c r="J487" s="934"/>
      <c r="K487" s="934"/>
      <c r="L487" s="934"/>
      <c r="M487" s="934"/>
      <c r="N487" s="934"/>
      <c r="O487" s="934"/>
      <c r="P487" s="934"/>
      <c r="Q487" s="934"/>
      <c r="R487" s="934"/>
      <c r="S487" s="934"/>
      <c r="T487" s="934"/>
      <c r="U487" s="934"/>
      <c r="V487" s="934"/>
      <c r="W487" s="934"/>
      <c r="X487" s="934"/>
      <c r="Y487" s="934"/>
      <c r="Z487" s="934"/>
    </row>
    <row r="488" ht="15.75" customHeight="1">
      <c r="A488" s="571"/>
      <c r="B488" s="934"/>
      <c r="C488" s="934"/>
      <c r="D488" s="934"/>
      <c r="E488" s="934"/>
      <c r="F488" s="934"/>
      <c r="G488" s="571"/>
      <c r="H488" s="934"/>
      <c r="I488" s="934"/>
      <c r="J488" s="934"/>
      <c r="K488" s="934"/>
      <c r="L488" s="934"/>
      <c r="M488" s="934"/>
      <c r="N488" s="934"/>
      <c r="O488" s="934"/>
      <c r="P488" s="934"/>
      <c r="Q488" s="934"/>
      <c r="R488" s="934"/>
      <c r="S488" s="934"/>
      <c r="T488" s="934"/>
      <c r="U488" s="934"/>
      <c r="V488" s="934"/>
      <c r="W488" s="934"/>
      <c r="X488" s="934"/>
      <c r="Y488" s="934"/>
      <c r="Z488" s="934"/>
    </row>
    <row r="489" ht="15.75" customHeight="1">
      <c r="A489" s="571"/>
      <c r="B489" s="934"/>
      <c r="C489" s="934"/>
      <c r="D489" s="934"/>
      <c r="E489" s="934"/>
      <c r="F489" s="934"/>
      <c r="G489" s="571"/>
      <c r="H489" s="934"/>
      <c r="I489" s="934"/>
      <c r="J489" s="934"/>
      <c r="K489" s="934"/>
      <c r="L489" s="934"/>
      <c r="M489" s="934"/>
      <c r="N489" s="934"/>
      <c r="O489" s="934"/>
      <c r="P489" s="934"/>
      <c r="Q489" s="934"/>
      <c r="R489" s="934"/>
      <c r="S489" s="934"/>
      <c r="T489" s="934"/>
      <c r="U489" s="934"/>
      <c r="V489" s="934"/>
      <c r="W489" s="934"/>
      <c r="X489" s="934"/>
      <c r="Y489" s="934"/>
      <c r="Z489" s="934"/>
    </row>
    <row r="490" ht="15.75" customHeight="1">
      <c r="A490" s="571"/>
      <c r="B490" s="934"/>
      <c r="C490" s="934"/>
      <c r="D490" s="934"/>
      <c r="E490" s="934"/>
      <c r="F490" s="934"/>
      <c r="G490" s="571"/>
      <c r="H490" s="934"/>
      <c r="I490" s="934"/>
      <c r="J490" s="934"/>
      <c r="K490" s="934"/>
      <c r="L490" s="934"/>
      <c r="M490" s="934"/>
      <c r="N490" s="934"/>
      <c r="O490" s="934"/>
      <c r="P490" s="934"/>
      <c r="Q490" s="934"/>
      <c r="R490" s="934"/>
      <c r="S490" s="934"/>
      <c r="T490" s="934"/>
      <c r="U490" s="934"/>
      <c r="V490" s="934"/>
      <c r="W490" s="934"/>
      <c r="X490" s="934"/>
      <c r="Y490" s="934"/>
      <c r="Z490" s="934"/>
    </row>
    <row r="491" ht="15.75" customHeight="1">
      <c r="A491" s="571"/>
      <c r="B491" s="934"/>
      <c r="C491" s="934"/>
      <c r="D491" s="934"/>
      <c r="E491" s="934"/>
      <c r="F491" s="934"/>
      <c r="G491" s="571"/>
      <c r="H491" s="934"/>
      <c r="I491" s="934"/>
      <c r="J491" s="934"/>
      <c r="K491" s="934"/>
      <c r="L491" s="934"/>
      <c r="M491" s="934"/>
      <c r="N491" s="934"/>
      <c r="O491" s="934"/>
      <c r="P491" s="934"/>
      <c r="Q491" s="934"/>
      <c r="R491" s="934"/>
      <c r="S491" s="934"/>
      <c r="T491" s="934"/>
      <c r="U491" s="934"/>
      <c r="V491" s="934"/>
      <c r="W491" s="934"/>
      <c r="X491" s="934"/>
      <c r="Y491" s="934"/>
      <c r="Z491" s="934"/>
    </row>
    <row r="492" ht="15.75" customHeight="1">
      <c r="A492" s="571"/>
      <c r="B492" s="934"/>
      <c r="C492" s="934"/>
      <c r="D492" s="934"/>
      <c r="E492" s="934"/>
      <c r="F492" s="934"/>
      <c r="G492" s="571"/>
      <c r="H492" s="934"/>
      <c r="I492" s="934"/>
      <c r="J492" s="934"/>
      <c r="K492" s="934"/>
      <c r="L492" s="934"/>
      <c r="M492" s="934"/>
      <c r="N492" s="934"/>
      <c r="O492" s="934"/>
      <c r="P492" s="934"/>
      <c r="Q492" s="934"/>
      <c r="R492" s="934"/>
      <c r="S492" s="934"/>
      <c r="T492" s="934"/>
      <c r="U492" s="934"/>
      <c r="V492" s="934"/>
      <c r="W492" s="934"/>
      <c r="X492" s="934"/>
      <c r="Y492" s="934"/>
      <c r="Z492" s="934"/>
    </row>
    <row r="493" ht="15.75" customHeight="1">
      <c r="A493" s="571"/>
      <c r="B493" s="934"/>
      <c r="C493" s="934"/>
      <c r="D493" s="934"/>
      <c r="E493" s="934"/>
      <c r="F493" s="934"/>
      <c r="G493" s="571"/>
      <c r="H493" s="934"/>
      <c r="I493" s="934"/>
      <c r="J493" s="934"/>
      <c r="K493" s="934"/>
      <c r="L493" s="934"/>
      <c r="M493" s="934"/>
      <c r="N493" s="934"/>
      <c r="O493" s="934"/>
      <c r="P493" s="934"/>
      <c r="Q493" s="934"/>
      <c r="R493" s="934"/>
      <c r="S493" s="934"/>
      <c r="T493" s="934"/>
      <c r="U493" s="934"/>
      <c r="V493" s="934"/>
      <c r="W493" s="934"/>
      <c r="X493" s="934"/>
      <c r="Y493" s="934"/>
      <c r="Z493" s="934"/>
    </row>
    <row r="494" ht="15.75" customHeight="1">
      <c r="A494" s="571"/>
      <c r="B494" s="934"/>
      <c r="C494" s="934"/>
      <c r="D494" s="934"/>
      <c r="E494" s="934"/>
      <c r="F494" s="934"/>
      <c r="G494" s="571"/>
      <c r="H494" s="934"/>
      <c r="I494" s="934"/>
      <c r="J494" s="934"/>
      <c r="K494" s="934"/>
      <c r="L494" s="934"/>
      <c r="M494" s="934"/>
      <c r="N494" s="934"/>
      <c r="O494" s="934"/>
      <c r="P494" s="934"/>
      <c r="Q494" s="934"/>
      <c r="R494" s="934"/>
      <c r="S494" s="934"/>
      <c r="T494" s="934"/>
      <c r="U494" s="934"/>
      <c r="V494" s="934"/>
      <c r="W494" s="934"/>
      <c r="X494" s="934"/>
      <c r="Y494" s="934"/>
      <c r="Z494" s="934"/>
    </row>
    <row r="495" ht="15.75" customHeight="1">
      <c r="A495" s="571"/>
      <c r="B495" s="934"/>
      <c r="C495" s="934"/>
      <c r="D495" s="934"/>
      <c r="E495" s="934"/>
      <c r="F495" s="934"/>
      <c r="G495" s="571"/>
      <c r="H495" s="934"/>
      <c r="I495" s="934"/>
      <c r="J495" s="934"/>
      <c r="K495" s="934"/>
      <c r="L495" s="934"/>
      <c r="M495" s="934"/>
      <c r="N495" s="934"/>
      <c r="O495" s="934"/>
      <c r="P495" s="934"/>
      <c r="Q495" s="934"/>
      <c r="R495" s="934"/>
      <c r="S495" s="934"/>
      <c r="T495" s="934"/>
      <c r="U495" s="934"/>
      <c r="V495" s="934"/>
      <c r="W495" s="934"/>
      <c r="X495" s="934"/>
      <c r="Y495" s="934"/>
      <c r="Z495" s="934"/>
    </row>
    <row r="496" ht="15.75" customHeight="1">
      <c r="A496" s="571"/>
      <c r="B496" s="934"/>
      <c r="C496" s="934"/>
      <c r="D496" s="934"/>
      <c r="E496" s="934"/>
      <c r="F496" s="934"/>
      <c r="G496" s="571"/>
      <c r="H496" s="934"/>
      <c r="I496" s="934"/>
      <c r="J496" s="934"/>
      <c r="K496" s="934"/>
      <c r="L496" s="934"/>
      <c r="M496" s="934"/>
      <c r="N496" s="934"/>
      <c r="O496" s="934"/>
      <c r="P496" s="934"/>
      <c r="Q496" s="934"/>
      <c r="R496" s="934"/>
      <c r="S496" s="934"/>
      <c r="T496" s="934"/>
      <c r="U496" s="934"/>
      <c r="V496" s="934"/>
      <c r="W496" s="934"/>
      <c r="X496" s="934"/>
      <c r="Y496" s="934"/>
      <c r="Z496" s="934"/>
    </row>
    <row r="497" ht="15.75" customHeight="1">
      <c r="A497" s="571"/>
      <c r="B497" s="934"/>
      <c r="C497" s="934"/>
      <c r="D497" s="934"/>
      <c r="E497" s="934"/>
      <c r="F497" s="934"/>
      <c r="G497" s="571"/>
      <c r="H497" s="934"/>
      <c r="I497" s="934"/>
      <c r="J497" s="934"/>
      <c r="K497" s="934"/>
      <c r="L497" s="934"/>
      <c r="M497" s="934"/>
      <c r="N497" s="934"/>
      <c r="O497" s="934"/>
      <c r="P497" s="934"/>
      <c r="Q497" s="934"/>
      <c r="R497" s="934"/>
      <c r="S497" s="934"/>
      <c r="T497" s="934"/>
      <c r="U497" s="934"/>
      <c r="V497" s="934"/>
      <c r="W497" s="934"/>
      <c r="X497" s="934"/>
      <c r="Y497" s="934"/>
      <c r="Z497" s="934"/>
    </row>
    <row r="498" ht="15.75" customHeight="1">
      <c r="A498" s="571"/>
      <c r="B498" s="934"/>
      <c r="C498" s="934"/>
      <c r="D498" s="934"/>
      <c r="E498" s="934"/>
      <c r="F498" s="934"/>
      <c r="G498" s="571"/>
      <c r="H498" s="934"/>
      <c r="I498" s="934"/>
      <c r="J498" s="934"/>
      <c r="K498" s="934"/>
      <c r="L498" s="934"/>
      <c r="M498" s="934"/>
      <c r="N498" s="934"/>
      <c r="O498" s="934"/>
      <c r="P498" s="934"/>
      <c r="Q498" s="934"/>
      <c r="R498" s="934"/>
      <c r="S498" s="934"/>
      <c r="T498" s="934"/>
      <c r="U498" s="934"/>
      <c r="V498" s="934"/>
      <c r="W498" s="934"/>
      <c r="X498" s="934"/>
      <c r="Y498" s="934"/>
      <c r="Z498" s="934"/>
    </row>
    <row r="499" ht="15.75" customHeight="1">
      <c r="A499" s="571"/>
      <c r="B499" s="934"/>
      <c r="C499" s="934"/>
      <c r="D499" s="934"/>
      <c r="E499" s="934"/>
      <c r="F499" s="934"/>
      <c r="G499" s="571"/>
      <c r="H499" s="934"/>
      <c r="I499" s="934"/>
      <c r="J499" s="934"/>
      <c r="K499" s="934"/>
      <c r="L499" s="934"/>
      <c r="M499" s="934"/>
      <c r="N499" s="934"/>
      <c r="O499" s="934"/>
      <c r="P499" s="934"/>
      <c r="Q499" s="934"/>
      <c r="R499" s="934"/>
      <c r="S499" s="934"/>
      <c r="T499" s="934"/>
      <c r="U499" s="934"/>
      <c r="V499" s="934"/>
      <c r="W499" s="934"/>
      <c r="X499" s="934"/>
      <c r="Y499" s="934"/>
      <c r="Z499" s="934"/>
    </row>
    <row r="500" ht="15.75" customHeight="1">
      <c r="A500" s="571"/>
      <c r="B500" s="934"/>
      <c r="C500" s="934"/>
      <c r="D500" s="934"/>
      <c r="E500" s="934"/>
      <c r="F500" s="934"/>
      <c r="G500" s="571"/>
      <c r="H500" s="934"/>
      <c r="I500" s="934"/>
      <c r="J500" s="934"/>
      <c r="K500" s="934"/>
      <c r="L500" s="934"/>
      <c r="M500" s="934"/>
      <c r="N500" s="934"/>
      <c r="O500" s="934"/>
      <c r="P500" s="934"/>
      <c r="Q500" s="934"/>
      <c r="R500" s="934"/>
      <c r="S500" s="934"/>
      <c r="T500" s="934"/>
      <c r="U500" s="934"/>
      <c r="V500" s="934"/>
      <c r="W500" s="934"/>
      <c r="X500" s="934"/>
      <c r="Y500" s="934"/>
      <c r="Z500" s="934"/>
    </row>
    <row r="501" ht="15.75" customHeight="1">
      <c r="A501" s="571"/>
      <c r="B501" s="934"/>
      <c r="C501" s="934"/>
      <c r="D501" s="934"/>
      <c r="E501" s="934"/>
      <c r="F501" s="934"/>
      <c r="G501" s="571"/>
      <c r="H501" s="934"/>
      <c r="I501" s="934"/>
      <c r="J501" s="934"/>
      <c r="K501" s="934"/>
      <c r="L501" s="934"/>
      <c r="M501" s="934"/>
      <c r="N501" s="934"/>
      <c r="O501" s="934"/>
      <c r="P501" s="934"/>
      <c r="Q501" s="934"/>
      <c r="R501" s="934"/>
      <c r="S501" s="934"/>
      <c r="T501" s="934"/>
      <c r="U501" s="934"/>
      <c r="V501" s="934"/>
      <c r="W501" s="934"/>
      <c r="X501" s="934"/>
      <c r="Y501" s="934"/>
      <c r="Z501" s="934"/>
    </row>
    <row r="502" ht="15.75" customHeight="1">
      <c r="A502" s="571"/>
      <c r="B502" s="934"/>
      <c r="C502" s="934"/>
      <c r="D502" s="934"/>
      <c r="E502" s="934"/>
      <c r="F502" s="934"/>
      <c r="G502" s="571"/>
      <c r="H502" s="934"/>
      <c r="I502" s="934"/>
      <c r="J502" s="934"/>
      <c r="K502" s="934"/>
      <c r="L502" s="934"/>
      <c r="M502" s="934"/>
      <c r="N502" s="934"/>
      <c r="O502" s="934"/>
      <c r="P502" s="934"/>
      <c r="Q502" s="934"/>
      <c r="R502" s="934"/>
      <c r="S502" s="934"/>
      <c r="T502" s="934"/>
      <c r="U502" s="934"/>
      <c r="V502" s="934"/>
      <c r="W502" s="934"/>
      <c r="X502" s="934"/>
      <c r="Y502" s="934"/>
      <c r="Z502" s="934"/>
    </row>
    <row r="503" ht="15.75" customHeight="1">
      <c r="A503" s="571"/>
      <c r="B503" s="934"/>
      <c r="C503" s="934"/>
      <c r="D503" s="934"/>
      <c r="E503" s="934"/>
      <c r="F503" s="934"/>
      <c r="G503" s="571"/>
      <c r="H503" s="934"/>
      <c r="I503" s="934"/>
      <c r="J503" s="934"/>
      <c r="K503" s="934"/>
      <c r="L503" s="934"/>
      <c r="M503" s="934"/>
      <c r="N503" s="934"/>
      <c r="O503" s="934"/>
      <c r="P503" s="934"/>
      <c r="Q503" s="934"/>
      <c r="R503" s="934"/>
      <c r="S503" s="934"/>
      <c r="T503" s="934"/>
      <c r="U503" s="934"/>
      <c r="V503" s="934"/>
      <c r="W503" s="934"/>
      <c r="X503" s="934"/>
      <c r="Y503" s="934"/>
      <c r="Z503" s="934"/>
    </row>
    <row r="504" ht="15.75" customHeight="1">
      <c r="A504" s="571"/>
      <c r="B504" s="934"/>
      <c r="C504" s="934"/>
      <c r="D504" s="934"/>
      <c r="E504" s="934"/>
      <c r="F504" s="934"/>
      <c r="G504" s="571"/>
      <c r="H504" s="934"/>
      <c r="I504" s="934"/>
      <c r="J504" s="934"/>
      <c r="K504" s="934"/>
      <c r="L504" s="934"/>
      <c r="M504" s="934"/>
      <c r="N504" s="934"/>
      <c r="O504" s="934"/>
      <c r="P504" s="934"/>
      <c r="Q504" s="934"/>
      <c r="R504" s="934"/>
      <c r="S504" s="934"/>
      <c r="T504" s="934"/>
      <c r="U504" s="934"/>
      <c r="V504" s="934"/>
      <c r="W504" s="934"/>
      <c r="X504" s="934"/>
      <c r="Y504" s="934"/>
      <c r="Z504" s="934"/>
    </row>
    <row r="505" ht="15.75" customHeight="1">
      <c r="A505" s="571"/>
      <c r="B505" s="934"/>
      <c r="C505" s="934"/>
      <c r="D505" s="934"/>
      <c r="E505" s="934"/>
      <c r="F505" s="934"/>
      <c r="G505" s="571"/>
      <c r="H505" s="934"/>
      <c r="I505" s="934"/>
      <c r="J505" s="934"/>
      <c r="K505" s="934"/>
      <c r="L505" s="934"/>
      <c r="M505" s="934"/>
      <c r="N505" s="934"/>
      <c r="O505" s="934"/>
      <c r="P505" s="934"/>
      <c r="Q505" s="934"/>
      <c r="R505" s="934"/>
      <c r="S505" s="934"/>
      <c r="T505" s="934"/>
      <c r="U505" s="934"/>
      <c r="V505" s="934"/>
      <c r="W505" s="934"/>
      <c r="X505" s="934"/>
      <c r="Y505" s="934"/>
      <c r="Z505" s="934"/>
    </row>
    <row r="506" ht="15.75" customHeight="1">
      <c r="A506" s="571"/>
      <c r="B506" s="934"/>
      <c r="C506" s="934"/>
      <c r="D506" s="934"/>
      <c r="E506" s="934"/>
      <c r="F506" s="934"/>
      <c r="G506" s="571"/>
      <c r="H506" s="934"/>
      <c r="I506" s="934"/>
      <c r="J506" s="934"/>
      <c r="K506" s="934"/>
      <c r="L506" s="934"/>
      <c r="M506" s="934"/>
      <c r="N506" s="934"/>
      <c r="O506" s="934"/>
      <c r="P506" s="934"/>
      <c r="Q506" s="934"/>
      <c r="R506" s="934"/>
      <c r="S506" s="934"/>
      <c r="T506" s="934"/>
      <c r="U506" s="934"/>
      <c r="V506" s="934"/>
      <c r="W506" s="934"/>
      <c r="X506" s="934"/>
      <c r="Y506" s="934"/>
      <c r="Z506" s="934"/>
    </row>
    <row r="507" ht="15.75" customHeight="1">
      <c r="A507" s="571"/>
      <c r="B507" s="934"/>
      <c r="C507" s="934"/>
      <c r="D507" s="934"/>
      <c r="E507" s="934"/>
      <c r="F507" s="934"/>
      <c r="G507" s="571"/>
      <c r="H507" s="934"/>
      <c r="I507" s="934"/>
      <c r="J507" s="934"/>
      <c r="K507" s="934"/>
      <c r="L507" s="934"/>
      <c r="M507" s="934"/>
      <c r="N507" s="934"/>
      <c r="O507" s="934"/>
      <c r="P507" s="934"/>
      <c r="Q507" s="934"/>
      <c r="R507" s="934"/>
      <c r="S507" s="934"/>
      <c r="T507" s="934"/>
      <c r="U507" s="934"/>
      <c r="V507" s="934"/>
      <c r="W507" s="934"/>
      <c r="X507" s="934"/>
      <c r="Y507" s="934"/>
      <c r="Z507" s="934"/>
    </row>
    <row r="508" ht="15.75" customHeight="1">
      <c r="A508" s="571"/>
      <c r="B508" s="934"/>
      <c r="C508" s="934"/>
      <c r="D508" s="934"/>
      <c r="E508" s="934"/>
      <c r="F508" s="934"/>
      <c r="G508" s="571"/>
      <c r="H508" s="934"/>
      <c r="I508" s="934"/>
      <c r="J508" s="934"/>
      <c r="K508" s="934"/>
      <c r="L508" s="934"/>
      <c r="M508" s="934"/>
      <c r="N508" s="934"/>
      <c r="O508" s="934"/>
      <c r="P508" s="934"/>
      <c r="Q508" s="934"/>
      <c r="R508" s="934"/>
      <c r="S508" s="934"/>
      <c r="T508" s="934"/>
      <c r="U508" s="934"/>
      <c r="V508" s="934"/>
      <c r="W508" s="934"/>
      <c r="X508" s="934"/>
      <c r="Y508" s="934"/>
      <c r="Z508" s="934"/>
    </row>
    <row r="509" ht="15.75" customHeight="1">
      <c r="A509" s="571"/>
      <c r="B509" s="934"/>
      <c r="C509" s="934"/>
      <c r="D509" s="934"/>
      <c r="E509" s="934"/>
      <c r="F509" s="934"/>
      <c r="G509" s="571"/>
      <c r="H509" s="934"/>
      <c r="I509" s="934"/>
      <c r="J509" s="934"/>
      <c r="K509" s="934"/>
      <c r="L509" s="934"/>
      <c r="M509" s="934"/>
      <c r="N509" s="934"/>
      <c r="O509" s="934"/>
      <c r="P509" s="934"/>
      <c r="Q509" s="934"/>
      <c r="R509" s="934"/>
      <c r="S509" s="934"/>
      <c r="T509" s="934"/>
      <c r="U509" s="934"/>
      <c r="V509" s="934"/>
      <c r="W509" s="934"/>
      <c r="X509" s="934"/>
      <c r="Y509" s="934"/>
      <c r="Z509" s="934"/>
    </row>
    <row r="510" ht="15.75" customHeight="1">
      <c r="A510" s="571"/>
      <c r="B510" s="934"/>
      <c r="C510" s="934"/>
      <c r="D510" s="934"/>
      <c r="E510" s="934"/>
      <c r="F510" s="934"/>
      <c r="G510" s="571"/>
      <c r="H510" s="934"/>
      <c r="I510" s="934"/>
      <c r="J510" s="934"/>
      <c r="K510" s="934"/>
      <c r="L510" s="934"/>
      <c r="M510" s="934"/>
      <c r="N510" s="934"/>
      <c r="O510" s="934"/>
      <c r="P510" s="934"/>
      <c r="Q510" s="934"/>
      <c r="R510" s="934"/>
      <c r="S510" s="934"/>
      <c r="T510" s="934"/>
      <c r="U510" s="934"/>
      <c r="V510" s="934"/>
      <c r="W510" s="934"/>
      <c r="X510" s="934"/>
      <c r="Y510" s="934"/>
      <c r="Z510" s="934"/>
    </row>
    <row r="511" ht="15.75" customHeight="1">
      <c r="A511" s="571"/>
      <c r="B511" s="934"/>
      <c r="C511" s="934"/>
      <c r="D511" s="934"/>
      <c r="E511" s="934"/>
      <c r="F511" s="934"/>
      <c r="G511" s="571"/>
      <c r="H511" s="934"/>
      <c r="I511" s="934"/>
      <c r="J511" s="934"/>
      <c r="K511" s="934"/>
      <c r="L511" s="934"/>
      <c r="M511" s="934"/>
      <c r="N511" s="934"/>
      <c r="O511" s="934"/>
      <c r="P511" s="934"/>
      <c r="Q511" s="934"/>
      <c r="R511" s="934"/>
      <c r="S511" s="934"/>
      <c r="T511" s="934"/>
      <c r="U511" s="934"/>
      <c r="V511" s="934"/>
      <c r="W511" s="934"/>
      <c r="X511" s="934"/>
      <c r="Y511" s="934"/>
      <c r="Z511" s="934"/>
    </row>
    <row r="512" ht="15.75" customHeight="1">
      <c r="A512" s="571"/>
      <c r="B512" s="934"/>
      <c r="C512" s="934"/>
      <c r="D512" s="934"/>
      <c r="E512" s="934"/>
      <c r="F512" s="934"/>
      <c r="G512" s="571"/>
      <c r="H512" s="934"/>
      <c r="I512" s="934"/>
      <c r="J512" s="934"/>
      <c r="K512" s="934"/>
      <c r="L512" s="934"/>
      <c r="M512" s="934"/>
      <c r="N512" s="934"/>
      <c r="O512" s="934"/>
      <c r="P512" s="934"/>
      <c r="Q512" s="934"/>
      <c r="R512" s="934"/>
      <c r="S512" s="934"/>
      <c r="T512" s="934"/>
      <c r="U512" s="934"/>
      <c r="V512" s="934"/>
      <c r="W512" s="934"/>
      <c r="X512" s="934"/>
      <c r="Y512" s="934"/>
      <c r="Z512" s="934"/>
    </row>
    <row r="513" ht="15.75" customHeight="1">
      <c r="A513" s="571"/>
      <c r="B513" s="934"/>
      <c r="C513" s="934"/>
      <c r="D513" s="934"/>
      <c r="E513" s="934"/>
      <c r="F513" s="934"/>
      <c r="G513" s="571"/>
      <c r="H513" s="934"/>
      <c r="I513" s="934"/>
      <c r="J513" s="934"/>
      <c r="K513" s="934"/>
      <c r="L513" s="934"/>
      <c r="M513" s="934"/>
      <c r="N513" s="934"/>
      <c r="O513" s="934"/>
      <c r="P513" s="934"/>
      <c r="Q513" s="934"/>
      <c r="R513" s="934"/>
      <c r="S513" s="934"/>
      <c r="T513" s="934"/>
      <c r="U513" s="934"/>
      <c r="V513" s="934"/>
      <c r="W513" s="934"/>
      <c r="X513" s="934"/>
      <c r="Y513" s="934"/>
      <c r="Z513" s="934"/>
    </row>
    <row r="514" ht="15.75" customHeight="1">
      <c r="A514" s="571"/>
      <c r="B514" s="934"/>
      <c r="C514" s="934"/>
      <c r="D514" s="934"/>
      <c r="E514" s="934"/>
      <c r="F514" s="934"/>
      <c r="G514" s="571"/>
      <c r="H514" s="934"/>
      <c r="I514" s="934"/>
      <c r="J514" s="934"/>
      <c r="K514" s="934"/>
      <c r="L514" s="934"/>
      <c r="M514" s="934"/>
      <c r="N514" s="934"/>
      <c r="O514" s="934"/>
      <c r="P514" s="934"/>
      <c r="Q514" s="934"/>
      <c r="R514" s="934"/>
      <c r="S514" s="934"/>
      <c r="T514" s="934"/>
      <c r="U514" s="934"/>
      <c r="V514" s="934"/>
      <c r="W514" s="934"/>
      <c r="X514" s="934"/>
      <c r="Y514" s="934"/>
      <c r="Z514" s="934"/>
    </row>
    <row r="515" ht="15.75" customHeight="1">
      <c r="A515" s="571"/>
      <c r="B515" s="934"/>
      <c r="C515" s="934"/>
      <c r="D515" s="934"/>
      <c r="E515" s="934"/>
      <c r="F515" s="934"/>
      <c r="G515" s="571"/>
      <c r="H515" s="934"/>
      <c r="I515" s="934"/>
      <c r="J515" s="934"/>
      <c r="K515" s="934"/>
      <c r="L515" s="934"/>
      <c r="M515" s="934"/>
      <c r="N515" s="934"/>
      <c r="O515" s="934"/>
      <c r="P515" s="934"/>
      <c r="Q515" s="934"/>
      <c r="R515" s="934"/>
      <c r="S515" s="934"/>
      <c r="T515" s="934"/>
      <c r="U515" s="934"/>
      <c r="V515" s="934"/>
      <c r="W515" s="934"/>
      <c r="X515" s="934"/>
      <c r="Y515" s="934"/>
      <c r="Z515" s="934"/>
    </row>
    <row r="516" ht="15.75" customHeight="1">
      <c r="A516" s="571"/>
      <c r="B516" s="934"/>
      <c r="C516" s="934"/>
      <c r="D516" s="934"/>
      <c r="E516" s="934"/>
      <c r="F516" s="934"/>
      <c r="G516" s="571"/>
      <c r="H516" s="934"/>
      <c r="I516" s="934"/>
      <c r="J516" s="934"/>
      <c r="K516" s="934"/>
      <c r="L516" s="934"/>
      <c r="M516" s="934"/>
      <c r="N516" s="934"/>
      <c r="O516" s="934"/>
      <c r="P516" s="934"/>
      <c r="Q516" s="934"/>
      <c r="R516" s="934"/>
      <c r="S516" s="934"/>
      <c r="T516" s="934"/>
      <c r="U516" s="934"/>
      <c r="V516" s="934"/>
      <c r="W516" s="934"/>
      <c r="X516" s="934"/>
      <c r="Y516" s="934"/>
      <c r="Z516" s="934"/>
    </row>
    <row r="517" ht="15.75" customHeight="1">
      <c r="A517" s="571"/>
      <c r="B517" s="934"/>
      <c r="C517" s="934"/>
      <c r="D517" s="934"/>
      <c r="E517" s="934"/>
      <c r="F517" s="934"/>
      <c r="G517" s="571"/>
      <c r="H517" s="934"/>
      <c r="I517" s="934"/>
      <c r="J517" s="934"/>
      <c r="K517" s="934"/>
      <c r="L517" s="934"/>
      <c r="M517" s="934"/>
      <c r="N517" s="934"/>
      <c r="O517" s="934"/>
      <c r="P517" s="934"/>
      <c r="Q517" s="934"/>
      <c r="R517" s="934"/>
      <c r="S517" s="934"/>
      <c r="T517" s="934"/>
      <c r="U517" s="934"/>
      <c r="V517" s="934"/>
      <c r="W517" s="934"/>
      <c r="X517" s="934"/>
      <c r="Y517" s="934"/>
      <c r="Z517" s="934"/>
    </row>
    <row r="518" ht="15.75" customHeight="1">
      <c r="A518" s="571"/>
      <c r="B518" s="934"/>
      <c r="C518" s="934"/>
      <c r="D518" s="934"/>
      <c r="E518" s="934"/>
      <c r="F518" s="934"/>
      <c r="G518" s="571"/>
      <c r="H518" s="934"/>
      <c r="I518" s="934"/>
      <c r="J518" s="934"/>
      <c r="K518" s="934"/>
      <c r="L518" s="934"/>
      <c r="M518" s="934"/>
      <c r="N518" s="934"/>
      <c r="O518" s="934"/>
      <c r="P518" s="934"/>
      <c r="Q518" s="934"/>
      <c r="R518" s="934"/>
      <c r="S518" s="934"/>
      <c r="T518" s="934"/>
      <c r="U518" s="934"/>
      <c r="V518" s="934"/>
      <c r="W518" s="934"/>
      <c r="X518" s="934"/>
      <c r="Y518" s="934"/>
      <c r="Z518" s="934"/>
    </row>
    <row r="519" ht="15.75" customHeight="1">
      <c r="A519" s="571"/>
      <c r="B519" s="934"/>
      <c r="C519" s="934"/>
      <c r="D519" s="934"/>
      <c r="E519" s="934"/>
      <c r="F519" s="934"/>
      <c r="G519" s="571"/>
      <c r="H519" s="934"/>
      <c r="I519" s="934"/>
      <c r="J519" s="934"/>
      <c r="K519" s="934"/>
      <c r="L519" s="934"/>
      <c r="M519" s="934"/>
      <c r="N519" s="934"/>
      <c r="O519" s="934"/>
      <c r="P519" s="934"/>
      <c r="Q519" s="934"/>
      <c r="R519" s="934"/>
      <c r="S519" s="934"/>
      <c r="T519" s="934"/>
      <c r="U519" s="934"/>
      <c r="V519" s="934"/>
      <c r="W519" s="934"/>
      <c r="X519" s="934"/>
      <c r="Y519" s="934"/>
      <c r="Z519" s="934"/>
    </row>
    <row r="520" ht="15.75" customHeight="1">
      <c r="A520" s="571"/>
      <c r="B520" s="934"/>
      <c r="C520" s="934"/>
      <c r="D520" s="934"/>
      <c r="E520" s="934"/>
      <c r="F520" s="934"/>
      <c r="G520" s="571"/>
      <c r="H520" s="934"/>
      <c r="I520" s="934"/>
      <c r="J520" s="934"/>
      <c r="K520" s="934"/>
      <c r="L520" s="934"/>
      <c r="M520" s="934"/>
      <c r="N520" s="934"/>
      <c r="O520" s="934"/>
      <c r="P520" s="934"/>
      <c r="Q520" s="934"/>
      <c r="R520" s="934"/>
      <c r="S520" s="934"/>
      <c r="T520" s="934"/>
      <c r="U520" s="934"/>
      <c r="V520" s="934"/>
      <c r="W520" s="934"/>
      <c r="X520" s="934"/>
      <c r="Y520" s="934"/>
      <c r="Z520" s="934"/>
    </row>
    <row r="521" ht="15.75" customHeight="1">
      <c r="A521" s="571"/>
      <c r="B521" s="934"/>
      <c r="C521" s="934"/>
      <c r="D521" s="934"/>
      <c r="E521" s="934"/>
      <c r="F521" s="934"/>
      <c r="G521" s="571"/>
      <c r="H521" s="934"/>
      <c r="I521" s="934"/>
      <c r="J521" s="934"/>
      <c r="K521" s="934"/>
      <c r="L521" s="934"/>
      <c r="M521" s="934"/>
      <c r="N521" s="934"/>
      <c r="O521" s="934"/>
      <c r="P521" s="934"/>
      <c r="Q521" s="934"/>
      <c r="R521" s="934"/>
      <c r="S521" s="934"/>
      <c r="T521" s="934"/>
      <c r="U521" s="934"/>
      <c r="V521" s="934"/>
      <c r="W521" s="934"/>
      <c r="X521" s="934"/>
      <c r="Y521" s="934"/>
      <c r="Z521" s="934"/>
    </row>
    <row r="522" ht="15.75" customHeight="1">
      <c r="A522" s="571"/>
      <c r="B522" s="934"/>
      <c r="C522" s="934"/>
      <c r="D522" s="934"/>
      <c r="E522" s="934"/>
      <c r="F522" s="934"/>
      <c r="G522" s="571"/>
      <c r="H522" s="934"/>
      <c r="I522" s="934"/>
      <c r="J522" s="934"/>
      <c r="K522" s="934"/>
      <c r="L522" s="934"/>
      <c r="M522" s="934"/>
      <c r="N522" s="934"/>
      <c r="O522" s="934"/>
      <c r="P522" s="934"/>
      <c r="Q522" s="934"/>
      <c r="R522" s="934"/>
      <c r="S522" s="934"/>
      <c r="T522" s="934"/>
      <c r="U522" s="934"/>
      <c r="V522" s="934"/>
      <c r="W522" s="934"/>
      <c r="X522" s="934"/>
      <c r="Y522" s="934"/>
      <c r="Z522" s="934"/>
    </row>
    <row r="523" ht="15.75" customHeight="1">
      <c r="A523" s="571"/>
      <c r="B523" s="934"/>
      <c r="C523" s="934"/>
      <c r="D523" s="934"/>
      <c r="E523" s="934"/>
      <c r="F523" s="934"/>
      <c r="G523" s="571"/>
      <c r="H523" s="934"/>
      <c r="I523" s="934"/>
      <c r="J523" s="934"/>
      <c r="K523" s="934"/>
      <c r="L523" s="934"/>
      <c r="M523" s="934"/>
      <c r="N523" s="934"/>
      <c r="O523" s="934"/>
      <c r="P523" s="934"/>
      <c r="Q523" s="934"/>
      <c r="R523" s="934"/>
      <c r="S523" s="934"/>
      <c r="T523" s="934"/>
      <c r="U523" s="934"/>
      <c r="V523" s="934"/>
      <c r="W523" s="934"/>
      <c r="X523" s="934"/>
      <c r="Y523" s="934"/>
      <c r="Z523" s="934"/>
    </row>
    <row r="524" ht="15.75" customHeight="1">
      <c r="A524" s="571"/>
      <c r="B524" s="934"/>
      <c r="C524" s="934"/>
      <c r="D524" s="934"/>
      <c r="E524" s="934"/>
      <c r="F524" s="934"/>
      <c r="G524" s="571"/>
      <c r="H524" s="934"/>
      <c r="I524" s="934"/>
      <c r="J524" s="934"/>
      <c r="K524" s="934"/>
      <c r="L524" s="934"/>
      <c r="M524" s="934"/>
      <c r="N524" s="934"/>
      <c r="O524" s="934"/>
      <c r="P524" s="934"/>
      <c r="Q524" s="934"/>
      <c r="R524" s="934"/>
      <c r="S524" s="934"/>
      <c r="T524" s="934"/>
      <c r="U524" s="934"/>
      <c r="V524" s="934"/>
      <c r="W524" s="934"/>
      <c r="X524" s="934"/>
      <c r="Y524" s="934"/>
      <c r="Z524" s="934"/>
    </row>
    <row r="525" ht="15.75" customHeight="1">
      <c r="A525" s="571"/>
      <c r="B525" s="934"/>
      <c r="C525" s="934"/>
      <c r="D525" s="934"/>
      <c r="E525" s="934"/>
      <c r="F525" s="934"/>
      <c r="G525" s="571"/>
      <c r="H525" s="934"/>
      <c r="I525" s="934"/>
      <c r="J525" s="934"/>
      <c r="K525" s="934"/>
      <c r="L525" s="934"/>
      <c r="M525" s="934"/>
      <c r="N525" s="934"/>
      <c r="O525" s="934"/>
      <c r="P525" s="934"/>
      <c r="Q525" s="934"/>
      <c r="R525" s="934"/>
      <c r="S525" s="934"/>
      <c r="T525" s="934"/>
      <c r="U525" s="934"/>
      <c r="V525" s="934"/>
      <c r="W525" s="934"/>
      <c r="X525" s="934"/>
      <c r="Y525" s="934"/>
      <c r="Z525" s="934"/>
    </row>
    <row r="526" ht="15.75" customHeight="1">
      <c r="A526" s="571"/>
      <c r="B526" s="934"/>
      <c r="C526" s="934"/>
      <c r="D526" s="934"/>
      <c r="E526" s="934"/>
      <c r="F526" s="934"/>
      <c r="G526" s="571"/>
      <c r="H526" s="934"/>
      <c r="I526" s="934"/>
      <c r="J526" s="934"/>
      <c r="K526" s="934"/>
      <c r="L526" s="934"/>
      <c r="M526" s="934"/>
      <c r="N526" s="934"/>
      <c r="O526" s="934"/>
      <c r="P526" s="934"/>
      <c r="Q526" s="934"/>
      <c r="R526" s="934"/>
      <c r="S526" s="934"/>
      <c r="T526" s="934"/>
      <c r="U526" s="934"/>
      <c r="V526" s="934"/>
      <c r="W526" s="934"/>
      <c r="X526" s="934"/>
      <c r="Y526" s="934"/>
      <c r="Z526" s="934"/>
    </row>
    <row r="527" ht="15.75" customHeight="1">
      <c r="A527" s="571"/>
      <c r="B527" s="934"/>
      <c r="C527" s="934"/>
      <c r="D527" s="934"/>
      <c r="E527" s="934"/>
      <c r="F527" s="934"/>
      <c r="G527" s="571"/>
      <c r="H527" s="934"/>
      <c r="I527" s="934"/>
      <c r="J527" s="934"/>
      <c r="K527" s="934"/>
      <c r="L527" s="934"/>
      <c r="M527" s="934"/>
      <c r="N527" s="934"/>
      <c r="O527" s="934"/>
      <c r="P527" s="934"/>
      <c r="Q527" s="934"/>
      <c r="R527" s="934"/>
      <c r="S527" s="934"/>
      <c r="T527" s="934"/>
      <c r="U527" s="934"/>
      <c r="V527" s="934"/>
      <c r="W527" s="934"/>
      <c r="X527" s="934"/>
      <c r="Y527" s="934"/>
      <c r="Z527" s="934"/>
    </row>
    <row r="528" ht="15.75" customHeight="1">
      <c r="A528" s="571"/>
      <c r="B528" s="934"/>
      <c r="C528" s="934"/>
      <c r="D528" s="934"/>
      <c r="E528" s="934"/>
      <c r="F528" s="934"/>
      <c r="G528" s="571"/>
      <c r="H528" s="934"/>
      <c r="I528" s="934"/>
      <c r="J528" s="934"/>
      <c r="K528" s="934"/>
      <c r="L528" s="934"/>
      <c r="M528" s="934"/>
      <c r="N528" s="934"/>
      <c r="O528" s="934"/>
      <c r="P528" s="934"/>
      <c r="Q528" s="934"/>
      <c r="R528" s="934"/>
      <c r="S528" s="934"/>
      <c r="T528" s="934"/>
      <c r="U528" s="934"/>
      <c r="V528" s="934"/>
      <c r="W528" s="934"/>
      <c r="X528" s="934"/>
      <c r="Y528" s="934"/>
      <c r="Z528" s="934"/>
    </row>
    <row r="529" ht="15.75" customHeight="1">
      <c r="A529" s="571"/>
      <c r="B529" s="934"/>
      <c r="C529" s="934"/>
      <c r="D529" s="934"/>
      <c r="E529" s="934"/>
      <c r="F529" s="934"/>
      <c r="G529" s="571"/>
      <c r="H529" s="934"/>
      <c r="I529" s="934"/>
      <c r="J529" s="934"/>
      <c r="K529" s="934"/>
      <c r="L529" s="934"/>
      <c r="M529" s="934"/>
      <c r="N529" s="934"/>
      <c r="O529" s="934"/>
      <c r="P529" s="934"/>
      <c r="Q529" s="934"/>
      <c r="R529" s="934"/>
      <c r="S529" s="934"/>
      <c r="T529" s="934"/>
      <c r="U529" s="934"/>
      <c r="V529" s="934"/>
      <c r="W529" s="934"/>
      <c r="X529" s="934"/>
      <c r="Y529" s="934"/>
      <c r="Z529" s="934"/>
    </row>
    <row r="530" ht="15.75" customHeight="1">
      <c r="A530" s="571"/>
      <c r="B530" s="934"/>
      <c r="C530" s="934"/>
      <c r="D530" s="934"/>
      <c r="E530" s="934"/>
      <c r="F530" s="934"/>
      <c r="G530" s="571"/>
      <c r="H530" s="934"/>
      <c r="I530" s="934"/>
      <c r="J530" s="934"/>
      <c r="K530" s="934"/>
      <c r="L530" s="934"/>
      <c r="M530" s="934"/>
      <c r="N530" s="934"/>
      <c r="O530" s="934"/>
      <c r="P530" s="934"/>
      <c r="Q530" s="934"/>
      <c r="R530" s="934"/>
      <c r="S530" s="934"/>
      <c r="T530" s="934"/>
      <c r="U530" s="934"/>
      <c r="V530" s="934"/>
      <c r="W530" s="934"/>
      <c r="X530" s="934"/>
      <c r="Y530" s="934"/>
      <c r="Z530" s="934"/>
    </row>
    <row r="531" ht="15.75" customHeight="1">
      <c r="A531" s="571"/>
      <c r="B531" s="934"/>
      <c r="C531" s="934"/>
      <c r="D531" s="934"/>
      <c r="E531" s="934"/>
      <c r="F531" s="934"/>
      <c r="G531" s="571"/>
      <c r="H531" s="934"/>
      <c r="I531" s="934"/>
      <c r="J531" s="934"/>
      <c r="K531" s="934"/>
      <c r="L531" s="934"/>
      <c r="M531" s="934"/>
      <c r="N531" s="934"/>
      <c r="O531" s="934"/>
      <c r="P531" s="934"/>
      <c r="Q531" s="934"/>
      <c r="R531" s="934"/>
      <c r="S531" s="934"/>
      <c r="T531" s="934"/>
      <c r="U531" s="934"/>
      <c r="V531" s="934"/>
      <c r="W531" s="934"/>
      <c r="X531" s="934"/>
      <c r="Y531" s="934"/>
      <c r="Z531" s="934"/>
    </row>
    <row r="532" ht="15.75" customHeight="1">
      <c r="A532" s="571"/>
      <c r="B532" s="934"/>
      <c r="C532" s="934"/>
      <c r="D532" s="934"/>
      <c r="E532" s="934"/>
      <c r="F532" s="934"/>
      <c r="G532" s="571"/>
      <c r="H532" s="934"/>
      <c r="I532" s="934"/>
      <c r="J532" s="934"/>
      <c r="K532" s="934"/>
      <c r="L532" s="934"/>
      <c r="M532" s="934"/>
      <c r="N532" s="934"/>
      <c r="O532" s="934"/>
      <c r="P532" s="934"/>
      <c r="Q532" s="934"/>
      <c r="R532" s="934"/>
      <c r="S532" s="934"/>
      <c r="T532" s="934"/>
      <c r="U532" s="934"/>
      <c r="V532" s="934"/>
      <c r="W532" s="934"/>
      <c r="X532" s="934"/>
      <c r="Y532" s="934"/>
      <c r="Z532" s="934"/>
    </row>
    <row r="533" ht="15.75" customHeight="1">
      <c r="A533" s="571"/>
      <c r="B533" s="934"/>
      <c r="C533" s="934"/>
      <c r="D533" s="934"/>
      <c r="E533" s="934"/>
      <c r="F533" s="934"/>
      <c r="G533" s="571"/>
      <c r="H533" s="934"/>
      <c r="I533" s="934"/>
      <c r="J533" s="934"/>
      <c r="K533" s="934"/>
      <c r="L533" s="934"/>
      <c r="M533" s="934"/>
      <c r="N533" s="934"/>
      <c r="O533" s="934"/>
      <c r="P533" s="934"/>
      <c r="Q533" s="934"/>
      <c r="R533" s="934"/>
      <c r="S533" s="934"/>
      <c r="T533" s="934"/>
      <c r="U533" s="934"/>
      <c r="V533" s="934"/>
      <c r="W533" s="934"/>
      <c r="X533" s="934"/>
      <c r="Y533" s="934"/>
      <c r="Z533" s="934"/>
    </row>
    <row r="534" ht="15.75" customHeight="1">
      <c r="A534" s="571"/>
      <c r="B534" s="934"/>
      <c r="C534" s="934"/>
      <c r="D534" s="934"/>
      <c r="E534" s="934"/>
      <c r="F534" s="934"/>
      <c r="G534" s="571"/>
      <c r="H534" s="934"/>
      <c r="I534" s="934"/>
      <c r="J534" s="934"/>
      <c r="K534" s="934"/>
      <c r="L534" s="934"/>
      <c r="M534" s="934"/>
      <c r="N534" s="934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</row>
    <row r="535" ht="15.75" customHeight="1">
      <c r="A535" s="571"/>
      <c r="B535" s="934"/>
      <c r="C535" s="934"/>
      <c r="D535" s="934"/>
      <c r="E535" s="934"/>
      <c r="F535" s="934"/>
      <c r="G535" s="571"/>
      <c r="H535" s="934"/>
      <c r="I535" s="934"/>
      <c r="J535" s="934"/>
      <c r="K535" s="934"/>
      <c r="L535" s="934"/>
      <c r="M535" s="934"/>
      <c r="N535" s="934"/>
      <c r="O535" s="934"/>
      <c r="P535" s="934"/>
      <c r="Q535" s="934"/>
      <c r="R535" s="934"/>
      <c r="S535" s="934"/>
      <c r="T535" s="934"/>
      <c r="U535" s="934"/>
      <c r="V535" s="934"/>
      <c r="W535" s="934"/>
      <c r="X535" s="934"/>
      <c r="Y535" s="934"/>
      <c r="Z535" s="934"/>
    </row>
    <row r="536" ht="15.75" customHeight="1">
      <c r="A536" s="571"/>
      <c r="B536" s="934"/>
      <c r="C536" s="934"/>
      <c r="D536" s="934"/>
      <c r="E536" s="934"/>
      <c r="F536" s="934"/>
      <c r="G536" s="571"/>
      <c r="H536" s="934"/>
      <c r="I536" s="934"/>
      <c r="J536" s="934"/>
      <c r="K536" s="934"/>
      <c r="L536" s="934"/>
      <c r="M536" s="934"/>
      <c r="N536" s="934"/>
      <c r="O536" s="934"/>
      <c r="P536" s="934"/>
      <c r="Q536" s="934"/>
      <c r="R536" s="934"/>
      <c r="S536" s="934"/>
      <c r="T536" s="934"/>
      <c r="U536" s="934"/>
      <c r="V536" s="934"/>
      <c r="W536" s="934"/>
      <c r="X536" s="934"/>
      <c r="Y536" s="934"/>
      <c r="Z536" s="934"/>
    </row>
    <row r="537" ht="15.75" customHeight="1">
      <c r="A537" s="571"/>
      <c r="B537" s="934"/>
      <c r="C537" s="934"/>
      <c r="D537" s="934"/>
      <c r="E537" s="934"/>
      <c r="F537" s="934"/>
      <c r="G537" s="571"/>
      <c r="H537" s="934"/>
      <c r="I537" s="934"/>
      <c r="J537" s="934"/>
      <c r="K537" s="934"/>
      <c r="L537" s="934"/>
      <c r="M537" s="934"/>
      <c r="N537" s="934"/>
      <c r="O537" s="934"/>
      <c r="P537" s="934"/>
      <c r="Q537" s="934"/>
      <c r="R537" s="934"/>
      <c r="S537" s="934"/>
      <c r="T537" s="934"/>
      <c r="U537" s="934"/>
      <c r="V537" s="934"/>
      <c r="W537" s="934"/>
      <c r="X537" s="934"/>
      <c r="Y537" s="934"/>
      <c r="Z537" s="934"/>
    </row>
    <row r="538" ht="15.75" customHeight="1">
      <c r="A538" s="571"/>
      <c r="B538" s="934"/>
      <c r="C538" s="934"/>
      <c r="D538" s="934"/>
      <c r="E538" s="934"/>
      <c r="F538" s="934"/>
      <c r="G538" s="571"/>
      <c r="H538" s="934"/>
      <c r="I538" s="934"/>
      <c r="J538" s="934"/>
      <c r="K538" s="934"/>
      <c r="L538" s="934"/>
      <c r="M538" s="934"/>
      <c r="N538" s="934"/>
      <c r="O538" s="934"/>
      <c r="P538" s="934"/>
      <c r="Q538" s="934"/>
      <c r="R538" s="934"/>
      <c r="S538" s="934"/>
      <c r="T538" s="934"/>
      <c r="U538" s="934"/>
      <c r="V538" s="934"/>
      <c r="W538" s="934"/>
      <c r="X538" s="934"/>
      <c r="Y538" s="934"/>
      <c r="Z538" s="934"/>
    </row>
    <row r="539" ht="15.75" customHeight="1">
      <c r="A539" s="571"/>
      <c r="B539" s="934"/>
      <c r="C539" s="934"/>
      <c r="D539" s="934"/>
      <c r="E539" s="934"/>
      <c r="F539" s="934"/>
      <c r="G539" s="571"/>
      <c r="H539" s="934"/>
      <c r="I539" s="934"/>
      <c r="J539" s="934"/>
      <c r="K539" s="934"/>
      <c r="L539" s="934"/>
      <c r="M539" s="934"/>
      <c r="N539" s="934"/>
      <c r="O539" s="934"/>
      <c r="P539" s="934"/>
      <c r="Q539" s="934"/>
      <c r="R539" s="934"/>
      <c r="S539" s="934"/>
      <c r="T539" s="934"/>
      <c r="U539" s="934"/>
      <c r="V539" s="934"/>
      <c r="W539" s="934"/>
      <c r="X539" s="934"/>
      <c r="Y539" s="934"/>
      <c r="Z539" s="934"/>
    </row>
    <row r="540" ht="15.75" customHeight="1">
      <c r="A540" s="571"/>
      <c r="B540" s="934"/>
      <c r="C540" s="934"/>
      <c r="D540" s="934"/>
      <c r="E540" s="934"/>
      <c r="F540" s="934"/>
      <c r="G540" s="571"/>
      <c r="H540" s="934"/>
      <c r="I540" s="934"/>
      <c r="J540" s="934"/>
      <c r="K540" s="934"/>
      <c r="L540" s="934"/>
      <c r="M540" s="934"/>
      <c r="N540" s="934"/>
      <c r="O540" s="934"/>
      <c r="P540" s="934"/>
      <c r="Q540" s="934"/>
      <c r="R540" s="934"/>
      <c r="S540" s="934"/>
      <c r="T540" s="934"/>
      <c r="U540" s="934"/>
      <c r="V540" s="934"/>
      <c r="W540" s="934"/>
      <c r="X540" s="934"/>
      <c r="Y540" s="934"/>
      <c r="Z540" s="934"/>
    </row>
    <row r="541" ht="15.75" customHeight="1">
      <c r="A541" s="571"/>
      <c r="B541" s="934"/>
      <c r="C541" s="934"/>
      <c r="D541" s="934"/>
      <c r="E541" s="934"/>
      <c r="F541" s="934"/>
      <c r="G541" s="571"/>
      <c r="H541" s="934"/>
      <c r="I541" s="934"/>
      <c r="J541" s="934"/>
      <c r="K541" s="934"/>
      <c r="L541" s="934"/>
      <c r="M541" s="934"/>
      <c r="N541" s="934"/>
      <c r="O541" s="934"/>
      <c r="P541" s="934"/>
      <c r="Q541" s="934"/>
      <c r="R541" s="934"/>
      <c r="S541" s="934"/>
      <c r="T541" s="934"/>
      <c r="U541" s="934"/>
      <c r="V541" s="934"/>
      <c r="W541" s="934"/>
      <c r="X541" s="934"/>
      <c r="Y541" s="934"/>
      <c r="Z541" s="934"/>
    </row>
    <row r="542" ht="15.75" customHeight="1">
      <c r="A542" s="571"/>
      <c r="B542" s="934"/>
      <c r="C542" s="934"/>
      <c r="D542" s="934"/>
      <c r="E542" s="934"/>
      <c r="F542" s="934"/>
      <c r="G542" s="571"/>
      <c r="H542" s="934"/>
      <c r="I542" s="934"/>
      <c r="J542" s="934"/>
      <c r="K542" s="934"/>
      <c r="L542" s="934"/>
      <c r="M542" s="934"/>
      <c r="N542" s="934"/>
      <c r="O542" s="934"/>
      <c r="P542" s="934"/>
      <c r="Q542" s="934"/>
      <c r="R542" s="934"/>
      <c r="S542" s="934"/>
      <c r="T542" s="934"/>
      <c r="U542" s="934"/>
      <c r="V542" s="934"/>
      <c r="W542" s="934"/>
      <c r="X542" s="934"/>
      <c r="Y542" s="934"/>
      <c r="Z542" s="934"/>
    </row>
    <row r="543" ht="15.75" customHeight="1">
      <c r="A543" s="571"/>
      <c r="B543" s="934"/>
      <c r="C543" s="934"/>
      <c r="D543" s="934"/>
      <c r="E543" s="934"/>
      <c r="F543" s="934"/>
      <c r="G543" s="571"/>
      <c r="H543" s="934"/>
      <c r="I543" s="934"/>
      <c r="J543" s="934"/>
      <c r="K543" s="934"/>
      <c r="L543" s="934"/>
      <c r="M543" s="934"/>
      <c r="N543" s="934"/>
      <c r="O543" s="934"/>
      <c r="P543" s="934"/>
      <c r="Q543" s="934"/>
      <c r="R543" s="934"/>
      <c r="S543" s="934"/>
      <c r="T543" s="934"/>
      <c r="U543" s="934"/>
      <c r="V543" s="934"/>
      <c r="W543" s="934"/>
      <c r="X543" s="934"/>
      <c r="Y543" s="934"/>
      <c r="Z543" s="934"/>
    </row>
    <row r="544" ht="15.75" customHeight="1">
      <c r="A544" s="571"/>
      <c r="B544" s="934"/>
      <c r="C544" s="934"/>
      <c r="D544" s="934"/>
      <c r="E544" s="934"/>
      <c r="F544" s="934"/>
      <c r="G544" s="571"/>
      <c r="H544" s="934"/>
      <c r="I544" s="934"/>
      <c r="J544" s="934"/>
      <c r="K544" s="934"/>
      <c r="L544" s="934"/>
      <c r="M544" s="934"/>
      <c r="N544" s="934"/>
      <c r="O544" s="934"/>
      <c r="P544" s="934"/>
      <c r="Q544" s="934"/>
      <c r="R544" s="934"/>
      <c r="S544" s="934"/>
      <c r="T544" s="934"/>
      <c r="U544" s="934"/>
      <c r="V544" s="934"/>
      <c r="W544" s="934"/>
      <c r="X544" s="934"/>
      <c r="Y544" s="934"/>
      <c r="Z544" s="934"/>
    </row>
    <row r="545" ht="15.75" customHeight="1">
      <c r="A545" s="571"/>
      <c r="B545" s="934"/>
      <c r="C545" s="934"/>
      <c r="D545" s="934"/>
      <c r="E545" s="934"/>
      <c r="F545" s="934"/>
      <c r="G545" s="571"/>
      <c r="H545" s="934"/>
      <c r="I545" s="934"/>
      <c r="J545" s="934"/>
      <c r="K545" s="934"/>
      <c r="L545" s="934"/>
      <c r="M545" s="934"/>
      <c r="N545" s="934"/>
      <c r="O545" s="934"/>
      <c r="P545" s="934"/>
      <c r="Q545" s="934"/>
      <c r="R545" s="934"/>
      <c r="S545" s="934"/>
      <c r="T545" s="934"/>
      <c r="U545" s="934"/>
      <c r="V545" s="934"/>
      <c r="W545" s="934"/>
      <c r="X545" s="934"/>
      <c r="Y545" s="934"/>
      <c r="Z545" s="934"/>
    </row>
    <row r="546" ht="15.75" customHeight="1">
      <c r="A546" s="571"/>
      <c r="B546" s="934"/>
      <c r="C546" s="934"/>
      <c r="D546" s="934"/>
      <c r="E546" s="934"/>
      <c r="F546" s="934"/>
      <c r="G546" s="571"/>
      <c r="H546" s="934"/>
      <c r="I546" s="934"/>
      <c r="J546" s="934"/>
      <c r="K546" s="934"/>
      <c r="L546" s="934"/>
      <c r="M546" s="934"/>
      <c r="N546" s="934"/>
      <c r="O546" s="934"/>
      <c r="P546" s="934"/>
      <c r="Q546" s="934"/>
      <c r="R546" s="934"/>
      <c r="S546" s="934"/>
      <c r="T546" s="934"/>
      <c r="U546" s="934"/>
      <c r="V546" s="934"/>
      <c r="W546" s="934"/>
      <c r="X546" s="934"/>
      <c r="Y546" s="934"/>
      <c r="Z546" s="934"/>
    </row>
    <row r="547" ht="15.75" customHeight="1">
      <c r="A547" s="571"/>
      <c r="B547" s="934"/>
      <c r="C547" s="934"/>
      <c r="D547" s="934"/>
      <c r="E547" s="934"/>
      <c r="F547" s="934"/>
      <c r="G547" s="571"/>
      <c r="H547" s="934"/>
      <c r="I547" s="934"/>
      <c r="J547" s="934"/>
      <c r="K547" s="934"/>
      <c r="L547" s="934"/>
      <c r="M547" s="934"/>
      <c r="N547" s="934"/>
      <c r="O547" s="934"/>
      <c r="P547" s="934"/>
      <c r="Q547" s="934"/>
      <c r="R547" s="934"/>
      <c r="S547" s="934"/>
      <c r="T547" s="934"/>
      <c r="U547" s="934"/>
      <c r="V547" s="934"/>
      <c r="W547" s="934"/>
      <c r="X547" s="934"/>
      <c r="Y547" s="934"/>
      <c r="Z547" s="934"/>
    </row>
    <row r="548" ht="15.75" customHeight="1">
      <c r="A548" s="571"/>
      <c r="B548" s="934"/>
      <c r="C548" s="934"/>
      <c r="D548" s="934"/>
      <c r="E548" s="934"/>
      <c r="F548" s="934"/>
      <c r="G548" s="571"/>
      <c r="H548" s="934"/>
      <c r="I548" s="934"/>
      <c r="J548" s="934"/>
      <c r="K548" s="934"/>
      <c r="L548" s="934"/>
      <c r="M548" s="934"/>
      <c r="N548" s="934"/>
      <c r="O548" s="934"/>
      <c r="P548" s="934"/>
      <c r="Q548" s="934"/>
      <c r="R548" s="934"/>
      <c r="S548" s="934"/>
      <c r="T548" s="934"/>
      <c r="U548" s="934"/>
      <c r="V548" s="934"/>
      <c r="W548" s="934"/>
      <c r="X548" s="934"/>
      <c r="Y548" s="934"/>
      <c r="Z548" s="934"/>
    </row>
    <row r="549" ht="15.75" customHeight="1">
      <c r="A549" s="571"/>
      <c r="B549" s="934"/>
      <c r="C549" s="934"/>
      <c r="D549" s="934"/>
      <c r="E549" s="934"/>
      <c r="F549" s="934"/>
      <c r="G549" s="571"/>
      <c r="H549" s="934"/>
      <c r="I549" s="934"/>
      <c r="J549" s="934"/>
      <c r="K549" s="934"/>
      <c r="L549" s="934"/>
      <c r="M549" s="934"/>
      <c r="N549" s="934"/>
      <c r="O549" s="934"/>
      <c r="P549" s="934"/>
      <c r="Q549" s="934"/>
      <c r="R549" s="934"/>
      <c r="S549" s="934"/>
      <c r="T549" s="934"/>
      <c r="U549" s="934"/>
      <c r="V549" s="934"/>
      <c r="W549" s="934"/>
      <c r="X549" s="934"/>
      <c r="Y549" s="934"/>
      <c r="Z549" s="934"/>
    </row>
    <row r="550" ht="15.75" customHeight="1">
      <c r="A550" s="571"/>
      <c r="B550" s="934"/>
      <c r="C550" s="934"/>
      <c r="D550" s="934"/>
      <c r="E550" s="934"/>
      <c r="F550" s="934"/>
      <c r="G550" s="571"/>
      <c r="H550" s="934"/>
      <c r="I550" s="934"/>
      <c r="J550" s="934"/>
      <c r="K550" s="934"/>
      <c r="L550" s="934"/>
      <c r="M550" s="934"/>
      <c r="N550" s="934"/>
      <c r="O550" s="934"/>
      <c r="P550" s="934"/>
      <c r="Q550" s="934"/>
      <c r="R550" s="934"/>
      <c r="S550" s="934"/>
      <c r="T550" s="934"/>
      <c r="U550" s="934"/>
      <c r="V550" s="934"/>
      <c r="W550" s="934"/>
      <c r="X550" s="934"/>
      <c r="Y550" s="934"/>
      <c r="Z550" s="934"/>
    </row>
    <row r="551" ht="15.75" customHeight="1">
      <c r="A551" s="571"/>
      <c r="B551" s="934"/>
      <c r="C551" s="934"/>
      <c r="D551" s="934"/>
      <c r="E551" s="934"/>
      <c r="F551" s="934"/>
      <c r="G551" s="571"/>
      <c r="H551" s="934"/>
      <c r="I551" s="934"/>
      <c r="J551" s="934"/>
      <c r="K551" s="934"/>
      <c r="L551" s="934"/>
      <c r="M551" s="934"/>
      <c r="N551" s="934"/>
      <c r="O551" s="934"/>
      <c r="P551" s="934"/>
      <c r="Q551" s="934"/>
      <c r="R551" s="934"/>
      <c r="S551" s="934"/>
      <c r="T551" s="934"/>
      <c r="U551" s="934"/>
      <c r="V551" s="934"/>
      <c r="W551" s="934"/>
      <c r="X551" s="934"/>
      <c r="Y551" s="934"/>
      <c r="Z551" s="934"/>
    </row>
    <row r="552" ht="15.75" customHeight="1">
      <c r="A552" s="571"/>
      <c r="B552" s="934"/>
      <c r="C552" s="934"/>
      <c r="D552" s="934"/>
      <c r="E552" s="934"/>
      <c r="F552" s="934"/>
      <c r="G552" s="571"/>
      <c r="H552" s="934"/>
      <c r="I552" s="934"/>
      <c r="J552" s="934"/>
      <c r="K552" s="934"/>
      <c r="L552" s="934"/>
      <c r="M552" s="934"/>
      <c r="N552" s="934"/>
      <c r="O552" s="934"/>
      <c r="P552" s="934"/>
      <c r="Q552" s="934"/>
      <c r="R552" s="934"/>
      <c r="S552" s="934"/>
      <c r="T552" s="934"/>
      <c r="U552" s="934"/>
      <c r="V552" s="934"/>
      <c r="W552" s="934"/>
      <c r="X552" s="934"/>
      <c r="Y552" s="934"/>
      <c r="Z552" s="934"/>
    </row>
    <row r="553" ht="15.75" customHeight="1">
      <c r="A553" s="571"/>
      <c r="B553" s="934"/>
      <c r="C553" s="934"/>
      <c r="D553" s="934"/>
      <c r="E553" s="934"/>
      <c r="F553" s="934"/>
      <c r="G553" s="571"/>
      <c r="H553" s="934"/>
      <c r="I553" s="934"/>
      <c r="J553" s="934"/>
      <c r="K553" s="934"/>
      <c r="L553" s="934"/>
      <c r="M553" s="934"/>
      <c r="N553" s="934"/>
      <c r="O553" s="934"/>
      <c r="P553" s="934"/>
      <c r="Q553" s="934"/>
      <c r="R553" s="934"/>
      <c r="S553" s="934"/>
      <c r="T553" s="934"/>
      <c r="U553" s="934"/>
      <c r="V553" s="934"/>
      <c r="W553" s="934"/>
      <c r="X553" s="934"/>
      <c r="Y553" s="934"/>
      <c r="Z553" s="934"/>
    </row>
    <row r="554" ht="15.75" customHeight="1">
      <c r="A554" s="571"/>
      <c r="B554" s="934"/>
      <c r="C554" s="934"/>
      <c r="D554" s="934"/>
      <c r="E554" s="934"/>
      <c r="F554" s="934"/>
      <c r="G554" s="571"/>
      <c r="H554" s="934"/>
      <c r="I554" s="934"/>
      <c r="J554" s="934"/>
      <c r="K554" s="934"/>
      <c r="L554" s="934"/>
      <c r="M554" s="934"/>
      <c r="N554" s="934"/>
      <c r="O554" s="934"/>
      <c r="P554" s="934"/>
      <c r="Q554" s="934"/>
      <c r="R554" s="934"/>
      <c r="S554" s="934"/>
      <c r="T554" s="934"/>
      <c r="U554" s="934"/>
      <c r="V554" s="934"/>
      <c r="W554" s="934"/>
      <c r="X554" s="934"/>
      <c r="Y554" s="934"/>
      <c r="Z554" s="934"/>
    </row>
    <row r="555" ht="15.75" customHeight="1">
      <c r="A555" s="571"/>
      <c r="B555" s="934"/>
      <c r="C555" s="934"/>
      <c r="D555" s="934"/>
      <c r="E555" s="934"/>
      <c r="F555" s="934"/>
      <c r="G555" s="571"/>
      <c r="H555" s="934"/>
      <c r="I555" s="934"/>
      <c r="J555" s="934"/>
      <c r="K555" s="934"/>
      <c r="L555" s="934"/>
      <c r="M555" s="934"/>
      <c r="N555" s="934"/>
      <c r="O555" s="934"/>
      <c r="P555" s="934"/>
      <c r="Q555" s="934"/>
      <c r="R555" s="934"/>
      <c r="S555" s="934"/>
      <c r="T555" s="934"/>
      <c r="U555" s="934"/>
      <c r="V555" s="934"/>
      <c r="W555" s="934"/>
      <c r="X555" s="934"/>
      <c r="Y555" s="934"/>
      <c r="Z555" s="934"/>
    </row>
    <row r="556" ht="15.75" customHeight="1">
      <c r="A556" s="571"/>
      <c r="B556" s="934"/>
      <c r="C556" s="934"/>
      <c r="D556" s="934"/>
      <c r="E556" s="934"/>
      <c r="F556" s="934"/>
      <c r="G556" s="571"/>
      <c r="H556" s="934"/>
      <c r="I556" s="934"/>
      <c r="J556" s="934"/>
      <c r="K556" s="934"/>
      <c r="L556" s="934"/>
      <c r="M556" s="934"/>
      <c r="N556" s="934"/>
      <c r="O556" s="934"/>
      <c r="P556" s="934"/>
      <c r="Q556" s="934"/>
      <c r="R556" s="934"/>
      <c r="S556" s="934"/>
      <c r="T556" s="934"/>
      <c r="U556" s="934"/>
      <c r="V556" s="934"/>
      <c r="W556" s="934"/>
      <c r="X556" s="934"/>
      <c r="Y556" s="934"/>
      <c r="Z556" s="934"/>
    </row>
    <row r="557" ht="15.75" customHeight="1">
      <c r="A557" s="571"/>
      <c r="B557" s="934"/>
      <c r="C557" s="934"/>
      <c r="D557" s="934"/>
      <c r="E557" s="934"/>
      <c r="F557" s="934"/>
      <c r="G557" s="571"/>
      <c r="H557" s="934"/>
      <c r="I557" s="934"/>
      <c r="J557" s="934"/>
      <c r="K557" s="934"/>
      <c r="L557" s="934"/>
      <c r="M557" s="934"/>
      <c r="N557" s="934"/>
      <c r="O557" s="934"/>
      <c r="P557" s="934"/>
      <c r="Q557" s="934"/>
      <c r="R557" s="934"/>
      <c r="S557" s="934"/>
      <c r="T557" s="934"/>
      <c r="U557" s="934"/>
      <c r="V557" s="934"/>
      <c r="W557" s="934"/>
      <c r="X557" s="934"/>
      <c r="Y557" s="934"/>
      <c r="Z557" s="934"/>
    </row>
    <row r="558" ht="15.75" customHeight="1">
      <c r="A558" s="571"/>
      <c r="B558" s="934"/>
      <c r="C558" s="934"/>
      <c r="D558" s="934"/>
      <c r="E558" s="934"/>
      <c r="F558" s="934"/>
      <c r="G558" s="571"/>
      <c r="H558" s="934"/>
      <c r="I558" s="934"/>
      <c r="J558" s="934"/>
      <c r="K558" s="934"/>
      <c r="L558" s="934"/>
      <c r="M558" s="934"/>
      <c r="N558" s="934"/>
      <c r="O558" s="934"/>
      <c r="P558" s="934"/>
      <c r="Q558" s="934"/>
      <c r="R558" s="934"/>
      <c r="S558" s="934"/>
      <c r="T558" s="934"/>
      <c r="U558" s="934"/>
      <c r="V558" s="934"/>
      <c r="W558" s="934"/>
      <c r="X558" s="934"/>
      <c r="Y558" s="934"/>
      <c r="Z558" s="934"/>
    </row>
    <row r="559" ht="15.75" customHeight="1">
      <c r="A559" s="571"/>
      <c r="B559" s="934"/>
      <c r="C559" s="934"/>
      <c r="D559" s="934"/>
      <c r="E559" s="934"/>
      <c r="F559" s="934"/>
      <c r="G559" s="571"/>
      <c r="H559" s="934"/>
      <c r="I559" s="934"/>
      <c r="J559" s="934"/>
      <c r="K559" s="934"/>
      <c r="L559" s="934"/>
      <c r="M559" s="934"/>
      <c r="N559" s="934"/>
      <c r="O559" s="934"/>
      <c r="P559" s="934"/>
      <c r="Q559" s="934"/>
      <c r="R559" s="934"/>
      <c r="S559" s="934"/>
      <c r="T559" s="934"/>
      <c r="U559" s="934"/>
      <c r="V559" s="934"/>
      <c r="W559" s="934"/>
      <c r="X559" s="934"/>
      <c r="Y559" s="934"/>
      <c r="Z559" s="934"/>
    </row>
    <row r="560" ht="15.75" customHeight="1">
      <c r="A560" s="571"/>
      <c r="B560" s="934"/>
      <c r="C560" s="934"/>
      <c r="D560" s="934"/>
      <c r="E560" s="934"/>
      <c r="F560" s="934"/>
      <c r="G560" s="571"/>
      <c r="H560" s="934"/>
      <c r="I560" s="934"/>
      <c r="J560" s="934"/>
      <c r="K560" s="934"/>
      <c r="L560" s="934"/>
      <c r="M560" s="934"/>
      <c r="N560" s="934"/>
      <c r="O560" s="934"/>
      <c r="P560" s="934"/>
      <c r="Q560" s="934"/>
      <c r="R560" s="934"/>
      <c r="S560" s="934"/>
      <c r="T560" s="934"/>
      <c r="U560" s="934"/>
      <c r="V560" s="934"/>
      <c r="W560" s="934"/>
      <c r="X560" s="934"/>
      <c r="Y560" s="934"/>
      <c r="Z560" s="934"/>
    </row>
    <row r="561" ht="15.75" customHeight="1">
      <c r="A561" s="571"/>
      <c r="B561" s="934"/>
      <c r="C561" s="934"/>
      <c r="D561" s="934"/>
      <c r="E561" s="934"/>
      <c r="F561" s="934"/>
      <c r="G561" s="571"/>
      <c r="H561" s="934"/>
      <c r="I561" s="934"/>
      <c r="J561" s="934"/>
      <c r="K561" s="934"/>
      <c r="L561" s="934"/>
      <c r="M561" s="934"/>
      <c r="N561" s="934"/>
      <c r="O561" s="934"/>
      <c r="P561" s="934"/>
      <c r="Q561" s="934"/>
      <c r="R561" s="934"/>
      <c r="S561" s="934"/>
      <c r="T561" s="934"/>
      <c r="U561" s="934"/>
      <c r="V561" s="934"/>
      <c r="W561" s="934"/>
      <c r="X561" s="934"/>
      <c r="Y561" s="934"/>
      <c r="Z561" s="934"/>
    </row>
    <row r="562" ht="15.75" customHeight="1">
      <c r="A562" s="571"/>
      <c r="B562" s="934"/>
      <c r="C562" s="934"/>
      <c r="D562" s="934"/>
      <c r="E562" s="934"/>
      <c r="F562" s="934"/>
      <c r="G562" s="571"/>
      <c r="H562" s="934"/>
      <c r="I562" s="934"/>
      <c r="J562" s="934"/>
      <c r="K562" s="934"/>
      <c r="L562" s="934"/>
      <c r="M562" s="934"/>
      <c r="N562" s="934"/>
      <c r="O562" s="934"/>
      <c r="P562" s="934"/>
      <c r="Q562" s="934"/>
      <c r="R562" s="934"/>
      <c r="S562" s="934"/>
      <c r="T562" s="934"/>
      <c r="U562" s="934"/>
      <c r="V562" s="934"/>
      <c r="W562" s="934"/>
      <c r="X562" s="934"/>
      <c r="Y562" s="934"/>
      <c r="Z562" s="934"/>
    </row>
    <row r="563" ht="15.75" customHeight="1">
      <c r="A563" s="571"/>
      <c r="B563" s="934"/>
      <c r="C563" s="934"/>
      <c r="D563" s="934"/>
      <c r="E563" s="934"/>
      <c r="F563" s="934"/>
      <c r="G563" s="571"/>
      <c r="H563" s="934"/>
      <c r="I563" s="934"/>
      <c r="J563" s="934"/>
      <c r="K563" s="934"/>
      <c r="L563" s="934"/>
      <c r="M563" s="934"/>
      <c r="N563" s="934"/>
      <c r="O563" s="934"/>
      <c r="P563" s="934"/>
      <c r="Q563" s="934"/>
      <c r="R563" s="934"/>
      <c r="S563" s="934"/>
      <c r="T563" s="934"/>
      <c r="U563" s="934"/>
      <c r="V563" s="934"/>
      <c r="W563" s="934"/>
      <c r="X563" s="934"/>
      <c r="Y563" s="934"/>
      <c r="Z563" s="934"/>
    </row>
    <row r="564" ht="15.75" customHeight="1">
      <c r="A564" s="571"/>
      <c r="B564" s="934"/>
      <c r="C564" s="934"/>
      <c r="D564" s="934"/>
      <c r="E564" s="934"/>
      <c r="F564" s="934"/>
      <c r="G564" s="571"/>
      <c r="H564" s="934"/>
      <c r="I564" s="934"/>
      <c r="J564" s="934"/>
      <c r="K564" s="934"/>
      <c r="L564" s="934"/>
      <c r="M564" s="934"/>
      <c r="N564" s="934"/>
      <c r="O564" s="934"/>
      <c r="P564" s="934"/>
      <c r="Q564" s="934"/>
      <c r="R564" s="934"/>
      <c r="S564" s="934"/>
      <c r="T564" s="934"/>
      <c r="U564" s="934"/>
      <c r="V564" s="934"/>
      <c r="W564" s="934"/>
      <c r="X564" s="934"/>
      <c r="Y564" s="934"/>
      <c r="Z564" s="934"/>
    </row>
    <row r="565" ht="15.75" customHeight="1">
      <c r="A565" s="571"/>
      <c r="B565" s="934"/>
      <c r="C565" s="934"/>
      <c r="D565" s="934"/>
      <c r="E565" s="934"/>
      <c r="F565" s="934"/>
      <c r="G565" s="571"/>
      <c r="H565" s="934"/>
      <c r="I565" s="934"/>
      <c r="J565" s="934"/>
      <c r="K565" s="934"/>
      <c r="L565" s="934"/>
      <c r="M565" s="934"/>
      <c r="N565" s="934"/>
      <c r="O565" s="934"/>
      <c r="P565" s="934"/>
      <c r="Q565" s="934"/>
      <c r="R565" s="934"/>
      <c r="S565" s="934"/>
      <c r="T565" s="934"/>
      <c r="U565" s="934"/>
      <c r="V565" s="934"/>
      <c r="W565" s="934"/>
      <c r="X565" s="934"/>
      <c r="Y565" s="934"/>
      <c r="Z565" s="934"/>
    </row>
    <row r="566" ht="15.75" customHeight="1">
      <c r="A566" s="571"/>
      <c r="B566" s="934"/>
      <c r="C566" s="934"/>
      <c r="D566" s="934"/>
      <c r="E566" s="934"/>
      <c r="F566" s="934"/>
      <c r="G566" s="571"/>
      <c r="H566" s="934"/>
      <c r="I566" s="934"/>
      <c r="J566" s="934"/>
      <c r="K566" s="934"/>
      <c r="L566" s="934"/>
      <c r="M566" s="934"/>
      <c r="N566" s="934"/>
      <c r="O566" s="934"/>
      <c r="P566" s="934"/>
      <c r="Q566" s="934"/>
      <c r="R566" s="934"/>
      <c r="S566" s="934"/>
      <c r="T566" s="934"/>
      <c r="U566" s="934"/>
      <c r="V566" s="934"/>
      <c r="W566" s="934"/>
      <c r="X566" s="934"/>
      <c r="Y566" s="934"/>
      <c r="Z566" s="934"/>
    </row>
    <row r="567" ht="15.75" customHeight="1">
      <c r="A567" s="571"/>
      <c r="B567" s="934"/>
      <c r="C567" s="934"/>
      <c r="D567" s="934"/>
      <c r="E567" s="934"/>
      <c r="F567" s="934"/>
      <c r="G567" s="571"/>
      <c r="H567" s="934"/>
      <c r="I567" s="934"/>
      <c r="J567" s="934"/>
      <c r="K567" s="934"/>
      <c r="L567" s="934"/>
      <c r="M567" s="934"/>
      <c r="N567" s="934"/>
      <c r="O567" s="934"/>
      <c r="P567" s="934"/>
      <c r="Q567" s="934"/>
      <c r="R567" s="934"/>
      <c r="S567" s="934"/>
      <c r="T567" s="934"/>
      <c r="U567" s="934"/>
      <c r="V567" s="934"/>
      <c r="W567" s="934"/>
      <c r="X567" s="934"/>
      <c r="Y567" s="934"/>
      <c r="Z567" s="934"/>
    </row>
    <row r="568" ht="15.75" customHeight="1">
      <c r="A568" s="571"/>
      <c r="B568" s="934"/>
      <c r="C568" s="934"/>
      <c r="D568" s="934"/>
      <c r="E568" s="934"/>
      <c r="F568" s="934"/>
      <c r="G568" s="571"/>
      <c r="H568" s="934"/>
      <c r="I568" s="934"/>
      <c r="J568" s="934"/>
      <c r="K568" s="934"/>
      <c r="L568" s="934"/>
      <c r="M568" s="934"/>
      <c r="N568" s="934"/>
      <c r="O568" s="934"/>
      <c r="P568" s="934"/>
      <c r="Q568" s="934"/>
      <c r="R568" s="934"/>
      <c r="S568" s="934"/>
      <c r="T568" s="934"/>
      <c r="U568" s="934"/>
      <c r="V568" s="934"/>
      <c r="W568" s="934"/>
      <c r="X568" s="934"/>
      <c r="Y568" s="934"/>
      <c r="Z568" s="934"/>
    </row>
    <row r="569" ht="15.75" customHeight="1">
      <c r="A569" s="571"/>
      <c r="B569" s="934"/>
      <c r="C569" s="934"/>
      <c r="D569" s="934"/>
      <c r="E569" s="934"/>
      <c r="F569" s="934"/>
      <c r="G569" s="571"/>
      <c r="H569" s="934"/>
      <c r="I569" s="934"/>
      <c r="J569" s="934"/>
      <c r="K569" s="934"/>
      <c r="L569" s="934"/>
      <c r="M569" s="934"/>
      <c r="N569" s="934"/>
      <c r="O569" s="934"/>
      <c r="P569" s="934"/>
      <c r="Q569" s="934"/>
      <c r="R569" s="934"/>
      <c r="S569" s="934"/>
      <c r="T569" s="934"/>
      <c r="U569" s="934"/>
      <c r="V569" s="934"/>
      <c r="W569" s="934"/>
      <c r="X569" s="934"/>
      <c r="Y569" s="934"/>
      <c r="Z569" s="934"/>
    </row>
    <row r="570" ht="15.75" customHeight="1">
      <c r="A570" s="571"/>
      <c r="B570" s="934"/>
      <c r="C570" s="934"/>
      <c r="D570" s="934"/>
      <c r="E570" s="934"/>
      <c r="F570" s="934"/>
      <c r="G570" s="571"/>
      <c r="H570" s="934"/>
      <c r="I570" s="934"/>
      <c r="J570" s="934"/>
      <c r="K570" s="934"/>
      <c r="L570" s="934"/>
      <c r="M570" s="934"/>
      <c r="N570" s="934"/>
      <c r="O570" s="934"/>
      <c r="P570" s="934"/>
      <c r="Q570" s="934"/>
      <c r="R570" s="934"/>
      <c r="S570" s="934"/>
      <c r="T570" s="934"/>
      <c r="U570" s="934"/>
      <c r="V570" s="934"/>
      <c r="W570" s="934"/>
      <c r="X570" s="934"/>
      <c r="Y570" s="934"/>
      <c r="Z570" s="934"/>
    </row>
    <row r="571" ht="15.75" customHeight="1">
      <c r="A571" s="571"/>
      <c r="B571" s="934"/>
      <c r="C571" s="934"/>
      <c r="D571" s="934"/>
      <c r="E571" s="934"/>
      <c r="F571" s="934"/>
      <c r="G571" s="571"/>
      <c r="H571" s="934"/>
      <c r="I571" s="934"/>
      <c r="J571" s="934"/>
      <c r="K571" s="934"/>
      <c r="L571" s="934"/>
      <c r="M571" s="934"/>
      <c r="N571" s="934"/>
      <c r="O571" s="934"/>
      <c r="P571" s="934"/>
      <c r="Q571" s="934"/>
      <c r="R571" s="934"/>
      <c r="S571" s="934"/>
      <c r="T571" s="934"/>
      <c r="U571" s="934"/>
      <c r="V571" s="934"/>
      <c r="W571" s="934"/>
      <c r="X571" s="934"/>
      <c r="Y571" s="934"/>
      <c r="Z571" s="934"/>
    </row>
    <row r="572" ht="15.75" customHeight="1">
      <c r="A572" s="571"/>
      <c r="B572" s="934"/>
      <c r="C572" s="934"/>
      <c r="D572" s="934"/>
      <c r="E572" s="934"/>
      <c r="F572" s="934"/>
      <c r="G572" s="571"/>
      <c r="H572" s="934"/>
      <c r="I572" s="934"/>
      <c r="J572" s="934"/>
      <c r="K572" s="934"/>
      <c r="L572" s="934"/>
      <c r="M572" s="934"/>
      <c r="N572" s="934"/>
      <c r="O572" s="934"/>
      <c r="P572" s="934"/>
      <c r="Q572" s="934"/>
      <c r="R572" s="934"/>
      <c r="S572" s="934"/>
      <c r="T572" s="934"/>
      <c r="U572" s="934"/>
      <c r="V572" s="934"/>
      <c r="W572" s="934"/>
      <c r="X572" s="934"/>
      <c r="Y572" s="934"/>
      <c r="Z572" s="934"/>
    </row>
    <row r="573" ht="15.75" customHeight="1">
      <c r="A573" s="571"/>
      <c r="B573" s="934"/>
      <c r="C573" s="934"/>
      <c r="D573" s="934"/>
      <c r="E573" s="934"/>
      <c r="F573" s="934"/>
      <c r="G573" s="571"/>
      <c r="H573" s="934"/>
      <c r="I573" s="934"/>
      <c r="J573" s="934"/>
      <c r="K573" s="934"/>
      <c r="L573" s="934"/>
      <c r="M573" s="934"/>
      <c r="N573" s="934"/>
      <c r="O573" s="934"/>
      <c r="P573" s="934"/>
      <c r="Q573" s="934"/>
      <c r="R573" s="934"/>
      <c r="S573" s="934"/>
      <c r="T573" s="934"/>
      <c r="U573" s="934"/>
      <c r="V573" s="934"/>
      <c r="W573" s="934"/>
      <c r="X573" s="934"/>
      <c r="Y573" s="934"/>
      <c r="Z573" s="934"/>
    </row>
    <row r="574" ht="15.75" customHeight="1">
      <c r="A574" s="571"/>
      <c r="B574" s="934"/>
      <c r="C574" s="934"/>
      <c r="D574" s="934"/>
      <c r="E574" s="934"/>
      <c r="F574" s="934"/>
      <c r="G574" s="571"/>
      <c r="H574" s="934"/>
      <c r="I574" s="934"/>
      <c r="J574" s="934"/>
      <c r="K574" s="934"/>
      <c r="L574" s="934"/>
      <c r="M574" s="934"/>
      <c r="N574" s="934"/>
      <c r="O574" s="934"/>
      <c r="P574" s="934"/>
      <c r="Q574" s="934"/>
      <c r="R574" s="934"/>
      <c r="S574" s="934"/>
      <c r="T574" s="934"/>
      <c r="U574" s="934"/>
      <c r="V574" s="934"/>
      <c r="W574" s="934"/>
      <c r="X574" s="934"/>
      <c r="Y574" s="934"/>
      <c r="Z574" s="934"/>
    </row>
    <row r="575" ht="15.75" customHeight="1">
      <c r="A575" s="571"/>
      <c r="B575" s="934"/>
      <c r="C575" s="934"/>
      <c r="D575" s="934"/>
      <c r="E575" s="934"/>
      <c r="F575" s="934"/>
      <c r="G575" s="571"/>
      <c r="H575" s="934"/>
      <c r="I575" s="934"/>
      <c r="J575" s="934"/>
      <c r="K575" s="934"/>
      <c r="L575" s="934"/>
      <c r="M575" s="934"/>
      <c r="N575" s="934"/>
      <c r="O575" s="934"/>
      <c r="P575" s="934"/>
      <c r="Q575" s="934"/>
      <c r="R575" s="934"/>
      <c r="S575" s="934"/>
      <c r="T575" s="934"/>
      <c r="U575" s="934"/>
      <c r="V575" s="934"/>
      <c r="W575" s="934"/>
      <c r="X575" s="934"/>
      <c r="Y575" s="934"/>
      <c r="Z575" s="934"/>
    </row>
    <row r="576" ht="15.75" customHeight="1">
      <c r="A576" s="571"/>
      <c r="B576" s="934"/>
      <c r="C576" s="934"/>
      <c r="D576" s="934"/>
      <c r="E576" s="934"/>
      <c r="F576" s="934"/>
      <c r="G576" s="571"/>
      <c r="H576" s="934"/>
      <c r="I576" s="934"/>
      <c r="J576" s="934"/>
      <c r="K576" s="934"/>
      <c r="L576" s="934"/>
      <c r="M576" s="934"/>
      <c r="N576" s="934"/>
      <c r="O576" s="934"/>
      <c r="P576" s="934"/>
      <c r="Q576" s="934"/>
      <c r="R576" s="934"/>
      <c r="S576" s="934"/>
      <c r="T576" s="934"/>
      <c r="U576" s="934"/>
      <c r="V576" s="934"/>
      <c r="W576" s="934"/>
      <c r="X576" s="934"/>
      <c r="Y576" s="934"/>
      <c r="Z576" s="934"/>
    </row>
    <row r="577" ht="15.75" customHeight="1">
      <c r="A577" s="571"/>
      <c r="B577" s="934"/>
      <c r="C577" s="934"/>
      <c r="D577" s="934"/>
      <c r="E577" s="934"/>
      <c r="F577" s="934"/>
      <c r="G577" s="571"/>
      <c r="H577" s="934"/>
      <c r="I577" s="934"/>
      <c r="J577" s="934"/>
      <c r="K577" s="934"/>
      <c r="L577" s="934"/>
      <c r="M577" s="934"/>
      <c r="N577" s="934"/>
      <c r="O577" s="934"/>
      <c r="P577" s="934"/>
      <c r="Q577" s="934"/>
      <c r="R577" s="934"/>
      <c r="S577" s="934"/>
      <c r="T577" s="934"/>
      <c r="U577" s="934"/>
      <c r="V577" s="934"/>
      <c r="W577" s="934"/>
      <c r="X577" s="934"/>
      <c r="Y577" s="934"/>
      <c r="Z577" s="934"/>
    </row>
    <row r="578" ht="15.75" customHeight="1">
      <c r="A578" s="571"/>
      <c r="B578" s="934"/>
      <c r="C578" s="934"/>
      <c r="D578" s="934"/>
      <c r="E578" s="934"/>
      <c r="F578" s="934"/>
      <c r="G578" s="571"/>
      <c r="H578" s="934"/>
      <c r="I578" s="934"/>
      <c r="J578" s="934"/>
      <c r="K578" s="934"/>
      <c r="L578" s="934"/>
      <c r="M578" s="934"/>
      <c r="N578" s="934"/>
      <c r="O578" s="934"/>
      <c r="P578" s="934"/>
      <c r="Q578" s="934"/>
      <c r="R578" s="934"/>
      <c r="S578" s="934"/>
      <c r="T578" s="934"/>
      <c r="U578" s="934"/>
      <c r="V578" s="934"/>
      <c r="W578" s="934"/>
      <c r="X578" s="934"/>
      <c r="Y578" s="934"/>
      <c r="Z578" s="934"/>
    </row>
    <row r="579" ht="15.75" customHeight="1">
      <c r="A579" s="571"/>
      <c r="B579" s="934"/>
      <c r="C579" s="934"/>
      <c r="D579" s="934"/>
      <c r="E579" s="934"/>
      <c r="F579" s="934"/>
      <c r="G579" s="571"/>
      <c r="H579" s="934"/>
      <c r="I579" s="934"/>
      <c r="J579" s="934"/>
      <c r="K579" s="934"/>
      <c r="L579" s="934"/>
      <c r="M579" s="934"/>
      <c r="N579" s="934"/>
      <c r="O579" s="934"/>
      <c r="P579" s="934"/>
      <c r="Q579" s="934"/>
      <c r="R579" s="934"/>
      <c r="S579" s="934"/>
      <c r="T579" s="934"/>
      <c r="U579" s="934"/>
      <c r="V579" s="934"/>
      <c r="W579" s="934"/>
      <c r="X579" s="934"/>
      <c r="Y579" s="934"/>
      <c r="Z579" s="934"/>
    </row>
    <row r="580" ht="15.75" customHeight="1">
      <c r="A580" s="571"/>
      <c r="B580" s="934"/>
      <c r="C580" s="934"/>
      <c r="D580" s="934"/>
      <c r="E580" s="934"/>
      <c r="F580" s="934"/>
      <c r="G580" s="571"/>
      <c r="H580" s="934"/>
      <c r="I580" s="934"/>
      <c r="J580" s="934"/>
      <c r="K580" s="934"/>
      <c r="L580" s="934"/>
      <c r="M580" s="934"/>
      <c r="N580" s="934"/>
      <c r="O580" s="934"/>
      <c r="P580" s="934"/>
      <c r="Q580" s="934"/>
      <c r="R580" s="934"/>
      <c r="S580" s="934"/>
      <c r="T580" s="934"/>
      <c r="U580" s="934"/>
      <c r="V580" s="934"/>
      <c r="W580" s="934"/>
      <c r="X580" s="934"/>
      <c r="Y580" s="934"/>
      <c r="Z580" s="934"/>
    </row>
    <row r="581" ht="15.75" customHeight="1">
      <c r="A581" s="571"/>
      <c r="B581" s="934"/>
      <c r="C581" s="934"/>
      <c r="D581" s="934"/>
      <c r="E581" s="934"/>
      <c r="F581" s="934"/>
      <c r="G581" s="571"/>
      <c r="H581" s="934"/>
      <c r="I581" s="934"/>
      <c r="J581" s="934"/>
      <c r="K581" s="934"/>
      <c r="L581" s="934"/>
      <c r="M581" s="934"/>
      <c r="N581" s="934"/>
      <c r="O581" s="934"/>
      <c r="P581" s="934"/>
      <c r="Q581" s="934"/>
      <c r="R581" s="934"/>
      <c r="S581" s="934"/>
      <c r="T581" s="934"/>
      <c r="U581" s="934"/>
      <c r="V581" s="934"/>
      <c r="W581" s="934"/>
      <c r="X581" s="934"/>
      <c r="Y581" s="934"/>
      <c r="Z581" s="934"/>
    </row>
    <row r="582" ht="15.75" customHeight="1">
      <c r="A582" s="571"/>
      <c r="B582" s="934"/>
      <c r="C582" s="934"/>
      <c r="D582" s="934"/>
      <c r="E582" s="934"/>
      <c r="F582" s="934"/>
      <c r="G582" s="571"/>
      <c r="H582" s="934"/>
      <c r="I582" s="934"/>
      <c r="J582" s="934"/>
      <c r="K582" s="934"/>
      <c r="L582" s="934"/>
      <c r="M582" s="934"/>
      <c r="N582" s="934"/>
      <c r="O582" s="934"/>
      <c r="P582" s="934"/>
      <c r="Q582" s="934"/>
      <c r="R582" s="934"/>
      <c r="S582" s="934"/>
      <c r="T582" s="934"/>
      <c r="U582" s="934"/>
      <c r="V582" s="934"/>
      <c r="W582" s="934"/>
      <c r="X582" s="934"/>
      <c r="Y582" s="934"/>
      <c r="Z582" s="934"/>
    </row>
    <row r="583" ht="15.75" customHeight="1">
      <c r="A583" s="571"/>
      <c r="B583" s="934"/>
      <c r="C583" s="934"/>
      <c r="D583" s="934"/>
      <c r="E583" s="934"/>
      <c r="F583" s="934"/>
      <c r="G583" s="571"/>
      <c r="H583" s="934"/>
      <c r="I583" s="934"/>
      <c r="J583" s="934"/>
      <c r="K583" s="934"/>
      <c r="L583" s="934"/>
      <c r="M583" s="934"/>
      <c r="N583" s="934"/>
      <c r="O583" s="934"/>
      <c r="P583" s="934"/>
      <c r="Q583" s="934"/>
      <c r="R583" s="934"/>
      <c r="S583" s="934"/>
      <c r="T583" s="934"/>
      <c r="U583" s="934"/>
      <c r="V583" s="934"/>
      <c r="W583" s="934"/>
      <c r="X583" s="934"/>
      <c r="Y583" s="934"/>
      <c r="Z583" s="934"/>
    </row>
    <row r="584" ht="15.75" customHeight="1">
      <c r="A584" s="571"/>
      <c r="B584" s="934"/>
      <c r="C584" s="934"/>
      <c r="D584" s="934"/>
      <c r="E584" s="934"/>
      <c r="F584" s="934"/>
      <c r="G584" s="571"/>
      <c r="H584" s="934"/>
      <c r="I584" s="934"/>
      <c r="J584" s="934"/>
      <c r="K584" s="934"/>
      <c r="L584" s="934"/>
      <c r="M584" s="934"/>
      <c r="N584" s="934"/>
      <c r="O584" s="934"/>
      <c r="P584" s="934"/>
      <c r="Q584" s="934"/>
      <c r="R584" s="934"/>
      <c r="S584" s="934"/>
      <c r="T584" s="934"/>
      <c r="U584" s="934"/>
      <c r="V584" s="934"/>
      <c r="W584" s="934"/>
      <c r="X584" s="934"/>
      <c r="Y584" s="934"/>
      <c r="Z584" s="934"/>
    </row>
    <row r="585" ht="15.75" customHeight="1">
      <c r="A585" s="571"/>
      <c r="B585" s="934"/>
      <c r="C585" s="934"/>
      <c r="D585" s="934"/>
      <c r="E585" s="934"/>
      <c r="F585" s="934"/>
      <c r="G585" s="571"/>
      <c r="H585" s="934"/>
      <c r="I585" s="934"/>
      <c r="J585" s="934"/>
      <c r="K585" s="934"/>
      <c r="L585" s="934"/>
      <c r="M585" s="934"/>
      <c r="N585" s="934"/>
      <c r="O585" s="934"/>
      <c r="P585" s="934"/>
      <c r="Q585" s="934"/>
      <c r="R585" s="934"/>
      <c r="S585" s="934"/>
      <c r="T585" s="934"/>
      <c r="U585" s="934"/>
      <c r="V585" s="934"/>
      <c r="W585" s="934"/>
      <c r="X585" s="934"/>
      <c r="Y585" s="934"/>
      <c r="Z585" s="934"/>
    </row>
    <row r="586" ht="15.75" customHeight="1">
      <c r="A586" s="571"/>
      <c r="B586" s="934"/>
      <c r="C586" s="934"/>
      <c r="D586" s="934"/>
      <c r="E586" s="934"/>
      <c r="F586" s="934"/>
      <c r="G586" s="571"/>
      <c r="H586" s="934"/>
      <c r="I586" s="934"/>
      <c r="J586" s="934"/>
      <c r="K586" s="934"/>
      <c r="L586" s="934"/>
      <c r="M586" s="934"/>
      <c r="N586" s="934"/>
      <c r="O586" s="934"/>
      <c r="P586" s="934"/>
      <c r="Q586" s="934"/>
      <c r="R586" s="934"/>
      <c r="S586" s="934"/>
      <c r="T586" s="934"/>
      <c r="U586" s="934"/>
      <c r="V586" s="934"/>
      <c r="W586" s="934"/>
      <c r="X586" s="934"/>
      <c r="Y586" s="934"/>
      <c r="Z586" s="934"/>
    </row>
    <row r="587" ht="15.75" customHeight="1">
      <c r="A587" s="571"/>
      <c r="B587" s="934"/>
      <c r="C587" s="934"/>
      <c r="D587" s="934"/>
      <c r="E587" s="934"/>
      <c r="F587" s="934"/>
      <c r="G587" s="571"/>
      <c r="H587" s="934"/>
      <c r="I587" s="934"/>
      <c r="J587" s="934"/>
      <c r="K587" s="934"/>
      <c r="L587" s="934"/>
      <c r="M587" s="934"/>
      <c r="N587" s="934"/>
      <c r="O587" s="934"/>
      <c r="P587" s="934"/>
      <c r="Q587" s="934"/>
      <c r="R587" s="934"/>
      <c r="S587" s="934"/>
      <c r="T587" s="934"/>
      <c r="U587" s="934"/>
      <c r="V587" s="934"/>
      <c r="W587" s="934"/>
      <c r="X587" s="934"/>
      <c r="Y587" s="934"/>
      <c r="Z587" s="934"/>
    </row>
    <row r="588" ht="15.75" customHeight="1">
      <c r="A588" s="571"/>
      <c r="B588" s="934"/>
      <c r="C588" s="934"/>
      <c r="D588" s="934"/>
      <c r="E588" s="934"/>
      <c r="F588" s="934"/>
      <c r="G588" s="571"/>
      <c r="H588" s="934"/>
      <c r="I588" s="934"/>
      <c r="J588" s="934"/>
      <c r="K588" s="934"/>
      <c r="L588" s="934"/>
      <c r="M588" s="934"/>
      <c r="N588" s="934"/>
      <c r="O588" s="934"/>
      <c r="P588" s="934"/>
      <c r="Q588" s="934"/>
      <c r="R588" s="934"/>
      <c r="S588" s="934"/>
      <c r="T588" s="934"/>
      <c r="U588" s="934"/>
      <c r="V588" s="934"/>
      <c r="W588" s="934"/>
      <c r="X588" s="934"/>
      <c r="Y588" s="934"/>
      <c r="Z588" s="934"/>
    </row>
    <row r="589" ht="15.75" customHeight="1">
      <c r="A589" s="571"/>
      <c r="B589" s="934"/>
      <c r="C589" s="934"/>
      <c r="D589" s="934"/>
      <c r="E589" s="934"/>
      <c r="F589" s="934"/>
      <c r="G589" s="571"/>
      <c r="H589" s="934"/>
      <c r="I589" s="934"/>
      <c r="J589" s="934"/>
      <c r="K589" s="934"/>
      <c r="L589" s="934"/>
      <c r="M589" s="934"/>
      <c r="N589" s="934"/>
      <c r="O589" s="934"/>
      <c r="P589" s="934"/>
      <c r="Q589" s="934"/>
      <c r="R589" s="934"/>
      <c r="S589" s="934"/>
      <c r="T589" s="934"/>
      <c r="U589" s="934"/>
      <c r="V589" s="934"/>
      <c r="W589" s="934"/>
      <c r="X589" s="934"/>
      <c r="Y589" s="934"/>
      <c r="Z589" s="934"/>
    </row>
    <row r="590" ht="15.75" customHeight="1">
      <c r="A590" s="571"/>
      <c r="B590" s="934"/>
      <c r="C590" s="934"/>
      <c r="D590" s="934"/>
      <c r="E590" s="934"/>
      <c r="F590" s="934"/>
      <c r="G590" s="571"/>
      <c r="H590" s="934"/>
      <c r="I590" s="934"/>
      <c r="J590" s="934"/>
      <c r="K590" s="934"/>
      <c r="L590" s="934"/>
      <c r="M590" s="934"/>
      <c r="N590" s="934"/>
      <c r="O590" s="934"/>
      <c r="P590" s="934"/>
      <c r="Q590" s="934"/>
      <c r="R590" s="934"/>
      <c r="S590" s="934"/>
      <c r="T590" s="934"/>
      <c r="U590" s="934"/>
      <c r="V590" s="934"/>
      <c r="W590" s="934"/>
      <c r="X590" s="934"/>
      <c r="Y590" s="934"/>
      <c r="Z590" s="934"/>
    </row>
    <row r="591" ht="15.75" customHeight="1">
      <c r="A591" s="571"/>
      <c r="B591" s="934"/>
      <c r="C591" s="934"/>
      <c r="D591" s="934"/>
      <c r="E591" s="934"/>
      <c r="F591" s="934"/>
      <c r="G591" s="571"/>
      <c r="H591" s="934"/>
      <c r="I591" s="934"/>
      <c r="J591" s="934"/>
      <c r="K591" s="934"/>
      <c r="L591" s="934"/>
      <c r="M591" s="934"/>
      <c r="N591" s="934"/>
      <c r="O591" s="934"/>
      <c r="P591" s="934"/>
      <c r="Q591" s="934"/>
      <c r="R591" s="934"/>
      <c r="S591" s="934"/>
      <c r="T591" s="934"/>
      <c r="U591" s="934"/>
      <c r="V591" s="934"/>
      <c r="W591" s="934"/>
      <c r="X591" s="934"/>
      <c r="Y591" s="934"/>
      <c r="Z591" s="934"/>
    </row>
    <row r="592" ht="15.75" customHeight="1">
      <c r="A592" s="571"/>
      <c r="B592" s="934"/>
      <c r="C592" s="934"/>
      <c r="D592" s="934"/>
      <c r="E592" s="934"/>
      <c r="F592" s="934"/>
      <c r="G592" s="571"/>
      <c r="H592" s="934"/>
      <c r="I592" s="934"/>
      <c r="J592" s="934"/>
      <c r="K592" s="934"/>
      <c r="L592" s="934"/>
      <c r="M592" s="934"/>
      <c r="N592" s="934"/>
      <c r="O592" s="934"/>
      <c r="P592" s="934"/>
      <c r="Q592" s="934"/>
      <c r="R592" s="934"/>
      <c r="S592" s="934"/>
      <c r="T592" s="934"/>
      <c r="U592" s="934"/>
      <c r="V592" s="934"/>
      <c r="W592" s="934"/>
      <c r="X592" s="934"/>
      <c r="Y592" s="934"/>
      <c r="Z592" s="934"/>
    </row>
    <row r="593" ht="15.75" customHeight="1">
      <c r="A593" s="571"/>
      <c r="B593" s="934"/>
      <c r="C593" s="934"/>
      <c r="D593" s="934"/>
      <c r="E593" s="934"/>
      <c r="F593" s="934"/>
      <c r="G593" s="571"/>
      <c r="H593" s="934"/>
      <c r="I593" s="934"/>
      <c r="J593" s="934"/>
      <c r="K593" s="934"/>
      <c r="L593" s="934"/>
      <c r="M593" s="934"/>
      <c r="N593" s="934"/>
      <c r="O593" s="934"/>
      <c r="P593" s="934"/>
      <c r="Q593" s="934"/>
      <c r="R593" s="934"/>
      <c r="S593" s="934"/>
      <c r="T593" s="934"/>
      <c r="U593" s="934"/>
      <c r="V593" s="934"/>
      <c r="W593" s="934"/>
      <c r="X593" s="934"/>
      <c r="Y593" s="934"/>
      <c r="Z593" s="934"/>
    </row>
    <row r="594" ht="15.75" customHeight="1">
      <c r="A594" s="571"/>
      <c r="B594" s="934"/>
      <c r="C594" s="934"/>
      <c r="D594" s="934"/>
      <c r="E594" s="934"/>
      <c r="F594" s="934"/>
      <c r="G594" s="571"/>
      <c r="H594" s="934"/>
      <c r="I594" s="934"/>
      <c r="J594" s="934"/>
      <c r="K594" s="934"/>
      <c r="L594" s="934"/>
      <c r="M594" s="934"/>
      <c r="N594" s="934"/>
      <c r="O594" s="934"/>
      <c r="P594" s="934"/>
      <c r="Q594" s="934"/>
      <c r="R594" s="934"/>
      <c r="S594" s="934"/>
      <c r="T594" s="934"/>
      <c r="U594" s="934"/>
      <c r="V594" s="934"/>
      <c r="W594" s="934"/>
      <c r="X594" s="934"/>
      <c r="Y594" s="934"/>
      <c r="Z594" s="934"/>
    </row>
    <row r="595" ht="15.75" customHeight="1">
      <c r="A595" s="571"/>
      <c r="B595" s="934"/>
      <c r="C595" s="934"/>
      <c r="D595" s="934"/>
      <c r="E595" s="934"/>
      <c r="F595" s="934"/>
      <c r="G595" s="571"/>
      <c r="H595" s="934"/>
      <c r="I595" s="934"/>
      <c r="J595" s="934"/>
      <c r="K595" s="934"/>
      <c r="L595" s="934"/>
      <c r="M595" s="934"/>
      <c r="N595" s="934"/>
      <c r="O595" s="934"/>
      <c r="P595" s="934"/>
      <c r="Q595" s="934"/>
      <c r="R595" s="934"/>
      <c r="S595" s="934"/>
      <c r="T595" s="934"/>
      <c r="U595" s="934"/>
      <c r="V595" s="934"/>
      <c r="W595" s="934"/>
      <c r="X595" s="934"/>
      <c r="Y595" s="934"/>
      <c r="Z595" s="934"/>
    </row>
    <row r="596" ht="15.75" customHeight="1">
      <c r="A596" s="571"/>
      <c r="B596" s="934"/>
      <c r="C596" s="934"/>
      <c r="D596" s="934"/>
      <c r="E596" s="934"/>
      <c r="F596" s="934"/>
      <c r="G596" s="571"/>
      <c r="H596" s="934"/>
      <c r="I596" s="934"/>
      <c r="J596" s="934"/>
      <c r="K596" s="934"/>
      <c r="L596" s="934"/>
      <c r="M596" s="934"/>
      <c r="N596" s="934"/>
      <c r="O596" s="934"/>
      <c r="P596" s="934"/>
      <c r="Q596" s="934"/>
      <c r="R596" s="934"/>
      <c r="S596" s="934"/>
      <c r="T596" s="934"/>
      <c r="U596" s="934"/>
      <c r="V596" s="934"/>
      <c r="W596" s="934"/>
      <c r="X596" s="934"/>
      <c r="Y596" s="934"/>
      <c r="Z596" s="934"/>
    </row>
    <row r="597" ht="15.75" customHeight="1">
      <c r="A597" s="571"/>
      <c r="B597" s="934"/>
      <c r="C597" s="934"/>
      <c r="D597" s="934"/>
      <c r="E597" s="934"/>
      <c r="F597" s="934"/>
      <c r="G597" s="571"/>
      <c r="H597" s="934"/>
      <c r="I597" s="934"/>
      <c r="J597" s="934"/>
      <c r="K597" s="934"/>
      <c r="L597" s="934"/>
      <c r="M597" s="934"/>
      <c r="N597" s="934"/>
      <c r="O597" s="934"/>
      <c r="P597" s="934"/>
      <c r="Q597" s="934"/>
      <c r="R597" s="934"/>
      <c r="S597" s="934"/>
      <c r="T597" s="934"/>
      <c r="U597" s="934"/>
      <c r="V597" s="934"/>
      <c r="W597" s="934"/>
      <c r="X597" s="934"/>
      <c r="Y597" s="934"/>
      <c r="Z597" s="934"/>
    </row>
    <row r="598" ht="15.75" customHeight="1">
      <c r="A598" s="571"/>
      <c r="B598" s="934"/>
      <c r="C598" s="934"/>
      <c r="D598" s="934"/>
      <c r="E598" s="934"/>
      <c r="F598" s="934"/>
      <c r="G598" s="571"/>
      <c r="H598" s="934"/>
      <c r="I598" s="934"/>
      <c r="J598" s="934"/>
      <c r="K598" s="934"/>
      <c r="L598" s="934"/>
      <c r="M598" s="934"/>
      <c r="N598" s="934"/>
      <c r="O598" s="934"/>
      <c r="P598" s="934"/>
      <c r="Q598" s="934"/>
      <c r="R598" s="934"/>
      <c r="S598" s="934"/>
      <c r="T598" s="934"/>
      <c r="U598" s="934"/>
      <c r="V598" s="934"/>
      <c r="W598" s="934"/>
      <c r="X598" s="934"/>
      <c r="Y598" s="934"/>
      <c r="Z598" s="934"/>
    </row>
    <row r="599" ht="15.75" customHeight="1">
      <c r="A599" s="571"/>
      <c r="B599" s="934"/>
      <c r="C599" s="934"/>
      <c r="D599" s="934"/>
      <c r="E599" s="934"/>
      <c r="F599" s="934"/>
      <c r="G599" s="571"/>
      <c r="H599" s="934"/>
      <c r="I599" s="934"/>
      <c r="J599" s="934"/>
      <c r="K599" s="934"/>
      <c r="L599" s="934"/>
      <c r="M599" s="934"/>
      <c r="N599" s="934"/>
      <c r="O599" s="934"/>
      <c r="P599" s="934"/>
      <c r="Q599" s="934"/>
      <c r="R599" s="934"/>
      <c r="S599" s="934"/>
      <c r="T599" s="934"/>
      <c r="U599" s="934"/>
      <c r="V599" s="934"/>
      <c r="W599" s="934"/>
      <c r="X599" s="934"/>
      <c r="Y599" s="934"/>
      <c r="Z599" s="934"/>
    </row>
    <row r="600" ht="15.75" customHeight="1">
      <c r="A600" s="571"/>
      <c r="B600" s="934"/>
      <c r="C600" s="934"/>
      <c r="D600" s="934"/>
      <c r="E600" s="934"/>
      <c r="F600" s="934"/>
      <c r="G600" s="571"/>
      <c r="H600" s="934"/>
      <c r="I600" s="934"/>
      <c r="J600" s="934"/>
      <c r="K600" s="934"/>
      <c r="L600" s="934"/>
      <c r="M600" s="934"/>
      <c r="N600" s="934"/>
      <c r="O600" s="934"/>
      <c r="P600" s="934"/>
      <c r="Q600" s="934"/>
      <c r="R600" s="934"/>
      <c r="S600" s="934"/>
      <c r="T600" s="934"/>
      <c r="U600" s="934"/>
      <c r="V600" s="934"/>
      <c r="W600" s="934"/>
      <c r="X600" s="934"/>
      <c r="Y600" s="934"/>
      <c r="Z600" s="934"/>
    </row>
    <row r="601" ht="15.75" customHeight="1">
      <c r="A601" s="571"/>
      <c r="B601" s="934"/>
      <c r="C601" s="934"/>
      <c r="D601" s="934"/>
      <c r="E601" s="934"/>
      <c r="F601" s="934"/>
      <c r="G601" s="571"/>
      <c r="H601" s="934"/>
      <c r="I601" s="934"/>
      <c r="J601" s="934"/>
      <c r="K601" s="934"/>
      <c r="L601" s="934"/>
      <c r="M601" s="934"/>
      <c r="N601" s="934"/>
      <c r="O601" s="934"/>
      <c r="P601" s="934"/>
      <c r="Q601" s="934"/>
      <c r="R601" s="934"/>
      <c r="S601" s="934"/>
      <c r="T601" s="934"/>
      <c r="U601" s="934"/>
      <c r="V601" s="934"/>
      <c r="W601" s="934"/>
      <c r="X601" s="934"/>
      <c r="Y601" s="934"/>
      <c r="Z601" s="934"/>
    </row>
    <row r="602" ht="15.75" customHeight="1">
      <c r="A602" s="571"/>
      <c r="B602" s="934"/>
      <c r="C602" s="934"/>
      <c r="D602" s="934"/>
      <c r="E602" s="934"/>
      <c r="F602" s="934"/>
      <c r="G602" s="571"/>
      <c r="H602" s="934"/>
      <c r="I602" s="934"/>
      <c r="J602" s="934"/>
      <c r="K602" s="934"/>
      <c r="L602" s="934"/>
      <c r="M602" s="934"/>
      <c r="N602" s="934"/>
      <c r="O602" s="934"/>
      <c r="P602" s="934"/>
      <c r="Q602" s="934"/>
      <c r="R602" s="934"/>
      <c r="S602" s="934"/>
      <c r="T602" s="934"/>
      <c r="U602" s="934"/>
      <c r="V602" s="934"/>
      <c r="W602" s="934"/>
      <c r="X602" s="934"/>
      <c r="Y602" s="934"/>
      <c r="Z602" s="934"/>
    </row>
    <row r="603" ht="15.75" customHeight="1">
      <c r="A603" s="571"/>
      <c r="B603" s="934"/>
      <c r="C603" s="934"/>
      <c r="D603" s="934"/>
      <c r="E603" s="934"/>
      <c r="F603" s="934"/>
      <c r="G603" s="571"/>
      <c r="H603" s="934"/>
      <c r="I603" s="934"/>
      <c r="J603" s="934"/>
      <c r="K603" s="934"/>
      <c r="L603" s="934"/>
      <c r="M603" s="934"/>
      <c r="N603" s="934"/>
      <c r="O603" s="934"/>
      <c r="P603" s="934"/>
      <c r="Q603" s="934"/>
      <c r="R603" s="934"/>
      <c r="S603" s="934"/>
      <c r="T603" s="934"/>
      <c r="U603" s="934"/>
      <c r="V603" s="934"/>
      <c r="W603" s="934"/>
      <c r="X603" s="934"/>
      <c r="Y603" s="934"/>
      <c r="Z603" s="934"/>
    </row>
    <row r="604" ht="15.75" customHeight="1">
      <c r="A604" s="571"/>
      <c r="B604" s="934"/>
      <c r="C604" s="934"/>
      <c r="D604" s="934"/>
      <c r="E604" s="934"/>
      <c r="F604" s="934"/>
      <c r="G604" s="571"/>
      <c r="H604" s="934"/>
      <c r="I604" s="934"/>
      <c r="J604" s="934"/>
      <c r="K604" s="934"/>
      <c r="L604" s="934"/>
      <c r="M604" s="934"/>
      <c r="N604" s="934"/>
      <c r="O604" s="934"/>
      <c r="P604" s="934"/>
      <c r="Q604" s="934"/>
      <c r="R604" s="934"/>
      <c r="S604" s="934"/>
      <c r="T604" s="934"/>
      <c r="U604" s="934"/>
      <c r="V604" s="934"/>
      <c r="W604" s="934"/>
      <c r="X604" s="934"/>
      <c r="Y604" s="934"/>
      <c r="Z604" s="934"/>
    </row>
    <row r="605" ht="15.75" customHeight="1">
      <c r="A605" s="571"/>
      <c r="B605" s="934"/>
      <c r="C605" s="934"/>
      <c r="D605" s="934"/>
      <c r="E605" s="934"/>
      <c r="F605" s="934"/>
      <c r="G605" s="571"/>
      <c r="H605" s="934"/>
      <c r="I605" s="934"/>
      <c r="J605" s="934"/>
      <c r="K605" s="934"/>
      <c r="L605" s="934"/>
      <c r="M605" s="934"/>
      <c r="N605" s="934"/>
      <c r="O605" s="934"/>
      <c r="P605" s="934"/>
      <c r="Q605" s="934"/>
      <c r="R605" s="934"/>
      <c r="S605" s="934"/>
      <c r="T605" s="934"/>
      <c r="U605" s="934"/>
      <c r="V605" s="934"/>
      <c r="W605" s="934"/>
      <c r="X605" s="934"/>
      <c r="Y605" s="934"/>
      <c r="Z605" s="934"/>
    </row>
    <row r="606" ht="15.75" customHeight="1">
      <c r="A606" s="571"/>
      <c r="B606" s="934"/>
      <c r="C606" s="934"/>
      <c r="D606" s="934"/>
      <c r="E606" s="934"/>
      <c r="F606" s="934"/>
      <c r="G606" s="571"/>
      <c r="H606" s="934"/>
      <c r="I606" s="934"/>
      <c r="J606" s="934"/>
      <c r="K606" s="934"/>
      <c r="L606" s="934"/>
      <c r="M606" s="934"/>
      <c r="N606" s="934"/>
      <c r="O606" s="934"/>
      <c r="P606" s="934"/>
      <c r="Q606" s="934"/>
      <c r="R606" s="934"/>
      <c r="S606" s="934"/>
      <c r="T606" s="934"/>
      <c r="U606" s="934"/>
      <c r="V606" s="934"/>
      <c r="W606" s="934"/>
      <c r="X606" s="934"/>
      <c r="Y606" s="934"/>
      <c r="Z606" s="934"/>
    </row>
    <row r="607" ht="15.75" customHeight="1">
      <c r="A607" s="571"/>
      <c r="B607" s="934"/>
      <c r="C607" s="934"/>
      <c r="D607" s="934"/>
      <c r="E607" s="934"/>
      <c r="F607" s="934"/>
      <c r="G607" s="571"/>
      <c r="H607" s="934"/>
      <c r="I607" s="934"/>
      <c r="J607" s="934"/>
      <c r="K607" s="934"/>
      <c r="L607" s="934"/>
      <c r="M607" s="934"/>
      <c r="N607" s="934"/>
      <c r="O607" s="934"/>
      <c r="P607" s="934"/>
      <c r="Q607" s="934"/>
      <c r="R607" s="934"/>
      <c r="S607" s="934"/>
      <c r="T607" s="934"/>
      <c r="U607" s="934"/>
      <c r="V607" s="934"/>
      <c r="W607" s="934"/>
      <c r="X607" s="934"/>
      <c r="Y607" s="934"/>
      <c r="Z607" s="934"/>
    </row>
    <row r="608" ht="15.75" customHeight="1">
      <c r="A608" s="571"/>
      <c r="B608" s="934"/>
      <c r="C608" s="934"/>
      <c r="D608" s="934"/>
      <c r="E608" s="934"/>
      <c r="F608" s="934"/>
      <c r="G608" s="571"/>
      <c r="H608" s="934"/>
      <c r="I608" s="934"/>
      <c r="J608" s="934"/>
      <c r="K608" s="934"/>
      <c r="L608" s="934"/>
      <c r="M608" s="934"/>
      <c r="N608" s="934"/>
      <c r="O608" s="934"/>
      <c r="P608" s="934"/>
      <c r="Q608" s="934"/>
      <c r="R608" s="934"/>
      <c r="S608" s="934"/>
      <c r="T608" s="934"/>
      <c r="U608" s="934"/>
      <c r="V608" s="934"/>
      <c r="W608" s="934"/>
      <c r="X608" s="934"/>
      <c r="Y608" s="934"/>
      <c r="Z608" s="934"/>
    </row>
    <row r="609" ht="15.75" customHeight="1">
      <c r="A609" s="571"/>
      <c r="B609" s="934"/>
      <c r="C609" s="934"/>
      <c r="D609" s="934"/>
      <c r="E609" s="934"/>
      <c r="F609" s="934"/>
      <c r="G609" s="571"/>
      <c r="H609" s="934"/>
      <c r="I609" s="934"/>
      <c r="J609" s="934"/>
      <c r="K609" s="934"/>
      <c r="L609" s="934"/>
      <c r="M609" s="934"/>
      <c r="N609" s="934"/>
      <c r="O609" s="934"/>
      <c r="P609" s="934"/>
      <c r="Q609" s="934"/>
      <c r="R609" s="934"/>
      <c r="S609" s="934"/>
      <c r="T609" s="934"/>
      <c r="U609" s="934"/>
      <c r="V609" s="934"/>
      <c r="W609" s="934"/>
      <c r="X609" s="934"/>
      <c r="Y609" s="934"/>
      <c r="Z609" s="934"/>
    </row>
    <row r="610" ht="15.75" customHeight="1">
      <c r="A610" s="571"/>
      <c r="B610" s="934"/>
      <c r="C610" s="934"/>
      <c r="D610" s="934"/>
      <c r="E610" s="934"/>
      <c r="F610" s="934"/>
      <c r="G610" s="571"/>
      <c r="H610" s="934"/>
      <c r="I610" s="934"/>
      <c r="J610" s="934"/>
      <c r="K610" s="934"/>
      <c r="L610" s="934"/>
      <c r="M610" s="934"/>
      <c r="N610" s="934"/>
      <c r="O610" s="934"/>
      <c r="P610" s="934"/>
      <c r="Q610" s="934"/>
      <c r="R610" s="934"/>
      <c r="S610" s="934"/>
      <c r="T610" s="934"/>
      <c r="U610" s="934"/>
      <c r="V610" s="934"/>
      <c r="W610" s="934"/>
      <c r="X610" s="934"/>
      <c r="Y610" s="934"/>
      <c r="Z610" s="934"/>
    </row>
    <row r="611" ht="15.75" customHeight="1">
      <c r="A611" s="571"/>
      <c r="B611" s="934"/>
      <c r="C611" s="934"/>
      <c r="D611" s="934"/>
      <c r="E611" s="934"/>
      <c r="F611" s="934"/>
      <c r="G611" s="571"/>
      <c r="H611" s="934"/>
      <c r="I611" s="934"/>
      <c r="J611" s="934"/>
      <c r="K611" s="934"/>
      <c r="L611" s="934"/>
      <c r="M611" s="934"/>
      <c r="N611" s="934"/>
      <c r="O611" s="934"/>
      <c r="P611" s="934"/>
      <c r="Q611" s="934"/>
      <c r="R611" s="934"/>
      <c r="S611" s="934"/>
      <c r="T611" s="934"/>
      <c r="U611" s="934"/>
      <c r="V611" s="934"/>
      <c r="W611" s="934"/>
      <c r="X611" s="934"/>
      <c r="Y611" s="934"/>
      <c r="Z611" s="934"/>
    </row>
    <row r="612" ht="15.75" customHeight="1">
      <c r="A612" s="571"/>
      <c r="B612" s="934"/>
      <c r="C612" s="934"/>
      <c r="D612" s="934"/>
      <c r="E612" s="934"/>
      <c r="F612" s="934"/>
      <c r="G612" s="571"/>
      <c r="H612" s="934"/>
      <c r="I612" s="934"/>
      <c r="J612" s="934"/>
      <c r="K612" s="934"/>
      <c r="L612" s="934"/>
      <c r="M612" s="934"/>
      <c r="N612" s="934"/>
      <c r="O612" s="934"/>
      <c r="P612" s="934"/>
      <c r="Q612" s="934"/>
      <c r="R612" s="934"/>
      <c r="S612" s="934"/>
      <c r="T612" s="934"/>
      <c r="U612" s="934"/>
      <c r="V612" s="934"/>
      <c r="W612" s="934"/>
      <c r="X612" s="934"/>
      <c r="Y612" s="934"/>
      <c r="Z612" s="934"/>
    </row>
    <row r="613" ht="15.75" customHeight="1">
      <c r="A613" s="571"/>
      <c r="B613" s="934"/>
      <c r="C613" s="934"/>
      <c r="D613" s="934"/>
      <c r="E613" s="934"/>
      <c r="F613" s="934"/>
      <c r="G613" s="571"/>
      <c r="H613" s="934"/>
      <c r="I613" s="934"/>
      <c r="J613" s="934"/>
      <c r="K613" s="934"/>
      <c r="L613" s="934"/>
      <c r="M613" s="934"/>
      <c r="N613" s="934"/>
      <c r="O613" s="934"/>
      <c r="P613" s="934"/>
      <c r="Q613" s="934"/>
      <c r="R613" s="934"/>
      <c r="S613" s="934"/>
      <c r="T613" s="934"/>
      <c r="U613" s="934"/>
      <c r="V613" s="934"/>
      <c r="W613" s="934"/>
      <c r="X613" s="934"/>
      <c r="Y613" s="934"/>
      <c r="Z613" s="934"/>
    </row>
    <row r="614" ht="15.75" customHeight="1">
      <c r="A614" s="571"/>
      <c r="B614" s="934"/>
      <c r="C614" s="934"/>
      <c r="D614" s="934"/>
      <c r="E614" s="934"/>
      <c r="F614" s="934"/>
      <c r="G614" s="571"/>
      <c r="H614" s="934"/>
      <c r="I614" s="934"/>
      <c r="J614" s="934"/>
      <c r="K614" s="934"/>
      <c r="L614" s="934"/>
      <c r="M614" s="934"/>
      <c r="N614" s="934"/>
      <c r="O614" s="934"/>
      <c r="P614" s="934"/>
      <c r="Q614" s="934"/>
      <c r="R614" s="934"/>
      <c r="S614" s="934"/>
      <c r="T614" s="934"/>
      <c r="U614" s="934"/>
      <c r="V614" s="934"/>
      <c r="W614" s="934"/>
      <c r="X614" s="934"/>
      <c r="Y614" s="934"/>
      <c r="Z614" s="934"/>
    </row>
    <row r="615" ht="15.75" customHeight="1">
      <c r="A615" s="571"/>
      <c r="B615" s="934"/>
      <c r="C615" s="934"/>
      <c r="D615" s="934"/>
      <c r="E615" s="934"/>
      <c r="F615" s="934"/>
      <c r="G615" s="571"/>
      <c r="H615" s="934"/>
      <c r="I615" s="934"/>
      <c r="J615" s="934"/>
      <c r="K615" s="934"/>
      <c r="L615" s="934"/>
      <c r="M615" s="934"/>
      <c r="N615" s="934"/>
      <c r="O615" s="934"/>
      <c r="P615" s="934"/>
      <c r="Q615" s="934"/>
      <c r="R615" s="934"/>
      <c r="S615" s="934"/>
      <c r="T615" s="934"/>
      <c r="U615" s="934"/>
      <c r="V615" s="934"/>
      <c r="W615" s="934"/>
      <c r="X615" s="934"/>
      <c r="Y615" s="934"/>
      <c r="Z615" s="934"/>
    </row>
    <row r="616" ht="15.75" customHeight="1">
      <c r="A616" s="571"/>
      <c r="B616" s="934"/>
      <c r="C616" s="934"/>
      <c r="D616" s="934"/>
      <c r="E616" s="934"/>
      <c r="F616" s="934"/>
      <c r="G616" s="571"/>
      <c r="H616" s="934"/>
      <c r="I616" s="934"/>
      <c r="J616" s="934"/>
      <c r="K616" s="934"/>
      <c r="L616" s="934"/>
      <c r="M616" s="934"/>
      <c r="N616" s="934"/>
      <c r="O616" s="934"/>
      <c r="P616" s="934"/>
      <c r="Q616" s="934"/>
      <c r="R616" s="934"/>
      <c r="S616" s="934"/>
      <c r="T616" s="934"/>
      <c r="U616" s="934"/>
      <c r="V616" s="934"/>
      <c r="W616" s="934"/>
      <c r="X616" s="934"/>
      <c r="Y616" s="934"/>
      <c r="Z616" s="934"/>
    </row>
    <row r="617" ht="15.75" customHeight="1">
      <c r="A617" s="571"/>
      <c r="B617" s="934"/>
      <c r="C617" s="934"/>
      <c r="D617" s="934"/>
      <c r="E617" s="934"/>
      <c r="F617" s="934"/>
      <c r="G617" s="571"/>
      <c r="H617" s="934"/>
      <c r="I617" s="934"/>
      <c r="J617" s="934"/>
      <c r="K617" s="934"/>
      <c r="L617" s="934"/>
      <c r="M617" s="934"/>
      <c r="N617" s="934"/>
      <c r="O617" s="934"/>
      <c r="P617" s="934"/>
      <c r="Q617" s="934"/>
      <c r="R617" s="934"/>
      <c r="S617" s="934"/>
      <c r="T617" s="934"/>
      <c r="U617" s="934"/>
      <c r="V617" s="934"/>
      <c r="W617" s="934"/>
      <c r="X617" s="934"/>
      <c r="Y617" s="934"/>
      <c r="Z617" s="934"/>
    </row>
    <row r="618" ht="15.75" customHeight="1">
      <c r="A618" s="571"/>
      <c r="B618" s="934"/>
      <c r="C618" s="934"/>
      <c r="D618" s="934"/>
      <c r="E618" s="934"/>
      <c r="F618" s="934"/>
      <c r="G618" s="571"/>
      <c r="H618" s="934"/>
      <c r="I618" s="934"/>
      <c r="J618" s="934"/>
      <c r="K618" s="934"/>
      <c r="L618" s="934"/>
      <c r="M618" s="934"/>
      <c r="N618" s="934"/>
      <c r="O618" s="934"/>
      <c r="P618" s="934"/>
      <c r="Q618" s="934"/>
      <c r="R618" s="934"/>
      <c r="S618" s="934"/>
      <c r="T618" s="934"/>
      <c r="U618" s="934"/>
      <c r="V618" s="934"/>
      <c r="W618" s="934"/>
      <c r="X618" s="934"/>
      <c r="Y618" s="934"/>
      <c r="Z618" s="934"/>
    </row>
    <row r="619" ht="15.75" customHeight="1">
      <c r="A619" s="571"/>
      <c r="B619" s="934"/>
      <c r="C619" s="934"/>
      <c r="D619" s="934"/>
      <c r="E619" s="934"/>
      <c r="F619" s="934"/>
      <c r="G619" s="571"/>
      <c r="H619" s="934"/>
      <c r="I619" s="934"/>
      <c r="J619" s="934"/>
      <c r="K619" s="934"/>
      <c r="L619" s="934"/>
      <c r="M619" s="934"/>
      <c r="N619" s="934"/>
      <c r="O619" s="934"/>
      <c r="P619" s="934"/>
      <c r="Q619" s="934"/>
      <c r="R619" s="934"/>
      <c r="S619" s="934"/>
      <c r="T619" s="934"/>
      <c r="U619" s="934"/>
      <c r="V619" s="934"/>
      <c r="W619" s="934"/>
      <c r="X619" s="934"/>
      <c r="Y619" s="934"/>
      <c r="Z619" s="934"/>
    </row>
    <row r="620" ht="15.75" customHeight="1">
      <c r="A620" s="571"/>
      <c r="B620" s="934"/>
      <c r="C620" s="934"/>
      <c r="D620" s="934"/>
      <c r="E620" s="934"/>
      <c r="F620" s="934"/>
      <c r="G620" s="571"/>
      <c r="H620" s="934"/>
      <c r="I620" s="934"/>
      <c r="J620" s="934"/>
      <c r="K620" s="934"/>
      <c r="L620" s="934"/>
      <c r="M620" s="934"/>
      <c r="N620" s="934"/>
      <c r="O620" s="934"/>
      <c r="P620" s="934"/>
      <c r="Q620" s="934"/>
      <c r="R620" s="934"/>
      <c r="S620" s="934"/>
      <c r="T620" s="934"/>
      <c r="U620" s="934"/>
      <c r="V620" s="934"/>
      <c r="W620" s="934"/>
      <c r="X620" s="934"/>
      <c r="Y620" s="934"/>
      <c r="Z620" s="934"/>
    </row>
    <row r="621" ht="15.75" customHeight="1">
      <c r="A621" s="571"/>
      <c r="B621" s="934"/>
      <c r="C621" s="934"/>
      <c r="D621" s="934"/>
      <c r="E621" s="934"/>
      <c r="F621" s="934"/>
      <c r="G621" s="571"/>
      <c r="H621" s="934"/>
      <c r="I621" s="934"/>
      <c r="J621" s="934"/>
      <c r="K621" s="934"/>
      <c r="L621" s="934"/>
      <c r="M621" s="934"/>
      <c r="N621" s="934"/>
      <c r="O621" s="934"/>
      <c r="P621" s="934"/>
      <c r="Q621" s="934"/>
      <c r="R621" s="934"/>
      <c r="S621" s="934"/>
      <c r="T621" s="934"/>
      <c r="U621" s="934"/>
      <c r="V621" s="934"/>
      <c r="W621" s="934"/>
      <c r="X621" s="934"/>
      <c r="Y621" s="934"/>
      <c r="Z621" s="934"/>
    </row>
    <row r="622" ht="15.75" customHeight="1">
      <c r="A622" s="571"/>
      <c r="B622" s="934"/>
      <c r="C622" s="934"/>
      <c r="D622" s="934"/>
      <c r="E622" s="934"/>
      <c r="F622" s="934"/>
      <c r="G622" s="571"/>
      <c r="H622" s="934"/>
      <c r="I622" s="934"/>
      <c r="J622" s="934"/>
      <c r="K622" s="934"/>
      <c r="L622" s="934"/>
      <c r="M622" s="934"/>
      <c r="N622" s="934"/>
      <c r="O622" s="934"/>
      <c r="P622" s="934"/>
      <c r="Q622" s="934"/>
      <c r="R622" s="934"/>
      <c r="S622" s="934"/>
      <c r="T622" s="934"/>
      <c r="U622" s="934"/>
      <c r="V622" s="934"/>
      <c r="W622" s="934"/>
      <c r="X622" s="934"/>
      <c r="Y622" s="934"/>
      <c r="Z622" s="934"/>
    </row>
    <row r="623" ht="15.75" customHeight="1">
      <c r="A623" s="571"/>
      <c r="B623" s="934"/>
      <c r="C623" s="934"/>
      <c r="D623" s="934"/>
      <c r="E623" s="934"/>
      <c r="F623" s="934"/>
      <c r="G623" s="571"/>
      <c r="H623" s="934"/>
      <c r="I623" s="934"/>
      <c r="J623" s="934"/>
      <c r="K623" s="934"/>
      <c r="L623" s="934"/>
      <c r="M623" s="934"/>
      <c r="N623" s="934"/>
      <c r="O623" s="934"/>
      <c r="P623" s="934"/>
      <c r="Q623" s="934"/>
      <c r="R623" s="934"/>
      <c r="S623" s="934"/>
      <c r="T623" s="934"/>
      <c r="U623" s="934"/>
      <c r="V623" s="934"/>
      <c r="W623" s="934"/>
      <c r="X623" s="934"/>
      <c r="Y623" s="934"/>
      <c r="Z623" s="934"/>
    </row>
    <row r="624" ht="15.75" customHeight="1">
      <c r="A624" s="571"/>
      <c r="B624" s="934"/>
      <c r="C624" s="934"/>
      <c r="D624" s="934"/>
      <c r="E624" s="934"/>
      <c r="F624" s="934"/>
      <c r="G624" s="571"/>
      <c r="H624" s="934"/>
      <c r="I624" s="934"/>
      <c r="J624" s="934"/>
      <c r="K624" s="934"/>
      <c r="L624" s="934"/>
      <c r="M624" s="934"/>
      <c r="N624" s="934"/>
      <c r="O624" s="934"/>
      <c r="P624" s="934"/>
      <c r="Q624" s="934"/>
      <c r="R624" s="934"/>
      <c r="S624" s="934"/>
      <c r="T624" s="934"/>
      <c r="U624" s="934"/>
      <c r="V624" s="934"/>
      <c r="W624" s="934"/>
      <c r="X624" s="934"/>
      <c r="Y624" s="934"/>
      <c r="Z624" s="934"/>
    </row>
    <row r="625" ht="15.75" customHeight="1">
      <c r="A625" s="571"/>
      <c r="B625" s="934"/>
      <c r="C625" s="934"/>
      <c r="D625" s="934"/>
      <c r="E625" s="934"/>
      <c r="F625" s="934"/>
      <c r="G625" s="571"/>
      <c r="H625" s="934"/>
      <c r="I625" s="934"/>
      <c r="J625" s="934"/>
      <c r="K625" s="934"/>
      <c r="L625" s="934"/>
      <c r="M625" s="934"/>
      <c r="N625" s="934"/>
      <c r="O625" s="934"/>
      <c r="P625" s="934"/>
      <c r="Q625" s="934"/>
      <c r="R625" s="934"/>
      <c r="S625" s="934"/>
      <c r="T625" s="934"/>
      <c r="U625" s="934"/>
      <c r="V625" s="934"/>
      <c r="W625" s="934"/>
      <c r="X625" s="934"/>
      <c r="Y625" s="934"/>
      <c r="Z625" s="934"/>
    </row>
    <row r="626" ht="15.75" customHeight="1">
      <c r="A626" s="571"/>
      <c r="B626" s="934"/>
      <c r="C626" s="934"/>
      <c r="D626" s="934"/>
      <c r="E626" s="934"/>
      <c r="F626" s="934"/>
      <c r="G626" s="571"/>
      <c r="H626" s="934"/>
      <c r="I626" s="934"/>
      <c r="J626" s="934"/>
      <c r="K626" s="934"/>
      <c r="L626" s="934"/>
      <c r="M626" s="934"/>
      <c r="N626" s="934"/>
      <c r="O626" s="934"/>
      <c r="P626" s="934"/>
      <c r="Q626" s="934"/>
      <c r="R626" s="934"/>
      <c r="S626" s="934"/>
      <c r="T626" s="934"/>
      <c r="U626" s="934"/>
      <c r="V626" s="934"/>
      <c r="W626" s="934"/>
      <c r="X626" s="934"/>
      <c r="Y626" s="934"/>
      <c r="Z626" s="934"/>
    </row>
    <row r="627" ht="15.75" customHeight="1">
      <c r="A627" s="571"/>
      <c r="B627" s="934"/>
      <c r="C627" s="934"/>
      <c r="D627" s="934"/>
      <c r="E627" s="934"/>
      <c r="F627" s="934"/>
      <c r="G627" s="571"/>
      <c r="H627" s="934"/>
      <c r="I627" s="934"/>
      <c r="J627" s="934"/>
      <c r="K627" s="934"/>
      <c r="L627" s="934"/>
      <c r="M627" s="934"/>
      <c r="N627" s="934"/>
      <c r="O627" s="934"/>
      <c r="P627" s="934"/>
      <c r="Q627" s="934"/>
      <c r="R627" s="934"/>
      <c r="S627" s="934"/>
      <c r="T627" s="934"/>
      <c r="U627" s="934"/>
      <c r="V627" s="934"/>
      <c r="W627" s="934"/>
      <c r="X627" s="934"/>
      <c r="Y627" s="934"/>
      <c r="Z627" s="934"/>
    </row>
    <row r="628" ht="15.75" customHeight="1">
      <c r="A628" s="571"/>
      <c r="B628" s="934"/>
      <c r="C628" s="934"/>
      <c r="D628" s="934"/>
      <c r="E628" s="934"/>
      <c r="F628" s="934"/>
      <c r="G628" s="571"/>
      <c r="H628" s="934"/>
      <c r="I628" s="934"/>
      <c r="J628" s="934"/>
      <c r="K628" s="934"/>
      <c r="L628" s="934"/>
      <c r="M628" s="934"/>
      <c r="N628" s="934"/>
      <c r="O628" s="934"/>
      <c r="P628" s="934"/>
      <c r="Q628" s="934"/>
      <c r="R628" s="934"/>
      <c r="S628" s="934"/>
      <c r="T628" s="934"/>
      <c r="U628" s="934"/>
      <c r="V628" s="934"/>
      <c r="W628" s="934"/>
      <c r="X628" s="934"/>
      <c r="Y628" s="934"/>
      <c r="Z628" s="934"/>
    </row>
    <row r="629" ht="15.75" customHeight="1">
      <c r="A629" s="571"/>
      <c r="B629" s="934"/>
      <c r="C629" s="934"/>
      <c r="D629" s="934"/>
      <c r="E629" s="934"/>
      <c r="F629" s="934"/>
      <c r="G629" s="571"/>
      <c r="H629" s="934"/>
      <c r="I629" s="934"/>
      <c r="J629" s="934"/>
      <c r="K629" s="934"/>
      <c r="L629" s="934"/>
      <c r="M629" s="934"/>
      <c r="N629" s="934"/>
      <c r="O629" s="934"/>
      <c r="P629" s="934"/>
      <c r="Q629" s="934"/>
      <c r="R629" s="934"/>
      <c r="S629" s="934"/>
      <c r="T629" s="934"/>
      <c r="U629" s="934"/>
      <c r="V629" s="934"/>
      <c r="W629" s="934"/>
      <c r="X629" s="934"/>
      <c r="Y629" s="934"/>
      <c r="Z629" s="934"/>
    </row>
    <row r="630" ht="15.75" customHeight="1">
      <c r="A630" s="571"/>
      <c r="B630" s="934"/>
      <c r="C630" s="934"/>
      <c r="D630" s="934"/>
      <c r="E630" s="934"/>
      <c r="F630" s="934"/>
      <c r="G630" s="571"/>
      <c r="H630" s="934"/>
      <c r="I630" s="934"/>
      <c r="J630" s="934"/>
      <c r="K630" s="934"/>
      <c r="L630" s="934"/>
      <c r="M630" s="934"/>
      <c r="N630" s="934"/>
      <c r="O630" s="934"/>
      <c r="P630" s="934"/>
      <c r="Q630" s="934"/>
      <c r="R630" s="934"/>
      <c r="S630" s="934"/>
      <c r="T630" s="934"/>
      <c r="U630" s="934"/>
      <c r="V630" s="934"/>
      <c r="W630" s="934"/>
      <c r="X630" s="934"/>
      <c r="Y630" s="934"/>
      <c r="Z630" s="934"/>
    </row>
    <row r="631" ht="15.75" customHeight="1">
      <c r="A631" s="571"/>
      <c r="B631" s="934"/>
      <c r="C631" s="934"/>
      <c r="D631" s="934"/>
      <c r="E631" s="934"/>
      <c r="F631" s="934"/>
      <c r="G631" s="571"/>
      <c r="H631" s="934"/>
      <c r="I631" s="934"/>
      <c r="J631" s="934"/>
      <c r="K631" s="934"/>
      <c r="L631" s="934"/>
      <c r="M631" s="934"/>
      <c r="N631" s="934"/>
      <c r="O631" s="934"/>
      <c r="P631" s="934"/>
      <c r="Q631" s="934"/>
      <c r="R631" s="934"/>
      <c r="S631" s="934"/>
      <c r="T631" s="934"/>
      <c r="U631" s="934"/>
      <c r="V631" s="934"/>
      <c r="W631" s="934"/>
      <c r="X631" s="934"/>
      <c r="Y631" s="934"/>
      <c r="Z631" s="934"/>
    </row>
    <row r="632" ht="15.75" customHeight="1">
      <c r="A632" s="571"/>
      <c r="B632" s="934"/>
      <c r="C632" s="934"/>
      <c r="D632" s="934"/>
      <c r="E632" s="934"/>
      <c r="F632" s="934"/>
      <c r="G632" s="571"/>
      <c r="H632" s="934"/>
      <c r="I632" s="934"/>
      <c r="J632" s="934"/>
      <c r="K632" s="934"/>
      <c r="L632" s="934"/>
      <c r="M632" s="934"/>
      <c r="N632" s="934"/>
      <c r="O632" s="934"/>
      <c r="P632" s="934"/>
      <c r="Q632" s="934"/>
      <c r="R632" s="934"/>
      <c r="S632" s="934"/>
      <c r="T632" s="934"/>
      <c r="U632" s="934"/>
      <c r="V632" s="934"/>
      <c r="W632" s="934"/>
      <c r="X632" s="934"/>
      <c r="Y632" s="934"/>
      <c r="Z632" s="934"/>
    </row>
    <row r="633" ht="15.75" customHeight="1">
      <c r="A633" s="571"/>
      <c r="B633" s="934"/>
      <c r="C633" s="934"/>
      <c r="D633" s="934"/>
      <c r="E633" s="934"/>
      <c r="F633" s="934"/>
      <c r="G633" s="571"/>
      <c r="H633" s="934"/>
      <c r="I633" s="934"/>
      <c r="J633" s="934"/>
      <c r="K633" s="934"/>
      <c r="L633" s="934"/>
      <c r="M633" s="934"/>
      <c r="N633" s="934"/>
      <c r="O633" s="934"/>
      <c r="P633" s="934"/>
      <c r="Q633" s="934"/>
      <c r="R633" s="934"/>
      <c r="S633" s="934"/>
      <c r="T633" s="934"/>
      <c r="U633" s="934"/>
      <c r="V633" s="934"/>
      <c r="W633" s="934"/>
      <c r="X633" s="934"/>
      <c r="Y633" s="934"/>
      <c r="Z633" s="934"/>
    </row>
    <row r="634" ht="15.75" customHeight="1">
      <c r="A634" s="571"/>
      <c r="B634" s="934"/>
      <c r="C634" s="934"/>
      <c r="D634" s="934"/>
      <c r="E634" s="934"/>
      <c r="F634" s="934"/>
      <c r="G634" s="571"/>
      <c r="H634" s="934"/>
      <c r="I634" s="934"/>
      <c r="J634" s="934"/>
      <c r="K634" s="934"/>
      <c r="L634" s="934"/>
      <c r="M634" s="934"/>
      <c r="N634" s="934"/>
      <c r="O634" s="934"/>
      <c r="P634" s="934"/>
      <c r="Q634" s="934"/>
      <c r="R634" s="934"/>
      <c r="S634" s="934"/>
      <c r="T634" s="934"/>
      <c r="U634" s="934"/>
      <c r="V634" s="934"/>
      <c r="W634" s="934"/>
      <c r="X634" s="934"/>
      <c r="Y634" s="934"/>
      <c r="Z634" s="934"/>
    </row>
    <row r="635" ht="15.75" customHeight="1">
      <c r="A635" s="571"/>
      <c r="B635" s="934"/>
      <c r="C635" s="934"/>
      <c r="D635" s="934"/>
      <c r="E635" s="934"/>
      <c r="F635" s="934"/>
      <c r="G635" s="571"/>
      <c r="H635" s="934"/>
      <c r="I635" s="934"/>
      <c r="J635" s="934"/>
      <c r="K635" s="934"/>
      <c r="L635" s="934"/>
      <c r="M635" s="934"/>
      <c r="N635" s="934"/>
      <c r="O635" s="934"/>
      <c r="P635" s="934"/>
      <c r="Q635" s="934"/>
      <c r="R635" s="934"/>
      <c r="S635" s="934"/>
      <c r="T635" s="934"/>
      <c r="U635" s="934"/>
      <c r="V635" s="934"/>
      <c r="W635" s="934"/>
      <c r="X635" s="934"/>
      <c r="Y635" s="934"/>
      <c r="Z635" s="934"/>
    </row>
    <row r="636" ht="15.75" customHeight="1">
      <c r="A636" s="571"/>
      <c r="B636" s="934"/>
      <c r="C636" s="934"/>
      <c r="D636" s="934"/>
      <c r="E636" s="934"/>
      <c r="F636" s="934"/>
      <c r="G636" s="571"/>
      <c r="H636" s="934"/>
      <c r="I636" s="934"/>
      <c r="J636" s="934"/>
      <c r="K636" s="934"/>
      <c r="L636" s="934"/>
      <c r="M636" s="934"/>
      <c r="N636" s="934"/>
      <c r="O636" s="934"/>
      <c r="P636" s="934"/>
      <c r="Q636" s="934"/>
      <c r="R636" s="934"/>
      <c r="S636" s="934"/>
      <c r="T636" s="934"/>
      <c r="U636" s="934"/>
      <c r="V636" s="934"/>
      <c r="W636" s="934"/>
      <c r="X636" s="934"/>
      <c r="Y636" s="934"/>
      <c r="Z636" s="934"/>
    </row>
    <row r="637" ht="15.75" customHeight="1">
      <c r="A637" s="571"/>
      <c r="B637" s="934"/>
      <c r="C637" s="934"/>
      <c r="D637" s="934"/>
      <c r="E637" s="934"/>
      <c r="F637" s="934"/>
      <c r="G637" s="571"/>
      <c r="H637" s="934"/>
      <c r="I637" s="934"/>
      <c r="J637" s="934"/>
      <c r="K637" s="934"/>
      <c r="L637" s="934"/>
      <c r="M637" s="934"/>
      <c r="N637" s="934"/>
      <c r="O637" s="934"/>
      <c r="P637" s="934"/>
      <c r="Q637" s="934"/>
      <c r="R637" s="934"/>
      <c r="S637" s="934"/>
      <c r="T637" s="934"/>
      <c r="U637" s="934"/>
      <c r="V637" s="934"/>
      <c r="W637" s="934"/>
      <c r="X637" s="934"/>
      <c r="Y637" s="934"/>
      <c r="Z637" s="934"/>
    </row>
    <row r="638" ht="15.75" customHeight="1">
      <c r="A638" s="571"/>
      <c r="B638" s="934"/>
      <c r="C638" s="934"/>
      <c r="D638" s="934"/>
      <c r="E638" s="934"/>
      <c r="F638" s="934"/>
      <c r="G638" s="571"/>
      <c r="H638" s="934"/>
      <c r="I638" s="934"/>
      <c r="J638" s="934"/>
      <c r="K638" s="934"/>
      <c r="L638" s="934"/>
      <c r="M638" s="934"/>
      <c r="N638" s="934"/>
      <c r="O638" s="934"/>
      <c r="P638" s="934"/>
      <c r="Q638" s="934"/>
      <c r="R638" s="934"/>
      <c r="S638" s="934"/>
      <c r="T638" s="934"/>
      <c r="U638" s="934"/>
      <c r="V638" s="934"/>
      <c r="W638" s="934"/>
      <c r="X638" s="934"/>
      <c r="Y638" s="934"/>
      <c r="Z638" s="934"/>
    </row>
    <row r="639" ht="15.75" customHeight="1">
      <c r="A639" s="571"/>
      <c r="B639" s="934"/>
      <c r="C639" s="934"/>
      <c r="D639" s="934"/>
      <c r="E639" s="934"/>
      <c r="F639" s="934"/>
      <c r="G639" s="571"/>
      <c r="H639" s="934"/>
      <c r="I639" s="934"/>
      <c r="J639" s="934"/>
      <c r="K639" s="934"/>
      <c r="L639" s="934"/>
      <c r="M639" s="934"/>
      <c r="N639" s="934"/>
      <c r="O639" s="934"/>
      <c r="P639" s="934"/>
      <c r="Q639" s="934"/>
      <c r="R639" s="934"/>
      <c r="S639" s="934"/>
      <c r="T639" s="934"/>
      <c r="U639" s="934"/>
      <c r="V639" s="934"/>
      <c r="W639" s="934"/>
      <c r="X639" s="934"/>
      <c r="Y639" s="934"/>
      <c r="Z639" s="934"/>
    </row>
    <row r="640" ht="15.75" customHeight="1">
      <c r="A640" s="571"/>
      <c r="B640" s="934"/>
      <c r="C640" s="934"/>
      <c r="D640" s="934"/>
      <c r="E640" s="934"/>
      <c r="F640" s="934"/>
      <c r="G640" s="571"/>
      <c r="H640" s="934"/>
      <c r="I640" s="934"/>
      <c r="J640" s="934"/>
      <c r="K640" s="934"/>
      <c r="L640" s="934"/>
      <c r="M640" s="934"/>
      <c r="N640" s="934"/>
      <c r="O640" s="934"/>
      <c r="P640" s="934"/>
      <c r="Q640" s="934"/>
      <c r="R640" s="934"/>
      <c r="S640" s="934"/>
      <c r="T640" s="934"/>
      <c r="U640" s="934"/>
      <c r="V640" s="934"/>
      <c r="W640" s="934"/>
      <c r="X640" s="934"/>
      <c r="Y640" s="934"/>
      <c r="Z640" s="934"/>
    </row>
    <row r="641" ht="15.75" customHeight="1">
      <c r="A641" s="571"/>
      <c r="B641" s="934"/>
      <c r="C641" s="934"/>
      <c r="D641" s="934"/>
      <c r="E641" s="934"/>
      <c r="F641" s="934"/>
      <c r="G641" s="571"/>
      <c r="H641" s="934"/>
      <c r="I641" s="934"/>
      <c r="J641" s="934"/>
      <c r="K641" s="934"/>
      <c r="L641" s="934"/>
      <c r="M641" s="934"/>
      <c r="N641" s="934"/>
      <c r="O641" s="934"/>
      <c r="P641" s="934"/>
      <c r="Q641" s="934"/>
      <c r="R641" s="934"/>
      <c r="S641" s="934"/>
      <c r="T641" s="934"/>
      <c r="U641" s="934"/>
      <c r="V641" s="934"/>
      <c r="W641" s="934"/>
      <c r="X641" s="934"/>
      <c r="Y641" s="934"/>
      <c r="Z641" s="934"/>
    </row>
    <row r="642" ht="15.75" customHeight="1">
      <c r="A642" s="571"/>
      <c r="B642" s="934"/>
      <c r="C642" s="934"/>
      <c r="D642" s="934"/>
      <c r="E642" s="934"/>
      <c r="F642" s="934"/>
      <c r="G642" s="571"/>
      <c r="H642" s="934"/>
      <c r="I642" s="934"/>
      <c r="J642" s="934"/>
      <c r="K642" s="934"/>
      <c r="L642" s="934"/>
      <c r="M642" s="934"/>
      <c r="N642" s="934"/>
      <c r="O642" s="934"/>
      <c r="P642" s="934"/>
      <c r="Q642" s="934"/>
      <c r="R642" s="934"/>
      <c r="S642" s="934"/>
      <c r="T642" s="934"/>
      <c r="U642" s="934"/>
      <c r="V642" s="934"/>
      <c r="W642" s="934"/>
      <c r="X642" s="934"/>
      <c r="Y642" s="934"/>
      <c r="Z642" s="934"/>
    </row>
    <row r="643" ht="15.75" customHeight="1">
      <c r="A643" s="571"/>
      <c r="B643" s="934"/>
      <c r="C643" s="934"/>
      <c r="D643" s="934"/>
      <c r="E643" s="934"/>
      <c r="F643" s="934"/>
      <c r="G643" s="571"/>
      <c r="H643" s="934"/>
      <c r="I643" s="934"/>
      <c r="J643" s="934"/>
      <c r="K643" s="934"/>
      <c r="L643" s="934"/>
      <c r="M643" s="934"/>
      <c r="N643" s="934"/>
      <c r="O643" s="934"/>
      <c r="P643" s="934"/>
      <c r="Q643" s="934"/>
      <c r="R643" s="934"/>
      <c r="S643" s="934"/>
      <c r="T643" s="934"/>
      <c r="U643" s="934"/>
      <c r="V643" s="934"/>
      <c r="W643" s="934"/>
      <c r="X643" s="934"/>
      <c r="Y643" s="934"/>
      <c r="Z643" s="934"/>
    </row>
    <row r="644" ht="15.75" customHeight="1">
      <c r="A644" s="571"/>
      <c r="B644" s="934"/>
      <c r="C644" s="934"/>
      <c r="D644" s="934"/>
      <c r="E644" s="934"/>
      <c r="F644" s="934"/>
      <c r="G644" s="571"/>
      <c r="H644" s="934"/>
      <c r="I644" s="934"/>
      <c r="J644" s="934"/>
      <c r="K644" s="934"/>
      <c r="L644" s="934"/>
      <c r="M644" s="934"/>
      <c r="N644" s="934"/>
      <c r="O644" s="934"/>
      <c r="P644" s="934"/>
      <c r="Q644" s="934"/>
      <c r="R644" s="934"/>
      <c r="S644" s="934"/>
      <c r="T644" s="934"/>
      <c r="U644" s="934"/>
      <c r="V644" s="934"/>
      <c r="W644" s="934"/>
      <c r="X644" s="934"/>
      <c r="Y644" s="934"/>
      <c r="Z644" s="934"/>
    </row>
    <row r="645" ht="15.75" customHeight="1">
      <c r="A645" s="571"/>
      <c r="B645" s="934"/>
      <c r="C645" s="934"/>
      <c r="D645" s="934"/>
      <c r="E645" s="934"/>
      <c r="F645" s="934"/>
      <c r="G645" s="571"/>
      <c r="H645" s="934"/>
      <c r="I645" s="934"/>
      <c r="J645" s="934"/>
      <c r="K645" s="934"/>
      <c r="L645" s="934"/>
      <c r="M645" s="934"/>
      <c r="N645" s="934"/>
      <c r="O645" s="934"/>
      <c r="P645" s="934"/>
      <c r="Q645" s="934"/>
      <c r="R645" s="934"/>
      <c r="S645" s="934"/>
      <c r="T645" s="934"/>
      <c r="U645" s="934"/>
      <c r="V645" s="934"/>
      <c r="W645" s="934"/>
      <c r="X645" s="934"/>
      <c r="Y645" s="934"/>
      <c r="Z645" s="934"/>
    </row>
    <row r="646" ht="15.75" customHeight="1">
      <c r="A646" s="571"/>
      <c r="B646" s="934"/>
      <c r="C646" s="934"/>
      <c r="D646" s="934"/>
      <c r="E646" s="934"/>
      <c r="F646" s="934"/>
      <c r="G646" s="571"/>
      <c r="H646" s="934"/>
      <c r="I646" s="934"/>
      <c r="J646" s="934"/>
      <c r="K646" s="934"/>
      <c r="L646" s="934"/>
      <c r="M646" s="934"/>
      <c r="N646" s="934"/>
      <c r="O646" s="934"/>
      <c r="P646" s="934"/>
      <c r="Q646" s="934"/>
      <c r="R646" s="934"/>
      <c r="S646" s="934"/>
      <c r="T646" s="934"/>
      <c r="U646" s="934"/>
      <c r="V646" s="934"/>
      <c r="W646" s="934"/>
      <c r="X646" s="934"/>
      <c r="Y646" s="934"/>
      <c r="Z646" s="934"/>
    </row>
    <row r="647" ht="15.75" customHeight="1">
      <c r="A647" s="571"/>
      <c r="B647" s="934"/>
      <c r="C647" s="934"/>
      <c r="D647" s="934"/>
      <c r="E647" s="934"/>
      <c r="F647" s="934"/>
      <c r="G647" s="571"/>
      <c r="H647" s="934"/>
      <c r="I647" s="934"/>
      <c r="J647" s="934"/>
      <c r="K647" s="934"/>
      <c r="L647" s="934"/>
      <c r="M647" s="934"/>
      <c r="N647" s="934"/>
      <c r="O647" s="934"/>
      <c r="P647" s="934"/>
      <c r="Q647" s="934"/>
      <c r="R647" s="934"/>
      <c r="S647" s="934"/>
      <c r="T647" s="934"/>
      <c r="U647" s="934"/>
      <c r="V647" s="934"/>
      <c r="W647" s="934"/>
      <c r="X647" s="934"/>
      <c r="Y647" s="934"/>
      <c r="Z647" s="934"/>
    </row>
    <row r="648" ht="15.75" customHeight="1">
      <c r="A648" s="571"/>
      <c r="B648" s="934"/>
      <c r="C648" s="934"/>
      <c r="D648" s="934"/>
      <c r="E648" s="934"/>
      <c r="F648" s="934"/>
      <c r="G648" s="571"/>
      <c r="H648" s="934"/>
      <c r="I648" s="934"/>
      <c r="J648" s="934"/>
      <c r="K648" s="934"/>
      <c r="L648" s="934"/>
      <c r="M648" s="934"/>
      <c r="N648" s="934"/>
      <c r="O648" s="934"/>
      <c r="P648" s="934"/>
      <c r="Q648" s="934"/>
      <c r="R648" s="934"/>
      <c r="S648" s="934"/>
      <c r="T648" s="934"/>
      <c r="U648" s="934"/>
      <c r="V648" s="934"/>
      <c r="W648" s="934"/>
      <c r="X648" s="934"/>
      <c r="Y648" s="934"/>
      <c r="Z648" s="934"/>
    </row>
    <row r="649" ht="15.75" customHeight="1">
      <c r="A649" s="571"/>
      <c r="B649" s="934"/>
      <c r="C649" s="934"/>
      <c r="D649" s="934"/>
      <c r="E649" s="934"/>
      <c r="F649" s="934"/>
      <c r="G649" s="571"/>
      <c r="H649" s="934"/>
      <c r="I649" s="934"/>
      <c r="J649" s="934"/>
      <c r="K649" s="934"/>
      <c r="L649" s="934"/>
      <c r="M649" s="934"/>
      <c r="N649" s="934"/>
      <c r="O649" s="934"/>
      <c r="P649" s="934"/>
      <c r="Q649" s="934"/>
      <c r="R649" s="934"/>
      <c r="S649" s="934"/>
      <c r="T649" s="934"/>
      <c r="U649" s="934"/>
      <c r="V649" s="934"/>
      <c r="W649" s="934"/>
      <c r="X649" s="934"/>
      <c r="Y649" s="934"/>
      <c r="Z649" s="934"/>
    </row>
    <row r="650" ht="15.75" customHeight="1">
      <c r="A650" s="571"/>
      <c r="B650" s="934"/>
      <c r="C650" s="934"/>
      <c r="D650" s="934"/>
      <c r="E650" s="934"/>
      <c r="F650" s="934"/>
      <c r="G650" s="571"/>
      <c r="H650" s="934"/>
      <c r="I650" s="934"/>
      <c r="J650" s="934"/>
      <c r="K650" s="934"/>
      <c r="L650" s="934"/>
      <c r="M650" s="934"/>
      <c r="N650" s="934"/>
      <c r="O650" s="934"/>
      <c r="P650" s="934"/>
      <c r="Q650" s="934"/>
      <c r="R650" s="934"/>
      <c r="S650" s="934"/>
      <c r="T650" s="934"/>
      <c r="U650" s="934"/>
      <c r="V650" s="934"/>
      <c r="W650" s="934"/>
      <c r="X650" s="934"/>
      <c r="Y650" s="934"/>
      <c r="Z650" s="934"/>
    </row>
    <row r="651" ht="15.75" customHeight="1">
      <c r="A651" s="571"/>
      <c r="B651" s="934"/>
      <c r="C651" s="934"/>
      <c r="D651" s="934"/>
      <c r="E651" s="934"/>
      <c r="F651" s="934"/>
      <c r="G651" s="571"/>
      <c r="H651" s="934"/>
      <c r="I651" s="934"/>
      <c r="J651" s="934"/>
      <c r="K651" s="934"/>
      <c r="L651" s="934"/>
      <c r="M651" s="934"/>
      <c r="N651" s="934"/>
      <c r="O651" s="934"/>
      <c r="P651" s="934"/>
      <c r="Q651" s="934"/>
      <c r="R651" s="934"/>
      <c r="S651" s="934"/>
      <c r="T651" s="934"/>
      <c r="U651" s="934"/>
      <c r="V651" s="934"/>
      <c r="W651" s="934"/>
      <c r="X651" s="934"/>
      <c r="Y651" s="934"/>
      <c r="Z651" s="934"/>
    </row>
    <row r="652" ht="15.75" customHeight="1">
      <c r="A652" s="571"/>
      <c r="B652" s="934"/>
      <c r="C652" s="934"/>
      <c r="D652" s="934"/>
      <c r="E652" s="934"/>
      <c r="F652" s="934"/>
      <c r="G652" s="571"/>
      <c r="H652" s="934"/>
      <c r="I652" s="934"/>
      <c r="J652" s="934"/>
      <c r="K652" s="934"/>
      <c r="L652" s="934"/>
      <c r="M652" s="934"/>
      <c r="N652" s="934"/>
      <c r="O652" s="934"/>
      <c r="P652" s="934"/>
      <c r="Q652" s="934"/>
      <c r="R652" s="934"/>
      <c r="S652" s="934"/>
      <c r="T652" s="934"/>
      <c r="U652" s="934"/>
      <c r="V652" s="934"/>
      <c r="W652" s="934"/>
      <c r="X652" s="934"/>
      <c r="Y652" s="934"/>
      <c r="Z652" s="934"/>
    </row>
    <row r="653" ht="15.75" customHeight="1">
      <c r="A653" s="571"/>
      <c r="B653" s="934"/>
      <c r="C653" s="934"/>
      <c r="D653" s="934"/>
      <c r="E653" s="934"/>
      <c r="F653" s="934"/>
      <c r="G653" s="571"/>
      <c r="H653" s="934"/>
      <c r="I653" s="934"/>
      <c r="J653" s="934"/>
      <c r="K653" s="934"/>
      <c r="L653" s="934"/>
      <c r="M653" s="934"/>
      <c r="N653" s="934"/>
      <c r="O653" s="934"/>
      <c r="P653" s="934"/>
      <c r="Q653" s="934"/>
      <c r="R653" s="934"/>
      <c r="S653" s="934"/>
      <c r="T653" s="934"/>
      <c r="U653" s="934"/>
      <c r="V653" s="934"/>
      <c r="W653" s="934"/>
      <c r="X653" s="934"/>
      <c r="Y653" s="934"/>
      <c r="Z653" s="934"/>
    </row>
    <row r="654" ht="15.75" customHeight="1">
      <c r="A654" s="571"/>
      <c r="B654" s="934"/>
      <c r="C654" s="934"/>
      <c r="D654" s="934"/>
      <c r="E654" s="934"/>
      <c r="F654" s="934"/>
      <c r="G654" s="571"/>
      <c r="H654" s="934"/>
      <c r="I654" s="934"/>
      <c r="J654" s="934"/>
      <c r="K654" s="934"/>
      <c r="L654" s="934"/>
      <c r="M654" s="934"/>
      <c r="N654" s="934"/>
      <c r="O654" s="934"/>
      <c r="P654" s="934"/>
      <c r="Q654" s="934"/>
      <c r="R654" s="934"/>
      <c r="S654" s="934"/>
      <c r="T654" s="934"/>
      <c r="U654" s="934"/>
      <c r="V654" s="934"/>
      <c r="W654" s="934"/>
      <c r="X654" s="934"/>
      <c r="Y654" s="934"/>
      <c r="Z654" s="934"/>
    </row>
    <row r="655" ht="15.75" customHeight="1">
      <c r="A655" s="571"/>
      <c r="B655" s="934"/>
      <c r="C655" s="934"/>
      <c r="D655" s="934"/>
      <c r="E655" s="934"/>
      <c r="F655" s="934"/>
      <c r="G655" s="571"/>
      <c r="H655" s="934"/>
      <c r="I655" s="934"/>
      <c r="J655" s="934"/>
      <c r="K655" s="934"/>
      <c r="L655" s="934"/>
      <c r="M655" s="934"/>
      <c r="N655" s="934"/>
      <c r="O655" s="934"/>
      <c r="P655" s="934"/>
      <c r="Q655" s="934"/>
      <c r="R655" s="934"/>
      <c r="S655" s="934"/>
      <c r="T655" s="934"/>
      <c r="U655" s="934"/>
      <c r="V655" s="934"/>
      <c r="W655" s="934"/>
      <c r="X655" s="934"/>
      <c r="Y655" s="934"/>
      <c r="Z655" s="934"/>
    </row>
    <row r="656" ht="15.75" customHeight="1">
      <c r="A656" s="571"/>
      <c r="B656" s="934"/>
      <c r="C656" s="934"/>
      <c r="D656" s="934"/>
      <c r="E656" s="934"/>
      <c r="F656" s="934"/>
      <c r="G656" s="571"/>
      <c r="H656" s="934"/>
      <c r="I656" s="934"/>
      <c r="J656" s="934"/>
      <c r="K656" s="934"/>
      <c r="L656" s="934"/>
      <c r="M656" s="934"/>
      <c r="N656" s="934"/>
      <c r="O656" s="934"/>
      <c r="P656" s="934"/>
      <c r="Q656" s="934"/>
      <c r="R656" s="934"/>
      <c r="S656" s="934"/>
      <c r="T656" s="934"/>
      <c r="U656" s="934"/>
      <c r="V656" s="934"/>
      <c r="W656" s="934"/>
      <c r="X656" s="934"/>
      <c r="Y656" s="934"/>
      <c r="Z656" s="934"/>
    </row>
    <row r="657" ht="15.75" customHeight="1">
      <c r="A657" s="571"/>
      <c r="B657" s="934"/>
      <c r="C657" s="934"/>
      <c r="D657" s="934"/>
      <c r="E657" s="934"/>
      <c r="F657" s="934"/>
      <c r="G657" s="571"/>
      <c r="H657" s="934"/>
      <c r="I657" s="934"/>
      <c r="J657" s="934"/>
      <c r="K657" s="934"/>
      <c r="L657" s="934"/>
      <c r="M657" s="934"/>
      <c r="N657" s="934"/>
      <c r="O657" s="934"/>
      <c r="P657" s="934"/>
      <c r="Q657" s="934"/>
      <c r="R657" s="934"/>
      <c r="S657" s="934"/>
      <c r="T657" s="934"/>
      <c r="U657" s="934"/>
      <c r="V657" s="934"/>
      <c r="W657" s="934"/>
      <c r="X657" s="934"/>
      <c r="Y657" s="934"/>
      <c r="Z657" s="934"/>
    </row>
    <row r="658" ht="15.75" customHeight="1">
      <c r="A658" s="571"/>
      <c r="B658" s="934"/>
      <c r="C658" s="934"/>
      <c r="D658" s="934"/>
      <c r="E658" s="934"/>
      <c r="F658" s="934"/>
      <c r="G658" s="571"/>
      <c r="H658" s="934"/>
      <c r="I658" s="934"/>
      <c r="J658" s="934"/>
      <c r="K658" s="934"/>
      <c r="L658" s="934"/>
      <c r="M658" s="934"/>
      <c r="N658" s="934"/>
      <c r="O658" s="934"/>
      <c r="P658" s="934"/>
      <c r="Q658" s="934"/>
      <c r="R658" s="934"/>
      <c r="S658" s="934"/>
      <c r="T658" s="934"/>
      <c r="U658" s="934"/>
      <c r="V658" s="934"/>
      <c r="W658" s="934"/>
      <c r="X658" s="934"/>
      <c r="Y658" s="934"/>
      <c r="Z658" s="934"/>
    </row>
    <row r="659" ht="15.75" customHeight="1">
      <c r="A659" s="571"/>
      <c r="B659" s="934"/>
      <c r="C659" s="934"/>
      <c r="D659" s="934"/>
      <c r="E659" s="934"/>
      <c r="F659" s="934"/>
      <c r="G659" s="571"/>
      <c r="H659" s="934"/>
      <c r="I659" s="934"/>
      <c r="J659" s="934"/>
      <c r="K659" s="934"/>
      <c r="L659" s="934"/>
      <c r="M659" s="934"/>
      <c r="N659" s="934"/>
      <c r="O659" s="934"/>
      <c r="P659" s="934"/>
      <c r="Q659" s="934"/>
      <c r="R659" s="934"/>
      <c r="S659" s="934"/>
      <c r="T659" s="934"/>
      <c r="U659" s="934"/>
      <c r="V659" s="934"/>
      <c r="W659" s="934"/>
      <c r="X659" s="934"/>
      <c r="Y659" s="934"/>
      <c r="Z659" s="934"/>
    </row>
    <row r="660" ht="15.75" customHeight="1">
      <c r="A660" s="571"/>
      <c r="B660" s="934"/>
      <c r="C660" s="934"/>
      <c r="D660" s="934"/>
      <c r="E660" s="934"/>
      <c r="F660" s="934"/>
      <c r="G660" s="571"/>
      <c r="H660" s="934"/>
      <c r="I660" s="934"/>
      <c r="J660" s="934"/>
      <c r="K660" s="934"/>
      <c r="L660" s="934"/>
      <c r="M660" s="934"/>
      <c r="N660" s="934"/>
      <c r="O660" s="934"/>
      <c r="P660" s="934"/>
      <c r="Q660" s="934"/>
      <c r="R660" s="934"/>
      <c r="S660" s="934"/>
      <c r="T660" s="934"/>
      <c r="U660" s="934"/>
      <c r="V660" s="934"/>
      <c r="W660" s="934"/>
      <c r="X660" s="934"/>
      <c r="Y660" s="934"/>
      <c r="Z660" s="934"/>
    </row>
    <row r="661" ht="15.75" customHeight="1">
      <c r="A661" s="571"/>
      <c r="B661" s="934"/>
      <c r="C661" s="934"/>
      <c r="D661" s="934"/>
      <c r="E661" s="934"/>
      <c r="F661" s="934"/>
      <c r="G661" s="571"/>
      <c r="H661" s="934"/>
      <c r="I661" s="934"/>
      <c r="J661" s="934"/>
      <c r="K661" s="934"/>
      <c r="L661" s="934"/>
      <c r="M661" s="934"/>
      <c r="N661" s="934"/>
      <c r="O661" s="934"/>
      <c r="P661" s="934"/>
      <c r="Q661" s="934"/>
      <c r="R661" s="934"/>
      <c r="S661" s="934"/>
      <c r="T661" s="934"/>
      <c r="U661" s="934"/>
      <c r="V661" s="934"/>
      <c r="W661" s="934"/>
      <c r="X661" s="934"/>
      <c r="Y661" s="934"/>
      <c r="Z661" s="934"/>
    </row>
    <row r="662" ht="15.75" customHeight="1">
      <c r="A662" s="571"/>
      <c r="B662" s="934"/>
      <c r="C662" s="934"/>
      <c r="D662" s="934"/>
      <c r="E662" s="934"/>
      <c r="F662" s="934"/>
      <c r="G662" s="571"/>
      <c r="H662" s="934"/>
      <c r="I662" s="934"/>
      <c r="J662" s="934"/>
      <c r="K662" s="934"/>
      <c r="L662" s="934"/>
      <c r="M662" s="934"/>
      <c r="N662" s="934"/>
      <c r="O662" s="934"/>
      <c r="P662" s="934"/>
      <c r="Q662" s="934"/>
      <c r="R662" s="934"/>
      <c r="S662" s="934"/>
      <c r="T662" s="934"/>
      <c r="U662" s="934"/>
      <c r="V662" s="934"/>
      <c r="W662" s="934"/>
      <c r="X662" s="934"/>
      <c r="Y662" s="934"/>
      <c r="Z662" s="934"/>
    </row>
    <row r="663" ht="15.75" customHeight="1">
      <c r="A663" s="571"/>
      <c r="B663" s="934"/>
      <c r="C663" s="934"/>
      <c r="D663" s="934"/>
      <c r="E663" s="934"/>
      <c r="F663" s="934"/>
      <c r="G663" s="571"/>
      <c r="H663" s="934"/>
      <c r="I663" s="934"/>
      <c r="J663" s="934"/>
      <c r="K663" s="934"/>
      <c r="L663" s="934"/>
      <c r="M663" s="934"/>
      <c r="N663" s="934"/>
      <c r="O663" s="934"/>
      <c r="P663" s="934"/>
      <c r="Q663" s="934"/>
      <c r="R663" s="934"/>
      <c r="S663" s="934"/>
      <c r="T663" s="934"/>
      <c r="U663" s="934"/>
      <c r="V663" s="934"/>
      <c r="W663" s="934"/>
      <c r="X663" s="934"/>
      <c r="Y663" s="934"/>
      <c r="Z663" s="934"/>
    </row>
    <row r="664" ht="15.75" customHeight="1">
      <c r="A664" s="571"/>
      <c r="B664" s="934"/>
      <c r="C664" s="934"/>
      <c r="D664" s="934"/>
      <c r="E664" s="934"/>
      <c r="F664" s="934"/>
      <c r="G664" s="571"/>
      <c r="H664" s="934"/>
      <c r="I664" s="934"/>
      <c r="J664" s="934"/>
      <c r="K664" s="934"/>
      <c r="L664" s="934"/>
      <c r="M664" s="934"/>
      <c r="N664" s="934"/>
      <c r="O664" s="934"/>
      <c r="P664" s="934"/>
      <c r="Q664" s="934"/>
      <c r="R664" s="934"/>
      <c r="S664" s="934"/>
      <c r="T664" s="934"/>
      <c r="U664" s="934"/>
      <c r="V664" s="934"/>
      <c r="W664" s="934"/>
      <c r="X664" s="934"/>
      <c r="Y664" s="934"/>
      <c r="Z664" s="934"/>
    </row>
    <row r="665" ht="15.75" customHeight="1">
      <c r="A665" s="571"/>
      <c r="B665" s="934"/>
      <c r="C665" s="934"/>
      <c r="D665" s="934"/>
      <c r="E665" s="934"/>
      <c r="F665" s="934"/>
      <c r="G665" s="571"/>
      <c r="H665" s="934"/>
      <c r="I665" s="934"/>
      <c r="J665" s="934"/>
      <c r="K665" s="934"/>
      <c r="L665" s="934"/>
      <c r="M665" s="934"/>
      <c r="N665" s="934"/>
      <c r="O665" s="934"/>
      <c r="P665" s="934"/>
      <c r="Q665" s="934"/>
      <c r="R665" s="934"/>
      <c r="S665" s="934"/>
      <c r="T665" s="934"/>
      <c r="U665" s="934"/>
      <c r="V665" s="934"/>
      <c r="W665" s="934"/>
      <c r="X665" s="934"/>
      <c r="Y665" s="934"/>
      <c r="Z665" s="934"/>
    </row>
    <row r="666" ht="15.75" customHeight="1">
      <c r="A666" s="571"/>
      <c r="B666" s="934"/>
      <c r="C666" s="934"/>
      <c r="D666" s="934"/>
      <c r="E666" s="934"/>
      <c r="F666" s="934"/>
      <c r="G666" s="571"/>
      <c r="H666" s="934"/>
      <c r="I666" s="934"/>
      <c r="J666" s="934"/>
      <c r="K666" s="934"/>
      <c r="L666" s="934"/>
      <c r="M666" s="934"/>
      <c r="N666" s="934"/>
      <c r="O666" s="934"/>
      <c r="P666" s="934"/>
      <c r="Q666" s="934"/>
      <c r="R666" s="934"/>
      <c r="S666" s="934"/>
      <c r="T666" s="934"/>
      <c r="U666" s="934"/>
      <c r="V666" s="934"/>
      <c r="W666" s="934"/>
      <c r="X666" s="934"/>
      <c r="Y666" s="934"/>
      <c r="Z666" s="934"/>
    </row>
    <row r="667" ht="15.75" customHeight="1">
      <c r="A667" s="571"/>
      <c r="B667" s="934"/>
      <c r="C667" s="934"/>
      <c r="D667" s="934"/>
      <c r="E667" s="934"/>
      <c r="F667" s="934"/>
      <c r="G667" s="571"/>
      <c r="H667" s="934"/>
      <c r="I667" s="934"/>
      <c r="J667" s="934"/>
      <c r="K667" s="934"/>
      <c r="L667" s="934"/>
      <c r="M667" s="934"/>
      <c r="N667" s="934"/>
      <c r="O667" s="934"/>
      <c r="P667" s="934"/>
      <c r="Q667" s="934"/>
      <c r="R667" s="934"/>
      <c r="S667" s="934"/>
      <c r="T667" s="934"/>
      <c r="U667" s="934"/>
      <c r="V667" s="934"/>
      <c r="W667" s="934"/>
      <c r="X667" s="934"/>
      <c r="Y667" s="934"/>
      <c r="Z667" s="934"/>
    </row>
    <row r="668" ht="15.75" customHeight="1">
      <c r="A668" s="571"/>
      <c r="B668" s="934"/>
      <c r="C668" s="934"/>
      <c r="D668" s="934"/>
      <c r="E668" s="934"/>
      <c r="F668" s="934"/>
      <c r="G668" s="571"/>
      <c r="H668" s="934"/>
      <c r="I668" s="934"/>
      <c r="J668" s="934"/>
      <c r="K668" s="934"/>
      <c r="L668" s="934"/>
      <c r="M668" s="934"/>
      <c r="N668" s="934"/>
      <c r="O668" s="934"/>
      <c r="P668" s="934"/>
      <c r="Q668" s="934"/>
      <c r="R668" s="934"/>
      <c r="S668" s="934"/>
      <c r="T668" s="934"/>
      <c r="U668" s="934"/>
      <c r="V668" s="934"/>
      <c r="W668" s="934"/>
      <c r="X668" s="934"/>
      <c r="Y668" s="934"/>
      <c r="Z668" s="934"/>
    </row>
    <row r="669" ht="15.75" customHeight="1">
      <c r="A669" s="571"/>
      <c r="B669" s="934"/>
      <c r="C669" s="934"/>
      <c r="D669" s="934"/>
      <c r="E669" s="934"/>
      <c r="F669" s="934"/>
      <c r="G669" s="571"/>
      <c r="H669" s="934"/>
      <c r="I669" s="934"/>
      <c r="J669" s="934"/>
      <c r="K669" s="934"/>
      <c r="L669" s="934"/>
      <c r="M669" s="934"/>
      <c r="N669" s="934"/>
      <c r="O669" s="934"/>
      <c r="P669" s="934"/>
      <c r="Q669" s="934"/>
      <c r="R669" s="934"/>
      <c r="S669" s="934"/>
      <c r="T669" s="934"/>
      <c r="U669" s="934"/>
      <c r="V669" s="934"/>
      <c r="W669" s="934"/>
      <c r="X669" s="934"/>
      <c r="Y669" s="934"/>
      <c r="Z669" s="934"/>
    </row>
    <row r="670" ht="15.75" customHeight="1">
      <c r="A670" s="571"/>
      <c r="B670" s="934"/>
      <c r="C670" s="934"/>
      <c r="D670" s="934"/>
      <c r="E670" s="934"/>
      <c r="F670" s="934"/>
      <c r="G670" s="571"/>
      <c r="H670" s="934"/>
      <c r="I670" s="934"/>
      <c r="J670" s="934"/>
      <c r="K670" s="934"/>
      <c r="L670" s="934"/>
      <c r="M670" s="934"/>
      <c r="N670" s="934"/>
      <c r="O670" s="934"/>
      <c r="P670" s="934"/>
      <c r="Q670" s="934"/>
      <c r="R670" s="934"/>
      <c r="S670" s="934"/>
      <c r="T670" s="934"/>
      <c r="U670" s="934"/>
      <c r="V670" s="934"/>
      <c r="W670" s="934"/>
      <c r="X670" s="934"/>
      <c r="Y670" s="934"/>
      <c r="Z670" s="934"/>
    </row>
    <row r="671" ht="15.75" customHeight="1">
      <c r="A671" s="571"/>
      <c r="B671" s="934"/>
      <c r="C671" s="934"/>
      <c r="D671" s="934"/>
      <c r="E671" s="934"/>
      <c r="F671" s="934"/>
      <c r="G671" s="571"/>
      <c r="H671" s="934"/>
      <c r="I671" s="934"/>
      <c r="J671" s="934"/>
      <c r="K671" s="934"/>
      <c r="L671" s="934"/>
      <c r="M671" s="934"/>
      <c r="N671" s="934"/>
      <c r="O671" s="934"/>
      <c r="P671" s="934"/>
      <c r="Q671" s="934"/>
      <c r="R671" s="934"/>
      <c r="S671" s="934"/>
      <c r="T671" s="934"/>
      <c r="U671" s="934"/>
      <c r="V671" s="934"/>
      <c r="W671" s="934"/>
      <c r="X671" s="934"/>
      <c r="Y671" s="934"/>
      <c r="Z671" s="934"/>
    </row>
    <row r="672" ht="15.75" customHeight="1">
      <c r="A672" s="571"/>
      <c r="B672" s="934"/>
      <c r="C672" s="934"/>
      <c r="D672" s="934"/>
      <c r="E672" s="934"/>
      <c r="F672" s="934"/>
      <c r="G672" s="571"/>
      <c r="H672" s="934"/>
      <c r="I672" s="934"/>
      <c r="J672" s="934"/>
      <c r="K672" s="934"/>
      <c r="L672" s="934"/>
      <c r="M672" s="934"/>
      <c r="N672" s="934"/>
      <c r="O672" s="934"/>
      <c r="P672" s="934"/>
      <c r="Q672" s="934"/>
      <c r="R672" s="934"/>
      <c r="S672" s="934"/>
      <c r="T672" s="934"/>
      <c r="U672" s="934"/>
      <c r="V672" s="934"/>
      <c r="W672" s="934"/>
      <c r="X672" s="934"/>
      <c r="Y672" s="934"/>
      <c r="Z672" s="934"/>
    </row>
    <row r="673" ht="15.75" customHeight="1">
      <c r="A673" s="571"/>
      <c r="B673" s="934"/>
      <c r="C673" s="934"/>
      <c r="D673" s="934"/>
      <c r="E673" s="934"/>
      <c r="F673" s="934"/>
      <c r="G673" s="571"/>
      <c r="H673" s="934"/>
      <c r="I673" s="934"/>
      <c r="J673" s="934"/>
      <c r="K673" s="934"/>
      <c r="L673" s="934"/>
      <c r="M673" s="934"/>
      <c r="N673" s="934"/>
      <c r="O673" s="934"/>
      <c r="P673" s="934"/>
      <c r="Q673" s="934"/>
      <c r="R673" s="934"/>
      <c r="S673" s="934"/>
      <c r="T673" s="934"/>
      <c r="U673" s="934"/>
      <c r="V673" s="934"/>
      <c r="W673" s="934"/>
      <c r="X673" s="934"/>
      <c r="Y673" s="934"/>
      <c r="Z673" s="934"/>
    </row>
    <row r="674" ht="15.75" customHeight="1">
      <c r="A674" s="571"/>
      <c r="B674" s="934"/>
      <c r="C674" s="934"/>
      <c r="D674" s="934"/>
      <c r="E674" s="934"/>
      <c r="F674" s="934"/>
      <c r="G674" s="571"/>
      <c r="H674" s="934"/>
      <c r="I674" s="934"/>
      <c r="J674" s="934"/>
      <c r="K674" s="934"/>
      <c r="L674" s="934"/>
      <c r="M674" s="934"/>
      <c r="N674" s="934"/>
      <c r="O674" s="934"/>
      <c r="P674" s="934"/>
      <c r="Q674" s="934"/>
      <c r="R674" s="934"/>
      <c r="S674" s="934"/>
      <c r="T674" s="934"/>
      <c r="U674" s="934"/>
      <c r="V674" s="934"/>
      <c r="W674" s="934"/>
      <c r="X674" s="934"/>
      <c r="Y674" s="934"/>
      <c r="Z674" s="934"/>
    </row>
    <row r="675" ht="15.75" customHeight="1">
      <c r="A675" s="571"/>
      <c r="B675" s="934"/>
      <c r="C675" s="934"/>
      <c r="D675" s="934"/>
      <c r="E675" s="934"/>
      <c r="F675" s="934"/>
      <c r="G675" s="571"/>
      <c r="H675" s="934"/>
      <c r="I675" s="934"/>
      <c r="J675" s="934"/>
      <c r="K675" s="934"/>
      <c r="L675" s="934"/>
      <c r="M675" s="934"/>
      <c r="N675" s="934"/>
      <c r="O675" s="934"/>
      <c r="P675" s="934"/>
      <c r="Q675" s="934"/>
      <c r="R675" s="934"/>
      <c r="S675" s="934"/>
      <c r="T675" s="934"/>
      <c r="U675" s="934"/>
      <c r="V675" s="934"/>
      <c r="W675" s="934"/>
      <c r="X675" s="934"/>
      <c r="Y675" s="934"/>
      <c r="Z675" s="934"/>
    </row>
    <row r="676" ht="15.75" customHeight="1">
      <c r="A676" s="571"/>
      <c r="B676" s="934"/>
      <c r="C676" s="934"/>
      <c r="D676" s="934"/>
      <c r="E676" s="934"/>
      <c r="F676" s="934"/>
      <c r="G676" s="571"/>
      <c r="H676" s="934"/>
      <c r="I676" s="934"/>
      <c r="J676" s="934"/>
      <c r="K676" s="934"/>
      <c r="L676" s="934"/>
      <c r="M676" s="934"/>
      <c r="N676" s="934"/>
      <c r="O676" s="934"/>
      <c r="P676" s="934"/>
      <c r="Q676" s="934"/>
      <c r="R676" s="934"/>
      <c r="S676" s="934"/>
      <c r="T676" s="934"/>
      <c r="U676" s="934"/>
      <c r="V676" s="934"/>
      <c r="W676" s="934"/>
      <c r="X676" s="934"/>
      <c r="Y676" s="934"/>
      <c r="Z676" s="934"/>
    </row>
    <row r="677" ht="15.75" customHeight="1">
      <c r="A677" s="571"/>
      <c r="B677" s="934"/>
      <c r="C677" s="934"/>
      <c r="D677" s="934"/>
      <c r="E677" s="934"/>
      <c r="F677" s="934"/>
      <c r="G677" s="571"/>
      <c r="H677" s="934"/>
      <c r="I677" s="934"/>
      <c r="J677" s="934"/>
      <c r="K677" s="934"/>
      <c r="L677" s="934"/>
      <c r="M677" s="934"/>
      <c r="N677" s="934"/>
      <c r="O677" s="934"/>
      <c r="P677" s="934"/>
      <c r="Q677" s="934"/>
      <c r="R677" s="934"/>
      <c r="S677" s="934"/>
      <c r="T677" s="934"/>
      <c r="U677" s="934"/>
      <c r="V677" s="934"/>
      <c r="W677" s="934"/>
      <c r="X677" s="934"/>
      <c r="Y677" s="934"/>
      <c r="Z677" s="934"/>
    </row>
    <row r="678" ht="15.75" customHeight="1">
      <c r="A678" s="571"/>
      <c r="B678" s="934"/>
      <c r="C678" s="934"/>
      <c r="D678" s="934"/>
      <c r="E678" s="934"/>
      <c r="F678" s="934"/>
      <c r="G678" s="571"/>
      <c r="H678" s="934"/>
      <c r="I678" s="934"/>
      <c r="J678" s="934"/>
      <c r="K678" s="934"/>
      <c r="L678" s="934"/>
      <c r="M678" s="934"/>
      <c r="N678" s="934"/>
      <c r="O678" s="934"/>
      <c r="P678" s="934"/>
      <c r="Q678" s="934"/>
      <c r="R678" s="934"/>
      <c r="S678" s="934"/>
      <c r="T678" s="934"/>
      <c r="U678" s="934"/>
      <c r="V678" s="934"/>
      <c r="W678" s="934"/>
      <c r="X678" s="934"/>
      <c r="Y678" s="934"/>
      <c r="Z678" s="934"/>
    </row>
    <row r="679" ht="15.75" customHeight="1">
      <c r="A679" s="571"/>
      <c r="B679" s="934"/>
      <c r="C679" s="934"/>
      <c r="D679" s="934"/>
      <c r="E679" s="934"/>
      <c r="F679" s="934"/>
      <c r="G679" s="571"/>
      <c r="H679" s="934"/>
      <c r="I679" s="934"/>
      <c r="J679" s="934"/>
      <c r="K679" s="934"/>
      <c r="L679" s="934"/>
      <c r="M679" s="934"/>
      <c r="N679" s="934"/>
      <c r="O679" s="934"/>
      <c r="P679" s="934"/>
      <c r="Q679" s="934"/>
      <c r="R679" s="934"/>
      <c r="S679" s="934"/>
      <c r="T679" s="934"/>
      <c r="U679" s="934"/>
      <c r="V679" s="934"/>
      <c r="W679" s="934"/>
      <c r="X679" s="934"/>
      <c r="Y679" s="934"/>
      <c r="Z679" s="934"/>
    </row>
    <row r="680" ht="15.75" customHeight="1">
      <c r="A680" s="571"/>
      <c r="B680" s="934"/>
      <c r="C680" s="934"/>
      <c r="D680" s="934"/>
      <c r="E680" s="934"/>
      <c r="F680" s="934"/>
      <c r="G680" s="571"/>
      <c r="H680" s="934"/>
      <c r="I680" s="934"/>
      <c r="J680" s="934"/>
      <c r="K680" s="934"/>
      <c r="L680" s="934"/>
      <c r="M680" s="934"/>
      <c r="N680" s="934"/>
      <c r="O680" s="934"/>
      <c r="P680" s="934"/>
      <c r="Q680" s="934"/>
      <c r="R680" s="934"/>
      <c r="S680" s="934"/>
      <c r="T680" s="934"/>
      <c r="U680" s="934"/>
      <c r="V680" s="934"/>
      <c r="W680" s="934"/>
      <c r="X680" s="934"/>
      <c r="Y680" s="934"/>
      <c r="Z680" s="934"/>
    </row>
    <row r="681" ht="15.75" customHeight="1">
      <c r="A681" s="571"/>
      <c r="B681" s="934"/>
      <c r="C681" s="934"/>
      <c r="D681" s="934"/>
      <c r="E681" s="934"/>
      <c r="F681" s="934"/>
      <c r="G681" s="571"/>
      <c r="H681" s="934"/>
      <c r="I681" s="934"/>
      <c r="J681" s="934"/>
      <c r="K681" s="934"/>
      <c r="L681" s="934"/>
      <c r="M681" s="934"/>
      <c r="N681" s="934"/>
      <c r="O681" s="934"/>
      <c r="P681" s="934"/>
      <c r="Q681" s="934"/>
      <c r="R681" s="934"/>
      <c r="S681" s="934"/>
      <c r="T681" s="934"/>
      <c r="U681" s="934"/>
      <c r="V681" s="934"/>
      <c r="W681" s="934"/>
      <c r="X681" s="934"/>
      <c r="Y681" s="934"/>
      <c r="Z681" s="934"/>
    </row>
    <row r="682" ht="15.75" customHeight="1">
      <c r="A682" s="571"/>
      <c r="B682" s="934"/>
      <c r="C682" s="934"/>
      <c r="D682" s="934"/>
      <c r="E682" s="934"/>
      <c r="F682" s="934"/>
      <c r="G682" s="571"/>
      <c r="H682" s="934"/>
      <c r="I682" s="934"/>
      <c r="J682" s="934"/>
      <c r="K682" s="934"/>
      <c r="L682" s="934"/>
      <c r="M682" s="934"/>
      <c r="N682" s="934"/>
      <c r="O682" s="934"/>
      <c r="P682" s="934"/>
      <c r="Q682" s="934"/>
      <c r="R682" s="934"/>
      <c r="S682" s="934"/>
      <c r="T682" s="934"/>
      <c r="U682" s="934"/>
      <c r="V682" s="934"/>
      <c r="W682" s="934"/>
      <c r="X682" s="934"/>
      <c r="Y682" s="934"/>
      <c r="Z682" s="934"/>
    </row>
    <row r="683" ht="15.75" customHeight="1">
      <c r="A683" s="571"/>
      <c r="B683" s="934"/>
      <c r="C683" s="934"/>
      <c r="D683" s="934"/>
      <c r="E683" s="934"/>
      <c r="F683" s="934"/>
      <c r="G683" s="571"/>
      <c r="H683" s="934"/>
      <c r="I683" s="934"/>
      <c r="J683" s="934"/>
      <c r="K683" s="934"/>
      <c r="L683" s="934"/>
      <c r="M683" s="934"/>
      <c r="N683" s="934"/>
      <c r="O683" s="934"/>
      <c r="P683" s="934"/>
      <c r="Q683" s="934"/>
      <c r="R683" s="934"/>
      <c r="S683" s="934"/>
      <c r="T683" s="934"/>
      <c r="U683" s="934"/>
      <c r="V683" s="934"/>
      <c r="W683" s="934"/>
      <c r="X683" s="934"/>
      <c r="Y683" s="934"/>
      <c r="Z683" s="934"/>
    </row>
    <row r="684" ht="15.75" customHeight="1">
      <c r="A684" s="571"/>
      <c r="B684" s="934"/>
      <c r="C684" s="934"/>
      <c r="D684" s="934"/>
      <c r="E684" s="934"/>
      <c r="F684" s="934"/>
      <c r="G684" s="571"/>
      <c r="H684" s="934"/>
      <c r="I684" s="934"/>
      <c r="J684" s="934"/>
      <c r="K684" s="934"/>
      <c r="L684" s="934"/>
      <c r="M684" s="934"/>
      <c r="N684" s="934"/>
      <c r="O684" s="934"/>
      <c r="P684" s="934"/>
      <c r="Q684" s="934"/>
      <c r="R684" s="934"/>
      <c r="S684" s="934"/>
      <c r="T684" s="934"/>
      <c r="U684" s="934"/>
      <c r="V684" s="934"/>
      <c r="W684" s="934"/>
      <c r="X684" s="934"/>
      <c r="Y684" s="934"/>
      <c r="Z684" s="934"/>
    </row>
    <row r="685" ht="15.75" customHeight="1">
      <c r="A685" s="571"/>
      <c r="B685" s="934"/>
      <c r="C685" s="934"/>
      <c r="D685" s="934"/>
      <c r="E685" s="934"/>
      <c r="F685" s="934"/>
      <c r="G685" s="571"/>
      <c r="H685" s="934"/>
      <c r="I685" s="934"/>
      <c r="J685" s="934"/>
      <c r="K685" s="934"/>
      <c r="L685" s="934"/>
      <c r="M685" s="934"/>
      <c r="N685" s="934"/>
      <c r="O685" s="934"/>
      <c r="P685" s="934"/>
      <c r="Q685" s="934"/>
      <c r="R685" s="934"/>
      <c r="S685" s="934"/>
      <c r="T685" s="934"/>
      <c r="U685" s="934"/>
      <c r="V685" s="934"/>
      <c r="W685" s="934"/>
      <c r="X685" s="934"/>
      <c r="Y685" s="934"/>
      <c r="Z685" s="934"/>
    </row>
    <row r="686" ht="15.75" customHeight="1">
      <c r="A686" s="571"/>
      <c r="B686" s="934"/>
      <c r="C686" s="934"/>
      <c r="D686" s="934"/>
      <c r="E686" s="934"/>
      <c r="F686" s="934"/>
      <c r="G686" s="571"/>
      <c r="H686" s="934"/>
      <c r="I686" s="934"/>
      <c r="J686" s="934"/>
      <c r="K686" s="934"/>
      <c r="L686" s="934"/>
      <c r="M686" s="934"/>
      <c r="N686" s="934"/>
      <c r="O686" s="934"/>
      <c r="P686" s="934"/>
      <c r="Q686" s="934"/>
      <c r="R686" s="934"/>
      <c r="S686" s="934"/>
      <c r="T686" s="934"/>
      <c r="U686" s="934"/>
      <c r="V686" s="934"/>
      <c r="W686" s="934"/>
      <c r="X686" s="934"/>
      <c r="Y686" s="934"/>
      <c r="Z686" s="934"/>
    </row>
    <row r="687" ht="15.75" customHeight="1">
      <c r="A687" s="571"/>
      <c r="B687" s="934"/>
      <c r="C687" s="934"/>
      <c r="D687" s="934"/>
      <c r="E687" s="934"/>
      <c r="F687" s="934"/>
      <c r="G687" s="571"/>
      <c r="H687" s="934"/>
      <c r="I687" s="934"/>
      <c r="J687" s="934"/>
      <c r="K687" s="934"/>
      <c r="L687" s="934"/>
      <c r="M687" s="934"/>
      <c r="N687" s="934"/>
      <c r="O687" s="934"/>
      <c r="P687" s="934"/>
      <c r="Q687" s="934"/>
      <c r="R687" s="934"/>
      <c r="S687" s="934"/>
      <c r="T687" s="934"/>
      <c r="U687" s="934"/>
      <c r="V687" s="934"/>
      <c r="W687" s="934"/>
      <c r="X687" s="934"/>
      <c r="Y687" s="934"/>
      <c r="Z687" s="934"/>
    </row>
    <row r="688" ht="15.75" customHeight="1">
      <c r="A688" s="571"/>
      <c r="B688" s="934"/>
      <c r="C688" s="934"/>
      <c r="D688" s="934"/>
      <c r="E688" s="934"/>
      <c r="F688" s="934"/>
      <c r="G688" s="571"/>
      <c r="H688" s="934"/>
      <c r="I688" s="934"/>
      <c r="J688" s="934"/>
      <c r="K688" s="934"/>
      <c r="L688" s="934"/>
      <c r="M688" s="934"/>
      <c r="N688" s="934"/>
      <c r="O688" s="934"/>
      <c r="P688" s="934"/>
      <c r="Q688" s="934"/>
      <c r="R688" s="934"/>
      <c r="S688" s="934"/>
      <c r="T688" s="934"/>
      <c r="U688" s="934"/>
      <c r="V688" s="934"/>
      <c r="W688" s="934"/>
      <c r="X688" s="934"/>
      <c r="Y688" s="934"/>
      <c r="Z688" s="934"/>
    </row>
    <row r="689" ht="15.75" customHeight="1">
      <c r="A689" s="571"/>
      <c r="B689" s="934"/>
      <c r="C689" s="934"/>
      <c r="D689" s="934"/>
      <c r="E689" s="934"/>
      <c r="F689" s="934"/>
      <c r="G689" s="571"/>
      <c r="H689" s="934"/>
      <c r="I689" s="934"/>
      <c r="J689" s="934"/>
      <c r="K689" s="934"/>
      <c r="L689" s="934"/>
      <c r="M689" s="934"/>
      <c r="N689" s="934"/>
      <c r="O689" s="934"/>
      <c r="P689" s="934"/>
      <c r="Q689" s="934"/>
      <c r="R689" s="934"/>
      <c r="S689" s="934"/>
      <c r="T689" s="934"/>
      <c r="U689" s="934"/>
      <c r="V689" s="934"/>
      <c r="W689" s="934"/>
      <c r="X689" s="934"/>
      <c r="Y689" s="934"/>
      <c r="Z689" s="934"/>
    </row>
    <row r="690" ht="15.75" customHeight="1">
      <c r="A690" s="571"/>
      <c r="B690" s="934"/>
      <c r="C690" s="934"/>
      <c r="D690" s="934"/>
      <c r="E690" s="934"/>
      <c r="F690" s="934"/>
      <c r="G690" s="571"/>
      <c r="H690" s="934"/>
      <c r="I690" s="934"/>
      <c r="J690" s="934"/>
      <c r="K690" s="934"/>
      <c r="L690" s="934"/>
      <c r="M690" s="934"/>
      <c r="N690" s="934"/>
      <c r="O690" s="934"/>
      <c r="P690" s="934"/>
      <c r="Q690" s="934"/>
      <c r="R690" s="934"/>
      <c r="S690" s="934"/>
      <c r="T690" s="934"/>
      <c r="U690" s="934"/>
      <c r="V690" s="934"/>
      <c r="W690" s="934"/>
      <c r="X690" s="934"/>
      <c r="Y690" s="934"/>
      <c r="Z690" s="934"/>
    </row>
    <row r="691" ht="15.75" customHeight="1">
      <c r="A691" s="571"/>
      <c r="B691" s="934"/>
      <c r="C691" s="934"/>
      <c r="D691" s="934"/>
      <c r="E691" s="934"/>
      <c r="F691" s="934"/>
      <c r="G691" s="571"/>
      <c r="H691" s="934"/>
      <c r="I691" s="934"/>
      <c r="J691" s="934"/>
      <c r="K691" s="934"/>
      <c r="L691" s="934"/>
      <c r="M691" s="934"/>
      <c r="N691" s="934"/>
      <c r="O691" s="934"/>
      <c r="P691" s="934"/>
      <c r="Q691" s="934"/>
      <c r="R691" s="934"/>
      <c r="S691" s="934"/>
      <c r="T691" s="934"/>
      <c r="U691" s="934"/>
      <c r="V691" s="934"/>
      <c r="W691" s="934"/>
      <c r="X691" s="934"/>
      <c r="Y691" s="934"/>
      <c r="Z691" s="934"/>
    </row>
    <row r="692" ht="15.75" customHeight="1">
      <c r="A692" s="571"/>
      <c r="B692" s="934"/>
      <c r="C692" s="934"/>
      <c r="D692" s="934"/>
      <c r="E692" s="934"/>
      <c r="F692" s="934"/>
      <c r="G692" s="571"/>
      <c r="H692" s="934"/>
      <c r="I692" s="934"/>
      <c r="J692" s="934"/>
      <c r="K692" s="934"/>
      <c r="L692" s="934"/>
      <c r="M692" s="934"/>
      <c r="N692" s="934"/>
      <c r="O692" s="934"/>
      <c r="P692" s="934"/>
      <c r="Q692" s="934"/>
      <c r="R692" s="934"/>
      <c r="S692" s="934"/>
      <c r="T692" s="934"/>
      <c r="U692" s="934"/>
      <c r="V692" s="934"/>
      <c r="W692" s="934"/>
      <c r="X692" s="934"/>
      <c r="Y692" s="934"/>
      <c r="Z692" s="934"/>
    </row>
    <row r="693" ht="15.75" customHeight="1">
      <c r="A693" s="571"/>
      <c r="B693" s="934"/>
      <c r="C693" s="934"/>
      <c r="D693" s="934"/>
      <c r="E693" s="934"/>
      <c r="F693" s="934"/>
      <c r="G693" s="571"/>
      <c r="H693" s="934"/>
      <c r="I693" s="934"/>
      <c r="J693" s="934"/>
      <c r="K693" s="934"/>
      <c r="L693" s="934"/>
      <c r="M693" s="934"/>
      <c r="N693" s="934"/>
      <c r="O693" s="934"/>
      <c r="P693" s="934"/>
      <c r="Q693" s="934"/>
      <c r="R693" s="934"/>
      <c r="S693" s="934"/>
      <c r="T693" s="934"/>
      <c r="U693" s="934"/>
      <c r="V693" s="934"/>
      <c r="W693" s="934"/>
      <c r="X693" s="934"/>
      <c r="Y693" s="934"/>
      <c r="Z693" s="934"/>
    </row>
    <row r="694" ht="15.75" customHeight="1">
      <c r="A694" s="571"/>
      <c r="B694" s="934"/>
      <c r="C694" s="934"/>
      <c r="D694" s="934"/>
      <c r="E694" s="934"/>
      <c r="F694" s="934"/>
      <c r="G694" s="571"/>
      <c r="H694" s="934"/>
      <c r="I694" s="934"/>
      <c r="J694" s="934"/>
      <c r="K694" s="934"/>
      <c r="L694" s="934"/>
      <c r="M694" s="934"/>
      <c r="N694" s="934"/>
      <c r="O694" s="934"/>
      <c r="P694" s="934"/>
      <c r="Q694" s="934"/>
      <c r="R694" s="934"/>
      <c r="S694" s="934"/>
      <c r="T694" s="934"/>
      <c r="U694" s="934"/>
      <c r="V694" s="934"/>
      <c r="W694" s="934"/>
      <c r="X694" s="934"/>
      <c r="Y694" s="934"/>
      <c r="Z694" s="934"/>
    </row>
    <row r="695" ht="15.75" customHeight="1">
      <c r="A695" s="571"/>
      <c r="B695" s="934"/>
      <c r="C695" s="934"/>
      <c r="D695" s="934"/>
      <c r="E695" s="934"/>
      <c r="F695" s="934"/>
      <c r="G695" s="571"/>
      <c r="H695" s="934"/>
      <c r="I695" s="934"/>
      <c r="J695" s="934"/>
      <c r="K695" s="934"/>
      <c r="L695" s="934"/>
      <c r="M695" s="934"/>
      <c r="N695" s="934"/>
      <c r="O695" s="934"/>
      <c r="P695" s="934"/>
      <c r="Q695" s="934"/>
      <c r="R695" s="934"/>
      <c r="S695" s="934"/>
      <c r="T695" s="934"/>
      <c r="U695" s="934"/>
      <c r="V695" s="934"/>
      <c r="W695" s="934"/>
      <c r="X695" s="934"/>
      <c r="Y695" s="934"/>
      <c r="Z695" s="934"/>
    </row>
    <row r="696" ht="15.75" customHeight="1">
      <c r="A696" s="571"/>
      <c r="B696" s="934"/>
      <c r="C696" s="934"/>
      <c r="D696" s="934"/>
      <c r="E696" s="934"/>
      <c r="F696" s="934"/>
      <c r="G696" s="571"/>
      <c r="H696" s="934"/>
      <c r="I696" s="934"/>
      <c r="J696" s="934"/>
      <c r="K696" s="934"/>
      <c r="L696" s="934"/>
      <c r="M696" s="934"/>
      <c r="N696" s="934"/>
      <c r="O696" s="934"/>
      <c r="P696" s="934"/>
      <c r="Q696" s="934"/>
      <c r="R696" s="934"/>
      <c r="S696" s="934"/>
      <c r="T696" s="934"/>
      <c r="U696" s="934"/>
      <c r="V696" s="934"/>
      <c r="W696" s="934"/>
      <c r="X696" s="934"/>
      <c r="Y696" s="934"/>
      <c r="Z696" s="934"/>
    </row>
    <row r="697" ht="15.75" customHeight="1">
      <c r="A697" s="571"/>
      <c r="B697" s="934"/>
      <c r="C697" s="934"/>
      <c r="D697" s="934"/>
      <c r="E697" s="934"/>
      <c r="F697" s="934"/>
      <c r="G697" s="571"/>
      <c r="H697" s="934"/>
      <c r="I697" s="934"/>
      <c r="J697" s="934"/>
      <c r="K697" s="934"/>
      <c r="L697" s="934"/>
      <c r="M697" s="934"/>
      <c r="N697" s="934"/>
      <c r="O697" s="934"/>
      <c r="P697" s="934"/>
      <c r="Q697" s="934"/>
      <c r="R697" s="934"/>
      <c r="S697" s="934"/>
      <c r="T697" s="934"/>
      <c r="U697" s="934"/>
      <c r="V697" s="934"/>
      <c r="W697" s="934"/>
      <c r="X697" s="934"/>
      <c r="Y697" s="934"/>
      <c r="Z697" s="934"/>
    </row>
    <row r="698" ht="15.75" customHeight="1">
      <c r="A698" s="571"/>
      <c r="B698" s="934"/>
      <c r="C698" s="934"/>
      <c r="D698" s="934"/>
      <c r="E698" s="934"/>
      <c r="F698" s="934"/>
      <c r="G698" s="571"/>
      <c r="H698" s="934"/>
      <c r="I698" s="934"/>
      <c r="J698" s="934"/>
      <c r="K698" s="934"/>
      <c r="L698" s="934"/>
      <c r="M698" s="934"/>
      <c r="N698" s="934"/>
      <c r="O698" s="934"/>
      <c r="P698" s="934"/>
      <c r="Q698" s="934"/>
      <c r="R698" s="934"/>
      <c r="S698" s="934"/>
      <c r="T698" s="934"/>
      <c r="U698" s="934"/>
      <c r="V698" s="934"/>
      <c r="W698" s="934"/>
      <c r="X698" s="934"/>
      <c r="Y698" s="934"/>
      <c r="Z698" s="934"/>
    </row>
    <row r="699" ht="15.75" customHeight="1">
      <c r="A699" s="571"/>
      <c r="B699" s="934"/>
      <c r="C699" s="934"/>
      <c r="D699" s="934"/>
      <c r="E699" s="934"/>
      <c r="F699" s="934"/>
      <c r="G699" s="571"/>
      <c r="H699" s="934"/>
      <c r="I699" s="934"/>
      <c r="J699" s="934"/>
      <c r="K699" s="934"/>
      <c r="L699" s="934"/>
      <c r="M699" s="934"/>
      <c r="N699" s="934"/>
      <c r="O699" s="934"/>
      <c r="P699" s="934"/>
      <c r="Q699" s="934"/>
      <c r="R699" s="934"/>
      <c r="S699" s="934"/>
      <c r="T699" s="934"/>
      <c r="U699" s="934"/>
      <c r="V699" s="934"/>
      <c r="W699" s="934"/>
      <c r="X699" s="934"/>
      <c r="Y699" s="934"/>
      <c r="Z699" s="934"/>
    </row>
    <row r="700" ht="15.75" customHeight="1">
      <c r="A700" s="571"/>
      <c r="B700" s="934"/>
      <c r="C700" s="934"/>
      <c r="D700" s="934"/>
      <c r="E700" s="934"/>
      <c r="F700" s="934"/>
      <c r="G700" s="571"/>
      <c r="H700" s="934"/>
      <c r="I700" s="934"/>
      <c r="J700" s="934"/>
      <c r="K700" s="934"/>
      <c r="L700" s="934"/>
      <c r="M700" s="934"/>
      <c r="N700" s="934"/>
      <c r="O700" s="934"/>
      <c r="P700" s="934"/>
      <c r="Q700" s="934"/>
      <c r="R700" s="934"/>
      <c r="S700" s="934"/>
      <c r="T700" s="934"/>
      <c r="U700" s="934"/>
      <c r="V700" s="934"/>
      <c r="W700" s="934"/>
      <c r="X700" s="934"/>
      <c r="Y700" s="934"/>
      <c r="Z700" s="934"/>
    </row>
    <row r="701" ht="15.75" customHeight="1">
      <c r="A701" s="571"/>
      <c r="B701" s="934"/>
      <c r="C701" s="934"/>
      <c r="D701" s="934"/>
      <c r="E701" s="934"/>
      <c r="F701" s="934"/>
      <c r="G701" s="571"/>
      <c r="H701" s="934"/>
      <c r="I701" s="934"/>
      <c r="J701" s="934"/>
      <c r="K701" s="934"/>
      <c r="L701" s="934"/>
      <c r="M701" s="934"/>
      <c r="N701" s="934"/>
      <c r="O701" s="934"/>
      <c r="P701" s="934"/>
      <c r="Q701" s="934"/>
      <c r="R701" s="934"/>
      <c r="S701" s="934"/>
      <c r="T701" s="934"/>
      <c r="U701" s="934"/>
      <c r="V701" s="934"/>
      <c r="W701" s="934"/>
      <c r="X701" s="934"/>
      <c r="Y701" s="934"/>
      <c r="Z701" s="934"/>
    </row>
    <row r="702" ht="15.75" customHeight="1">
      <c r="A702" s="571"/>
      <c r="B702" s="934"/>
      <c r="C702" s="934"/>
      <c r="D702" s="934"/>
      <c r="E702" s="934"/>
      <c r="F702" s="934"/>
      <c r="G702" s="571"/>
      <c r="H702" s="934"/>
      <c r="I702" s="934"/>
      <c r="J702" s="934"/>
      <c r="K702" s="934"/>
      <c r="L702" s="934"/>
      <c r="M702" s="934"/>
      <c r="N702" s="934"/>
      <c r="O702" s="934"/>
      <c r="P702" s="934"/>
      <c r="Q702" s="934"/>
      <c r="R702" s="934"/>
      <c r="S702" s="934"/>
      <c r="T702" s="934"/>
      <c r="U702" s="934"/>
      <c r="V702" s="934"/>
      <c r="W702" s="934"/>
      <c r="X702" s="934"/>
      <c r="Y702" s="934"/>
      <c r="Z702" s="934"/>
    </row>
    <row r="703" ht="15.75" customHeight="1">
      <c r="A703" s="571"/>
      <c r="B703" s="934"/>
      <c r="C703" s="934"/>
      <c r="D703" s="934"/>
      <c r="E703" s="934"/>
      <c r="F703" s="934"/>
      <c r="G703" s="571"/>
      <c r="H703" s="934"/>
      <c r="I703" s="934"/>
      <c r="J703" s="934"/>
      <c r="K703" s="934"/>
      <c r="L703" s="934"/>
      <c r="M703" s="934"/>
      <c r="N703" s="934"/>
      <c r="O703" s="934"/>
      <c r="P703" s="934"/>
      <c r="Q703" s="934"/>
      <c r="R703" s="934"/>
      <c r="S703" s="934"/>
      <c r="T703" s="934"/>
      <c r="U703" s="934"/>
      <c r="V703" s="934"/>
      <c r="W703" s="934"/>
      <c r="X703" s="934"/>
      <c r="Y703" s="934"/>
      <c r="Z703" s="934"/>
    </row>
    <row r="704" ht="15.75" customHeight="1">
      <c r="A704" s="571"/>
      <c r="B704" s="934"/>
      <c r="C704" s="934"/>
      <c r="D704" s="934"/>
      <c r="E704" s="934"/>
      <c r="F704" s="934"/>
      <c r="G704" s="571"/>
      <c r="H704" s="934"/>
      <c r="I704" s="934"/>
      <c r="J704" s="934"/>
      <c r="K704" s="934"/>
      <c r="L704" s="934"/>
      <c r="M704" s="934"/>
      <c r="N704" s="934"/>
      <c r="O704" s="934"/>
      <c r="P704" s="934"/>
      <c r="Q704" s="934"/>
      <c r="R704" s="934"/>
      <c r="S704" s="934"/>
      <c r="T704" s="934"/>
      <c r="U704" s="934"/>
      <c r="V704" s="934"/>
      <c r="W704" s="934"/>
      <c r="X704" s="934"/>
      <c r="Y704" s="934"/>
      <c r="Z704" s="934"/>
    </row>
    <row r="705" ht="15.75" customHeight="1">
      <c r="A705" s="571"/>
      <c r="B705" s="934"/>
      <c r="C705" s="934"/>
      <c r="D705" s="934"/>
      <c r="E705" s="934"/>
      <c r="F705" s="934"/>
      <c r="G705" s="571"/>
      <c r="H705" s="934"/>
      <c r="I705" s="934"/>
      <c r="J705" s="934"/>
      <c r="K705" s="934"/>
      <c r="L705" s="934"/>
      <c r="M705" s="934"/>
      <c r="N705" s="934"/>
      <c r="O705" s="934"/>
      <c r="P705" s="934"/>
      <c r="Q705" s="934"/>
      <c r="R705" s="934"/>
      <c r="S705" s="934"/>
      <c r="T705" s="934"/>
      <c r="U705" s="934"/>
      <c r="V705" s="934"/>
      <c r="W705" s="934"/>
      <c r="X705" s="934"/>
      <c r="Y705" s="934"/>
      <c r="Z705" s="934"/>
    </row>
    <row r="706" ht="15.75" customHeight="1">
      <c r="A706" s="571"/>
      <c r="B706" s="934"/>
      <c r="C706" s="934"/>
      <c r="D706" s="934"/>
      <c r="E706" s="934"/>
      <c r="F706" s="934"/>
      <c r="G706" s="571"/>
      <c r="H706" s="934"/>
      <c r="I706" s="934"/>
      <c r="J706" s="934"/>
      <c r="K706" s="934"/>
      <c r="L706" s="934"/>
      <c r="M706" s="934"/>
      <c r="N706" s="934"/>
      <c r="O706" s="934"/>
      <c r="P706" s="934"/>
      <c r="Q706" s="934"/>
      <c r="R706" s="934"/>
      <c r="S706" s="934"/>
      <c r="T706" s="934"/>
      <c r="U706" s="934"/>
      <c r="V706" s="934"/>
      <c r="W706" s="934"/>
      <c r="X706" s="934"/>
      <c r="Y706" s="934"/>
      <c r="Z706" s="934"/>
    </row>
    <row r="707" ht="15.75" customHeight="1">
      <c r="A707" s="571"/>
      <c r="B707" s="934"/>
      <c r="C707" s="934"/>
      <c r="D707" s="934"/>
      <c r="E707" s="934"/>
      <c r="F707" s="934"/>
      <c r="G707" s="571"/>
      <c r="H707" s="934"/>
      <c r="I707" s="934"/>
      <c r="J707" s="934"/>
      <c r="K707" s="934"/>
      <c r="L707" s="934"/>
      <c r="M707" s="934"/>
      <c r="N707" s="934"/>
      <c r="O707" s="934"/>
      <c r="P707" s="934"/>
      <c r="Q707" s="934"/>
      <c r="R707" s="934"/>
      <c r="S707" s="934"/>
      <c r="T707" s="934"/>
      <c r="U707" s="934"/>
      <c r="V707" s="934"/>
      <c r="W707" s="934"/>
      <c r="X707" s="934"/>
      <c r="Y707" s="934"/>
      <c r="Z707" s="934"/>
    </row>
    <row r="708" ht="15.75" customHeight="1">
      <c r="A708" s="571"/>
      <c r="B708" s="934"/>
      <c r="C708" s="934"/>
      <c r="D708" s="934"/>
      <c r="E708" s="934"/>
      <c r="F708" s="934"/>
      <c r="G708" s="571"/>
      <c r="H708" s="934"/>
      <c r="I708" s="934"/>
      <c r="J708" s="934"/>
      <c r="K708" s="934"/>
      <c r="L708" s="934"/>
      <c r="M708" s="934"/>
      <c r="N708" s="934"/>
      <c r="O708" s="934"/>
      <c r="P708" s="934"/>
      <c r="Q708" s="934"/>
      <c r="R708" s="934"/>
      <c r="S708" s="934"/>
      <c r="T708" s="934"/>
      <c r="U708" s="934"/>
      <c r="V708" s="934"/>
      <c r="W708" s="934"/>
      <c r="X708" s="934"/>
      <c r="Y708" s="934"/>
      <c r="Z708" s="934"/>
    </row>
    <row r="709" ht="15.75" customHeight="1">
      <c r="A709" s="571"/>
      <c r="B709" s="934"/>
      <c r="C709" s="934"/>
      <c r="D709" s="934"/>
      <c r="E709" s="934"/>
      <c r="F709" s="934"/>
      <c r="G709" s="571"/>
      <c r="H709" s="934"/>
      <c r="I709" s="934"/>
      <c r="J709" s="934"/>
      <c r="K709" s="934"/>
      <c r="L709" s="934"/>
      <c r="M709" s="934"/>
      <c r="N709" s="934"/>
      <c r="O709" s="934"/>
      <c r="P709" s="934"/>
      <c r="Q709" s="934"/>
      <c r="R709" s="934"/>
      <c r="S709" s="934"/>
      <c r="T709" s="934"/>
      <c r="U709" s="934"/>
      <c r="V709" s="934"/>
      <c r="W709" s="934"/>
      <c r="X709" s="934"/>
      <c r="Y709" s="934"/>
      <c r="Z709" s="934"/>
    </row>
    <row r="710" ht="15.75" customHeight="1">
      <c r="A710" s="571"/>
      <c r="B710" s="934"/>
      <c r="C710" s="934"/>
      <c r="D710" s="934"/>
      <c r="E710" s="934"/>
      <c r="F710" s="934"/>
      <c r="G710" s="571"/>
      <c r="H710" s="934"/>
      <c r="I710" s="934"/>
      <c r="J710" s="934"/>
      <c r="K710" s="934"/>
      <c r="L710" s="934"/>
      <c r="M710" s="934"/>
      <c r="N710" s="934"/>
      <c r="O710" s="934"/>
      <c r="P710" s="934"/>
      <c r="Q710" s="934"/>
      <c r="R710" s="934"/>
      <c r="S710" s="934"/>
      <c r="T710" s="934"/>
      <c r="U710" s="934"/>
      <c r="V710" s="934"/>
      <c r="W710" s="934"/>
      <c r="X710" s="934"/>
      <c r="Y710" s="934"/>
      <c r="Z710" s="934"/>
    </row>
    <row r="711" ht="15.75" customHeight="1">
      <c r="A711" s="571"/>
      <c r="B711" s="934"/>
      <c r="C711" s="934"/>
      <c r="D711" s="934"/>
      <c r="E711" s="934"/>
      <c r="F711" s="934"/>
      <c r="G711" s="571"/>
      <c r="H711" s="934"/>
      <c r="I711" s="934"/>
      <c r="J711" s="934"/>
      <c r="K711" s="934"/>
      <c r="L711" s="934"/>
      <c r="M711" s="934"/>
      <c r="N711" s="934"/>
      <c r="O711" s="934"/>
      <c r="P711" s="934"/>
      <c r="Q711" s="934"/>
      <c r="R711" s="934"/>
      <c r="S711" s="934"/>
      <c r="T711" s="934"/>
      <c r="U711" s="934"/>
      <c r="V711" s="934"/>
      <c r="W711" s="934"/>
      <c r="X711" s="934"/>
      <c r="Y711" s="934"/>
      <c r="Z711" s="934"/>
    </row>
    <row r="712" ht="15.75" customHeight="1">
      <c r="A712" s="571"/>
      <c r="B712" s="934"/>
      <c r="C712" s="934"/>
      <c r="D712" s="934"/>
      <c r="E712" s="934"/>
      <c r="F712" s="934"/>
      <c r="G712" s="571"/>
      <c r="H712" s="934"/>
      <c r="I712" s="934"/>
      <c r="J712" s="934"/>
      <c r="K712" s="934"/>
      <c r="L712" s="934"/>
      <c r="M712" s="934"/>
      <c r="N712" s="934"/>
      <c r="O712" s="934"/>
      <c r="P712" s="934"/>
      <c r="Q712" s="934"/>
      <c r="R712" s="934"/>
      <c r="S712" s="934"/>
      <c r="T712" s="934"/>
      <c r="U712" s="934"/>
      <c r="V712" s="934"/>
      <c r="W712" s="934"/>
      <c r="X712" s="934"/>
      <c r="Y712" s="934"/>
      <c r="Z712" s="934"/>
    </row>
    <row r="713" ht="15.75" customHeight="1">
      <c r="A713" s="571"/>
      <c r="B713" s="934"/>
      <c r="C713" s="934"/>
      <c r="D713" s="934"/>
      <c r="E713" s="934"/>
      <c r="F713" s="934"/>
      <c r="G713" s="571"/>
      <c r="H713" s="934"/>
      <c r="I713" s="934"/>
      <c r="J713" s="934"/>
      <c r="K713" s="934"/>
      <c r="L713" s="934"/>
      <c r="M713" s="934"/>
      <c r="N713" s="934"/>
      <c r="O713" s="934"/>
      <c r="P713" s="934"/>
      <c r="Q713" s="934"/>
      <c r="R713" s="934"/>
      <c r="S713" s="934"/>
      <c r="T713" s="934"/>
      <c r="U713" s="934"/>
      <c r="V713" s="934"/>
      <c r="W713" s="934"/>
      <c r="X713" s="934"/>
      <c r="Y713" s="934"/>
      <c r="Z713" s="934"/>
    </row>
    <row r="714" ht="15.75" customHeight="1">
      <c r="A714" s="571"/>
      <c r="B714" s="934"/>
      <c r="C714" s="934"/>
      <c r="D714" s="934"/>
      <c r="E714" s="934"/>
      <c r="F714" s="934"/>
      <c r="G714" s="571"/>
      <c r="H714" s="934"/>
      <c r="I714" s="934"/>
      <c r="J714" s="934"/>
      <c r="K714" s="934"/>
      <c r="L714" s="934"/>
      <c r="M714" s="934"/>
      <c r="N714" s="934"/>
      <c r="O714" s="934"/>
      <c r="P714" s="934"/>
      <c r="Q714" s="934"/>
      <c r="R714" s="934"/>
      <c r="S714" s="934"/>
      <c r="T714" s="934"/>
      <c r="U714" s="934"/>
      <c r="V714" s="934"/>
      <c r="W714" s="934"/>
      <c r="X714" s="934"/>
      <c r="Y714" s="934"/>
      <c r="Z714" s="934"/>
    </row>
    <row r="715" ht="15.75" customHeight="1">
      <c r="A715" s="571"/>
      <c r="B715" s="934"/>
      <c r="C715" s="934"/>
      <c r="D715" s="934"/>
      <c r="E715" s="934"/>
      <c r="F715" s="934"/>
      <c r="G715" s="571"/>
      <c r="H715" s="934"/>
      <c r="I715" s="934"/>
      <c r="J715" s="934"/>
      <c r="K715" s="934"/>
      <c r="L715" s="934"/>
      <c r="M715" s="934"/>
      <c r="N715" s="934"/>
      <c r="O715" s="934"/>
      <c r="P715" s="934"/>
      <c r="Q715" s="934"/>
      <c r="R715" s="934"/>
      <c r="S715" s="934"/>
      <c r="T715" s="934"/>
      <c r="U715" s="934"/>
      <c r="V715" s="934"/>
      <c r="W715" s="934"/>
      <c r="X715" s="934"/>
      <c r="Y715" s="934"/>
      <c r="Z715" s="934"/>
    </row>
    <row r="716" ht="15.75" customHeight="1">
      <c r="A716" s="571"/>
      <c r="B716" s="934"/>
      <c r="C716" s="934"/>
      <c r="D716" s="934"/>
      <c r="E716" s="934"/>
      <c r="F716" s="934"/>
      <c r="G716" s="571"/>
      <c r="H716" s="934"/>
      <c r="I716" s="934"/>
      <c r="J716" s="934"/>
      <c r="K716" s="934"/>
      <c r="L716" s="934"/>
      <c r="M716" s="934"/>
      <c r="N716" s="934"/>
      <c r="O716" s="934"/>
      <c r="P716" s="934"/>
      <c r="Q716" s="934"/>
      <c r="R716" s="934"/>
      <c r="S716" s="934"/>
      <c r="T716" s="934"/>
      <c r="U716" s="934"/>
      <c r="V716" s="934"/>
      <c r="W716" s="934"/>
      <c r="X716" s="934"/>
      <c r="Y716" s="934"/>
      <c r="Z716" s="934"/>
    </row>
    <row r="717" ht="15.75" customHeight="1">
      <c r="A717" s="571"/>
      <c r="B717" s="934"/>
      <c r="C717" s="934"/>
      <c r="D717" s="934"/>
      <c r="E717" s="934"/>
      <c r="F717" s="934"/>
      <c r="G717" s="571"/>
      <c r="H717" s="934"/>
      <c r="I717" s="934"/>
      <c r="J717" s="934"/>
      <c r="K717" s="934"/>
      <c r="L717" s="934"/>
      <c r="M717" s="934"/>
      <c r="N717" s="934"/>
      <c r="O717" s="934"/>
      <c r="P717" s="934"/>
      <c r="Q717" s="934"/>
      <c r="R717" s="934"/>
      <c r="S717" s="934"/>
      <c r="T717" s="934"/>
      <c r="U717" s="934"/>
      <c r="V717" s="934"/>
      <c r="W717" s="934"/>
      <c r="X717" s="934"/>
      <c r="Y717" s="934"/>
      <c r="Z717" s="934"/>
    </row>
    <row r="718" ht="15.75" customHeight="1">
      <c r="A718" s="571"/>
      <c r="B718" s="934"/>
      <c r="C718" s="934"/>
      <c r="D718" s="934"/>
      <c r="E718" s="934"/>
      <c r="F718" s="934"/>
      <c r="G718" s="571"/>
      <c r="H718" s="934"/>
      <c r="I718" s="934"/>
      <c r="J718" s="934"/>
      <c r="K718" s="934"/>
      <c r="L718" s="934"/>
      <c r="M718" s="934"/>
      <c r="N718" s="934"/>
      <c r="O718" s="934"/>
      <c r="P718" s="934"/>
      <c r="Q718" s="934"/>
      <c r="R718" s="934"/>
      <c r="S718" s="934"/>
      <c r="T718" s="934"/>
      <c r="U718" s="934"/>
      <c r="V718" s="934"/>
      <c r="W718" s="934"/>
      <c r="X718" s="934"/>
      <c r="Y718" s="934"/>
      <c r="Z718" s="934"/>
    </row>
    <row r="719" ht="15.75" customHeight="1">
      <c r="A719" s="571"/>
      <c r="B719" s="934"/>
      <c r="C719" s="934"/>
      <c r="D719" s="934"/>
      <c r="E719" s="934"/>
      <c r="F719" s="934"/>
      <c r="G719" s="571"/>
      <c r="H719" s="934"/>
      <c r="I719" s="934"/>
      <c r="J719" s="934"/>
      <c r="K719" s="934"/>
      <c r="L719" s="934"/>
      <c r="M719" s="934"/>
      <c r="N719" s="934"/>
      <c r="O719" s="934"/>
      <c r="P719" s="934"/>
      <c r="Q719" s="934"/>
      <c r="R719" s="934"/>
      <c r="S719" s="934"/>
      <c r="T719" s="934"/>
      <c r="U719" s="934"/>
      <c r="V719" s="934"/>
      <c r="W719" s="934"/>
      <c r="X719" s="934"/>
      <c r="Y719" s="934"/>
      <c r="Z719" s="934"/>
    </row>
    <row r="720" ht="15.75" customHeight="1">
      <c r="A720" s="571"/>
      <c r="B720" s="934"/>
      <c r="C720" s="934"/>
      <c r="D720" s="934"/>
      <c r="E720" s="934"/>
      <c r="F720" s="934"/>
      <c r="G720" s="571"/>
      <c r="H720" s="934"/>
      <c r="I720" s="934"/>
      <c r="J720" s="934"/>
      <c r="K720" s="934"/>
      <c r="L720" s="934"/>
      <c r="M720" s="934"/>
      <c r="N720" s="934"/>
      <c r="O720" s="934"/>
      <c r="P720" s="934"/>
      <c r="Q720" s="934"/>
      <c r="R720" s="934"/>
      <c r="S720" s="934"/>
      <c r="T720" s="934"/>
      <c r="U720" s="934"/>
      <c r="V720" s="934"/>
      <c r="W720" s="934"/>
      <c r="X720" s="934"/>
      <c r="Y720" s="934"/>
      <c r="Z720" s="934"/>
    </row>
    <row r="721" ht="15.75" customHeight="1">
      <c r="A721" s="571"/>
      <c r="B721" s="934"/>
      <c r="C721" s="934"/>
      <c r="D721" s="934"/>
      <c r="E721" s="934"/>
      <c r="F721" s="934"/>
      <c r="G721" s="571"/>
      <c r="H721" s="934"/>
      <c r="I721" s="934"/>
      <c r="J721" s="934"/>
      <c r="K721" s="934"/>
      <c r="L721" s="934"/>
      <c r="M721" s="934"/>
      <c r="N721" s="934"/>
      <c r="O721" s="934"/>
      <c r="P721" s="934"/>
      <c r="Q721" s="934"/>
      <c r="R721" s="934"/>
      <c r="S721" s="934"/>
      <c r="T721" s="934"/>
      <c r="U721" s="934"/>
      <c r="V721" s="934"/>
      <c r="W721" s="934"/>
      <c r="X721" s="934"/>
      <c r="Y721" s="934"/>
      <c r="Z721" s="934"/>
    </row>
    <row r="722" ht="15.75" customHeight="1">
      <c r="A722" s="571"/>
      <c r="B722" s="934"/>
      <c r="C722" s="934"/>
      <c r="D722" s="934"/>
      <c r="E722" s="934"/>
      <c r="F722" s="934"/>
      <c r="G722" s="571"/>
      <c r="H722" s="934"/>
      <c r="I722" s="934"/>
      <c r="J722" s="934"/>
      <c r="K722" s="934"/>
      <c r="L722" s="934"/>
      <c r="M722" s="934"/>
      <c r="N722" s="934"/>
      <c r="O722" s="934"/>
      <c r="P722" s="934"/>
      <c r="Q722" s="934"/>
      <c r="R722" s="934"/>
      <c r="S722" s="934"/>
      <c r="T722" s="934"/>
      <c r="U722" s="934"/>
      <c r="V722" s="934"/>
      <c r="W722" s="934"/>
      <c r="X722" s="934"/>
      <c r="Y722" s="934"/>
      <c r="Z722" s="934"/>
    </row>
    <row r="723" ht="15.75" customHeight="1">
      <c r="A723" s="571"/>
      <c r="B723" s="934"/>
      <c r="C723" s="934"/>
      <c r="D723" s="934"/>
      <c r="E723" s="934"/>
      <c r="F723" s="934"/>
      <c r="G723" s="571"/>
      <c r="H723" s="934"/>
      <c r="I723" s="934"/>
      <c r="J723" s="934"/>
      <c r="K723" s="934"/>
      <c r="L723" s="934"/>
      <c r="M723" s="934"/>
      <c r="N723" s="934"/>
      <c r="O723" s="934"/>
      <c r="P723" s="934"/>
      <c r="Q723" s="934"/>
      <c r="R723" s="934"/>
      <c r="S723" s="934"/>
      <c r="T723" s="934"/>
      <c r="U723" s="934"/>
      <c r="V723" s="934"/>
      <c r="W723" s="934"/>
      <c r="X723" s="934"/>
      <c r="Y723" s="934"/>
      <c r="Z723" s="934"/>
    </row>
    <row r="724" ht="15.75" customHeight="1">
      <c r="A724" s="571"/>
      <c r="B724" s="934"/>
      <c r="C724" s="934"/>
      <c r="D724" s="934"/>
      <c r="E724" s="934"/>
      <c r="F724" s="934"/>
      <c r="G724" s="571"/>
      <c r="H724" s="934"/>
      <c r="I724" s="934"/>
      <c r="J724" s="934"/>
      <c r="K724" s="934"/>
      <c r="L724" s="934"/>
      <c r="M724" s="934"/>
      <c r="N724" s="934"/>
      <c r="O724" s="934"/>
      <c r="P724" s="934"/>
      <c r="Q724" s="934"/>
      <c r="R724" s="934"/>
      <c r="S724" s="934"/>
      <c r="T724" s="934"/>
      <c r="U724" s="934"/>
      <c r="V724" s="934"/>
      <c r="W724" s="934"/>
      <c r="X724" s="934"/>
      <c r="Y724" s="934"/>
      <c r="Z724" s="934"/>
    </row>
    <row r="725" ht="15.75" customHeight="1">
      <c r="A725" s="571"/>
      <c r="B725" s="934"/>
      <c r="C725" s="934"/>
      <c r="D725" s="934"/>
      <c r="E725" s="934"/>
      <c r="F725" s="934"/>
      <c r="G725" s="571"/>
      <c r="H725" s="934"/>
      <c r="I725" s="934"/>
      <c r="J725" s="934"/>
      <c r="K725" s="934"/>
      <c r="L725" s="934"/>
      <c r="M725" s="934"/>
      <c r="N725" s="934"/>
      <c r="O725" s="934"/>
      <c r="P725" s="934"/>
      <c r="Q725" s="934"/>
      <c r="R725" s="934"/>
      <c r="S725" s="934"/>
      <c r="T725" s="934"/>
      <c r="U725" s="934"/>
      <c r="V725" s="934"/>
      <c r="W725" s="934"/>
      <c r="X725" s="934"/>
      <c r="Y725" s="934"/>
      <c r="Z725" s="934"/>
    </row>
    <row r="726" ht="15.75" customHeight="1">
      <c r="A726" s="571"/>
      <c r="B726" s="934"/>
      <c r="C726" s="934"/>
      <c r="D726" s="934"/>
      <c r="E726" s="934"/>
      <c r="F726" s="934"/>
      <c r="G726" s="571"/>
      <c r="H726" s="934"/>
      <c r="I726" s="934"/>
      <c r="J726" s="934"/>
      <c r="K726" s="934"/>
      <c r="L726" s="934"/>
      <c r="M726" s="934"/>
      <c r="N726" s="934"/>
      <c r="O726" s="934"/>
      <c r="P726" s="934"/>
      <c r="Q726" s="934"/>
      <c r="R726" s="934"/>
      <c r="S726" s="934"/>
      <c r="T726" s="934"/>
      <c r="U726" s="934"/>
      <c r="V726" s="934"/>
      <c r="W726" s="934"/>
      <c r="X726" s="934"/>
      <c r="Y726" s="934"/>
      <c r="Z726" s="934"/>
    </row>
    <row r="727" ht="15.75" customHeight="1">
      <c r="A727" s="571"/>
      <c r="B727" s="934"/>
      <c r="C727" s="934"/>
      <c r="D727" s="934"/>
      <c r="E727" s="934"/>
      <c r="F727" s="934"/>
      <c r="G727" s="571"/>
      <c r="H727" s="934"/>
      <c r="I727" s="934"/>
      <c r="J727" s="934"/>
      <c r="K727" s="934"/>
      <c r="L727" s="934"/>
      <c r="M727" s="934"/>
      <c r="N727" s="934"/>
      <c r="O727" s="934"/>
      <c r="P727" s="934"/>
      <c r="Q727" s="934"/>
      <c r="R727" s="934"/>
      <c r="S727" s="934"/>
      <c r="T727" s="934"/>
      <c r="U727" s="934"/>
      <c r="V727" s="934"/>
      <c r="W727" s="934"/>
      <c r="X727" s="934"/>
      <c r="Y727" s="934"/>
      <c r="Z727" s="934"/>
    </row>
    <row r="728" ht="15.75" customHeight="1">
      <c r="A728" s="571"/>
      <c r="B728" s="934"/>
      <c r="C728" s="934"/>
      <c r="D728" s="934"/>
      <c r="E728" s="934"/>
      <c r="F728" s="934"/>
      <c r="G728" s="571"/>
      <c r="H728" s="934"/>
      <c r="I728" s="934"/>
      <c r="J728" s="934"/>
      <c r="K728" s="934"/>
      <c r="L728" s="934"/>
      <c r="M728" s="934"/>
      <c r="N728" s="934"/>
      <c r="O728" s="934"/>
      <c r="P728" s="934"/>
      <c r="Q728" s="934"/>
      <c r="R728" s="934"/>
      <c r="S728" s="934"/>
      <c r="T728" s="934"/>
      <c r="U728" s="934"/>
      <c r="V728" s="934"/>
      <c r="W728" s="934"/>
      <c r="X728" s="934"/>
      <c r="Y728" s="934"/>
      <c r="Z728" s="934"/>
    </row>
    <row r="729" ht="15.75" customHeight="1">
      <c r="A729" s="571"/>
      <c r="B729" s="934"/>
      <c r="C729" s="934"/>
      <c r="D729" s="934"/>
      <c r="E729" s="934"/>
      <c r="F729" s="934"/>
      <c r="G729" s="571"/>
      <c r="H729" s="934"/>
      <c r="I729" s="934"/>
      <c r="J729" s="934"/>
      <c r="K729" s="934"/>
      <c r="L729" s="934"/>
      <c r="M729" s="934"/>
      <c r="N729" s="934"/>
      <c r="O729" s="934"/>
      <c r="P729" s="934"/>
      <c r="Q729" s="934"/>
      <c r="R729" s="934"/>
      <c r="S729" s="934"/>
      <c r="T729" s="934"/>
      <c r="U729" s="934"/>
      <c r="V729" s="934"/>
      <c r="W729" s="934"/>
      <c r="X729" s="934"/>
      <c r="Y729" s="934"/>
      <c r="Z729" s="934"/>
    </row>
    <row r="730" ht="15.75" customHeight="1">
      <c r="A730" s="571"/>
      <c r="B730" s="934"/>
      <c r="C730" s="934"/>
      <c r="D730" s="934"/>
      <c r="E730" s="934"/>
      <c r="F730" s="934"/>
      <c r="G730" s="571"/>
      <c r="H730" s="934"/>
      <c r="I730" s="934"/>
      <c r="J730" s="934"/>
      <c r="K730" s="934"/>
      <c r="L730" s="934"/>
      <c r="M730" s="934"/>
      <c r="N730" s="934"/>
      <c r="O730" s="934"/>
      <c r="P730" s="934"/>
      <c r="Q730" s="934"/>
      <c r="R730" s="934"/>
      <c r="S730" s="934"/>
      <c r="T730" s="934"/>
      <c r="U730" s="934"/>
      <c r="V730" s="934"/>
      <c r="W730" s="934"/>
      <c r="X730" s="934"/>
      <c r="Y730" s="934"/>
      <c r="Z730" s="934"/>
    </row>
    <row r="731" ht="15.75" customHeight="1">
      <c r="A731" s="571"/>
      <c r="B731" s="934"/>
      <c r="C731" s="934"/>
      <c r="D731" s="934"/>
      <c r="E731" s="934"/>
      <c r="F731" s="934"/>
      <c r="G731" s="571"/>
      <c r="H731" s="934"/>
      <c r="I731" s="934"/>
      <c r="J731" s="934"/>
      <c r="K731" s="934"/>
      <c r="L731" s="934"/>
      <c r="M731" s="934"/>
      <c r="N731" s="934"/>
      <c r="O731" s="934"/>
      <c r="P731" s="934"/>
      <c r="Q731" s="934"/>
      <c r="R731" s="934"/>
      <c r="S731" s="934"/>
      <c r="T731" s="934"/>
      <c r="U731" s="934"/>
      <c r="V731" s="934"/>
      <c r="W731" s="934"/>
      <c r="X731" s="934"/>
      <c r="Y731" s="934"/>
      <c r="Z731" s="934"/>
    </row>
    <row r="732" ht="15.75" customHeight="1">
      <c r="A732" s="571"/>
      <c r="B732" s="934"/>
      <c r="C732" s="934"/>
      <c r="D732" s="934"/>
      <c r="E732" s="934"/>
      <c r="F732" s="934"/>
      <c r="G732" s="571"/>
      <c r="H732" s="934"/>
      <c r="I732" s="934"/>
      <c r="J732" s="934"/>
      <c r="K732" s="934"/>
      <c r="L732" s="934"/>
      <c r="M732" s="934"/>
      <c r="N732" s="934"/>
      <c r="O732" s="934"/>
      <c r="P732" s="934"/>
      <c r="Q732" s="934"/>
      <c r="R732" s="934"/>
      <c r="S732" s="934"/>
      <c r="T732" s="934"/>
      <c r="U732" s="934"/>
      <c r="V732" s="934"/>
      <c r="W732" s="934"/>
      <c r="X732" s="934"/>
      <c r="Y732" s="934"/>
      <c r="Z732" s="934"/>
    </row>
    <row r="733" ht="15.75" customHeight="1">
      <c r="A733" s="571"/>
      <c r="B733" s="934"/>
      <c r="C733" s="934"/>
      <c r="D733" s="934"/>
      <c r="E733" s="934"/>
      <c r="F733" s="934"/>
      <c r="G733" s="571"/>
      <c r="H733" s="934"/>
      <c r="I733" s="934"/>
      <c r="J733" s="934"/>
      <c r="K733" s="934"/>
      <c r="L733" s="934"/>
      <c r="M733" s="934"/>
      <c r="N733" s="934"/>
      <c r="O733" s="934"/>
      <c r="P733" s="934"/>
      <c r="Q733" s="934"/>
      <c r="R733" s="934"/>
      <c r="S733" s="934"/>
      <c r="T733" s="934"/>
      <c r="U733" s="934"/>
      <c r="V733" s="934"/>
      <c r="W733" s="934"/>
      <c r="X733" s="934"/>
      <c r="Y733" s="934"/>
      <c r="Z733" s="934"/>
    </row>
    <row r="734" ht="15.75" customHeight="1">
      <c r="A734" s="571"/>
      <c r="B734" s="934"/>
      <c r="C734" s="934"/>
      <c r="D734" s="934"/>
      <c r="E734" s="934"/>
      <c r="F734" s="934"/>
      <c r="G734" s="571"/>
      <c r="H734" s="934"/>
      <c r="I734" s="934"/>
      <c r="J734" s="934"/>
      <c r="K734" s="934"/>
      <c r="L734" s="934"/>
      <c r="M734" s="934"/>
      <c r="N734" s="934"/>
      <c r="O734" s="934"/>
      <c r="P734" s="934"/>
      <c r="Q734" s="934"/>
      <c r="R734" s="934"/>
      <c r="S734" s="934"/>
      <c r="T734" s="934"/>
      <c r="U734" s="934"/>
      <c r="V734" s="934"/>
      <c r="W734" s="934"/>
      <c r="X734" s="934"/>
      <c r="Y734" s="934"/>
      <c r="Z734" s="934"/>
    </row>
    <row r="735" ht="15.75" customHeight="1">
      <c r="A735" s="571"/>
      <c r="B735" s="934"/>
      <c r="C735" s="934"/>
      <c r="D735" s="934"/>
      <c r="E735" s="934"/>
      <c r="F735" s="934"/>
      <c r="G735" s="571"/>
      <c r="H735" s="934"/>
      <c r="I735" s="934"/>
      <c r="J735" s="934"/>
      <c r="K735" s="934"/>
      <c r="L735" s="934"/>
      <c r="M735" s="934"/>
      <c r="N735" s="934"/>
      <c r="O735" s="934"/>
      <c r="P735" s="934"/>
      <c r="Q735" s="934"/>
      <c r="R735" s="934"/>
      <c r="S735" s="934"/>
      <c r="T735" s="934"/>
      <c r="U735" s="934"/>
      <c r="V735" s="934"/>
      <c r="W735" s="934"/>
      <c r="X735" s="934"/>
      <c r="Y735" s="934"/>
      <c r="Z735" s="934"/>
    </row>
    <row r="736" ht="15.75" customHeight="1">
      <c r="A736" s="571"/>
      <c r="B736" s="934"/>
      <c r="C736" s="934"/>
      <c r="D736" s="934"/>
      <c r="E736" s="934"/>
      <c r="F736" s="934"/>
      <c r="G736" s="571"/>
      <c r="H736" s="934"/>
      <c r="I736" s="934"/>
      <c r="J736" s="934"/>
      <c r="K736" s="934"/>
      <c r="L736" s="934"/>
      <c r="M736" s="934"/>
      <c r="N736" s="934"/>
      <c r="O736" s="934"/>
      <c r="P736" s="934"/>
      <c r="Q736" s="934"/>
      <c r="R736" s="934"/>
      <c r="S736" s="934"/>
      <c r="T736" s="934"/>
      <c r="U736" s="934"/>
      <c r="V736" s="934"/>
      <c r="W736" s="934"/>
      <c r="X736" s="934"/>
      <c r="Y736" s="934"/>
      <c r="Z736" s="934"/>
    </row>
    <row r="737" ht="15.75" customHeight="1">
      <c r="A737" s="571"/>
      <c r="B737" s="934"/>
      <c r="C737" s="934"/>
      <c r="D737" s="934"/>
      <c r="E737" s="934"/>
      <c r="F737" s="934"/>
      <c r="G737" s="571"/>
      <c r="H737" s="934"/>
      <c r="I737" s="934"/>
      <c r="J737" s="934"/>
      <c r="K737" s="934"/>
      <c r="L737" s="934"/>
      <c r="M737" s="934"/>
      <c r="N737" s="934"/>
      <c r="O737" s="934"/>
      <c r="P737" s="934"/>
      <c r="Q737" s="934"/>
      <c r="R737" s="934"/>
      <c r="S737" s="934"/>
      <c r="T737" s="934"/>
      <c r="U737" s="934"/>
      <c r="V737" s="934"/>
      <c r="W737" s="934"/>
      <c r="X737" s="934"/>
      <c r="Y737" s="934"/>
      <c r="Z737" s="934"/>
    </row>
    <row r="738" ht="15.75" customHeight="1">
      <c r="A738" s="571"/>
      <c r="B738" s="934"/>
      <c r="C738" s="934"/>
      <c r="D738" s="934"/>
      <c r="E738" s="934"/>
      <c r="F738" s="934"/>
      <c r="G738" s="571"/>
      <c r="H738" s="934"/>
      <c r="I738" s="934"/>
      <c r="J738" s="934"/>
      <c r="K738" s="934"/>
      <c r="L738" s="934"/>
      <c r="M738" s="934"/>
      <c r="N738" s="934"/>
      <c r="O738" s="934"/>
      <c r="P738" s="934"/>
      <c r="Q738" s="934"/>
      <c r="R738" s="934"/>
      <c r="S738" s="934"/>
      <c r="T738" s="934"/>
      <c r="U738" s="934"/>
      <c r="V738" s="934"/>
      <c r="W738" s="934"/>
      <c r="X738" s="934"/>
      <c r="Y738" s="934"/>
      <c r="Z738" s="934"/>
    </row>
    <row r="739" ht="15.75" customHeight="1">
      <c r="A739" s="571"/>
      <c r="B739" s="934"/>
      <c r="C739" s="934"/>
      <c r="D739" s="934"/>
      <c r="E739" s="934"/>
      <c r="F739" s="934"/>
      <c r="G739" s="571"/>
      <c r="H739" s="934"/>
      <c r="I739" s="934"/>
      <c r="J739" s="934"/>
      <c r="K739" s="934"/>
      <c r="L739" s="934"/>
      <c r="M739" s="934"/>
      <c r="N739" s="934"/>
      <c r="O739" s="934"/>
      <c r="P739" s="934"/>
      <c r="Q739" s="934"/>
      <c r="R739" s="934"/>
      <c r="S739" s="934"/>
      <c r="T739" s="934"/>
      <c r="U739" s="934"/>
      <c r="V739" s="934"/>
      <c r="W739" s="934"/>
      <c r="X739" s="934"/>
      <c r="Y739" s="934"/>
      <c r="Z739" s="934"/>
    </row>
    <row r="740" ht="15.75" customHeight="1">
      <c r="A740" s="571"/>
      <c r="B740" s="934"/>
      <c r="C740" s="934"/>
      <c r="D740" s="934"/>
      <c r="E740" s="934"/>
      <c r="F740" s="934"/>
      <c r="G740" s="571"/>
      <c r="H740" s="934"/>
      <c r="I740" s="934"/>
      <c r="J740" s="934"/>
      <c r="K740" s="934"/>
      <c r="L740" s="934"/>
      <c r="M740" s="934"/>
      <c r="N740" s="934"/>
      <c r="O740" s="934"/>
      <c r="P740" s="934"/>
      <c r="Q740" s="934"/>
      <c r="R740" s="934"/>
      <c r="S740" s="934"/>
      <c r="T740" s="934"/>
      <c r="U740" s="934"/>
      <c r="V740" s="934"/>
      <c r="W740" s="934"/>
      <c r="X740" s="934"/>
      <c r="Y740" s="934"/>
      <c r="Z740" s="934"/>
    </row>
    <row r="741" ht="15.75" customHeight="1">
      <c r="A741" s="571"/>
      <c r="B741" s="934"/>
      <c r="C741" s="934"/>
      <c r="D741" s="934"/>
      <c r="E741" s="934"/>
      <c r="F741" s="934"/>
      <c r="G741" s="571"/>
      <c r="H741" s="934"/>
      <c r="I741" s="934"/>
      <c r="J741" s="934"/>
      <c r="K741" s="934"/>
      <c r="L741" s="934"/>
      <c r="M741" s="934"/>
      <c r="N741" s="934"/>
      <c r="O741" s="934"/>
      <c r="P741" s="934"/>
      <c r="Q741" s="934"/>
      <c r="R741" s="934"/>
      <c r="S741" s="934"/>
      <c r="T741" s="934"/>
      <c r="U741" s="934"/>
      <c r="V741" s="934"/>
      <c r="W741" s="934"/>
      <c r="X741" s="934"/>
      <c r="Y741" s="934"/>
      <c r="Z741" s="934"/>
    </row>
    <row r="742" ht="15.75" customHeight="1">
      <c r="A742" s="571"/>
      <c r="B742" s="934"/>
      <c r="C742" s="934"/>
      <c r="D742" s="934"/>
      <c r="E742" s="934"/>
      <c r="F742" s="934"/>
      <c r="G742" s="571"/>
      <c r="H742" s="934"/>
      <c r="I742" s="934"/>
      <c r="J742" s="934"/>
      <c r="K742" s="934"/>
      <c r="L742" s="934"/>
      <c r="M742" s="934"/>
      <c r="N742" s="934"/>
      <c r="O742" s="934"/>
      <c r="P742" s="934"/>
      <c r="Q742" s="934"/>
      <c r="R742" s="934"/>
      <c r="S742" s="934"/>
      <c r="T742" s="934"/>
      <c r="U742" s="934"/>
      <c r="V742" s="934"/>
      <c r="W742" s="934"/>
      <c r="X742" s="934"/>
      <c r="Y742" s="934"/>
      <c r="Z742" s="934"/>
    </row>
    <row r="743" ht="15.75" customHeight="1">
      <c r="A743" s="571"/>
      <c r="B743" s="934"/>
      <c r="C743" s="934"/>
      <c r="D743" s="934"/>
      <c r="E743" s="934"/>
      <c r="F743" s="934"/>
      <c r="G743" s="571"/>
      <c r="H743" s="934"/>
      <c r="I743" s="934"/>
      <c r="J743" s="934"/>
      <c r="K743" s="934"/>
      <c r="L743" s="934"/>
      <c r="M743" s="934"/>
      <c r="N743" s="934"/>
      <c r="O743" s="934"/>
      <c r="P743" s="934"/>
      <c r="Q743" s="934"/>
      <c r="R743" s="934"/>
      <c r="S743" s="934"/>
      <c r="T743" s="934"/>
      <c r="U743" s="934"/>
      <c r="V743" s="934"/>
      <c r="W743" s="934"/>
      <c r="X743" s="934"/>
      <c r="Y743" s="934"/>
      <c r="Z743" s="934"/>
    </row>
    <row r="744" ht="15.75" customHeight="1">
      <c r="A744" s="571"/>
      <c r="B744" s="934"/>
      <c r="C744" s="934"/>
      <c r="D744" s="934"/>
      <c r="E744" s="934"/>
      <c r="F744" s="934"/>
      <c r="G744" s="571"/>
      <c r="H744" s="934"/>
      <c r="I744" s="934"/>
      <c r="J744" s="934"/>
      <c r="K744" s="934"/>
      <c r="L744" s="934"/>
      <c r="M744" s="934"/>
      <c r="N744" s="934"/>
      <c r="O744" s="934"/>
      <c r="P744" s="934"/>
      <c r="Q744" s="934"/>
      <c r="R744" s="934"/>
      <c r="S744" s="934"/>
      <c r="T744" s="934"/>
      <c r="U744" s="934"/>
      <c r="V744" s="934"/>
      <c r="W744" s="934"/>
      <c r="X744" s="934"/>
      <c r="Y744" s="934"/>
      <c r="Z744" s="934"/>
    </row>
    <row r="745" ht="15.75" customHeight="1">
      <c r="A745" s="571"/>
      <c r="B745" s="934"/>
      <c r="C745" s="934"/>
      <c r="D745" s="934"/>
      <c r="E745" s="934"/>
      <c r="F745" s="934"/>
      <c r="G745" s="571"/>
      <c r="H745" s="934"/>
      <c r="I745" s="934"/>
      <c r="J745" s="934"/>
      <c r="K745" s="934"/>
      <c r="L745" s="934"/>
      <c r="M745" s="934"/>
      <c r="N745" s="934"/>
      <c r="O745" s="934"/>
      <c r="P745" s="934"/>
      <c r="Q745" s="934"/>
      <c r="R745" s="934"/>
      <c r="S745" s="934"/>
      <c r="T745" s="934"/>
      <c r="U745" s="934"/>
      <c r="V745" s="934"/>
      <c r="W745" s="934"/>
      <c r="X745" s="934"/>
      <c r="Y745" s="934"/>
      <c r="Z745" s="934"/>
    </row>
    <row r="746" ht="15.75" customHeight="1">
      <c r="A746" s="571"/>
      <c r="B746" s="934"/>
      <c r="C746" s="934"/>
      <c r="D746" s="934"/>
      <c r="E746" s="934"/>
      <c r="F746" s="934"/>
      <c r="G746" s="571"/>
      <c r="H746" s="934"/>
      <c r="I746" s="934"/>
      <c r="J746" s="934"/>
      <c r="K746" s="934"/>
      <c r="L746" s="934"/>
      <c r="M746" s="934"/>
      <c r="N746" s="934"/>
      <c r="O746" s="934"/>
      <c r="P746" s="934"/>
      <c r="Q746" s="934"/>
      <c r="R746" s="934"/>
      <c r="S746" s="934"/>
      <c r="T746" s="934"/>
      <c r="U746" s="934"/>
      <c r="V746" s="934"/>
      <c r="W746" s="934"/>
      <c r="X746" s="934"/>
      <c r="Y746" s="934"/>
      <c r="Z746" s="934"/>
    </row>
    <row r="747" ht="15.75" customHeight="1">
      <c r="A747" s="571"/>
      <c r="B747" s="934"/>
      <c r="C747" s="934"/>
      <c r="D747" s="934"/>
      <c r="E747" s="934"/>
      <c r="F747" s="934"/>
      <c r="G747" s="571"/>
      <c r="H747" s="934"/>
      <c r="I747" s="934"/>
      <c r="J747" s="934"/>
      <c r="K747" s="934"/>
      <c r="L747" s="934"/>
      <c r="M747" s="934"/>
      <c r="N747" s="934"/>
      <c r="O747" s="934"/>
      <c r="P747" s="934"/>
      <c r="Q747" s="934"/>
      <c r="R747" s="934"/>
      <c r="S747" s="934"/>
      <c r="T747" s="934"/>
      <c r="U747" s="934"/>
      <c r="V747" s="934"/>
      <c r="W747" s="934"/>
      <c r="X747" s="934"/>
      <c r="Y747" s="934"/>
      <c r="Z747" s="934"/>
    </row>
    <row r="748" ht="15.75" customHeight="1">
      <c r="A748" s="571"/>
      <c r="B748" s="934"/>
      <c r="C748" s="934"/>
      <c r="D748" s="934"/>
      <c r="E748" s="934"/>
      <c r="F748" s="934"/>
      <c r="G748" s="571"/>
      <c r="H748" s="934"/>
      <c r="I748" s="934"/>
      <c r="J748" s="934"/>
      <c r="K748" s="934"/>
      <c r="L748" s="934"/>
      <c r="M748" s="934"/>
      <c r="N748" s="934"/>
      <c r="O748" s="934"/>
      <c r="P748" s="934"/>
      <c r="Q748" s="934"/>
      <c r="R748" s="934"/>
      <c r="S748" s="934"/>
      <c r="T748" s="934"/>
      <c r="U748" s="934"/>
      <c r="V748" s="934"/>
      <c r="W748" s="934"/>
      <c r="X748" s="934"/>
      <c r="Y748" s="934"/>
      <c r="Z748" s="934"/>
    </row>
    <row r="749" ht="15.75" customHeight="1">
      <c r="A749" s="571"/>
      <c r="B749" s="934"/>
      <c r="C749" s="934"/>
      <c r="D749" s="934"/>
      <c r="E749" s="934"/>
      <c r="F749" s="934"/>
      <c r="G749" s="571"/>
      <c r="H749" s="934"/>
      <c r="I749" s="934"/>
      <c r="J749" s="934"/>
      <c r="K749" s="934"/>
      <c r="L749" s="934"/>
      <c r="M749" s="934"/>
      <c r="N749" s="934"/>
      <c r="O749" s="934"/>
      <c r="P749" s="934"/>
      <c r="Q749" s="934"/>
      <c r="R749" s="934"/>
      <c r="S749" s="934"/>
      <c r="T749" s="934"/>
      <c r="U749" s="934"/>
      <c r="V749" s="934"/>
      <c r="W749" s="934"/>
      <c r="X749" s="934"/>
      <c r="Y749" s="934"/>
      <c r="Z749" s="934"/>
    </row>
    <row r="750" ht="15.75" customHeight="1">
      <c r="A750" s="571"/>
      <c r="B750" s="934"/>
      <c r="C750" s="934"/>
      <c r="D750" s="934"/>
      <c r="E750" s="934"/>
      <c r="F750" s="934"/>
      <c r="G750" s="571"/>
      <c r="H750" s="934"/>
      <c r="I750" s="934"/>
      <c r="J750" s="934"/>
      <c r="K750" s="934"/>
      <c r="L750" s="934"/>
      <c r="M750" s="934"/>
      <c r="N750" s="934"/>
      <c r="O750" s="934"/>
      <c r="P750" s="934"/>
      <c r="Q750" s="934"/>
      <c r="R750" s="934"/>
      <c r="S750" s="934"/>
      <c r="T750" s="934"/>
      <c r="U750" s="934"/>
      <c r="V750" s="934"/>
      <c r="W750" s="934"/>
      <c r="X750" s="934"/>
      <c r="Y750" s="934"/>
      <c r="Z750" s="934"/>
    </row>
    <row r="751" ht="15.75" customHeight="1">
      <c r="A751" s="571"/>
      <c r="B751" s="934"/>
      <c r="C751" s="934"/>
      <c r="D751" s="934"/>
      <c r="E751" s="934"/>
      <c r="F751" s="934"/>
      <c r="G751" s="571"/>
      <c r="H751" s="934"/>
      <c r="I751" s="934"/>
      <c r="J751" s="934"/>
      <c r="K751" s="934"/>
      <c r="L751" s="934"/>
      <c r="M751" s="934"/>
      <c r="N751" s="934"/>
      <c r="O751" s="934"/>
      <c r="P751" s="934"/>
      <c r="Q751" s="934"/>
      <c r="R751" s="934"/>
      <c r="S751" s="934"/>
      <c r="T751" s="934"/>
      <c r="U751" s="934"/>
      <c r="V751" s="934"/>
      <c r="W751" s="934"/>
      <c r="X751" s="934"/>
      <c r="Y751" s="934"/>
      <c r="Z751" s="934"/>
    </row>
    <row r="752" ht="15.75" customHeight="1">
      <c r="A752" s="571"/>
      <c r="B752" s="934"/>
      <c r="C752" s="934"/>
      <c r="D752" s="934"/>
      <c r="E752" s="934"/>
      <c r="F752" s="934"/>
      <c r="G752" s="571"/>
      <c r="H752" s="934"/>
      <c r="I752" s="934"/>
      <c r="J752" s="934"/>
      <c r="K752" s="934"/>
      <c r="L752" s="934"/>
      <c r="M752" s="934"/>
      <c r="N752" s="934"/>
      <c r="O752" s="934"/>
      <c r="P752" s="934"/>
      <c r="Q752" s="934"/>
      <c r="R752" s="934"/>
      <c r="S752" s="934"/>
      <c r="T752" s="934"/>
      <c r="U752" s="934"/>
      <c r="V752" s="934"/>
      <c r="W752" s="934"/>
      <c r="X752" s="934"/>
      <c r="Y752" s="934"/>
      <c r="Z752" s="934"/>
    </row>
    <row r="753" ht="15.75" customHeight="1">
      <c r="A753" s="571"/>
      <c r="B753" s="934"/>
      <c r="C753" s="934"/>
      <c r="D753" s="934"/>
      <c r="E753" s="934"/>
      <c r="F753" s="934"/>
      <c r="G753" s="571"/>
      <c r="H753" s="934"/>
      <c r="I753" s="934"/>
      <c r="J753" s="934"/>
      <c r="K753" s="934"/>
      <c r="L753" s="934"/>
      <c r="M753" s="934"/>
      <c r="N753" s="934"/>
      <c r="O753" s="934"/>
      <c r="P753" s="934"/>
      <c r="Q753" s="934"/>
      <c r="R753" s="934"/>
      <c r="S753" s="934"/>
      <c r="T753" s="934"/>
      <c r="U753" s="934"/>
      <c r="V753" s="934"/>
      <c r="W753" s="934"/>
      <c r="X753" s="934"/>
      <c r="Y753" s="934"/>
      <c r="Z753" s="934"/>
    </row>
    <row r="754" ht="15.75" customHeight="1">
      <c r="A754" s="571"/>
      <c r="B754" s="934"/>
      <c r="C754" s="934"/>
      <c r="D754" s="934"/>
      <c r="E754" s="934"/>
      <c r="F754" s="934"/>
      <c r="G754" s="571"/>
      <c r="H754" s="934"/>
      <c r="I754" s="934"/>
      <c r="J754" s="934"/>
      <c r="K754" s="934"/>
      <c r="L754" s="934"/>
      <c r="M754" s="934"/>
      <c r="N754" s="934"/>
      <c r="O754" s="934"/>
      <c r="P754" s="934"/>
      <c r="Q754" s="934"/>
      <c r="R754" s="934"/>
      <c r="S754" s="934"/>
      <c r="T754" s="934"/>
      <c r="U754" s="934"/>
      <c r="V754" s="934"/>
      <c r="W754" s="934"/>
      <c r="X754" s="934"/>
      <c r="Y754" s="934"/>
      <c r="Z754" s="934"/>
    </row>
    <row r="755" ht="15.75" customHeight="1">
      <c r="A755" s="571"/>
      <c r="B755" s="934"/>
      <c r="C755" s="934"/>
      <c r="D755" s="934"/>
      <c r="E755" s="934"/>
      <c r="F755" s="934"/>
      <c r="G755" s="571"/>
      <c r="H755" s="934"/>
      <c r="I755" s="934"/>
      <c r="J755" s="934"/>
      <c r="K755" s="934"/>
      <c r="L755" s="934"/>
      <c r="M755" s="934"/>
      <c r="N755" s="934"/>
      <c r="O755" s="934"/>
      <c r="P755" s="934"/>
      <c r="Q755" s="934"/>
      <c r="R755" s="934"/>
      <c r="S755" s="934"/>
      <c r="T755" s="934"/>
      <c r="U755" s="934"/>
      <c r="V755" s="934"/>
      <c r="W755" s="934"/>
      <c r="X755" s="934"/>
      <c r="Y755" s="934"/>
      <c r="Z755" s="934"/>
    </row>
    <row r="756" ht="15.75" customHeight="1">
      <c r="A756" s="571"/>
      <c r="B756" s="934"/>
      <c r="C756" s="934"/>
      <c r="D756" s="934"/>
      <c r="E756" s="934"/>
      <c r="F756" s="934"/>
      <c r="G756" s="571"/>
      <c r="H756" s="934"/>
      <c r="I756" s="934"/>
      <c r="J756" s="934"/>
      <c r="K756" s="934"/>
      <c r="L756" s="934"/>
      <c r="M756" s="934"/>
      <c r="N756" s="934"/>
      <c r="O756" s="934"/>
      <c r="P756" s="934"/>
      <c r="Q756" s="934"/>
      <c r="R756" s="934"/>
      <c r="S756" s="934"/>
      <c r="T756" s="934"/>
      <c r="U756" s="934"/>
      <c r="V756" s="934"/>
      <c r="W756" s="934"/>
      <c r="X756" s="934"/>
      <c r="Y756" s="934"/>
      <c r="Z756" s="934"/>
    </row>
    <row r="757" ht="15.75" customHeight="1">
      <c r="A757" s="571"/>
      <c r="B757" s="934"/>
      <c r="C757" s="934"/>
      <c r="D757" s="934"/>
      <c r="E757" s="934"/>
      <c r="F757" s="934"/>
      <c r="G757" s="571"/>
      <c r="H757" s="934"/>
      <c r="I757" s="934"/>
      <c r="J757" s="934"/>
      <c r="K757" s="934"/>
      <c r="L757" s="934"/>
      <c r="M757" s="934"/>
      <c r="N757" s="934"/>
      <c r="O757" s="934"/>
      <c r="P757" s="934"/>
      <c r="Q757" s="934"/>
      <c r="R757" s="934"/>
      <c r="S757" s="934"/>
      <c r="T757" s="934"/>
      <c r="U757" s="934"/>
      <c r="V757" s="934"/>
      <c r="W757" s="934"/>
      <c r="X757" s="934"/>
      <c r="Y757" s="934"/>
      <c r="Z757" s="934"/>
    </row>
    <row r="758" ht="15.75" customHeight="1">
      <c r="A758" s="571"/>
      <c r="B758" s="934"/>
      <c r="C758" s="934"/>
      <c r="D758" s="934"/>
      <c r="E758" s="934"/>
      <c r="F758" s="934"/>
      <c r="G758" s="571"/>
      <c r="H758" s="934"/>
      <c r="I758" s="934"/>
      <c r="J758" s="934"/>
      <c r="K758" s="934"/>
      <c r="L758" s="934"/>
      <c r="M758" s="934"/>
      <c r="N758" s="934"/>
      <c r="O758" s="934"/>
      <c r="P758" s="934"/>
      <c r="Q758" s="934"/>
      <c r="R758" s="934"/>
      <c r="S758" s="934"/>
      <c r="T758" s="934"/>
      <c r="U758" s="934"/>
      <c r="V758" s="934"/>
      <c r="W758" s="934"/>
      <c r="X758" s="934"/>
      <c r="Y758" s="934"/>
      <c r="Z758" s="934"/>
    </row>
    <row r="759" ht="15.75" customHeight="1">
      <c r="A759" s="571"/>
      <c r="B759" s="934"/>
      <c r="C759" s="934"/>
      <c r="D759" s="934"/>
      <c r="E759" s="934"/>
      <c r="F759" s="934"/>
      <c r="G759" s="571"/>
      <c r="H759" s="934"/>
      <c r="I759" s="934"/>
      <c r="J759" s="934"/>
      <c r="K759" s="934"/>
      <c r="L759" s="934"/>
      <c r="M759" s="934"/>
      <c r="N759" s="934"/>
      <c r="O759" s="934"/>
      <c r="P759" s="934"/>
      <c r="Q759" s="934"/>
      <c r="R759" s="934"/>
      <c r="S759" s="934"/>
      <c r="T759" s="934"/>
      <c r="U759" s="934"/>
      <c r="V759" s="934"/>
      <c r="W759" s="934"/>
      <c r="X759" s="934"/>
      <c r="Y759" s="934"/>
      <c r="Z759" s="934"/>
    </row>
    <row r="760" ht="15.75" customHeight="1">
      <c r="A760" s="571"/>
      <c r="B760" s="934"/>
      <c r="C760" s="934"/>
      <c r="D760" s="934"/>
      <c r="E760" s="934"/>
      <c r="F760" s="934"/>
      <c r="G760" s="571"/>
      <c r="H760" s="934"/>
      <c r="I760" s="934"/>
      <c r="J760" s="934"/>
      <c r="K760" s="934"/>
      <c r="L760" s="934"/>
      <c r="M760" s="934"/>
      <c r="N760" s="934"/>
      <c r="O760" s="934"/>
      <c r="P760" s="934"/>
      <c r="Q760" s="934"/>
      <c r="R760" s="934"/>
      <c r="S760" s="934"/>
      <c r="T760" s="934"/>
      <c r="U760" s="934"/>
      <c r="V760" s="934"/>
      <c r="W760" s="934"/>
      <c r="X760" s="934"/>
      <c r="Y760" s="934"/>
      <c r="Z760" s="934"/>
    </row>
    <row r="761" ht="15.75" customHeight="1">
      <c r="A761" s="571"/>
      <c r="B761" s="934"/>
      <c r="C761" s="934"/>
      <c r="D761" s="934"/>
      <c r="E761" s="934"/>
      <c r="F761" s="934"/>
      <c r="G761" s="571"/>
      <c r="H761" s="934"/>
      <c r="I761" s="934"/>
      <c r="J761" s="934"/>
      <c r="K761" s="934"/>
      <c r="L761" s="934"/>
      <c r="M761" s="934"/>
      <c r="N761" s="934"/>
      <c r="O761" s="934"/>
      <c r="P761" s="934"/>
      <c r="Q761" s="934"/>
      <c r="R761" s="934"/>
      <c r="S761" s="934"/>
      <c r="T761" s="934"/>
      <c r="U761" s="934"/>
      <c r="V761" s="934"/>
      <c r="W761" s="934"/>
      <c r="X761" s="934"/>
      <c r="Y761" s="934"/>
      <c r="Z761" s="934"/>
    </row>
    <row r="762" ht="15.75" customHeight="1">
      <c r="A762" s="571"/>
      <c r="B762" s="934"/>
      <c r="C762" s="934"/>
      <c r="D762" s="934"/>
      <c r="E762" s="934"/>
      <c r="F762" s="934"/>
      <c r="G762" s="571"/>
      <c r="H762" s="934"/>
      <c r="I762" s="934"/>
      <c r="J762" s="934"/>
      <c r="K762" s="934"/>
      <c r="L762" s="934"/>
      <c r="M762" s="934"/>
      <c r="N762" s="934"/>
      <c r="O762" s="934"/>
      <c r="P762" s="934"/>
      <c r="Q762" s="934"/>
      <c r="R762" s="934"/>
      <c r="S762" s="934"/>
      <c r="T762" s="934"/>
      <c r="U762" s="934"/>
      <c r="V762" s="934"/>
      <c r="W762" s="934"/>
      <c r="X762" s="934"/>
      <c r="Y762" s="934"/>
      <c r="Z762" s="934"/>
    </row>
    <row r="763" ht="15.75" customHeight="1">
      <c r="A763" s="571"/>
      <c r="B763" s="934"/>
      <c r="C763" s="934"/>
      <c r="D763" s="934"/>
      <c r="E763" s="934"/>
      <c r="F763" s="934"/>
      <c r="G763" s="571"/>
      <c r="H763" s="934"/>
      <c r="I763" s="934"/>
      <c r="J763" s="934"/>
      <c r="K763" s="934"/>
      <c r="L763" s="934"/>
      <c r="M763" s="934"/>
      <c r="N763" s="934"/>
      <c r="O763" s="934"/>
      <c r="P763" s="934"/>
      <c r="Q763" s="934"/>
      <c r="R763" s="934"/>
      <c r="S763" s="934"/>
      <c r="T763" s="934"/>
      <c r="U763" s="934"/>
      <c r="V763" s="934"/>
      <c r="W763" s="934"/>
      <c r="X763" s="934"/>
      <c r="Y763" s="934"/>
      <c r="Z763" s="934"/>
    </row>
    <row r="764" ht="15.75" customHeight="1">
      <c r="A764" s="571"/>
      <c r="B764" s="934"/>
      <c r="C764" s="934"/>
      <c r="D764" s="934"/>
      <c r="E764" s="934"/>
      <c r="F764" s="934"/>
      <c r="G764" s="571"/>
      <c r="H764" s="934"/>
      <c r="I764" s="934"/>
      <c r="J764" s="934"/>
      <c r="K764" s="934"/>
      <c r="L764" s="934"/>
      <c r="M764" s="934"/>
      <c r="N764" s="934"/>
      <c r="O764" s="934"/>
      <c r="P764" s="934"/>
      <c r="Q764" s="934"/>
      <c r="R764" s="934"/>
      <c r="S764" s="934"/>
      <c r="T764" s="934"/>
      <c r="U764" s="934"/>
      <c r="V764" s="934"/>
      <c r="W764" s="934"/>
      <c r="X764" s="934"/>
      <c r="Y764" s="934"/>
      <c r="Z764" s="934"/>
    </row>
    <row r="765" ht="15.75" customHeight="1">
      <c r="A765" s="571"/>
      <c r="B765" s="934"/>
      <c r="C765" s="934"/>
      <c r="D765" s="934"/>
      <c r="E765" s="934"/>
      <c r="F765" s="934"/>
      <c r="G765" s="571"/>
      <c r="H765" s="934"/>
      <c r="I765" s="934"/>
      <c r="J765" s="934"/>
      <c r="K765" s="934"/>
      <c r="L765" s="934"/>
      <c r="M765" s="934"/>
      <c r="N765" s="934"/>
      <c r="O765" s="934"/>
      <c r="P765" s="934"/>
      <c r="Q765" s="934"/>
      <c r="R765" s="934"/>
      <c r="S765" s="934"/>
      <c r="T765" s="934"/>
      <c r="U765" s="934"/>
      <c r="V765" s="934"/>
      <c r="W765" s="934"/>
      <c r="X765" s="934"/>
      <c r="Y765" s="934"/>
      <c r="Z765" s="934"/>
    </row>
    <row r="766" ht="15.75" customHeight="1">
      <c r="A766" s="571"/>
      <c r="B766" s="934"/>
      <c r="C766" s="934"/>
      <c r="D766" s="934"/>
      <c r="E766" s="934"/>
      <c r="F766" s="934"/>
      <c r="G766" s="571"/>
      <c r="H766" s="934"/>
      <c r="I766" s="934"/>
      <c r="J766" s="934"/>
      <c r="K766" s="934"/>
      <c r="L766" s="934"/>
      <c r="M766" s="934"/>
      <c r="N766" s="934"/>
      <c r="O766" s="934"/>
      <c r="P766" s="934"/>
      <c r="Q766" s="934"/>
      <c r="R766" s="934"/>
      <c r="S766" s="934"/>
      <c r="T766" s="934"/>
      <c r="U766" s="934"/>
      <c r="V766" s="934"/>
      <c r="W766" s="934"/>
      <c r="X766" s="934"/>
      <c r="Y766" s="934"/>
      <c r="Z766" s="934"/>
    </row>
    <row r="767" ht="15.75" customHeight="1">
      <c r="A767" s="571"/>
      <c r="B767" s="934"/>
      <c r="C767" s="934"/>
      <c r="D767" s="934"/>
      <c r="E767" s="934"/>
      <c r="F767" s="934"/>
      <c r="G767" s="571"/>
      <c r="H767" s="934"/>
      <c r="I767" s="934"/>
      <c r="J767" s="934"/>
      <c r="K767" s="934"/>
      <c r="L767" s="934"/>
      <c r="M767" s="934"/>
      <c r="N767" s="934"/>
      <c r="O767" s="934"/>
      <c r="P767" s="934"/>
      <c r="Q767" s="934"/>
      <c r="R767" s="934"/>
      <c r="S767" s="934"/>
      <c r="T767" s="934"/>
      <c r="U767" s="934"/>
      <c r="V767" s="934"/>
      <c r="W767" s="934"/>
      <c r="X767" s="934"/>
      <c r="Y767" s="934"/>
      <c r="Z767" s="934"/>
    </row>
    <row r="768" ht="15.75" customHeight="1">
      <c r="A768" s="571"/>
      <c r="B768" s="934"/>
      <c r="C768" s="934"/>
      <c r="D768" s="934"/>
      <c r="E768" s="934"/>
      <c r="F768" s="934"/>
      <c r="G768" s="571"/>
      <c r="H768" s="934"/>
      <c r="I768" s="934"/>
      <c r="J768" s="934"/>
      <c r="K768" s="934"/>
      <c r="L768" s="934"/>
      <c r="M768" s="934"/>
      <c r="N768" s="934"/>
      <c r="O768" s="934"/>
      <c r="P768" s="934"/>
      <c r="Q768" s="934"/>
      <c r="R768" s="934"/>
      <c r="S768" s="934"/>
      <c r="T768" s="934"/>
      <c r="U768" s="934"/>
      <c r="V768" s="934"/>
      <c r="W768" s="934"/>
      <c r="X768" s="934"/>
      <c r="Y768" s="934"/>
      <c r="Z768" s="934"/>
    </row>
    <row r="769" ht="15.75" customHeight="1">
      <c r="A769" s="571"/>
      <c r="B769" s="934"/>
      <c r="C769" s="934"/>
      <c r="D769" s="934"/>
      <c r="E769" s="934"/>
      <c r="F769" s="934"/>
      <c r="G769" s="571"/>
      <c r="H769" s="934"/>
      <c r="I769" s="934"/>
      <c r="J769" s="934"/>
      <c r="K769" s="934"/>
      <c r="L769" s="934"/>
      <c r="M769" s="934"/>
      <c r="N769" s="934"/>
      <c r="O769" s="934"/>
      <c r="P769" s="934"/>
      <c r="Q769" s="934"/>
      <c r="R769" s="934"/>
      <c r="S769" s="934"/>
      <c r="T769" s="934"/>
      <c r="U769" s="934"/>
      <c r="V769" s="934"/>
      <c r="W769" s="934"/>
      <c r="X769" s="934"/>
      <c r="Y769" s="934"/>
      <c r="Z769" s="934"/>
    </row>
    <row r="770" ht="15.75" customHeight="1">
      <c r="A770" s="571"/>
      <c r="B770" s="934"/>
      <c r="C770" s="934"/>
      <c r="D770" s="934"/>
      <c r="E770" s="934"/>
      <c r="F770" s="934"/>
      <c r="G770" s="571"/>
      <c r="H770" s="934"/>
      <c r="I770" s="934"/>
      <c r="J770" s="934"/>
      <c r="K770" s="934"/>
      <c r="L770" s="934"/>
      <c r="M770" s="934"/>
      <c r="N770" s="934"/>
      <c r="O770" s="934"/>
      <c r="P770" s="934"/>
      <c r="Q770" s="934"/>
      <c r="R770" s="934"/>
      <c r="S770" s="934"/>
      <c r="T770" s="934"/>
      <c r="U770" s="934"/>
      <c r="V770" s="934"/>
      <c r="W770" s="934"/>
      <c r="X770" s="934"/>
      <c r="Y770" s="934"/>
      <c r="Z770" s="934"/>
    </row>
    <row r="771" ht="15.75" customHeight="1">
      <c r="A771" s="571"/>
      <c r="B771" s="934"/>
      <c r="C771" s="934"/>
      <c r="D771" s="934"/>
      <c r="E771" s="934"/>
      <c r="F771" s="934"/>
      <c r="G771" s="571"/>
      <c r="H771" s="934"/>
      <c r="I771" s="934"/>
      <c r="J771" s="934"/>
      <c r="K771" s="934"/>
      <c r="L771" s="934"/>
      <c r="M771" s="934"/>
      <c r="N771" s="934"/>
      <c r="O771" s="934"/>
      <c r="P771" s="934"/>
      <c r="Q771" s="934"/>
      <c r="R771" s="934"/>
      <c r="S771" s="934"/>
      <c r="T771" s="934"/>
      <c r="U771" s="934"/>
      <c r="V771" s="934"/>
      <c r="W771" s="934"/>
      <c r="X771" s="934"/>
      <c r="Y771" s="934"/>
      <c r="Z771" s="934"/>
    </row>
    <row r="772" ht="15.75" customHeight="1">
      <c r="A772" s="571"/>
      <c r="B772" s="934"/>
      <c r="C772" s="934"/>
      <c r="D772" s="934"/>
      <c r="E772" s="934"/>
      <c r="F772" s="934"/>
      <c r="G772" s="571"/>
      <c r="H772" s="934"/>
      <c r="I772" s="934"/>
      <c r="J772" s="934"/>
      <c r="K772" s="934"/>
      <c r="L772" s="934"/>
      <c r="M772" s="934"/>
      <c r="N772" s="934"/>
      <c r="O772" s="934"/>
      <c r="P772" s="934"/>
      <c r="Q772" s="934"/>
      <c r="R772" s="934"/>
      <c r="S772" s="934"/>
      <c r="T772" s="934"/>
      <c r="U772" s="934"/>
      <c r="V772" s="934"/>
      <c r="W772" s="934"/>
      <c r="X772" s="934"/>
      <c r="Y772" s="934"/>
      <c r="Z772" s="934"/>
    </row>
    <row r="773" ht="15.75" customHeight="1">
      <c r="A773" s="571"/>
      <c r="B773" s="934"/>
      <c r="C773" s="934"/>
      <c r="D773" s="934"/>
      <c r="E773" s="934"/>
      <c r="F773" s="934"/>
      <c r="G773" s="571"/>
      <c r="H773" s="934"/>
      <c r="I773" s="934"/>
      <c r="J773" s="934"/>
      <c r="K773" s="934"/>
      <c r="L773" s="934"/>
      <c r="M773" s="934"/>
      <c r="N773" s="934"/>
      <c r="O773" s="934"/>
      <c r="P773" s="934"/>
      <c r="Q773" s="934"/>
      <c r="R773" s="934"/>
      <c r="S773" s="934"/>
      <c r="T773" s="934"/>
      <c r="U773" s="934"/>
      <c r="V773" s="934"/>
      <c r="W773" s="934"/>
      <c r="X773" s="934"/>
      <c r="Y773" s="934"/>
      <c r="Z773" s="934"/>
    </row>
    <row r="774" ht="15.75" customHeight="1">
      <c r="A774" s="571"/>
      <c r="B774" s="934"/>
      <c r="C774" s="934"/>
      <c r="D774" s="934"/>
      <c r="E774" s="934"/>
      <c r="F774" s="934"/>
      <c r="G774" s="571"/>
      <c r="H774" s="934"/>
      <c r="I774" s="934"/>
      <c r="J774" s="934"/>
      <c r="K774" s="934"/>
      <c r="L774" s="934"/>
      <c r="M774" s="934"/>
      <c r="N774" s="934"/>
      <c r="O774" s="934"/>
      <c r="P774" s="934"/>
      <c r="Q774" s="934"/>
      <c r="R774" s="934"/>
      <c r="S774" s="934"/>
      <c r="T774" s="934"/>
      <c r="U774" s="934"/>
      <c r="V774" s="934"/>
      <c r="W774" s="934"/>
      <c r="X774" s="934"/>
      <c r="Y774" s="934"/>
      <c r="Z774" s="934"/>
    </row>
    <row r="775" ht="15.75" customHeight="1">
      <c r="A775" s="571"/>
      <c r="B775" s="934"/>
      <c r="C775" s="934"/>
      <c r="D775" s="934"/>
      <c r="E775" s="934"/>
      <c r="F775" s="934"/>
      <c r="G775" s="571"/>
      <c r="H775" s="934"/>
      <c r="I775" s="934"/>
      <c r="J775" s="934"/>
      <c r="K775" s="934"/>
      <c r="L775" s="934"/>
      <c r="M775" s="934"/>
      <c r="N775" s="934"/>
      <c r="O775" s="934"/>
      <c r="P775" s="934"/>
      <c r="Q775" s="934"/>
      <c r="R775" s="934"/>
      <c r="S775" s="934"/>
      <c r="T775" s="934"/>
      <c r="U775" s="934"/>
      <c r="V775" s="934"/>
      <c r="W775" s="934"/>
      <c r="X775" s="934"/>
      <c r="Y775" s="934"/>
      <c r="Z775" s="934"/>
    </row>
    <row r="776" ht="15.75" customHeight="1">
      <c r="A776" s="571"/>
      <c r="B776" s="934"/>
      <c r="C776" s="934"/>
      <c r="D776" s="934"/>
      <c r="E776" s="934"/>
      <c r="F776" s="934"/>
      <c r="G776" s="571"/>
      <c r="H776" s="934"/>
      <c r="I776" s="934"/>
      <c r="J776" s="934"/>
      <c r="K776" s="934"/>
      <c r="L776" s="934"/>
      <c r="M776" s="934"/>
      <c r="N776" s="934"/>
      <c r="O776" s="934"/>
      <c r="P776" s="934"/>
      <c r="Q776" s="934"/>
      <c r="R776" s="934"/>
      <c r="S776" s="934"/>
      <c r="T776" s="934"/>
      <c r="U776" s="934"/>
      <c r="V776" s="934"/>
      <c r="W776" s="934"/>
      <c r="X776" s="934"/>
      <c r="Y776" s="934"/>
      <c r="Z776" s="934"/>
    </row>
    <row r="777" ht="15.75" customHeight="1">
      <c r="A777" s="571"/>
      <c r="B777" s="934"/>
      <c r="C777" s="934"/>
      <c r="D777" s="934"/>
      <c r="E777" s="934"/>
      <c r="F777" s="934"/>
      <c r="G777" s="571"/>
      <c r="H777" s="934"/>
      <c r="I777" s="934"/>
      <c r="J777" s="934"/>
      <c r="K777" s="934"/>
      <c r="L777" s="934"/>
      <c r="M777" s="934"/>
      <c r="N777" s="934"/>
      <c r="O777" s="934"/>
      <c r="P777" s="934"/>
      <c r="Q777" s="934"/>
      <c r="R777" s="934"/>
      <c r="S777" s="934"/>
      <c r="T777" s="934"/>
      <c r="U777" s="934"/>
      <c r="V777" s="934"/>
      <c r="W777" s="934"/>
      <c r="X777" s="934"/>
      <c r="Y777" s="934"/>
      <c r="Z777" s="934"/>
    </row>
    <row r="778" ht="15.75" customHeight="1">
      <c r="A778" s="571"/>
      <c r="B778" s="934"/>
      <c r="C778" s="934"/>
      <c r="D778" s="934"/>
      <c r="E778" s="934"/>
      <c r="F778" s="934"/>
      <c r="G778" s="571"/>
      <c r="H778" s="934"/>
      <c r="I778" s="934"/>
      <c r="J778" s="934"/>
      <c r="K778" s="934"/>
      <c r="L778" s="934"/>
      <c r="M778" s="934"/>
      <c r="N778" s="934"/>
      <c r="O778" s="934"/>
      <c r="P778" s="934"/>
      <c r="Q778" s="934"/>
      <c r="R778" s="934"/>
      <c r="S778" s="934"/>
      <c r="T778" s="934"/>
      <c r="U778" s="934"/>
      <c r="V778" s="934"/>
      <c r="W778" s="934"/>
      <c r="X778" s="934"/>
      <c r="Y778" s="934"/>
      <c r="Z778" s="934"/>
    </row>
    <row r="779" ht="15.75" customHeight="1">
      <c r="A779" s="571"/>
      <c r="B779" s="934"/>
      <c r="C779" s="934"/>
      <c r="D779" s="934"/>
      <c r="E779" s="934"/>
      <c r="F779" s="934"/>
      <c r="G779" s="571"/>
      <c r="H779" s="934"/>
      <c r="I779" s="934"/>
      <c r="J779" s="934"/>
      <c r="K779" s="934"/>
      <c r="L779" s="934"/>
      <c r="M779" s="934"/>
      <c r="N779" s="934"/>
      <c r="O779" s="934"/>
      <c r="P779" s="934"/>
      <c r="Q779" s="934"/>
      <c r="R779" s="934"/>
      <c r="S779" s="934"/>
      <c r="T779" s="934"/>
      <c r="U779" s="934"/>
      <c r="V779" s="934"/>
      <c r="W779" s="934"/>
      <c r="X779" s="934"/>
      <c r="Y779" s="934"/>
      <c r="Z779" s="934"/>
    </row>
    <row r="780" ht="15.75" customHeight="1">
      <c r="A780" s="571"/>
      <c r="B780" s="934"/>
      <c r="C780" s="934"/>
      <c r="D780" s="934"/>
      <c r="E780" s="934"/>
      <c r="F780" s="934"/>
      <c r="G780" s="571"/>
      <c r="H780" s="934"/>
      <c r="I780" s="934"/>
      <c r="J780" s="934"/>
      <c r="K780" s="934"/>
      <c r="L780" s="934"/>
      <c r="M780" s="934"/>
      <c r="N780" s="934"/>
      <c r="O780" s="934"/>
      <c r="P780" s="934"/>
      <c r="Q780" s="934"/>
      <c r="R780" s="934"/>
      <c r="S780" s="934"/>
      <c r="T780" s="934"/>
      <c r="U780" s="934"/>
      <c r="V780" s="934"/>
      <c r="W780" s="934"/>
      <c r="X780" s="934"/>
      <c r="Y780" s="934"/>
      <c r="Z780" s="934"/>
    </row>
    <row r="781" ht="15.75" customHeight="1">
      <c r="A781" s="571"/>
      <c r="B781" s="934"/>
      <c r="C781" s="934"/>
      <c r="D781" s="934"/>
      <c r="E781" s="934"/>
      <c r="F781" s="934"/>
      <c r="G781" s="571"/>
      <c r="H781" s="934"/>
      <c r="I781" s="934"/>
      <c r="J781" s="934"/>
      <c r="K781" s="934"/>
      <c r="L781" s="934"/>
      <c r="M781" s="934"/>
      <c r="N781" s="934"/>
      <c r="O781" s="934"/>
      <c r="P781" s="934"/>
      <c r="Q781" s="934"/>
      <c r="R781" s="934"/>
      <c r="S781" s="934"/>
      <c r="T781" s="934"/>
      <c r="U781" s="934"/>
      <c r="V781" s="934"/>
      <c r="W781" s="934"/>
      <c r="X781" s="934"/>
      <c r="Y781" s="934"/>
      <c r="Z781" s="934"/>
    </row>
    <row r="782" ht="15.75" customHeight="1">
      <c r="A782" s="571"/>
      <c r="B782" s="934"/>
      <c r="C782" s="934"/>
      <c r="D782" s="934"/>
      <c r="E782" s="934"/>
      <c r="F782" s="934"/>
      <c r="G782" s="571"/>
      <c r="H782" s="934"/>
      <c r="I782" s="934"/>
      <c r="J782" s="934"/>
      <c r="K782" s="934"/>
      <c r="L782" s="934"/>
      <c r="M782" s="934"/>
      <c r="N782" s="934"/>
      <c r="O782" s="934"/>
      <c r="P782" s="934"/>
      <c r="Q782" s="934"/>
      <c r="R782" s="934"/>
      <c r="S782" s="934"/>
      <c r="T782" s="934"/>
      <c r="U782" s="934"/>
      <c r="V782" s="934"/>
      <c r="W782" s="934"/>
      <c r="X782" s="934"/>
      <c r="Y782" s="934"/>
      <c r="Z782" s="934"/>
    </row>
    <row r="783" ht="15.75" customHeight="1">
      <c r="A783" s="571"/>
      <c r="B783" s="934"/>
      <c r="C783" s="934"/>
      <c r="D783" s="934"/>
      <c r="E783" s="934"/>
      <c r="F783" s="934"/>
      <c r="G783" s="571"/>
      <c r="H783" s="934"/>
      <c r="I783" s="934"/>
      <c r="J783" s="934"/>
      <c r="K783" s="934"/>
      <c r="L783" s="934"/>
      <c r="M783" s="934"/>
      <c r="N783" s="934"/>
      <c r="O783" s="934"/>
      <c r="P783" s="934"/>
      <c r="Q783" s="934"/>
      <c r="R783" s="934"/>
      <c r="S783" s="934"/>
      <c r="T783" s="934"/>
      <c r="U783" s="934"/>
      <c r="V783" s="934"/>
      <c r="W783" s="934"/>
      <c r="X783" s="934"/>
      <c r="Y783" s="934"/>
      <c r="Z783" s="934"/>
    </row>
    <row r="784" ht="15.75" customHeight="1">
      <c r="A784" s="571"/>
      <c r="B784" s="934"/>
      <c r="C784" s="934"/>
      <c r="D784" s="934"/>
      <c r="E784" s="934"/>
      <c r="F784" s="934"/>
      <c r="G784" s="571"/>
      <c r="H784" s="934"/>
      <c r="I784" s="934"/>
      <c r="J784" s="934"/>
      <c r="K784" s="934"/>
      <c r="L784" s="934"/>
      <c r="M784" s="934"/>
      <c r="N784" s="934"/>
      <c r="O784" s="934"/>
      <c r="P784" s="934"/>
      <c r="Q784" s="934"/>
      <c r="R784" s="934"/>
      <c r="S784" s="934"/>
      <c r="T784" s="934"/>
      <c r="U784" s="934"/>
      <c r="V784" s="934"/>
      <c r="W784" s="934"/>
      <c r="X784" s="934"/>
      <c r="Y784" s="934"/>
      <c r="Z784" s="934"/>
    </row>
    <row r="785" ht="15.75" customHeight="1">
      <c r="A785" s="571"/>
      <c r="B785" s="934"/>
      <c r="C785" s="934"/>
      <c r="D785" s="934"/>
      <c r="E785" s="934"/>
      <c r="F785" s="934"/>
      <c r="G785" s="571"/>
      <c r="H785" s="934"/>
      <c r="I785" s="934"/>
      <c r="J785" s="934"/>
      <c r="K785" s="934"/>
      <c r="L785" s="934"/>
      <c r="M785" s="934"/>
      <c r="N785" s="934"/>
      <c r="O785" s="934"/>
      <c r="P785" s="934"/>
      <c r="Q785" s="934"/>
      <c r="R785" s="934"/>
      <c r="S785" s="934"/>
      <c r="T785" s="934"/>
      <c r="U785" s="934"/>
      <c r="V785" s="934"/>
      <c r="W785" s="934"/>
      <c r="X785" s="934"/>
      <c r="Y785" s="934"/>
      <c r="Z785" s="934"/>
    </row>
    <row r="786" ht="15.75" customHeight="1">
      <c r="A786" s="571"/>
      <c r="B786" s="934"/>
      <c r="C786" s="934"/>
      <c r="D786" s="934"/>
      <c r="E786" s="934"/>
      <c r="F786" s="934"/>
      <c r="G786" s="571"/>
      <c r="H786" s="934"/>
      <c r="I786" s="934"/>
      <c r="J786" s="934"/>
      <c r="K786" s="934"/>
      <c r="L786" s="934"/>
      <c r="M786" s="934"/>
      <c r="N786" s="934"/>
      <c r="O786" s="934"/>
      <c r="P786" s="934"/>
      <c r="Q786" s="934"/>
      <c r="R786" s="934"/>
      <c r="S786" s="934"/>
      <c r="T786" s="934"/>
      <c r="U786" s="934"/>
      <c r="V786" s="934"/>
      <c r="W786" s="934"/>
      <c r="X786" s="934"/>
      <c r="Y786" s="934"/>
      <c r="Z786" s="934"/>
    </row>
    <row r="787" ht="15.75" customHeight="1">
      <c r="A787" s="571"/>
      <c r="B787" s="934"/>
      <c r="C787" s="934"/>
      <c r="D787" s="934"/>
      <c r="E787" s="934"/>
      <c r="F787" s="934"/>
      <c r="G787" s="571"/>
      <c r="H787" s="934"/>
      <c r="I787" s="934"/>
      <c r="J787" s="934"/>
      <c r="K787" s="934"/>
      <c r="L787" s="934"/>
      <c r="M787" s="934"/>
      <c r="N787" s="934"/>
      <c r="O787" s="934"/>
      <c r="P787" s="934"/>
      <c r="Q787" s="934"/>
      <c r="R787" s="934"/>
      <c r="S787" s="934"/>
      <c r="T787" s="934"/>
      <c r="U787" s="934"/>
      <c r="V787" s="934"/>
      <c r="W787" s="934"/>
      <c r="X787" s="934"/>
      <c r="Y787" s="934"/>
      <c r="Z787" s="934"/>
    </row>
    <row r="788" ht="15.75" customHeight="1">
      <c r="A788" s="571"/>
      <c r="B788" s="934"/>
      <c r="C788" s="934"/>
      <c r="D788" s="934"/>
      <c r="E788" s="934"/>
      <c r="F788" s="934"/>
      <c r="G788" s="571"/>
      <c r="H788" s="934"/>
      <c r="I788" s="934"/>
      <c r="J788" s="934"/>
      <c r="K788" s="934"/>
      <c r="L788" s="934"/>
      <c r="M788" s="934"/>
      <c r="N788" s="934"/>
      <c r="O788" s="934"/>
      <c r="P788" s="934"/>
      <c r="Q788" s="934"/>
      <c r="R788" s="934"/>
      <c r="S788" s="934"/>
      <c r="T788" s="934"/>
      <c r="U788" s="934"/>
      <c r="V788" s="934"/>
      <c r="W788" s="934"/>
      <c r="X788" s="934"/>
      <c r="Y788" s="934"/>
      <c r="Z788" s="934"/>
    </row>
    <row r="789" ht="15.75" customHeight="1">
      <c r="A789" s="571"/>
      <c r="B789" s="934"/>
      <c r="C789" s="934"/>
      <c r="D789" s="934"/>
      <c r="E789" s="934"/>
      <c r="F789" s="934"/>
      <c r="G789" s="571"/>
      <c r="H789" s="934"/>
      <c r="I789" s="934"/>
      <c r="J789" s="934"/>
      <c r="K789" s="934"/>
      <c r="L789" s="934"/>
      <c r="M789" s="934"/>
      <c r="N789" s="934"/>
      <c r="O789" s="934"/>
      <c r="P789" s="934"/>
      <c r="Q789" s="934"/>
      <c r="R789" s="934"/>
      <c r="S789" s="934"/>
      <c r="T789" s="934"/>
      <c r="U789" s="934"/>
      <c r="V789" s="934"/>
      <c r="W789" s="934"/>
      <c r="X789" s="934"/>
      <c r="Y789" s="934"/>
      <c r="Z789" s="934"/>
    </row>
    <row r="790" ht="15.75" customHeight="1">
      <c r="A790" s="571"/>
      <c r="B790" s="934"/>
      <c r="C790" s="934"/>
      <c r="D790" s="934"/>
      <c r="E790" s="934"/>
      <c r="F790" s="934"/>
      <c r="G790" s="571"/>
      <c r="H790" s="934"/>
      <c r="I790" s="934"/>
      <c r="J790" s="934"/>
      <c r="K790" s="934"/>
      <c r="L790" s="934"/>
      <c r="M790" s="934"/>
      <c r="N790" s="934"/>
      <c r="O790" s="934"/>
      <c r="P790" s="934"/>
      <c r="Q790" s="934"/>
      <c r="R790" s="934"/>
      <c r="S790" s="934"/>
      <c r="T790" s="934"/>
      <c r="U790" s="934"/>
      <c r="V790" s="934"/>
      <c r="W790" s="934"/>
      <c r="X790" s="934"/>
      <c r="Y790" s="934"/>
      <c r="Z790" s="934"/>
    </row>
    <row r="791" ht="15.75" customHeight="1">
      <c r="A791" s="571"/>
      <c r="B791" s="934"/>
      <c r="C791" s="934"/>
      <c r="D791" s="934"/>
      <c r="E791" s="934"/>
      <c r="F791" s="934"/>
      <c r="G791" s="571"/>
      <c r="H791" s="934"/>
      <c r="I791" s="934"/>
      <c r="J791" s="934"/>
      <c r="K791" s="934"/>
      <c r="L791" s="934"/>
      <c r="M791" s="934"/>
      <c r="N791" s="934"/>
      <c r="O791" s="934"/>
      <c r="P791" s="934"/>
      <c r="Q791" s="934"/>
      <c r="R791" s="934"/>
      <c r="S791" s="934"/>
      <c r="T791" s="934"/>
      <c r="U791" s="934"/>
      <c r="V791" s="934"/>
      <c r="W791" s="934"/>
      <c r="X791" s="934"/>
      <c r="Y791" s="934"/>
      <c r="Z791" s="934"/>
    </row>
    <row r="792" ht="15.75" customHeight="1">
      <c r="A792" s="571"/>
      <c r="B792" s="934"/>
      <c r="C792" s="934"/>
      <c r="D792" s="934"/>
      <c r="E792" s="934"/>
      <c r="F792" s="934"/>
      <c r="G792" s="571"/>
      <c r="H792" s="934"/>
      <c r="I792" s="934"/>
      <c r="J792" s="934"/>
      <c r="K792" s="934"/>
      <c r="L792" s="934"/>
      <c r="M792" s="934"/>
      <c r="N792" s="934"/>
      <c r="O792" s="934"/>
      <c r="P792" s="934"/>
      <c r="Q792" s="934"/>
      <c r="R792" s="934"/>
      <c r="S792" s="934"/>
      <c r="T792" s="934"/>
      <c r="U792" s="934"/>
      <c r="V792" s="934"/>
      <c r="W792" s="934"/>
      <c r="X792" s="934"/>
      <c r="Y792" s="934"/>
      <c r="Z792" s="934"/>
    </row>
    <row r="793" ht="15.75" customHeight="1">
      <c r="A793" s="571"/>
      <c r="B793" s="934"/>
      <c r="C793" s="934"/>
      <c r="D793" s="934"/>
      <c r="E793" s="934"/>
      <c r="F793" s="934"/>
      <c r="G793" s="571"/>
      <c r="H793" s="934"/>
      <c r="I793" s="934"/>
      <c r="J793" s="934"/>
      <c r="K793" s="934"/>
      <c r="L793" s="934"/>
      <c r="M793" s="934"/>
      <c r="N793" s="934"/>
      <c r="O793" s="934"/>
      <c r="P793" s="934"/>
      <c r="Q793" s="934"/>
      <c r="R793" s="934"/>
      <c r="S793" s="934"/>
      <c r="T793" s="934"/>
      <c r="U793" s="934"/>
      <c r="V793" s="934"/>
      <c r="W793" s="934"/>
      <c r="X793" s="934"/>
      <c r="Y793" s="934"/>
      <c r="Z793" s="934"/>
    </row>
    <row r="794" ht="15.75" customHeight="1">
      <c r="A794" s="571"/>
      <c r="B794" s="934"/>
      <c r="C794" s="934"/>
      <c r="D794" s="934"/>
      <c r="E794" s="934"/>
      <c r="F794" s="934"/>
      <c r="G794" s="571"/>
      <c r="H794" s="934"/>
      <c r="I794" s="934"/>
      <c r="J794" s="934"/>
      <c r="K794" s="934"/>
      <c r="L794" s="934"/>
      <c r="M794" s="934"/>
      <c r="N794" s="934"/>
      <c r="O794" s="934"/>
      <c r="P794" s="934"/>
      <c r="Q794" s="934"/>
      <c r="R794" s="934"/>
      <c r="S794" s="934"/>
      <c r="T794" s="934"/>
      <c r="U794" s="934"/>
      <c r="V794" s="934"/>
      <c r="W794" s="934"/>
      <c r="X794" s="934"/>
      <c r="Y794" s="934"/>
      <c r="Z794" s="934"/>
    </row>
    <row r="795" ht="15.75" customHeight="1">
      <c r="A795" s="571"/>
      <c r="B795" s="934"/>
      <c r="C795" s="934"/>
      <c r="D795" s="934"/>
      <c r="E795" s="934"/>
      <c r="F795" s="934"/>
      <c r="G795" s="571"/>
      <c r="H795" s="934"/>
      <c r="I795" s="934"/>
      <c r="J795" s="934"/>
      <c r="K795" s="934"/>
      <c r="L795" s="934"/>
      <c r="M795" s="934"/>
      <c r="N795" s="934"/>
      <c r="O795" s="934"/>
      <c r="P795" s="934"/>
      <c r="Q795" s="934"/>
      <c r="R795" s="934"/>
      <c r="S795" s="934"/>
      <c r="T795" s="934"/>
      <c r="U795" s="934"/>
      <c r="V795" s="934"/>
      <c r="W795" s="934"/>
      <c r="X795" s="934"/>
      <c r="Y795" s="934"/>
      <c r="Z795" s="934"/>
    </row>
    <row r="796" ht="15.75" customHeight="1">
      <c r="A796" s="571"/>
      <c r="B796" s="934"/>
      <c r="C796" s="934"/>
      <c r="D796" s="934"/>
      <c r="E796" s="934"/>
      <c r="F796" s="934"/>
      <c r="G796" s="571"/>
      <c r="H796" s="934"/>
      <c r="I796" s="934"/>
      <c r="J796" s="934"/>
      <c r="K796" s="934"/>
      <c r="L796" s="934"/>
      <c r="M796" s="934"/>
      <c r="N796" s="934"/>
      <c r="O796" s="934"/>
      <c r="P796" s="934"/>
      <c r="Q796" s="934"/>
      <c r="R796" s="934"/>
      <c r="S796" s="934"/>
      <c r="T796" s="934"/>
      <c r="U796" s="934"/>
      <c r="V796" s="934"/>
      <c r="W796" s="934"/>
      <c r="X796" s="934"/>
      <c r="Y796" s="934"/>
      <c r="Z796" s="934"/>
    </row>
    <row r="797" ht="15.75" customHeight="1">
      <c r="A797" s="571"/>
      <c r="B797" s="934"/>
      <c r="C797" s="934"/>
      <c r="D797" s="934"/>
      <c r="E797" s="934"/>
      <c r="F797" s="934"/>
      <c r="G797" s="571"/>
      <c r="H797" s="934"/>
      <c r="I797" s="934"/>
      <c r="J797" s="934"/>
      <c r="K797" s="934"/>
      <c r="L797" s="934"/>
      <c r="M797" s="934"/>
      <c r="N797" s="934"/>
      <c r="O797" s="934"/>
      <c r="P797" s="934"/>
      <c r="Q797" s="934"/>
      <c r="R797" s="934"/>
      <c r="S797" s="934"/>
      <c r="T797" s="934"/>
      <c r="U797" s="934"/>
      <c r="V797" s="934"/>
      <c r="W797" s="934"/>
      <c r="X797" s="934"/>
      <c r="Y797" s="934"/>
      <c r="Z797" s="934"/>
    </row>
    <row r="798" ht="15.75" customHeight="1">
      <c r="A798" s="571"/>
      <c r="B798" s="934"/>
      <c r="C798" s="934"/>
      <c r="D798" s="934"/>
      <c r="E798" s="934"/>
      <c r="F798" s="934"/>
      <c r="G798" s="571"/>
      <c r="H798" s="934"/>
      <c r="I798" s="934"/>
      <c r="J798" s="934"/>
      <c r="K798" s="934"/>
      <c r="L798" s="934"/>
      <c r="M798" s="934"/>
      <c r="N798" s="934"/>
      <c r="O798" s="934"/>
      <c r="P798" s="934"/>
      <c r="Q798" s="934"/>
      <c r="R798" s="934"/>
      <c r="S798" s="934"/>
      <c r="T798" s="934"/>
      <c r="U798" s="934"/>
      <c r="V798" s="934"/>
      <c r="W798" s="934"/>
      <c r="X798" s="934"/>
      <c r="Y798" s="934"/>
      <c r="Z798" s="934"/>
    </row>
    <row r="799" ht="15.75" customHeight="1">
      <c r="A799" s="571"/>
      <c r="B799" s="934"/>
      <c r="C799" s="934"/>
      <c r="D799" s="934"/>
      <c r="E799" s="934"/>
      <c r="F799" s="934"/>
      <c r="G799" s="571"/>
      <c r="H799" s="934"/>
      <c r="I799" s="934"/>
      <c r="J799" s="934"/>
      <c r="K799" s="934"/>
      <c r="L799" s="934"/>
      <c r="M799" s="934"/>
      <c r="N799" s="934"/>
      <c r="O799" s="934"/>
      <c r="P799" s="934"/>
      <c r="Q799" s="934"/>
      <c r="R799" s="934"/>
      <c r="S799" s="934"/>
      <c r="T799" s="934"/>
      <c r="U799" s="934"/>
      <c r="V799" s="934"/>
      <c r="W799" s="934"/>
      <c r="X799" s="934"/>
      <c r="Y799" s="934"/>
      <c r="Z799" s="934"/>
    </row>
    <row r="800" ht="15.75" customHeight="1">
      <c r="A800" s="571"/>
      <c r="B800" s="934"/>
      <c r="C800" s="934"/>
      <c r="D800" s="934"/>
      <c r="E800" s="934"/>
      <c r="F800" s="934"/>
      <c r="G800" s="571"/>
      <c r="H800" s="934"/>
      <c r="I800" s="934"/>
      <c r="J800" s="934"/>
      <c r="K800" s="934"/>
      <c r="L800" s="934"/>
      <c r="M800" s="934"/>
      <c r="N800" s="934"/>
      <c r="O800" s="934"/>
      <c r="P800" s="934"/>
      <c r="Q800" s="934"/>
      <c r="R800" s="934"/>
      <c r="S800" s="934"/>
      <c r="T800" s="934"/>
      <c r="U800" s="934"/>
      <c r="V800" s="934"/>
      <c r="W800" s="934"/>
      <c r="X800" s="934"/>
      <c r="Y800" s="934"/>
      <c r="Z800" s="934"/>
    </row>
    <row r="801" ht="15.75" customHeight="1">
      <c r="A801" s="571"/>
      <c r="B801" s="934"/>
      <c r="C801" s="934"/>
      <c r="D801" s="934"/>
      <c r="E801" s="934"/>
      <c r="F801" s="934"/>
      <c r="G801" s="571"/>
      <c r="H801" s="934"/>
      <c r="I801" s="934"/>
      <c r="J801" s="934"/>
      <c r="K801" s="934"/>
      <c r="L801" s="934"/>
      <c r="M801" s="934"/>
      <c r="N801" s="934"/>
      <c r="O801" s="934"/>
      <c r="P801" s="934"/>
      <c r="Q801" s="934"/>
      <c r="R801" s="934"/>
      <c r="S801" s="934"/>
      <c r="T801" s="934"/>
      <c r="U801" s="934"/>
      <c r="V801" s="934"/>
      <c r="W801" s="934"/>
      <c r="X801" s="934"/>
      <c r="Y801" s="934"/>
      <c r="Z801" s="934"/>
    </row>
    <row r="802" ht="15.75" customHeight="1">
      <c r="A802" s="571"/>
      <c r="B802" s="934"/>
      <c r="C802" s="934"/>
      <c r="D802" s="934"/>
      <c r="E802" s="934"/>
      <c r="F802" s="934"/>
      <c r="G802" s="571"/>
      <c r="H802" s="934"/>
      <c r="I802" s="934"/>
      <c r="J802" s="934"/>
      <c r="K802" s="934"/>
      <c r="L802" s="934"/>
      <c r="M802" s="934"/>
      <c r="N802" s="934"/>
      <c r="O802" s="934"/>
      <c r="P802" s="934"/>
      <c r="Q802" s="934"/>
      <c r="R802" s="934"/>
      <c r="S802" s="934"/>
      <c r="T802" s="934"/>
      <c r="U802" s="934"/>
      <c r="V802" s="934"/>
      <c r="W802" s="934"/>
      <c r="X802" s="934"/>
      <c r="Y802" s="934"/>
      <c r="Z802" s="934"/>
    </row>
    <row r="803" ht="15.75" customHeight="1">
      <c r="A803" s="571"/>
      <c r="B803" s="934"/>
      <c r="C803" s="934"/>
      <c r="D803" s="934"/>
      <c r="E803" s="934"/>
      <c r="F803" s="934"/>
      <c r="G803" s="571"/>
      <c r="H803" s="934"/>
      <c r="I803" s="934"/>
      <c r="J803" s="934"/>
      <c r="K803" s="934"/>
      <c r="L803" s="934"/>
      <c r="M803" s="934"/>
      <c r="N803" s="934"/>
      <c r="O803" s="934"/>
      <c r="P803" s="934"/>
      <c r="Q803" s="934"/>
      <c r="R803" s="934"/>
      <c r="S803" s="934"/>
      <c r="T803" s="934"/>
      <c r="U803" s="934"/>
      <c r="V803" s="934"/>
      <c r="W803" s="934"/>
      <c r="X803" s="934"/>
      <c r="Y803" s="934"/>
      <c r="Z803" s="934"/>
    </row>
    <row r="804" ht="15.75" customHeight="1">
      <c r="A804" s="571"/>
      <c r="B804" s="934"/>
      <c r="C804" s="934"/>
      <c r="D804" s="934"/>
      <c r="E804" s="934"/>
      <c r="F804" s="934"/>
      <c r="G804" s="571"/>
      <c r="H804" s="934"/>
      <c r="I804" s="934"/>
      <c r="J804" s="934"/>
      <c r="K804" s="934"/>
      <c r="L804" s="934"/>
      <c r="M804" s="934"/>
      <c r="N804" s="934"/>
      <c r="O804" s="934"/>
      <c r="P804" s="934"/>
      <c r="Q804" s="934"/>
      <c r="R804" s="934"/>
      <c r="S804" s="934"/>
      <c r="T804" s="934"/>
      <c r="U804" s="934"/>
      <c r="V804" s="934"/>
      <c r="W804" s="934"/>
      <c r="X804" s="934"/>
      <c r="Y804" s="934"/>
      <c r="Z804" s="934"/>
    </row>
    <row r="805" ht="15.75" customHeight="1">
      <c r="A805" s="571"/>
      <c r="B805" s="934"/>
      <c r="C805" s="934"/>
      <c r="D805" s="934"/>
      <c r="E805" s="934"/>
      <c r="F805" s="934"/>
      <c r="G805" s="571"/>
      <c r="H805" s="934"/>
      <c r="I805" s="934"/>
      <c r="J805" s="934"/>
      <c r="K805" s="934"/>
      <c r="L805" s="934"/>
      <c r="M805" s="934"/>
      <c r="N805" s="934"/>
      <c r="O805" s="934"/>
      <c r="P805" s="934"/>
      <c r="Q805" s="934"/>
      <c r="R805" s="934"/>
      <c r="S805" s="934"/>
      <c r="T805" s="934"/>
      <c r="U805" s="934"/>
      <c r="V805" s="934"/>
      <c r="W805" s="934"/>
      <c r="X805" s="934"/>
      <c r="Y805" s="934"/>
      <c r="Z805" s="934"/>
    </row>
    <row r="806" ht="15.75" customHeight="1">
      <c r="A806" s="571"/>
      <c r="B806" s="934"/>
      <c r="C806" s="934"/>
      <c r="D806" s="934"/>
      <c r="E806" s="934"/>
      <c r="F806" s="934"/>
      <c r="G806" s="571"/>
      <c r="H806" s="934"/>
      <c r="I806" s="934"/>
      <c r="J806" s="934"/>
      <c r="K806" s="934"/>
      <c r="L806" s="934"/>
      <c r="M806" s="934"/>
      <c r="N806" s="934"/>
      <c r="O806" s="934"/>
      <c r="P806" s="934"/>
      <c r="Q806" s="934"/>
      <c r="R806" s="934"/>
      <c r="S806" s="934"/>
      <c r="T806" s="934"/>
      <c r="U806" s="934"/>
      <c r="V806" s="934"/>
      <c r="W806" s="934"/>
      <c r="X806" s="934"/>
      <c r="Y806" s="934"/>
      <c r="Z806" s="934"/>
    </row>
    <row r="807" ht="15.75" customHeight="1">
      <c r="A807" s="571"/>
      <c r="B807" s="934"/>
      <c r="C807" s="934"/>
      <c r="D807" s="934"/>
      <c r="E807" s="934"/>
      <c r="F807" s="934"/>
      <c r="G807" s="571"/>
      <c r="H807" s="934"/>
      <c r="I807" s="934"/>
      <c r="J807" s="934"/>
      <c r="K807" s="934"/>
      <c r="L807" s="934"/>
      <c r="M807" s="934"/>
      <c r="N807" s="934"/>
      <c r="O807" s="934"/>
      <c r="P807" s="934"/>
      <c r="Q807" s="934"/>
      <c r="R807" s="934"/>
      <c r="S807" s="934"/>
      <c r="T807" s="934"/>
      <c r="U807" s="934"/>
      <c r="V807" s="934"/>
      <c r="W807" s="934"/>
      <c r="X807" s="934"/>
      <c r="Y807" s="934"/>
      <c r="Z807" s="934"/>
    </row>
    <row r="808" ht="15.75" customHeight="1">
      <c r="A808" s="571"/>
      <c r="B808" s="934"/>
      <c r="C808" s="934"/>
      <c r="D808" s="934"/>
      <c r="E808" s="934"/>
      <c r="F808" s="934"/>
      <c r="G808" s="571"/>
      <c r="H808" s="934"/>
      <c r="I808" s="934"/>
      <c r="J808" s="934"/>
      <c r="K808" s="934"/>
      <c r="L808" s="934"/>
      <c r="M808" s="934"/>
      <c r="N808" s="934"/>
      <c r="O808" s="934"/>
      <c r="P808" s="934"/>
      <c r="Q808" s="934"/>
      <c r="R808" s="934"/>
      <c r="S808" s="934"/>
      <c r="T808" s="934"/>
      <c r="U808" s="934"/>
      <c r="V808" s="934"/>
      <c r="W808" s="934"/>
      <c r="X808" s="934"/>
      <c r="Y808" s="934"/>
      <c r="Z808" s="934"/>
    </row>
    <row r="809" ht="15.75" customHeight="1">
      <c r="A809" s="571"/>
      <c r="B809" s="934"/>
      <c r="C809" s="934"/>
      <c r="D809" s="934"/>
      <c r="E809" s="934"/>
      <c r="F809" s="934"/>
      <c r="G809" s="571"/>
      <c r="H809" s="934"/>
      <c r="I809" s="934"/>
      <c r="J809" s="934"/>
      <c r="K809" s="934"/>
      <c r="L809" s="934"/>
      <c r="M809" s="934"/>
      <c r="N809" s="934"/>
      <c r="O809" s="934"/>
      <c r="P809" s="934"/>
      <c r="Q809" s="934"/>
      <c r="R809" s="934"/>
      <c r="S809" s="934"/>
      <c r="T809" s="934"/>
      <c r="U809" s="934"/>
      <c r="V809" s="934"/>
      <c r="W809" s="934"/>
      <c r="X809" s="934"/>
      <c r="Y809" s="934"/>
      <c r="Z809" s="934"/>
    </row>
    <row r="810" ht="15.75" customHeight="1">
      <c r="A810" s="571"/>
      <c r="B810" s="934"/>
      <c r="C810" s="934"/>
      <c r="D810" s="934"/>
      <c r="E810" s="934"/>
      <c r="F810" s="934"/>
      <c r="G810" s="571"/>
      <c r="H810" s="934"/>
      <c r="I810" s="934"/>
      <c r="J810" s="934"/>
      <c r="K810" s="934"/>
      <c r="L810" s="934"/>
      <c r="M810" s="934"/>
      <c r="N810" s="934"/>
      <c r="O810" s="934"/>
      <c r="P810" s="934"/>
      <c r="Q810" s="934"/>
      <c r="R810" s="934"/>
      <c r="S810" s="934"/>
      <c r="T810" s="934"/>
      <c r="U810" s="934"/>
      <c r="V810" s="934"/>
      <c r="W810" s="934"/>
      <c r="X810" s="934"/>
      <c r="Y810" s="934"/>
      <c r="Z810" s="934"/>
    </row>
    <row r="811" ht="15.75" customHeight="1">
      <c r="A811" s="571"/>
      <c r="B811" s="934"/>
      <c r="C811" s="934"/>
      <c r="D811" s="934"/>
      <c r="E811" s="934"/>
      <c r="F811" s="934"/>
      <c r="G811" s="571"/>
      <c r="H811" s="934"/>
      <c r="I811" s="934"/>
      <c r="J811" s="934"/>
      <c r="K811" s="934"/>
      <c r="L811" s="934"/>
      <c r="M811" s="934"/>
      <c r="N811" s="934"/>
      <c r="O811" s="934"/>
      <c r="P811" s="934"/>
      <c r="Q811" s="934"/>
      <c r="R811" s="934"/>
      <c r="S811" s="934"/>
      <c r="T811" s="934"/>
      <c r="U811" s="934"/>
      <c r="V811" s="934"/>
      <c r="W811" s="934"/>
      <c r="X811" s="934"/>
      <c r="Y811" s="934"/>
      <c r="Z811" s="934"/>
    </row>
    <row r="812" ht="15.75" customHeight="1">
      <c r="A812" s="571"/>
      <c r="B812" s="934"/>
      <c r="C812" s="934"/>
      <c r="D812" s="934"/>
      <c r="E812" s="934"/>
      <c r="F812" s="934"/>
      <c r="G812" s="571"/>
      <c r="H812" s="934"/>
      <c r="I812" s="934"/>
      <c r="J812" s="934"/>
      <c r="K812" s="934"/>
      <c r="L812" s="934"/>
      <c r="M812" s="934"/>
      <c r="N812" s="934"/>
      <c r="O812" s="934"/>
      <c r="P812" s="934"/>
      <c r="Q812" s="934"/>
      <c r="R812" s="934"/>
      <c r="S812" s="934"/>
      <c r="T812" s="934"/>
      <c r="U812" s="934"/>
      <c r="V812" s="934"/>
      <c r="W812" s="934"/>
      <c r="X812" s="934"/>
      <c r="Y812" s="934"/>
      <c r="Z812" s="934"/>
    </row>
    <row r="813" ht="15.75" customHeight="1">
      <c r="A813" s="571"/>
      <c r="B813" s="934"/>
      <c r="C813" s="934"/>
      <c r="D813" s="934"/>
      <c r="E813" s="934"/>
      <c r="F813" s="934"/>
      <c r="G813" s="571"/>
      <c r="H813" s="934"/>
      <c r="I813" s="934"/>
      <c r="J813" s="934"/>
      <c r="K813" s="934"/>
      <c r="L813" s="934"/>
      <c r="M813" s="934"/>
      <c r="N813" s="934"/>
      <c r="O813" s="934"/>
      <c r="P813" s="934"/>
      <c r="Q813" s="934"/>
      <c r="R813" s="934"/>
      <c r="S813" s="934"/>
      <c r="T813" s="934"/>
      <c r="U813" s="934"/>
      <c r="V813" s="934"/>
      <c r="W813" s="934"/>
      <c r="X813" s="934"/>
      <c r="Y813" s="934"/>
      <c r="Z813" s="934"/>
    </row>
    <row r="814" ht="15.75" customHeight="1">
      <c r="A814" s="571"/>
      <c r="B814" s="934"/>
      <c r="C814" s="934"/>
      <c r="D814" s="934"/>
      <c r="E814" s="934"/>
      <c r="F814" s="934"/>
      <c r="G814" s="571"/>
      <c r="H814" s="934"/>
      <c r="I814" s="934"/>
      <c r="J814" s="934"/>
      <c r="K814" s="934"/>
      <c r="L814" s="934"/>
      <c r="M814" s="934"/>
      <c r="N814" s="934"/>
      <c r="O814" s="934"/>
      <c r="P814" s="934"/>
      <c r="Q814" s="934"/>
      <c r="R814" s="934"/>
      <c r="S814" s="934"/>
      <c r="T814" s="934"/>
      <c r="U814" s="934"/>
      <c r="V814" s="934"/>
      <c r="W814" s="934"/>
      <c r="X814" s="934"/>
      <c r="Y814" s="934"/>
      <c r="Z814" s="934"/>
    </row>
    <row r="815" ht="15.75" customHeight="1">
      <c r="A815" s="571"/>
      <c r="B815" s="934"/>
      <c r="C815" s="934"/>
      <c r="D815" s="934"/>
      <c r="E815" s="934"/>
      <c r="F815" s="934"/>
      <c r="G815" s="571"/>
      <c r="H815" s="934"/>
      <c r="I815" s="934"/>
      <c r="J815" s="934"/>
      <c r="K815" s="934"/>
      <c r="L815" s="934"/>
      <c r="M815" s="934"/>
      <c r="N815" s="934"/>
      <c r="O815" s="934"/>
      <c r="P815" s="934"/>
      <c r="Q815" s="934"/>
      <c r="R815" s="934"/>
      <c r="S815" s="934"/>
      <c r="T815" s="934"/>
      <c r="U815" s="934"/>
      <c r="V815" s="934"/>
      <c r="W815" s="934"/>
      <c r="X815" s="934"/>
      <c r="Y815" s="934"/>
      <c r="Z815" s="934"/>
    </row>
    <row r="816" ht="15.75" customHeight="1">
      <c r="A816" s="571"/>
      <c r="B816" s="934"/>
      <c r="C816" s="934"/>
      <c r="D816" s="934"/>
      <c r="E816" s="934"/>
      <c r="F816" s="934"/>
      <c r="G816" s="571"/>
      <c r="H816" s="934"/>
      <c r="I816" s="934"/>
      <c r="J816" s="934"/>
      <c r="K816" s="934"/>
      <c r="L816" s="934"/>
      <c r="M816" s="934"/>
      <c r="N816" s="934"/>
      <c r="O816" s="934"/>
      <c r="P816" s="934"/>
      <c r="Q816" s="934"/>
      <c r="R816" s="934"/>
      <c r="S816" s="934"/>
      <c r="T816" s="934"/>
      <c r="U816" s="934"/>
      <c r="V816" s="934"/>
      <c r="W816" s="934"/>
      <c r="X816" s="934"/>
      <c r="Y816" s="934"/>
      <c r="Z816" s="934"/>
    </row>
    <row r="817" ht="15.75" customHeight="1">
      <c r="A817" s="571"/>
      <c r="B817" s="934"/>
      <c r="C817" s="934"/>
      <c r="D817" s="934"/>
      <c r="E817" s="934"/>
      <c r="F817" s="934"/>
      <c r="G817" s="571"/>
      <c r="H817" s="934"/>
      <c r="I817" s="934"/>
      <c r="J817" s="934"/>
      <c r="K817" s="934"/>
      <c r="L817" s="934"/>
      <c r="M817" s="934"/>
      <c r="N817" s="934"/>
      <c r="O817" s="934"/>
      <c r="P817" s="934"/>
      <c r="Q817" s="934"/>
      <c r="R817" s="934"/>
      <c r="S817" s="934"/>
      <c r="T817" s="934"/>
      <c r="U817" s="934"/>
      <c r="V817" s="934"/>
      <c r="W817" s="934"/>
      <c r="X817" s="934"/>
      <c r="Y817" s="934"/>
      <c r="Z817" s="934"/>
    </row>
    <row r="818" ht="15.75" customHeight="1">
      <c r="A818" s="571"/>
      <c r="B818" s="934"/>
      <c r="C818" s="934"/>
      <c r="D818" s="934"/>
      <c r="E818" s="934"/>
      <c r="F818" s="934"/>
      <c r="G818" s="571"/>
      <c r="H818" s="934"/>
      <c r="I818" s="934"/>
      <c r="J818" s="934"/>
      <c r="K818" s="934"/>
      <c r="L818" s="934"/>
      <c r="M818" s="934"/>
      <c r="N818" s="934"/>
      <c r="O818" s="934"/>
      <c r="P818" s="934"/>
      <c r="Q818" s="934"/>
      <c r="R818" s="934"/>
      <c r="S818" s="934"/>
      <c r="T818" s="934"/>
      <c r="U818" s="934"/>
      <c r="V818" s="934"/>
      <c r="W818" s="934"/>
      <c r="X818" s="934"/>
      <c r="Y818" s="934"/>
      <c r="Z818" s="934"/>
    </row>
    <row r="819" ht="15.75" customHeight="1">
      <c r="A819" s="571"/>
      <c r="B819" s="934"/>
      <c r="C819" s="934"/>
      <c r="D819" s="934"/>
      <c r="E819" s="934"/>
      <c r="F819" s="934"/>
      <c r="G819" s="571"/>
      <c r="H819" s="934"/>
      <c r="I819" s="934"/>
      <c r="J819" s="934"/>
      <c r="K819" s="934"/>
      <c r="L819" s="934"/>
      <c r="M819" s="934"/>
      <c r="N819" s="934"/>
      <c r="O819" s="934"/>
      <c r="P819" s="934"/>
      <c r="Q819" s="934"/>
      <c r="R819" s="934"/>
      <c r="S819" s="934"/>
      <c r="T819" s="934"/>
      <c r="U819" s="934"/>
      <c r="V819" s="934"/>
      <c r="W819" s="934"/>
      <c r="X819" s="934"/>
      <c r="Y819" s="934"/>
      <c r="Z819" s="934"/>
    </row>
    <row r="820" ht="15.75" customHeight="1">
      <c r="A820" s="571"/>
      <c r="B820" s="934"/>
      <c r="C820" s="934"/>
      <c r="D820" s="934"/>
      <c r="E820" s="934"/>
      <c r="F820" s="934"/>
      <c r="G820" s="571"/>
      <c r="H820" s="934"/>
      <c r="I820" s="934"/>
      <c r="J820" s="934"/>
      <c r="K820" s="934"/>
      <c r="L820" s="934"/>
      <c r="M820" s="934"/>
      <c r="N820" s="934"/>
      <c r="O820" s="934"/>
      <c r="P820" s="934"/>
      <c r="Q820" s="934"/>
      <c r="R820" s="934"/>
      <c r="S820" s="934"/>
      <c r="T820" s="934"/>
      <c r="U820" s="934"/>
      <c r="V820" s="934"/>
      <c r="W820" s="934"/>
      <c r="X820" s="934"/>
      <c r="Y820" s="934"/>
      <c r="Z820" s="934"/>
    </row>
    <row r="821" ht="15.75" customHeight="1">
      <c r="A821" s="571"/>
      <c r="B821" s="934"/>
      <c r="C821" s="934"/>
      <c r="D821" s="934"/>
      <c r="E821" s="934"/>
      <c r="F821" s="934"/>
      <c r="G821" s="571"/>
      <c r="H821" s="934"/>
      <c r="I821" s="934"/>
      <c r="J821" s="934"/>
      <c r="K821" s="934"/>
      <c r="L821" s="934"/>
      <c r="M821" s="934"/>
      <c r="N821" s="934"/>
      <c r="O821" s="934"/>
      <c r="P821" s="934"/>
      <c r="Q821" s="934"/>
      <c r="R821" s="934"/>
      <c r="S821" s="934"/>
      <c r="T821" s="934"/>
      <c r="U821" s="934"/>
      <c r="V821" s="934"/>
      <c r="W821" s="934"/>
      <c r="X821" s="934"/>
      <c r="Y821" s="934"/>
      <c r="Z821" s="934"/>
    </row>
    <row r="822" ht="15.75" customHeight="1">
      <c r="A822" s="571"/>
      <c r="B822" s="934"/>
      <c r="C822" s="934"/>
      <c r="D822" s="934"/>
      <c r="E822" s="934"/>
      <c r="F822" s="934"/>
      <c r="G822" s="571"/>
      <c r="H822" s="934"/>
      <c r="I822" s="934"/>
      <c r="J822" s="934"/>
      <c r="K822" s="934"/>
      <c r="L822" s="934"/>
      <c r="M822" s="934"/>
      <c r="N822" s="934"/>
      <c r="O822" s="934"/>
      <c r="P822" s="934"/>
      <c r="Q822" s="934"/>
      <c r="R822" s="934"/>
      <c r="S822" s="934"/>
      <c r="T822" s="934"/>
      <c r="U822" s="934"/>
      <c r="V822" s="934"/>
      <c r="W822" s="934"/>
      <c r="X822" s="934"/>
      <c r="Y822" s="934"/>
      <c r="Z822" s="934"/>
    </row>
    <row r="823" ht="15.75" customHeight="1">
      <c r="A823" s="571"/>
      <c r="B823" s="934"/>
      <c r="C823" s="934"/>
      <c r="D823" s="934"/>
      <c r="E823" s="934"/>
      <c r="F823" s="934"/>
      <c r="G823" s="571"/>
      <c r="H823" s="934"/>
      <c r="I823" s="934"/>
      <c r="J823" s="934"/>
      <c r="K823" s="934"/>
      <c r="L823" s="934"/>
      <c r="M823" s="934"/>
      <c r="N823" s="934"/>
      <c r="O823" s="934"/>
      <c r="P823" s="934"/>
      <c r="Q823" s="934"/>
      <c r="R823" s="934"/>
      <c r="S823" s="934"/>
      <c r="T823" s="934"/>
      <c r="U823" s="934"/>
      <c r="V823" s="934"/>
      <c r="W823" s="934"/>
      <c r="X823" s="934"/>
      <c r="Y823" s="934"/>
      <c r="Z823" s="934"/>
    </row>
    <row r="824" ht="15.75" customHeight="1">
      <c r="A824" s="571"/>
      <c r="B824" s="934"/>
      <c r="C824" s="934"/>
      <c r="D824" s="934"/>
      <c r="E824" s="934"/>
      <c r="F824" s="934"/>
      <c r="G824" s="571"/>
      <c r="H824" s="934"/>
      <c r="I824" s="934"/>
      <c r="J824" s="934"/>
      <c r="K824" s="934"/>
      <c r="L824" s="934"/>
      <c r="M824" s="934"/>
      <c r="N824" s="934"/>
      <c r="O824" s="934"/>
      <c r="P824" s="934"/>
      <c r="Q824" s="934"/>
      <c r="R824" s="934"/>
      <c r="S824" s="934"/>
      <c r="T824" s="934"/>
      <c r="U824" s="934"/>
      <c r="V824" s="934"/>
      <c r="W824" s="934"/>
      <c r="X824" s="934"/>
      <c r="Y824" s="934"/>
      <c r="Z824" s="934"/>
    </row>
    <row r="825" ht="15.75" customHeight="1">
      <c r="A825" s="571"/>
      <c r="B825" s="934"/>
      <c r="C825" s="934"/>
      <c r="D825" s="934"/>
      <c r="E825" s="934"/>
      <c r="F825" s="934"/>
      <c r="G825" s="571"/>
      <c r="H825" s="934"/>
      <c r="I825" s="934"/>
      <c r="J825" s="934"/>
      <c r="K825" s="934"/>
      <c r="L825" s="934"/>
      <c r="M825" s="934"/>
      <c r="N825" s="934"/>
      <c r="O825" s="934"/>
      <c r="P825" s="934"/>
      <c r="Q825" s="934"/>
      <c r="R825" s="934"/>
      <c r="S825" s="934"/>
      <c r="T825" s="934"/>
      <c r="U825" s="934"/>
      <c r="V825" s="934"/>
      <c r="W825" s="934"/>
      <c r="X825" s="934"/>
      <c r="Y825" s="934"/>
      <c r="Z825" s="934"/>
    </row>
    <row r="826" ht="15.75" customHeight="1">
      <c r="A826" s="571"/>
      <c r="B826" s="934"/>
      <c r="C826" s="934"/>
      <c r="D826" s="934"/>
      <c r="E826" s="934"/>
      <c r="F826" s="934"/>
      <c r="G826" s="571"/>
      <c r="H826" s="934"/>
      <c r="I826" s="934"/>
      <c r="J826" s="934"/>
      <c r="K826" s="934"/>
      <c r="L826" s="934"/>
      <c r="M826" s="934"/>
      <c r="N826" s="934"/>
      <c r="O826" s="934"/>
      <c r="P826" s="934"/>
      <c r="Q826" s="934"/>
      <c r="R826" s="934"/>
      <c r="S826" s="934"/>
      <c r="T826" s="934"/>
      <c r="U826" s="934"/>
      <c r="V826" s="934"/>
      <c r="W826" s="934"/>
      <c r="X826" s="934"/>
      <c r="Y826" s="934"/>
      <c r="Z826" s="934"/>
    </row>
    <row r="827" ht="15.75" customHeight="1">
      <c r="A827" s="571"/>
      <c r="B827" s="934"/>
      <c r="C827" s="934"/>
      <c r="D827" s="934"/>
      <c r="E827" s="934"/>
      <c r="F827" s="934"/>
      <c r="G827" s="571"/>
      <c r="H827" s="934"/>
      <c r="I827" s="934"/>
      <c r="J827" s="934"/>
      <c r="K827" s="934"/>
      <c r="L827" s="934"/>
      <c r="M827" s="934"/>
      <c r="N827" s="934"/>
      <c r="O827" s="934"/>
      <c r="P827" s="934"/>
      <c r="Q827" s="934"/>
      <c r="R827" s="934"/>
      <c r="S827" s="934"/>
      <c r="T827" s="934"/>
      <c r="U827" s="934"/>
      <c r="V827" s="934"/>
      <c r="W827" s="934"/>
      <c r="X827" s="934"/>
      <c r="Y827" s="934"/>
      <c r="Z827" s="934"/>
    </row>
    <row r="828" ht="15.75" customHeight="1">
      <c r="A828" s="571"/>
      <c r="B828" s="934"/>
      <c r="C828" s="934"/>
      <c r="D828" s="934"/>
      <c r="E828" s="934"/>
      <c r="F828" s="934"/>
      <c r="G828" s="571"/>
      <c r="H828" s="934"/>
      <c r="I828" s="934"/>
      <c r="J828" s="934"/>
      <c r="K828" s="934"/>
      <c r="L828" s="934"/>
      <c r="M828" s="934"/>
      <c r="N828" s="934"/>
      <c r="O828" s="934"/>
      <c r="P828" s="934"/>
      <c r="Q828" s="934"/>
      <c r="R828" s="934"/>
      <c r="S828" s="934"/>
      <c r="T828" s="934"/>
      <c r="U828" s="934"/>
      <c r="V828" s="934"/>
      <c r="W828" s="934"/>
      <c r="X828" s="934"/>
      <c r="Y828" s="934"/>
      <c r="Z828" s="934"/>
    </row>
    <row r="829" ht="15.75" customHeight="1">
      <c r="A829" s="571"/>
      <c r="B829" s="934"/>
      <c r="C829" s="934"/>
      <c r="D829" s="934"/>
      <c r="E829" s="934"/>
      <c r="F829" s="934"/>
      <c r="G829" s="571"/>
      <c r="H829" s="934"/>
      <c r="I829" s="934"/>
      <c r="J829" s="934"/>
      <c r="K829" s="934"/>
      <c r="L829" s="934"/>
      <c r="M829" s="934"/>
      <c r="N829" s="934"/>
      <c r="O829" s="934"/>
      <c r="P829" s="934"/>
      <c r="Q829" s="934"/>
      <c r="R829" s="934"/>
      <c r="S829" s="934"/>
      <c r="T829" s="934"/>
      <c r="U829" s="934"/>
      <c r="V829" s="934"/>
      <c r="W829" s="934"/>
      <c r="X829" s="934"/>
      <c r="Y829" s="934"/>
      <c r="Z829" s="934"/>
    </row>
    <row r="830" ht="15.75" customHeight="1">
      <c r="A830" s="571"/>
      <c r="B830" s="934"/>
      <c r="C830" s="934"/>
      <c r="D830" s="934"/>
      <c r="E830" s="934"/>
      <c r="F830" s="934"/>
      <c r="G830" s="571"/>
      <c r="H830" s="934"/>
      <c r="I830" s="934"/>
      <c r="J830" s="934"/>
      <c r="K830" s="934"/>
      <c r="L830" s="934"/>
      <c r="M830" s="934"/>
      <c r="N830" s="934"/>
      <c r="O830" s="934"/>
      <c r="P830" s="934"/>
      <c r="Q830" s="934"/>
      <c r="R830" s="934"/>
      <c r="S830" s="934"/>
      <c r="T830" s="934"/>
      <c r="U830" s="934"/>
      <c r="V830" s="934"/>
      <c r="W830" s="934"/>
      <c r="X830" s="934"/>
      <c r="Y830" s="934"/>
      <c r="Z830" s="934"/>
    </row>
    <row r="831" ht="15.75" customHeight="1">
      <c r="A831" s="571"/>
      <c r="B831" s="934"/>
      <c r="C831" s="934"/>
      <c r="D831" s="934"/>
      <c r="E831" s="934"/>
      <c r="F831" s="934"/>
      <c r="G831" s="571"/>
      <c r="H831" s="934"/>
      <c r="I831" s="934"/>
      <c r="J831" s="934"/>
      <c r="K831" s="934"/>
      <c r="L831" s="934"/>
      <c r="M831" s="934"/>
      <c r="N831" s="934"/>
      <c r="O831" s="934"/>
      <c r="P831" s="934"/>
      <c r="Q831" s="934"/>
      <c r="R831" s="934"/>
      <c r="S831" s="934"/>
      <c r="T831" s="934"/>
      <c r="U831" s="934"/>
      <c r="V831" s="934"/>
      <c r="W831" s="934"/>
      <c r="X831" s="934"/>
      <c r="Y831" s="934"/>
      <c r="Z831" s="934"/>
    </row>
    <row r="832" ht="15.75" customHeight="1">
      <c r="A832" s="571"/>
      <c r="B832" s="934"/>
      <c r="C832" s="934"/>
      <c r="D832" s="934"/>
      <c r="E832" s="934"/>
      <c r="F832" s="934"/>
      <c r="G832" s="571"/>
      <c r="H832" s="934"/>
      <c r="I832" s="934"/>
      <c r="J832" s="934"/>
      <c r="K832" s="934"/>
      <c r="L832" s="934"/>
      <c r="M832" s="934"/>
      <c r="N832" s="934"/>
      <c r="O832" s="934"/>
      <c r="P832" s="934"/>
      <c r="Q832" s="934"/>
      <c r="R832" s="934"/>
      <c r="S832" s="934"/>
      <c r="T832" s="934"/>
      <c r="U832" s="934"/>
      <c r="V832" s="934"/>
      <c r="W832" s="934"/>
      <c r="X832" s="934"/>
      <c r="Y832" s="934"/>
      <c r="Z832" s="934"/>
    </row>
    <row r="833" ht="15.75" customHeight="1">
      <c r="A833" s="571"/>
      <c r="B833" s="934"/>
      <c r="C833" s="934"/>
      <c r="D833" s="934"/>
      <c r="E833" s="934"/>
      <c r="F833" s="934"/>
      <c r="G833" s="571"/>
      <c r="H833" s="934"/>
      <c r="I833" s="934"/>
      <c r="J833" s="934"/>
      <c r="K833" s="934"/>
      <c r="L833" s="934"/>
      <c r="M833" s="934"/>
      <c r="N833" s="934"/>
      <c r="O833" s="934"/>
      <c r="P833" s="934"/>
      <c r="Q833" s="934"/>
      <c r="R833" s="934"/>
      <c r="S833" s="934"/>
      <c r="T833" s="934"/>
      <c r="U833" s="934"/>
      <c r="V833" s="934"/>
      <c r="W833" s="934"/>
      <c r="X833" s="934"/>
      <c r="Y833" s="934"/>
      <c r="Z833" s="934"/>
    </row>
    <row r="834" ht="15.75" customHeight="1">
      <c r="A834" s="571"/>
      <c r="B834" s="934"/>
      <c r="C834" s="934"/>
      <c r="D834" s="934"/>
      <c r="E834" s="934"/>
      <c r="F834" s="934"/>
      <c r="G834" s="571"/>
      <c r="H834" s="934"/>
      <c r="I834" s="934"/>
      <c r="J834" s="934"/>
      <c r="K834" s="934"/>
      <c r="L834" s="934"/>
      <c r="M834" s="934"/>
      <c r="N834" s="934"/>
      <c r="O834" s="934"/>
      <c r="P834" s="934"/>
      <c r="Q834" s="934"/>
      <c r="R834" s="934"/>
      <c r="S834" s="934"/>
      <c r="T834" s="934"/>
      <c r="U834" s="934"/>
      <c r="V834" s="934"/>
      <c r="W834" s="934"/>
      <c r="X834" s="934"/>
      <c r="Y834" s="934"/>
      <c r="Z834" s="934"/>
    </row>
    <row r="835" ht="15.75" customHeight="1">
      <c r="A835" s="571"/>
      <c r="B835" s="934"/>
      <c r="C835" s="934"/>
      <c r="D835" s="934"/>
      <c r="E835" s="934"/>
      <c r="F835" s="934"/>
      <c r="G835" s="571"/>
      <c r="H835" s="934"/>
      <c r="I835" s="934"/>
      <c r="J835" s="934"/>
      <c r="K835" s="934"/>
      <c r="L835" s="934"/>
      <c r="M835" s="934"/>
      <c r="N835" s="934"/>
      <c r="O835" s="934"/>
      <c r="P835" s="934"/>
      <c r="Q835" s="934"/>
      <c r="R835" s="934"/>
      <c r="S835" s="934"/>
      <c r="T835" s="934"/>
      <c r="U835" s="934"/>
      <c r="V835" s="934"/>
      <c r="W835" s="934"/>
      <c r="X835" s="934"/>
      <c r="Y835" s="934"/>
      <c r="Z835" s="934"/>
    </row>
    <row r="836" ht="15.75" customHeight="1">
      <c r="A836" s="571"/>
      <c r="B836" s="934"/>
      <c r="C836" s="934"/>
      <c r="D836" s="934"/>
      <c r="E836" s="934"/>
      <c r="F836" s="934"/>
      <c r="G836" s="571"/>
      <c r="H836" s="934"/>
      <c r="I836" s="934"/>
      <c r="J836" s="934"/>
      <c r="K836" s="934"/>
      <c r="L836" s="934"/>
      <c r="M836" s="934"/>
      <c r="N836" s="934"/>
      <c r="O836" s="934"/>
      <c r="P836" s="934"/>
      <c r="Q836" s="934"/>
      <c r="R836" s="934"/>
      <c r="S836" s="934"/>
      <c r="T836" s="934"/>
      <c r="U836" s="934"/>
      <c r="V836" s="934"/>
      <c r="W836" s="934"/>
      <c r="X836" s="934"/>
      <c r="Y836" s="934"/>
      <c r="Z836" s="934"/>
    </row>
    <row r="837" ht="15.75" customHeight="1">
      <c r="A837" s="571"/>
      <c r="B837" s="934"/>
      <c r="C837" s="934"/>
      <c r="D837" s="934"/>
      <c r="E837" s="934"/>
      <c r="F837" s="934"/>
      <c r="G837" s="571"/>
      <c r="H837" s="934"/>
      <c r="I837" s="934"/>
      <c r="J837" s="934"/>
      <c r="K837" s="934"/>
      <c r="L837" s="934"/>
      <c r="M837" s="934"/>
      <c r="N837" s="934"/>
      <c r="O837" s="934"/>
      <c r="P837" s="934"/>
      <c r="Q837" s="934"/>
      <c r="R837" s="934"/>
      <c r="S837" s="934"/>
      <c r="T837" s="934"/>
      <c r="U837" s="934"/>
      <c r="V837" s="934"/>
      <c r="W837" s="934"/>
      <c r="X837" s="934"/>
      <c r="Y837" s="934"/>
      <c r="Z837" s="934"/>
    </row>
    <row r="838" ht="15.75" customHeight="1">
      <c r="A838" s="571"/>
      <c r="B838" s="934"/>
      <c r="C838" s="934"/>
      <c r="D838" s="934"/>
      <c r="E838" s="934"/>
      <c r="F838" s="934"/>
      <c r="G838" s="571"/>
      <c r="H838" s="934"/>
      <c r="I838" s="934"/>
      <c r="J838" s="934"/>
      <c r="K838" s="934"/>
      <c r="L838" s="934"/>
      <c r="M838" s="934"/>
      <c r="N838" s="934"/>
      <c r="O838" s="934"/>
      <c r="P838" s="934"/>
      <c r="Q838" s="934"/>
      <c r="R838" s="934"/>
      <c r="S838" s="934"/>
      <c r="T838" s="934"/>
      <c r="U838" s="934"/>
      <c r="V838" s="934"/>
      <c r="W838" s="934"/>
      <c r="X838" s="934"/>
      <c r="Y838" s="934"/>
      <c r="Z838" s="934"/>
    </row>
    <row r="839" ht="15.75" customHeight="1">
      <c r="A839" s="571"/>
      <c r="B839" s="934"/>
      <c r="C839" s="934"/>
      <c r="D839" s="934"/>
      <c r="E839" s="934"/>
      <c r="F839" s="934"/>
      <c r="G839" s="571"/>
      <c r="H839" s="934"/>
      <c r="I839" s="934"/>
      <c r="J839" s="934"/>
      <c r="K839" s="934"/>
      <c r="L839" s="934"/>
      <c r="M839" s="934"/>
      <c r="N839" s="934"/>
      <c r="O839" s="934"/>
      <c r="P839" s="934"/>
      <c r="Q839" s="934"/>
      <c r="R839" s="934"/>
      <c r="S839" s="934"/>
      <c r="T839" s="934"/>
      <c r="U839" s="934"/>
      <c r="V839" s="934"/>
      <c r="W839" s="934"/>
      <c r="X839" s="934"/>
      <c r="Y839" s="934"/>
      <c r="Z839" s="934"/>
    </row>
    <row r="840" ht="15.75" customHeight="1">
      <c r="A840" s="571"/>
      <c r="B840" s="934"/>
      <c r="C840" s="934"/>
      <c r="D840" s="934"/>
      <c r="E840" s="934"/>
      <c r="F840" s="934"/>
      <c r="G840" s="571"/>
      <c r="H840" s="934"/>
      <c r="I840" s="934"/>
      <c r="J840" s="934"/>
      <c r="K840" s="934"/>
      <c r="L840" s="934"/>
      <c r="M840" s="934"/>
      <c r="N840" s="934"/>
      <c r="O840" s="934"/>
      <c r="P840" s="934"/>
      <c r="Q840" s="934"/>
      <c r="R840" s="934"/>
      <c r="S840" s="934"/>
      <c r="T840" s="934"/>
      <c r="U840" s="934"/>
      <c r="V840" s="934"/>
      <c r="W840" s="934"/>
      <c r="X840" s="934"/>
      <c r="Y840" s="934"/>
      <c r="Z840" s="934"/>
    </row>
    <row r="841" ht="15.75" customHeight="1">
      <c r="A841" s="571"/>
      <c r="B841" s="934"/>
      <c r="C841" s="934"/>
      <c r="D841" s="934"/>
      <c r="E841" s="934"/>
      <c r="F841" s="934"/>
      <c r="G841" s="571"/>
      <c r="H841" s="934"/>
      <c r="I841" s="934"/>
      <c r="J841" s="934"/>
      <c r="K841" s="934"/>
      <c r="L841" s="934"/>
      <c r="M841" s="934"/>
      <c r="N841" s="934"/>
      <c r="O841" s="934"/>
      <c r="P841" s="934"/>
      <c r="Q841" s="934"/>
      <c r="R841" s="934"/>
      <c r="S841" s="934"/>
      <c r="T841" s="934"/>
      <c r="U841" s="934"/>
      <c r="V841" s="934"/>
      <c r="W841" s="934"/>
      <c r="X841" s="934"/>
      <c r="Y841" s="934"/>
      <c r="Z841" s="934"/>
    </row>
    <row r="842" ht="15.75" customHeight="1">
      <c r="A842" s="571"/>
      <c r="B842" s="934"/>
      <c r="C842" s="934"/>
      <c r="D842" s="934"/>
      <c r="E842" s="934"/>
      <c r="F842" s="934"/>
      <c r="G842" s="571"/>
      <c r="H842" s="934"/>
      <c r="I842" s="934"/>
      <c r="J842" s="934"/>
      <c r="K842" s="934"/>
      <c r="L842" s="934"/>
      <c r="M842" s="934"/>
      <c r="N842" s="934"/>
      <c r="O842" s="934"/>
      <c r="P842" s="934"/>
      <c r="Q842" s="934"/>
      <c r="R842" s="934"/>
      <c r="S842" s="934"/>
      <c r="T842" s="934"/>
      <c r="U842" s="934"/>
      <c r="V842" s="934"/>
      <c r="W842" s="934"/>
      <c r="X842" s="934"/>
      <c r="Y842" s="934"/>
      <c r="Z842" s="934"/>
    </row>
    <row r="843" ht="15.75" customHeight="1">
      <c r="A843" s="571"/>
      <c r="B843" s="934"/>
      <c r="C843" s="934"/>
      <c r="D843" s="934"/>
      <c r="E843" s="934"/>
      <c r="F843" s="934"/>
      <c r="G843" s="571"/>
      <c r="H843" s="934"/>
      <c r="I843" s="934"/>
      <c r="J843" s="934"/>
      <c r="K843" s="934"/>
      <c r="L843" s="934"/>
      <c r="M843" s="934"/>
      <c r="N843" s="934"/>
      <c r="O843" s="934"/>
      <c r="P843" s="934"/>
      <c r="Q843" s="934"/>
      <c r="R843" s="934"/>
      <c r="S843" s="934"/>
      <c r="T843" s="934"/>
      <c r="U843" s="934"/>
      <c r="V843" s="934"/>
      <c r="W843" s="934"/>
      <c r="X843" s="934"/>
      <c r="Y843" s="934"/>
      <c r="Z843" s="934"/>
    </row>
    <row r="844" ht="15.75" customHeight="1">
      <c r="A844" s="571"/>
      <c r="B844" s="934"/>
      <c r="C844" s="934"/>
      <c r="D844" s="934"/>
      <c r="E844" s="934"/>
      <c r="F844" s="934"/>
      <c r="G844" s="571"/>
      <c r="H844" s="934"/>
      <c r="I844" s="934"/>
      <c r="J844" s="934"/>
      <c r="K844" s="934"/>
      <c r="L844" s="934"/>
      <c r="M844" s="934"/>
      <c r="N844" s="934"/>
      <c r="O844" s="934"/>
      <c r="P844" s="934"/>
      <c r="Q844" s="934"/>
      <c r="R844" s="934"/>
      <c r="S844" s="934"/>
      <c r="T844" s="934"/>
      <c r="U844" s="934"/>
      <c r="V844" s="934"/>
      <c r="W844" s="934"/>
      <c r="X844" s="934"/>
      <c r="Y844" s="934"/>
      <c r="Z844" s="934"/>
    </row>
    <row r="845" ht="15.75" customHeight="1">
      <c r="A845" s="571"/>
      <c r="B845" s="934"/>
      <c r="C845" s="934"/>
      <c r="D845" s="934"/>
      <c r="E845" s="934"/>
      <c r="F845" s="934"/>
      <c r="G845" s="571"/>
      <c r="H845" s="934"/>
      <c r="I845" s="934"/>
      <c r="J845" s="934"/>
      <c r="K845" s="934"/>
      <c r="L845" s="934"/>
      <c r="M845" s="934"/>
      <c r="N845" s="934"/>
      <c r="O845" s="934"/>
      <c r="P845" s="934"/>
      <c r="Q845" s="934"/>
      <c r="R845" s="934"/>
      <c r="S845" s="934"/>
      <c r="T845" s="934"/>
      <c r="U845" s="934"/>
      <c r="V845" s="934"/>
      <c r="W845" s="934"/>
      <c r="X845" s="934"/>
      <c r="Y845" s="934"/>
      <c r="Z845" s="934"/>
    </row>
    <row r="846" ht="15.75" customHeight="1">
      <c r="A846" s="571"/>
      <c r="B846" s="934"/>
      <c r="C846" s="934"/>
      <c r="D846" s="934"/>
      <c r="E846" s="934"/>
      <c r="F846" s="934"/>
      <c r="G846" s="571"/>
      <c r="H846" s="934"/>
      <c r="I846" s="934"/>
      <c r="J846" s="934"/>
      <c r="K846" s="934"/>
      <c r="L846" s="934"/>
      <c r="M846" s="934"/>
      <c r="N846" s="934"/>
      <c r="O846" s="934"/>
      <c r="P846" s="934"/>
      <c r="Q846" s="934"/>
      <c r="R846" s="934"/>
      <c r="S846" s="934"/>
      <c r="T846" s="934"/>
      <c r="U846" s="934"/>
      <c r="V846" s="934"/>
      <c r="W846" s="934"/>
      <c r="X846" s="934"/>
      <c r="Y846" s="934"/>
      <c r="Z846" s="934"/>
    </row>
    <row r="847" ht="15.75" customHeight="1">
      <c r="A847" s="571"/>
      <c r="B847" s="934"/>
      <c r="C847" s="934"/>
      <c r="D847" s="934"/>
      <c r="E847" s="934"/>
      <c r="F847" s="934"/>
      <c r="G847" s="571"/>
      <c r="H847" s="934"/>
      <c r="I847" s="934"/>
      <c r="J847" s="934"/>
      <c r="K847" s="934"/>
      <c r="L847" s="934"/>
      <c r="M847" s="934"/>
      <c r="N847" s="934"/>
      <c r="O847" s="934"/>
      <c r="P847" s="934"/>
      <c r="Q847" s="934"/>
      <c r="R847" s="934"/>
      <c r="S847" s="934"/>
      <c r="T847" s="934"/>
      <c r="U847" s="934"/>
      <c r="V847" s="934"/>
      <c r="W847" s="934"/>
      <c r="X847" s="934"/>
      <c r="Y847" s="934"/>
      <c r="Z847" s="934"/>
    </row>
    <row r="848" ht="15.75" customHeight="1">
      <c r="A848" s="571"/>
      <c r="B848" s="934"/>
      <c r="C848" s="934"/>
      <c r="D848" s="934"/>
      <c r="E848" s="934"/>
      <c r="F848" s="934"/>
      <c r="G848" s="571"/>
      <c r="H848" s="934"/>
      <c r="I848" s="934"/>
      <c r="J848" s="934"/>
      <c r="K848" s="934"/>
      <c r="L848" s="934"/>
      <c r="M848" s="934"/>
      <c r="N848" s="934"/>
      <c r="O848" s="934"/>
      <c r="P848" s="934"/>
      <c r="Q848" s="934"/>
      <c r="R848" s="934"/>
      <c r="S848" s="934"/>
      <c r="T848" s="934"/>
      <c r="U848" s="934"/>
      <c r="V848" s="934"/>
      <c r="W848" s="934"/>
      <c r="X848" s="934"/>
      <c r="Y848" s="934"/>
      <c r="Z848" s="934"/>
    </row>
    <row r="849" ht="15.75" customHeight="1">
      <c r="A849" s="571"/>
      <c r="B849" s="934"/>
      <c r="C849" s="934"/>
      <c r="D849" s="934"/>
      <c r="E849" s="934"/>
      <c r="F849" s="934"/>
      <c r="G849" s="571"/>
      <c r="H849" s="934"/>
      <c r="I849" s="934"/>
      <c r="J849" s="934"/>
      <c r="K849" s="934"/>
      <c r="L849" s="934"/>
      <c r="M849" s="934"/>
      <c r="N849" s="934"/>
      <c r="O849" s="934"/>
      <c r="P849" s="934"/>
      <c r="Q849" s="934"/>
      <c r="R849" s="934"/>
      <c r="S849" s="934"/>
      <c r="T849" s="934"/>
      <c r="U849" s="934"/>
      <c r="V849" s="934"/>
      <c r="W849" s="934"/>
      <c r="X849" s="934"/>
      <c r="Y849" s="934"/>
      <c r="Z849" s="934"/>
    </row>
    <row r="850" ht="15.75" customHeight="1">
      <c r="A850" s="571"/>
      <c r="B850" s="934"/>
      <c r="C850" s="934"/>
      <c r="D850" s="934"/>
      <c r="E850" s="934"/>
      <c r="F850" s="934"/>
      <c r="G850" s="571"/>
      <c r="H850" s="934"/>
      <c r="I850" s="934"/>
      <c r="J850" s="934"/>
      <c r="K850" s="934"/>
      <c r="L850" s="934"/>
      <c r="M850" s="934"/>
      <c r="N850" s="934"/>
      <c r="O850" s="934"/>
      <c r="P850" s="934"/>
      <c r="Q850" s="934"/>
      <c r="R850" s="934"/>
      <c r="S850" s="934"/>
      <c r="T850" s="934"/>
      <c r="U850" s="934"/>
      <c r="V850" s="934"/>
      <c r="W850" s="934"/>
      <c r="X850" s="934"/>
      <c r="Y850" s="934"/>
      <c r="Z850" s="934"/>
    </row>
    <row r="851" ht="15.75" customHeight="1">
      <c r="A851" s="571"/>
      <c r="B851" s="934"/>
      <c r="C851" s="934"/>
      <c r="D851" s="934"/>
      <c r="E851" s="934"/>
      <c r="F851" s="934"/>
      <c r="G851" s="571"/>
      <c r="H851" s="934"/>
      <c r="I851" s="934"/>
      <c r="J851" s="934"/>
      <c r="K851" s="934"/>
      <c r="L851" s="934"/>
      <c r="M851" s="934"/>
      <c r="N851" s="934"/>
      <c r="O851" s="934"/>
      <c r="P851" s="934"/>
      <c r="Q851" s="934"/>
      <c r="R851" s="934"/>
      <c r="S851" s="934"/>
      <c r="T851" s="934"/>
      <c r="U851" s="934"/>
      <c r="V851" s="934"/>
      <c r="W851" s="934"/>
      <c r="X851" s="934"/>
      <c r="Y851" s="934"/>
      <c r="Z851" s="934"/>
    </row>
    <row r="852" ht="15.75" customHeight="1">
      <c r="A852" s="571"/>
      <c r="B852" s="934"/>
      <c r="C852" s="934"/>
      <c r="D852" s="934"/>
      <c r="E852" s="934"/>
      <c r="F852" s="934"/>
      <c r="G852" s="571"/>
      <c r="H852" s="934"/>
      <c r="I852" s="934"/>
      <c r="J852" s="934"/>
      <c r="K852" s="934"/>
      <c r="L852" s="934"/>
      <c r="M852" s="934"/>
      <c r="N852" s="934"/>
      <c r="O852" s="934"/>
      <c r="P852" s="934"/>
      <c r="Q852" s="934"/>
      <c r="R852" s="934"/>
      <c r="S852" s="934"/>
      <c r="T852" s="934"/>
      <c r="U852" s="934"/>
      <c r="V852" s="934"/>
      <c r="W852" s="934"/>
      <c r="X852" s="934"/>
      <c r="Y852" s="934"/>
      <c r="Z852" s="934"/>
    </row>
    <row r="853" ht="15.75" customHeight="1">
      <c r="A853" s="571"/>
      <c r="B853" s="934"/>
      <c r="C853" s="934"/>
      <c r="D853" s="934"/>
      <c r="E853" s="934"/>
      <c r="F853" s="934"/>
      <c r="G853" s="571"/>
      <c r="H853" s="934"/>
      <c r="I853" s="934"/>
      <c r="J853" s="934"/>
      <c r="K853" s="934"/>
      <c r="L853" s="934"/>
      <c r="M853" s="934"/>
      <c r="N853" s="934"/>
      <c r="O853" s="934"/>
      <c r="P853" s="934"/>
      <c r="Q853" s="934"/>
      <c r="R853" s="934"/>
      <c r="S853" s="934"/>
      <c r="T853" s="934"/>
      <c r="U853" s="934"/>
      <c r="V853" s="934"/>
      <c r="W853" s="934"/>
      <c r="X853" s="934"/>
      <c r="Y853" s="934"/>
      <c r="Z853" s="934"/>
    </row>
    <row r="854" ht="15.75" customHeight="1">
      <c r="A854" s="571"/>
      <c r="B854" s="934"/>
      <c r="C854" s="934"/>
      <c r="D854" s="934"/>
      <c r="E854" s="934"/>
      <c r="F854" s="934"/>
      <c r="G854" s="571"/>
      <c r="H854" s="934"/>
      <c r="I854" s="934"/>
      <c r="J854" s="934"/>
      <c r="K854" s="934"/>
      <c r="L854" s="934"/>
      <c r="M854" s="934"/>
      <c r="N854" s="934"/>
      <c r="O854" s="934"/>
      <c r="P854" s="934"/>
      <c r="Q854" s="934"/>
      <c r="R854" s="934"/>
      <c r="S854" s="934"/>
      <c r="T854" s="934"/>
      <c r="U854" s="934"/>
      <c r="V854" s="934"/>
      <c r="W854" s="934"/>
      <c r="X854" s="934"/>
      <c r="Y854" s="934"/>
      <c r="Z854" s="934"/>
    </row>
    <row r="855" ht="15.75" customHeight="1">
      <c r="A855" s="571"/>
      <c r="B855" s="934"/>
      <c r="C855" s="934"/>
      <c r="D855" s="934"/>
      <c r="E855" s="934"/>
      <c r="F855" s="934"/>
      <c r="G855" s="571"/>
      <c r="H855" s="934"/>
      <c r="I855" s="934"/>
      <c r="J855" s="934"/>
      <c r="K855" s="934"/>
      <c r="L855" s="934"/>
      <c r="M855" s="934"/>
      <c r="N855" s="934"/>
      <c r="O855" s="934"/>
      <c r="P855" s="934"/>
      <c r="Q855" s="934"/>
      <c r="R855" s="934"/>
      <c r="S855" s="934"/>
      <c r="T855" s="934"/>
      <c r="U855" s="934"/>
      <c r="V855" s="934"/>
      <c r="W855" s="934"/>
      <c r="X855" s="934"/>
      <c r="Y855" s="934"/>
      <c r="Z855" s="934"/>
    </row>
    <row r="856" ht="15.75" customHeight="1">
      <c r="A856" s="571"/>
      <c r="B856" s="934"/>
      <c r="C856" s="934"/>
      <c r="D856" s="934"/>
      <c r="E856" s="934"/>
      <c r="F856" s="934"/>
      <c r="G856" s="571"/>
      <c r="H856" s="934"/>
      <c r="I856" s="934"/>
      <c r="J856" s="934"/>
      <c r="K856" s="934"/>
      <c r="L856" s="934"/>
      <c r="M856" s="934"/>
      <c r="N856" s="934"/>
      <c r="O856" s="934"/>
      <c r="P856" s="934"/>
      <c r="Q856" s="934"/>
      <c r="R856" s="934"/>
      <c r="S856" s="934"/>
      <c r="T856" s="934"/>
      <c r="U856" s="934"/>
      <c r="V856" s="934"/>
      <c r="W856" s="934"/>
      <c r="X856" s="934"/>
      <c r="Y856" s="934"/>
      <c r="Z856" s="934"/>
    </row>
    <row r="857" ht="15.75" customHeight="1">
      <c r="A857" s="571"/>
      <c r="B857" s="934"/>
      <c r="C857" s="934"/>
      <c r="D857" s="934"/>
      <c r="E857" s="934"/>
      <c r="F857" s="934"/>
      <c r="G857" s="571"/>
      <c r="H857" s="934"/>
      <c r="I857" s="934"/>
      <c r="J857" s="934"/>
      <c r="K857" s="934"/>
      <c r="L857" s="934"/>
      <c r="M857" s="934"/>
      <c r="N857" s="934"/>
      <c r="O857" s="934"/>
      <c r="P857" s="934"/>
      <c r="Q857" s="934"/>
      <c r="R857" s="934"/>
      <c r="S857" s="934"/>
      <c r="T857" s="934"/>
      <c r="U857" s="934"/>
      <c r="V857" s="934"/>
      <c r="W857" s="934"/>
      <c r="X857" s="934"/>
      <c r="Y857" s="934"/>
      <c r="Z857" s="934"/>
    </row>
    <row r="858" ht="15.75" customHeight="1">
      <c r="A858" s="571"/>
      <c r="B858" s="934"/>
      <c r="C858" s="934"/>
      <c r="D858" s="934"/>
      <c r="E858" s="934"/>
      <c r="F858" s="934"/>
      <c r="G858" s="571"/>
      <c r="H858" s="934"/>
      <c r="I858" s="934"/>
      <c r="J858" s="934"/>
      <c r="K858" s="934"/>
      <c r="L858" s="934"/>
      <c r="M858" s="934"/>
      <c r="N858" s="934"/>
      <c r="O858" s="934"/>
      <c r="P858" s="934"/>
      <c r="Q858" s="934"/>
      <c r="R858" s="934"/>
      <c r="S858" s="934"/>
      <c r="T858" s="934"/>
      <c r="U858" s="934"/>
      <c r="V858" s="934"/>
      <c r="W858" s="934"/>
      <c r="X858" s="934"/>
      <c r="Y858" s="934"/>
      <c r="Z858" s="934"/>
    </row>
    <row r="859" ht="15.75" customHeight="1">
      <c r="A859" s="571"/>
      <c r="B859" s="934"/>
      <c r="C859" s="934"/>
      <c r="D859" s="934"/>
      <c r="E859" s="934"/>
      <c r="F859" s="934"/>
      <c r="G859" s="571"/>
      <c r="H859" s="934"/>
      <c r="I859" s="934"/>
      <c r="J859" s="934"/>
      <c r="K859" s="934"/>
      <c r="L859" s="934"/>
      <c r="M859" s="934"/>
      <c r="N859" s="934"/>
      <c r="O859" s="934"/>
      <c r="P859" s="934"/>
      <c r="Q859" s="934"/>
      <c r="R859" s="934"/>
      <c r="S859" s="934"/>
      <c r="T859" s="934"/>
      <c r="U859" s="934"/>
      <c r="V859" s="934"/>
      <c r="W859" s="934"/>
      <c r="X859" s="934"/>
      <c r="Y859" s="934"/>
      <c r="Z859" s="934"/>
    </row>
    <row r="860" ht="15.75" customHeight="1">
      <c r="A860" s="571"/>
      <c r="B860" s="934"/>
      <c r="C860" s="934"/>
      <c r="D860" s="934"/>
      <c r="E860" s="934"/>
      <c r="F860" s="934"/>
      <c r="G860" s="571"/>
      <c r="H860" s="934"/>
      <c r="I860" s="934"/>
      <c r="J860" s="934"/>
      <c r="K860" s="934"/>
      <c r="L860" s="934"/>
      <c r="M860" s="934"/>
      <c r="N860" s="934"/>
      <c r="O860" s="934"/>
      <c r="P860" s="934"/>
      <c r="Q860" s="934"/>
      <c r="R860" s="934"/>
      <c r="S860" s="934"/>
      <c r="T860" s="934"/>
      <c r="U860" s="934"/>
      <c r="V860" s="934"/>
      <c r="W860" s="934"/>
      <c r="X860" s="934"/>
      <c r="Y860" s="934"/>
      <c r="Z860" s="934"/>
    </row>
    <row r="861" ht="15.75" customHeight="1">
      <c r="A861" s="571"/>
      <c r="B861" s="934"/>
      <c r="C861" s="934"/>
      <c r="D861" s="934"/>
      <c r="E861" s="934"/>
      <c r="F861" s="934"/>
      <c r="G861" s="571"/>
      <c r="H861" s="934"/>
      <c r="I861" s="934"/>
      <c r="J861" s="934"/>
      <c r="K861" s="934"/>
      <c r="L861" s="934"/>
      <c r="M861" s="934"/>
      <c r="N861" s="934"/>
      <c r="O861" s="934"/>
      <c r="P861" s="934"/>
      <c r="Q861" s="934"/>
      <c r="R861" s="934"/>
      <c r="S861" s="934"/>
      <c r="T861" s="934"/>
      <c r="U861" s="934"/>
      <c r="V861" s="934"/>
      <c r="W861" s="934"/>
      <c r="X861" s="934"/>
      <c r="Y861" s="934"/>
      <c r="Z861" s="934"/>
    </row>
    <row r="862" ht="15.75" customHeight="1">
      <c r="A862" s="571"/>
      <c r="B862" s="934"/>
      <c r="C862" s="934"/>
      <c r="D862" s="934"/>
      <c r="E862" s="934"/>
      <c r="F862" s="934"/>
      <c r="G862" s="571"/>
      <c r="H862" s="934"/>
      <c r="I862" s="934"/>
      <c r="J862" s="934"/>
      <c r="K862" s="934"/>
      <c r="L862" s="934"/>
      <c r="M862" s="934"/>
      <c r="N862" s="934"/>
      <c r="O862" s="934"/>
      <c r="P862" s="934"/>
      <c r="Q862" s="934"/>
      <c r="R862" s="934"/>
      <c r="S862" s="934"/>
      <c r="T862" s="934"/>
      <c r="U862" s="934"/>
      <c r="V862" s="934"/>
      <c r="W862" s="934"/>
      <c r="X862" s="934"/>
      <c r="Y862" s="934"/>
      <c r="Z862" s="934"/>
    </row>
    <row r="863" ht="15.75" customHeight="1">
      <c r="A863" s="571"/>
      <c r="B863" s="934"/>
      <c r="C863" s="934"/>
      <c r="D863" s="934"/>
      <c r="E863" s="934"/>
      <c r="F863" s="934"/>
      <c r="G863" s="571"/>
      <c r="H863" s="934"/>
      <c r="I863" s="934"/>
      <c r="J863" s="934"/>
      <c r="K863" s="934"/>
      <c r="L863" s="934"/>
      <c r="M863" s="934"/>
      <c r="N863" s="934"/>
      <c r="O863" s="934"/>
      <c r="P863" s="934"/>
      <c r="Q863" s="934"/>
      <c r="R863" s="934"/>
      <c r="S863" s="934"/>
      <c r="T863" s="934"/>
      <c r="U863" s="934"/>
      <c r="V863" s="934"/>
      <c r="W863" s="934"/>
      <c r="X863" s="934"/>
      <c r="Y863" s="934"/>
      <c r="Z863" s="934"/>
    </row>
    <row r="864" ht="15.75" customHeight="1">
      <c r="A864" s="571"/>
      <c r="B864" s="934"/>
      <c r="C864" s="934"/>
      <c r="D864" s="934"/>
      <c r="E864" s="934"/>
      <c r="F864" s="934"/>
      <c r="G864" s="571"/>
      <c r="H864" s="934"/>
      <c r="I864" s="934"/>
      <c r="J864" s="934"/>
      <c r="K864" s="934"/>
      <c r="L864" s="934"/>
      <c r="M864" s="934"/>
      <c r="N864" s="934"/>
      <c r="O864" s="934"/>
      <c r="P864" s="934"/>
      <c r="Q864" s="934"/>
      <c r="R864" s="934"/>
      <c r="S864" s="934"/>
      <c r="T864" s="934"/>
      <c r="U864" s="934"/>
      <c r="V864" s="934"/>
      <c r="W864" s="934"/>
      <c r="X864" s="934"/>
      <c r="Y864" s="934"/>
      <c r="Z864" s="934"/>
    </row>
    <row r="865" ht="15.75" customHeight="1">
      <c r="A865" s="571"/>
      <c r="B865" s="934"/>
      <c r="C865" s="934"/>
      <c r="D865" s="934"/>
      <c r="E865" s="934"/>
      <c r="F865" s="934"/>
      <c r="G865" s="571"/>
      <c r="H865" s="934"/>
      <c r="I865" s="934"/>
      <c r="J865" s="934"/>
      <c r="K865" s="934"/>
      <c r="L865" s="934"/>
      <c r="M865" s="934"/>
      <c r="N865" s="934"/>
      <c r="O865" s="934"/>
      <c r="P865" s="934"/>
      <c r="Q865" s="934"/>
      <c r="R865" s="934"/>
      <c r="S865" s="934"/>
      <c r="T865" s="934"/>
      <c r="U865" s="934"/>
      <c r="V865" s="934"/>
      <c r="W865" s="934"/>
      <c r="X865" s="934"/>
      <c r="Y865" s="934"/>
      <c r="Z865" s="934"/>
    </row>
    <row r="866" ht="15.75" customHeight="1">
      <c r="A866" s="571"/>
      <c r="B866" s="934"/>
      <c r="C866" s="934"/>
      <c r="D866" s="934"/>
      <c r="E866" s="934"/>
      <c r="F866" s="934"/>
      <c r="G866" s="571"/>
      <c r="H866" s="934"/>
      <c r="I866" s="934"/>
      <c r="J866" s="934"/>
      <c r="K866" s="934"/>
      <c r="L866" s="934"/>
      <c r="M866" s="934"/>
      <c r="N866" s="934"/>
      <c r="O866" s="934"/>
      <c r="P866" s="934"/>
      <c r="Q866" s="934"/>
      <c r="R866" s="934"/>
      <c r="S866" s="934"/>
      <c r="T866" s="934"/>
      <c r="U866" s="934"/>
      <c r="V866" s="934"/>
      <c r="W866" s="934"/>
      <c r="X866" s="934"/>
      <c r="Y866" s="934"/>
      <c r="Z866" s="934"/>
    </row>
    <row r="867" ht="15.75" customHeight="1">
      <c r="A867" s="571"/>
      <c r="B867" s="934"/>
      <c r="C867" s="934"/>
      <c r="D867" s="934"/>
      <c r="E867" s="934"/>
      <c r="F867" s="934"/>
      <c r="G867" s="571"/>
      <c r="H867" s="934"/>
      <c r="I867" s="934"/>
      <c r="J867" s="934"/>
      <c r="K867" s="934"/>
      <c r="L867" s="934"/>
      <c r="M867" s="934"/>
      <c r="N867" s="934"/>
      <c r="O867" s="934"/>
      <c r="P867" s="934"/>
      <c r="Q867" s="934"/>
      <c r="R867" s="934"/>
      <c r="S867" s="934"/>
      <c r="T867" s="934"/>
      <c r="U867" s="934"/>
      <c r="V867" s="934"/>
      <c r="W867" s="934"/>
      <c r="X867" s="934"/>
      <c r="Y867" s="934"/>
      <c r="Z867" s="934"/>
    </row>
    <row r="868" ht="15.75" customHeight="1">
      <c r="A868" s="571"/>
      <c r="B868" s="934"/>
      <c r="C868" s="934"/>
      <c r="D868" s="934"/>
      <c r="E868" s="934"/>
      <c r="F868" s="934"/>
      <c r="G868" s="571"/>
      <c r="H868" s="934"/>
      <c r="I868" s="934"/>
      <c r="J868" s="934"/>
      <c r="K868" s="934"/>
      <c r="L868" s="934"/>
      <c r="M868" s="934"/>
      <c r="N868" s="934"/>
      <c r="O868" s="934"/>
      <c r="P868" s="934"/>
      <c r="Q868" s="934"/>
      <c r="R868" s="934"/>
      <c r="S868" s="934"/>
      <c r="T868" s="934"/>
      <c r="U868" s="934"/>
      <c r="V868" s="934"/>
      <c r="W868" s="934"/>
      <c r="X868" s="934"/>
      <c r="Y868" s="934"/>
      <c r="Z868" s="934"/>
    </row>
    <row r="869" ht="15.75" customHeight="1">
      <c r="A869" s="571"/>
      <c r="B869" s="934"/>
      <c r="C869" s="934"/>
      <c r="D869" s="934"/>
      <c r="E869" s="934"/>
      <c r="F869" s="934"/>
      <c r="G869" s="571"/>
      <c r="H869" s="934"/>
      <c r="I869" s="934"/>
      <c r="J869" s="934"/>
      <c r="K869" s="934"/>
      <c r="L869" s="934"/>
      <c r="M869" s="934"/>
      <c r="N869" s="934"/>
      <c r="O869" s="934"/>
      <c r="P869" s="934"/>
      <c r="Q869" s="934"/>
      <c r="R869" s="934"/>
      <c r="S869" s="934"/>
      <c r="T869" s="934"/>
      <c r="U869" s="934"/>
      <c r="V869" s="934"/>
      <c r="W869" s="934"/>
      <c r="X869" s="934"/>
      <c r="Y869" s="934"/>
      <c r="Z869" s="934"/>
    </row>
    <row r="870" ht="15.75" customHeight="1">
      <c r="A870" s="571"/>
      <c r="B870" s="934"/>
      <c r="C870" s="934"/>
      <c r="D870" s="934"/>
      <c r="E870" s="934"/>
      <c r="F870" s="934"/>
      <c r="G870" s="571"/>
      <c r="H870" s="934"/>
      <c r="I870" s="934"/>
      <c r="J870" s="934"/>
      <c r="K870" s="934"/>
      <c r="L870" s="934"/>
      <c r="M870" s="934"/>
      <c r="N870" s="934"/>
      <c r="O870" s="934"/>
      <c r="P870" s="934"/>
      <c r="Q870" s="934"/>
      <c r="R870" s="934"/>
      <c r="S870" s="934"/>
      <c r="T870" s="934"/>
      <c r="U870" s="934"/>
      <c r="V870" s="934"/>
      <c r="W870" s="934"/>
      <c r="X870" s="934"/>
      <c r="Y870" s="934"/>
      <c r="Z870" s="934"/>
    </row>
    <row r="871" ht="15.75" customHeight="1">
      <c r="A871" s="571"/>
      <c r="B871" s="934"/>
      <c r="C871" s="934"/>
      <c r="D871" s="934"/>
      <c r="E871" s="934"/>
      <c r="F871" s="934"/>
      <c r="G871" s="571"/>
      <c r="H871" s="934"/>
      <c r="I871" s="934"/>
      <c r="J871" s="934"/>
      <c r="K871" s="934"/>
      <c r="L871" s="934"/>
      <c r="M871" s="934"/>
      <c r="N871" s="934"/>
      <c r="O871" s="934"/>
      <c r="P871" s="934"/>
      <c r="Q871" s="934"/>
      <c r="R871" s="934"/>
      <c r="S871" s="934"/>
      <c r="T871" s="934"/>
      <c r="U871" s="934"/>
      <c r="V871" s="934"/>
      <c r="W871" s="934"/>
      <c r="X871" s="934"/>
      <c r="Y871" s="934"/>
      <c r="Z871" s="934"/>
    </row>
    <row r="872" ht="15.75" customHeight="1">
      <c r="A872" s="571"/>
      <c r="B872" s="934"/>
      <c r="C872" s="934"/>
      <c r="D872" s="934"/>
      <c r="E872" s="934"/>
      <c r="F872" s="934"/>
      <c r="G872" s="571"/>
      <c r="H872" s="934"/>
      <c r="I872" s="934"/>
      <c r="J872" s="934"/>
      <c r="K872" s="934"/>
      <c r="L872" s="934"/>
      <c r="M872" s="934"/>
      <c r="N872" s="934"/>
      <c r="O872" s="934"/>
      <c r="P872" s="934"/>
      <c r="Q872" s="934"/>
      <c r="R872" s="934"/>
      <c r="S872" s="934"/>
      <c r="T872" s="934"/>
      <c r="U872" s="934"/>
      <c r="V872" s="934"/>
      <c r="W872" s="934"/>
      <c r="X872" s="934"/>
      <c r="Y872" s="934"/>
      <c r="Z872" s="934"/>
    </row>
    <row r="873" ht="15.75" customHeight="1">
      <c r="A873" s="571"/>
      <c r="B873" s="934"/>
      <c r="C873" s="934"/>
      <c r="D873" s="934"/>
      <c r="E873" s="934"/>
      <c r="F873" s="934"/>
      <c r="G873" s="571"/>
      <c r="H873" s="934"/>
      <c r="I873" s="934"/>
      <c r="J873" s="934"/>
      <c r="K873" s="934"/>
      <c r="L873" s="934"/>
      <c r="M873" s="934"/>
      <c r="N873" s="934"/>
      <c r="O873" s="934"/>
      <c r="P873" s="934"/>
      <c r="Q873" s="934"/>
      <c r="R873" s="934"/>
      <c r="S873" s="934"/>
      <c r="T873" s="934"/>
      <c r="U873" s="934"/>
      <c r="V873" s="934"/>
      <c r="W873" s="934"/>
      <c r="X873" s="934"/>
      <c r="Y873" s="934"/>
      <c r="Z873" s="934"/>
    </row>
    <row r="874" ht="15.75" customHeight="1">
      <c r="A874" s="571"/>
      <c r="B874" s="934"/>
      <c r="C874" s="934"/>
      <c r="D874" s="934"/>
      <c r="E874" s="934"/>
      <c r="F874" s="934"/>
      <c r="G874" s="571"/>
      <c r="H874" s="934"/>
      <c r="I874" s="934"/>
      <c r="J874" s="934"/>
      <c r="K874" s="934"/>
      <c r="L874" s="934"/>
      <c r="M874" s="934"/>
      <c r="N874" s="934"/>
      <c r="O874" s="934"/>
      <c r="P874" s="934"/>
      <c r="Q874" s="934"/>
      <c r="R874" s="934"/>
      <c r="S874" s="934"/>
      <c r="T874" s="934"/>
      <c r="U874" s="934"/>
      <c r="V874" s="934"/>
      <c r="W874" s="934"/>
      <c r="X874" s="934"/>
      <c r="Y874" s="934"/>
      <c r="Z874" s="934"/>
    </row>
    <row r="875" ht="15.75" customHeight="1">
      <c r="A875" s="571"/>
      <c r="B875" s="934"/>
      <c r="C875" s="934"/>
      <c r="D875" s="934"/>
      <c r="E875" s="934"/>
      <c r="F875" s="934"/>
      <c r="G875" s="571"/>
      <c r="H875" s="934"/>
      <c r="I875" s="934"/>
      <c r="J875" s="934"/>
      <c r="K875" s="934"/>
      <c r="L875" s="934"/>
      <c r="M875" s="934"/>
      <c r="N875" s="934"/>
      <c r="O875" s="934"/>
      <c r="P875" s="934"/>
      <c r="Q875" s="934"/>
      <c r="R875" s="934"/>
      <c r="S875" s="934"/>
      <c r="T875" s="934"/>
      <c r="U875" s="934"/>
      <c r="V875" s="934"/>
      <c r="W875" s="934"/>
      <c r="X875" s="934"/>
      <c r="Y875" s="934"/>
      <c r="Z875" s="934"/>
    </row>
    <row r="876" ht="15.75" customHeight="1">
      <c r="A876" s="571"/>
      <c r="B876" s="934"/>
      <c r="C876" s="934"/>
      <c r="D876" s="934"/>
      <c r="E876" s="934"/>
      <c r="F876" s="934"/>
      <c r="G876" s="571"/>
      <c r="H876" s="934"/>
      <c r="I876" s="934"/>
      <c r="J876" s="934"/>
      <c r="K876" s="934"/>
      <c r="L876" s="934"/>
      <c r="M876" s="934"/>
      <c r="N876" s="934"/>
      <c r="O876" s="934"/>
      <c r="P876" s="934"/>
      <c r="Q876" s="934"/>
      <c r="R876" s="934"/>
      <c r="S876" s="934"/>
      <c r="T876" s="934"/>
      <c r="U876" s="934"/>
      <c r="V876" s="934"/>
      <c r="W876" s="934"/>
      <c r="X876" s="934"/>
      <c r="Y876" s="934"/>
      <c r="Z876" s="934"/>
    </row>
    <row r="877" ht="15.75" customHeight="1">
      <c r="A877" s="571"/>
      <c r="B877" s="934"/>
      <c r="C877" s="934"/>
      <c r="D877" s="934"/>
      <c r="E877" s="934"/>
      <c r="F877" s="934"/>
      <c r="G877" s="571"/>
      <c r="H877" s="934"/>
      <c r="I877" s="934"/>
      <c r="J877" s="934"/>
      <c r="K877" s="934"/>
      <c r="L877" s="934"/>
      <c r="M877" s="934"/>
      <c r="N877" s="934"/>
      <c r="O877" s="934"/>
      <c r="P877" s="934"/>
      <c r="Q877" s="934"/>
      <c r="R877" s="934"/>
      <c r="S877" s="934"/>
      <c r="T877" s="934"/>
      <c r="U877" s="934"/>
      <c r="V877" s="934"/>
      <c r="W877" s="934"/>
      <c r="X877" s="934"/>
      <c r="Y877" s="934"/>
      <c r="Z877" s="934"/>
    </row>
    <row r="878" ht="15.75" customHeight="1">
      <c r="A878" s="571"/>
      <c r="B878" s="934"/>
      <c r="C878" s="934"/>
      <c r="D878" s="934"/>
      <c r="E878" s="934"/>
      <c r="F878" s="934"/>
      <c r="G878" s="571"/>
      <c r="H878" s="934"/>
      <c r="I878" s="934"/>
      <c r="J878" s="934"/>
      <c r="K878" s="934"/>
      <c r="L878" s="934"/>
      <c r="M878" s="934"/>
      <c r="N878" s="934"/>
      <c r="O878" s="934"/>
      <c r="P878" s="934"/>
      <c r="Q878" s="934"/>
      <c r="R878" s="934"/>
      <c r="S878" s="934"/>
      <c r="T878" s="934"/>
      <c r="U878" s="934"/>
      <c r="V878" s="934"/>
      <c r="W878" s="934"/>
      <c r="X878" s="934"/>
      <c r="Y878" s="934"/>
      <c r="Z878" s="934"/>
    </row>
    <row r="879" ht="15.75" customHeight="1">
      <c r="A879" s="571"/>
      <c r="B879" s="934"/>
      <c r="C879" s="934"/>
      <c r="D879" s="934"/>
      <c r="E879" s="934"/>
      <c r="F879" s="934"/>
      <c r="G879" s="571"/>
      <c r="H879" s="934"/>
      <c r="I879" s="934"/>
      <c r="J879" s="934"/>
      <c r="K879" s="934"/>
      <c r="L879" s="934"/>
      <c r="M879" s="934"/>
      <c r="N879" s="934"/>
      <c r="O879" s="934"/>
      <c r="P879" s="934"/>
      <c r="Q879" s="934"/>
      <c r="R879" s="934"/>
      <c r="S879" s="934"/>
      <c r="T879" s="934"/>
      <c r="U879" s="934"/>
      <c r="V879" s="934"/>
      <c r="W879" s="934"/>
      <c r="X879" s="934"/>
      <c r="Y879" s="934"/>
      <c r="Z879" s="934"/>
    </row>
    <row r="880" ht="15.75" customHeight="1">
      <c r="A880" s="571"/>
      <c r="B880" s="934"/>
      <c r="C880" s="934"/>
      <c r="D880" s="934"/>
      <c r="E880" s="934"/>
      <c r="F880" s="934"/>
      <c r="G880" s="571"/>
      <c r="H880" s="934"/>
      <c r="I880" s="934"/>
      <c r="J880" s="934"/>
      <c r="K880" s="934"/>
      <c r="L880" s="934"/>
      <c r="M880" s="934"/>
      <c r="N880" s="934"/>
      <c r="O880" s="934"/>
      <c r="P880" s="934"/>
      <c r="Q880" s="934"/>
      <c r="R880" s="934"/>
      <c r="S880" s="934"/>
      <c r="T880" s="934"/>
      <c r="U880" s="934"/>
      <c r="V880" s="934"/>
      <c r="W880" s="934"/>
      <c r="X880" s="934"/>
      <c r="Y880" s="934"/>
      <c r="Z880" s="934"/>
    </row>
    <row r="881" ht="15.75" customHeight="1">
      <c r="A881" s="571"/>
      <c r="B881" s="934"/>
      <c r="C881" s="934"/>
      <c r="D881" s="934"/>
      <c r="E881" s="934"/>
      <c r="F881" s="934"/>
      <c r="G881" s="571"/>
      <c r="H881" s="934"/>
      <c r="I881" s="934"/>
      <c r="J881" s="934"/>
      <c r="K881" s="934"/>
      <c r="L881" s="934"/>
      <c r="M881" s="934"/>
      <c r="N881" s="934"/>
      <c r="O881" s="934"/>
      <c r="P881" s="934"/>
      <c r="Q881" s="934"/>
      <c r="R881" s="934"/>
      <c r="S881" s="934"/>
      <c r="T881" s="934"/>
      <c r="U881" s="934"/>
      <c r="V881" s="934"/>
      <c r="W881" s="934"/>
      <c r="X881" s="934"/>
      <c r="Y881" s="934"/>
      <c r="Z881" s="934"/>
    </row>
    <row r="882" ht="15.75" customHeight="1">
      <c r="A882" s="571"/>
      <c r="B882" s="934"/>
      <c r="C882" s="934"/>
      <c r="D882" s="934"/>
      <c r="E882" s="934"/>
      <c r="F882" s="934"/>
      <c r="G882" s="571"/>
      <c r="H882" s="934"/>
      <c r="I882" s="934"/>
      <c r="J882" s="934"/>
      <c r="K882" s="934"/>
      <c r="L882" s="934"/>
      <c r="M882" s="934"/>
      <c r="N882" s="934"/>
      <c r="O882" s="934"/>
      <c r="P882" s="934"/>
      <c r="Q882" s="934"/>
      <c r="R882" s="934"/>
      <c r="S882" s="934"/>
      <c r="T882" s="934"/>
      <c r="U882" s="934"/>
      <c r="V882" s="934"/>
      <c r="W882" s="934"/>
      <c r="X882" s="934"/>
      <c r="Y882" s="934"/>
      <c r="Z882" s="934"/>
    </row>
    <row r="883" ht="15.75" customHeight="1">
      <c r="A883" s="571"/>
      <c r="B883" s="934"/>
      <c r="C883" s="934"/>
      <c r="D883" s="934"/>
      <c r="E883" s="934"/>
      <c r="F883" s="934"/>
      <c r="G883" s="571"/>
      <c r="H883" s="934"/>
      <c r="I883" s="934"/>
      <c r="J883" s="934"/>
      <c r="K883" s="934"/>
      <c r="L883" s="934"/>
      <c r="M883" s="934"/>
      <c r="N883" s="934"/>
      <c r="O883" s="934"/>
      <c r="P883" s="934"/>
      <c r="Q883" s="934"/>
      <c r="R883" s="934"/>
      <c r="S883" s="934"/>
      <c r="T883" s="934"/>
      <c r="U883" s="934"/>
      <c r="V883" s="934"/>
      <c r="W883" s="934"/>
      <c r="X883" s="934"/>
      <c r="Y883" s="934"/>
      <c r="Z883" s="934"/>
    </row>
    <row r="884" ht="15.75" customHeight="1">
      <c r="A884" s="571"/>
      <c r="B884" s="934"/>
      <c r="C884" s="934"/>
      <c r="D884" s="934"/>
      <c r="E884" s="934"/>
      <c r="F884" s="934"/>
      <c r="G884" s="571"/>
      <c r="H884" s="934"/>
      <c r="I884" s="934"/>
      <c r="J884" s="934"/>
      <c r="K884" s="934"/>
      <c r="L884" s="934"/>
      <c r="M884" s="934"/>
      <c r="N884" s="934"/>
      <c r="O884" s="934"/>
      <c r="P884" s="934"/>
      <c r="Q884" s="934"/>
      <c r="R884" s="934"/>
      <c r="S884" s="934"/>
      <c r="T884" s="934"/>
      <c r="U884" s="934"/>
      <c r="V884" s="934"/>
      <c r="W884" s="934"/>
      <c r="X884" s="934"/>
      <c r="Y884" s="934"/>
      <c r="Z884" s="934"/>
    </row>
    <row r="885" ht="15.75" customHeight="1">
      <c r="A885" s="571"/>
      <c r="B885" s="934"/>
      <c r="C885" s="934"/>
      <c r="D885" s="934"/>
      <c r="E885" s="934"/>
      <c r="F885" s="934"/>
      <c r="G885" s="571"/>
      <c r="H885" s="934"/>
      <c r="I885" s="934"/>
      <c r="J885" s="934"/>
      <c r="K885" s="934"/>
      <c r="L885" s="934"/>
      <c r="M885" s="934"/>
      <c r="N885" s="934"/>
      <c r="O885" s="934"/>
      <c r="P885" s="934"/>
      <c r="Q885" s="934"/>
      <c r="R885" s="934"/>
      <c r="S885" s="934"/>
      <c r="T885" s="934"/>
      <c r="U885" s="934"/>
      <c r="V885" s="934"/>
      <c r="W885" s="934"/>
      <c r="X885" s="934"/>
      <c r="Y885" s="934"/>
      <c r="Z885" s="934"/>
    </row>
    <row r="886" ht="15.75" customHeight="1">
      <c r="A886" s="571"/>
      <c r="B886" s="934"/>
      <c r="C886" s="934"/>
      <c r="D886" s="934"/>
      <c r="E886" s="934"/>
      <c r="F886" s="934"/>
      <c r="G886" s="571"/>
      <c r="H886" s="934"/>
      <c r="I886" s="934"/>
      <c r="J886" s="934"/>
      <c r="K886" s="934"/>
      <c r="L886" s="934"/>
      <c r="M886" s="934"/>
      <c r="N886" s="934"/>
      <c r="O886" s="934"/>
      <c r="P886" s="934"/>
      <c r="Q886" s="934"/>
      <c r="R886" s="934"/>
      <c r="S886" s="934"/>
      <c r="T886" s="934"/>
      <c r="U886" s="934"/>
      <c r="V886" s="934"/>
      <c r="W886" s="934"/>
      <c r="X886" s="934"/>
      <c r="Y886" s="934"/>
      <c r="Z886" s="934"/>
    </row>
    <row r="887" ht="15.75" customHeight="1">
      <c r="A887" s="571"/>
      <c r="B887" s="934"/>
      <c r="C887" s="934"/>
      <c r="D887" s="934"/>
      <c r="E887" s="934"/>
      <c r="F887" s="934"/>
      <c r="G887" s="571"/>
      <c r="H887" s="934"/>
      <c r="I887" s="934"/>
      <c r="J887" s="934"/>
      <c r="K887" s="934"/>
      <c r="L887" s="934"/>
      <c r="M887" s="934"/>
      <c r="N887" s="934"/>
      <c r="O887" s="934"/>
      <c r="P887" s="934"/>
      <c r="Q887" s="934"/>
      <c r="R887" s="934"/>
      <c r="S887" s="934"/>
      <c r="T887" s="934"/>
      <c r="U887" s="934"/>
      <c r="V887" s="934"/>
      <c r="W887" s="934"/>
      <c r="X887" s="934"/>
      <c r="Y887" s="934"/>
      <c r="Z887" s="934"/>
    </row>
    <row r="888" ht="15.75" customHeight="1">
      <c r="A888" s="571"/>
      <c r="B888" s="934"/>
      <c r="C888" s="934"/>
      <c r="D888" s="934"/>
      <c r="E888" s="934"/>
      <c r="F888" s="934"/>
      <c r="G888" s="571"/>
      <c r="H888" s="934"/>
      <c r="I888" s="934"/>
      <c r="J888" s="934"/>
      <c r="K888" s="934"/>
      <c r="L888" s="934"/>
      <c r="M888" s="934"/>
      <c r="N888" s="934"/>
      <c r="O888" s="934"/>
      <c r="P888" s="934"/>
      <c r="Q888" s="934"/>
      <c r="R888" s="934"/>
      <c r="S888" s="934"/>
      <c r="T888" s="934"/>
      <c r="U888" s="934"/>
      <c r="V888" s="934"/>
      <c r="W888" s="934"/>
      <c r="X888" s="934"/>
      <c r="Y888" s="934"/>
      <c r="Z888" s="934"/>
    </row>
    <row r="889" ht="15.75" customHeight="1">
      <c r="A889" s="571"/>
      <c r="B889" s="934"/>
      <c r="C889" s="934"/>
      <c r="D889" s="934"/>
      <c r="E889" s="934"/>
      <c r="F889" s="934"/>
      <c r="G889" s="571"/>
      <c r="H889" s="934"/>
      <c r="I889" s="934"/>
      <c r="J889" s="934"/>
      <c r="K889" s="934"/>
      <c r="L889" s="934"/>
      <c r="M889" s="934"/>
      <c r="N889" s="934"/>
      <c r="O889" s="934"/>
      <c r="P889" s="934"/>
      <c r="Q889" s="934"/>
      <c r="R889" s="934"/>
      <c r="S889" s="934"/>
      <c r="T889" s="934"/>
      <c r="U889" s="934"/>
      <c r="V889" s="934"/>
      <c r="W889" s="934"/>
      <c r="X889" s="934"/>
      <c r="Y889" s="934"/>
      <c r="Z889" s="934"/>
    </row>
    <row r="890" ht="15.75" customHeight="1">
      <c r="A890" s="571"/>
      <c r="B890" s="934"/>
      <c r="C890" s="934"/>
      <c r="D890" s="934"/>
      <c r="E890" s="934"/>
      <c r="F890" s="934"/>
      <c r="G890" s="571"/>
      <c r="H890" s="934"/>
      <c r="I890" s="934"/>
      <c r="J890" s="934"/>
      <c r="K890" s="934"/>
      <c r="L890" s="934"/>
      <c r="M890" s="934"/>
      <c r="N890" s="934"/>
      <c r="O890" s="934"/>
      <c r="P890" s="934"/>
      <c r="Q890" s="934"/>
      <c r="R890" s="934"/>
      <c r="S890" s="934"/>
      <c r="T890" s="934"/>
      <c r="U890" s="934"/>
      <c r="V890" s="934"/>
      <c r="W890" s="934"/>
      <c r="X890" s="934"/>
      <c r="Y890" s="934"/>
      <c r="Z890" s="934"/>
    </row>
    <row r="891" ht="15.75" customHeight="1">
      <c r="A891" s="571"/>
      <c r="B891" s="934"/>
      <c r="C891" s="934"/>
      <c r="D891" s="934"/>
      <c r="E891" s="934"/>
      <c r="F891" s="934"/>
      <c r="G891" s="571"/>
      <c r="H891" s="934"/>
      <c r="I891" s="934"/>
      <c r="J891" s="934"/>
      <c r="K891" s="934"/>
      <c r="L891" s="934"/>
      <c r="M891" s="934"/>
      <c r="N891" s="934"/>
      <c r="O891" s="934"/>
      <c r="P891" s="934"/>
      <c r="Q891" s="934"/>
      <c r="R891" s="934"/>
      <c r="S891" s="934"/>
      <c r="T891" s="934"/>
      <c r="U891" s="934"/>
      <c r="V891" s="934"/>
      <c r="W891" s="934"/>
      <c r="X891" s="934"/>
      <c r="Y891" s="934"/>
      <c r="Z891" s="934"/>
    </row>
    <row r="892" ht="15.75" customHeight="1">
      <c r="A892" s="571"/>
      <c r="B892" s="934"/>
      <c r="C892" s="934"/>
      <c r="D892" s="934"/>
      <c r="E892" s="934"/>
      <c r="F892" s="934"/>
      <c r="G892" s="571"/>
      <c r="H892" s="934"/>
      <c r="I892" s="934"/>
      <c r="J892" s="934"/>
      <c r="K892" s="934"/>
      <c r="L892" s="934"/>
      <c r="M892" s="934"/>
      <c r="N892" s="934"/>
      <c r="O892" s="934"/>
      <c r="P892" s="934"/>
      <c r="Q892" s="934"/>
      <c r="R892" s="934"/>
      <c r="S892" s="934"/>
      <c r="T892" s="934"/>
      <c r="U892" s="934"/>
      <c r="V892" s="934"/>
      <c r="W892" s="934"/>
      <c r="X892" s="934"/>
      <c r="Y892" s="934"/>
      <c r="Z892" s="934"/>
    </row>
    <row r="893" ht="15.75" customHeight="1">
      <c r="A893" s="571"/>
      <c r="B893" s="934"/>
      <c r="C893" s="934"/>
      <c r="D893" s="934"/>
      <c r="E893" s="934"/>
      <c r="F893" s="934"/>
      <c r="G893" s="571"/>
      <c r="H893" s="934"/>
      <c r="I893" s="934"/>
      <c r="J893" s="934"/>
      <c r="K893" s="934"/>
      <c r="L893" s="934"/>
      <c r="M893" s="934"/>
      <c r="N893" s="934"/>
      <c r="O893" s="934"/>
      <c r="P893" s="934"/>
      <c r="Q893" s="934"/>
      <c r="R893" s="934"/>
      <c r="S893" s="934"/>
      <c r="T893" s="934"/>
      <c r="U893" s="934"/>
      <c r="V893" s="934"/>
      <c r="W893" s="934"/>
      <c r="X893" s="934"/>
      <c r="Y893" s="934"/>
      <c r="Z893" s="934"/>
    </row>
    <row r="894" ht="15.75" customHeight="1">
      <c r="A894" s="571"/>
      <c r="B894" s="934"/>
      <c r="C894" s="934"/>
      <c r="D894" s="934"/>
      <c r="E894" s="934"/>
      <c r="F894" s="934"/>
      <c r="G894" s="571"/>
      <c r="H894" s="934"/>
      <c r="I894" s="934"/>
      <c r="J894" s="934"/>
      <c r="K894" s="934"/>
      <c r="L894" s="934"/>
      <c r="M894" s="934"/>
      <c r="N894" s="934"/>
      <c r="O894" s="934"/>
      <c r="P894" s="934"/>
      <c r="Q894" s="934"/>
      <c r="R894" s="934"/>
      <c r="S894" s="934"/>
      <c r="T894" s="934"/>
      <c r="U894" s="934"/>
      <c r="V894" s="934"/>
      <c r="W894" s="934"/>
      <c r="X894" s="934"/>
      <c r="Y894" s="934"/>
      <c r="Z894" s="934"/>
    </row>
    <row r="895" ht="15.75" customHeight="1">
      <c r="A895" s="571"/>
      <c r="B895" s="934"/>
      <c r="C895" s="934"/>
      <c r="D895" s="934"/>
      <c r="E895" s="934"/>
      <c r="F895" s="934"/>
      <c r="G895" s="571"/>
      <c r="H895" s="934"/>
      <c r="I895" s="934"/>
      <c r="J895" s="934"/>
      <c r="K895" s="934"/>
      <c r="L895" s="934"/>
      <c r="M895" s="934"/>
      <c r="N895" s="934"/>
      <c r="O895" s="934"/>
      <c r="P895" s="934"/>
      <c r="Q895" s="934"/>
      <c r="R895" s="934"/>
      <c r="S895" s="934"/>
      <c r="T895" s="934"/>
      <c r="U895" s="934"/>
      <c r="V895" s="934"/>
      <c r="W895" s="934"/>
      <c r="X895" s="934"/>
      <c r="Y895" s="934"/>
      <c r="Z895" s="934"/>
    </row>
    <row r="896" ht="15.75" customHeight="1">
      <c r="A896" s="571"/>
      <c r="B896" s="934"/>
      <c r="C896" s="934"/>
      <c r="D896" s="934"/>
      <c r="E896" s="934"/>
      <c r="F896" s="934"/>
      <c r="G896" s="571"/>
      <c r="H896" s="934"/>
      <c r="I896" s="934"/>
      <c r="J896" s="934"/>
      <c r="K896" s="934"/>
      <c r="L896" s="934"/>
      <c r="M896" s="934"/>
      <c r="N896" s="934"/>
      <c r="O896" s="934"/>
      <c r="P896" s="934"/>
      <c r="Q896" s="934"/>
      <c r="R896" s="934"/>
      <c r="S896" s="934"/>
      <c r="T896" s="934"/>
      <c r="U896" s="934"/>
      <c r="V896" s="934"/>
      <c r="W896" s="934"/>
      <c r="X896" s="934"/>
      <c r="Y896" s="934"/>
      <c r="Z896" s="934"/>
    </row>
    <row r="897" ht="15.75" customHeight="1">
      <c r="A897" s="571"/>
      <c r="B897" s="934"/>
      <c r="C897" s="934"/>
      <c r="D897" s="934"/>
      <c r="E897" s="934"/>
      <c r="F897" s="934"/>
      <c r="G897" s="571"/>
      <c r="H897" s="934"/>
      <c r="I897" s="934"/>
      <c r="J897" s="934"/>
      <c r="K897" s="934"/>
      <c r="L897" s="934"/>
      <c r="M897" s="934"/>
      <c r="N897" s="934"/>
      <c r="O897" s="934"/>
      <c r="P897" s="934"/>
      <c r="Q897" s="934"/>
      <c r="R897" s="934"/>
      <c r="S897" s="934"/>
      <c r="T897" s="934"/>
      <c r="U897" s="934"/>
      <c r="V897" s="934"/>
      <c r="W897" s="934"/>
      <c r="X897" s="934"/>
      <c r="Y897" s="934"/>
      <c r="Z897" s="934"/>
    </row>
    <row r="898" ht="15.75" customHeight="1">
      <c r="A898" s="571"/>
      <c r="B898" s="934"/>
      <c r="C898" s="934"/>
      <c r="D898" s="934"/>
      <c r="E898" s="934"/>
      <c r="F898" s="934"/>
      <c r="G898" s="571"/>
      <c r="H898" s="934"/>
      <c r="I898" s="934"/>
      <c r="J898" s="934"/>
      <c r="K898" s="934"/>
      <c r="L898" s="934"/>
      <c r="M898" s="934"/>
      <c r="N898" s="934"/>
      <c r="O898" s="934"/>
      <c r="P898" s="934"/>
      <c r="Q898" s="934"/>
      <c r="R898" s="934"/>
      <c r="S898" s="934"/>
      <c r="T898" s="934"/>
      <c r="U898" s="934"/>
      <c r="V898" s="934"/>
      <c r="W898" s="934"/>
      <c r="X898" s="934"/>
      <c r="Y898" s="934"/>
      <c r="Z898" s="934"/>
    </row>
    <row r="899" ht="15.75" customHeight="1">
      <c r="A899" s="571"/>
      <c r="B899" s="934"/>
      <c r="C899" s="934"/>
      <c r="D899" s="934"/>
      <c r="E899" s="934"/>
      <c r="F899" s="934"/>
      <c r="G899" s="571"/>
      <c r="H899" s="934"/>
      <c r="I899" s="934"/>
      <c r="J899" s="934"/>
      <c r="K899" s="934"/>
      <c r="L899" s="934"/>
      <c r="M899" s="934"/>
      <c r="N899" s="934"/>
      <c r="O899" s="934"/>
      <c r="P899" s="934"/>
      <c r="Q899" s="934"/>
      <c r="R899" s="934"/>
      <c r="S899" s="934"/>
      <c r="T899" s="934"/>
      <c r="U899" s="934"/>
      <c r="V899" s="934"/>
      <c r="W899" s="934"/>
      <c r="X899" s="934"/>
      <c r="Y899" s="934"/>
      <c r="Z899" s="934"/>
    </row>
    <row r="900" ht="15.75" customHeight="1">
      <c r="A900" s="571"/>
      <c r="B900" s="934"/>
      <c r="C900" s="934"/>
      <c r="D900" s="934"/>
      <c r="E900" s="934"/>
      <c r="F900" s="934"/>
      <c r="G900" s="571"/>
      <c r="H900" s="934"/>
      <c r="I900" s="934"/>
      <c r="J900" s="934"/>
      <c r="K900" s="934"/>
      <c r="L900" s="934"/>
      <c r="M900" s="934"/>
      <c r="N900" s="934"/>
      <c r="O900" s="934"/>
      <c r="P900" s="934"/>
      <c r="Q900" s="934"/>
      <c r="R900" s="934"/>
      <c r="S900" s="934"/>
      <c r="T900" s="934"/>
      <c r="U900" s="934"/>
      <c r="V900" s="934"/>
      <c r="W900" s="934"/>
      <c r="X900" s="934"/>
      <c r="Y900" s="934"/>
      <c r="Z900" s="934"/>
    </row>
    <row r="901" ht="15.75" customHeight="1">
      <c r="A901" s="571"/>
      <c r="B901" s="934"/>
      <c r="C901" s="934"/>
      <c r="D901" s="934"/>
      <c r="E901" s="934"/>
      <c r="F901" s="934"/>
      <c r="G901" s="571"/>
      <c r="H901" s="934"/>
      <c r="I901" s="934"/>
      <c r="J901" s="934"/>
      <c r="K901" s="934"/>
      <c r="L901" s="934"/>
      <c r="M901" s="934"/>
      <c r="N901" s="934"/>
      <c r="O901" s="934"/>
      <c r="P901" s="934"/>
      <c r="Q901" s="934"/>
      <c r="R901" s="934"/>
      <c r="S901" s="934"/>
      <c r="T901" s="934"/>
      <c r="U901" s="934"/>
      <c r="V901" s="934"/>
      <c r="W901" s="934"/>
      <c r="X901" s="934"/>
      <c r="Y901" s="934"/>
      <c r="Z901" s="934"/>
    </row>
    <row r="902" ht="15.75" customHeight="1">
      <c r="A902" s="571"/>
      <c r="B902" s="934"/>
      <c r="C902" s="934"/>
      <c r="D902" s="934"/>
      <c r="E902" s="934"/>
      <c r="F902" s="934"/>
      <c r="G902" s="571"/>
      <c r="H902" s="934"/>
      <c r="I902" s="934"/>
      <c r="J902" s="934"/>
      <c r="K902" s="934"/>
      <c r="L902" s="934"/>
      <c r="M902" s="934"/>
      <c r="N902" s="934"/>
      <c r="O902" s="934"/>
      <c r="P902" s="934"/>
      <c r="Q902" s="934"/>
      <c r="R902" s="934"/>
      <c r="S902" s="934"/>
      <c r="T902" s="934"/>
      <c r="U902" s="934"/>
      <c r="V902" s="934"/>
      <c r="W902" s="934"/>
      <c r="X902" s="934"/>
      <c r="Y902" s="934"/>
      <c r="Z902" s="934"/>
    </row>
    <row r="903" ht="15.75" customHeight="1">
      <c r="A903" s="571"/>
      <c r="B903" s="934"/>
      <c r="C903" s="934"/>
      <c r="D903" s="934"/>
      <c r="E903" s="934"/>
      <c r="F903" s="934"/>
      <c r="G903" s="571"/>
      <c r="H903" s="934"/>
      <c r="I903" s="934"/>
      <c r="J903" s="934"/>
      <c r="K903" s="934"/>
      <c r="L903" s="934"/>
      <c r="M903" s="934"/>
      <c r="N903" s="934"/>
      <c r="O903" s="934"/>
      <c r="P903" s="934"/>
      <c r="Q903" s="934"/>
      <c r="R903" s="934"/>
      <c r="S903" s="934"/>
      <c r="T903" s="934"/>
      <c r="U903" s="934"/>
      <c r="V903" s="934"/>
      <c r="W903" s="934"/>
      <c r="X903" s="934"/>
      <c r="Y903" s="934"/>
      <c r="Z903" s="934"/>
    </row>
    <row r="904" ht="15.75" customHeight="1">
      <c r="A904" s="571"/>
      <c r="B904" s="934"/>
      <c r="C904" s="934"/>
      <c r="D904" s="934"/>
      <c r="E904" s="934"/>
      <c r="F904" s="934"/>
      <c r="G904" s="571"/>
      <c r="H904" s="934"/>
      <c r="I904" s="934"/>
      <c r="J904" s="934"/>
      <c r="K904" s="934"/>
      <c r="L904" s="934"/>
      <c r="M904" s="934"/>
      <c r="N904" s="934"/>
      <c r="O904" s="934"/>
      <c r="P904" s="934"/>
      <c r="Q904" s="934"/>
      <c r="R904" s="934"/>
      <c r="S904" s="934"/>
      <c r="T904" s="934"/>
      <c r="U904" s="934"/>
      <c r="V904" s="934"/>
      <c r="W904" s="934"/>
      <c r="X904" s="934"/>
      <c r="Y904" s="934"/>
      <c r="Z904" s="934"/>
    </row>
    <row r="905" ht="15.75" customHeight="1">
      <c r="A905" s="571"/>
      <c r="B905" s="934"/>
      <c r="C905" s="934"/>
      <c r="D905" s="934"/>
      <c r="E905" s="934"/>
      <c r="F905" s="934"/>
      <c r="G905" s="571"/>
      <c r="H905" s="934"/>
      <c r="I905" s="934"/>
      <c r="J905" s="934"/>
      <c r="K905" s="934"/>
      <c r="L905" s="934"/>
      <c r="M905" s="934"/>
      <c r="N905" s="934"/>
      <c r="O905" s="934"/>
      <c r="P905" s="934"/>
      <c r="Q905" s="934"/>
      <c r="R905" s="934"/>
      <c r="S905" s="934"/>
      <c r="T905" s="934"/>
      <c r="U905" s="934"/>
      <c r="V905" s="934"/>
      <c r="W905" s="934"/>
      <c r="X905" s="934"/>
      <c r="Y905" s="934"/>
      <c r="Z905" s="934"/>
    </row>
    <row r="906" ht="15.75" customHeight="1">
      <c r="A906" s="571"/>
      <c r="B906" s="934"/>
      <c r="C906" s="934"/>
      <c r="D906" s="934"/>
      <c r="E906" s="934"/>
      <c r="F906" s="934"/>
      <c r="G906" s="571"/>
      <c r="H906" s="934"/>
      <c r="I906" s="934"/>
      <c r="J906" s="934"/>
      <c r="K906" s="934"/>
      <c r="L906" s="934"/>
      <c r="M906" s="934"/>
      <c r="N906" s="934"/>
      <c r="O906" s="934"/>
      <c r="P906" s="934"/>
      <c r="Q906" s="934"/>
      <c r="R906" s="934"/>
      <c r="S906" s="934"/>
      <c r="T906" s="934"/>
      <c r="U906" s="934"/>
      <c r="V906" s="934"/>
      <c r="W906" s="934"/>
      <c r="X906" s="934"/>
      <c r="Y906" s="934"/>
      <c r="Z906" s="934"/>
    </row>
    <row r="907" ht="15.75" customHeight="1">
      <c r="A907" s="571"/>
      <c r="B907" s="934"/>
      <c r="C907" s="934"/>
      <c r="D907" s="934"/>
      <c r="E907" s="934"/>
      <c r="F907" s="934"/>
      <c r="G907" s="571"/>
      <c r="H907" s="934"/>
      <c r="I907" s="934"/>
      <c r="J907" s="934"/>
      <c r="K907" s="934"/>
      <c r="L907" s="934"/>
      <c r="M907" s="934"/>
      <c r="N907" s="934"/>
      <c r="O907" s="934"/>
      <c r="P907" s="934"/>
      <c r="Q907" s="934"/>
      <c r="R907" s="934"/>
      <c r="S907" s="934"/>
      <c r="T907" s="934"/>
      <c r="U907" s="934"/>
      <c r="V907" s="934"/>
      <c r="W907" s="934"/>
      <c r="X907" s="934"/>
      <c r="Y907" s="934"/>
      <c r="Z907" s="934"/>
    </row>
    <row r="908" ht="15.75" customHeight="1">
      <c r="A908" s="571"/>
      <c r="B908" s="934"/>
      <c r="C908" s="934"/>
      <c r="D908" s="934"/>
      <c r="E908" s="934"/>
      <c r="F908" s="934"/>
      <c r="G908" s="571"/>
      <c r="H908" s="934"/>
      <c r="I908" s="934"/>
      <c r="J908" s="934"/>
      <c r="K908" s="934"/>
      <c r="L908" s="934"/>
      <c r="M908" s="934"/>
      <c r="N908" s="934"/>
      <c r="O908" s="934"/>
      <c r="P908" s="934"/>
      <c r="Q908" s="934"/>
      <c r="R908" s="934"/>
      <c r="S908" s="934"/>
      <c r="T908" s="934"/>
      <c r="U908" s="934"/>
      <c r="V908" s="934"/>
      <c r="W908" s="934"/>
      <c r="X908" s="934"/>
      <c r="Y908" s="934"/>
      <c r="Z908" s="934"/>
    </row>
    <row r="909" ht="15.75" customHeight="1">
      <c r="A909" s="571"/>
      <c r="B909" s="934"/>
      <c r="C909" s="934"/>
      <c r="D909" s="934"/>
      <c r="E909" s="934"/>
      <c r="F909" s="934"/>
      <c r="G909" s="571"/>
      <c r="H909" s="934"/>
      <c r="I909" s="934"/>
      <c r="J909" s="934"/>
      <c r="K909" s="934"/>
      <c r="L909" s="934"/>
      <c r="M909" s="934"/>
      <c r="N909" s="934"/>
      <c r="O909" s="934"/>
      <c r="P909" s="934"/>
      <c r="Q909" s="934"/>
      <c r="R909" s="934"/>
      <c r="S909" s="934"/>
      <c r="T909" s="934"/>
      <c r="U909" s="934"/>
      <c r="V909" s="934"/>
      <c r="W909" s="934"/>
      <c r="X909" s="934"/>
      <c r="Y909" s="934"/>
      <c r="Z909" s="934"/>
    </row>
    <row r="910" ht="15.75" customHeight="1">
      <c r="A910" s="571"/>
      <c r="B910" s="934"/>
      <c r="C910" s="934"/>
      <c r="D910" s="934"/>
      <c r="E910" s="934"/>
      <c r="F910" s="934"/>
      <c r="G910" s="571"/>
      <c r="H910" s="934"/>
      <c r="I910" s="934"/>
      <c r="J910" s="934"/>
      <c r="K910" s="934"/>
      <c r="L910" s="934"/>
      <c r="M910" s="934"/>
      <c r="N910" s="934"/>
      <c r="O910" s="934"/>
      <c r="P910" s="934"/>
      <c r="Q910" s="934"/>
      <c r="R910" s="934"/>
      <c r="S910" s="934"/>
      <c r="T910" s="934"/>
      <c r="U910" s="934"/>
      <c r="V910" s="934"/>
      <c r="W910" s="934"/>
      <c r="X910" s="934"/>
      <c r="Y910" s="934"/>
      <c r="Z910" s="934"/>
    </row>
    <row r="911" ht="15.75" customHeight="1">
      <c r="A911" s="571"/>
      <c r="B911" s="934"/>
      <c r="C911" s="934"/>
      <c r="D911" s="934"/>
      <c r="E911" s="934"/>
      <c r="F911" s="934"/>
      <c r="G911" s="571"/>
      <c r="H911" s="934"/>
      <c r="I911" s="934"/>
      <c r="J911" s="934"/>
      <c r="K911" s="934"/>
      <c r="L911" s="934"/>
      <c r="M911" s="934"/>
      <c r="N911" s="934"/>
      <c r="O911" s="934"/>
      <c r="P911" s="934"/>
      <c r="Q911" s="934"/>
      <c r="R911" s="934"/>
      <c r="S911" s="934"/>
      <c r="T911" s="934"/>
      <c r="U911" s="934"/>
      <c r="V911" s="934"/>
      <c r="W911" s="934"/>
      <c r="X911" s="934"/>
      <c r="Y911" s="934"/>
      <c r="Z911" s="934"/>
    </row>
    <row r="912" ht="15.75" customHeight="1">
      <c r="A912" s="571"/>
      <c r="B912" s="934"/>
      <c r="C912" s="934"/>
      <c r="D912" s="934"/>
      <c r="E912" s="934"/>
      <c r="F912" s="934"/>
      <c r="G912" s="571"/>
      <c r="H912" s="934"/>
      <c r="I912" s="934"/>
      <c r="J912" s="934"/>
      <c r="K912" s="934"/>
      <c r="L912" s="934"/>
      <c r="M912" s="934"/>
      <c r="N912" s="934"/>
      <c r="O912" s="934"/>
      <c r="P912" s="934"/>
      <c r="Q912" s="934"/>
      <c r="R912" s="934"/>
      <c r="S912" s="934"/>
      <c r="T912" s="934"/>
      <c r="U912" s="934"/>
      <c r="V912" s="934"/>
      <c r="W912" s="934"/>
      <c r="X912" s="934"/>
      <c r="Y912" s="934"/>
      <c r="Z912" s="934"/>
    </row>
    <row r="913" ht="15.75" customHeight="1">
      <c r="A913" s="571"/>
      <c r="B913" s="934"/>
      <c r="C913" s="934"/>
      <c r="D913" s="934"/>
      <c r="E913" s="934"/>
      <c r="F913" s="934"/>
      <c r="G913" s="571"/>
      <c r="H913" s="934"/>
      <c r="I913" s="934"/>
      <c r="J913" s="934"/>
      <c r="K913" s="934"/>
      <c r="L913" s="934"/>
      <c r="M913" s="934"/>
      <c r="N913" s="934"/>
      <c r="O913" s="934"/>
      <c r="P913" s="934"/>
      <c r="Q913" s="934"/>
      <c r="R913" s="934"/>
      <c r="S913" s="934"/>
      <c r="T913" s="934"/>
      <c r="U913" s="934"/>
      <c r="V913" s="934"/>
      <c r="W913" s="934"/>
      <c r="X913" s="934"/>
      <c r="Y913" s="934"/>
      <c r="Z913" s="934"/>
    </row>
    <row r="914" ht="15.75" customHeight="1">
      <c r="A914" s="571"/>
      <c r="B914" s="934"/>
      <c r="C914" s="934"/>
      <c r="D914" s="934"/>
      <c r="E914" s="934"/>
      <c r="F914" s="934"/>
      <c r="G914" s="571"/>
      <c r="H914" s="934"/>
      <c r="I914" s="934"/>
      <c r="J914" s="934"/>
      <c r="K914" s="934"/>
      <c r="L914" s="934"/>
      <c r="M914" s="934"/>
      <c r="N914" s="934"/>
      <c r="O914" s="934"/>
      <c r="P914" s="934"/>
      <c r="Q914" s="934"/>
      <c r="R914" s="934"/>
      <c r="S914" s="934"/>
      <c r="T914" s="934"/>
      <c r="U914" s="934"/>
      <c r="V914" s="934"/>
      <c r="W914" s="934"/>
      <c r="X914" s="934"/>
      <c r="Y914" s="934"/>
      <c r="Z914" s="934"/>
    </row>
    <row r="915" ht="15.75" customHeight="1">
      <c r="A915" s="571"/>
      <c r="B915" s="934"/>
      <c r="C915" s="934"/>
      <c r="D915" s="934"/>
      <c r="E915" s="934"/>
      <c r="F915" s="934"/>
      <c r="G915" s="571"/>
      <c r="H915" s="934"/>
      <c r="I915" s="934"/>
      <c r="J915" s="934"/>
      <c r="K915" s="934"/>
      <c r="L915" s="934"/>
      <c r="M915" s="934"/>
      <c r="N915" s="934"/>
      <c r="O915" s="934"/>
      <c r="P915" s="934"/>
      <c r="Q915" s="934"/>
      <c r="R915" s="934"/>
      <c r="S915" s="934"/>
      <c r="T915" s="934"/>
      <c r="U915" s="934"/>
      <c r="V915" s="934"/>
      <c r="W915" s="934"/>
      <c r="X915" s="934"/>
      <c r="Y915" s="934"/>
      <c r="Z915" s="934"/>
    </row>
    <row r="916" ht="15.75" customHeight="1">
      <c r="A916" s="571"/>
      <c r="B916" s="934"/>
      <c r="C916" s="934"/>
      <c r="D916" s="934"/>
      <c r="E916" s="934"/>
      <c r="F916" s="934"/>
      <c r="G916" s="571"/>
      <c r="H916" s="934"/>
      <c r="I916" s="934"/>
      <c r="J916" s="934"/>
      <c r="K916" s="934"/>
      <c r="L916" s="934"/>
      <c r="M916" s="934"/>
      <c r="N916" s="934"/>
      <c r="O916" s="934"/>
      <c r="P916" s="934"/>
      <c r="Q916" s="934"/>
      <c r="R916" s="934"/>
      <c r="S916" s="934"/>
      <c r="T916" s="934"/>
      <c r="U916" s="934"/>
      <c r="V916" s="934"/>
      <c r="W916" s="934"/>
      <c r="X916" s="934"/>
      <c r="Y916" s="934"/>
      <c r="Z916" s="934"/>
    </row>
    <row r="917" ht="15.75" customHeight="1">
      <c r="A917" s="571"/>
      <c r="B917" s="934"/>
      <c r="C917" s="934"/>
      <c r="D917" s="934"/>
      <c r="E917" s="934"/>
      <c r="F917" s="934"/>
      <c r="G917" s="571"/>
      <c r="H917" s="934"/>
      <c r="I917" s="934"/>
      <c r="J917" s="934"/>
      <c r="K917" s="934"/>
      <c r="L917" s="934"/>
      <c r="M917" s="934"/>
      <c r="N917" s="934"/>
      <c r="O917" s="934"/>
      <c r="P917" s="934"/>
      <c r="Q917" s="934"/>
      <c r="R917" s="934"/>
      <c r="S917" s="934"/>
      <c r="T917" s="934"/>
      <c r="U917" s="934"/>
      <c r="V917" s="934"/>
      <c r="W917" s="934"/>
      <c r="X917" s="934"/>
      <c r="Y917" s="934"/>
      <c r="Z917" s="934"/>
    </row>
    <row r="918" ht="15.75" customHeight="1">
      <c r="A918" s="571"/>
      <c r="B918" s="934"/>
      <c r="C918" s="934"/>
      <c r="D918" s="934"/>
      <c r="E918" s="934"/>
      <c r="F918" s="934"/>
      <c r="G918" s="571"/>
      <c r="H918" s="934"/>
      <c r="I918" s="934"/>
      <c r="J918" s="934"/>
      <c r="K918" s="934"/>
      <c r="L918" s="934"/>
      <c r="M918" s="934"/>
      <c r="N918" s="934"/>
      <c r="O918" s="934"/>
      <c r="P918" s="934"/>
      <c r="Q918" s="934"/>
      <c r="R918" s="934"/>
      <c r="S918" s="934"/>
      <c r="T918" s="934"/>
      <c r="U918" s="934"/>
      <c r="V918" s="934"/>
      <c r="W918" s="934"/>
      <c r="X918" s="934"/>
      <c r="Y918" s="934"/>
      <c r="Z918" s="934"/>
    </row>
    <row r="919" ht="15.75" customHeight="1">
      <c r="A919" s="571"/>
      <c r="B919" s="934"/>
      <c r="C919" s="934"/>
      <c r="D919" s="934"/>
      <c r="E919" s="934"/>
      <c r="F919" s="934"/>
      <c r="G919" s="571"/>
      <c r="H919" s="934"/>
      <c r="I919" s="934"/>
      <c r="J919" s="934"/>
      <c r="K919" s="934"/>
      <c r="L919" s="934"/>
      <c r="M919" s="934"/>
      <c r="N919" s="934"/>
      <c r="O919" s="934"/>
      <c r="P919" s="934"/>
      <c r="Q919" s="934"/>
      <c r="R919" s="934"/>
      <c r="S919" s="934"/>
      <c r="T919" s="934"/>
      <c r="U919" s="934"/>
      <c r="V919" s="934"/>
      <c r="W919" s="934"/>
      <c r="X919" s="934"/>
      <c r="Y919" s="934"/>
      <c r="Z919" s="934"/>
    </row>
    <row r="920" ht="15.75" customHeight="1">
      <c r="A920" s="571"/>
      <c r="B920" s="934"/>
      <c r="C920" s="934"/>
      <c r="D920" s="934"/>
      <c r="E920" s="934"/>
      <c r="F920" s="934"/>
      <c r="G920" s="571"/>
      <c r="H920" s="934"/>
      <c r="I920" s="934"/>
      <c r="J920" s="934"/>
      <c r="K920" s="934"/>
      <c r="L920" s="934"/>
      <c r="M920" s="934"/>
      <c r="N920" s="934"/>
      <c r="O920" s="934"/>
      <c r="P920" s="934"/>
      <c r="Q920" s="934"/>
      <c r="R920" s="934"/>
      <c r="S920" s="934"/>
      <c r="T920" s="934"/>
      <c r="U920" s="934"/>
      <c r="V920" s="934"/>
      <c r="W920" s="934"/>
      <c r="X920" s="934"/>
      <c r="Y920" s="934"/>
      <c r="Z920" s="934"/>
    </row>
    <row r="921" ht="15.75" customHeight="1">
      <c r="A921" s="571"/>
      <c r="B921" s="934"/>
      <c r="C921" s="934"/>
      <c r="D921" s="934"/>
      <c r="E921" s="934"/>
      <c r="F921" s="934"/>
      <c r="G921" s="571"/>
      <c r="H921" s="934"/>
      <c r="I921" s="934"/>
      <c r="J921" s="934"/>
      <c r="K921" s="934"/>
      <c r="L921" s="934"/>
      <c r="M921" s="934"/>
      <c r="N921" s="934"/>
      <c r="O921" s="934"/>
      <c r="P921" s="934"/>
      <c r="Q921" s="934"/>
      <c r="R921" s="934"/>
      <c r="S921" s="934"/>
      <c r="T921" s="934"/>
      <c r="U921" s="934"/>
      <c r="V921" s="934"/>
      <c r="W921" s="934"/>
      <c r="X921" s="934"/>
      <c r="Y921" s="934"/>
      <c r="Z921" s="934"/>
    </row>
    <row r="922" ht="15.75" customHeight="1">
      <c r="A922" s="571"/>
      <c r="B922" s="934"/>
      <c r="C922" s="934"/>
      <c r="D922" s="934"/>
      <c r="E922" s="934"/>
      <c r="F922" s="934"/>
      <c r="G922" s="571"/>
      <c r="H922" s="934"/>
      <c r="I922" s="934"/>
      <c r="J922" s="934"/>
      <c r="K922" s="934"/>
      <c r="L922" s="934"/>
      <c r="M922" s="934"/>
      <c r="N922" s="934"/>
      <c r="O922" s="934"/>
      <c r="P922" s="934"/>
      <c r="Q922" s="934"/>
      <c r="R922" s="934"/>
      <c r="S922" s="934"/>
      <c r="T922" s="934"/>
      <c r="U922" s="934"/>
      <c r="V922" s="934"/>
      <c r="W922" s="934"/>
      <c r="X922" s="934"/>
      <c r="Y922" s="934"/>
      <c r="Z922" s="934"/>
    </row>
    <row r="923" ht="15.75" customHeight="1">
      <c r="A923" s="571"/>
      <c r="B923" s="934"/>
      <c r="C923" s="934"/>
      <c r="D923" s="934"/>
      <c r="E923" s="934"/>
      <c r="F923" s="934"/>
      <c r="G923" s="571"/>
      <c r="H923" s="934"/>
      <c r="I923" s="934"/>
      <c r="J923" s="934"/>
      <c r="K923" s="934"/>
      <c r="L923" s="934"/>
      <c r="M923" s="934"/>
      <c r="N923" s="934"/>
      <c r="O923" s="934"/>
      <c r="P923" s="934"/>
      <c r="Q923" s="934"/>
      <c r="R923" s="934"/>
      <c r="S923" s="934"/>
      <c r="T923" s="934"/>
      <c r="U923" s="934"/>
      <c r="V923" s="934"/>
      <c r="W923" s="934"/>
      <c r="X923" s="934"/>
      <c r="Y923" s="934"/>
      <c r="Z923" s="934"/>
    </row>
    <row r="924" ht="15.75" customHeight="1">
      <c r="A924" s="571"/>
      <c r="B924" s="934"/>
      <c r="C924" s="934"/>
      <c r="D924" s="934"/>
      <c r="E924" s="934"/>
      <c r="F924" s="934"/>
      <c r="G924" s="571"/>
      <c r="H924" s="934"/>
      <c r="I924" s="934"/>
      <c r="J924" s="934"/>
      <c r="K924" s="934"/>
      <c r="L924" s="934"/>
      <c r="M924" s="934"/>
      <c r="N924" s="934"/>
      <c r="O924" s="934"/>
      <c r="P924" s="934"/>
      <c r="Q924" s="934"/>
      <c r="R924" s="934"/>
      <c r="S924" s="934"/>
      <c r="T924" s="934"/>
      <c r="U924" s="934"/>
      <c r="V924" s="934"/>
      <c r="W924" s="934"/>
      <c r="X924" s="934"/>
      <c r="Y924" s="934"/>
      <c r="Z924" s="934"/>
    </row>
    <row r="925" ht="15.75" customHeight="1">
      <c r="A925" s="571"/>
      <c r="B925" s="934"/>
      <c r="C925" s="934"/>
      <c r="D925" s="934"/>
      <c r="E925" s="934"/>
      <c r="F925" s="934"/>
      <c r="G925" s="571"/>
      <c r="H925" s="934"/>
      <c r="I925" s="934"/>
      <c r="J925" s="934"/>
      <c r="K925" s="934"/>
      <c r="L925" s="934"/>
      <c r="M925" s="934"/>
      <c r="N925" s="934"/>
      <c r="O925" s="934"/>
      <c r="P925" s="934"/>
      <c r="Q925" s="934"/>
      <c r="R925" s="934"/>
      <c r="S925" s="934"/>
      <c r="T925" s="934"/>
      <c r="U925" s="934"/>
      <c r="V925" s="934"/>
      <c r="W925" s="934"/>
      <c r="X925" s="934"/>
      <c r="Y925" s="934"/>
      <c r="Z925" s="934"/>
    </row>
    <row r="926" ht="15.75" customHeight="1">
      <c r="A926" s="571"/>
      <c r="B926" s="934"/>
      <c r="C926" s="934"/>
      <c r="D926" s="934"/>
      <c r="E926" s="934"/>
      <c r="F926" s="934"/>
      <c r="G926" s="571"/>
      <c r="H926" s="934"/>
      <c r="I926" s="934"/>
      <c r="J926" s="934"/>
      <c r="K926" s="934"/>
      <c r="L926" s="934"/>
      <c r="M926" s="934"/>
      <c r="N926" s="934"/>
      <c r="O926" s="934"/>
      <c r="P926" s="934"/>
      <c r="Q926" s="934"/>
      <c r="R926" s="934"/>
      <c r="S926" s="934"/>
      <c r="T926" s="934"/>
      <c r="U926" s="934"/>
      <c r="V926" s="934"/>
      <c r="W926" s="934"/>
      <c r="X926" s="934"/>
      <c r="Y926" s="934"/>
      <c r="Z926" s="934"/>
    </row>
    <row r="927" ht="15.75" customHeight="1">
      <c r="A927" s="571"/>
      <c r="B927" s="934"/>
      <c r="C927" s="934"/>
      <c r="D927" s="934"/>
      <c r="E927" s="934"/>
      <c r="F927" s="934"/>
      <c r="G927" s="571"/>
      <c r="H927" s="934"/>
      <c r="I927" s="934"/>
      <c r="J927" s="934"/>
      <c r="K927" s="934"/>
      <c r="L927" s="934"/>
      <c r="M927" s="934"/>
      <c r="N927" s="934"/>
      <c r="O927" s="934"/>
      <c r="P927" s="934"/>
      <c r="Q927" s="934"/>
      <c r="R927" s="934"/>
      <c r="S927" s="934"/>
      <c r="T927" s="934"/>
      <c r="U927" s="934"/>
      <c r="V927" s="934"/>
      <c r="W927" s="934"/>
      <c r="X927" s="934"/>
      <c r="Y927" s="934"/>
      <c r="Z927" s="934"/>
    </row>
    <row r="928" ht="15.75" customHeight="1">
      <c r="A928" s="571"/>
      <c r="B928" s="934"/>
      <c r="C928" s="934"/>
      <c r="D928" s="934"/>
      <c r="E928" s="934"/>
      <c r="F928" s="934"/>
      <c r="G928" s="571"/>
      <c r="H928" s="934"/>
      <c r="I928" s="934"/>
      <c r="J928" s="934"/>
      <c r="K928" s="934"/>
      <c r="L928" s="934"/>
      <c r="M928" s="934"/>
      <c r="N928" s="934"/>
      <c r="O928" s="934"/>
      <c r="P928" s="934"/>
      <c r="Q928" s="934"/>
      <c r="R928" s="934"/>
      <c r="S928" s="934"/>
      <c r="T928" s="934"/>
      <c r="U928" s="934"/>
      <c r="V928" s="934"/>
      <c r="W928" s="934"/>
      <c r="X928" s="934"/>
      <c r="Y928" s="934"/>
      <c r="Z928" s="934"/>
    </row>
    <row r="929" ht="15.75" customHeight="1">
      <c r="A929" s="571"/>
      <c r="B929" s="934"/>
      <c r="C929" s="934"/>
      <c r="D929" s="934"/>
      <c r="E929" s="934"/>
      <c r="F929" s="934"/>
      <c r="G929" s="571"/>
      <c r="H929" s="934"/>
      <c r="I929" s="934"/>
      <c r="J929" s="934"/>
      <c r="K929" s="934"/>
      <c r="L929" s="934"/>
      <c r="M929" s="934"/>
      <c r="N929" s="934"/>
      <c r="O929" s="934"/>
      <c r="P929" s="934"/>
      <c r="Q929" s="934"/>
      <c r="R929" s="934"/>
      <c r="S929" s="934"/>
      <c r="T929" s="934"/>
      <c r="U929" s="934"/>
      <c r="V929" s="934"/>
      <c r="W929" s="934"/>
      <c r="X929" s="934"/>
      <c r="Y929" s="934"/>
      <c r="Z929" s="934"/>
    </row>
    <row r="930" ht="15.75" customHeight="1">
      <c r="A930" s="571"/>
      <c r="B930" s="934"/>
      <c r="C930" s="934"/>
      <c r="D930" s="934"/>
      <c r="E930" s="934"/>
      <c r="F930" s="934"/>
      <c r="G930" s="571"/>
      <c r="H930" s="934"/>
      <c r="I930" s="934"/>
      <c r="J930" s="934"/>
      <c r="K930" s="934"/>
      <c r="L930" s="934"/>
      <c r="M930" s="934"/>
      <c r="N930" s="934"/>
      <c r="O930" s="934"/>
      <c r="P930" s="934"/>
      <c r="Q930" s="934"/>
      <c r="R930" s="934"/>
      <c r="S930" s="934"/>
      <c r="T930" s="934"/>
      <c r="U930" s="934"/>
      <c r="V930" s="934"/>
      <c r="W930" s="934"/>
      <c r="X930" s="934"/>
      <c r="Y930" s="934"/>
      <c r="Z930" s="934"/>
    </row>
    <row r="931" ht="15.75" customHeight="1">
      <c r="A931" s="571"/>
      <c r="B931" s="934"/>
      <c r="C931" s="934"/>
      <c r="D931" s="934"/>
      <c r="E931" s="934"/>
      <c r="F931" s="934"/>
      <c r="G931" s="571"/>
      <c r="H931" s="934"/>
      <c r="I931" s="934"/>
      <c r="J931" s="934"/>
      <c r="K931" s="934"/>
      <c r="L931" s="934"/>
      <c r="M931" s="934"/>
      <c r="N931" s="934"/>
      <c r="O931" s="934"/>
      <c r="P931" s="934"/>
      <c r="Q931" s="934"/>
      <c r="R931" s="934"/>
      <c r="S931" s="934"/>
      <c r="T931" s="934"/>
      <c r="U931" s="934"/>
      <c r="V931" s="934"/>
      <c r="W931" s="934"/>
      <c r="X931" s="934"/>
      <c r="Y931" s="934"/>
      <c r="Z931" s="934"/>
    </row>
    <row r="932" ht="15.75" customHeight="1">
      <c r="A932" s="571"/>
      <c r="B932" s="934"/>
      <c r="C932" s="934"/>
      <c r="D932" s="934"/>
      <c r="E932" s="934"/>
      <c r="F932" s="934"/>
      <c r="G932" s="571"/>
      <c r="H932" s="934"/>
      <c r="I932" s="934"/>
      <c r="J932" s="934"/>
      <c r="K932" s="934"/>
      <c r="L932" s="934"/>
      <c r="M932" s="934"/>
      <c r="N932" s="934"/>
      <c r="O932" s="934"/>
      <c r="P932" s="934"/>
      <c r="Q932" s="934"/>
      <c r="R932" s="934"/>
      <c r="S932" s="934"/>
      <c r="T932" s="934"/>
      <c r="U932" s="934"/>
      <c r="V932" s="934"/>
      <c r="W932" s="934"/>
      <c r="X932" s="934"/>
      <c r="Y932" s="934"/>
      <c r="Z932" s="934"/>
    </row>
    <row r="933" ht="15.75" customHeight="1">
      <c r="A933" s="571"/>
      <c r="B933" s="934"/>
      <c r="C933" s="934"/>
      <c r="D933" s="934"/>
      <c r="E933" s="934"/>
      <c r="F933" s="934"/>
      <c r="G933" s="571"/>
      <c r="H933" s="934"/>
      <c r="I933" s="934"/>
      <c r="J933" s="934"/>
      <c r="K933" s="934"/>
      <c r="L933" s="934"/>
      <c r="M933" s="934"/>
      <c r="N933" s="934"/>
      <c r="O933" s="934"/>
      <c r="P933" s="934"/>
      <c r="Q933" s="934"/>
      <c r="R933" s="934"/>
      <c r="S933" s="934"/>
      <c r="T933" s="934"/>
      <c r="U933" s="934"/>
      <c r="V933" s="934"/>
      <c r="W933" s="934"/>
      <c r="X933" s="934"/>
      <c r="Y933" s="934"/>
      <c r="Z933" s="934"/>
    </row>
    <row r="934" ht="15.75" customHeight="1">
      <c r="A934" s="571"/>
      <c r="B934" s="934"/>
      <c r="C934" s="934"/>
      <c r="D934" s="934"/>
      <c r="E934" s="934"/>
      <c r="F934" s="934"/>
      <c r="G934" s="571"/>
      <c r="H934" s="934"/>
      <c r="I934" s="934"/>
      <c r="J934" s="934"/>
      <c r="K934" s="934"/>
      <c r="L934" s="934"/>
      <c r="M934" s="934"/>
      <c r="N934" s="934"/>
      <c r="O934" s="934"/>
      <c r="P934" s="934"/>
      <c r="Q934" s="934"/>
      <c r="R934" s="934"/>
      <c r="S934" s="934"/>
      <c r="T934" s="934"/>
      <c r="U934" s="934"/>
      <c r="V934" s="934"/>
      <c r="W934" s="934"/>
      <c r="X934" s="934"/>
      <c r="Y934" s="934"/>
      <c r="Z934" s="934"/>
    </row>
    <row r="935" ht="15.75" customHeight="1">
      <c r="A935" s="571"/>
      <c r="B935" s="934"/>
      <c r="C935" s="934"/>
      <c r="D935" s="934"/>
      <c r="E935" s="934"/>
      <c r="F935" s="934"/>
      <c r="G935" s="571"/>
      <c r="H935" s="934"/>
      <c r="I935" s="934"/>
      <c r="J935" s="934"/>
      <c r="K935" s="934"/>
      <c r="L935" s="934"/>
      <c r="M935" s="934"/>
      <c r="N935" s="934"/>
      <c r="O935" s="934"/>
      <c r="P935" s="934"/>
      <c r="Q935" s="934"/>
      <c r="R935" s="934"/>
      <c r="S935" s="934"/>
      <c r="T935" s="934"/>
      <c r="U935" s="934"/>
      <c r="V935" s="934"/>
      <c r="W935" s="934"/>
      <c r="X935" s="934"/>
      <c r="Y935" s="934"/>
      <c r="Z935" s="934"/>
    </row>
    <row r="936" ht="15.75" customHeight="1">
      <c r="A936" s="571"/>
      <c r="B936" s="934"/>
      <c r="C936" s="934"/>
      <c r="D936" s="934"/>
      <c r="E936" s="934"/>
      <c r="F936" s="934"/>
      <c r="G936" s="571"/>
      <c r="H936" s="934"/>
      <c r="I936" s="934"/>
      <c r="J936" s="934"/>
      <c r="K936" s="934"/>
      <c r="L936" s="934"/>
      <c r="M936" s="934"/>
      <c r="N936" s="934"/>
      <c r="O936" s="934"/>
      <c r="P936" s="934"/>
      <c r="Q936" s="934"/>
      <c r="R936" s="934"/>
      <c r="S936" s="934"/>
      <c r="T936" s="934"/>
      <c r="U936" s="934"/>
      <c r="V936" s="934"/>
      <c r="W936" s="934"/>
      <c r="X936" s="934"/>
      <c r="Y936" s="934"/>
      <c r="Z936" s="934"/>
    </row>
    <row r="937" ht="15.75" customHeight="1">
      <c r="A937" s="571"/>
      <c r="B937" s="934"/>
      <c r="C937" s="934"/>
      <c r="D937" s="934"/>
      <c r="E937" s="934"/>
      <c r="F937" s="934"/>
      <c r="G937" s="571"/>
      <c r="H937" s="934"/>
      <c r="I937" s="934"/>
      <c r="J937" s="934"/>
      <c r="K937" s="934"/>
      <c r="L937" s="934"/>
      <c r="M937" s="934"/>
      <c r="N937" s="934"/>
      <c r="O937" s="934"/>
      <c r="P937" s="934"/>
      <c r="Q937" s="934"/>
      <c r="R937" s="934"/>
      <c r="S937" s="934"/>
      <c r="T937" s="934"/>
      <c r="U937" s="934"/>
      <c r="V937" s="934"/>
      <c r="W937" s="934"/>
      <c r="X937" s="934"/>
      <c r="Y937" s="934"/>
      <c r="Z937" s="934"/>
    </row>
    <row r="938" ht="15.75" customHeight="1">
      <c r="A938" s="571"/>
      <c r="B938" s="934"/>
      <c r="C938" s="934"/>
      <c r="D938" s="934"/>
      <c r="E938" s="934"/>
      <c r="F938" s="934"/>
      <c r="G938" s="571"/>
      <c r="H938" s="934"/>
      <c r="I938" s="934"/>
      <c r="J938" s="934"/>
      <c r="K938" s="934"/>
      <c r="L938" s="934"/>
      <c r="M938" s="934"/>
      <c r="N938" s="934"/>
      <c r="O938" s="934"/>
      <c r="P938" s="934"/>
      <c r="Q938" s="934"/>
      <c r="R938" s="934"/>
      <c r="S938" s="934"/>
      <c r="T938" s="934"/>
      <c r="U938" s="934"/>
      <c r="V938" s="934"/>
      <c r="W938" s="934"/>
      <c r="X938" s="934"/>
      <c r="Y938" s="934"/>
      <c r="Z938" s="934"/>
    </row>
    <row r="939" ht="15.75" customHeight="1">
      <c r="A939" s="571"/>
      <c r="B939" s="934"/>
      <c r="C939" s="934"/>
      <c r="D939" s="934"/>
      <c r="E939" s="934"/>
      <c r="F939" s="934"/>
      <c r="G939" s="571"/>
      <c r="H939" s="934"/>
      <c r="I939" s="934"/>
      <c r="J939" s="934"/>
      <c r="K939" s="934"/>
      <c r="L939" s="934"/>
      <c r="M939" s="934"/>
      <c r="N939" s="934"/>
      <c r="O939" s="934"/>
      <c r="P939" s="934"/>
      <c r="Q939" s="934"/>
      <c r="R939" s="934"/>
      <c r="S939" s="934"/>
      <c r="T939" s="934"/>
      <c r="U939" s="934"/>
      <c r="V939" s="934"/>
      <c r="W939" s="934"/>
      <c r="X939" s="934"/>
      <c r="Y939" s="934"/>
      <c r="Z939" s="934"/>
    </row>
    <row r="940" ht="15.75" customHeight="1">
      <c r="A940" s="571"/>
      <c r="B940" s="934"/>
      <c r="C940" s="934"/>
      <c r="D940" s="934"/>
      <c r="E940" s="934"/>
      <c r="F940" s="934"/>
      <c r="G940" s="571"/>
      <c r="H940" s="934"/>
      <c r="I940" s="934"/>
      <c r="J940" s="934"/>
      <c r="K940" s="934"/>
      <c r="L940" s="934"/>
      <c r="M940" s="934"/>
      <c r="N940" s="934"/>
      <c r="O940" s="934"/>
      <c r="P940" s="934"/>
      <c r="Q940" s="934"/>
      <c r="R940" s="934"/>
      <c r="S940" s="934"/>
      <c r="T940" s="934"/>
      <c r="U940" s="934"/>
      <c r="V940" s="934"/>
      <c r="W940" s="934"/>
      <c r="X940" s="934"/>
      <c r="Y940" s="934"/>
      <c r="Z940" s="934"/>
    </row>
    <row r="941" ht="15.75" customHeight="1">
      <c r="A941" s="571"/>
      <c r="B941" s="934"/>
      <c r="C941" s="934"/>
      <c r="D941" s="934"/>
      <c r="E941" s="934"/>
      <c r="F941" s="934"/>
      <c r="G941" s="571"/>
      <c r="H941" s="934"/>
      <c r="I941" s="934"/>
      <c r="J941" s="934"/>
      <c r="K941" s="934"/>
      <c r="L941" s="934"/>
      <c r="M941" s="934"/>
      <c r="N941" s="934"/>
      <c r="O941" s="934"/>
      <c r="P941" s="934"/>
      <c r="Q941" s="934"/>
      <c r="R941" s="934"/>
      <c r="S941" s="934"/>
      <c r="T941" s="934"/>
      <c r="U941" s="934"/>
      <c r="V941" s="934"/>
      <c r="W941" s="934"/>
      <c r="X941" s="934"/>
      <c r="Y941" s="934"/>
      <c r="Z941" s="934"/>
    </row>
    <row r="942" ht="15.75" customHeight="1">
      <c r="A942" s="571"/>
      <c r="B942" s="934"/>
      <c r="C942" s="934"/>
      <c r="D942" s="934"/>
      <c r="E942" s="934"/>
      <c r="F942" s="934"/>
      <c r="G942" s="571"/>
      <c r="H942" s="934"/>
      <c r="I942" s="934"/>
      <c r="J942" s="934"/>
      <c r="K942" s="934"/>
      <c r="L942" s="934"/>
      <c r="M942" s="934"/>
      <c r="N942" s="934"/>
      <c r="O942" s="934"/>
      <c r="P942" s="934"/>
      <c r="Q942" s="934"/>
      <c r="R942" s="934"/>
      <c r="S942" s="934"/>
      <c r="T942" s="934"/>
      <c r="U942" s="934"/>
      <c r="V942" s="934"/>
      <c r="W942" s="934"/>
      <c r="X942" s="934"/>
      <c r="Y942" s="934"/>
      <c r="Z942" s="934"/>
    </row>
    <row r="943" ht="15.75" customHeight="1">
      <c r="A943" s="571"/>
      <c r="B943" s="934"/>
      <c r="C943" s="934"/>
      <c r="D943" s="934"/>
      <c r="E943" s="934"/>
      <c r="F943" s="934"/>
      <c r="G943" s="571"/>
      <c r="H943" s="934"/>
      <c r="I943" s="934"/>
      <c r="J943" s="934"/>
      <c r="K943" s="934"/>
      <c r="L943" s="934"/>
      <c r="M943" s="934"/>
      <c r="N943" s="934"/>
      <c r="O943" s="934"/>
      <c r="P943" s="934"/>
      <c r="Q943" s="934"/>
      <c r="R943" s="934"/>
      <c r="S943" s="934"/>
      <c r="T943" s="934"/>
      <c r="U943" s="934"/>
      <c r="V943" s="934"/>
      <c r="W943" s="934"/>
      <c r="X943" s="934"/>
      <c r="Y943" s="934"/>
      <c r="Z943" s="934"/>
    </row>
    <row r="944" ht="15.75" customHeight="1">
      <c r="A944" s="571"/>
      <c r="B944" s="934"/>
      <c r="C944" s="934"/>
      <c r="D944" s="934"/>
      <c r="E944" s="934"/>
      <c r="F944" s="934"/>
      <c r="G944" s="571"/>
      <c r="H944" s="934"/>
      <c r="I944" s="934"/>
      <c r="J944" s="934"/>
      <c r="K944" s="934"/>
      <c r="L944" s="934"/>
      <c r="M944" s="934"/>
      <c r="N944" s="934"/>
      <c r="O944" s="934"/>
      <c r="P944" s="934"/>
      <c r="Q944" s="934"/>
      <c r="R944" s="934"/>
      <c r="S944" s="934"/>
      <c r="T944" s="934"/>
      <c r="U944" s="934"/>
      <c r="V944" s="934"/>
      <c r="W944" s="934"/>
      <c r="X944" s="934"/>
      <c r="Y944" s="934"/>
      <c r="Z944" s="934"/>
    </row>
    <row r="945" ht="15.75" customHeight="1">
      <c r="A945" s="571"/>
      <c r="B945" s="934"/>
      <c r="C945" s="934"/>
      <c r="D945" s="934"/>
      <c r="E945" s="934"/>
      <c r="F945" s="934"/>
      <c r="G945" s="571"/>
      <c r="H945" s="934"/>
      <c r="I945" s="934"/>
      <c r="J945" s="934"/>
      <c r="K945" s="934"/>
      <c r="L945" s="934"/>
      <c r="M945" s="934"/>
      <c r="N945" s="934"/>
      <c r="O945" s="934"/>
      <c r="P945" s="934"/>
      <c r="Q945" s="934"/>
      <c r="R945" s="934"/>
      <c r="S945" s="934"/>
      <c r="T945" s="934"/>
      <c r="U945" s="934"/>
      <c r="V945" s="934"/>
      <c r="W945" s="934"/>
      <c r="X945" s="934"/>
      <c r="Y945" s="934"/>
      <c r="Z945" s="934"/>
    </row>
    <row r="946" ht="15.75" customHeight="1">
      <c r="A946" s="571"/>
      <c r="B946" s="934"/>
      <c r="C946" s="934"/>
      <c r="D946" s="934"/>
      <c r="E946" s="934"/>
      <c r="F946" s="934"/>
      <c r="G946" s="571"/>
      <c r="H946" s="934"/>
      <c r="I946" s="934"/>
      <c r="J946" s="934"/>
      <c r="K946" s="934"/>
      <c r="L946" s="934"/>
      <c r="M946" s="934"/>
      <c r="N946" s="934"/>
      <c r="O946" s="934"/>
      <c r="P946" s="934"/>
      <c r="Q946" s="934"/>
      <c r="R946" s="934"/>
      <c r="S946" s="934"/>
      <c r="T946" s="934"/>
      <c r="U946" s="934"/>
      <c r="V946" s="934"/>
      <c r="W946" s="934"/>
      <c r="X946" s="934"/>
      <c r="Y946" s="934"/>
      <c r="Z946" s="934"/>
    </row>
    <row r="947" ht="15.75" customHeight="1">
      <c r="A947" s="571"/>
      <c r="B947" s="934"/>
      <c r="C947" s="934"/>
      <c r="D947" s="934"/>
      <c r="E947" s="934"/>
      <c r="F947" s="934"/>
      <c r="G947" s="571"/>
      <c r="H947" s="934"/>
      <c r="I947" s="934"/>
      <c r="J947" s="934"/>
      <c r="K947" s="934"/>
      <c r="L947" s="934"/>
      <c r="M947" s="934"/>
      <c r="N947" s="934"/>
      <c r="O947" s="934"/>
      <c r="P947" s="934"/>
      <c r="Q947" s="934"/>
      <c r="R947" s="934"/>
      <c r="S947" s="934"/>
      <c r="T947" s="934"/>
      <c r="U947" s="934"/>
      <c r="V947" s="934"/>
      <c r="W947" s="934"/>
      <c r="X947" s="934"/>
      <c r="Y947" s="934"/>
      <c r="Z947" s="934"/>
    </row>
    <row r="948" ht="15.75" customHeight="1">
      <c r="A948" s="571"/>
      <c r="B948" s="934"/>
      <c r="C948" s="934"/>
      <c r="D948" s="934"/>
      <c r="E948" s="934"/>
      <c r="F948" s="934"/>
      <c r="G948" s="571"/>
      <c r="H948" s="934"/>
      <c r="I948" s="934"/>
      <c r="J948" s="934"/>
      <c r="K948" s="934"/>
      <c r="L948" s="934"/>
      <c r="M948" s="934"/>
      <c r="N948" s="934"/>
      <c r="O948" s="934"/>
      <c r="P948" s="934"/>
      <c r="Q948" s="934"/>
      <c r="R948" s="934"/>
      <c r="S948" s="934"/>
      <c r="T948" s="934"/>
      <c r="U948" s="934"/>
      <c r="V948" s="934"/>
      <c r="W948" s="934"/>
      <c r="X948" s="934"/>
      <c r="Y948" s="934"/>
      <c r="Z948" s="934"/>
    </row>
    <row r="949" ht="15.75" customHeight="1">
      <c r="A949" s="571"/>
      <c r="B949" s="934"/>
      <c r="C949" s="934"/>
      <c r="D949" s="934"/>
      <c r="E949" s="934"/>
      <c r="F949" s="934"/>
      <c r="G949" s="571"/>
      <c r="H949" s="934"/>
      <c r="I949" s="934"/>
      <c r="J949" s="934"/>
      <c r="K949" s="934"/>
      <c r="L949" s="934"/>
      <c r="M949" s="934"/>
      <c r="N949" s="934"/>
      <c r="O949" s="934"/>
      <c r="P949" s="934"/>
      <c r="Q949" s="934"/>
      <c r="R949" s="934"/>
      <c r="S949" s="934"/>
      <c r="T949" s="934"/>
      <c r="U949" s="934"/>
      <c r="V949" s="934"/>
      <c r="W949" s="934"/>
      <c r="X949" s="934"/>
      <c r="Y949" s="934"/>
      <c r="Z949" s="934"/>
    </row>
    <row r="950" ht="15.75" customHeight="1">
      <c r="A950" s="571"/>
      <c r="B950" s="934"/>
      <c r="C950" s="934"/>
      <c r="D950" s="934"/>
      <c r="E950" s="934"/>
      <c r="F950" s="934"/>
      <c r="G950" s="571"/>
      <c r="H950" s="934"/>
      <c r="I950" s="934"/>
      <c r="J950" s="934"/>
      <c r="K950" s="934"/>
      <c r="L950" s="934"/>
      <c r="M950" s="934"/>
      <c r="N950" s="934"/>
      <c r="O950" s="934"/>
      <c r="P950" s="934"/>
      <c r="Q950" s="934"/>
      <c r="R950" s="934"/>
      <c r="S950" s="934"/>
      <c r="T950" s="934"/>
      <c r="U950" s="934"/>
      <c r="V950" s="934"/>
      <c r="W950" s="934"/>
      <c r="X950" s="934"/>
      <c r="Y950" s="934"/>
      <c r="Z950" s="934"/>
    </row>
    <row r="951" ht="15.75" customHeight="1">
      <c r="A951" s="571"/>
      <c r="B951" s="934"/>
      <c r="C951" s="934"/>
      <c r="D951" s="934"/>
      <c r="E951" s="934"/>
      <c r="F951" s="934"/>
      <c r="G951" s="571"/>
      <c r="H951" s="934"/>
      <c r="I951" s="934"/>
      <c r="J951" s="934"/>
      <c r="K951" s="934"/>
      <c r="L951" s="934"/>
      <c r="M951" s="934"/>
      <c r="N951" s="934"/>
      <c r="O951" s="934"/>
      <c r="P951" s="934"/>
      <c r="Q951" s="934"/>
      <c r="R951" s="934"/>
      <c r="S951" s="934"/>
      <c r="T951" s="934"/>
      <c r="U951" s="934"/>
      <c r="V951" s="934"/>
      <c r="W951" s="934"/>
      <c r="X951" s="934"/>
      <c r="Y951" s="934"/>
      <c r="Z951" s="934"/>
    </row>
    <row r="952" ht="15.75" customHeight="1">
      <c r="A952" s="571"/>
      <c r="B952" s="934"/>
      <c r="C952" s="934"/>
      <c r="D952" s="934"/>
      <c r="E952" s="934"/>
      <c r="F952" s="934"/>
      <c r="G952" s="571"/>
      <c r="H952" s="934"/>
      <c r="I952" s="934"/>
      <c r="J952" s="934"/>
      <c r="K952" s="934"/>
      <c r="L952" s="934"/>
      <c r="M952" s="934"/>
      <c r="N952" s="934"/>
      <c r="O952" s="934"/>
      <c r="P952" s="934"/>
      <c r="Q952" s="934"/>
      <c r="R952" s="934"/>
      <c r="S952" s="934"/>
      <c r="T952" s="934"/>
      <c r="U952" s="934"/>
      <c r="V952" s="934"/>
      <c r="W952" s="934"/>
      <c r="X952" s="934"/>
      <c r="Y952" s="934"/>
      <c r="Z952" s="934"/>
    </row>
    <row r="953" ht="15.75" customHeight="1">
      <c r="A953" s="571"/>
      <c r="B953" s="934"/>
      <c r="C953" s="934"/>
      <c r="D953" s="934"/>
      <c r="E953" s="934"/>
      <c r="F953" s="934"/>
      <c r="G953" s="571"/>
      <c r="H953" s="934"/>
      <c r="I953" s="934"/>
      <c r="J953" s="934"/>
      <c r="K953" s="934"/>
      <c r="L953" s="934"/>
      <c r="M953" s="934"/>
      <c r="N953" s="934"/>
      <c r="O953" s="934"/>
      <c r="P953" s="934"/>
      <c r="Q953" s="934"/>
      <c r="R953" s="934"/>
      <c r="S953" s="934"/>
      <c r="T953" s="934"/>
      <c r="U953" s="934"/>
      <c r="V953" s="934"/>
      <c r="W953" s="934"/>
      <c r="X953" s="934"/>
      <c r="Y953" s="934"/>
      <c r="Z953" s="934"/>
    </row>
    <row r="954" ht="15.75" customHeight="1">
      <c r="A954" s="571"/>
      <c r="B954" s="934"/>
      <c r="C954" s="934"/>
      <c r="D954" s="934"/>
      <c r="E954" s="934"/>
      <c r="F954" s="934"/>
      <c r="G954" s="571"/>
      <c r="H954" s="934"/>
      <c r="I954" s="934"/>
      <c r="J954" s="934"/>
      <c r="K954" s="934"/>
      <c r="L954" s="934"/>
      <c r="M954" s="934"/>
      <c r="N954" s="934"/>
      <c r="O954" s="934"/>
      <c r="P954" s="934"/>
      <c r="Q954" s="934"/>
      <c r="R954" s="934"/>
      <c r="S954" s="934"/>
      <c r="T954" s="934"/>
      <c r="U954" s="934"/>
      <c r="V954" s="934"/>
      <c r="W954" s="934"/>
      <c r="X954" s="934"/>
      <c r="Y954" s="934"/>
      <c r="Z954" s="934"/>
    </row>
    <row r="955" ht="15.75" customHeight="1">
      <c r="A955" s="571"/>
      <c r="B955" s="934"/>
      <c r="C955" s="934"/>
      <c r="D955" s="934"/>
      <c r="E955" s="934"/>
      <c r="F955" s="934"/>
      <c r="G955" s="571"/>
      <c r="H955" s="934"/>
      <c r="I955" s="934"/>
      <c r="J955" s="934"/>
      <c r="K955" s="934"/>
      <c r="L955" s="934"/>
      <c r="M955" s="934"/>
      <c r="N955" s="934"/>
      <c r="O955" s="934"/>
      <c r="P955" s="934"/>
      <c r="Q955" s="934"/>
      <c r="R955" s="934"/>
      <c r="S955" s="934"/>
      <c r="T955" s="934"/>
      <c r="U955" s="934"/>
      <c r="V955" s="934"/>
      <c r="W955" s="934"/>
      <c r="X955" s="934"/>
      <c r="Y955" s="934"/>
      <c r="Z955" s="934"/>
    </row>
    <row r="956" ht="15.75" customHeight="1">
      <c r="A956" s="571"/>
      <c r="B956" s="934"/>
      <c r="C956" s="934"/>
      <c r="D956" s="934"/>
      <c r="E956" s="934"/>
      <c r="F956" s="934"/>
      <c r="G956" s="571"/>
      <c r="H956" s="934"/>
      <c r="I956" s="934"/>
      <c r="J956" s="934"/>
      <c r="K956" s="934"/>
      <c r="L956" s="934"/>
      <c r="M956" s="934"/>
      <c r="N956" s="934"/>
      <c r="O956" s="934"/>
      <c r="P956" s="934"/>
      <c r="Q956" s="934"/>
      <c r="R956" s="934"/>
      <c r="S956" s="934"/>
      <c r="T956" s="934"/>
      <c r="U956" s="934"/>
      <c r="V956" s="934"/>
      <c r="W956" s="934"/>
      <c r="X956" s="934"/>
      <c r="Y956" s="934"/>
      <c r="Z956" s="934"/>
    </row>
    <row r="957" ht="15.75" customHeight="1">
      <c r="A957" s="571"/>
      <c r="B957" s="934"/>
      <c r="C957" s="934"/>
      <c r="D957" s="934"/>
      <c r="E957" s="934"/>
      <c r="F957" s="934"/>
      <c r="G957" s="571"/>
      <c r="H957" s="934"/>
      <c r="I957" s="934"/>
      <c r="J957" s="934"/>
      <c r="K957" s="934"/>
      <c r="L957" s="934"/>
      <c r="M957" s="934"/>
      <c r="N957" s="934"/>
      <c r="O957" s="934"/>
      <c r="P957" s="934"/>
      <c r="Q957" s="934"/>
      <c r="R957" s="934"/>
      <c r="S957" s="934"/>
      <c r="T957" s="934"/>
      <c r="U957" s="934"/>
      <c r="V957" s="934"/>
      <c r="W957" s="934"/>
      <c r="X957" s="934"/>
      <c r="Y957" s="934"/>
      <c r="Z957" s="934"/>
    </row>
    <row r="958" ht="15.75" customHeight="1">
      <c r="A958" s="571"/>
      <c r="B958" s="934"/>
      <c r="C958" s="934"/>
      <c r="D958" s="934"/>
      <c r="E958" s="934"/>
      <c r="F958" s="934"/>
      <c r="G958" s="571"/>
      <c r="H958" s="934"/>
      <c r="I958" s="934"/>
      <c r="J958" s="934"/>
      <c r="K958" s="934"/>
      <c r="L958" s="934"/>
      <c r="M958" s="934"/>
      <c r="N958" s="934"/>
      <c r="O958" s="934"/>
      <c r="P958" s="934"/>
      <c r="Q958" s="934"/>
      <c r="R958" s="934"/>
      <c r="S958" s="934"/>
      <c r="T958" s="934"/>
      <c r="U958" s="934"/>
      <c r="V958" s="934"/>
      <c r="W958" s="934"/>
      <c r="X958" s="934"/>
      <c r="Y958" s="934"/>
      <c r="Z958" s="934"/>
    </row>
    <row r="959" ht="15.75" customHeight="1">
      <c r="A959" s="571"/>
      <c r="B959" s="934"/>
      <c r="C959" s="934"/>
      <c r="D959" s="934"/>
      <c r="E959" s="934"/>
      <c r="F959" s="934"/>
      <c r="G959" s="571"/>
      <c r="H959" s="934"/>
      <c r="I959" s="934"/>
      <c r="J959" s="934"/>
      <c r="K959" s="934"/>
      <c r="L959" s="934"/>
      <c r="M959" s="934"/>
      <c r="N959" s="934"/>
      <c r="O959" s="934"/>
      <c r="P959" s="934"/>
      <c r="Q959" s="934"/>
      <c r="R959" s="934"/>
      <c r="S959" s="934"/>
      <c r="T959" s="934"/>
      <c r="U959" s="934"/>
      <c r="V959" s="934"/>
      <c r="W959" s="934"/>
      <c r="X959" s="934"/>
      <c r="Y959" s="934"/>
      <c r="Z959" s="934"/>
    </row>
    <row r="960" ht="15.75" customHeight="1">
      <c r="A960" s="571"/>
      <c r="B960" s="934"/>
      <c r="C960" s="934"/>
      <c r="D960" s="934"/>
      <c r="E960" s="934"/>
      <c r="F960" s="934"/>
      <c r="G960" s="571"/>
      <c r="H960" s="934"/>
      <c r="I960" s="934"/>
      <c r="J960" s="934"/>
      <c r="K960" s="934"/>
      <c r="L960" s="934"/>
      <c r="M960" s="934"/>
      <c r="N960" s="934"/>
      <c r="O960" s="934"/>
      <c r="P960" s="934"/>
      <c r="Q960" s="934"/>
      <c r="R960" s="934"/>
      <c r="S960" s="934"/>
      <c r="T960" s="934"/>
      <c r="U960" s="934"/>
      <c r="V960" s="934"/>
      <c r="W960" s="934"/>
      <c r="X960" s="934"/>
      <c r="Y960" s="934"/>
      <c r="Z960" s="934"/>
    </row>
    <row r="961" ht="15.75" customHeight="1">
      <c r="A961" s="571"/>
      <c r="B961" s="934"/>
      <c r="C961" s="934"/>
      <c r="D961" s="934"/>
      <c r="E961" s="934"/>
      <c r="F961" s="934"/>
      <c r="G961" s="571"/>
      <c r="H961" s="934"/>
      <c r="I961" s="934"/>
      <c r="J961" s="934"/>
      <c r="K961" s="934"/>
      <c r="L961" s="934"/>
      <c r="M961" s="934"/>
      <c r="N961" s="934"/>
      <c r="O961" s="934"/>
      <c r="P961" s="934"/>
      <c r="Q961" s="934"/>
      <c r="R961" s="934"/>
      <c r="S961" s="934"/>
      <c r="T961" s="934"/>
      <c r="U961" s="934"/>
      <c r="V961" s="934"/>
      <c r="W961" s="934"/>
      <c r="X961" s="934"/>
      <c r="Y961" s="934"/>
      <c r="Z961" s="934"/>
    </row>
    <row r="962" ht="15.75" customHeight="1">
      <c r="A962" s="571"/>
      <c r="B962" s="934"/>
      <c r="C962" s="934"/>
      <c r="D962" s="934"/>
      <c r="E962" s="934"/>
      <c r="F962" s="934"/>
      <c r="G962" s="571"/>
      <c r="H962" s="934"/>
      <c r="I962" s="934"/>
      <c r="J962" s="934"/>
      <c r="K962" s="934"/>
      <c r="L962" s="934"/>
      <c r="M962" s="934"/>
      <c r="N962" s="934"/>
      <c r="O962" s="934"/>
      <c r="P962" s="934"/>
      <c r="Q962" s="934"/>
      <c r="R962" s="934"/>
      <c r="S962" s="934"/>
      <c r="T962" s="934"/>
      <c r="U962" s="934"/>
      <c r="V962" s="934"/>
      <c r="W962" s="934"/>
      <c r="X962" s="934"/>
      <c r="Y962" s="934"/>
      <c r="Z962" s="934"/>
    </row>
    <row r="963" ht="15.75" customHeight="1">
      <c r="A963" s="571"/>
      <c r="B963" s="934"/>
      <c r="C963" s="934"/>
      <c r="D963" s="934"/>
      <c r="E963" s="934"/>
      <c r="F963" s="934"/>
      <c r="G963" s="571"/>
      <c r="H963" s="934"/>
      <c r="I963" s="934"/>
      <c r="J963" s="934"/>
      <c r="K963" s="934"/>
      <c r="L963" s="934"/>
      <c r="M963" s="934"/>
      <c r="N963" s="934"/>
      <c r="O963" s="934"/>
      <c r="P963" s="934"/>
      <c r="Q963" s="934"/>
      <c r="R963" s="934"/>
      <c r="S963" s="934"/>
      <c r="T963" s="934"/>
      <c r="U963" s="934"/>
      <c r="V963" s="934"/>
      <c r="W963" s="934"/>
      <c r="X963" s="934"/>
      <c r="Y963" s="934"/>
      <c r="Z963" s="934"/>
    </row>
    <row r="964" ht="15.75" customHeight="1">
      <c r="A964" s="571"/>
      <c r="B964" s="934"/>
      <c r="C964" s="934"/>
      <c r="D964" s="934"/>
      <c r="E964" s="934"/>
      <c r="F964" s="934"/>
      <c r="G964" s="571"/>
      <c r="H964" s="934"/>
      <c r="I964" s="934"/>
      <c r="J964" s="934"/>
      <c r="K964" s="934"/>
      <c r="L964" s="934"/>
      <c r="M964" s="934"/>
      <c r="N964" s="934"/>
      <c r="O964" s="934"/>
      <c r="P964" s="934"/>
      <c r="Q964" s="934"/>
      <c r="R964" s="934"/>
      <c r="S964" s="934"/>
      <c r="T964" s="934"/>
      <c r="U964" s="934"/>
      <c r="V964" s="934"/>
      <c r="W964" s="934"/>
      <c r="X964" s="934"/>
      <c r="Y964" s="934"/>
      <c r="Z964" s="934"/>
    </row>
    <row r="965" ht="15.75" customHeight="1">
      <c r="A965" s="571"/>
      <c r="B965" s="934"/>
      <c r="C965" s="934"/>
      <c r="D965" s="934"/>
      <c r="E965" s="934"/>
      <c r="F965" s="934"/>
      <c r="G965" s="571"/>
      <c r="H965" s="934"/>
      <c r="I965" s="934"/>
      <c r="J965" s="934"/>
      <c r="K965" s="934"/>
      <c r="L965" s="934"/>
      <c r="M965" s="934"/>
      <c r="N965" s="934"/>
      <c r="O965" s="934"/>
      <c r="P965" s="934"/>
      <c r="Q965" s="934"/>
      <c r="R965" s="934"/>
      <c r="S965" s="934"/>
      <c r="T965" s="934"/>
      <c r="U965" s="934"/>
      <c r="V965" s="934"/>
      <c r="W965" s="934"/>
      <c r="X965" s="934"/>
      <c r="Y965" s="934"/>
      <c r="Z965" s="934"/>
    </row>
    <row r="966" ht="15.75" customHeight="1">
      <c r="A966" s="571"/>
      <c r="B966" s="934"/>
      <c r="C966" s="934"/>
      <c r="D966" s="934"/>
      <c r="E966" s="934"/>
      <c r="F966" s="934"/>
      <c r="G966" s="571"/>
      <c r="H966" s="934"/>
      <c r="I966" s="934"/>
      <c r="J966" s="934"/>
      <c r="K966" s="934"/>
      <c r="L966" s="934"/>
      <c r="M966" s="934"/>
      <c r="N966" s="934"/>
      <c r="O966" s="934"/>
      <c r="P966" s="934"/>
      <c r="Q966" s="934"/>
      <c r="R966" s="934"/>
      <c r="S966" s="934"/>
      <c r="T966" s="934"/>
      <c r="U966" s="934"/>
      <c r="V966" s="934"/>
      <c r="W966" s="934"/>
      <c r="X966" s="934"/>
      <c r="Y966" s="934"/>
      <c r="Z966" s="934"/>
    </row>
    <row r="967" ht="15.75" customHeight="1">
      <c r="A967" s="571"/>
      <c r="B967" s="934"/>
      <c r="C967" s="934"/>
      <c r="D967" s="934"/>
      <c r="E967" s="934"/>
      <c r="F967" s="934"/>
      <c r="G967" s="571"/>
      <c r="H967" s="934"/>
      <c r="I967" s="934"/>
      <c r="J967" s="934"/>
      <c r="K967" s="934"/>
      <c r="L967" s="934"/>
      <c r="M967" s="934"/>
      <c r="N967" s="934"/>
      <c r="O967" s="934"/>
      <c r="P967" s="934"/>
      <c r="Q967" s="934"/>
      <c r="R967" s="934"/>
      <c r="S967" s="934"/>
      <c r="T967" s="934"/>
      <c r="U967" s="934"/>
      <c r="V967" s="934"/>
      <c r="W967" s="934"/>
      <c r="X967" s="934"/>
      <c r="Y967" s="934"/>
      <c r="Z967" s="934"/>
    </row>
    <row r="968" ht="15.75" customHeight="1">
      <c r="A968" s="571"/>
      <c r="B968" s="934"/>
      <c r="C968" s="934"/>
      <c r="D968" s="934"/>
      <c r="E968" s="934"/>
      <c r="F968" s="934"/>
      <c r="G968" s="571"/>
      <c r="H968" s="934"/>
      <c r="I968" s="934"/>
      <c r="J968" s="934"/>
      <c r="K968" s="934"/>
      <c r="L968" s="934"/>
      <c r="M968" s="934"/>
      <c r="N968" s="934"/>
      <c r="O968" s="934"/>
      <c r="P968" s="934"/>
      <c r="Q968" s="934"/>
      <c r="R968" s="934"/>
      <c r="S968" s="934"/>
      <c r="T968" s="934"/>
      <c r="U968" s="934"/>
      <c r="V968" s="934"/>
      <c r="W968" s="934"/>
      <c r="X968" s="934"/>
      <c r="Y968" s="934"/>
      <c r="Z968" s="934"/>
    </row>
    <row r="969" ht="15.75" customHeight="1">
      <c r="A969" s="571"/>
      <c r="B969" s="934"/>
      <c r="C969" s="934"/>
      <c r="D969" s="934"/>
      <c r="E969" s="934"/>
      <c r="F969" s="934"/>
      <c r="G969" s="571"/>
      <c r="H969" s="934"/>
      <c r="I969" s="934"/>
      <c r="J969" s="934"/>
      <c r="K969" s="934"/>
      <c r="L969" s="934"/>
      <c r="M969" s="934"/>
      <c r="N969" s="934"/>
      <c r="O969" s="934"/>
      <c r="P969" s="934"/>
      <c r="Q969" s="934"/>
      <c r="R969" s="934"/>
      <c r="S969" s="934"/>
      <c r="T969" s="934"/>
      <c r="U969" s="934"/>
      <c r="V969" s="934"/>
      <c r="W969" s="934"/>
      <c r="X969" s="934"/>
      <c r="Y969" s="934"/>
      <c r="Z969" s="934"/>
    </row>
    <row r="970" ht="15.75" customHeight="1">
      <c r="A970" s="571"/>
      <c r="B970" s="934"/>
      <c r="C970" s="934"/>
      <c r="D970" s="934"/>
      <c r="E970" s="934"/>
      <c r="F970" s="934"/>
      <c r="G970" s="571"/>
      <c r="H970" s="934"/>
      <c r="I970" s="934"/>
      <c r="J970" s="934"/>
      <c r="K970" s="934"/>
      <c r="L970" s="934"/>
      <c r="M970" s="934"/>
      <c r="N970" s="934"/>
      <c r="O970" s="934"/>
      <c r="P970" s="934"/>
      <c r="Q970" s="934"/>
      <c r="R970" s="934"/>
      <c r="S970" s="934"/>
      <c r="T970" s="934"/>
      <c r="U970" s="934"/>
      <c r="V970" s="934"/>
      <c r="W970" s="934"/>
      <c r="X970" s="934"/>
      <c r="Y970" s="934"/>
      <c r="Z970" s="934"/>
    </row>
    <row r="971" ht="15.75" customHeight="1">
      <c r="A971" s="571"/>
      <c r="B971" s="934"/>
      <c r="C971" s="934"/>
      <c r="D971" s="934"/>
      <c r="E971" s="934"/>
      <c r="F971" s="934"/>
      <c r="G971" s="571"/>
      <c r="H971" s="934"/>
      <c r="I971" s="934"/>
      <c r="J971" s="934"/>
      <c r="K971" s="934"/>
      <c r="L971" s="934"/>
      <c r="M971" s="934"/>
      <c r="N971" s="934"/>
      <c r="O971" s="934"/>
      <c r="P971" s="934"/>
      <c r="Q971" s="934"/>
      <c r="R971" s="934"/>
      <c r="S971" s="934"/>
      <c r="T971" s="934"/>
      <c r="U971" s="934"/>
      <c r="V971" s="934"/>
      <c r="W971" s="934"/>
      <c r="X971" s="934"/>
      <c r="Y971" s="934"/>
      <c r="Z971" s="934"/>
    </row>
    <row r="972" ht="15.75" customHeight="1">
      <c r="A972" s="571"/>
      <c r="B972" s="934"/>
      <c r="C972" s="934"/>
      <c r="D972" s="934"/>
      <c r="E972" s="934"/>
      <c r="F972" s="934"/>
      <c r="G972" s="571"/>
      <c r="H972" s="934"/>
      <c r="I972" s="934"/>
      <c r="J972" s="934"/>
      <c r="K972" s="934"/>
      <c r="L972" s="934"/>
      <c r="M972" s="934"/>
      <c r="N972" s="934"/>
      <c r="O972" s="934"/>
      <c r="P972" s="934"/>
      <c r="Q972" s="934"/>
      <c r="R972" s="934"/>
      <c r="S972" s="934"/>
      <c r="T972" s="934"/>
      <c r="U972" s="934"/>
      <c r="V972" s="934"/>
      <c r="W972" s="934"/>
      <c r="X972" s="934"/>
      <c r="Y972" s="934"/>
      <c r="Z972" s="934"/>
    </row>
    <row r="973" ht="15.75" customHeight="1">
      <c r="A973" s="571"/>
      <c r="B973" s="934"/>
      <c r="C973" s="934"/>
      <c r="D973" s="934"/>
      <c r="E973" s="934"/>
      <c r="F973" s="934"/>
      <c r="G973" s="571"/>
      <c r="H973" s="934"/>
      <c r="I973" s="934"/>
      <c r="J973" s="934"/>
      <c r="K973" s="934"/>
      <c r="L973" s="934"/>
      <c r="M973" s="934"/>
      <c r="N973" s="934"/>
      <c r="O973" s="934"/>
      <c r="P973" s="934"/>
      <c r="Q973" s="934"/>
      <c r="R973" s="934"/>
      <c r="S973" s="934"/>
      <c r="T973" s="934"/>
      <c r="U973" s="934"/>
      <c r="V973" s="934"/>
      <c r="W973" s="934"/>
      <c r="X973" s="934"/>
      <c r="Y973" s="934"/>
      <c r="Z973" s="934"/>
    </row>
    <row r="974" ht="15.75" customHeight="1">
      <c r="A974" s="571"/>
      <c r="B974" s="934"/>
      <c r="C974" s="934"/>
      <c r="D974" s="934"/>
      <c r="E974" s="934"/>
      <c r="F974" s="934"/>
      <c r="G974" s="571"/>
      <c r="H974" s="934"/>
      <c r="I974" s="934"/>
      <c r="J974" s="934"/>
      <c r="K974" s="934"/>
      <c r="L974" s="934"/>
      <c r="M974" s="934"/>
      <c r="N974" s="934"/>
      <c r="O974" s="934"/>
      <c r="P974" s="934"/>
      <c r="Q974" s="934"/>
      <c r="R974" s="934"/>
      <c r="S974" s="934"/>
      <c r="T974" s="934"/>
      <c r="U974" s="934"/>
      <c r="V974" s="934"/>
      <c r="W974" s="934"/>
      <c r="X974" s="934"/>
      <c r="Y974" s="934"/>
      <c r="Z974" s="934"/>
    </row>
    <row r="975" ht="15.75" customHeight="1">
      <c r="A975" s="571"/>
      <c r="B975" s="934"/>
      <c r="C975" s="934"/>
      <c r="D975" s="934"/>
      <c r="E975" s="934"/>
      <c r="F975" s="934"/>
      <c r="G975" s="571"/>
      <c r="H975" s="934"/>
      <c r="I975" s="934"/>
      <c r="J975" s="934"/>
      <c r="K975" s="934"/>
      <c r="L975" s="934"/>
      <c r="M975" s="934"/>
      <c r="N975" s="934"/>
      <c r="O975" s="934"/>
      <c r="P975" s="934"/>
      <c r="Q975" s="934"/>
      <c r="R975" s="934"/>
      <c r="S975" s="934"/>
      <c r="T975" s="934"/>
      <c r="U975" s="934"/>
      <c r="V975" s="934"/>
      <c r="W975" s="934"/>
      <c r="X975" s="934"/>
      <c r="Y975" s="934"/>
      <c r="Z975" s="934"/>
    </row>
    <row r="976" ht="15.75" customHeight="1">
      <c r="A976" s="571"/>
      <c r="B976" s="934"/>
      <c r="C976" s="934"/>
      <c r="D976" s="934"/>
      <c r="E976" s="934"/>
      <c r="F976" s="934"/>
      <c r="G976" s="571"/>
      <c r="H976" s="934"/>
      <c r="I976" s="934"/>
      <c r="J976" s="934"/>
      <c r="K976" s="934"/>
      <c r="L976" s="934"/>
      <c r="M976" s="934"/>
      <c r="N976" s="934"/>
      <c r="O976" s="934"/>
      <c r="P976" s="934"/>
      <c r="Q976" s="934"/>
      <c r="R976" s="934"/>
      <c r="S976" s="934"/>
      <c r="T976" s="934"/>
      <c r="U976" s="934"/>
      <c r="V976" s="934"/>
      <c r="W976" s="934"/>
      <c r="X976" s="934"/>
      <c r="Y976" s="934"/>
      <c r="Z976" s="934"/>
    </row>
    <row r="977" ht="15.75" customHeight="1">
      <c r="A977" s="571"/>
      <c r="B977" s="934"/>
      <c r="C977" s="934"/>
      <c r="D977" s="934"/>
      <c r="E977" s="934"/>
      <c r="F977" s="934"/>
      <c r="G977" s="571"/>
      <c r="H977" s="934"/>
      <c r="I977" s="934"/>
      <c r="J977" s="934"/>
      <c r="K977" s="934"/>
      <c r="L977" s="934"/>
      <c r="M977" s="934"/>
      <c r="N977" s="934"/>
      <c r="O977" s="934"/>
      <c r="P977" s="934"/>
      <c r="Q977" s="934"/>
      <c r="R977" s="934"/>
      <c r="S977" s="934"/>
      <c r="T977" s="934"/>
      <c r="U977" s="934"/>
      <c r="V977" s="934"/>
      <c r="W977" s="934"/>
      <c r="X977" s="934"/>
      <c r="Y977" s="934"/>
      <c r="Z977" s="934"/>
    </row>
    <row r="978" ht="15.75" customHeight="1">
      <c r="A978" s="571"/>
      <c r="B978" s="934"/>
      <c r="C978" s="934"/>
      <c r="D978" s="934"/>
      <c r="E978" s="934"/>
      <c r="F978" s="934"/>
      <c r="G978" s="571"/>
      <c r="H978" s="934"/>
      <c r="I978" s="934"/>
      <c r="J978" s="934"/>
      <c r="K978" s="934"/>
      <c r="L978" s="934"/>
      <c r="M978" s="934"/>
      <c r="N978" s="934"/>
      <c r="O978" s="934"/>
      <c r="P978" s="934"/>
      <c r="Q978" s="934"/>
      <c r="R978" s="934"/>
      <c r="S978" s="934"/>
      <c r="T978" s="934"/>
      <c r="U978" s="934"/>
      <c r="V978" s="934"/>
      <c r="W978" s="934"/>
      <c r="X978" s="934"/>
      <c r="Y978" s="934"/>
      <c r="Z978" s="934"/>
    </row>
    <row r="979" ht="15.75" customHeight="1">
      <c r="A979" s="571"/>
      <c r="B979" s="934"/>
      <c r="C979" s="934"/>
      <c r="D979" s="934"/>
      <c r="E979" s="934"/>
      <c r="F979" s="934"/>
      <c r="G979" s="571"/>
      <c r="H979" s="934"/>
      <c r="I979" s="934"/>
      <c r="J979" s="934"/>
      <c r="K979" s="934"/>
      <c r="L979" s="934"/>
      <c r="M979" s="934"/>
      <c r="N979" s="934"/>
      <c r="O979" s="934"/>
      <c r="P979" s="934"/>
      <c r="Q979" s="934"/>
      <c r="R979" s="934"/>
      <c r="S979" s="934"/>
      <c r="T979" s="934"/>
      <c r="U979" s="934"/>
      <c r="V979" s="934"/>
      <c r="W979" s="934"/>
      <c r="X979" s="934"/>
      <c r="Y979" s="934"/>
      <c r="Z979" s="934"/>
    </row>
    <row r="980" ht="15.75" customHeight="1">
      <c r="A980" s="571"/>
      <c r="B980" s="934"/>
      <c r="C980" s="934"/>
      <c r="D980" s="934"/>
      <c r="E980" s="934"/>
      <c r="F980" s="934"/>
      <c r="G980" s="571"/>
      <c r="H980" s="934"/>
      <c r="I980" s="934"/>
      <c r="J980" s="934"/>
      <c r="K980" s="934"/>
      <c r="L980" s="934"/>
      <c r="M980" s="934"/>
      <c r="N980" s="934"/>
      <c r="O980" s="934"/>
      <c r="P980" s="934"/>
      <c r="Q980" s="934"/>
      <c r="R980" s="934"/>
      <c r="S980" s="934"/>
      <c r="T980" s="934"/>
      <c r="U980" s="934"/>
      <c r="V980" s="934"/>
      <c r="W980" s="934"/>
      <c r="X980" s="934"/>
      <c r="Y980" s="934"/>
      <c r="Z980" s="934"/>
    </row>
    <row r="981" ht="15.75" customHeight="1">
      <c r="A981" s="571"/>
      <c r="B981" s="934"/>
      <c r="C981" s="934"/>
      <c r="D981" s="934"/>
      <c r="E981" s="934"/>
      <c r="F981" s="934"/>
      <c r="G981" s="571"/>
      <c r="H981" s="934"/>
      <c r="I981" s="934"/>
      <c r="J981" s="934"/>
      <c r="K981" s="934"/>
      <c r="L981" s="934"/>
      <c r="M981" s="934"/>
      <c r="N981" s="934"/>
      <c r="O981" s="934"/>
      <c r="P981" s="934"/>
      <c r="Q981" s="934"/>
      <c r="R981" s="934"/>
      <c r="S981" s="934"/>
      <c r="T981" s="934"/>
      <c r="U981" s="934"/>
      <c r="V981" s="934"/>
      <c r="W981" s="934"/>
      <c r="X981" s="934"/>
      <c r="Y981" s="934"/>
      <c r="Z981" s="934"/>
    </row>
    <row r="982" ht="15.75" customHeight="1">
      <c r="A982" s="571"/>
      <c r="B982" s="934"/>
      <c r="C982" s="934"/>
      <c r="D982" s="934"/>
      <c r="E982" s="934"/>
      <c r="F982" s="934"/>
      <c r="G982" s="571"/>
      <c r="H982" s="934"/>
      <c r="I982" s="934"/>
      <c r="J982" s="934"/>
      <c r="K982" s="934"/>
      <c r="L982" s="934"/>
      <c r="M982" s="934"/>
      <c r="N982" s="934"/>
      <c r="O982" s="934"/>
      <c r="P982" s="934"/>
      <c r="Q982" s="934"/>
      <c r="R982" s="934"/>
      <c r="S982" s="934"/>
      <c r="T982" s="934"/>
      <c r="U982" s="934"/>
      <c r="V982" s="934"/>
      <c r="W982" s="934"/>
      <c r="X982" s="934"/>
      <c r="Y982" s="934"/>
      <c r="Z982" s="934"/>
    </row>
    <row r="983" ht="15.75" customHeight="1">
      <c r="A983" s="571"/>
      <c r="B983" s="934"/>
      <c r="C983" s="934"/>
      <c r="D983" s="934"/>
      <c r="E983" s="934"/>
      <c r="F983" s="934"/>
      <c r="G983" s="571"/>
      <c r="H983" s="934"/>
      <c r="I983" s="934"/>
      <c r="J983" s="934"/>
      <c r="K983" s="934"/>
      <c r="L983" s="934"/>
      <c r="M983" s="934"/>
      <c r="N983" s="934"/>
      <c r="O983" s="934"/>
      <c r="P983" s="934"/>
      <c r="Q983" s="934"/>
      <c r="R983" s="934"/>
      <c r="S983" s="934"/>
      <c r="T983" s="934"/>
      <c r="U983" s="934"/>
      <c r="V983" s="934"/>
      <c r="W983" s="934"/>
      <c r="X983" s="934"/>
      <c r="Y983" s="934"/>
      <c r="Z983" s="934"/>
    </row>
    <row r="984" ht="15.75" customHeight="1">
      <c r="A984" s="571"/>
      <c r="B984" s="934"/>
      <c r="C984" s="934"/>
      <c r="D984" s="934"/>
      <c r="E984" s="934"/>
      <c r="F984" s="934"/>
      <c r="G984" s="571"/>
      <c r="H984" s="934"/>
      <c r="I984" s="934"/>
      <c r="J984" s="934"/>
      <c r="K984" s="934"/>
      <c r="L984" s="934"/>
      <c r="M984" s="934"/>
      <c r="N984" s="934"/>
      <c r="O984" s="934"/>
      <c r="P984" s="934"/>
      <c r="Q984" s="934"/>
      <c r="R984" s="934"/>
      <c r="S984" s="934"/>
      <c r="T984" s="934"/>
      <c r="U984" s="934"/>
      <c r="V984" s="934"/>
      <c r="W984" s="934"/>
      <c r="X984" s="934"/>
      <c r="Y984" s="934"/>
      <c r="Z984" s="934"/>
    </row>
    <row r="985" ht="15.75" customHeight="1">
      <c r="A985" s="571"/>
      <c r="B985" s="934"/>
      <c r="C985" s="934"/>
      <c r="D985" s="934"/>
      <c r="E985" s="934"/>
      <c r="F985" s="934"/>
      <c r="G985" s="571"/>
      <c r="H985" s="934"/>
      <c r="I985" s="934"/>
      <c r="J985" s="934"/>
      <c r="K985" s="934"/>
      <c r="L985" s="934"/>
      <c r="M985" s="934"/>
      <c r="N985" s="934"/>
      <c r="O985" s="934"/>
      <c r="P985" s="934"/>
      <c r="Q985" s="934"/>
      <c r="R985" s="934"/>
      <c r="S985" s="934"/>
      <c r="T985" s="934"/>
      <c r="U985" s="934"/>
      <c r="V985" s="934"/>
      <c r="W985" s="934"/>
      <c r="X985" s="934"/>
      <c r="Y985" s="934"/>
      <c r="Z985" s="934"/>
    </row>
    <row r="986" ht="15.75" customHeight="1">
      <c r="A986" s="571"/>
      <c r="B986" s="934"/>
      <c r="C986" s="934"/>
      <c r="D986" s="934"/>
      <c r="E986" s="934"/>
      <c r="F986" s="934"/>
      <c r="G986" s="571"/>
      <c r="H986" s="934"/>
      <c r="I986" s="934"/>
      <c r="J986" s="934"/>
      <c r="K986" s="934"/>
      <c r="L986" s="934"/>
      <c r="M986" s="934"/>
      <c r="N986" s="934"/>
      <c r="O986" s="934"/>
      <c r="P986" s="934"/>
      <c r="Q986" s="934"/>
      <c r="R986" s="934"/>
      <c r="S986" s="934"/>
      <c r="T986" s="934"/>
      <c r="U986" s="934"/>
      <c r="V986" s="934"/>
      <c r="W986" s="934"/>
      <c r="X986" s="934"/>
      <c r="Y986" s="934"/>
      <c r="Z986" s="934"/>
    </row>
    <row r="987" ht="15.75" customHeight="1">
      <c r="A987" s="571"/>
      <c r="B987" s="934"/>
      <c r="C987" s="934"/>
      <c r="D987" s="934"/>
      <c r="E987" s="934"/>
      <c r="F987" s="934"/>
      <c r="G987" s="571"/>
      <c r="H987" s="934"/>
      <c r="I987" s="934"/>
      <c r="J987" s="934"/>
      <c r="K987" s="934"/>
      <c r="L987" s="934"/>
      <c r="M987" s="934"/>
      <c r="N987" s="934"/>
      <c r="O987" s="934"/>
      <c r="P987" s="934"/>
      <c r="Q987" s="934"/>
      <c r="R987" s="934"/>
      <c r="S987" s="934"/>
      <c r="T987" s="934"/>
      <c r="U987" s="934"/>
      <c r="V987" s="934"/>
      <c r="W987" s="934"/>
      <c r="X987" s="934"/>
      <c r="Y987" s="934"/>
      <c r="Z987" s="934"/>
    </row>
    <row r="988" ht="15.75" customHeight="1">
      <c r="A988" s="571"/>
      <c r="B988" s="934"/>
      <c r="C988" s="934"/>
      <c r="D988" s="934"/>
      <c r="E988" s="934"/>
      <c r="F988" s="934"/>
      <c r="G988" s="571"/>
      <c r="H988" s="934"/>
      <c r="I988" s="934"/>
      <c r="J988" s="934"/>
      <c r="K988" s="934"/>
      <c r="L988" s="934"/>
      <c r="M988" s="934"/>
      <c r="N988" s="934"/>
      <c r="O988" s="934"/>
      <c r="P988" s="934"/>
      <c r="Q988" s="934"/>
      <c r="R988" s="934"/>
      <c r="S988" s="934"/>
      <c r="T988" s="934"/>
      <c r="U988" s="934"/>
      <c r="V988" s="934"/>
      <c r="W988" s="934"/>
      <c r="X988" s="934"/>
      <c r="Y988" s="934"/>
      <c r="Z988" s="934"/>
    </row>
    <row r="989" ht="15.75" customHeight="1">
      <c r="A989" s="571"/>
      <c r="B989" s="934"/>
      <c r="C989" s="934"/>
      <c r="D989" s="934"/>
      <c r="E989" s="934"/>
      <c r="F989" s="934"/>
      <c r="G989" s="571"/>
      <c r="H989" s="934"/>
      <c r="I989" s="934"/>
      <c r="J989" s="934"/>
      <c r="K989" s="934"/>
      <c r="L989" s="934"/>
      <c r="M989" s="934"/>
      <c r="N989" s="934"/>
      <c r="O989" s="934"/>
      <c r="P989" s="934"/>
      <c r="Q989" s="934"/>
      <c r="R989" s="934"/>
      <c r="S989" s="934"/>
      <c r="T989" s="934"/>
      <c r="U989" s="934"/>
      <c r="V989" s="934"/>
      <c r="W989" s="934"/>
      <c r="X989" s="934"/>
      <c r="Y989" s="934"/>
      <c r="Z989" s="934"/>
    </row>
    <row r="990" ht="15.75" customHeight="1">
      <c r="A990" s="571"/>
      <c r="B990" s="934"/>
      <c r="C990" s="934"/>
      <c r="D990" s="934"/>
      <c r="E990" s="934"/>
      <c r="F990" s="934"/>
      <c r="G990" s="571"/>
      <c r="H990" s="934"/>
      <c r="I990" s="934"/>
      <c r="J990" s="934"/>
      <c r="K990" s="934"/>
      <c r="L990" s="934"/>
      <c r="M990" s="934"/>
      <c r="N990" s="934"/>
      <c r="O990" s="934"/>
      <c r="P990" s="934"/>
      <c r="Q990" s="934"/>
      <c r="R990" s="934"/>
      <c r="S990" s="934"/>
      <c r="T990" s="934"/>
      <c r="U990" s="934"/>
      <c r="V990" s="934"/>
      <c r="W990" s="934"/>
      <c r="X990" s="934"/>
      <c r="Y990" s="934"/>
      <c r="Z990" s="934"/>
    </row>
    <row r="991" ht="15.75" customHeight="1">
      <c r="A991" s="571"/>
      <c r="B991" s="934"/>
      <c r="C991" s="934"/>
      <c r="D991" s="934"/>
      <c r="E991" s="934"/>
      <c r="F991" s="934"/>
      <c r="G991" s="571"/>
      <c r="H991" s="934"/>
      <c r="I991" s="934"/>
      <c r="J991" s="934"/>
      <c r="K991" s="934"/>
      <c r="L991" s="934"/>
      <c r="M991" s="934"/>
      <c r="N991" s="934"/>
      <c r="O991" s="934"/>
      <c r="P991" s="934"/>
      <c r="Q991" s="934"/>
      <c r="R991" s="934"/>
      <c r="S991" s="934"/>
      <c r="T991" s="934"/>
      <c r="U991" s="934"/>
      <c r="V991" s="934"/>
      <c r="W991" s="934"/>
      <c r="X991" s="934"/>
      <c r="Y991" s="934"/>
      <c r="Z991" s="934"/>
    </row>
    <row r="992" ht="15.75" customHeight="1">
      <c r="A992" s="571"/>
      <c r="B992" s="934"/>
      <c r="C992" s="934"/>
      <c r="D992" s="934"/>
      <c r="E992" s="934"/>
      <c r="F992" s="934"/>
      <c r="G992" s="571"/>
      <c r="H992" s="934"/>
      <c r="I992" s="934"/>
      <c r="J992" s="934"/>
      <c r="K992" s="934"/>
      <c r="L992" s="934"/>
      <c r="M992" s="934"/>
      <c r="N992" s="934"/>
      <c r="O992" s="934"/>
      <c r="P992" s="934"/>
      <c r="Q992" s="934"/>
      <c r="R992" s="934"/>
      <c r="S992" s="934"/>
      <c r="T992" s="934"/>
      <c r="U992" s="934"/>
      <c r="V992" s="934"/>
      <c r="W992" s="934"/>
      <c r="X992" s="934"/>
      <c r="Y992" s="934"/>
      <c r="Z992" s="934"/>
    </row>
    <row r="993" ht="15.75" customHeight="1">
      <c r="A993" s="571"/>
      <c r="B993" s="934"/>
      <c r="C993" s="934"/>
      <c r="D993" s="934"/>
      <c r="E993" s="934"/>
      <c r="F993" s="934"/>
      <c r="G993" s="571"/>
      <c r="H993" s="934"/>
      <c r="I993" s="934"/>
      <c r="J993" s="934"/>
      <c r="K993" s="934"/>
      <c r="L993" s="934"/>
      <c r="M993" s="934"/>
      <c r="N993" s="934"/>
      <c r="O993" s="934"/>
      <c r="P993" s="934"/>
      <c r="Q993" s="934"/>
      <c r="R993" s="934"/>
      <c r="S993" s="934"/>
      <c r="T993" s="934"/>
      <c r="U993" s="934"/>
      <c r="V993" s="934"/>
      <c r="W993" s="934"/>
      <c r="X993" s="934"/>
      <c r="Y993" s="934"/>
      <c r="Z993" s="934"/>
    </row>
    <row r="994" ht="15.75" customHeight="1">
      <c r="A994" s="571"/>
      <c r="B994" s="934"/>
      <c r="C994" s="934"/>
      <c r="D994" s="934"/>
      <c r="E994" s="934"/>
      <c r="F994" s="934"/>
      <c r="G994" s="571"/>
      <c r="H994" s="934"/>
      <c r="I994" s="934"/>
      <c r="J994" s="934"/>
      <c r="K994" s="934"/>
      <c r="L994" s="934"/>
      <c r="M994" s="934"/>
      <c r="N994" s="934"/>
      <c r="O994" s="934"/>
      <c r="P994" s="934"/>
      <c r="Q994" s="934"/>
      <c r="R994" s="934"/>
      <c r="S994" s="934"/>
      <c r="T994" s="934"/>
      <c r="U994" s="934"/>
      <c r="V994" s="934"/>
      <c r="W994" s="934"/>
      <c r="X994" s="934"/>
      <c r="Y994" s="934"/>
      <c r="Z994" s="934"/>
    </row>
    <row r="995" ht="15.75" customHeight="1">
      <c r="A995" s="571"/>
      <c r="B995" s="934"/>
      <c r="C995" s="934"/>
      <c r="D995" s="934"/>
      <c r="E995" s="934"/>
      <c r="F995" s="934"/>
      <c r="G995" s="571"/>
      <c r="H995" s="934"/>
      <c r="I995" s="934"/>
      <c r="J995" s="934"/>
      <c r="K995" s="934"/>
      <c r="L995" s="934"/>
      <c r="M995" s="934"/>
      <c r="N995" s="934"/>
      <c r="O995" s="934"/>
      <c r="P995" s="934"/>
      <c r="Q995" s="934"/>
      <c r="R995" s="934"/>
      <c r="S995" s="934"/>
      <c r="T995" s="934"/>
      <c r="U995" s="934"/>
      <c r="V995" s="934"/>
      <c r="W995" s="934"/>
      <c r="X995" s="934"/>
      <c r="Y995" s="934"/>
      <c r="Z995" s="934"/>
    </row>
    <row r="996" ht="15.75" customHeight="1">
      <c r="A996" s="571"/>
      <c r="B996" s="934"/>
      <c r="C996" s="934"/>
      <c r="D996" s="934"/>
      <c r="E996" s="934"/>
      <c r="F996" s="934"/>
      <c r="G996" s="571"/>
      <c r="H996" s="934"/>
      <c r="I996" s="934"/>
      <c r="J996" s="934"/>
      <c r="K996" s="934"/>
      <c r="L996" s="934"/>
      <c r="M996" s="934"/>
      <c r="N996" s="934"/>
      <c r="O996" s="934"/>
      <c r="P996" s="934"/>
      <c r="Q996" s="934"/>
      <c r="R996" s="934"/>
      <c r="S996" s="934"/>
      <c r="T996" s="934"/>
      <c r="U996" s="934"/>
      <c r="V996" s="934"/>
      <c r="W996" s="934"/>
      <c r="X996" s="934"/>
      <c r="Y996" s="934"/>
      <c r="Z996" s="934"/>
    </row>
    <row r="997" ht="15.75" customHeight="1">
      <c r="A997" s="571"/>
      <c r="B997" s="934"/>
      <c r="C997" s="934"/>
      <c r="D997" s="934"/>
      <c r="E997" s="934"/>
      <c r="F997" s="934"/>
      <c r="G997" s="571"/>
      <c r="H997" s="934"/>
      <c r="I997" s="934"/>
      <c r="J997" s="934"/>
      <c r="K997" s="934"/>
      <c r="L997" s="934"/>
      <c r="M997" s="934"/>
      <c r="N997" s="934"/>
      <c r="O997" s="934"/>
      <c r="P997" s="934"/>
      <c r="Q997" s="934"/>
      <c r="R997" s="934"/>
      <c r="S997" s="934"/>
      <c r="T997" s="934"/>
      <c r="U997" s="934"/>
      <c r="V997" s="934"/>
      <c r="W997" s="934"/>
      <c r="X997" s="934"/>
      <c r="Y997" s="934"/>
      <c r="Z997" s="934"/>
    </row>
    <row r="998" ht="15.75" customHeight="1">
      <c r="A998" s="571"/>
      <c r="B998" s="934"/>
      <c r="C998" s="934"/>
      <c r="D998" s="934"/>
      <c r="E998" s="934"/>
      <c r="F998" s="934"/>
      <c r="G998" s="571"/>
      <c r="H998" s="934"/>
      <c r="I998" s="934"/>
      <c r="J998" s="934"/>
      <c r="K998" s="934"/>
      <c r="L998" s="934"/>
      <c r="M998" s="934"/>
      <c r="N998" s="934"/>
      <c r="O998" s="934"/>
      <c r="P998" s="934"/>
      <c r="Q998" s="934"/>
      <c r="R998" s="934"/>
      <c r="S998" s="934"/>
      <c r="T998" s="934"/>
      <c r="U998" s="934"/>
      <c r="V998" s="934"/>
      <c r="W998" s="934"/>
      <c r="X998" s="934"/>
      <c r="Y998" s="934"/>
      <c r="Z998" s="934"/>
    </row>
    <row r="999" ht="15.75" customHeight="1">
      <c r="A999" s="571"/>
      <c r="B999" s="934"/>
      <c r="C999" s="934"/>
      <c r="D999" s="934"/>
      <c r="E999" s="934"/>
      <c r="F999" s="934"/>
      <c r="G999" s="571"/>
      <c r="H999" s="934"/>
      <c r="I999" s="934"/>
      <c r="J999" s="934"/>
      <c r="K999" s="934"/>
      <c r="L999" s="934"/>
      <c r="M999" s="934"/>
      <c r="N999" s="934"/>
      <c r="O999" s="934"/>
      <c r="P999" s="934"/>
      <c r="Q999" s="934"/>
      <c r="R999" s="934"/>
      <c r="S999" s="934"/>
      <c r="T999" s="934"/>
      <c r="U999" s="934"/>
      <c r="V999" s="934"/>
      <c r="W999" s="934"/>
      <c r="X999" s="934"/>
      <c r="Y999" s="934"/>
      <c r="Z999" s="934"/>
    </row>
    <row r="1000" ht="15.75" customHeight="1">
      <c r="A1000" s="571"/>
      <c r="B1000" s="934"/>
      <c r="C1000" s="934"/>
      <c r="D1000" s="934"/>
      <c r="E1000" s="934"/>
      <c r="F1000" s="934"/>
      <c r="G1000" s="571"/>
      <c r="H1000" s="934"/>
      <c r="I1000" s="934"/>
      <c r="J1000" s="934"/>
      <c r="K1000" s="934"/>
      <c r="L1000" s="934"/>
      <c r="M1000" s="934"/>
      <c r="N1000" s="934"/>
      <c r="O1000" s="934"/>
      <c r="P1000" s="934"/>
      <c r="Q1000" s="934"/>
      <c r="R1000" s="934"/>
      <c r="S1000" s="934"/>
      <c r="T1000" s="934"/>
      <c r="U1000" s="934"/>
      <c r="V1000" s="934"/>
      <c r="W1000" s="934"/>
      <c r="X1000" s="934"/>
      <c r="Y1000" s="934"/>
      <c r="Z1000" s="934"/>
    </row>
  </sheetData>
  <conditionalFormatting sqref="A2:A31 D1:F2 D3:D29 E3:F30 E31:G31 G1:G30">
    <cfRule type="containsBlanks" dxfId="0" priority="1">
      <formula>LEN(TRIM(A2))=0</formula>
    </cfRule>
  </conditionalFormatting>
  <dataValidations>
    <dataValidation type="list" allowBlank="1" showErrorMessage="1" sqref="F1:F31">
      <formula1>Sheet1!$C$1:$C$8</formula1>
    </dataValidation>
    <dataValidation type="list" allowBlank="1" showErrorMessage="1" sqref="C1:C31">
      <formula1>Sheet1!$A$1:$A$24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8.86"/>
    <col customWidth="1" min="4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2023-12-11T05:43:30Z</dcterms:created>
  <dc:creator>Yadhukrishnan VC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0x010100421DE4D1CE52BB4F83BC987FA9D79F64</vt:lpwstr>
  </property>
</Properties>
</file>